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Users\User\Downloads\"/>
    </mc:Choice>
  </mc:AlternateContent>
  <xr:revisionPtr revIDLastSave="0" documentId="8_{A97AF6FD-3C65-4F22-B0E6-F7242C111C06}"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Sheet1!$B$1:$B$13501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3501" i="1" l="1"/>
  <c r="C13500" i="1"/>
  <c r="C13499" i="1"/>
  <c r="C13498" i="1"/>
  <c r="C13497" i="1"/>
  <c r="C13496" i="1"/>
  <c r="C13495" i="1"/>
  <c r="C13494" i="1"/>
  <c r="C13493" i="1"/>
  <c r="C13492" i="1"/>
  <c r="C13491" i="1"/>
  <c r="C13490" i="1"/>
  <c r="C13489" i="1"/>
  <c r="C13488" i="1"/>
  <c r="C13487" i="1"/>
  <c r="C13486" i="1"/>
  <c r="C13485" i="1"/>
  <c r="C13484" i="1"/>
  <c r="C13483" i="1"/>
  <c r="C13482" i="1"/>
  <c r="C13481" i="1"/>
  <c r="C13480" i="1"/>
  <c r="C13479" i="1"/>
  <c r="C13478" i="1"/>
  <c r="C13477" i="1"/>
  <c r="C13476" i="1"/>
  <c r="C13475" i="1"/>
  <c r="C13474" i="1"/>
  <c r="C13473" i="1"/>
  <c r="C13472" i="1"/>
  <c r="C13471" i="1"/>
  <c r="C13470" i="1"/>
  <c r="C13469" i="1"/>
  <c r="C13468" i="1"/>
  <c r="C13467" i="1"/>
  <c r="C13466" i="1"/>
  <c r="C13465" i="1"/>
  <c r="C13464" i="1"/>
  <c r="C13463" i="1"/>
  <c r="C13462" i="1"/>
  <c r="C13461" i="1"/>
  <c r="C13460" i="1"/>
  <c r="C13459" i="1"/>
  <c r="C13458" i="1"/>
  <c r="C13457" i="1"/>
  <c r="C13456" i="1"/>
  <c r="C13455" i="1"/>
  <c r="C13454" i="1"/>
  <c r="C13453" i="1"/>
  <c r="C13452" i="1"/>
  <c r="C13451" i="1"/>
  <c r="C13450" i="1"/>
  <c r="C13449" i="1"/>
  <c r="C13448" i="1"/>
  <c r="C13447" i="1"/>
  <c r="C13446" i="1"/>
  <c r="C13445" i="1"/>
  <c r="C13444" i="1"/>
  <c r="C13443" i="1"/>
  <c r="C13442" i="1"/>
  <c r="C13441" i="1"/>
  <c r="C13440" i="1"/>
  <c r="C13439" i="1"/>
  <c r="C13438" i="1"/>
  <c r="C13437" i="1"/>
  <c r="C13436" i="1"/>
  <c r="C13435" i="1"/>
  <c r="C13434" i="1"/>
  <c r="C13433" i="1"/>
  <c r="C13432" i="1"/>
  <c r="C13431" i="1"/>
  <c r="C13430" i="1"/>
  <c r="C13429" i="1"/>
  <c r="C13428" i="1"/>
  <c r="C13427" i="1"/>
  <c r="C13426" i="1"/>
  <c r="C13425" i="1"/>
  <c r="C13424" i="1"/>
  <c r="C13423" i="1"/>
  <c r="C13422" i="1"/>
  <c r="C13421" i="1"/>
  <c r="C13420" i="1"/>
  <c r="C13419" i="1"/>
  <c r="C13418" i="1"/>
  <c r="C13417" i="1"/>
  <c r="C13416" i="1"/>
  <c r="C13415" i="1"/>
  <c r="C13414" i="1"/>
  <c r="C13413" i="1"/>
  <c r="C13412" i="1"/>
  <c r="C13411" i="1"/>
  <c r="C13410" i="1"/>
  <c r="C13409" i="1"/>
  <c r="C13408" i="1"/>
  <c r="C13407" i="1"/>
  <c r="C13406" i="1"/>
  <c r="C13405" i="1"/>
  <c r="C13404" i="1"/>
  <c r="C13403" i="1"/>
  <c r="C13402" i="1"/>
  <c r="C13401" i="1"/>
  <c r="C13400" i="1"/>
  <c r="C13399" i="1"/>
  <c r="C13398" i="1"/>
  <c r="C13397" i="1"/>
  <c r="C13396" i="1"/>
  <c r="C13395" i="1"/>
  <c r="C13394" i="1"/>
  <c r="C13393" i="1"/>
  <c r="C13392" i="1"/>
  <c r="C13391" i="1"/>
  <c r="C13390" i="1"/>
  <c r="C13389" i="1"/>
  <c r="C13388" i="1"/>
  <c r="C13387" i="1"/>
  <c r="C13386" i="1"/>
  <c r="C13385" i="1"/>
  <c r="C13384" i="1"/>
  <c r="C13383" i="1"/>
  <c r="C13382" i="1"/>
  <c r="C13381" i="1"/>
  <c r="C13380" i="1"/>
  <c r="C13379" i="1"/>
  <c r="C13378" i="1"/>
  <c r="C13377" i="1"/>
  <c r="C13376" i="1"/>
  <c r="C13375" i="1"/>
  <c r="C13374" i="1"/>
  <c r="C13373" i="1"/>
  <c r="C13372" i="1"/>
  <c r="C13371" i="1"/>
  <c r="C13370" i="1"/>
  <c r="C13369" i="1"/>
  <c r="C13368" i="1"/>
  <c r="C13367" i="1"/>
  <c r="C13366" i="1"/>
  <c r="C13365" i="1"/>
  <c r="C13364" i="1"/>
  <c r="C13363" i="1"/>
  <c r="C13362" i="1"/>
  <c r="C13361" i="1"/>
  <c r="C13360" i="1"/>
  <c r="C13359" i="1"/>
  <c r="C13358" i="1"/>
  <c r="C13357" i="1"/>
  <c r="C13356" i="1"/>
  <c r="C13355" i="1"/>
  <c r="C13354" i="1"/>
  <c r="C13353" i="1"/>
  <c r="C13352" i="1"/>
  <c r="C13351" i="1"/>
  <c r="C13350" i="1"/>
  <c r="C13349" i="1"/>
  <c r="C13348" i="1"/>
  <c r="C13347" i="1"/>
  <c r="C13346" i="1"/>
  <c r="C13345" i="1"/>
  <c r="C13344" i="1"/>
  <c r="C13343" i="1"/>
  <c r="C13342" i="1"/>
  <c r="C13341" i="1"/>
  <c r="C13340" i="1"/>
  <c r="C13339" i="1"/>
  <c r="C13338" i="1"/>
  <c r="C13337" i="1"/>
  <c r="C13336" i="1"/>
  <c r="C13335" i="1"/>
  <c r="C13334" i="1"/>
  <c r="C13333" i="1"/>
  <c r="C13332" i="1"/>
  <c r="C13331" i="1"/>
  <c r="C13330" i="1"/>
  <c r="C13329" i="1"/>
  <c r="C13328" i="1"/>
  <c r="C13327" i="1"/>
  <c r="C13326" i="1"/>
  <c r="C13325" i="1"/>
  <c r="C13324" i="1"/>
  <c r="C13323" i="1"/>
  <c r="C13322" i="1"/>
  <c r="C13321" i="1"/>
  <c r="C13320" i="1"/>
  <c r="C13319" i="1"/>
  <c r="C13318" i="1"/>
  <c r="C13317" i="1"/>
  <c r="C13316" i="1"/>
  <c r="C13315" i="1"/>
  <c r="C13314" i="1"/>
  <c r="C13313" i="1"/>
  <c r="C13312" i="1"/>
  <c r="C13311" i="1"/>
  <c r="C13310" i="1"/>
  <c r="C13309" i="1"/>
  <c r="C13308" i="1"/>
  <c r="C13307" i="1"/>
  <c r="C13306" i="1"/>
  <c r="C13305" i="1"/>
  <c r="C13304" i="1"/>
  <c r="C13303" i="1"/>
  <c r="C13302" i="1"/>
  <c r="C13301" i="1"/>
  <c r="C13300" i="1"/>
  <c r="C13299" i="1"/>
  <c r="C13298" i="1"/>
  <c r="C13297" i="1"/>
  <c r="C13296" i="1"/>
  <c r="C13295" i="1"/>
  <c r="C13294" i="1"/>
  <c r="C13293" i="1"/>
  <c r="C13292" i="1"/>
  <c r="C13291" i="1"/>
  <c r="C13290" i="1"/>
  <c r="C13289" i="1"/>
  <c r="C13288" i="1"/>
  <c r="C13287" i="1"/>
  <c r="C13286" i="1"/>
  <c r="C13285" i="1"/>
  <c r="C13284" i="1"/>
  <c r="C13283" i="1"/>
  <c r="C13282" i="1"/>
  <c r="C13281" i="1"/>
  <c r="C13280" i="1"/>
  <c r="C13279" i="1"/>
  <c r="C13278" i="1"/>
  <c r="C13277" i="1"/>
  <c r="C13276" i="1"/>
  <c r="C13275" i="1"/>
  <c r="C13274" i="1"/>
  <c r="C13273" i="1"/>
  <c r="C13272" i="1"/>
  <c r="C13271" i="1"/>
  <c r="C13270" i="1"/>
  <c r="C13269" i="1"/>
  <c r="C13268" i="1"/>
  <c r="C13267" i="1"/>
  <c r="C13266" i="1"/>
  <c r="C13265" i="1"/>
  <c r="C13264" i="1"/>
  <c r="C13263" i="1"/>
  <c r="C13262" i="1"/>
  <c r="C13261" i="1"/>
  <c r="C13260" i="1"/>
  <c r="C13259" i="1"/>
  <c r="C13258" i="1"/>
  <c r="C13257" i="1"/>
  <c r="C13256" i="1"/>
  <c r="C13255" i="1"/>
  <c r="C13254" i="1"/>
  <c r="C13253" i="1"/>
  <c r="C13252" i="1"/>
  <c r="C13251" i="1"/>
  <c r="C13250" i="1"/>
  <c r="C13249" i="1"/>
  <c r="C13248" i="1"/>
  <c r="C13247" i="1"/>
  <c r="C13246" i="1"/>
  <c r="C13245" i="1"/>
  <c r="C13244" i="1"/>
  <c r="C13243" i="1"/>
  <c r="C13242" i="1"/>
  <c r="C13241" i="1"/>
  <c r="C13240" i="1"/>
  <c r="C13239" i="1"/>
  <c r="C13238" i="1"/>
  <c r="C13237" i="1"/>
  <c r="C13236" i="1"/>
  <c r="C13235" i="1"/>
  <c r="C13234" i="1"/>
  <c r="C13233" i="1"/>
  <c r="C13232" i="1"/>
  <c r="C13231" i="1"/>
  <c r="C13230" i="1"/>
  <c r="C13229" i="1"/>
  <c r="C13228" i="1"/>
  <c r="C13227" i="1"/>
  <c r="C13226" i="1"/>
  <c r="C13225" i="1"/>
  <c r="C13224" i="1"/>
  <c r="C13223" i="1"/>
  <c r="C13222" i="1"/>
  <c r="C13221" i="1"/>
  <c r="C13220" i="1"/>
  <c r="C13219" i="1"/>
  <c r="C13218" i="1"/>
  <c r="C13217" i="1"/>
  <c r="C13216" i="1"/>
  <c r="C13215" i="1"/>
  <c r="C13214" i="1"/>
  <c r="C13213" i="1"/>
  <c r="C13212" i="1"/>
  <c r="C13211" i="1"/>
  <c r="C13210" i="1"/>
  <c r="C13209" i="1"/>
  <c r="C13208" i="1"/>
  <c r="C13207" i="1"/>
  <c r="C13206" i="1"/>
  <c r="C13205" i="1"/>
  <c r="C13204" i="1"/>
  <c r="C13203" i="1"/>
  <c r="C13202" i="1"/>
  <c r="C13201" i="1"/>
  <c r="C13200" i="1"/>
  <c r="C13199" i="1"/>
  <c r="C13198" i="1"/>
  <c r="C13197" i="1"/>
  <c r="C13196" i="1"/>
  <c r="C13195" i="1"/>
  <c r="C13194" i="1"/>
  <c r="C13193" i="1"/>
  <c r="C13192" i="1"/>
  <c r="C13191" i="1"/>
  <c r="C13190" i="1"/>
  <c r="C13189" i="1"/>
  <c r="C13188" i="1"/>
  <c r="C13187" i="1"/>
  <c r="C13186" i="1"/>
  <c r="C13185" i="1"/>
  <c r="C13184" i="1"/>
  <c r="C13183" i="1"/>
  <c r="C13182" i="1"/>
  <c r="C13181" i="1"/>
  <c r="C13180" i="1"/>
  <c r="C13179" i="1"/>
  <c r="C13178" i="1"/>
  <c r="C13177" i="1"/>
  <c r="C13176" i="1"/>
  <c r="C13175" i="1"/>
  <c r="C13174" i="1"/>
  <c r="C13173" i="1"/>
  <c r="C13172" i="1"/>
  <c r="C13171" i="1"/>
  <c r="C13170" i="1"/>
  <c r="C13169" i="1"/>
  <c r="C13168" i="1"/>
  <c r="C13167" i="1"/>
  <c r="C13166" i="1"/>
  <c r="C13165" i="1"/>
  <c r="C13164" i="1"/>
  <c r="C13163" i="1"/>
  <c r="C13162" i="1"/>
  <c r="C13161" i="1"/>
  <c r="C13160" i="1"/>
  <c r="C13159" i="1"/>
  <c r="C13158" i="1"/>
  <c r="C13157" i="1"/>
  <c r="C13156" i="1"/>
  <c r="C13155" i="1"/>
  <c r="C13154" i="1"/>
  <c r="C13153" i="1"/>
  <c r="C13152" i="1"/>
  <c r="C13151" i="1"/>
  <c r="C13150" i="1"/>
  <c r="C13149" i="1"/>
  <c r="C13148" i="1"/>
  <c r="C13147" i="1"/>
  <c r="C13146" i="1"/>
  <c r="C13145" i="1"/>
  <c r="C13144" i="1"/>
  <c r="C13143" i="1"/>
  <c r="C13142" i="1"/>
  <c r="C13141" i="1"/>
  <c r="C13140" i="1"/>
  <c r="C13139" i="1"/>
  <c r="C13138" i="1"/>
  <c r="C13137" i="1"/>
  <c r="C13136" i="1"/>
  <c r="C13135" i="1"/>
  <c r="C13134" i="1"/>
  <c r="C13133" i="1"/>
  <c r="C13132" i="1"/>
  <c r="C13131" i="1"/>
  <c r="C13130" i="1"/>
  <c r="C13129" i="1"/>
  <c r="C13128" i="1"/>
  <c r="C13127" i="1"/>
  <c r="C13126" i="1"/>
  <c r="C13125" i="1"/>
  <c r="C13124" i="1"/>
  <c r="C13123" i="1"/>
  <c r="C13122" i="1"/>
  <c r="C13121" i="1"/>
  <c r="C13120" i="1"/>
  <c r="C13119" i="1"/>
  <c r="C13118" i="1"/>
  <c r="C13117" i="1"/>
  <c r="C13116" i="1"/>
  <c r="C13115" i="1"/>
  <c r="C13114" i="1"/>
  <c r="C13113" i="1"/>
  <c r="C13112" i="1"/>
  <c r="C13111" i="1"/>
  <c r="C13110" i="1"/>
  <c r="C13109" i="1"/>
  <c r="C13108" i="1"/>
  <c r="C13107" i="1"/>
  <c r="C13106" i="1"/>
  <c r="C13105" i="1"/>
  <c r="C13104" i="1"/>
  <c r="C13103" i="1"/>
  <c r="C13102" i="1"/>
  <c r="C13101" i="1"/>
  <c r="C13100" i="1"/>
  <c r="C13099" i="1"/>
  <c r="C13098" i="1"/>
  <c r="C13097" i="1"/>
  <c r="C13096" i="1"/>
  <c r="C13095" i="1"/>
  <c r="C13094" i="1"/>
  <c r="C13093" i="1"/>
  <c r="C13092" i="1"/>
  <c r="C13091" i="1"/>
  <c r="C13090" i="1"/>
  <c r="C13089" i="1"/>
  <c r="C13088" i="1"/>
  <c r="C13087" i="1"/>
  <c r="C13086" i="1"/>
  <c r="C13085" i="1"/>
  <c r="C13084" i="1"/>
  <c r="C13083" i="1"/>
  <c r="C13082" i="1"/>
  <c r="C13081" i="1"/>
  <c r="C13080" i="1"/>
  <c r="C13079" i="1"/>
  <c r="C13078" i="1"/>
  <c r="C13077" i="1"/>
  <c r="C13076" i="1"/>
  <c r="C13075" i="1"/>
  <c r="C13074" i="1"/>
  <c r="C13073" i="1"/>
  <c r="C13072" i="1"/>
  <c r="C13071" i="1"/>
  <c r="C13070" i="1"/>
  <c r="C13069" i="1"/>
  <c r="C13068" i="1"/>
  <c r="C13067" i="1"/>
  <c r="C13066" i="1"/>
  <c r="C13065" i="1"/>
  <c r="C13064" i="1"/>
  <c r="C13063" i="1"/>
  <c r="C13062" i="1"/>
  <c r="C13061" i="1"/>
  <c r="C13060" i="1"/>
  <c r="C13059" i="1"/>
  <c r="C13058" i="1"/>
  <c r="C13057" i="1"/>
  <c r="C13056" i="1"/>
  <c r="C13055" i="1"/>
  <c r="C13054" i="1"/>
  <c r="C13053" i="1"/>
  <c r="C13052" i="1"/>
  <c r="C13051" i="1"/>
  <c r="C13050" i="1"/>
  <c r="C13049" i="1"/>
  <c r="C13048" i="1"/>
  <c r="C13047" i="1"/>
  <c r="C13046" i="1"/>
  <c r="C13045" i="1"/>
  <c r="C13044" i="1"/>
  <c r="C13043" i="1"/>
  <c r="C13042" i="1"/>
  <c r="C13041" i="1"/>
  <c r="C13040" i="1"/>
  <c r="C13039" i="1"/>
  <c r="C13038" i="1"/>
  <c r="C13037" i="1"/>
  <c r="C13036" i="1"/>
  <c r="C13035" i="1"/>
  <c r="C13034" i="1"/>
  <c r="C13033" i="1"/>
  <c r="C13032" i="1"/>
  <c r="C13031" i="1"/>
  <c r="C13030" i="1"/>
  <c r="C13029" i="1"/>
  <c r="C13028" i="1"/>
  <c r="C13027" i="1"/>
  <c r="C13026" i="1"/>
  <c r="C13025" i="1"/>
  <c r="C13024" i="1"/>
  <c r="C13023" i="1"/>
  <c r="C13022" i="1"/>
  <c r="C13021" i="1"/>
  <c r="C13020" i="1"/>
  <c r="C13019" i="1"/>
  <c r="C13018" i="1"/>
  <c r="C13017" i="1"/>
  <c r="C13016" i="1"/>
  <c r="C13015" i="1"/>
  <c r="C13014" i="1"/>
  <c r="C13013" i="1"/>
  <c r="C13012" i="1"/>
  <c r="C13011" i="1"/>
  <c r="C13010" i="1"/>
  <c r="C13009" i="1"/>
  <c r="C13008" i="1"/>
  <c r="C13007" i="1"/>
  <c r="C13006" i="1"/>
  <c r="C13005" i="1"/>
  <c r="C13004" i="1"/>
  <c r="C13003" i="1"/>
  <c r="C13002" i="1"/>
  <c r="C13001" i="1"/>
  <c r="C13000" i="1"/>
  <c r="C12999" i="1"/>
  <c r="C12998" i="1"/>
  <c r="C12997" i="1"/>
  <c r="C12996" i="1"/>
  <c r="C12995" i="1"/>
  <c r="C12994" i="1"/>
  <c r="C12993" i="1"/>
  <c r="C12992" i="1"/>
  <c r="C12991" i="1"/>
  <c r="C12990" i="1"/>
  <c r="C12989" i="1"/>
  <c r="C12988" i="1"/>
  <c r="C12987" i="1"/>
  <c r="C12986" i="1"/>
  <c r="C12985" i="1"/>
  <c r="C12984" i="1"/>
  <c r="C12983" i="1"/>
  <c r="C12982" i="1"/>
  <c r="C12981" i="1"/>
  <c r="C12980" i="1"/>
  <c r="C12979" i="1"/>
  <c r="C12978" i="1"/>
  <c r="C12977" i="1"/>
  <c r="C12976" i="1"/>
  <c r="C12975" i="1"/>
  <c r="C12974" i="1"/>
  <c r="C12973" i="1"/>
  <c r="C12972" i="1"/>
  <c r="C12971" i="1"/>
  <c r="C12970" i="1"/>
  <c r="C12969" i="1"/>
  <c r="C12968" i="1"/>
  <c r="C12967" i="1"/>
  <c r="C12966" i="1"/>
  <c r="C12965" i="1"/>
  <c r="C12964" i="1"/>
  <c r="C12963" i="1"/>
  <c r="C12962" i="1"/>
  <c r="C12961" i="1"/>
  <c r="C12960" i="1"/>
  <c r="C12959" i="1"/>
  <c r="C12958" i="1"/>
  <c r="C12957" i="1"/>
  <c r="C12956" i="1"/>
  <c r="C12955" i="1"/>
  <c r="C12954" i="1"/>
  <c r="C12953" i="1"/>
  <c r="C12952" i="1"/>
  <c r="C12951" i="1"/>
  <c r="C12950" i="1"/>
  <c r="C12949" i="1"/>
  <c r="C12948" i="1"/>
  <c r="C12947" i="1"/>
  <c r="C12946" i="1"/>
  <c r="C12945" i="1"/>
  <c r="C12944" i="1"/>
  <c r="C12943" i="1"/>
  <c r="C12942" i="1"/>
  <c r="C12941" i="1"/>
  <c r="C12940" i="1"/>
  <c r="C12939" i="1"/>
  <c r="C12938" i="1"/>
  <c r="C12937" i="1"/>
  <c r="C12936" i="1"/>
  <c r="C12935" i="1"/>
  <c r="C12934" i="1"/>
  <c r="C12933" i="1"/>
  <c r="C12932" i="1"/>
  <c r="C12931" i="1"/>
  <c r="C12930" i="1"/>
  <c r="C12929" i="1"/>
  <c r="C12928" i="1"/>
  <c r="C12927" i="1"/>
  <c r="C12926" i="1"/>
  <c r="C12925" i="1"/>
  <c r="C12924" i="1"/>
  <c r="C12923" i="1"/>
  <c r="C12922" i="1"/>
  <c r="C12921" i="1"/>
  <c r="C12920" i="1"/>
  <c r="C12919" i="1"/>
  <c r="C12918" i="1"/>
  <c r="C12917" i="1"/>
  <c r="C12916" i="1"/>
  <c r="C12915" i="1"/>
  <c r="C12914" i="1"/>
  <c r="C12913" i="1"/>
  <c r="C12912" i="1"/>
  <c r="C12911" i="1"/>
  <c r="C12910" i="1"/>
  <c r="C12909" i="1"/>
  <c r="C12908" i="1"/>
  <c r="C12907" i="1"/>
  <c r="C12906" i="1"/>
  <c r="C12905" i="1"/>
  <c r="C12904" i="1"/>
  <c r="C12903" i="1"/>
  <c r="C12902" i="1"/>
  <c r="C12901" i="1"/>
  <c r="C12900" i="1"/>
  <c r="C12899" i="1"/>
  <c r="C12898" i="1"/>
  <c r="C12897" i="1"/>
  <c r="C12896" i="1"/>
  <c r="C12895" i="1"/>
  <c r="C12894" i="1"/>
  <c r="C12893" i="1"/>
  <c r="C12892" i="1"/>
  <c r="C12891" i="1"/>
  <c r="C12890" i="1"/>
  <c r="C12889" i="1"/>
  <c r="C12888" i="1"/>
  <c r="C12887" i="1"/>
  <c r="C12886" i="1"/>
  <c r="C12885" i="1"/>
  <c r="C12884" i="1"/>
  <c r="C12883" i="1"/>
  <c r="C12882" i="1"/>
  <c r="C12881" i="1"/>
  <c r="C12880" i="1"/>
  <c r="C12879" i="1"/>
  <c r="C12878" i="1"/>
  <c r="C12877" i="1"/>
  <c r="C12876" i="1"/>
  <c r="C12875" i="1"/>
  <c r="C12874" i="1"/>
  <c r="C12873" i="1"/>
  <c r="C12872" i="1"/>
  <c r="C12871" i="1"/>
  <c r="C12870" i="1"/>
  <c r="C12869" i="1"/>
  <c r="C12868" i="1"/>
  <c r="C12867" i="1"/>
  <c r="C12866" i="1"/>
  <c r="C12865" i="1"/>
  <c r="C12864" i="1"/>
  <c r="C12863" i="1"/>
  <c r="C12862" i="1"/>
  <c r="C12861" i="1"/>
  <c r="C12860" i="1"/>
  <c r="C12859" i="1"/>
  <c r="C12858" i="1"/>
  <c r="C12857" i="1"/>
  <c r="C12856" i="1"/>
  <c r="C12855" i="1"/>
  <c r="C12854" i="1"/>
  <c r="C12853" i="1"/>
  <c r="C12852" i="1"/>
  <c r="C12851" i="1"/>
  <c r="C12850" i="1"/>
  <c r="C12849" i="1"/>
  <c r="C12848" i="1"/>
  <c r="C12847" i="1"/>
  <c r="C12846" i="1"/>
  <c r="C12845" i="1"/>
  <c r="C12844" i="1"/>
  <c r="C12843" i="1"/>
  <c r="C12842" i="1"/>
  <c r="C12841" i="1"/>
  <c r="C12840" i="1"/>
  <c r="C12839" i="1"/>
  <c r="C12838" i="1"/>
  <c r="C12837" i="1"/>
  <c r="C12836" i="1"/>
  <c r="C12835" i="1"/>
  <c r="C12834" i="1"/>
  <c r="C12833" i="1"/>
  <c r="C12832" i="1"/>
  <c r="C12831" i="1"/>
  <c r="C12830" i="1"/>
  <c r="C12829" i="1"/>
  <c r="C12828" i="1"/>
  <c r="C12827" i="1"/>
  <c r="C12826" i="1"/>
  <c r="C12825" i="1"/>
  <c r="C12824" i="1"/>
  <c r="C12823" i="1"/>
  <c r="C12822" i="1"/>
  <c r="C12821" i="1"/>
  <c r="C12820" i="1"/>
  <c r="C12819" i="1"/>
  <c r="C12818" i="1"/>
  <c r="C12817" i="1"/>
  <c r="C12816" i="1"/>
  <c r="C12815" i="1"/>
  <c r="C12814" i="1"/>
  <c r="C12813" i="1"/>
  <c r="C12812" i="1"/>
  <c r="C12811" i="1"/>
  <c r="C12810" i="1"/>
  <c r="C12809" i="1"/>
  <c r="C12808" i="1"/>
  <c r="C12807" i="1"/>
  <c r="C12806" i="1"/>
  <c r="C12805" i="1"/>
  <c r="C12804" i="1"/>
  <c r="C12803" i="1"/>
  <c r="C12802" i="1"/>
  <c r="C12801" i="1"/>
  <c r="C12800" i="1"/>
  <c r="C12799" i="1"/>
  <c r="C12798" i="1"/>
  <c r="C12797" i="1"/>
  <c r="C12796" i="1"/>
  <c r="C12795" i="1"/>
  <c r="C12794" i="1"/>
  <c r="C12793" i="1"/>
  <c r="C12792" i="1"/>
  <c r="C12791" i="1"/>
  <c r="C12790" i="1"/>
  <c r="C12789" i="1"/>
  <c r="C12788" i="1"/>
  <c r="C12787" i="1"/>
  <c r="C12786" i="1"/>
  <c r="C12785" i="1"/>
  <c r="C12784" i="1"/>
  <c r="C12783" i="1"/>
  <c r="C12782" i="1"/>
  <c r="C12781" i="1"/>
  <c r="C12780" i="1"/>
  <c r="C12779" i="1"/>
  <c r="C12778" i="1"/>
  <c r="C12777" i="1"/>
  <c r="C12776" i="1"/>
  <c r="C12775" i="1"/>
  <c r="C12774" i="1"/>
  <c r="C12773" i="1"/>
  <c r="C12772" i="1"/>
  <c r="C12771" i="1"/>
  <c r="C12770" i="1"/>
  <c r="C12769" i="1"/>
  <c r="C12768" i="1"/>
  <c r="C12767" i="1"/>
  <c r="C12766" i="1"/>
  <c r="C12765" i="1"/>
  <c r="C12764" i="1"/>
  <c r="C12763" i="1"/>
  <c r="C12762" i="1"/>
  <c r="C12761" i="1"/>
  <c r="C12760" i="1"/>
  <c r="C12759" i="1"/>
  <c r="C12758" i="1"/>
  <c r="C12757" i="1"/>
  <c r="C12756" i="1"/>
  <c r="C12755" i="1"/>
  <c r="C12754" i="1"/>
  <c r="C12753" i="1"/>
  <c r="C12752" i="1"/>
  <c r="C12751" i="1"/>
  <c r="C12750" i="1"/>
  <c r="C12749" i="1"/>
  <c r="C12748" i="1"/>
  <c r="C12747" i="1"/>
  <c r="C12746" i="1"/>
  <c r="C12745" i="1"/>
  <c r="C12744" i="1"/>
  <c r="C12743" i="1"/>
  <c r="C12742" i="1"/>
  <c r="C12741" i="1"/>
  <c r="C12740" i="1"/>
  <c r="C12739" i="1"/>
  <c r="C12738" i="1"/>
  <c r="C12737" i="1"/>
  <c r="C12736" i="1"/>
  <c r="C12735" i="1"/>
  <c r="C12734" i="1"/>
  <c r="C12733" i="1"/>
  <c r="C12732" i="1"/>
  <c r="C12731" i="1"/>
  <c r="C12730" i="1"/>
  <c r="C12729" i="1"/>
  <c r="C12728" i="1"/>
  <c r="C12727" i="1"/>
  <c r="C12726" i="1"/>
  <c r="C12725" i="1"/>
  <c r="C12724" i="1"/>
  <c r="C12723" i="1"/>
  <c r="C12722" i="1"/>
  <c r="C12721" i="1"/>
  <c r="C12720" i="1"/>
  <c r="C12719" i="1"/>
  <c r="C12718" i="1"/>
  <c r="C12717" i="1"/>
  <c r="C12716" i="1"/>
  <c r="C12715" i="1"/>
  <c r="C12714" i="1"/>
  <c r="C12713" i="1"/>
  <c r="C12712" i="1"/>
  <c r="C12711" i="1"/>
  <c r="C12710" i="1"/>
  <c r="C12709" i="1"/>
  <c r="C12708" i="1"/>
  <c r="C12707" i="1"/>
  <c r="C12706" i="1"/>
  <c r="C12705" i="1"/>
  <c r="C12704" i="1"/>
  <c r="C12703" i="1"/>
  <c r="C12702" i="1"/>
  <c r="C12701" i="1"/>
  <c r="C12700" i="1"/>
  <c r="C12699" i="1"/>
  <c r="C12698" i="1"/>
  <c r="C12697" i="1"/>
  <c r="C12696" i="1"/>
  <c r="C12695" i="1"/>
  <c r="C12694" i="1"/>
  <c r="C12693" i="1"/>
  <c r="C12692" i="1"/>
  <c r="C12691" i="1"/>
  <c r="C12690" i="1"/>
  <c r="C12689" i="1"/>
  <c r="C12688" i="1"/>
  <c r="C12687" i="1"/>
  <c r="C12686" i="1"/>
  <c r="C12685" i="1"/>
  <c r="C12684" i="1"/>
  <c r="C12683" i="1"/>
  <c r="C12682" i="1"/>
  <c r="C12681" i="1"/>
  <c r="C12680" i="1"/>
  <c r="C12679" i="1"/>
  <c r="C12678" i="1"/>
  <c r="C12677" i="1"/>
  <c r="C12676" i="1"/>
  <c r="C12675" i="1"/>
  <c r="C12674" i="1"/>
  <c r="C12673" i="1"/>
  <c r="C12672" i="1"/>
  <c r="C12671" i="1"/>
  <c r="C12670" i="1"/>
  <c r="C12669" i="1"/>
  <c r="C12668" i="1"/>
  <c r="C12667" i="1"/>
  <c r="C12666" i="1"/>
  <c r="C12665" i="1"/>
  <c r="C12664" i="1"/>
  <c r="C12663" i="1"/>
  <c r="C12662" i="1"/>
  <c r="C12661" i="1"/>
  <c r="C12660" i="1"/>
  <c r="C12659" i="1"/>
  <c r="C12658" i="1"/>
  <c r="C12657" i="1"/>
  <c r="C12656" i="1"/>
  <c r="C12655" i="1"/>
  <c r="C12654" i="1"/>
  <c r="C12653" i="1"/>
  <c r="C12652" i="1"/>
  <c r="C12651" i="1"/>
  <c r="C12650" i="1"/>
  <c r="C12649" i="1"/>
  <c r="C12648" i="1"/>
  <c r="C12647" i="1"/>
  <c r="C12646" i="1"/>
  <c r="C12645" i="1"/>
  <c r="C12644" i="1"/>
  <c r="C12643" i="1"/>
  <c r="C12642" i="1"/>
  <c r="C12641" i="1"/>
  <c r="C12640" i="1"/>
  <c r="C12639" i="1"/>
  <c r="C12638" i="1"/>
  <c r="C12637" i="1"/>
  <c r="C12636" i="1"/>
  <c r="C12635" i="1"/>
  <c r="C12634" i="1"/>
  <c r="C12633" i="1"/>
  <c r="C12632" i="1"/>
  <c r="C12631" i="1"/>
  <c r="C12630" i="1"/>
  <c r="C12629" i="1"/>
  <c r="C12628" i="1"/>
  <c r="C12627" i="1"/>
  <c r="C12626" i="1"/>
  <c r="C12625" i="1"/>
  <c r="C12624" i="1"/>
  <c r="C12623" i="1"/>
  <c r="C12622" i="1"/>
  <c r="C12621" i="1"/>
  <c r="C12620" i="1"/>
  <c r="C12619" i="1"/>
  <c r="C12618" i="1"/>
  <c r="C12617" i="1"/>
  <c r="C12616" i="1"/>
  <c r="C12615" i="1"/>
  <c r="C12614" i="1"/>
  <c r="C12613" i="1"/>
  <c r="C12612" i="1"/>
  <c r="C12611" i="1"/>
  <c r="C12610" i="1"/>
  <c r="C12609" i="1"/>
  <c r="C12608" i="1"/>
  <c r="C12607" i="1"/>
  <c r="C12606" i="1"/>
  <c r="C12605" i="1"/>
  <c r="C12604" i="1"/>
  <c r="C12603" i="1"/>
  <c r="C12602" i="1"/>
  <c r="C12601" i="1"/>
  <c r="C12600" i="1"/>
  <c r="C12599" i="1"/>
  <c r="C12598" i="1"/>
  <c r="C12597" i="1"/>
  <c r="C12596" i="1"/>
  <c r="C12595" i="1"/>
  <c r="C12594" i="1"/>
  <c r="C12593" i="1"/>
  <c r="C12592" i="1"/>
  <c r="C12591" i="1"/>
  <c r="C12590" i="1"/>
  <c r="C12589" i="1"/>
  <c r="C12588" i="1"/>
  <c r="C12587" i="1"/>
  <c r="C12586" i="1"/>
  <c r="C12585" i="1"/>
  <c r="C12584" i="1"/>
  <c r="C12583" i="1"/>
  <c r="C12582" i="1"/>
  <c r="C12581" i="1"/>
  <c r="C12580" i="1"/>
  <c r="C12579" i="1"/>
  <c r="C12578" i="1"/>
  <c r="C12577" i="1"/>
  <c r="C12576" i="1"/>
  <c r="C12575" i="1"/>
  <c r="C12574" i="1"/>
  <c r="C12573" i="1"/>
  <c r="C12572" i="1"/>
  <c r="C12571" i="1"/>
  <c r="C12570" i="1"/>
  <c r="C12569" i="1"/>
  <c r="C12568" i="1"/>
  <c r="C12567" i="1"/>
  <c r="C12566" i="1"/>
  <c r="C12565" i="1"/>
  <c r="C12564" i="1"/>
  <c r="C12563" i="1"/>
  <c r="C12562" i="1"/>
  <c r="C12561" i="1"/>
  <c r="C12560" i="1"/>
  <c r="C12559" i="1"/>
  <c r="C12558" i="1"/>
  <c r="C12557" i="1"/>
  <c r="C12556" i="1"/>
  <c r="C12555" i="1"/>
  <c r="C12554" i="1"/>
  <c r="C12553" i="1"/>
  <c r="C12552" i="1"/>
  <c r="C12551" i="1"/>
  <c r="C12550" i="1"/>
  <c r="C12549" i="1"/>
  <c r="C12548" i="1"/>
  <c r="C12547" i="1"/>
  <c r="C12546" i="1"/>
  <c r="C12545" i="1"/>
  <c r="C12544" i="1"/>
  <c r="C12543" i="1"/>
  <c r="C12542" i="1"/>
  <c r="C12541" i="1"/>
  <c r="C12540" i="1"/>
  <c r="C12539" i="1"/>
  <c r="C12538" i="1"/>
  <c r="C12537" i="1"/>
  <c r="C12536" i="1"/>
  <c r="C12535" i="1"/>
  <c r="C12534" i="1"/>
  <c r="C12533" i="1"/>
  <c r="C12532" i="1"/>
  <c r="C12531" i="1"/>
  <c r="C12530" i="1"/>
  <c r="C12529" i="1"/>
  <c r="C12528" i="1"/>
  <c r="C12527" i="1"/>
  <c r="C12526" i="1"/>
  <c r="C12525" i="1"/>
  <c r="C12524" i="1"/>
  <c r="C12523" i="1"/>
  <c r="C12522" i="1"/>
  <c r="C12521" i="1"/>
  <c r="C12520" i="1"/>
  <c r="C12519" i="1"/>
  <c r="C12518" i="1"/>
  <c r="C12517" i="1"/>
  <c r="C12516" i="1"/>
  <c r="C12515" i="1"/>
  <c r="C12514" i="1"/>
  <c r="C12513" i="1"/>
  <c r="C12512" i="1"/>
  <c r="C12511" i="1"/>
  <c r="C12510" i="1"/>
  <c r="C12509" i="1"/>
  <c r="C12508" i="1"/>
  <c r="C12507" i="1"/>
  <c r="C12506" i="1"/>
  <c r="C12505" i="1"/>
  <c r="C12504" i="1"/>
  <c r="C12503" i="1"/>
  <c r="C12502" i="1"/>
  <c r="C12501" i="1"/>
  <c r="C12500" i="1"/>
  <c r="C12499" i="1"/>
  <c r="C12498" i="1"/>
  <c r="C12497" i="1"/>
  <c r="C12496" i="1"/>
  <c r="C12495" i="1"/>
  <c r="C12494" i="1"/>
  <c r="C12493" i="1"/>
  <c r="C12492" i="1"/>
  <c r="C12491" i="1"/>
  <c r="C12490" i="1"/>
  <c r="C12489" i="1"/>
  <c r="C12488" i="1"/>
  <c r="C12487" i="1"/>
  <c r="C12486" i="1"/>
  <c r="C12485" i="1"/>
  <c r="C12484" i="1"/>
  <c r="C12483" i="1"/>
  <c r="C12482" i="1"/>
  <c r="C12481" i="1"/>
  <c r="C12480" i="1"/>
  <c r="C12479" i="1"/>
  <c r="C12478" i="1"/>
  <c r="C12477" i="1"/>
  <c r="C12476" i="1"/>
  <c r="C12475" i="1"/>
  <c r="C12474" i="1"/>
  <c r="C12473" i="1"/>
  <c r="C12472" i="1"/>
  <c r="C12471" i="1"/>
  <c r="C12470" i="1"/>
  <c r="C12469" i="1"/>
  <c r="C12468" i="1"/>
  <c r="C12467" i="1"/>
  <c r="C12466" i="1"/>
  <c r="C12465" i="1"/>
  <c r="C12464" i="1"/>
  <c r="C12463" i="1"/>
  <c r="C12462" i="1"/>
  <c r="C12461" i="1"/>
  <c r="C12460" i="1"/>
  <c r="C12459" i="1"/>
  <c r="C12458" i="1"/>
  <c r="C12457" i="1"/>
  <c r="C12456" i="1"/>
  <c r="C12455" i="1"/>
  <c r="C12454" i="1"/>
  <c r="C12453" i="1"/>
  <c r="C12452" i="1"/>
  <c r="C12451" i="1"/>
  <c r="C12450" i="1"/>
  <c r="C12449" i="1"/>
  <c r="C12448" i="1"/>
  <c r="C12447" i="1"/>
  <c r="C12446" i="1"/>
  <c r="C12445" i="1"/>
  <c r="C12444" i="1"/>
  <c r="C12443" i="1"/>
  <c r="C12442" i="1"/>
  <c r="C12441" i="1"/>
  <c r="C12440" i="1"/>
  <c r="C12439" i="1"/>
  <c r="C12438" i="1"/>
  <c r="C12437" i="1"/>
  <c r="C12436" i="1"/>
  <c r="C12435" i="1"/>
  <c r="C12434" i="1"/>
  <c r="C12433" i="1"/>
  <c r="C12432" i="1"/>
  <c r="C12431" i="1"/>
  <c r="C12430" i="1"/>
  <c r="C12429" i="1"/>
  <c r="C12428" i="1"/>
  <c r="C12427" i="1"/>
  <c r="C12426" i="1"/>
  <c r="C12425" i="1"/>
  <c r="C12424" i="1"/>
  <c r="C12423" i="1"/>
  <c r="C12422" i="1"/>
  <c r="C12421" i="1"/>
  <c r="C12420" i="1"/>
  <c r="C12419" i="1"/>
  <c r="C12418" i="1"/>
  <c r="C12417" i="1"/>
  <c r="C12416" i="1"/>
  <c r="C12415" i="1"/>
  <c r="C12414" i="1"/>
  <c r="C12413" i="1"/>
  <c r="C12412" i="1"/>
  <c r="C12411" i="1"/>
  <c r="C12410" i="1"/>
  <c r="C12409" i="1"/>
  <c r="C12408" i="1"/>
  <c r="C12407" i="1"/>
  <c r="C12406" i="1"/>
  <c r="C12405" i="1"/>
  <c r="C12404" i="1"/>
  <c r="C12403" i="1"/>
  <c r="C12402" i="1"/>
  <c r="C12401" i="1"/>
  <c r="C12400" i="1"/>
  <c r="C12399" i="1"/>
  <c r="C12398" i="1"/>
  <c r="C12397" i="1"/>
  <c r="C12396" i="1"/>
  <c r="C12395" i="1"/>
  <c r="C12394" i="1"/>
  <c r="C12393" i="1"/>
  <c r="C12392" i="1"/>
  <c r="C12391" i="1"/>
  <c r="C12390" i="1"/>
  <c r="C12389" i="1"/>
  <c r="C12388" i="1"/>
  <c r="C12387" i="1"/>
  <c r="C12386" i="1"/>
  <c r="C12385" i="1"/>
  <c r="C12384" i="1"/>
  <c r="C12383" i="1"/>
  <c r="C12382" i="1"/>
  <c r="C12381" i="1"/>
  <c r="C12380" i="1"/>
  <c r="C12379" i="1"/>
  <c r="C12378" i="1"/>
  <c r="C12377" i="1"/>
  <c r="C12376" i="1"/>
  <c r="C12375" i="1"/>
  <c r="C12374" i="1"/>
  <c r="C12373" i="1"/>
  <c r="C12372" i="1"/>
  <c r="C12371" i="1"/>
  <c r="C12370" i="1"/>
  <c r="C12369" i="1"/>
  <c r="C12368" i="1"/>
  <c r="C12367" i="1"/>
  <c r="C12366" i="1"/>
  <c r="C12365" i="1"/>
  <c r="C12364" i="1"/>
  <c r="C12363" i="1"/>
  <c r="C12362" i="1"/>
  <c r="C12361" i="1"/>
  <c r="C12360" i="1"/>
  <c r="C12359" i="1"/>
  <c r="C12358" i="1"/>
  <c r="C12357" i="1"/>
  <c r="C12356" i="1"/>
  <c r="C12355" i="1"/>
  <c r="C12354" i="1"/>
  <c r="C12353" i="1"/>
  <c r="C12352" i="1"/>
  <c r="C12351" i="1"/>
  <c r="C12350" i="1"/>
  <c r="C12349" i="1"/>
  <c r="C12348" i="1"/>
  <c r="C12347" i="1"/>
  <c r="C12346" i="1"/>
  <c r="C12345" i="1"/>
  <c r="C12344" i="1"/>
  <c r="C12343" i="1"/>
  <c r="C12342" i="1"/>
  <c r="C12341" i="1"/>
  <c r="C12340" i="1"/>
  <c r="C12339" i="1"/>
  <c r="C12338" i="1"/>
  <c r="C12337" i="1"/>
  <c r="C12336" i="1"/>
  <c r="C12335" i="1"/>
  <c r="C12334" i="1"/>
  <c r="C12333" i="1"/>
  <c r="C12332" i="1"/>
  <c r="C12331" i="1"/>
  <c r="C12330" i="1"/>
  <c r="C12329" i="1"/>
  <c r="C12328" i="1"/>
  <c r="C12327" i="1"/>
  <c r="C12326" i="1"/>
  <c r="C12325" i="1"/>
  <c r="C12324" i="1"/>
  <c r="C12323" i="1"/>
  <c r="C12322" i="1"/>
  <c r="C12321" i="1"/>
  <c r="C12320" i="1"/>
  <c r="C12319" i="1"/>
  <c r="C12318" i="1"/>
  <c r="C12317" i="1"/>
  <c r="C12316" i="1"/>
  <c r="C12315" i="1"/>
  <c r="C12314" i="1"/>
  <c r="C12313" i="1"/>
  <c r="C12312" i="1"/>
  <c r="C12311" i="1"/>
  <c r="C12310" i="1"/>
  <c r="C12309" i="1"/>
  <c r="C12308" i="1"/>
  <c r="C12307" i="1"/>
  <c r="C12306" i="1"/>
  <c r="C12305" i="1"/>
  <c r="C12304" i="1"/>
  <c r="C12303" i="1"/>
  <c r="C12302" i="1"/>
  <c r="C12301" i="1"/>
  <c r="C12300" i="1"/>
  <c r="C12299" i="1"/>
  <c r="C12298" i="1"/>
  <c r="C12297" i="1"/>
  <c r="C12296" i="1"/>
  <c r="C12295" i="1"/>
  <c r="C12294" i="1"/>
  <c r="C12293" i="1"/>
  <c r="C12292" i="1"/>
  <c r="C12291" i="1"/>
  <c r="C12290" i="1"/>
  <c r="C12289" i="1"/>
  <c r="C12288" i="1"/>
  <c r="C12287" i="1"/>
  <c r="C12286" i="1"/>
  <c r="C12285" i="1"/>
  <c r="C12284" i="1"/>
  <c r="C12283" i="1"/>
  <c r="C12282" i="1"/>
  <c r="C12281" i="1"/>
  <c r="C12280" i="1"/>
  <c r="C12279" i="1"/>
  <c r="C12278" i="1"/>
  <c r="C12277" i="1"/>
  <c r="C12276" i="1"/>
  <c r="C12275" i="1"/>
  <c r="C12274" i="1"/>
  <c r="C12273" i="1"/>
  <c r="C12272" i="1"/>
  <c r="C12271" i="1"/>
  <c r="C12270" i="1"/>
  <c r="C12269" i="1"/>
  <c r="C12268" i="1"/>
  <c r="C12267" i="1"/>
  <c r="C12266" i="1"/>
  <c r="C12265" i="1"/>
  <c r="C12264" i="1"/>
  <c r="C12263" i="1"/>
  <c r="C12262" i="1"/>
  <c r="C12261" i="1"/>
  <c r="C12260" i="1"/>
  <c r="C12259" i="1"/>
  <c r="C12258" i="1"/>
  <c r="C12257" i="1"/>
  <c r="C12256" i="1"/>
  <c r="C12255" i="1"/>
  <c r="C12254" i="1"/>
  <c r="C12253" i="1"/>
  <c r="C12252" i="1"/>
  <c r="C12251" i="1"/>
  <c r="C12250" i="1"/>
  <c r="C12249" i="1"/>
  <c r="C12248" i="1"/>
  <c r="C12247" i="1"/>
  <c r="C12246" i="1"/>
  <c r="C12245" i="1"/>
  <c r="C12244" i="1"/>
  <c r="C12243" i="1"/>
  <c r="C12242" i="1"/>
  <c r="C12241" i="1"/>
  <c r="C12240" i="1"/>
  <c r="C12239" i="1"/>
  <c r="C12238" i="1"/>
  <c r="C12237" i="1"/>
  <c r="C12236" i="1"/>
  <c r="C12235" i="1"/>
  <c r="C12234" i="1"/>
  <c r="C12233" i="1"/>
  <c r="C12232" i="1"/>
  <c r="C12231" i="1"/>
  <c r="C12230" i="1"/>
  <c r="C12229" i="1"/>
  <c r="C12228" i="1"/>
  <c r="C12227" i="1"/>
  <c r="C12226" i="1"/>
  <c r="C12225" i="1"/>
  <c r="C12224" i="1"/>
  <c r="C12223" i="1"/>
  <c r="C12222" i="1"/>
  <c r="C12221" i="1"/>
  <c r="C12220" i="1"/>
  <c r="C12219" i="1"/>
  <c r="C12218" i="1"/>
  <c r="C12217" i="1"/>
  <c r="C12216" i="1"/>
  <c r="C12215" i="1"/>
  <c r="C12214" i="1"/>
  <c r="C12213" i="1"/>
  <c r="C12212" i="1"/>
  <c r="C12211" i="1"/>
  <c r="C12210" i="1"/>
  <c r="C12209" i="1"/>
  <c r="C12208" i="1"/>
  <c r="C12207" i="1"/>
  <c r="C12206" i="1"/>
  <c r="C12205" i="1"/>
  <c r="C12204" i="1"/>
  <c r="C12203" i="1"/>
  <c r="C12202" i="1"/>
  <c r="C12201" i="1"/>
  <c r="C12200" i="1"/>
  <c r="C12199" i="1"/>
  <c r="C12198" i="1"/>
  <c r="C12197" i="1"/>
  <c r="C12196" i="1"/>
  <c r="C12195" i="1"/>
  <c r="C12194" i="1"/>
  <c r="C12193" i="1"/>
  <c r="C12192" i="1"/>
  <c r="C12191" i="1"/>
  <c r="C12190" i="1"/>
  <c r="C12189" i="1"/>
  <c r="C12188" i="1"/>
  <c r="C12187" i="1"/>
  <c r="C12186" i="1"/>
  <c r="C12185" i="1"/>
  <c r="C12184" i="1"/>
  <c r="C12183" i="1"/>
  <c r="C12182" i="1"/>
  <c r="C12181" i="1"/>
  <c r="C12180" i="1"/>
  <c r="C12179" i="1"/>
  <c r="C12178" i="1"/>
  <c r="C12177" i="1"/>
  <c r="C12176" i="1"/>
  <c r="C12175" i="1"/>
  <c r="C12174" i="1"/>
  <c r="C12173" i="1"/>
  <c r="C12172" i="1"/>
  <c r="C12171" i="1"/>
  <c r="C12170" i="1"/>
  <c r="C12169" i="1"/>
  <c r="C12168" i="1"/>
  <c r="C12167" i="1"/>
  <c r="C12166" i="1"/>
  <c r="C12165" i="1"/>
  <c r="C12164" i="1"/>
  <c r="C12163" i="1"/>
  <c r="C12162" i="1"/>
  <c r="C12161" i="1"/>
  <c r="C12160" i="1"/>
  <c r="C12159" i="1"/>
  <c r="C12158" i="1"/>
  <c r="C12157" i="1"/>
  <c r="C12156" i="1"/>
  <c r="C12155" i="1"/>
  <c r="C12154" i="1"/>
  <c r="C12153" i="1"/>
  <c r="C12152" i="1"/>
  <c r="C12151" i="1"/>
  <c r="C12150" i="1"/>
  <c r="C12149" i="1"/>
  <c r="C12148" i="1"/>
  <c r="C12147" i="1"/>
  <c r="C12146" i="1"/>
  <c r="C12145" i="1"/>
  <c r="C12144" i="1"/>
  <c r="C12143" i="1"/>
  <c r="C12142" i="1"/>
  <c r="C12141" i="1"/>
  <c r="C12140" i="1"/>
  <c r="C12139" i="1"/>
  <c r="C12138" i="1"/>
  <c r="C12137" i="1"/>
  <c r="C12136" i="1"/>
  <c r="C12135" i="1"/>
  <c r="C12134" i="1"/>
  <c r="C12133" i="1"/>
  <c r="C12132" i="1"/>
  <c r="C12131" i="1"/>
  <c r="C12130" i="1"/>
  <c r="C12129" i="1"/>
  <c r="C12128" i="1"/>
  <c r="C12127" i="1"/>
  <c r="C12126" i="1"/>
  <c r="C12125" i="1"/>
  <c r="C12124" i="1"/>
  <c r="C12123" i="1"/>
  <c r="C12122" i="1"/>
  <c r="C12121" i="1"/>
  <c r="C12120" i="1"/>
  <c r="C12119" i="1"/>
  <c r="C12118" i="1"/>
  <c r="C12117" i="1"/>
  <c r="C12116" i="1"/>
  <c r="C12115" i="1"/>
  <c r="C12114" i="1"/>
  <c r="C12113" i="1"/>
  <c r="C12112" i="1"/>
  <c r="C12111" i="1"/>
  <c r="C12110" i="1"/>
  <c r="C12109" i="1"/>
  <c r="C12108" i="1"/>
  <c r="C12107" i="1"/>
  <c r="C12106" i="1"/>
  <c r="C12105" i="1"/>
  <c r="C12104" i="1"/>
  <c r="C12103" i="1"/>
  <c r="C12102" i="1"/>
  <c r="C12101" i="1"/>
  <c r="C12100" i="1"/>
  <c r="C12099" i="1"/>
  <c r="C12098" i="1"/>
  <c r="C12097" i="1"/>
  <c r="C12096" i="1"/>
  <c r="C12095" i="1"/>
  <c r="C12094" i="1"/>
  <c r="C12093" i="1"/>
  <c r="C12092" i="1"/>
  <c r="C12091" i="1"/>
  <c r="C12090" i="1"/>
  <c r="C12089" i="1"/>
  <c r="C12088" i="1"/>
  <c r="C12087" i="1"/>
  <c r="C12086" i="1"/>
  <c r="C12085" i="1"/>
  <c r="C12084" i="1"/>
  <c r="C12083" i="1"/>
  <c r="C12082" i="1"/>
  <c r="C12081" i="1"/>
  <c r="C12080" i="1"/>
  <c r="C12079" i="1"/>
  <c r="C12078" i="1"/>
  <c r="C12077" i="1"/>
  <c r="C12076" i="1"/>
  <c r="C12075" i="1"/>
  <c r="C12074" i="1"/>
  <c r="C12073" i="1"/>
  <c r="C12072" i="1"/>
  <c r="C12071" i="1"/>
  <c r="C12070" i="1"/>
  <c r="C12069" i="1"/>
  <c r="C12068" i="1"/>
  <c r="C12067" i="1"/>
  <c r="C12066" i="1"/>
  <c r="C12065" i="1"/>
  <c r="C12064" i="1"/>
  <c r="C12063" i="1"/>
  <c r="C12062" i="1"/>
  <c r="C12061" i="1"/>
  <c r="C12060" i="1"/>
  <c r="C12059" i="1"/>
  <c r="C12058" i="1"/>
  <c r="C12057" i="1"/>
  <c r="C12056" i="1"/>
  <c r="C12055" i="1"/>
  <c r="C12054" i="1"/>
  <c r="C12053" i="1"/>
  <c r="C12052" i="1"/>
  <c r="C12051" i="1"/>
  <c r="C12050" i="1"/>
  <c r="C12049" i="1"/>
  <c r="C12048" i="1"/>
  <c r="C12047" i="1"/>
  <c r="C12046" i="1"/>
  <c r="C12045" i="1"/>
  <c r="C12044" i="1"/>
  <c r="C12043" i="1"/>
  <c r="C12042" i="1"/>
  <c r="C12041" i="1"/>
  <c r="C12040" i="1"/>
  <c r="C12039" i="1"/>
  <c r="C12038" i="1"/>
  <c r="C12037" i="1"/>
  <c r="C12036" i="1"/>
  <c r="C12035" i="1"/>
  <c r="C12034" i="1"/>
  <c r="C12033" i="1"/>
  <c r="C12032" i="1"/>
  <c r="C12031" i="1"/>
  <c r="C12030" i="1"/>
  <c r="C12029" i="1"/>
  <c r="C12028" i="1"/>
  <c r="C12027" i="1"/>
  <c r="C12026" i="1"/>
  <c r="C12025" i="1"/>
  <c r="C12024" i="1"/>
  <c r="C12023" i="1"/>
  <c r="C12022" i="1"/>
  <c r="C12021" i="1"/>
  <c r="C12020" i="1"/>
  <c r="C12019" i="1"/>
  <c r="C12018" i="1"/>
  <c r="C12017" i="1"/>
  <c r="C12016" i="1"/>
  <c r="C12015" i="1"/>
  <c r="C12014" i="1"/>
  <c r="C12013" i="1"/>
  <c r="C12012" i="1"/>
  <c r="C12011" i="1"/>
  <c r="C12010" i="1"/>
  <c r="C12009" i="1"/>
  <c r="C12008" i="1"/>
  <c r="C12007" i="1"/>
  <c r="C12006" i="1"/>
  <c r="C12005" i="1"/>
  <c r="C12004" i="1"/>
  <c r="C12003" i="1"/>
  <c r="C12002" i="1"/>
  <c r="C12001" i="1"/>
  <c r="C12000" i="1"/>
  <c r="C11999" i="1"/>
  <c r="C11998" i="1"/>
  <c r="C11997" i="1"/>
  <c r="C11996" i="1"/>
  <c r="C11995" i="1"/>
  <c r="C11994" i="1"/>
  <c r="C11993" i="1"/>
  <c r="C11992" i="1"/>
  <c r="C11991" i="1"/>
  <c r="C11990" i="1"/>
  <c r="C11989" i="1"/>
  <c r="C11988" i="1"/>
  <c r="C11987" i="1"/>
  <c r="C11986" i="1"/>
  <c r="C11985" i="1"/>
  <c r="C11984" i="1"/>
  <c r="C11983" i="1"/>
  <c r="C11982" i="1"/>
  <c r="C11981" i="1"/>
  <c r="C11980" i="1"/>
  <c r="C11979" i="1"/>
  <c r="C11978" i="1"/>
  <c r="C11977" i="1"/>
  <c r="C11976" i="1"/>
  <c r="C11975" i="1"/>
  <c r="C11974" i="1"/>
  <c r="C11973" i="1"/>
  <c r="C11972" i="1"/>
  <c r="C11971" i="1"/>
  <c r="C11970" i="1"/>
  <c r="C11969" i="1"/>
  <c r="C11968" i="1"/>
  <c r="C11967" i="1"/>
  <c r="C11966" i="1"/>
  <c r="C11965" i="1"/>
  <c r="C11964" i="1"/>
  <c r="C11963" i="1"/>
  <c r="C11962" i="1"/>
  <c r="C11961" i="1"/>
  <c r="C11960" i="1"/>
  <c r="C11959" i="1"/>
  <c r="C11958" i="1"/>
  <c r="C11957" i="1"/>
  <c r="C11956" i="1"/>
  <c r="C11955" i="1"/>
  <c r="C11954" i="1"/>
  <c r="C11953" i="1"/>
  <c r="C11952" i="1"/>
  <c r="C11951" i="1"/>
  <c r="C11950" i="1"/>
  <c r="C11949" i="1"/>
  <c r="C11948" i="1"/>
  <c r="C11947" i="1"/>
  <c r="C11946" i="1"/>
  <c r="C11945" i="1"/>
  <c r="C11944" i="1"/>
  <c r="C11943" i="1"/>
  <c r="C11942" i="1"/>
  <c r="C11941" i="1"/>
  <c r="C11940" i="1"/>
  <c r="C11939" i="1"/>
  <c r="C11938" i="1"/>
  <c r="C11937" i="1"/>
  <c r="C11936" i="1"/>
  <c r="C11935" i="1"/>
  <c r="C11934" i="1"/>
  <c r="C11933" i="1"/>
  <c r="C11932" i="1"/>
  <c r="C11931" i="1"/>
  <c r="C11930" i="1"/>
  <c r="C11929" i="1"/>
  <c r="C11928" i="1"/>
  <c r="C11927" i="1"/>
  <c r="C11926" i="1"/>
  <c r="C11925" i="1"/>
  <c r="C11924" i="1"/>
  <c r="C11923" i="1"/>
  <c r="C11922" i="1"/>
  <c r="C11921" i="1"/>
  <c r="C11920" i="1"/>
  <c r="C11919" i="1"/>
  <c r="C11918" i="1"/>
  <c r="C11917" i="1"/>
  <c r="C11916" i="1"/>
  <c r="C11915" i="1"/>
  <c r="C11914" i="1"/>
  <c r="C11913" i="1"/>
  <c r="C11912" i="1"/>
  <c r="C11911" i="1"/>
  <c r="C11910" i="1"/>
  <c r="C11909" i="1"/>
  <c r="C11908" i="1"/>
  <c r="C11907" i="1"/>
  <c r="C11906" i="1"/>
  <c r="C11905" i="1"/>
  <c r="C11904" i="1"/>
  <c r="C11903" i="1"/>
  <c r="C11902" i="1"/>
  <c r="C11901" i="1"/>
  <c r="C11900" i="1"/>
  <c r="C11899" i="1"/>
  <c r="C11898" i="1"/>
  <c r="C11897" i="1"/>
  <c r="C11896" i="1"/>
  <c r="C11895" i="1"/>
  <c r="C11894" i="1"/>
  <c r="C11893" i="1"/>
  <c r="C11892" i="1"/>
  <c r="C11891" i="1"/>
  <c r="C11890" i="1"/>
  <c r="C11889" i="1"/>
  <c r="C11888" i="1"/>
  <c r="C11887" i="1"/>
  <c r="C11886" i="1"/>
  <c r="C11885" i="1"/>
  <c r="C11884" i="1"/>
  <c r="C11883" i="1"/>
  <c r="C11882" i="1"/>
  <c r="C11881" i="1"/>
  <c r="C11880" i="1"/>
  <c r="C11879" i="1"/>
  <c r="C11878" i="1"/>
  <c r="C11877" i="1"/>
  <c r="C11876" i="1"/>
  <c r="C11875" i="1"/>
  <c r="C11874" i="1"/>
  <c r="C11873" i="1"/>
  <c r="C11872" i="1"/>
  <c r="C11871" i="1"/>
  <c r="C11870" i="1"/>
  <c r="C11869" i="1"/>
  <c r="C11868" i="1"/>
  <c r="C11867" i="1"/>
  <c r="C11866" i="1"/>
  <c r="C11865" i="1"/>
  <c r="C11864" i="1"/>
  <c r="C11863" i="1"/>
  <c r="C11862" i="1"/>
  <c r="C11861" i="1"/>
  <c r="C11860" i="1"/>
  <c r="C11859" i="1"/>
  <c r="C11858" i="1"/>
  <c r="C11857" i="1"/>
  <c r="C11856" i="1"/>
  <c r="C11855" i="1"/>
  <c r="C11854" i="1"/>
  <c r="C11853" i="1"/>
  <c r="C11852" i="1"/>
  <c r="C11851" i="1"/>
  <c r="C11850" i="1"/>
  <c r="C11849" i="1"/>
  <c r="C11848" i="1"/>
  <c r="C11847" i="1"/>
  <c r="C11846" i="1"/>
  <c r="C11845" i="1"/>
  <c r="C11844" i="1"/>
  <c r="C11843" i="1"/>
  <c r="C11842" i="1"/>
  <c r="C11841" i="1"/>
  <c r="C11840" i="1"/>
  <c r="C11839" i="1"/>
  <c r="C11838" i="1"/>
  <c r="C11837" i="1"/>
  <c r="C11836" i="1"/>
  <c r="C11835" i="1"/>
  <c r="C11834" i="1"/>
  <c r="C11833" i="1"/>
  <c r="C11832" i="1"/>
  <c r="C11831" i="1"/>
  <c r="C11830" i="1"/>
  <c r="C11829" i="1"/>
  <c r="C11828" i="1"/>
  <c r="C11827" i="1"/>
  <c r="C11826" i="1"/>
  <c r="C11825" i="1"/>
  <c r="C11824" i="1"/>
  <c r="C11823" i="1"/>
  <c r="C11822" i="1"/>
  <c r="C11821" i="1"/>
  <c r="C11820" i="1"/>
  <c r="C11819" i="1"/>
  <c r="C11818" i="1"/>
  <c r="C11817" i="1"/>
  <c r="C11816" i="1"/>
  <c r="C11815" i="1"/>
  <c r="C11814" i="1"/>
  <c r="C11813" i="1"/>
  <c r="C11812" i="1"/>
  <c r="C11811" i="1"/>
  <c r="C11810" i="1"/>
  <c r="C11809" i="1"/>
  <c r="C11808" i="1"/>
  <c r="C11807" i="1"/>
  <c r="C11806" i="1"/>
  <c r="C11805" i="1"/>
  <c r="C11804" i="1"/>
  <c r="C11803" i="1"/>
  <c r="C11802" i="1"/>
  <c r="C11801" i="1"/>
  <c r="C11800" i="1"/>
  <c r="C11799" i="1"/>
  <c r="C11798" i="1"/>
  <c r="C11797" i="1"/>
  <c r="C11796" i="1"/>
  <c r="C11795" i="1"/>
  <c r="C11794" i="1"/>
  <c r="C11793" i="1"/>
  <c r="C11792" i="1"/>
  <c r="C11791" i="1"/>
  <c r="C11790" i="1"/>
  <c r="C11789" i="1"/>
  <c r="C11788" i="1"/>
  <c r="C11787" i="1"/>
  <c r="C11786" i="1"/>
  <c r="C11785" i="1"/>
  <c r="C11784" i="1"/>
  <c r="C11783" i="1"/>
  <c r="C11782" i="1"/>
  <c r="C11781" i="1"/>
  <c r="C11780" i="1"/>
  <c r="C11779" i="1"/>
  <c r="C11778" i="1"/>
  <c r="C11777" i="1"/>
  <c r="C11776" i="1"/>
  <c r="C11775" i="1"/>
  <c r="C11774" i="1"/>
  <c r="C11773" i="1"/>
  <c r="C11772" i="1"/>
  <c r="C11771" i="1"/>
  <c r="C11770" i="1"/>
  <c r="C11769" i="1"/>
  <c r="C11768" i="1"/>
  <c r="C11767" i="1"/>
  <c r="C11766" i="1"/>
  <c r="C11765" i="1"/>
  <c r="C11764" i="1"/>
  <c r="C11763" i="1"/>
  <c r="C11762" i="1"/>
  <c r="C11761" i="1"/>
  <c r="C11760" i="1"/>
  <c r="C11759" i="1"/>
  <c r="C11758" i="1"/>
  <c r="C11757" i="1"/>
  <c r="C11756" i="1"/>
  <c r="C11755" i="1"/>
  <c r="C11754" i="1"/>
  <c r="C11753" i="1"/>
  <c r="C11752" i="1"/>
  <c r="C11751" i="1"/>
  <c r="C11750" i="1"/>
  <c r="C11749" i="1"/>
  <c r="C11748" i="1"/>
  <c r="C11747" i="1"/>
  <c r="C11746" i="1"/>
  <c r="C11745" i="1"/>
  <c r="C11744" i="1"/>
  <c r="C11743" i="1"/>
  <c r="C11742" i="1"/>
  <c r="C11741" i="1"/>
  <c r="C11740" i="1"/>
  <c r="C11739" i="1"/>
  <c r="C11738" i="1"/>
  <c r="C11737" i="1"/>
  <c r="C11736" i="1"/>
  <c r="C11735" i="1"/>
  <c r="C11734" i="1"/>
  <c r="C11733" i="1"/>
  <c r="C11732" i="1"/>
  <c r="C11731" i="1"/>
  <c r="C11730" i="1"/>
  <c r="C11729" i="1"/>
  <c r="C11728" i="1"/>
  <c r="C11727" i="1"/>
  <c r="C11726" i="1"/>
  <c r="C11725" i="1"/>
  <c r="C11724" i="1"/>
  <c r="C11723" i="1"/>
  <c r="C11722" i="1"/>
  <c r="C11721" i="1"/>
  <c r="C11720" i="1"/>
  <c r="C11719" i="1"/>
  <c r="C11718" i="1"/>
  <c r="C11717" i="1"/>
  <c r="C11716" i="1"/>
  <c r="C11715" i="1"/>
  <c r="C11714" i="1"/>
  <c r="C11713" i="1"/>
  <c r="C11712" i="1"/>
  <c r="C11711" i="1"/>
  <c r="C11710" i="1"/>
  <c r="C11709" i="1"/>
  <c r="C11708" i="1"/>
  <c r="C11707" i="1"/>
  <c r="C11706" i="1"/>
  <c r="C11705" i="1"/>
  <c r="C11704" i="1"/>
  <c r="C11703" i="1"/>
  <c r="C11702" i="1"/>
  <c r="C11701" i="1"/>
  <c r="C11700" i="1"/>
  <c r="C11699" i="1"/>
  <c r="C11698" i="1"/>
  <c r="C11697" i="1"/>
  <c r="C11696" i="1"/>
  <c r="C11695" i="1"/>
  <c r="C11694" i="1"/>
  <c r="C11693" i="1"/>
  <c r="C11692" i="1"/>
  <c r="C11691" i="1"/>
  <c r="C11690" i="1"/>
  <c r="C11689" i="1"/>
  <c r="C11688" i="1"/>
  <c r="C11687" i="1"/>
  <c r="C11686" i="1"/>
  <c r="C11685" i="1"/>
  <c r="C11684" i="1"/>
  <c r="C11683" i="1"/>
  <c r="C11682" i="1"/>
  <c r="C11681" i="1"/>
  <c r="C11680" i="1"/>
  <c r="C11679" i="1"/>
  <c r="C11678" i="1"/>
  <c r="C11677" i="1"/>
  <c r="C11676" i="1"/>
  <c r="C11675" i="1"/>
  <c r="C11674" i="1"/>
  <c r="C11673" i="1"/>
  <c r="C11672" i="1"/>
  <c r="C11671" i="1"/>
  <c r="C11670" i="1"/>
  <c r="C11669" i="1"/>
  <c r="C11668" i="1"/>
  <c r="C11667" i="1"/>
  <c r="C11666" i="1"/>
  <c r="C11665" i="1"/>
  <c r="C11664" i="1"/>
  <c r="C11663" i="1"/>
  <c r="C11662" i="1"/>
  <c r="C11661" i="1"/>
  <c r="C11660" i="1"/>
  <c r="C11659" i="1"/>
  <c r="C11658" i="1"/>
  <c r="C11657" i="1"/>
  <c r="C11656" i="1"/>
  <c r="C11655" i="1"/>
  <c r="C11654" i="1"/>
  <c r="C11653" i="1"/>
  <c r="C11652" i="1"/>
  <c r="C11651" i="1"/>
  <c r="C11650" i="1"/>
  <c r="C11649" i="1"/>
  <c r="C11648" i="1"/>
  <c r="C11647" i="1"/>
  <c r="C11646" i="1"/>
  <c r="C11645" i="1"/>
  <c r="C11644" i="1"/>
  <c r="C11643" i="1"/>
  <c r="C11642" i="1"/>
  <c r="C11641" i="1"/>
  <c r="C11640" i="1"/>
  <c r="C11639" i="1"/>
  <c r="C11638" i="1"/>
  <c r="C11637" i="1"/>
  <c r="C11636" i="1"/>
  <c r="C11635" i="1"/>
  <c r="C11634" i="1"/>
  <c r="C11633" i="1"/>
  <c r="C11632" i="1"/>
  <c r="C11631" i="1"/>
  <c r="C11630" i="1"/>
  <c r="C11629" i="1"/>
  <c r="C11628" i="1"/>
  <c r="C11627" i="1"/>
  <c r="C11626" i="1"/>
  <c r="C11625" i="1"/>
  <c r="C11624" i="1"/>
  <c r="C11623" i="1"/>
  <c r="C11622" i="1"/>
  <c r="C11621" i="1"/>
  <c r="C11620" i="1"/>
  <c r="C11619" i="1"/>
  <c r="C11618" i="1"/>
  <c r="C11617" i="1"/>
  <c r="C11616" i="1"/>
  <c r="C11615" i="1"/>
  <c r="C11614" i="1"/>
  <c r="C11613" i="1"/>
  <c r="C11612" i="1"/>
  <c r="C11611" i="1"/>
  <c r="C11610" i="1"/>
  <c r="C11609" i="1"/>
  <c r="C11608" i="1"/>
  <c r="C11607" i="1"/>
  <c r="C11606" i="1"/>
  <c r="C11605" i="1"/>
  <c r="C11604" i="1"/>
  <c r="C11603" i="1"/>
  <c r="C11602" i="1"/>
  <c r="C11601" i="1"/>
  <c r="C11600" i="1"/>
  <c r="C11599" i="1"/>
  <c r="C11598" i="1"/>
  <c r="C11597" i="1"/>
  <c r="C11596" i="1"/>
  <c r="C11595" i="1"/>
  <c r="C11594" i="1"/>
  <c r="C11593" i="1"/>
  <c r="C11592" i="1"/>
  <c r="C11591" i="1"/>
  <c r="C11590" i="1"/>
  <c r="C11589" i="1"/>
  <c r="C11588" i="1"/>
  <c r="C11587" i="1"/>
  <c r="C11586" i="1"/>
  <c r="C11585" i="1"/>
  <c r="C11584" i="1"/>
  <c r="C11583" i="1"/>
  <c r="C11582" i="1"/>
  <c r="C11581" i="1"/>
  <c r="C11580" i="1"/>
  <c r="C11579" i="1"/>
  <c r="C11578" i="1"/>
  <c r="C11577" i="1"/>
  <c r="C11576" i="1"/>
  <c r="C11575" i="1"/>
  <c r="C11574" i="1"/>
  <c r="C11573" i="1"/>
  <c r="C11572" i="1"/>
  <c r="C11571" i="1"/>
  <c r="C11570" i="1"/>
  <c r="C11569" i="1"/>
  <c r="C11568" i="1"/>
  <c r="C11567" i="1"/>
  <c r="C11566" i="1"/>
  <c r="C11565" i="1"/>
  <c r="C11564" i="1"/>
  <c r="C11563" i="1"/>
  <c r="C11562" i="1"/>
  <c r="C11561" i="1"/>
  <c r="C11560" i="1"/>
  <c r="C11559" i="1"/>
  <c r="C11558" i="1"/>
  <c r="C11557" i="1"/>
  <c r="C11556" i="1"/>
  <c r="C11555" i="1"/>
  <c r="C11554" i="1"/>
  <c r="C11553" i="1"/>
  <c r="C11552" i="1"/>
  <c r="C11551" i="1"/>
  <c r="C11550" i="1"/>
  <c r="C11549" i="1"/>
  <c r="C11548" i="1"/>
  <c r="C11547" i="1"/>
  <c r="C11546" i="1"/>
  <c r="C11545" i="1"/>
  <c r="C11544" i="1"/>
  <c r="C11543" i="1"/>
  <c r="C11542" i="1"/>
  <c r="C11541" i="1"/>
  <c r="C11540" i="1"/>
  <c r="C11539" i="1"/>
  <c r="C11538" i="1"/>
  <c r="C11537" i="1"/>
  <c r="C11536" i="1"/>
  <c r="C11535" i="1"/>
  <c r="C11534" i="1"/>
  <c r="C11533" i="1"/>
  <c r="C11532" i="1"/>
  <c r="C11531" i="1"/>
  <c r="C11530" i="1"/>
  <c r="C11529" i="1"/>
  <c r="C11528" i="1"/>
  <c r="C11527" i="1"/>
  <c r="C11526" i="1"/>
  <c r="C11525" i="1"/>
  <c r="C11524" i="1"/>
  <c r="C11523" i="1"/>
  <c r="C11522" i="1"/>
  <c r="C11521" i="1"/>
  <c r="C11520" i="1"/>
  <c r="C11519" i="1"/>
  <c r="C11518" i="1"/>
  <c r="C11517" i="1"/>
  <c r="C11516" i="1"/>
  <c r="C11515" i="1"/>
  <c r="C11514" i="1"/>
  <c r="C11513" i="1"/>
  <c r="C11512" i="1"/>
  <c r="C11511" i="1"/>
  <c r="C11510" i="1"/>
  <c r="C11509" i="1"/>
  <c r="C11508" i="1"/>
  <c r="C11507" i="1"/>
  <c r="C11506" i="1"/>
  <c r="C11505" i="1"/>
  <c r="C11504" i="1"/>
  <c r="C11503" i="1"/>
  <c r="C11502" i="1"/>
  <c r="C11501" i="1"/>
  <c r="C11500" i="1"/>
  <c r="C11499" i="1"/>
  <c r="C11498" i="1"/>
  <c r="C11497" i="1"/>
  <c r="C11496" i="1"/>
  <c r="C11495" i="1"/>
  <c r="C11494" i="1"/>
  <c r="C11493" i="1"/>
  <c r="C11492" i="1"/>
  <c r="C11491" i="1"/>
  <c r="C11490" i="1"/>
  <c r="C11489" i="1"/>
  <c r="C11488" i="1"/>
  <c r="C11487" i="1"/>
  <c r="C11486" i="1"/>
  <c r="C11485" i="1"/>
  <c r="C11484" i="1"/>
  <c r="C11483" i="1"/>
  <c r="C11482" i="1"/>
  <c r="C11481" i="1"/>
  <c r="C11480" i="1"/>
  <c r="C11479" i="1"/>
  <c r="C11478" i="1"/>
  <c r="C11477" i="1"/>
  <c r="C11476" i="1"/>
  <c r="C11475" i="1"/>
  <c r="C11474" i="1"/>
  <c r="C11473" i="1"/>
  <c r="C11472" i="1"/>
  <c r="C11471" i="1"/>
  <c r="C11470" i="1"/>
  <c r="C11469" i="1"/>
  <c r="C11468" i="1"/>
  <c r="C11467" i="1"/>
  <c r="C11466" i="1"/>
  <c r="C11465" i="1"/>
  <c r="C11464" i="1"/>
  <c r="C11463" i="1"/>
  <c r="C11462" i="1"/>
  <c r="C11461" i="1"/>
  <c r="C11460" i="1"/>
  <c r="C11459" i="1"/>
  <c r="C11458" i="1"/>
  <c r="C11457" i="1"/>
  <c r="C11456" i="1"/>
  <c r="C11455" i="1"/>
  <c r="C11454" i="1"/>
  <c r="C11453" i="1"/>
  <c r="C11452" i="1"/>
  <c r="C11451" i="1"/>
  <c r="C11450" i="1"/>
  <c r="C11449" i="1"/>
  <c r="C11448" i="1"/>
  <c r="C11447" i="1"/>
  <c r="C11446" i="1"/>
  <c r="C11445" i="1"/>
  <c r="C11444" i="1"/>
  <c r="C11443" i="1"/>
  <c r="C11442" i="1"/>
  <c r="C11441" i="1"/>
  <c r="C11440" i="1"/>
  <c r="C11439" i="1"/>
  <c r="C11438" i="1"/>
  <c r="C11437" i="1"/>
  <c r="C11436" i="1"/>
  <c r="C11435" i="1"/>
  <c r="C11434" i="1"/>
  <c r="C11433" i="1"/>
  <c r="C11432" i="1"/>
  <c r="C11431" i="1"/>
  <c r="C11430" i="1"/>
  <c r="C11429" i="1"/>
  <c r="C11428" i="1"/>
  <c r="C11427" i="1"/>
  <c r="C11426" i="1"/>
  <c r="C11425" i="1"/>
  <c r="C11424" i="1"/>
  <c r="C11423" i="1"/>
  <c r="C11422" i="1"/>
  <c r="C11421" i="1"/>
  <c r="C11420" i="1"/>
  <c r="C11419" i="1"/>
  <c r="C11418" i="1"/>
  <c r="C11417" i="1"/>
  <c r="C11416" i="1"/>
  <c r="C11415" i="1"/>
  <c r="C11414" i="1"/>
  <c r="C11413" i="1"/>
  <c r="C11412" i="1"/>
  <c r="C11411" i="1"/>
  <c r="C11410" i="1"/>
  <c r="C11409" i="1"/>
  <c r="C11408" i="1"/>
  <c r="C11407" i="1"/>
  <c r="C11406" i="1"/>
  <c r="C11405" i="1"/>
  <c r="C11404" i="1"/>
  <c r="C11403" i="1"/>
  <c r="C11402" i="1"/>
  <c r="C11401" i="1"/>
  <c r="C11400" i="1"/>
  <c r="C11399" i="1"/>
  <c r="C11398" i="1"/>
  <c r="C11397" i="1"/>
  <c r="C11396" i="1"/>
  <c r="C11395" i="1"/>
  <c r="C11394" i="1"/>
  <c r="C11393" i="1"/>
  <c r="C11392" i="1"/>
  <c r="C11391" i="1"/>
  <c r="C11390" i="1"/>
  <c r="C11389" i="1"/>
  <c r="C11388" i="1"/>
  <c r="C11387" i="1"/>
  <c r="C11386" i="1"/>
  <c r="C11385" i="1"/>
  <c r="C11384" i="1"/>
  <c r="C11383" i="1"/>
  <c r="C11382" i="1"/>
  <c r="C11381" i="1"/>
  <c r="C11380" i="1"/>
  <c r="C11379" i="1"/>
  <c r="C11378" i="1"/>
  <c r="C11377" i="1"/>
  <c r="C11376" i="1"/>
  <c r="C11375" i="1"/>
  <c r="C11374" i="1"/>
  <c r="C11373" i="1"/>
  <c r="C11372" i="1"/>
  <c r="C11371" i="1"/>
  <c r="C11370" i="1"/>
  <c r="C11369" i="1"/>
  <c r="C11368" i="1"/>
  <c r="C11367" i="1"/>
  <c r="C11366" i="1"/>
  <c r="C11365" i="1"/>
  <c r="C11364" i="1"/>
  <c r="C11363" i="1"/>
  <c r="C11362" i="1"/>
  <c r="C11361" i="1"/>
  <c r="C11360" i="1"/>
  <c r="C11359" i="1"/>
  <c r="C11358" i="1"/>
  <c r="C11357" i="1"/>
  <c r="C11356" i="1"/>
  <c r="C11355" i="1"/>
  <c r="C11354" i="1"/>
  <c r="C11353" i="1"/>
  <c r="C11352" i="1"/>
  <c r="C11351" i="1"/>
  <c r="C11350" i="1"/>
  <c r="C11349" i="1"/>
  <c r="C11348" i="1"/>
  <c r="C11347" i="1"/>
  <c r="C11346" i="1"/>
  <c r="C11345" i="1"/>
  <c r="C11344" i="1"/>
  <c r="C11343" i="1"/>
  <c r="C11342" i="1"/>
  <c r="C11341" i="1"/>
  <c r="C11340" i="1"/>
  <c r="C11339" i="1"/>
  <c r="C11338" i="1"/>
  <c r="C11337" i="1"/>
  <c r="C11336" i="1"/>
  <c r="C11335" i="1"/>
  <c r="C11334" i="1"/>
  <c r="C11333" i="1"/>
  <c r="C11332" i="1"/>
  <c r="C11331" i="1"/>
  <c r="C11330" i="1"/>
  <c r="C11329" i="1"/>
  <c r="C11328" i="1"/>
  <c r="C11327" i="1"/>
  <c r="C11326" i="1"/>
  <c r="C11325" i="1"/>
  <c r="C11324" i="1"/>
  <c r="C11323" i="1"/>
  <c r="C11322" i="1"/>
  <c r="C11321" i="1"/>
  <c r="C11320" i="1"/>
  <c r="C11319" i="1"/>
  <c r="C11318" i="1"/>
  <c r="C11317" i="1"/>
  <c r="C11316" i="1"/>
  <c r="C11315" i="1"/>
  <c r="C11314" i="1"/>
  <c r="C11313" i="1"/>
  <c r="C11312" i="1"/>
  <c r="C11311" i="1"/>
  <c r="C11310" i="1"/>
  <c r="C11309" i="1"/>
  <c r="C11308" i="1"/>
  <c r="C11307" i="1"/>
  <c r="C11306" i="1"/>
  <c r="C11305" i="1"/>
  <c r="C11304" i="1"/>
  <c r="C11303" i="1"/>
  <c r="C11302" i="1"/>
  <c r="C11301" i="1"/>
  <c r="C11300" i="1"/>
  <c r="C11299" i="1"/>
  <c r="C11298" i="1"/>
  <c r="C11297" i="1"/>
  <c r="C11296" i="1"/>
  <c r="C11295" i="1"/>
  <c r="C11294" i="1"/>
  <c r="C11293" i="1"/>
  <c r="C11292" i="1"/>
  <c r="C11291" i="1"/>
  <c r="C11290" i="1"/>
  <c r="C11289" i="1"/>
  <c r="C11288" i="1"/>
  <c r="C11287" i="1"/>
  <c r="C11286" i="1"/>
  <c r="C11285" i="1"/>
  <c r="C11284" i="1"/>
  <c r="C11283" i="1"/>
  <c r="C11282" i="1"/>
  <c r="C11281" i="1"/>
  <c r="C11280" i="1"/>
  <c r="C11279" i="1"/>
  <c r="C11278" i="1"/>
  <c r="C11277" i="1"/>
  <c r="C11276" i="1"/>
  <c r="C11275" i="1"/>
  <c r="C11274" i="1"/>
  <c r="C11273" i="1"/>
  <c r="C11272" i="1"/>
  <c r="C11271" i="1"/>
  <c r="C11270" i="1"/>
  <c r="C11269" i="1"/>
  <c r="C11268" i="1"/>
  <c r="C11267" i="1"/>
  <c r="C11266" i="1"/>
  <c r="C11265" i="1"/>
  <c r="C11264" i="1"/>
  <c r="C11263" i="1"/>
  <c r="C11262" i="1"/>
  <c r="C11261" i="1"/>
  <c r="C11260" i="1"/>
  <c r="C11259" i="1"/>
  <c r="C11258" i="1"/>
  <c r="C11257" i="1"/>
  <c r="C11256" i="1"/>
  <c r="C11255" i="1"/>
  <c r="C11254" i="1"/>
  <c r="C11253" i="1"/>
  <c r="C11252" i="1"/>
  <c r="C11251" i="1"/>
  <c r="C11250" i="1"/>
  <c r="C11249" i="1"/>
  <c r="C11248" i="1"/>
  <c r="C11247" i="1"/>
  <c r="C11246" i="1"/>
  <c r="C11245" i="1"/>
  <c r="C11244" i="1"/>
  <c r="C11243" i="1"/>
  <c r="C11242" i="1"/>
  <c r="C11241" i="1"/>
  <c r="C11240" i="1"/>
  <c r="C11239" i="1"/>
  <c r="C11238" i="1"/>
  <c r="C11237" i="1"/>
  <c r="C11236" i="1"/>
  <c r="C11235" i="1"/>
  <c r="C11234" i="1"/>
  <c r="C11233" i="1"/>
  <c r="C11232" i="1"/>
  <c r="C11231" i="1"/>
  <c r="C11230" i="1"/>
  <c r="C11229" i="1"/>
  <c r="C11228" i="1"/>
  <c r="C11227" i="1"/>
  <c r="C11226" i="1"/>
  <c r="C11225" i="1"/>
  <c r="C11224" i="1"/>
  <c r="C11223" i="1"/>
  <c r="C11222" i="1"/>
  <c r="C11221" i="1"/>
  <c r="C11220" i="1"/>
  <c r="C11219" i="1"/>
  <c r="C11218" i="1"/>
  <c r="C11217" i="1"/>
  <c r="C11216" i="1"/>
  <c r="C11215" i="1"/>
  <c r="C11214" i="1"/>
  <c r="C11213" i="1"/>
  <c r="C11212" i="1"/>
  <c r="C11211" i="1"/>
  <c r="C11210" i="1"/>
  <c r="C11209" i="1"/>
  <c r="C11208" i="1"/>
  <c r="C11207" i="1"/>
  <c r="C11206" i="1"/>
  <c r="C11205" i="1"/>
  <c r="C11204" i="1"/>
  <c r="C11203" i="1"/>
  <c r="C11202" i="1"/>
  <c r="C11201" i="1"/>
  <c r="C11200" i="1"/>
  <c r="C11199" i="1"/>
  <c r="C11198" i="1"/>
  <c r="C11197" i="1"/>
  <c r="C11196" i="1"/>
  <c r="C11195" i="1"/>
  <c r="C11194" i="1"/>
  <c r="C11193" i="1"/>
  <c r="C11192" i="1"/>
  <c r="C11191" i="1"/>
  <c r="C11190" i="1"/>
  <c r="C11189" i="1"/>
  <c r="C11188" i="1"/>
  <c r="C11187" i="1"/>
  <c r="C11186" i="1"/>
  <c r="C11185" i="1"/>
  <c r="C11184" i="1"/>
  <c r="C11183" i="1"/>
  <c r="C11182" i="1"/>
  <c r="C11181" i="1"/>
  <c r="C11180" i="1"/>
  <c r="C11179" i="1"/>
  <c r="C11178" i="1"/>
  <c r="C11177" i="1"/>
  <c r="C11176" i="1"/>
  <c r="C11175" i="1"/>
  <c r="C11174" i="1"/>
  <c r="C11173" i="1"/>
  <c r="C11172" i="1"/>
  <c r="C11171" i="1"/>
  <c r="C11170" i="1"/>
  <c r="C11169" i="1"/>
  <c r="C11168" i="1"/>
  <c r="C11167" i="1"/>
  <c r="C11166" i="1"/>
  <c r="C11165" i="1"/>
  <c r="C11164" i="1"/>
  <c r="C11163" i="1"/>
  <c r="C11162" i="1"/>
  <c r="C11161" i="1"/>
  <c r="C11160" i="1"/>
  <c r="C11159" i="1"/>
  <c r="C11158" i="1"/>
  <c r="C11157" i="1"/>
  <c r="C11156" i="1"/>
  <c r="C11155" i="1"/>
  <c r="C11154" i="1"/>
  <c r="C11153" i="1"/>
  <c r="C11152" i="1"/>
  <c r="C11151" i="1"/>
  <c r="C11150" i="1"/>
  <c r="C11149" i="1"/>
  <c r="C11148" i="1"/>
  <c r="C11147" i="1"/>
  <c r="C11146" i="1"/>
  <c r="C11145" i="1"/>
  <c r="C11144" i="1"/>
  <c r="C11143" i="1"/>
  <c r="C11142" i="1"/>
  <c r="C11141" i="1"/>
  <c r="C11140" i="1"/>
  <c r="C11139" i="1"/>
  <c r="C11138" i="1"/>
  <c r="C11137" i="1"/>
  <c r="C11136" i="1"/>
  <c r="C11135" i="1"/>
  <c r="C11134" i="1"/>
  <c r="C11133" i="1"/>
  <c r="C11132" i="1"/>
  <c r="C11131" i="1"/>
  <c r="C11130" i="1"/>
  <c r="C11129" i="1"/>
  <c r="C11128" i="1"/>
  <c r="C11127" i="1"/>
  <c r="C11126" i="1"/>
  <c r="C11125" i="1"/>
  <c r="C11124" i="1"/>
  <c r="C11123" i="1"/>
  <c r="C11122" i="1"/>
  <c r="C11121" i="1"/>
  <c r="C11120" i="1"/>
  <c r="C11119" i="1"/>
  <c r="C11118" i="1"/>
  <c r="C11117" i="1"/>
  <c r="C11116" i="1"/>
  <c r="C11115" i="1"/>
  <c r="C11114" i="1"/>
  <c r="C11113" i="1"/>
  <c r="C11112" i="1"/>
  <c r="C11111" i="1"/>
  <c r="C11110" i="1"/>
  <c r="C11109" i="1"/>
  <c r="C11108" i="1"/>
  <c r="C11107" i="1"/>
  <c r="C11106" i="1"/>
  <c r="C11105" i="1"/>
  <c r="C11104" i="1"/>
  <c r="C11103" i="1"/>
  <c r="C11102" i="1"/>
  <c r="C11101" i="1"/>
  <c r="C11100" i="1"/>
  <c r="C11099" i="1"/>
  <c r="C11098" i="1"/>
  <c r="C11097" i="1"/>
  <c r="C11096" i="1"/>
  <c r="C11095" i="1"/>
  <c r="C11094" i="1"/>
  <c r="C11093" i="1"/>
  <c r="C11092" i="1"/>
  <c r="C11091" i="1"/>
  <c r="C11090" i="1"/>
  <c r="C11089" i="1"/>
  <c r="C11088" i="1"/>
  <c r="C11087" i="1"/>
  <c r="C11086" i="1"/>
  <c r="C11085" i="1"/>
  <c r="C11084" i="1"/>
  <c r="C11083" i="1"/>
  <c r="C11082" i="1"/>
  <c r="C11081" i="1"/>
  <c r="C11080" i="1"/>
  <c r="C11079" i="1"/>
  <c r="C11078" i="1"/>
  <c r="C11077" i="1"/>
  <c r="C11076" i="1"/>
  <c r="C11075" i="1"/>
  <c r="C11074" i="1"/>
  <c r="C11073" i="1"/>
  <c r="C11072" i="1"/>
  <c r="C11071" i="1"/>
  <c r="C11070" i="1"/>
  <c r="C11069" i="1"/>
  <c r="C11068" i="1"/>
  <c r="C11067" i="1"/>
  <c r="C11066" i="1"/>
  <c r="C11065" i="1"/>
  <c r="C11064" i="1"/>
  <c r="C11063" i="1"/>
  <c r="C11062" i="1"/>
  <c r="C11061" i="1"/>
  <c r="C11060" i="1"/>
  <c r="C11059" i="1"/>
  <c r="C11058" i="1"/>
  <c r="C11057" i="1"/>
  <c r="C11056" i="1"/>
  <c r="C11055" i="1"/>
  <c r="C11054" i="1"/>
  <c r="C11053" i="1"/>
  <c r="C11052" i="1"/>
  <c r="C11051" i="1"/>
  <c r="C11050" i="1"/>
  <c r="C11049" i="1"/>
  <c r="C11048" i="1"/>
  <c r="C11047" i="1"/>
  <c r="C11046" i="1"/>
  <c r="C11045" i="1"/>
  <c r="C11044" i="1"/>
  <c r="C11043" i="1"/>
  <c r="C11042" i="1"/>
  <c r="C11041" i="1"/>
  <c r="C11040" i="1"/>
  <c r="C11039" i="1"/>
  <c r="C11038" i="1"/>
  <c r="C11037" i="1"/>
  <c r="C11036" i="1"/>
  <c r="C11035" i="1"/>
  <c r="C11034" i="1"/>
  <c r="C11033" i="1"/>
  <c r="C11032" i="1"/>
  <c r="C11031" i="1"/>
  <c r="C11030" i="1"/>
  <c r="C11029" i="1"/>
  <c r="C11028" i="1"/>
  <c r="C11027" i="1"/>
  <c r="C11026" i="1"/>
  <c r="C11025" i="1"/>
  <c r="C11024" i="1"/>
  <c r="C11023" i="1"/>
  <c r="C11022" i="1"/>
  <c r="C11021" i="1"/>
  <c r="C11020" i="1"/>
  <c r="C11019" i="1"/>
  <c r="C11018" i="1"/>
  <c r="C11017" i="1"/>
  <c r="C11016" i="1"/>
  <c r="C11015" i="1"/>
  <c r="C11014" i="1"/>
  <c r="C11013" i="1"/>
  <c r="C11012" i="1"/>
  <c r="C11011" i="1"/>
  <c r="C11010" i="1"/>
  <c r="C11009" i="1"/>
  <c r="C11008" i="1"/>
  <c r="C11007" i="1"/>
  <c r="C11006" i="1"/>
  <c r="C11005" i="1"/>
  <c r="C11004" i="1"/>
  <c r="C11003" i="1"/>
  <c r="C11002" i="1"/>
  <c r="C11001" i="1"/>
  <c r="C11000" i="1"/>
  <c r="C10999" i="1"/>
  <c r="C10998" i="1"/>
  <c r="C10997" i="1"/>
  <c r="C10996" i="1"/>
  <c r="C10995" i="1"/>
  <c r="C10994" i="1"/>
  <c r="C10993" i="1"/>
  <c r="C10992" i="1"/>
  <c r="C10991" i="1"/>
  <c r="C10990" i="1"/>
  <c r="C10989" i="1"/>
  <c r="C10988" i="1"/>
  <c r="C10987" i="1"/>
  <c r="C10986" i="1"/>
  <c r="C10985" i="1"/>
  <c r="C10984" i="1"/>
  <c r="C10983" i="1"/>
  <c r="C10982" i="1"/>
  <c r="C10981" i="1"/>
  <c r="C10980" i="1"/>
  <c r="C10979" i="1"/>
  <c r="C10978" i="1"/>
  <c r="C10977" i="1"/>
  <c r="C10976" i="1"/>
  <c r="C10975" i="1"/>
  <c r="C10974" i="1"/>
  <c r="C10973" i="1"/>
  <c r="C10972" i="1"/>
  <c r="C10971" i="1"/>
  <c r="C10970" i="1"/>
  <c r="C10969" i="1"/>
  <c r="C10968" i="1"/>
  <c r="C10967" i="1"/>
  <c r="C10966" i="1"/>
  <c r="C10965" i="1"/>
  <c r="C10964" i="1"/>
  <c r="C10963" i="1"/>
  <c r="C10962" i="1"/>
  <c r="C10961" i="1"/>
  <c r="C10960" i="1"/>
  <c r="C10959" i="1"/>
  <c r="C10958" i="1"/>
  <c r="C10957" i="1"/>
  <c r="C10956" i="1"/>
  <c r="C10955" i="1"/>
  <c r="C10954" i="1"/>
  <c r="C10953" i="1"/>
  <c r="C10952" i="1"/>
  <c r="C10951" i="1"/>
  <c r="C10950" i="1"/>
  <c r="C10949" i="1"/>
  <c r="C10948" i="1"/>
  <c r="C10947" i="1"/>
  <c r="C10946" i="1"/>
  <c r="C10945" i="1"/>
  <c r="C10944" i="1"/>
  <c r="C10943" i="1"/>
  <c r="C10942" i="1"/>
  <c r="C10941" i="1"/>
  <c r="C10940" i="1"/>
  <c r="C10939" i="1"/>
  <c r="C10938" i="1"/>
  <c r="C10937" i="1"/>
  <c r="C10936" i="1"/>
  <c r="C10935" i="1"/>
  <c r="C10934" i="1"/>
  <c r="C10933" i="1"/>
  <c r="C10932" i="1"/>
  <c r="C10931" i="1"/>
  <c r="C10930" i="1"/>
  <c r="C10929" i="1"/>
  <c r="C10928" i="1"/>
  <c r="C10927" i="1"/>
  <c r="C10926" i="1"/>
  <c r="C10925" i="1"/>
  <c r="C10924" i="1"/>
  <c r="C10923" i="1"/>
  <c r="C10922" i="1"/>
  <c r="C10921" i="1"/>
  <c r="C10920" i="1"/>
  <c r="C10919" i="1"/>
  <c r="C10918" i="1"/>
  <c r="C10917" i="1"/>
  <c r="C10916" i="1"/>
  <c r="C10915" i="1"/>
  <c r="C10914" i="1"/>
  <c r="C10913" i="1"/>
  <c r="C10912" i="1"/>
  <c r="C10911" i="1"/>
  <c r="C10910" i="1"/>
  <c r="C10909" i="1"/>
  <c r="C10908" i="1"/>
  <c r="C10907" i="1"/>
  <c r="C10906" i="1"/>
  <c r="C10905" i="1"/>
  <c r="C10904" i="1"/>
  <c r="C10903" i="1"/>
  <c r="C10902" i="1"/>
  <c r="C10901" i="1"/>
  <c r="C10900" i="1"/>
  <c r="C10899" i="1"/>
  <c r="C10898" i="1"/>
  <c r="C10897" i="1"/>
  <c r="C10896" i="1"/>
  <c r="C10895" i="1"/>
  <c r="C10894" i="1"/>
  <c r="C10893" i="1"/>
  <c r="C10892" i="1"/>
  <c r="C10891" i="1"/>
  <c r="C10890" i="1"/>
  <c r="C10889" i="1"/>
  <c r="C10888" i="1"/>
  <c r="C10887" i="1"/>
  <c r="C10886" i="1"/>
  <c r="C10885" i="1"/>
  <c r="C10884" i="1"/>
  <c r="C10883" i="1"/>
  <c r="C10882" i="1"/>
  <c r="C10881" i="1"/>
  <c r="C10880" i="1"/>
  <c r="C10879" i="1"/>
  <c r="C10878" i="1"/>
  <c r="C10877" i="1"/>
  <c r="C10876" i="1"/>
  <c r="C10875" i="1"/>
  <c r="C10874" i="1"/>
  <c r="C10873" i="1"/>
  <c r="C10872" i="1"/>
  <c r="C10871" i="1"/>
  <c r="C10870" i="1"/>
  <c r="C10869" i="1"/>
  <c r="C10868" i="1"/>
  <c r="C10867" i="1"/>
  <c r="C10866" i="1"/>
  <c r="C10865" i="1"/>
  <c r="C10864" i="1"/>
  <c r="C10863" i="1"/>
  <c r="C10862" i="1"/>
  <c r="C10861" i="1"/>
  <c r="C10860" i="1"/>
  <c r="C10859" i="1"/>
  <c r="C10858" i="1"/>
  <c r="C10857" i="1"/>
  <c r="C10856" i="1"/>
  <c r="C10855" i="1"/>
  <c r="C10854" i="1"/>
  <c r="C10853" i="1"/>
  <c r="C10852" i="1"/>
  <c r="C10851" i="1"/>
  <c r="C10850" i="1"/>
  <c r="C10849" i="1"/>
  <c r="C10848" i="1"/>
  <c r="C10847" i="1"/>
  <c r="C10846" i="1"/>
  <c r="C10845" i="1"/>
  <c r="C10844" i="1"/>
  <c r="C10843" i="1"/>
  <c r="C10842" i="1"/>
  <c r="C10841" i="1"/>
  <c r="C10840" i="1"/>
  <c r="C10839" i="1"/>
  <c r="C10838" i="1"/>
  <c r="C10837" i="1"/>
  <c r="C10836" i="1"/>
  <c r="C10835" i="1"/>
  <c r="C10834" i="1"/>
  <c r="C10833" i="1"/>
  <c r="C10832" i="1"/>
  <c r="C10831" i="1"/>
  <c r="C10830" i="1"/>
  <c r="C10829" i="1"/>
  <c r="C10828" i="1"/>
  <c r="C10827" i="1"/>
  <c r="C10826" i="1"/>
  <c r="C10825" i="1"/>
  <c r="C10824" i="1"/>
  <c r="C10823" i="1"/>
  <c r="C10822" i="1"/>
  <c r="C10821" i="1"/>
  <c r="C10820" i="1"/>
  <c r="C10819" i="1"/>
  <c r="C10818" i="1"/>
  <c r="C10817" i="1"/>
  <c r="C10816" i="1"/>
  <c r="C10815" i="1"/>
  <c r="C10814" i="1"/>
  <c r="C10813" i="1"/>
  <c r="C10812" i="1"/>
  <c r="C10811" i="1"/>
  <c r="C10810" i="1"/>
  <c r="C10809" i="1"/>
  <c r="C10808" i="1"/>
  <c r="C10807" i="1"/>
  <c r="C10806" i="1"/>
  <c r="C10805" i="1"/>
  <c r="C10804" i="1"/>
  <c r="C10803" i="1"/>
  <c r="C10802" i="1"/>
  <c r="C10801" i="1"/>
  <c r="C10800" i="1"/>
  <c r="C10799" i="1"/>
  <c r="C10798" i="1"/>
  <c r="C10797" i="1"/>
  <c r="C10796" i="1"/>
  <c r="C10795" i="1"/>
  <c r="C10794" i="1"/>
  <c r="C10793" i="1"/>
  <c r="C10792" i="1"/>
  <c r="C10791" i="1"/>
  <c r="C10790" i="1"/>
  <c r="C10789" i="1"/>
  <c r="C10788" i="1"/>
  <c r="C10787" i="1"/>
  <c r="C10786" i="1"/>
  <c r="C10785" i="1"/>
  <c r="C10784" i="1"/>
  <c r="C10783" i="1"/>
  <c r="C10782" i="1"/>
  <c r="C10781" i="1"/>
  <c r="C10780" i="1"/>
  <c r="C10779" i="1"/>
  <c r="C10778" i="1"/>
  <c r="C10777" i="1"/>
  <c r="C10776" i="1"/>
  <c r="C10775" i="1"/>
  <c r="C10774" i="1"/>
  <c r="C10773" i="1"/>
  <c r="C10772" i="1"/>
  <c r="C10771" i="1"/>
  <c r="C10770" i="1"/>
  <c r="C10769" i="1"/>
  <c r="C10768" i="1"/>
  <c r="C10767" i="1"/>
  <c r="C10766" i="1"/>
  <c r="C10765" i="1"/>
  <c r="C10764" i="1"/>
  <c r="C10763" i="1"/>
  <c r="C10762" i="1"/>
  <c r="C10761" i="1"/>
  <c r="C10760" i="1"/>
  <c r="C10759" i="1"/>
  <c r="C10758" i="1"/>
  <c r="C10757" i="1"/>
  <c r="C10756" i="1"/>
  <c r="C10755" i="1"/>
  <c r="C10754" i="1"/>
  <c r="C10753" i="1"/>
  <c r="C10752" i="1"/>
  <c r="C10751" i="1"/>
  <c r="C10750" i="1"/>
  <c r="C10749" i="1"/>
  <c r="C10748" i="1"/>
  <c r="C10747" i="1"/>
  <c r="C10746" i="1"/>
  <c r="C10745" i="1"/>
  <c r="C10744" i="1"/>
  <c r="C10743" i="1"/>
  <c r="C10742" i="1"/>
  <c r="C10741" i="1"/>
  <c r="C10740" i="1"/>
  <c r="C10739" i="1"/>
  <c r="C10738" i="1"/>
  <c r="C10737" i="1"/>
  <c r="C10736" i="1"/>
  <c r="C10735" i="1"/>
  <c r="C10734" i="1"/>
  <c r="C10733" i="1"/>
  <c r="C10732" i="1"/>
  <c r="C10731" i="1"/>
  <c r="C10730" i="1"/>
  <c r="C10729" i="1"/>
  <c r="C10728" i="1"/>
  <c r="C10727" i="1"/>
  <c r="C10726" i="1"/>
  <c r="C10725" i="1"/>
  <c r="C10724" i="1"/>
  <c r="C10723" i="1"/>
  <c r="C10722" i="1"/>
  <c r="C10721" i="1"/>
  <c r="C10720" i="1"/>
  <c r="C10719" i="1"/>
  <c r="C10718" i="1"/>
  <c r="C10717" i="1"/>
  <c r="C10716" i="1"/>
  <c r="C10715" i="1"/>
  <c r="C10714" i="1"/>
  <c r="C10713" i="1"/>
  <c r="C10712" i="1"/>
  <c r="C10711" i="1"/>
  <c r="C10710" i="1"/>
  <c r="C10709" i="1"/>
  <c r="C10708" i="1"/>
  <c r="C10707" i="1"/>
  <c r="C10706" i="1"/>
  <c r="C10705" i="1"/>
  <c r="C10704" i="1"/>
  <c r="C10703" i="1"/>
  <c r="C10702" i="1"/>
  <c r="C10701" i="1"/>
  <c r="C10700" i="1"/>
  <c r="C10699" i="1"/>
  <c r="C10698" i="1"/>
  <c r="C10697" i="1"/>
  <c r="C10696" i="1"/>
  <c r="C10695" i="1"/>
  <c r="C10694" i="1"/>
  <c r="C10693" i="1"/>
  <c r="C10692" i="1"/>
  <c r="C10691" i="1"/>
  <c r="C10690" i="1"/>
  <c r="C10689" i="1"/>
  <c r="C10688" i="1"/>
  <c r="C10687" i="1"/>
  <c r="C10686" i="1"/>
  <c r="C10685" i="1"/>
  <c r="C10684" i="1"/>
  <c r="C10683" i="1"/>
  <c r="C10682" i="1"/>
  <c r="C10681" i="1"/>
  <c r="C10680" i="1"/>
  <c r="C10679" i="1"/>
  <c r="C10678" i="1"/>
  <c r="C10677" i="1"/>
  <c r="C10676" i="1"/>
  <c r="C10675" i="1"/>
  <c r="C10674" i="1"/>
  <c r="C10673" i="1"/>
  <c r="C10672" i="1"/>
  <c r="C10671" i="1"/>
  <c r="C10670" i="1"/>
  <c r="C10669" i="1"/>
  <c r="C10668" i="1"/>
  <c r="C10667" i="1"/>
  <c r="C10666" i="1"/>
  <c r="C10665" i="1"/>
  <c r="C10664" i="1"/>
  <c r="C10663" i="1"/>
  <c r="C10662" i="1"/>
  <c r="C10661" i="1"/>
  <c r="C10660" i="1"/>
  <c r="C10659" i="1"/>
  <c r="C10658" i="1"/>
  <c r="C10657" i="1"/>
  <c r="C10656" i="1"/>
  <c r="C10655" i="1"/>
  <c r="C10654" i="1"/>
  <c r="C10653" i="1"/>
  <c r="C10652" i="1"/>
  <c r="C10651" i="1"/>
  <c r="C10650" i="1"/>
  <c r="C10649" i="1"/>
  <c r="C10648" i="1"/>
  <c r="C10647" i="1"/>
  <c r="C10646" i="1"/>
  <c r="C10645" i="1"/>
  <c r="C10644" i="1"/>
  <c r="C10643" i="1"/>
  <c r="C10642" i="1"/>
  <c r="C10641" i="1"/>
  <c r="C10640" i="1"/>
  <c r="C10639" i="1"/>
  <c r="C10638" i="1"/>
  <c r="C10637" i="1"/>
  <c r="C10636" i="1"/>
  <c r="C10635" i="1"/>
  <c r="C10634" i="1"/>
  <c r="C10633" i="1"/>
  <c r="C10632" i="1"/>
  <c r="C10631" i="1"/>
  <c r="C10630" i="1"/>
  <c r="C10629" i="1"/>
  <c r="C10628" i="1"/>
  <c r="C10627" i="1"/>
  <c r="C10626" i="1"/>
  <c r="C10625" i="1"/>
  <c r="C10624" i="1"/>
  <c r="C10623" i="1"/>
  <c r="C10622" i="1"/>
  <c r="C10621" i="1"/>
  <c r="C10620" i="1"/>
  <c r="C10619" i="1"/>
  <c r="C10618" i="1"/>
  <c r="C10617" i="1"/>
  <c r="C10616" i="1"/>
  <c r="C10615" i="1"/>
  <c r="C10614" i="1"/>
  <c r="C10613" i="1"/>
  <c r="C10612" i="1"/>
  <c r="C10611" i="1"/>
  <c r="C10610" i="1"/>
  <c r="C10609" i="1"/>
  <c r="C10608" i="1"/>
  <c r="C10607" i="1"/>
  <c r="C10606" i="1"/>
  <c r="C10605" i="1"/>
  <c r="C10604" i="1"/>
  <c r="C10603" i="1"/>
  <c r="C10602" i="1"/>
  <c r="C10601" i="1"/>
  <c r="C10600" i="1"/>
  <c r="C10599" i="1"/>
  <c r="C10598" i="1"/>
  <c r="C10597" i="1"/>
  <c r="C10596" i="1"/>
  <c r="C10595" i="1"/>
  <c r="C10594" i="1"/>
  <c r="C10593" i="1"/>
  <c r="C10592" i="1"/>
  <c r="C10591" i="1"/>
  <c r="C10590" i="1"/>
  <c r="C10589" i="1"/>
  <c r="C10588" i="1"/>
  <c r="C10587" i="1"/>
  <c r="C10586" i="1"/>
  <c r="C10585" i="1"/>
  <c r="C10584" i="1"/>
  <c r="C10583" i="1"/>
  <c r="C10582" i="1"/>
  <c r="C10581" i="1"/>
  <c r="C10580" i="1"/>
  <c r="C10579" i="1"/>
  <c r="C10578" i="1"/>
  <c r="C10577" i="1"/>
  <c r="C10576" i="1"/>
  <c r="C10575" i="1"/>
  <c r="C10574" i="1"/>
  <c r="C10573" i="1"/>
  <c r="C10572" i="1"/>
  <c r="C10571" i="1"/>
  <c r="C10570" i="1"/>
  <c r="C10569" i="1"/>
  <c r="C10568" i="1"/>
  <c r="C10567" i="1"/>
  <c r="C10566" i="1"/>
  <c r="C10565" i="1"/>
  <c r="C10564" i="1"/>
  <c r="C10563" i="1"/>
  <c r="C10562" i="1"/>
  <c r="C10561" i="1"/>
  <c r="C10560" i="1"/>
  <c r="C10559" i="1"/>
  <c r="C10558" i="1"/>
  <c r="C10557" i="1"/>
  <c r="C10556" i="1"/>
  <c r="C10555" i="1"/>
  <c r="C10554" i="1"/>
  <c r="C10553" i="1"/>
  <c r="C10552" i="1"/>
  <c r="C10551" i="1"/>
  <c r="C10550" i="1"/>
  <c r="C10549" i="1"/>
  <c r="C10548" i="1"/>
  <c r="C10547" i="1"/>
  <c r="C10546" i="1"/>
  <c r="C10545" i="1"/>
  <c r="C10544" i="1"/>
  <c r="C10543" i="1"/>
  <c r="C10542" i="1"/>
  <c r="C10541" i="1"/>
  <c r="C10540" i="1"/>
  <c r="C10539" i="1"/>
  <c r="C10538" i="1"/>
  <c r="C10537" i="1"/>
  <c r="C10536" i="1"/>
  <c r="C10535" i="1"/>
  <c r="C10534" i="1"/>
  <c r="C10533" i="1"/>
  <c r="C10532" i="1"/>
  <c r="C10531" i="1"/>
  <c r="C10530" i="1"/>
  <c r="C10529" i="1"/>
  <c r="C10528" i="1"/>
  <c r="C10527" i="1"/>
  <c r="C10526" i="1"/>
  <c r="C10525" i="1"/>
  <c r="C10524" i="1"/>
  <c r="C10523" i="1"/>
  <c r="C10522" i="1"/>
  <c r="C10521" i="1"/>
  <c r="C10520" i="1"/>
  <c r="C10519" i="1"/>
  <c r="C10518" i="1"/>
  <c r="C10517" i="1"/>
  <c r="C10516" i="1"/>
  <c r="C10515" i="1"/>
  <c r="C10514" i="1"/>
  <c r="C10513" i="1"/>
  <c r="C10512" i="1"/>
  <c r="C10511" i="1"/>
  <c r="C10510" i="1"/>
  <c r="C10509" i="1"/>
  <c r="C10508" i="1"/>
  <c r="C10507" i="1"/>
  <c r="C10506" i="1"/>
  <c r="C10505" i="1"/>
  <c r="C10504" i="1"/>
  <c r="C10503" i="1"/>
  <c r="C10502" i="1"/>
  <c r="C10501" i="1"/>
  <c r="C10500" i="1"/>
  <c r="C10499" i="1"/>
  <c r="C10498" i="1"/>
  <c r="C10497" i="1"/>
  <c r="C10496" i="1"/>
  <c r="C10495" i="1"/>
  <c r="C10494" i="1"/>
  <c r="C10493" i="1"/>
  <c r="C10492" i="1"/>
  <c r="C10491" i="1"/>
  <c r="C10490" i="1"/>
  <c r="C10489" i="1"/>
  <c r="C10488" i="1"/>
  <c r="C10487" i="1"/>
  <c r="C10486" i="1"/>
  <c r="C10485" i="1"/>
  <c r="C10484" i="1"/>
  <c r="C10483" i="1"/>
  <c r="C10482" i="1"/>
  <c r="C10481" i="1"/>
  <c r="C10480" i="1"/>
  <c r="C10479" i="1"/>
  <c r="C10478" i="1"/>
  <c r="C10477" i="1"/>
  <c r="C10476" i="1"/>
  <c r="C10475" i="1"/>
  <c r="C10474" i="1"/>
  <c r="C10473" i="1"/>
  <c r="C10472" i="1"/>
  <c r="C10471" i="1"/>
  <c r="C10470" i="1"/>
  <c r="C10469" i="1"/>
  <c r="C10468" i="1"/>
  <c r="C10467" i="1"/>
  <c r="C10466" i="1"/>
  <c r="C10465" i="1"/>
  <c r="C10464" i="1"/>
  <c r="C10463" i="1"/>
  <c r="C10462" i="1"/>
  <c r="C10461" i="1"/>
  <c r="C10460" i="1"/>
  <c r="C10459" i="1"/>
  <c r="C10458" i="1"/>
  <c r="C10457" i="1"/>
  <c r="C10456" i="1"/>
  <c r="C10455" i="1"/>
  <c r="C10454" i="1"/>
  <c r="C10453" i="1"/>
  <c r="C10452" i="1"/>
  <c r="C10451" i="1"/>
  <c r="C10450" i="1"/>
  <c r="C10449" i="1"/>
  <c r="C10448" i="1"/>
  <c r="C10447" i="1"/>
  <c r="C10446" i="1"/>
  <c r="C10445" i="1"/>
  <c r="C10444" i="1"/>
  <c r="C10443" i="1"/>
  <c r="C10442" i="1"/>
  <c r="C10441" i="1"/>
  <c r="C10440" i="1"/>
  <c r="C10439" i="1"/>
  <c r="C10438" i="1"/>
  <c r="C10437" i="1"/>
  <c r="C10436" i="1"/>
  <c r="C10435" i="1"/>
  <c r="C10434" i="1"/>
  <c r="C10433" i="1"/>
  <c r="C10432" i="1"/>
  <c r="C10431" i="1"/>
  <c r="C10430" i="1"/>
  <c r="C10429" i="1"/>
  <c r="C10428" i="1"/>
  <c r="C10427" i="1"/>
  <c r="C10426" i="1"/>
  <c r="C10425" i="1"/>
  <c r="C10424" i="1"/>
  <c r="C10423" i="1"/>
  <c r="C10422" i="1"/>
  <c r="C10421" i="1"/>
  <c r="C10420" i="1"/>
  <c r="C10419" i="1"/>
  <c r="C10418" i="1"/>
  <c r="C10417" i="1"/>
  <c r="C10416" i="1"/>
  <c r="C10415" i="1"/>
  <c r="C10414" i="1"/>
  <c r="C10413" i="1"/>
  <c r="C10412" i="1"/>
  <c r="C10411" i="1"/>
  <c r="C10410" i="1"/>
  <c r="C10409" i="1"/>
  <c r="C10408" i="1"/>
  <c r="C10407" i="1"/>
  <c r="C10406" i="1"/>
  <c r="C10405" i="1"/>
  <c r="C10404" i="1"/>
  <c r="C10403" i="1"/>
  <c r="C10402" i="1"/>
  <c r="C10401" i="1"/>
  <c r="C10400" i="1"/>
  <c r="C10399" i="1"/>
  <c r="C10398" i="1"/>
  <c r="C10397" i="1"/>
  <c r="C10396" i="1"/>
  <c r="C10395" i="1"/>
  <c r="C10394" i="1"/>
  <c r="C10393" i="1"/>
  <c r="C10392" i="1"/>
  <c r="C10391" i="1"/>
  <c r="C10390" i="1"/>
  <c r="C10389" i="1"/>
  <c r="C10388" i="1"/>
  <c r="C10387" i="1"/>
  <c r="C10386" i="1"/>
  <c r="C10385" i="1"/>
  <c r="C10384" i="1"/>
  <c r="C10383" i="1"/>
  <c r="C10382" i="1"/>
  <c r="C10381" i="1"/>
  <c r="C10380" i="1"/>
  <c r="C10379" i="1"/>
  <c r="C10378" i="1"/>
  <c r="C10377" i="1"/>
  <c r="C10376" i="1"/>
  <c r="C10375" i="1"/>
  <c r="C10374" i="1"/>
  <c r="C10373" i="1"/>
  <c r="C10372" i="1"/>
  <c r="C10371" i="1"/>
  <c r="C10370" i="1"/>
  <c r="C10369" i="1"/>
  <c r="C10368" i="1"/>
  <c r="C10367" i="1"/>
  <c r="C10366" i="1"/>
  <c r="C10365" i="1"/>
  <c r="C10364" i="1"/>
  <c r="C10363" i="1"/>
  <c r="C10362" i="1"/>
  <c r="C10361" i="1"/>
  <c r="C10360" i="1"/>
  <c r="C10359" i="1"/>
  <c r="C10358" i="1"/>
  <c r="C10357" i="1"/>
  <c r="C10356" i="1"/>
  <c r="C10355" i="1"/>
  <c r="C10354" i="1"/>
  <c r="C10353" i="1"/>
  <c r="C10352" i="1"/>
  <c r="C10351" i="1"/>
  <c r="C10350" i="1"/>
  <c r="C10349" i="1"/>
  <c r="C10348" i="1"/>
  <c r="C10347" i="1"/>
  <c r="C10346" i="1"/>
  <c r="C10345" i="1"/>
  <c r="C10344" i="1"/>
  <c r="C10343" i="1"/>
  <c r="C10342" i="1"/>
  <c r="C10341" i="1"/>
  <c r="C10340" i="1"/>
  <c r="C10339" i="1"/>
  <c r="C10338" i="1"/>
  <c r="C10337" i="1"/>
  <c r="C10336" i="1"/>
  <c r="C10335" i="1"/>
  <c r="C10334" i="1"/>
  <c r="C10333" i="1"/>
  <c r="C10332" i="1"/>
  <c r="C10331" i="1"/>
  <c r="C10330" i="1"/>
  <c r="C10329" i="1"/>
  <c r="C10328" i="1"/>
  <c r="C10327" i="1"/>
  <c r="C10326" i="1"/>
  <c r="C10325" i="1"/>
  <c r="C10324" i="1"/>
  <c r="C10323" i="1"/>
  <c r="C10322" i="1"/>
  <c r="C10321" i="1"/>
  <c r="C10320" i="1"/>
  <c r="C10319" i="1"/>
  <c r="C10318" i="1"/>
  <c r="C10317" i="1"/>
  <c r="C10316" i="1"/>
  <c r="C10315" i="1"/>
  <c r="C10314" i="1"/>
  <c r="C10313" i="1"/>
  <c r="C10312" i="1"/>
  <c r="C10311" i="1"/>
  <c r="C10310" i="1"/>
  <c r="C10309" i="1"/>
  <c r="C10308" i="1"/>
  <c r="C10307" i="1"/>
  <c r="C10306" i="1"/>
  <c r="C10305" i="1"/>
  <c r="C10304" i="1"/>
  <c r="C10303" i="1"/>
  <c r="C10302" i="1"/>
  <c r="C10301" i="1"/>
  <c r="C10300" i="1"/>
  <c r="C10299" i="1"/>
  <c r="C10298" i="1"/>
  <c r="C10297" i="1"/>
  <c r="C10296" i="1"/>
  <c r="C10295" i="1"/>
  <c r="C10294" i="1"/>
  <c r="C10293" i="1"/>
  <c r="C10292" i="1"/>
  <c r="C10291" i="1"/>
  <c r="C10290" i="1"/>
  <c r="C10289" i="1"/>
  <c r="C10288" i="1"/>
  <c r="C10287" i="1"/>
  <c r="C10286" i="1"/>
  <c r="C10285" i="1"/>
  <c r="C10284" i="1"/>
  <c r="C10283" i="1"/>
  <c r="C10282" i="1"/>
  <c r="C10281" i="1"/>
  <c r="C10280" i="1"/>
  <c r="C10279" i="1"/>
  <c r="C10278" i="1"/>
  <c r="C10277" i="1"/>
  <c r="C10276" i="1"/>
  <c r="C10275" i="1"/>
  <c r="C10274" i="1"/>
  <c r="C10273" i="1"/>
  <c r="C10272" i="1"/>
  <c r="C10271" i="1"/>
  <c r="C10270" i="1"/>
  <c r="C10269" i="1"/>
  <c r="C10268" i="1"/>
  <c r="C10267" i="1"/>
  <c r="C10266" i="1"/>
  <c r="C10265" i="1"/>
  <c r="C10264" i="1"/>
  <c r="C10263" i="1"/>
  <c r="C10262" i="1"/>
  <c r="C10261" i="1"/>
  <c r="C10260" i="1"/>
  <c r="C10259" i="1"/>
  <c r="C10258" i="1"/>
  <c r="C10257" i="1"/>
  <c r="C10256" i="1"/>
  <c r="C10255" i="1"/>
  <c r="C10254" i="1"/>
  <c r="C10253" i="1"/>
  <c r="C10252" i="1"/>
  <c r="C10251" i="1"/>
  <c r="C10250" i="1"/>
  <c r="C10249" i="1"/>
  <c r="C10248" i="1"/>
  <c r="C10247" i="1"/>
  <c r="C10246" i="1"/>
  <c r="C10245" i="1"/>
  <c r="C10244" i="1"/>
  <c r="C10243" i="1"/>
  <c r="C10242" i="1"/>
  <c r="C10241" i="1"/>
  <c r="C10240" i="1"/>
  <c r="C10239" i="1"/>
  <c r="C10238" i="1"/>
  <c r="C10237" i="1"/>
  <c r="C10236" i="1"/>
  <c r="C10235" i="1"/>
  <c r="C10234" i="1"/>
  <c r="C10233" i="1"/>
  <c r="C10232" i="1"/>
  <c r="C10231" i="1"/>
  <c r="C10230" i="1"/>
  <c r="C10229" i="1"/>
  <c r="C10228" i="1"/>
  <c r="C10227" i="1"/>
  <c r="C10226" i="1"/>
  <c r="C10225" i="1"/>
  <c r="C10224" i="1"/>
  <c r="C10223" i="1"/>
  <c r="C10222" i="1"/>
  <c r="C10221" i="1"/>
  <c r="C10220" i="1"/>
  <c r="C10219" i="1"/>
  <c r="C10218" i="1"/>
  <c r="C10217" i="1"/>
  <c r="C10216" i="1"/>
  <c r="C10215" i="1"/>
  <c r="C10214" i="1"/>
  <c r="C10213" i="1"/>
  <c r="C10212" i="1"/>
  <c r="C10211" i="1"/>
  <c r="C10210" i="1"/>
  <c r="C10209" i="1"/>
  <c r="C10208" i="1"/>
  <c r="C10207" i="1"/>
  <c r="C10206" i="1"/>
  <c r="C10205" i="1"/>
  <c r="C10204" i="1"/>
  <c r="C10203" i="1"/>
  <c r="C10202" i="1"/>
  <c r="C10201" i="1"/>
  <c r="C10200" i="1"/>
  <c r="C10199" i="1"/>
  <c r="C10198" i="1"/>
  <c r="C10197" i="1"/>
  <c r="C10196" i="1"/>
  <c r="C10195" i="1"/>
  <c r="C10194" i="1"/>
  <c r="C10193" i="1"/>
  <c r="C10192" i="1"/>
  <c r="C10191" i="1"/>
  <c r="C10190" i="1"/>
  <c r="C10189" i="1"/>
  <c r="C10188" i="1"/>
  <c r="C10187" i="1"/>
  <c r="C10186" i="1"/>
  <c r="C10185" i="1"/>
  <c r="C10184" i="1"/>
  <c r="C10183" i="1"/>
  <c r="C10182" i="1"/>
  <c r="C10181" i="1"/>
  <c r="C10180" i="1"/>
  <c r="C10179" i="1"/>
  <c r="C10178" i="1"/>
  <c r="C10177" i="1"/>
  <c r="C10176" i="1"/>
  <c r="C10175" i="1"/>
  <c r="C10174" i="1"/>
  <c r="C10173" i="1"/>
  <c r="C10172" i="1"/>
  <c r="C10171" i="1"/>
  <c r="C10170" i="1"/>
  <c r="C10169" i="1"/>
  <c r="C10168" i="1"/>
  <c r="C10167" i="1"/>
  <c r="C10166" i="1"/>
  <c r="C10165" i="1"/>
  <c r="C10164" i="1"/>
  <c r="C10163" i="1"/>
  <c r="C10162" i="1"/>
  <c r="C10161" i="1"/>
  <c r="C10160" i="1"/>
  <c r="C10159" i="1"/>
  <c r="C10158" i="1"/>
  <c r="C10157" i="1"/>
  <c r="C10156" i="1"/>
  <c r="C10155" i="1"/>
  <c r="C10154" i="1"/>
  <c r="C10153" i="1"/>
  <c r="C10152" i="1"/>
  <c r="C10151" i="1"/>
  <c r="C10150" i="1"/>
  <c r="C10149" i="1"/>
  <c r="C10148" i="1"/>
  <c r="C10147" i="1"/>
  <c r="C10146" i="1"/>
  <c r="C10145" i="1"/>
  <c r="C10144" i="1"/>
  <c r="C10143" i="1"/>
  <c r="C10142" i="1"/>
  <c r="C10141" i="1"/>
  <c r="C10140" i="1"/>
  <c r="C10139" i="1"/>
  <c r="C10138" i="1"/>
  <c r="C10137" i="1"/>
  <c r="C10136" i="1"/>
  <c r="C10135" i="1"/>
  <c r="C10134" i="1"/>
  <c r="C10133" i="1"/>
  <c r="C10132" i="1"/>
  <c r="C10131" i="1"/>
  <c r="C10130" i="1"/>
  <c r="C10129" i="1"/>
  <c r="C10128" i="1"/>
  <c r="C10127" i="1"/>
  <c r="C10126" i="1"/>
  <c r="C10125" i="1"/>
  <c r="C10124" i="1"/>
  <c r="C10123" i="1"/>
  <c r="C10122" i="1"/>
  <c r="C10121" i="1"/>
  <c r="C10120" i="1"/>
  <c r="C10119" i="1"/>
  <c r="C10118" i="1"/>
  <c r="C10117" i="1"/>
  <c r="C10116" i="1"/>
  <c r="C10115" i="1"/>
  <c r="C10114" i="1"/>
  <c r="C10113" i="1"/>
  <c r="C10112" i="1"/>
  <c r="C10111" i="1"/>
  <c r="C10110" i="1"/>
  <c r="C10109" i="1"/>
  <c r="C10108" i="1"/>
  <c r="C10107" i="1"/>
  <c r="C10106" i="1"/>
  <c r="C10105" i="1"/>
  <c r="C10104" i="1"/>
  <c r="C10103" i="1"/>
  <c r="C10102" i="1"/>
  <c r="C10101" i="1"/>
  <c r="C10100" i="1"/>
  <c r="C10099" i="1"/>
  <c r="C10098" i="1"/>
  <c r="C10097" i="1"/>
  <c r="C10096" i="1"/>
  <c r="C10095" i="1"/>
  <c r="C10094" i="1"/>
  <c r="C10093" i="1"/>
  <c r="C10092" i="1"/>
  <c r="C10091" i="1"/>
  <c r="C10090" i="1"/>
  <c r="C10089" i="1"/>
  <c r="C10088" i="1"/>
  <c r="C10087" i="1"/>
  <c r="C10086" i="1"/>
  <c r="C10085" i="1"/>
  <c r="C10084" i="1"/>
  <c r="C10083" i="1"/>
  <c r="C10082" i="1"/>
  <c r="C10081" i="1"/>
  <c r="C10080" i="1"/>
  <c r="C10079" i="1"/>
  <c r="C10078" i="1"/>
  <c r="C10077" i="1"/>
  <c r="C10076" i="1"/>
  <c r="C10075" i="1"/>
  <c r="C10074" i="1"/>
  <c r="C10073" i="1"/>
  <c r="C10072" i="1"/>
  <c r="C10071" i="1"/>
  <c r="C10070" i="1"/>
  <c r="C10069" i="1"/>
  <c r="C10068" i="1"/>
  <c r="C10067" i="1"/>
  <c r="C10066" i="1"/>
  <c r="C10065" i="1"/>
  <c r="C10064" i="1"/>
  <c r="C10063" i="1"/>
  <c r="C10062" i="1"/>
  <c r="C10061" i="1"/>
  <c r="C10060" i="1"/>
  <c r="C10059" i="1"/>
  <c r="C10058" i="1"/>
  <c r="C10057" i="1"/>
  <c r="C10056" i="1"/>
  <c r="C10055" i="1"/>
  <c r="C10054" i="1"/>
  <c r="C10053" i="1"/>
  <c r="C10052" i="1"/>
  <c r="C10051" i="1"/>
  <c r="C10050" i="1"/>
  <c r="C10049" i="1"/>
  <c r="C10048" i="1"/>
  <c r="C10047" i="1"/>
  <c r="C10046" i="1"/>
  <c r="C10045" i="1"/>
  <c r="C10044" i="1"/>
  <c r="C10043" i="1"/>
  <c r="C10042" i="1"/>
  <c r="C10041" i="1"/>
  <c r="C10040" i="1"/>
  <c r="C10039" i="1"/>
  <c r="C10038" i="1"/>
  <c r="C10037" i="1"/>
  <c r="C10036" i="1"/>
  <c r="C10035" i="1"/>
  <c r="C10034" i="1"/>
  <c r="C10033" i="1"/>
  <c r="C10032" i="1"/>
  <c r="C10031" i="1"/>
  <c r="C10030" i="1"/>
  <c r="C10029" i="1"/>
  <c r="C10028" i="1"/>
  <c r="C10027" i="1"/>
  <c r="C10026" i="1"/>
  <c r="C10025" i="1"/>
  <c r="C10024" i="1"/>
  <c r="C10023" i="1"/>
  <c r="C10022" i="1"/>
  <c r="C10021" i="1"/>
  <c r="C10020" i="1"/>
  <c r="C10019" i="1"/>
  <c r="C10018" i="1"/>
  <c r="C10017" i="1"/>
  <c r="C10016" i="1"/>
  <c r="C10015" i="1"/>
  <c r="C10014" i="1"/>
  <c r="C10013" i="1"/>
  <c r="C10012" i="1"/>
  <c r="C10011" i="1"/>
  <c r="C10010" i="1"/>
  <c r="C10009" i="1"/>
  <c r="C10008" i="1"/>
  <c r="C10007" i="1"/>
  <c r="C10006" i="1"/>
  <c r="C10005" i="1"/>
  <c r="C10004" i="1"/>
  <c r="C10003" i="1"/>
  <c r="C10002" i="1"/>
  <c r="C10001" i="1"/>
  <c r="C10000" i="1"/>
  <c r="C9999" i="1"/>
  <c r="C9998" i="1"/>
  <c r="C9997" i="1"/>
  <c r="C9996" i="1"/>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<sst xmlns="http://schemas.openxmlformats.org/spreadsheetml/2006/main" count="27003" uniqueCount="13499">
  <si>
    <t>Sentence</t>
  </si>
  <si>
    <t>Tense</t>
  </si>
  <si>
    <t>Sentence (English Translation)</t>
  </si>
  <si>
    <t>দারিদ্র্য একটি অসম্মানজনক নয় তবে এটি ভয়ানক অসুবিধাজনক</t>
  </si>
  <si>
    <t>Present</t>
  </si>
  <si>
    <t>ছোট একটি অভিমান হয়ত একদিন বড় কোনো দূরত্বের সৃষ্টি করে দেয়</t>
  </si>
  <si>
    <t>স্মৃতির ভাইয়ের সাথে আমি যেন বস্তুত জড়িয়ে আছি</t>
  </si>
  <si>
    <t>পরিবারের অভাবে আমি একা একা পথ চলছি অভিযানে অসহায় ও বিনশ্বর</t>
  </si>
  <si>
    <t>পড়ালেখা এবং কাজ নিয়ে খুব ব্যস্ত সময় পার করছি তবুও মাঝে মাঝে মনে হয় যদি সব কিছু বাদ দিয়ে ছুটে যেতে পারতাম মা এর কাছে ইদানীং বাড়ির কথা খুব মনে পড়ে</t>
  </si>
  <si>
    <t>বাংলার সংস্কৃতির দিকে তাকিয়ে রয়েছে বিষাক্ত চোখ</t>
  </si>
  <si>
    <t>সব ইচ্ছা পূর্ণতা পায় না কিছু অপূর্ণতা নিয়েও বাঁচতে হয়</t>
  </si>
  <si>
    <t>দারিদ্র্য সহিংসতার সবচেয়ে খারাপ রূপ</t>
  </si>
  <si>
    <t>বিনোদন নিয়ে সময় কাটানোর ক্ষেত্রে আবার বৃহত্তর নানা ভুলের দায়ে আঘাত লাগে</t>
  </si>
  <si>
    <t>বার বার তোমার চোখের পানি মুছে ফেলার চেয়ে জীবন থেকে তাকে মুছে ফেলা উত্তম যে তোমাকে এতবার কাঁদায়</t>
  </si>
  <si>
    <t>যারা দিনের আলোতে বেশি হাসে রাতের আধারে তারাই সবচেয়ে বেশি কাদে</t>
  </si>
  <si>
    <t>যখন জীবন আপনাকে সর্দি দেয় তখন এটিকে শীতল করুন</t>
  </si>
  <si>
    <t>বিশ্বাস আর নিশ্বাস খুব মূল্যবান এক বার হারিয়ে গেলে আর ফিরে আসে না</t>
  </si>
  <si>
    <t>এখনকার জেনারেশনের বাচ্চারা শুধু মোবাইল নিয়ে ব্যস্ত থাকে</t>
  </si>
  <si>
    <t>যদি দীর্ঘদিন ধরে কোনো সম্পর্ক মনে খারাপ অস্থিরতার সৃষ্টি করে তবে বুঝতে হবে সেই সম্পর্কের মানুষটি যথাপুযক্ত নয়</t>
  </si>
  <si>
    <t>ভালোবাসা বদলায় না বদলে যায় মানুষগুলো</t>
  </si>
  <si>
    <t>একাকীত্ব আমার সঙ্গী হয়ে গেছে মনের ভেতর কেবলই অশান্তির ঝড়</t>
  </si>
  <si>
    <t>সিনেমার সব সুন্দর মুহূর্ত পেতে এখন আর আমি নিজেকে সাজাতে পারি না</t>
  </si>
  <si>
    <t>এক চামচ চিনি খেলে ওষুধ কমে যায়</t>
  </si>
  <si>
    <t>সাফল্যের অর্থই হল নিজের উত্সাহ না হারিয়ে একটার পর একটা ব্যর্থতাকে অতিক্রম করে যাওয়া</t>
  </si>
  <si>
    <t>পরিবারের অভাবে আমার জীবন অন্ধকারে ভাসছে</t>
  </si>
  <si>
    <t>জীবনে প্রতিনিয়ত কতো মানুষের যাতায়াত একেক মানুষ একেক রকমের স্মৃতি রেখে চলে যায়</t>
  </si>
  <si>
    <t>মানচিত্র পরিবর্তনের জন্য জাতির যুদ্ধ হয় কিন্তু দারিদ্র্যের যুদ্ধ মানচিত্র পরিবর্তনের জন্য লড়াই হয়</t>
  </si>
  <si>
    <t>সত্যের মুখোমুখি হতে অস্বীকার করা ভুল</t>
  </si>
  <si>
    <t>একাকিত্বের আলাদা অনুভূতি আছে কারো ফিরে আসার আশা নেই কেউ ছেড়ে যাওয়ার ভয়ও নেই</t>
  </si>
  <si>
    <t>ঘুম কি অসাধারণ জিনিস যদি আসে সবকিছু ভুলিয়ে দেয় আর যদি না আসে তো সবকিছু মনে করিয়ে দেয়</t>
  </si>
  <si>
    <t>স্পটিফাই মিউজিক প্লেয়ার টা ইউটিউব মিউজিক প্লেয়ার এর মত হতো</t>
  </si>
  <si>
    <t>সময় আমার হাতের মধ্যে হারিয়ে গেছে আমি কোনো সময় নিজের জন্যে সময় নিতে পারি না</t>
  </si>
  <si>
    <t>নেক চেষ্টা করেও একটা কুইজ এ ভালো করতে পারলাম না খুব হতাশ লাগছে মনে হচ্ছে ব্যর্থ</t>
  </si>
  <si>
    <t>ক্যারিয়ারের অনিশ্চিততা এবং পেশাদার সমস্যার জন্য খুবই চিন্তিত</t>
  </si>
  <si>
    <t>সময়ের সাথে প্রতিবাদ করা অর্থনৈতিক সমস্যা হেমন্তের মত হৃদয়কে শুধুই নিরাশ করে</t>
  </si>
  <si>
    <t>ভালোবাসা যদি পৃথিবীর সেরা অনুভূতি এনে দেয়</t>
  </si>
  <si>
    <t>ব্যর্থতা থেকেও আফসোসের ভীতি অনেক বেশি</t>
  </si>
  <si>
    <t>ভালো সম্পর্ক ভালো ভাবনা ভালো বই – এই তিনটি জিনিস পারে মানুষের জীবন বদলে দিতে</t>
  </si>
  <si>
    <t>আমি জীবনের প্রতিটি পদে উপলব্ধি করেছি কেউ কারো জন্য নয় দেরিতে হলেও আমি বুঝতে পেরেছি নিজেকে একলাই চলতে হয়</t>
  </si>
  <si>
    <t>আমাদের সবচেয়ে খারাপ শত্রু হল অজ্ঞতা দারিদ্র্য এবং আমাদের বাণিজ্যিক সমাজের অচেতন নিষ্ঠুরতা</t>
  </si>
  <si>
    <t>দুঃখ আছে বলেইতো আনন্দ সুখ অনুভূত হচ্ছে</t>
  </si>
  <si>
    <t>যে আমার মনের খবর রাখে না তার আমার জীবনের খবর রাখার প্রয়োজন নেই</t>
  </si>
  <si>
    <t>ভালোবাসার সম্পর্ক একদিন নামহীন সম্পর্কে পরিণত হয়</t>
  </si>
  <si>
    <t>ভালো খারাপের দ্বন্ধা আগামীর অগ্রসরে দেয় বাঁধা</t>
  </si>
  <si>
    <t>আজকে পরিবারের শেষ সম্বল আমার চাকরিটাও চলে যাচ্ছে</t>
  </si>
  <si>
    <t>শক্তির ব্যবহার না করলে নেতাদের মানুষের বিশ্বাস প্রাপ্ত হয় না</t>
  </si>
  <si>
    <t>হাসি মুখের পেছনে লুকিয়ে থাকে অজানা কত কষ্টের কাহিনী</t>
  </si>
  <si>
    <t>বয়স বাড়ে আয়ু কাড়ে হাসির দৈর্ঘ্য ছোট হয় সম্পর্ক মরে স্মৃতি গড়ে এরই নাম জীবন বোধহয়</t>
  </si>
  <si>
    <t>কিছু সময়ের একাকীত্ব ভালো কিন্তু সারা জীবনের জন্য নয়</t>
  </si>
  <si>
    <t>এই সমাজের ঐতিহ্য এবং সংস্কৃতির বিরুদ্ধে আমি অত্যন্ত আঘাত অনুভব করছি</t>
  </si>
  <si>
    <t>সত্যের পথে হারানোর পর আমার মন এখন কিছুই চাইতে পারে না</t>
  </si>
  <si>
    <t>আর্থিক সফলতা অর্জনের জন্য প্রতিদিন পরিশ্রম করা প্রয়োজন কিন্তু দুখের বিষয় কেউ পরিশ্রম করতে চাই না</t>
  </si>
  <si>
    <t>চোখের জলে স্বপ্ন ভেজা ছেলেদের কেউ বোঝে না</t>
  </si>
  <si>
    <t>নাটকের দুঃখের কাহিনীতে সত্যি আমি নিজেকে পাই কিন্তু আমার মনের খেলা পাই না</t>
  </si>
  <si>
    <t>বিনোদনের সাথে অন্ধকার নিতে হলে মনের আলো অবশ্যই নিয়ে চলা দরকার</t>
  </si>
  <si>
    <t>তোমায় বুঝানোর চেষ্টা করিনি শুধু নিরবে চলে এসেছি নিজের মত করে</t>
  </si>
  <si>
    <t>পূর্ণিমা জাতীয় চলচ্চিত্র পুরষ্কার পাওয়ার যোগ্যতা রাখে</t>
  </si>
  <si>
    <t>মুখে মুখে সবসময় ভালোবাসি ভালোবাসি বলার চেয়ে আমার মনে হয় ভালোবাসার মানুষটাকে বুঝতে পারা অনেক বড় ব্যাপার</t>
  </si>
  <si>
    <t>গসপেল আমাদের অধিকার চিরতরে কেড়ে নেয় প্রাপ্য এবং অযোগ্য দরিদ্রদের মধ্যে বৈষম্য করার জন্য</t>
  </si>
  <si>
    <t>পরিবারের সম্মুখে অনেক সময় আমি নিজেকে হারানোর মধ্যে পাই</t>
  </si>
  <si>
    <t>প্রেমের মধ্যে ভয় না থাকলে রস নিবিড় হয় না</t>
  </si>
  <si>
    <t>খেয়াল করে দেখো যেখানে আপনার অবদান বেশি সেখানে আপনার বদনাম ও বেশি থাকে</t>
  </si>
  <si>
    <t>পরিবারের অনবরত বিভ্রান্তির মধ্যে আমি অবিলম্বে পথ হারিয়ে যাচ্ছি</t>
  </si>
  <si>
    <t>নিজে অসুখী হয়ে অন্যকে ভালোবেসে সুখী করা যায়না</t>
  </si>
  <si>
    <t>আমরা ভালো সময়ের স্বপ্ন দেখছি</t>
  </si>
  <si>
    <t>মেনে নিতে কষ্ট হলেও তামীম ইকবাল আধুনিক ক্রিকেটের জন্যে আর মানানশই না</t>
  </si>
  <si>
    <t>এই সমাজের নীতি নৈতিক আদর্শে আমি সন্তোষ নিতে পারি না</t>
  </si>
  <si>
    <t>সংসারে অভ্যন্তরীন অসুস্থতা এড়াবার প্রধান উপায় হচ্ছে মনের ভেতর আপন ভুবন সৃষ্টি করে নেওয়া</t>
  </si>
  <si>
    <t>শুধু পড়ালেখাই করেই ভালো মানুষ হওয়া যায় না</t>
  </si>
  <si>
    <t>মৃত্যু আমাদের আধুনিক জীবনের অসুস্থতা থেকে মুক্তি দেয়</t>
  </si>
  <si>
    <t>বিষণ্নতা বর্ণান্ধ হচ্ছে এবং ক্রমাগত বলে দিচ্ছে পৃথিবী কতটা রঙিন</t>
  </si>
  <si>
    <t>যুদ্ধের শঙ্কাপূর্ণ সময়ে মানুষের মনে শুধু ভীষণতা বিস্তার হচ্ছে</t>
  </si>
  <si>
    <t>সংস্কৃতির আলোর সাথে পালা করে আঁধারে সোনার চাঁদ বানিয়ে চলছে অন্ধকারের রথে</t>
  </si>
  <si>
    <t>দুঃখের সংস্কৃতি বোঝাতে অসুস্থ মানুষের প্রয়োজন</t>
  </si>
  <si>
    <t>একাকীত্ব অন্যের দ্বারা তোমার উপর চাপিয়ে দেওয়া হয় এবং এটা তোমাকে শূন্যতা অনুভব করায়</t>
  </si>
  <si>
    <t>আপনি যদি সমস্যায় পড়েন বা কষ্ট পান বা প্রয়োজনে থাকেন গরীব মানুষের কাছে যান</t>
  </si>
  <si>
    <t>মনের ভেতরে এক অজানা আগুন জ্বলন্ত আছে</t>
  </si>
  <si>
    <t>ব্যথা কাটিয়ে ওঠার একমাত্র উপায় হল ব্যাথার মধ্য দিয়ে যাওয়া</t>
  </si>
  <si>
    <t>টাকা উপার্জন করার থেকে সেটাকে সেভিংস করার কঠিন মনে হচ্ছে কোনোভাবেই টাকা খরচ বাড়ানো থেকে নিজেকে বাঁচাতে পারছি না</t>
  </si>
  <si>
    <t>যুদ্ধের রঙে আমার মনে অনেক আকাঙ্ক্ষা হারিয়ে যায় অজানা দেশে</t>
  </si>
  <si>
    <t>গভীর রাতের আঁধারে কষ্টের দীর্ঘশ্বাসে মন ভেঙ্গে যাচ্ছে বার বার</t>
  </si>
  <si>
    <t>কষ্টের ভারে ভেঙ্গে পড়ার আগে নিজেকে সামলে নেই শিখছি দিনের পর দিন</t>
  </si>
  <si>
    <t>কোনো বাবা মা সন্তান থেকে কষ্ট পেলেও কখনো তাদের বদদোয়া দেয় না সন্তানের খারাপ চায় না</t>
  </si>
  <si>
    <t>সিনেমা দেখে হাসি এখন আমার মনের দুঃখ হয়ে গেছে</t>
  </si>
  <si>
    <t>পৃথিবী টাকার শক্তিতে কথা বলছে</t>
  </si>
  <si>
    <t>আমার ক্ষত বিক্ষত হৃদয় নিয়ে তোমার সামনে দাঁড়াবার সাহস নেই তোমার ভালোবাসা চাওয়ার অধিকারও নেই শুধু দূর থেকে বলতে চাই ভালো থেকো</t>
  </si>
  <si>
    <t>ভালবাসা হল বেচে থাকার আশায় বেচে থাকা যে বেচে থাকার আশা জাগায় তাকেই ভালবাসা তার কাছেই নিজেকে সপে দেয়া</t>
  </si>
  <si>
    <t>কিছু গল্পের শেষ কিভাবে হবে সেটা গল্পের মাঝামাঝি সময়ে বোঝা যায়</t>
  </si>
  <si>
    <t>ভালোবাসা যেমন বুঝে শুনে হয় না হঠাৎ করেই শুরু হয় তেমনি কিছু না বুঝে হঠাৎ করেই একদিন শেষও হয়ে যায়</t>
  </si>
  <si>
    <t>কিছু অপূর্ণতা আছে যা পূরণ হয়নি আর কেউ আমার হয়েও আমার হয়নি</t>
  </si>
  <si>
    <t>মানুষের প্রতি সহিষ্ণুতা ও সমানতার দরকার বোধ করার পরে মানুষের হৃদয়ের মধ্যে আরও একটি অন্ধকার ঝলক দেখা যায়</t>
  </si>
  <si>
    <t>সত্যিকারের ভালোবাসার সম্পর্কের কখনো কোনো ইতি থাকে না তা সে যত দূরেই থাকুক না কেন</t>
  </si>
  <si>
    <t>কখনো খারাপ বন্ধু বানাবেন না কারণ ও শুধু আপনার না আপনার পরিবারের জীবনও নষ্ট করতে পারে</t>
  </si>
  <si>
    <t>প্রত্যেক সম্পর্কের মূলনীতি এটাই যে আপনি যাকে ভালোবাসেন তাকে কখনো একা হতে দেন না বিশেষকরে যখন আপনি সেখানে অবস্থান করছেন</t>
  </si>
  <si>
    <t>ছবির শেষ দেখে হাসি ফেলছি কিন্তু আমার মনে সেই হাসি এখনও অসহায়</t>
  </si>
  <si>
    <t>নিজেকে পরিবারের বোঁজা মনে হচ্ছে</t>
  </si>
  <si>
    <t>ফোনটা কানের কাছে নিয়ে কথা বলছিলাম হঠাৎ হাত ফসকে মাটিতে পড়ে স্ক্রিনে ক্র্যাক পড়ে গেছে</t>
  </si>
  <si>
    <t>যুদ্ধের স্বপ্নে আমার অপরিচিত দেশের স্মৃতিরা বদলে যায় অজানা জগতে</t>
  </si>
  <si>
    <t>তুমি আমার সাথে খেলা করছো এটা আমার জন্য খুব আতঙ্কজনক</t>
  </si>
  <si>
    <t>আমার নীরবতা আমার জীবনের ব্যথার আরেকটি শব্দ</t>
  </si>
  <si>
    <t>কাউকে কোনো প্রতিশ্রুতি দেয়ার আগে চিরদিন কথাটার অর্থ বুঝে নেওয়া উচিৎ</t>
  </si>
  <si>
    <t>স্মৃতি নিয়ে বেঁচে থাকার চেয়ে সপ্ন নিয়ে বেচে থাকতে চাই</t>
  </si>
  <si>
    <t>সংস্কৃতির আলো পৌঁছে না মৃত্যুর অন্ধকারের দিকে</t>
  </si>
  <si>
    <t>মানুষ তাদের ফুফু থেকে কত আদর যত্ন পায় কিন্তু আফসোস আমার নিজের ভাগ্যেও এসব নেই</t>
  </si>
  <si>
    <t>উচ্চশিক্ষার জন্য দেশের বাইরে যাওয়া অনেক কষ্টসাধ্য ব্যাপার</t>
  </si>
  <si>
    <t>অসুস্থতা মানুষকে তার মৌলিক অবস্থায় কমিয়ে দেয় একটি ক্লোকা যেখানে রাসায়নিক প্রক্রিয়া চলতে থাকে অনৈচ্ছিক অর্থহীন আধিপত্য</t>
  </si>
  <si>
    <t>এতটা ভালোবাসা আর কে বোঝে ধন্যবাদ বন্ধুরা এমন স্পেশাল উপহার দেওয়ার জন্য</t>
  </si>
  <si>
    <t>সবাই দিনেরশেষে চায় পরিবারের সবার সাথে বসে কথা বলতে কিন্তু সবার ব্যাস্ততার কারনে এইটা প্রায় সময় ই হয়ে উঠেনা</t>
  </si>
  <si>
    <t>কেউ বলে বন্ধু বড় কেউ বলে ভালোবাসা বড় আসলে যে সম্পর্কটা বজায় রাখে সেই মানুষটাই সবথেকে বড়</t>
  </si>
  <si>
    <t>সত্যের কথা বলতে পারতেও নেই কারণ আমি নিজেই সত্যের মুখে দোষী</t>
  </si>
  <si>
    <t>ঋণ অগ্নি এবং রোগের শেষ রাখতে নেই কারণ তারা আবার বেড়ে যেতে পারে.</t>
  </si>
  <si>
    <t>কষ্ট হচ্ছে নীরব অন্ধকারে</t>
  </si>
  <si>
    <t>মাঝ রাতের বোবা কান্না আর চোখ বেয়ে পড়া জল গুলো কখনো মিথ্যে হয় না</t>
  </si>
  <si>
    <t>শুধু একাডেমিক বই পড়লে শিক্ষিত হওয়া যায় না তার পারিপাশ্বিক আরো সামাজিক বই পড়তে হয়</t>
  </si>
  <si>
    <t>সিনেমার চলচ্চিত্রের কাহিনীতে সত্যি এবং অসত্যের মিশ্রণ যেমন ঠিক তেমনি আমার জীবনেও</t>
  </si>
  <si>
    <t>যখন কোন পুরুষ কোন নারীকে ভালবাসে তখন সে তার জন্য সব কিছু করতে পারে কেবল তাকে ভালবেসে যেতে পারেনা</t>
  </si>
  <si>
    <t>একা থাকতে শিখেছি কষ্ট পেতে শিখেছি কারো প্রয়োজন না হলেও বেঁচে থাকতে শিখেছি</t>
  </si>
  <si>
    <t>পৃথিবী টাকার বাসায় কথা বলছে</t>
  </si>
  <si>
    <t>কষ্ট লাগে তখনই যখন কিছু মানুষ শিক্ষা প্রতিষ্ঠানকে ব্যবসা মনে করে</t>
  </si>
  <si>
    <t>সংস্কৃতির সুরে বাজে নিঃশ্বাসের গান</t>
  </si>
  <si>
    <t>নিজের ক্যারিয়ার গোছানোর লক্ষ্যে নিজেকেই হারিয়ে ফেলেছি</t>
  </si>
  <si>
    <t>সবাই নানা নানীর থেকে সব চেয়ে বেশী আদর পেয়ে থাকে আমার জীবনে সেটা আসেনি আমি জন্মগ্রহনের আগেই আমার নানা নানী মারা যায়</t>
  </si>
  <si>
    <t>সমুদ্রের ঢেউ বার বার ফিরে আসে কিন্তু যাকে একবার নেয় তাকে আর ফিরিয়ে দেয় না কিছু কথা কাউকে বলা যায়না শুধু বুকের মধ্যে বয়ে বেড়াতে হয়</t>
  </si>
  <si>
    <t>ইতিহাস ধনীদের দ্বারা লেখা আর তাই সব কিছুর জন্য গরীবদের দোষারোপ করা হয়</t>
  </si>
  <si>
    <t>প্রাকটিস সময় মুস্তাফিয মাথায় বলের আঘাত পেয়েছে</t>
  </si>
  <si>
    <t>মধ্যবিত্তদের সাধ আছে সাধ্য নেই</t>
  </si>
  <si>
    <t>যুদ্ধের প্রভাব মনে দাগ কেটে যায়</t>
  </si>
  <si>
    <t>সম্পর্ক এমনই হওয়া উচিত যেখানে দূরে থেকেও কাছে থাকার অনুভূতি পাওয়া যায়</t>
  </si>
  <si>
    <t>ভুলে গেলে যেন আমার অসতীত নিরাশ হয়ে উঠে</t>
  </si>
  <si>
    <t>বিনোদনের ঝুলন্ত পাখির প্রেমের দাম মানা দেওয়ার জন্যে সময় অবহেলা করা হয়ে যায়</t>
  </si>
  <si>
    <t>একাকীত্ব আমাকে এই পৃথিবীর অনেক কিছু শিখিয়েছে শুধু যে আমাকে একাকী করেছে তাকে এখনো বুঝতে পারি না</t>
  </si>
  <si>
    <t>পৃথিবীর সব থেকে নিঃস্বার্থ সম্পর্ক হলে মায়ের ভালোবাসা</t>
  </si>
  <si>
    <t>টাকা পয়সার কষ্টের চেয়েও ভালোবাসার মানুষ হারানোর কষ্টটা বেশি কষ্টের</t>
  </si>
  <si>
    <t>অশ্রু এমন একটি ভাষা যা কখনো মুখে প্রকাশ করা যায়না আর হৃদয়ও বহন করতে পারেনা</t>
  </si>
  <si>
    <t>কঠিন অন্তরের চেয়ে মারাত্মক কোন শাস্তি কখনো কাউকে দেয়া হয়নি</t>
  </si>
  <si>
    <t>শুধু পড়ালেখাই করলে হয় না ভালো মানুষ হতে শিখতে হয়</t>
  </si>
  <si>
    <t>গুললের শেয়ারের বর্তমান অবস্থা আশানরূপ নহে</t>
  </si>
  <si>
    <t>তারা হার্ভার্ড একাডেমিয়া গরিবদের পছন্দ করে কিন্তু গরিবের গন্ধ পছন্দ করে না</t>
  </si>
  <si>
    <t>কষ্টের পরিস্থিতিতে একটা ইপিআই কানেক্ট করে ওয়েদার ওয়েব অ্যাপ তৈরি করতে যাই পরে দেখা যায় এপিআই এর জন্য একাউন্ট খুলতে গিয়ে নিজের মেইল এড্রেস টাইপ ভুল করে আসি যার জন্য অ্যাপ কাজ করেনা</t>
  </si>
  <si>
    <t>ভাঙা হৃদয়ও স্পন্দিত হয় সারাজীবন হোক তা কারো স্মৃতিতে বা কারো অভিযোগে</t>
  </si>
  <si>
    <t>গভীর রাতের আঁধারে কষ্টের দীর্ঘশ্বাসে ভেসে যায় সকল স্বপ্ন</t>
  </si>
  <si>
    <t>কিছু কিছু দারিদ্রতার কাছে আমরা হার মেনে যাই</t>
  </si>
  <si>
    <t>নাটকের দুঃখের সীমানা আমার নিজের সীমানা থেকে বেড়ে গেছে</t>
  </si>
  <si>
    <t>একটি সুন্দর সম্পর্ক গড়ে ওঠে মানুষের আন্তরিক প্রচেষ্টা ও ভালবাসার মাধ্যমে</t>
  </si>
  <si>
    <t>অসুস্থ হওয়া অবিশ্বাস্যভাবে কঠিন</t>
  </si>
  <si>
    <t>কিছু ভ্রমণে আনন্দ নয় বরং নিয়ে আসে অবসাদ</t>
  </si>
  <si>
    <t>যুদ্ধের আগুনে ভাসা যাচ্ছে মানুষের স্বপ্ন ও আশা</t>
  </si>
  <si>
    <t>তুমি কোনো কারণ ছাড়াই আমার থেকে দূরে সরে গিয়েছো তাই দয়া করে কোনো অজুহাত দিয়ে আর ফিরে আসার চেষ্টা করো না</t>
  </si>
  <si>
    <t>কান্না দিয়ে যদি সব বেদনাকে মুছেফেলা সম্ভব</t>
  </si>
  <si>
    <t>যুদ্ধের শব্দে আমার মনে আসে সব স্মৃতিরা মৃত্যুর স্বপ্নের মতো</t>
  </si>
  <si>
    <t>ব্যথা আপনাকে শক্তিশালী করে তোলে অশ্রু আপনাকে সাহসী করে তোলে</t>
  </si>
  <si>
    <t>নীরবতায় বিস্মরণ সংস্কৃতির অপমান</t>
  </si>
  <si>
    <t>দিন দিন মোবাইল ডাটার দাম বেড়েই চলেছে বুঝিনা সরকার কেন এ বিষয়ে কোনো পদক্ষেপ নেয় না</t>
  </si>
  <si>
    <t>মানুষ যখন একা চলতে থাকে তখন সে পৃথিবীটা বুঝতে পারে</t>
  </si>
  <si>
    <t>ঘৃণা অন্ধ প্রেমের মতই</t>
  </si>
  <si>
    <t>সন্ত্রাসের বৃক্ষ পোড়ানোর প্রতিটি পাতা আমাদের অমৃতসরোবর ভেঙ্গে দেয়েছে</t>
  </si>
  <si>
    <t>প্রাচীন ইতিহাসের গভীর সমুদ্রে আমি অনুভব করছি</t>
  </si>
  <si>
    <t>এত দিনের পড়াশোনার কোনো সার্থকতা খুঁজে পাচ্ছি না মনে হচ্ছে সব বৃথা জীবনটা অর্থহীন</t>
  </si>
  <si>
    <t>নাটকের প্রহরগুলি আমার জীবনের নামায়িকা হয়ে উঠেছে</t>
  </si>
  <si>
    <t>এই শহরে আপন বলতে আছে শুধু নিজের ছায়া</t>
  </si>
  <si>
    <t>কেউ কেউ মনে করেন বিলাসিতা দারিদ্র্যের বিপরীত এইটা না এটি অশ্লীলতার বিপরীত</t>
  </si>
  <si>
    <t>গুরুত্ব বোঝার জন্য ভাষার প্রয়োজন হয় না বেকারত্বই যথেষ্ট</t>
  </si>
  <si>
    <t>আমরা মানুষের হৃদয়ের সাথে খুবই ছাড়াছাড়ি কিন্তু সমান নয় এটি কেবল দেখা যায় না</t>
  </si>
  <si>
    <t>থাকলে কাছে কে আর বোঝে কিন্তু হারিয়ে গেলে সবাই খোঁজে</t>
  </si>
  <si>
    <t>মুখে উন্নতির কথা বললেই উন্নতি সাধিত হয়না</t>
  </si>
  <si>
    <t>হারানো ইতিহাসের আলোয় কাঁদতে হয়ে উঠে</t>
  </si>
  <si>
    <t>যুদ্ধের স্বপ্নে আমার অপরিচিত প্রিয়জনের ভুলে যাওয়া জাদু মুছে যায় আমার মনে</t>
  </si>
  <si>
    <t>যতক্ষন আপনার পকেটে টাকা আছে সবাই আপনার পাশে আছে টাকাটা না থাকলে কেউ নাই</t>
  </si>
  <si>
    <t>কারণ গরীবদের কাছে বই ডাইভারশন নয় বই অবরোধের অস্ত্র</t>
  </si>
  <si>
    <t>ভাগ্যের কাছে আমি হার মানি নাই হেরে গেছি শুধু বিশ্বাসের কাছে</t>
  </si>
  <si>
    <t>দারিদ্র্য হল দরিদ্র পছন্দের ফল নয় দরিদ্র ভাগ্যের</t>
  </si>
  <si>
    <t>একজন রাজনৈতিক ব্যাক্তির নিকট হইতে এমন উক্তি আশা করা যায় না</t>
  </si>
  <si>
    <t>আমি আমার সমস্যা গুলো দিয়ে কাউকে বিরক্ত করতে চাইনা তাই সবসময় ভালো থাকার ভান করি</t>
  </si>
  <si>
    <t>চেতনা আর শব্দ একবার মেরে ফেললে মানুষ আর স্বাধীনতার অর্থই বুঝতে পারে না যেটা বর্তমান রাজনীতির প্রবণতা</t>
  </si>
  <si>
    <t>ভালোবাসা পাওয়ার চাইতে ভালোবাসা দেয়াতেই বেশি আনন্দ</t>
  </si>
  <si>
    <t>প্রিয় বই পড়া আমাদের মনে অনেক দুঃখ এনে দেয় যেটা আমরা সামলাতে পারিনা</t>
  </si>
  <si>
    <t>তোমার সাথে দেখা স্বপ্ন গুলো আজ একা ভাবতে খুব কষ্ট হয়</t>
  </si>
  <si>
    <t>একাকীত্ব এবং অবাঞ্ছিত হওয়ার অনুভূতি সবচেয়ে ভয়ানক দারিদ্র্য</t>
  </si>
  <si>
    <t>সিনেমার কাহিনী আমার জীবনের কাহিনীর মতো যেটি শেষ হলে আমি অন্তরে অন্ধকার অনুভব করে করি</t>
  </si>
  <si>
    <t>গরিবরা জীবনকে ধনীদের মতোই আবেগের সাথে ভালোবাসে সম্ভবত আরও প্রচেষ্টার জন্য এটি আঁকড়ে ধরা লাগে</t>
  </si>
  <si>
    <t>ভাগ্যের উপর নির্ভরশীল মানুষেরাই জীবনে উন্নতি করতে পারে না</t>
  </si>
  <si>
    <t>যুদ্ধের গতির নগরীর পথে আমার অপরিচিত দেশের স্মৃতিরা চোখে জল ধরে পড়ে</t>
  </si>
  <si>
    <t>অসুস্থ লোকের চিন্তা ভাবনাও অসুস্থ থাকে</t>
  </si>
  <si>
    <t>নিজেকে দেখে মনে হচ্ছে শারীরিক উন্নতি হচ্ছে কিন্তু আসলে কোন উন্নতিই হচ্ছে না</t>
  </si>
  <si>
    <t>অন্য কেউ না থাকা আমার জীবনে একটি অচেনা কথা যা আমি স্বীকার করতে পারি না</t>
  </si>
  <si>
    <t>মোবাইলটা হচ্ছে পানির গ্লাসের মতো এটা আপনার উপর নির্ভর করে আপনি কি এটাতে আপনি করেন</t>
  </si>
  <si>
    <t>মিথ্যা বলার পর আমার মনে একটা অন্ধকার বসে পড়ে গেছে</t>
  </si>
  <si>
    <t>চরম দারিদ্র্য কেবলমাত্র অতৃপ্ত বস্তুগত চাহিদার শর্ত নয় এটি প্রায়শই শক্তিহীনতার অবনতিশীল অবস্থার সাথে থাকে</t>
  </si>
  <si>
    <t>আমিার নদীর কাছে জেতে ইচ্ছে করে জানতে ইচ্ছে করে তার কোনো দুঃখ হয় কিনা</t>
  </si>
  <si>
    <t>সোশ্যাল মিডিয়া মনোযোগ কেড়ে নিচ্ছে</t>
  </si>
  <si>
    <t>যুদ্ধে হারিয়ে গেছে মানবতার শান্তি ও সহযোগিতা</t>
  </si>
  <si>
    <t>বাংলার আসল রূপ সত্যিকারের ছবি হচ্ছে এগুলা বেঁচে থাকুক এই ছবিগুলি যুগযুগান্তরে</t>
  </si>
  <si>
    <t>এইভাবে দারিদ্র্যের কারণ অনুসন্ধান করা একটি বুদ্ধিবৃত্তিক শেষ প্রান্তে প্রবেশ করা কারণ দারিদ্র্যের কোন কারণ নেই শুধুমাত্র সমৃদ্ধির কারণ আছে</t>
  </si>
  <si>
    <t>পরিস্থিতি এই মুখের হাসি কেড়ে নিয়েছে</t>
  </si>
  <si>
    <t>যারা দূরে থেকেও রাখে খোঁজ তাদের ই জন্য বাঁচি রোজ</t>
  </si>
  <si>
    <t>পরিবারের অভাবে আমার স্বপ্ন পুরন হওয়ার স্বপ্ন বড় ভয়ঙ্কর</t>
  </si>
  <si>
    <t>মুখ বজায় রাখা মনের দুঃখ কখনো দেখায় না বিনোদনের কোনো খোলা রহস্য নেই</t>
  </si>
  <si>
    <t>একটি আত্মার সম্পদ পরিমাপ করা হয় সে কতটা অনুভব করতে পারে তার দারিদ্রতা কতটা সামান্য দ্বারা</t>
  </si>
  <si>
    <t>ফেসবুকে প্রকাশিত মিথ্যা প্রেমের গল্প যে যৌবন হারাচ্ছে অলস চিত্রাঙ্কনের মধ্যে</t>
  </si>
  <si>
    <t>আমি তোমার প্রেমে অবমানিত হচ্ছি কারণ এত অসহ্যকর কিছু করছো</t>
  </si>
  <si>
    <t>রাজনীতিবিদরা সময়ের সাথে বদলে যাওয়া মানুষের বিশ্বাস নিয়ে খেলা করে</t>
  </si>
  <si>
    <t>অতীতের সাথে মনে পড়া সময় কাঁদতে চাই</t>
  </si>
  <si>
    <t>কম্পিউটার সায়েন্সের পড়ালেখা যত কঠিন হবে তা ভর্তির আগে জীবনে চিন্তা করিনি</t>
  </si>
  <si>
    <t>দিনশেষে যে পরিবারটাই সেরা টাকা জন্য আজকে সে পরিবারটার কাছে যাতে পারছিনা</t>
  </si>
  <si>
    <t>একা থাকা প্রতিটা সময় মানুষকে শক্ত ও সাহসী করে তোলে</t>
  </si>
  <si>
    <t>জীবনে এমন কিছু কষ্ট পেয়েছি যা জীবন কেড়ে নিয়ে বাঁচিয়ে রেখেছে</t>
  </si>
  <si>
    <t>স্মৃতির ঘরে প্রাচীন কাঁপছে আমার দুঃখের পরিচয় হচ্ছে</t>
  </si>
  <si>
    <t>ওরা ভীষণ রকমের স্বার্থপর হয় যারা প্রয়োজনের তাগিদে প্রিয়জন পরিবর্তন করে</t>
  </si>
  <si>
    <t>সত্য বলতে অসংখ্য রকমের কষ্ট আমার মধ্যে ঢুকে আসছে</t>
  </si>
  <si>
    <t>তুমি আমার সাথে আসতেছ বিপদের সম্মুখীন হয়ো না সাবধানে অবস্থান করো</t>
  </si>
  <si>
    <t>একাকীত্ব তখন অনুভূত হয় যখন ভালোবাসার মানুষ পাশে চাই</t>
  </si>
  <si>
    <t>রাজনীতিবিদরা কোনো সমস্যার সমাধান খুঁজে পাওয়া বা এটি দুর করতে নাহ পারে</t>
  </si>
  <si>
    <t>ভালোবাসার অসাধারণ চরিত্র আছে অসম্পূর্ণ হতে পারে কিন্তু শেষ হয় না</t>
  </si>
  <si>
    <t>স্বপ্ন দেখা খুবই সহজ কিন্তু বাস্তবতাকে বুঝে উঠা খুবই কঠিন</t>
  </si>
  <si>
    <t>অসত্যতা এবং অবিশ্বাসীতে আমরা সম্পর্কের ভিত্তি উপস্থাপন করা পারে না কারণ এটি সম্পর্কের অস্থিরতা এবং বিশ্বাসের অভাব সৃষ্টি করে</t>
  </si>
  <si>
    <t>পৃথিবীর সবচেয়ে কাব্যিক জিনিস হল অসুস্থ না হওয়া</t>
  </si>
  <si>
    <t>হারানো সময়ের আলোতে আমি আমার দুঃখ পান</t>
  </si>
  <si>
    <t>যুদ্ধে বন্ধুত্বের পথে হারিয়ে যাচ্ছে মানুষের আদর ও সহানুভুতি</t>
  </si>
  <si>
    <t>ভালোবাসার মানুষটাকে যখন অন্যের সাথে দেখি তখন মনটা ভেঙে চুরমার হয়ে যায়</t>
  </si>
  <si>
    <t>হৃদয়ের ব্যথাকে লুকিয়ে রেখে জীবনযাপন কঠিন</t>
  </si>
  <si>
    <t>বাইরে যতই হোক কঠিন ভেতরে একটা নরম মন থাকে ছেলেদের</t>
  </si>
  <si>
    <t>জীবন এবং কর্মজীবনের পথে সৎ হওয়া খুব কঠিন</t>
  </si>
  <si>
    <t>সিনেমার কাহিনী আমার জীবনের কাহিনীর মতো হয়ে উঠে না কখনোই</t>
  </si>
  <si>
    <t>সাময়িকতা একটি দাবি নয় তা হল একটি রাস্তা যা আমাকে নিজের সময়ের দিকে পৌঁছায় না</t>
  </si>
  <si>
    <t>নেইমার এই সময়ের সেরা ফুটবলার দের মধ্যে একজন কিন্তু এইটা দুখের বিষয় যে সে তার বেপরোয়া জীবন জাপনের জন্যে নিজের প্রতিবা নষ্ট করেছে</t>
  </si>
  <si>
    <t>সংস্কৃতির ভূমিকা পুনর্নির্মাণে দেয় নিশ্চিত নেতৃত্ব</t>
  </si>
  <si>
    <t>যুদ্ধে জীবনের সব সুখের ফুল পুড়ে গেছে মাটিতে</t>
  </si>
  <si>
    <t>আমার পরিবারের মধ্যে সম্মান এবং সহানুভূতির অভাব অনেক সময় আমাকে প্রভাবিত করে</t>
  </si>
  <si>
    <t>ভিড়ের মধ্যেও একা একা থাকার বেদনা কেমন তা কেবল আমিই জানি</t>
  </si>
  <si>
    <t>এটা সত্য যে বিশ্বব্যাপী সম্পদ নিরঙ্কুশভাবে বাড়ছে কিন্তু বৈষম্যও বেড়েছে এবং নতুন দারিদ্র্যের উদ্ভব হচ্ছে</t>
  </si>
  <si>
    <t>একই মায়ের পেটের ভাই কিন্তু দেখলে বোঝা যায় না একজন খুব সফলতা অর্জন করেছে আর একজন খারাপ সঙ্গের কারণে নিজের জীবনটা নষ্ট করছে</t>
  </si>
  <si>
    <t>আজকের সমাজে আমি একা এই সোশ্যাল মিডিয়ার ভেতরে কিছু খুঁজে পাচ্ছি না</t>
  </si>
  <si>
    <t>কাউকে ভালোবাসতে চান তাহলে নিজের ক্যারিয়ারকে ভালোবাসুন কোনো মেয়েকে নয় কারণ মেয়ের মা আপনি ভালোবাসেন কিনা সেটা প্রশ্ন করে না আপনি কি করেন সেটা প্রশ্ন করে</t>
  </si>
  <si>
    <t>স্কুলের বন্ধুর মতো বন্ধু কোথাও খুজে পাও না আর ভার্সিটির বন্ধু কখনো বন্ধু হয় না সবাই ক্লাসমেট ই হয়</t>
  </si>
  <si>
    <t>যারা খুব সহজে সবাইকে আপন করে নেয় তারাই পৃথিবীতে সবচেয়ে বেশি কষ্ট পায়</t>
  </si>
  <si>
    <t>যে কোনো সম্পর্ককে একমাত্র ভালোবাসাই প্রজ্বলিত করে তুলতে পারে</t>
  </si>
  <si>
    <t>একা থাকার কষ্টে হৃদয় ভেঙে চুরমার কারো কাছেই নেই আমার কোনো আশ্রয়</t>
  </si>
  <si>
    <t>পড়ালেখার পাশাপাশি সকলের উচিত যার যার ধর্মীয় জ্ঞানেও শিক্ষা অর্জন করা</t>
  </si>
  <si>
    <t>ইনস্টাগ্রামে প্রকাশিত সৌন্দর্যের নীরব কাল্পনিক পৃথিবী যেখানে আত্মবিশ্বাস হারিয়ে যাচ্ছে যৌবন</t>
  </si>
  <si>
    <t>মানবতার উপর মানবতার সমস্ত অযৌক্তিক অনুমানগুলির মধ্যে সুস্বাস্থ্যের অধিকারী উষ্ণ এবং সুস্বাস্থ্যের দ্বারা দরিদ্রদের অভ্যাসের উপর করা বেশিরভাগ সমালোচনাকে ছাড়িয়ে যায় না</t>
  </si>
  <si>
    <t>এইবার একটি সীমাহিন গন্তব্যে যাত্রা শুরু করতে চাই</t>
  </si>
  <si>
    <t>মাঝে মাঝে মনে হয় জীবনের লক্ষ্য ছাড়া কোনো কাজের অর্থ আছে না</t>
  </si>
  <si>
    <t>যে কোনও সম্পর্কের গুরুত্ব তখনই বাড়ে যখন মানুষ নিজেকে ভালোবাসতে পারে</t>
  </si>
  <si>
    <t>ভালোবাসা এবং যত্ন দিয়ে মরুভূমিতেও ফুল ফোটানো যায়</t>
  </si>
  <si>
    <t>এত কষ্ট করে কাজ করার পরও যখন রেটিং রিভিউ না দেই ক্লায়েন্ট তখন কেমনটা লাগে</t>
  </si>
  <si>
    <t>বাংলার সংস্কৃতির অন্ধকারে লুকিয়ে গেছে আশার আলো</t>
  </si>
  <si>
    <t>একটি সম্পর্ক দুজন মানুষ দ্বারা তৈরি হয় কিন্তু সেই সম্পর্ক একটি মানুষ ভেঙ্গে দিতে পারে</t>
  </si>
  <si>
    <t>রাতটা যেন আমার ক্ষতগুলোর কথা মনে করিয়ে দেয়</t>
  </si>
  <si>
    <t>যুদ্ধে প্রেম ও সহযোগিতা বিপরীত দিকে হারিয়ে যাচ্ছে</t>
  </si>
  <si>
    <t>ব্যর্থতা হল সফলতার আগাম বার্তা</t>
  </si>
  <si>
    <t>জীবনে কি হচ্ছে বুঝতে পারছি না এত চেষ্টার পরেও কিছু ঠিক করতে পারছি না</t>
  </si>
  <si>
    <t>গান শুনলেই মন কাঁপে পাশাপাশি দুঃখের বন্দী হয়ে যায়</t>
  </si>
  <si>
    <t>সমাজে যারা বঞ্চিত আমাদের সকলের উচিৎ তাদের পাশে দাঁড়ানো তাদের সাহায্য করার মতো কেউ ই থাকে না</t>
  </si>
  <si>
    <t>দুনিয়ার সবচেয়ে কঠিনতম কাজ হচ্ছে সৎ বন্ধু বানানো</t>
  </si>
  <si>
    <t>একজন অসুস্থ ব্যক্তির একমাত্র দিক হল সামনের দিকে এবং উপরের দিকে</t>
  </si>
  <si>
    <t>একটি শক্তি আছে যা অসুস্থতা এবং দুর্বলতা থেকে উত্পন্ন হয়</t>
  </si>
  <si>
    <t>পরিবারের মধ্যে আমি সব সময় একটা বিরক্ত অনুভূতি অনুভব করি</t>
  </si>
  <si>
    <t>তৃতীয় বিশ্বের দেশগুলির লোকেরা দারিদ্র্যের মধ্যে বাস করছে না তারা এমনভাবে জীবনযাপন করছে যেভাবে প্রকৃতি আমাদের বাঁচত শিখিয়েছে এবং আমাদের সবাইকে লজ্জায় ফেলেছে</t>
  </si>
  <si>
    <t>বি এন পি বারবার আন্দোলনের কথা বললেও কিছুই করতে পারছে না</t>
  </si>
  <si>
    <t>ইট পাথরের এই শহরে আমি রোজ ধুকে ধুকে মরি নিঃশ্বাস নিতে কষ্ট হয় তবুও বাঁচার চেষ্টা করি</t>
  </si>
  <si>
    <t>সবার যাত্রা শুভ হয় না</t>
  </si>
  <si>
    <t>আওয়াজ তুলতে চেয়েও আমি পারিনা মনের কথাগুলোও মুখে বোঝাতে পারিনা অনুভূতিহীন হয়ে বোবা হয়েই রই</t>
  </si>
  <si>
    <t>মা বাবা আমাদের সব চেয়ে কাছের মানুষ গুলো কিন্তু আমরা আমাদের মনের অজান্তেও তাদের মনে অনেক কষ্ট দিয়ে থাকি</t>
  </si>
  <si>
    <t>সামাজিক মাধ্যমের অলস স্বপ্নের জগতে হারা যৌবন মিথ্যা আশার মহাজালে নিরাপদ নয় কোন পথে</t>
  </si>
  <si>
    <t>হত্যার রঙে আমার ভূতের দেশের স্মৃতিরা মৃতের স্বপ্নের মত অবিরাম</t>
  </si>
  <si>
    <t>সম্পর্ক যদি বিশ্বাস ও ভরসা দিয়ে তৈরি হয় তবে হাজার প্রতিকূলতার মধ্যেও সেই সম্পর্ক বজায় থাকে চিরকাল</t>
  </si>
  <si>
    <t>প্রেমের মধ্যে ভয় না থাকলে রস নিবিড় হয় না</t>
  </si>
  <si>
    <t>কষ্টটা আজও বুকে নিয়ে বেঁচে আছি</t>
  </si>
  <si>
    <t>বই পড়ার সময় আমরা এমন একটি সাময়িক অবস্থানে আসি যেখানে আমরা আমাদের নিজেদের সমস্যার সমাধান করতে পারি না</t>
  </si>
  <si>
    <t>ভালোবাসা আনন্দগুলো একমুহুর্ত থাকে কিন্তু ভালোবাসার দুঃখের মুহূর্তগুলো সারাজীবন রয়ে যায়</t>
  </si>
  <si>
    <t>আমি একা থাকা অপছন্দ করি না কারণ আমি ভিড়ের মধ্যে অন্যতম একজন হতে চাইনা</t>
  </si>
  <si>
    <t>রাত জাগা ভোরের আলো দেখে সময় নষ্ট করো না</t>
  </si>
  <si>
    <t>দারিদ্র্য স্বপ্ন চোর</t>
  </si>
  <si>
    <t>অবুঝ অতীতের অনুভূতি হচ্ছে আমার সুখের বিরক্তি</t>
  </si>
  <si>
    <t>প্রকৃতপক্ষে মানুষ কখনও ব্যর্থ হয় না সে কেবল একটা পর্যায়ে এসে হার মেনে নেয়</t>
  </si>
  <si>
    <t>কত কান্না কত ক্ষতি যুদ্ধের অকারণ আহত মানুষের হৃদয়ে কতটা স্থান নেই</t>
  </si>
  <si>
    <t>স্বপ্ন দেখা খুবই সহজ লাগে কিন্তু বাস্তবতাকে বুঝে উঠা কঠিন লাগে</t>
  </si>
  <si>
    <t>ওহ এতো ভাল তাকে আমি বেসেছি ঘৃনার কোন অনুভূতিই না থাকে তার প্রতি</t>
  </si>
  <si>
    <t>ব্যস্ততা পূর্ণ শহর আজ অসুস্থতায় পরিপূর্ণ</t>
  </si>
  <si>
    <t>সবার মধ্যে টিকে থাকা সহজ কিন্তু একা বুঝতে পারা খুবই কঠিন কাজ</t>
  </si>
  <si>
    <t>হাসি দিয়ে হয়তো সব কিছু প্রকাশ করা যায় না কিন্তু অনেক কিছু আড়াল করা যায়</t>
  </si>
  <si>
    <t>মা যখন কোথাও যায় মা ছাড়া পুরো বাসা টাই ফাকা ফাকা লাগে তখন ই বোঝা যায় মা কি জিনিস</t>
  </si>
  <si>
    <t>সিনেমার প্রধান চরিত্রের মধ্যে আমি নিজেকে পেয়েছি কিন্তু আমার মনে অন্তরে না</t>
  </si>
  <si>
    <t>অসুস্থতাকে বৃদ্ধি এবং স্ব যত্ন জন্য একটি অনুঘটকে পরিণত করছি</t>
  </si>
  <si>
    <t>তোমাকে হারানোর ভয় বেশি লাগতেছে</t>
  </si>
  <si>
    <t>গভীর রাতের নীরবতায় মন কাঁদে</t>
  </si>
  <si>
    <t>সিনেমার কাহিনী আমার জীবনের কাহিনীর মতো যেটি শেষ হলে আমি অন্তরে অন্ধকারে পড়ি</t>
  </si>
  <si>
    <t>আমার হৃদয় এক নিঃসঙ্গ পথিক জীবনের প্রান্তরে সান্ত্বনা খোঁজে</t>
  </si>
  <si>
    <t>যুদ্ধের সংকেতে আমরা সজাগ আছি</t>
  </si>
  <si>
    <t>দেশের সম্প্রতি অর্থনৈতিক অবস্থা দুঃখজনক</t>
  </si>
  <si>
    <t>গণতন্ত্র নিয়ে কথা বলে লাভ নেই এই দেশে</t>
  </si>
  <si>
    <t>এতগুলা সার্টিফিকেট নিয়ে কি করতে পারবো যদি নিজের মানবতাই না থাকে</t>
  </si>
  <si>
    <t>পরিবারের এই খারাপ অবস্থায় কিভাবে ইউনিভার্সিটি টিউশন ফি দিবো বুঝতে পারছি না</t>
  </si>
  <si>
    <t>এতো বড়ো হয়েও এখনো বাবা মায়ের দাইত্ত নিতে পারছি না এর থেকে অপমানের আর কি হতে পারে</t>
  </si>
  <si>
    <t>শুস্ত রাজনীতি সমাজের উন্নতির জন্য গুরুত্বপূর্ণ কিন্তু তা হচ্ছে কোথায়</t>
  </si>
  <si>
    <t>একাকীত্বের বেড়াজালে যখন আটকে থাকি তখন মনে হয় পৃথিবীটা যেন শুধুই আমার শত্রু</t>
  </si>
  <si>
    <t>মোনালিসা লেওনার্দ দা ভিঞ্চি এর অন্যতম সেরা সৃষ্টি হলেও অনেকেই হতাশ হয় কারণ অনেকেই এর সঠিক অর্থ বুঝতে পারে না</t>
  </si>
  <si>
    <t>অস্তিত্বের একটি বিশ্বাসে তুমি কেন অসত্য বলছো</t>
  </si>
  <si>
    <t>যুদ্ধ ধনীরা শুরু করে আর তার প্রভাবে গরিবরা মরে</t>
  </si>
  <si>
    <t>যুদ্ধের অন্ধকারে হারিয়ে গেছে মানুষের মানবতা</t>
  </si>
  <si>
    <t>অনেকেই বাসার বাইরে বের হয় না সবার সাথে মিসে না সবার উচিৎ পাড়া প্রতিবেশী সবার থাকে ভালো সম্পর্ক রাখা</t>
  </si>
  <si>
    <t>হাসিমুখে অসুস্থ জীবনকে আলিঙ্গন করেছি</t>
  </si>
  <si>
    <t>সিঁড়ি দিয়ে উঠতে গিয়ে হাঁপিয়ে গিয়েছি মনে হচ্ছে শরীরের অবস্থা আগের মতো নেই</t>
  </si>
  <si>
    <t>যুদ্ধের গাঁথার ভেতর অশান্তির স্ত্রী কোন ভাবে শান্তির সংগী হতে পারে</t>
  </si>
  <si>
    <t>সময়ের গভীর অশ্লীল অংশ আমি আমার মনে মনে চেনাচেনা করছি</t>
  </si>
  <si>
    <t>জীবনে মাঝে মাঝে এমন সময় আসে যখন আমাদের কিছু বলার থাকে না</t>
  </si>
  <si>
    <t>যুদ্ধের ক্ষতির ধারণা হলো মানবতার শেষকালের সন্ধান এবং নির্যাতন</t>
  </si>
  <si>
    <t>পৃথিবীর সব খানে স্বার্থপরতা লুকিয়ে রয়েছে</t>
  </si>
  <si>
    <t>জীবনের রং নিয়ে খুঁজে বেড়াচ্ছি সোশ্যাল মিডিয়াতে কিন্তু এটা শুধু অস্থিরতা এনেছে</t>
  </si>
  <si>
    <t>অসুস্থতা না আসা পর্যন্ত স্বাস্থ্যের মূল্য নেই</t>
  </si>
  <si>
    <t>কিছু মানুষের একাকিত্বের গল্প গুলো লুকিয়ে থাকে যা কখনোই প্রকাশ পায়না</t>
  </si>
  <si>
    <t>পুরাতন সময়ের মিষ্টি স্মৃতি হচ্ছে আমার শুধু দুঃখিত</t>
  </si>
  <si>
    <t>রঙের পেছনে আলাদা মানুষের নিয়ে বিতর্ক এখনও চলছে আমাদের মনে যে সহিষ্ণুতা আর সমানতার প্রতি কোনো মূল্য নেই</t>
  </si>
  <si>
    <t>রাজনীতির বিশ্বাস হলো এক চুক্তি যার সত্যতা নেই কেবল অনুভূতি</t>
  </si>
  <si>
    <t>মানুষের প্রিয় হতেও আর্থিক যোগ্যতা লাগে অর্থশূন্য মানুষ কখনো কারো প্রিয় হয় না</t>
  </si>
  <si>
    <t>বাংলার সংস্কৃতির শোকের আবদ্ধ চোখ থেকে পড়েছে অধর্মের অগ্নি</t>
  </si>
  <si>
    <t>নাটকের দুঃখের কাহিনীতে সত্যি আমি নিজেকে খুঁজে পেয়েছি এবং আমি কষ্ট পাচ্ছি</t>
  </si>
  <si>
    <t>যেখানেই আপনার চরম দারিদ্র্য এবং কোনো জাতীয় স্বাস্থ্য বীমা নেই সেখানেই আপনি বাজার ভিত্তিক স্বাস্থ্যসেবার তীব্র সীমাবদ্ধতা দেখতে পান</t>
  </si>
  <si>
    <t>সামনে পরীক্ষা আবার কাজ ও আছে পুরো ব্যস্ত সময়ের মধ্যে দিয়ে যাচ্ছি</t>
  </si>
  <si>
    <t>শক্তির খেলায় ভুল ও অসত্যের খোঁজ কোনো সময়ই সহজ হয় না</t>
  </si>
  <si>
    <t>ভালোবাসার মানুষটাকে পাওয়া কঠিন হারিয়ে ফেলা সহজ</t>
  </si>
  <si>
    <t>এবার ভাবছি কাজ এর টাকা গুলো দিয়ে একটা আইপ্যাড কিনব কিন্তু কিছু সমস্যার জন্য আর পারতেছিনা</t>
  </si>
  <si>
    <t>প্রথম দেখায় প্রেম গুলো কোনো রকম বিদ্যুৎপাত ছাড়াই সবকিছু জ্বালিয়ে দিয়ে চলে যায়</t>
  </si>
  <si>
    <t>তুমি যদি স্বাস্থ্যের যত্ন নাও তাহলে অসুস্থতা তোমাকে বিপন্ন করতে পারেনা</t>
  </si>
  <si>
    <t>বাবার হাত ছেড়ে যেদিন থেকে চলতে শিখেছি সেদিন থেকেই বুঝেছি বাস্তবতা কল্পনার চেয়েও কঠিন</t>
  </si>
  <si>
    <t>টুইটারে প্রকাশিত মিথ্যা বক্তব্যের আঘাত যা যৌবনের স্বপ্নগুলির মধ্যে প্রবল হতে যাচ্ছে</t>
  </si>
  <si>
    <t>মিথ্যা বলা থেকে ভালো সত্য খুঁজে নেওয়ার আসল দায়িত্ব অত্যন্ত কষ্টদায়ক</t>
  </si>
  <si>
    <t>অশ্রু এমন শব্দ যা মুখ বলতে পারে না হৃদয় সহ্য করতে পারে না</t>
  </si>
  <si>
    <t>যে মানুষ চোখের জলের দাম বোঝেনা তার জন্য চোখের জল না ফেলায় ভালো</t>
  </si>
  <si>
    <t>দুঃখ সারাজীবন থাকে না সে একদিন ঠিক উড়ে যায় সময়ের ডানা দিয়ে</t>
  </si>
  <si>
    <t>সামাজিক মাধ্যমে নিখোঁজ পথে হারা যৌবন স্বপ্নের নদীতে মিথ্যা সাগরে লুকানো পরিস্থিতি</t>
  </si>
  <si>
    <t>দুর্ভাগ্যবশত সংস্কৃতির বোধন অস্তিত্বে নেই</t>
  </si>
  <si>
    <t>মানুষের মধ্যে সংস্কৃতির অনীতি জীবনের প্রতি অবুঝ বিরোধী</t>
  </si>
  <si>
    <t>তোমাকে সুখি করতে পারছি না যদি না তুমি নিজেকে নিয়ে সন্তুষ্ট না থাকো</t>
  </si>
  <si>
    <t>কত সুন্দর তুমি প্রেমে পড়েছি আমি সুন্দর তোমার মন ভলোবেসে হারা জন মায়াবি তোমার আখি দিওনা আমায় ফাঁকি সুন্দর তোমার হাসি আমি তোমাকে ভালবাসি</t>
  </si>
  <si>
    <t>স্বপ্ন ভাঙার কষ্ট ছেলেরা বুঝতে পারে যারা স্বপ্ন দেখে</t>
  </si>
  <si>
    <t>বেঁচে থাকার স্বপ্নগুলো কেবলই হারিয়ে যায় অনাকাক্ষিত স্মৃতির পাতায়</t>
  </si>
  <si>
    <t>প্রত্যাশার আকাশ যখন ভেঙে পড়ে তখন মনটা যেন ধূসর হয়ে যায়</t>
  </si>
  <si>
    <t>অপহৃত সংস্কৃতির আঁচলে পড়েছে নীল অশ্রুর স্রোত</t>
  </si>
  <si>
    <t>তুমি যেটা করছো সেটা ভালো নয়</t>
  </si>
  <si>
    <t>নাটকের চরিত্রের মধ্যে আমি নিজেকে পাচ্ছি কিন্তু আমার অন্তরের দুঃখ পাচ্ছি না</t>
  </si>
  <si>
    <t>যে মানুষ যত বেশি গম্ভীর সে মানুষ ততবেশি রাগী তবে তার মধ্যে ভালোবাসাও থাকে বেশি</t>
  </si>
  <si>
    <t>শক্তির খেলায় জয় অর্জন করতে চাইলে মানুষের আদর্শ ও মূল্যায়নের সমর্থন থাকা জরুরি</t>
  </si>
  <si>
    <t>মানবতার আলোয় দীপ্ত অনেকটা ক্ষুদ্রতম দিকে পৌঁছেছে সেখানে যে আমরা এখন কিছুটা অধিক অনুমানিত আছি</t>
  </si>
  <si>
    <t>যাকে ভালোবাসি সে অন্যের এই যন্ত্রণা সহ্য করা কতই না কঠিন</t>
  </si>
  <si>
    <t>সময়ের সাথে সাথে সবকিছু তে যেমন পরিবর্তন আসছে মানুষের চাহিদাও দিন দিন বেড়ে যাচ্ছে</t>
  </si>
  <si>
    <t>বসন্ত এলো ঠিকই কিন্তু মনে রঙ লাগাতে পারছে না</t>
  </si>
  <si>
    <t>একটি পুরোনো ছবি হয়তো হাজার কথা বলে যায়</t>
  </si>
  <si>
    <t>নেতাদের দেশের মানুষের ভালো করার কথা থাকলেও তারা শুধু নিজেদের স্বার্থ টাই দেখছে</t>
  </si>
  <si>
    <t>যুদ্ধের শহুরে হারিয়ে যাচ্ছে মানুষের আশা ও স্বপ্ন</t>
  </si>
  <si>
    <t>দারিদ্র্য বিপ্লব ও অপরাধের জনক</t>
  </si>
  <si>
    <t>দুঃখের বৃষ্টি পৌঁছায় সংস্কৃতির হৃদয়ে</t>
  </si>
  <si>
    <t>তোমার স্মৃতি আমার হৃদয়ে এমনভাবে আসে যে আমার চোখের অশ্রু আমার সাথে বিশ্বাসঘাতকতা করে</t>
  </si>
  <si>
    <t>আমি যা রোজগার করি তা আমার খরচের থেকে কম মাঝে মাঝে মনে হয় আমি বাঁচি আমার ঋণ শোধের জন্যে</t>
  </si>
  <si>
    <t>ক্ষুধার প্রকৃত কারণ হল দরিদ্রদের নিজেদের খাওয়ানোর জন্য প্রয়োজনীয় সংস্থানগুলিতে অ্যাক্সেস পাওয়ার ক্ষমতাহীনতা</t>
  </si>
  <si>
    <t>প্রেমের ক্ষেত্রে জয়ী হয়ে কেউ শিল্পী হতে পারে না বড় জোর বিয়ে করতে পারে</t>
  </si>
  <si>
    <t>ভালো খারাপ এর দ্বঁধা আগামীর অগ্রসরে দেয় বাঁধা</t>
  </si>
  <si>
    <t>সত্যের পথে যাওয়া অত্যন্ত কষ্টজনক কিন্তু মিথ্যা বলতে কিছুটা আরামদায়ক</t>
  </si>
  <si>
    <t>চিন্তা নেই প্রিয় আমি আর ফিরছি না তোমার ঐ অভিনয়ের শহরে</t>
  </si>
  <si>
    <t>সারাদিন ক্লাস করে এসে এখন আবার ক্লায়েন্ট মেসেজ দিচ্ছে কাজের জন্য কেমনটা লাগে</t>
  </si>
  <si>
    <t>আমার মনে হয় আমার সমাজের এই সামাজিক পদ্ধতি ও ঐতিহ্য একটি বহুত বড় নিরাপত্তা চিহ্ন রয়েছে</t>
  </si>
  <si>
    <t>আজ বিশ্রাম নিচ্ছি যাতে আমি আগামীকাল শক্তির সাথে গুঞ্জন করতে পারি</t>
  </si>
  <si>
    <t>পুরাতন সময়ের বিষয়ে আমার মনের প্রশ্নগুলি নিরাকরিত হচ্ছে</t>
  </si>
  <si>
    <t>প্রতিটি জীবন একটি নির্দিষ্ট পরিমাণ মর্যাদার প্রাপ্য এটি বহনকারী শেলটি যতই দরিদ্র বা ক্ষতিগ্রস্ত হোক না কেন</t>
  </si>
  <si>
    <t>শিক্ষিত শুধু বুদ্ধি দিয়ে হয় না নিজের ব্যবহারেও শিক্ষার যোগ্যতা বুঝা যায়</t>
  </si>
  <si>
    <t>কত মানুষ জীবন থেকে হারিয়ে গেছে কত চেনা মানুষ অচেনা হয়ে গেছে</t>
  </si>
  <si>
    <t>নাটকের দুঃখের সীমানা আমার নিজের মিলে গেছে</t>
  </si>
  <si>
    <t>অন্য কাউকে দোষ দিয়ে কি লাভ যেখানে নিজের ভাগ্য টাই খারাপ</t>
  </si>
  <si>
    <t>কিছু কিছু দারিদ্রতার কাছে সম্মানটাও হার মানায়</t>
  </si>
  <si>
    <t>প্রতিটি পাপ এর হিসাব অনেক বেশি</t>
  </si>
  <si>
    <t>ভালোবাসা মানে পরস্পরকে বুঝতে পারা আমি যে মানুষটিকে ভালোবাসি তাকে যদি না বুঝতে পারি তাহলে এই প্রেমের কোনো অর্থ আছে বলে মনে হয় না</t>
  </si>
  <si>
    <t>তার প্রতিটি স্মৃতি ঠাণ্ডা বাতাসের মতো আঘাত করে এবং সেই মুহূর্তে আমাকে নিথর করে দেয়</t>
  </si>
  <si>
    <t>হাসি খুশি মুখোশের আড়ালে লুকিয়ে আছে অজস্র কষ্ট কেউ বোঝে না আমার বেদনা এই একাকীত্বের যন্ত্রণা কেবল আমিই জানি</t>
  </si>
  <si>
    <t>সাময়ের মূল্য বোঝা গুরুত্বপূর্ণ তা কাজের জীবনে নিজের জন্যে সময় নিতে পারি না</t>
  </si>
  <si>
    <t>বাংলাদেশ উন্নয়নশীল দেশ হলেও এখনো অনেক মানুষ দারিদ্র্যসীমার নিচে বসবাস করে</t>
  </si>
  <si>
    <t>বইটাকে কতবার পড়ো এবার তো থাম ভাই যা একটা নতুন বই কিনে নিয়ে আস</t>
  </si>
  <si>
    <t>প্রেম মানুষকে শান্তি দেয় কিন্তু স্বস্তি দেয় না</t>
  </si>
  <si>
    <t>সংস্কৃতির আঁচলে লুকিয়ে গেছে সত্যের দরজা</t>
  </si>
  <si>
    <t>নিম্নবিত্তের মধ্যে সর্বদাই দুঃখ বেশি থাকে যতটা না উচ্চবিত্তের মধ্যে মানবতা থাকে</t>
  </si>
  <si>
    <t>ভালোবাসা দিয়ে পরকে আপন করা যায় আর সম্পর্ককে করে তোলা যায় আরও অনেক গভীর</t>
  </si>
  <si>
    <t>অসুস্থতা থেকে পুনরুদ্ধার প্রায়শই মনে হয় আবার জীবন শুরু করার মতো</t>
  </si>
  <si>
    <t>এটা দুঃখের ব্যাপার যে আমেরিকা শুধু নিজের স্বার্থের জন্য ইস্রাঈলের বর্বরতাকে শমর্থন করছে</t>
  </si>
  <si>
    <t>পরিবারের মধ্যে সম্পর্কের অভাবে আমি আত্মবিশ্বাস হারাই</t>
  </si>
  <si>
    <t>প্রতিটি পাপ আত্মার অসুস্থতা কিন্তু পুণ্য তার স্বাস্থ্যের কারণ প্রদান করে</t>
  </si>
  <si>
    <t>প্রত্যেকদিন যার খোঁজ নিই হয়ত সেও একদিন নিখোঁজ হয়ে যায়</t>
  </si>
  <si>
    <t>কাউকে সীমাহীন ভালোবাসলে তা কখনও ফুরাইয়া যায় না কারণ সীমাহীন ভালোবাসারকোন শেষ নেই তা কখনও ফুরাইয়া না তা শুধু বেড়ে যায়</t>
  </si>
  <si>
    <t>স্বপ্ন দেখা সহজ বাস্তবতা ঠিক তার উল্টো</t>
  </si>
  <si>
    <t>একাকীত্ব তখন অনুভূত হয় যখন ভালোবাসার মানুষ ভালোবাসাটাকে ভেঙ্গে দিয়ে চলে যায়</t>
  </si>
  <si>
    <t>জীবনের রংগিন চিত্রে সত্যের কথা আমি খুঁজে পাচ্ছি না</t>
  </si>
  <si>
    <t>সত্যের পথে যাওয়া মনে হচ্ছে সমুদ্রের মধ্যে ডুবে যাওয়া</t>
  </si>
  <si>
    <t>মাঝে মাঝে মনে হয় জীবনের লক্ষ্য ছাড়া কোনো কাজের অর্থ নাই</t>
  </si>
  <si>
    <t>তার অবহেলায় তুমি বদলে যাচ্ছো</t>
  </si>
  <si>
    <t>সত্যের পথে হারিয়ে গেছি এখন আমি নিজের সম্মুখে বিপর্যস্ত</t>
  </si>
  <si>
    <t>যুদ্ধের অশান্তির রংগে আমার মন পুষ্টির পানি চলে যায় শূন্যের মধ্যে</t>
  </si>
  <si>
    <t>আজ বছর পর বাড়ি যাচ্ছি এবং পথে এক্সিডেন্টের কারনে আজ আট দিন হসপিটালে শোয়ে আছি</t>
  </si>
  <si>
    <t>আমার এই অসুস্থ সমাজে বেচে থাকা কষ্টকর হয়ে গিয়েছে</t>
  </si>
  <si>
    <t>কাজ করতে খুব অসুস্থ কিন্তু সেলফিতে খুব বেশি অসুস্থ নয়</t>
  </si>
  <si>
    <t>সুখের আকাশটা আজ রাতের মতো কালো</t>
  </si>
  <si>
    <t>আমি চাওয়া ও পাওয়ার হিসাব করতেই ব্যর্থ সফলতা আমাকে ব্যর্থ হয়ে দেখা দেয়</t>
  </si>
  <si>
    <t>এমনকি যখন আমি অসুস্থ এবং হতাশাগ্রস্ত থাকি আমি জীবনকে ভালবাসি</t>
  </si>
  <si>
    <t>প্রিয় বই পড়ার পরে আমাদের মনে বেগে আসে অনেক অচেনা ভয় এবং অবহেলিত মনের প্রতিরোধ</t>
  </si>
  <si>
    <t>দেশের বর্তমান পরিণতির জন্য যারা দায়ভার কেউ নিচ্ছেনা</t>
  </si>
  <si>
    <t>সেই ভিড়ের লোকেরা দারিদ্র্যের ইতিহাস তৈরি করতে চায় কিন্তু যদি তাদের নিজেরাই এর জন্য মূল্য দিতে হয় না</t>
  </si>
  <si>
    <t>ছবি দেখে সময় নষ্ট না করে পড়াশোনা করো</t>
  </si>
  <si>
    <t>এই ছবিটা বর্তমান সমাজকে বদলে দিতে পারে ধন্যবাদ পরিচালক কে এমন সুন্দর ছবি উপহার দেওয়ার জন্য</t>
  </si>
  <si>
    <t>কতগুলি অসহ্য যুদ্ধের সম্মুখীন হয়েছি আমরা</t>
  </si>
  <si>
    <t>ধনী লোকের অশ্লীলতা গরীব মানুষের দুর্নীতিতে পরিণত হয়েছে</t>
  </si>
  <si>
    <t>ক্লান্ত দেহ মুষড়ে পড়া মন রাত যেন কষ্টের অন্তহীন কবিতা মনে হয়</t>
  </si>
  <si>
    <t>এত কাজের চাপ যে নিজের জন্য একটু সময় বের করাও মুশকিল হয়ে যাচ্ছে</t>
  </si>
  <si>
    <t>শোকের আবেগে গোলাপী হয়ে গেছে সংস্কৃতির মৌলিক সৌন্দর্য</t>
  </si>
  <si>
    <t>একা চাঁদের গাঁয়ে জোসনা মাখা মোনটা আমার ভিষন ফাকা ফাকা মনটা পূরণ কর একটু আমায় স্বরন কর</t>
  </si>
  <si>
    <t>সোশ্যাল মিডিয়াতে বন্ধুদের ছবি দেখে সময় কাটানোর জন্য অনেক ভুলেই করি</t>
  </si>
  <si>
    <t>সবথেকে কঠিনতম একাকীত্ব হলো নিজেকে নিজের ভালো না লাগা</t>
  </si>
  <si>
    <t>তুমি যখন আমাকে কোনোভাবেই লজ্জিত করো আমি তার জন্য তীব্রভাবে বিরক্ত হয়ে যাই</t>
  </si>
  <si>
    <t>জোর করে কখনো আপন মানুষ হওয়া যায় না</t>
  </si>
  <si>
    <t>প্রতিটি মানুষই স্বপ্ন দেখে কারো স্বপ্ন সত্যি হয় আবার কারোর টা রাতের আঁধারে হারিয়ে যায় দূর অজানায়</t>
  </si>
  <si>
    <t>আমার আমি কখন তোমাতে হারিয়ে গেছি বুঝতেই পারিনি তোমাতে বিভোর হয়ে আমি নিজেকে কখন বিলীন করে দিয়েছি সেটাও বুঝতে পারছিনা</t>
  </si>
  <si>
    <t>যুদ্ধের রঙে আমার সব প্রেম মৃত্যুর চুপের মতো হারিয়ে যায়</t>
  </si>
  <si>
    <t>মানুষের কখনও কখনও একা থাকা ভালো কারণ সেই সময়ে কেউ আপনাকে সেভাবে আঘাত করতে পারে না</t>
  </si>
  <si>
    <t>কখনও কখনও মনে হয় তোমাকে ছাড়া আমার একদমই ভালো লাগেনা</t>
  </si>
  <si>
    <t>ইট পাথরের এই শহরে আমি রোজ ধুকে ধুকে মরছি নি শ্বাস নিতে কষ্ট হয় তবুও বাচার চেষ্টা করছি</t>
  </si>
  <si>
    <t>মালিক সমিতির কোষাধক্য সুবিধার নয়</t>
  </si>
  <si>
    <t>আমি আশাহীনভাবে একটি স্মৃতির প্রেমে পড়েছি অন্য সময় অন্য জায়গা থেকে একটি প্রতিধ্বনি</t>
  </si>
  <si>
    <t>সত্য বলতে হারিয়ে যাওয়া মনে হলে সব কিছু অদৃশ্য হয়ে যায়</t>
  </si>
  <si>
    <t>বাংলাদেশের এডুকেশন সিস্টেমের দিন দিন এতো অবনতি হচ্ছে যে এখন পড়ালেখা থেকে বিশ্বাস উঠে যাচ্ছে</t>
  </si>
  <si>
    <t>যে দুনিয়ায় আমরা থাকি সেখানে সমানতা এবং সহিষ্ণুতার পর্যায়ে মনোনিবেশ অনেকটা অনুভব হচ্ছে</t>
  </si>
  <si>
    <t>সোনায় যেমন একটু পানি মিশিয়ে না নিলে গহনা মজবুত হয় না সেইরকম ভালবাসার সঙ্গে একটু শ্রদ্ধা ভক্তি না মিশালে সে ভালবাসাও দীর্ঘস্থায়ী হয় না</t>
  </si>
  <si>
    <t>মিথ্যা বলার পর আমার মন শুধু দুঃখ ও বিরক্তির মধ্যে পড়ে আছে</t>
  </si>
  <si>
    <t>অসুস্থ হওয়া একটি রোলার কোস্টারে থাকার মত মনে হয়</t>
  </si>
  <si>
    <t>যারা দিনের আলোতে বেশি হাসে রাতের আধারে তারাই সবচেয়ে বেশি কাঁদে</t>
  </si>
  <si>
    <t>দিন দিন বাংলাদেশের শিক্ষার মান নিচে চলে যাচ্ছে</t>
  </si>
  <si>
    <t>বাবার মতো স্বার্থ ছাড়া কেউ টাকা দেয় না</t>
  </si>
  <si>
    <t>দরিদ্রদের ট্র্যাজেডি হল তারা আত্মত্যাগ ছাড়া আর কিছুই করতে পারে না</t>
  </si>
  <si>
    <t>যে মানুষ চোখের জলের দাম বোঝেনা তার জন্য কষ্ট পেয়ো না</t>
  </si>
  <si>
    <t>প্রতিটি মানুষের তার গোপন দুঃখ থাকে যা বিশ্ব জানে না এবং প্রায়শই আমরা একজন মানুষকে ঠান্ডা বলি যখন সে কেবল দুঃখিত হয়</t>
  </si>
  <si>
    <t>একটা মানুষ তখনই কাঁদে যখন তার মনের সঙ্গে লড়াই করে পরাজিত হয়</t>
  </si>
  <si>
    <t>এই সমাজের ঐতিহ্যের সাথে আমি সমঝোতা করতে পারি না</t>
  </si>
  <si>
    <t>সত্যিকারের যোদ্ধারা বেদনা নিয়ে বড় হয়</t>
  </si>
  <si>
    <t>বর্তমানে বেশীর ভাগ শিক্ষাত্রী তাদের পছন্দের ক্যারিয়ার গঠন করতে পারে না</t>
  </si>
  <si>
    <t>স্বপ্ন আকাঙ্ক্ষা সব থেমে থাকে সমাজের রীতিনীতির বেড়াজালে</t>
  </si>
  <si>
    <t>জীবনের সবচেয়ে কঠিন জিনিসগুলির মধ্যে একটি হল আপনি যাকে বাস্তব বলে মনে করেছেন তা ছেড়ে দেওয়া</t>
  </si>
  <si>
    <t>বিপদ এবং সমস্যার সাম্প্রদায়িকতা শক্তির ক্ষতি ও প্রবণতা সৃষ্টি করে</t>
  </si>
  <si>
    <t>স্মৃতি নিয়ে বেঁচে থাকার চেয়ে সপ্ন নিয়ে বেচে থাকা অনেক ভালো</t>
  </si>
  <si>
    <t>হৃদয়ে যদি কোনো মানুষ বসবাস করে তবে মন থেকে তাকে সরিয়ে ফেলা অনেক শক্ত</t>
  </si>
  <si>
    <t>যুদ্ধের ঘটনার অনুভূতি অত্যন্ত বিরক্তিজনক এবং অশান্তির মূল</t>
  </si>
  <si>
    <t>প্রেম ভালোবাসার সম্পর্ক মানেই শুধু প্রিয় মানুষের হাত ধরে ঘোরা নয় বরং সমস্ত রকম প্রতিকূল পরিস্থিতিতে তার হাতটি না ছাড়া</t>
  </si>
  <si>
    <t>মিথ্যা বলে অসত্যকে প্রতিষ্ঠা করো না</t>
  </si>
  <si>
    <t>মেনে নিলেই শান্তি মনে নিলেই অশান্তি</t>
  </si>
  <si>
    <t>পাওলো দিবালা অনেক বালো প্লেআর হলেও ইঞ্জুরি এর কারণে দলে নিওমিত হতে পারছে না</t>
  </si>
  <si>
    <t>এ শহরে বোঝার মানুষের থেকে ভুল বোঝার মানুষ বেশি</t>
  </si>
  <si>
    <t>আমার নিরবতা তোমার হৃদয় স্পর্শ করতে পারেনি তাই আমি শব্দ দিয়েও তোমায় বুঝানোর চেষ্টা করিনি শুধু নিরবে চলে এসেছি</t>
  </si>
  <si>
    <t>সর্বকালের সেরা কিছু মানুষ আমার মতো নিঃস্ব হয়েছে এবং আপনি যদি একজন খ্রিস্টান হন আপনার দারিদ্র্যকে অপরাধ মনে করা উচিত নয়</t>
  </si>
  <si>
    <t>সামাজিক দুর্দশার সমস্ত দিকগুলোর মধ্যে বেকারত্বের মতো হৃদয়বিদারক কিছুই নেই</t>
  </si>
  <si>
    <t>হতাশা একটি মানসিক রোগ৷ এক ধরনের অসুস্থতা যা আমাদের মনে অশান্তির সৃষ্টি করে</t>
  </si>
  <si>
    <t>বেকারত্বের জ্বালায় রোজ পুড়তে পুড়তে বাঁচছে যারা তারাই দিনের শেষে জানে জীবনের আসল মানে</t>
  </si>
  <si>
    <t>বাংলার সংস্কৃতির আলো হেঁটে চলছে অন্ধকারের পথে</t>
  </si>
  <si>
    <t>যার মনটা পাথরের মতো শক্ত জীবনে তাকেই ভালোবাসো</t>
  </si>
  <si>
    <t>আমার শরীর দারিদ্র্যের মধ্যে বাস করুক এবং আমার হাত পরিশ্রমীর হাতের মত হোক</t>
  </si>
  <si>
    <t>পরিবারের ভার বহন করার দায়িত্ব কিন্তু সামর্থ্যের অভাব</t>
  </si>
  <si>
    <t>মানবিক অন্তরে একটা দুর্দান্ত যুদ্ধ চলছে মনের ভেতরে যা অসমাপ্ত ক্রোধের অগ্নিস্পর্শ ধরেছে</t>
  </si>
  <si>
    <t>বাংলার সংস্কৃতির অন্ধকারে হারিয়ে গেছে মানুষের ভোঁতা চিরস্থায়ী আলোয়</t>
  </si>
  <si>
    <t>আপনি যদি রৌপ্য চামচ নিয়ে জন্মান না তবে যে কোনও চামচ নিন এবং এটিকে রূপার প্রলেপ দিন</t>
  </si>
  <si>
    <t>আর্থিক অবস্থা সংকটাপন্ন তাই দিন দিন ঋণের পরিমাণ বেড়েই চলেছে</t>
  </si>
  <si>
    <t>আমি তোমাকে একটা বিশেষ ভালোবাসি তাই আমি যে ভাবে ব্যক্তিরা তোমার সাথে ব্যবহার করছে সেটা আমাকে গম্ভীর আতঙ্কিত করে</t>
  </si>
  <si>
    <t>সিনেমার কাহিনী আমার জীবনের কাহিনীর মতো মিলে যায়</t>
  </si>
  <si>
    <t>ভালোবাসা পাওয়ার চাইতে ভালোবাসা দেওয়াতেই বেশি আনন্দ</t>
  </si>
  <si>
    <t>কষ্টের কালো মেঘে ঢাকা জীবনের আকাশ</t>
  </si>
  <si>
    <t>প্রযুক্তি আমাদের জীবনকে সহজ করে দিয়েছে কিন্তু একই সাথে আমাদেরকে আরও অলস করে ফেলেছে</t>
  </si>
  <si>
    <t>ভালবাসা কোন ওয়াদা রক্ষা নয় ভালবাসা হল কারু প্রতি বিশ্বস্ত থাকা</t>
  </si>
  <si>
    <t>শুধু মাত্র দুঃখের রঙ আমার সংস্কৃতির চিত্রে</t>
  </si>
  <si>
    <t>কাজের জীবনে সময় ছাড়া নিজের জন্য কোনো সময় নিতে পারি না</t>
  </si>
  <si>
    <t>গভীর রাতের নির্জনতায় কষ্টের বোঝা বহন করা</t>
  </si>
  <si>
    <t>খুব আশা করে একটা গেম কিনেছি খেলতে গিয়ে দেখেছি গল্পটা একদম ভালো না</t>
  </si>
  <si>
    <t>শুধু মাএ বেকার ছেলেরাই জানে বাস্তবতা কতটা নিষ্ঠুর</t>
  </si>
  <si>
    <t>কি হচ্ছে এই দেশে এইভাবে আর কত দিন</t>
  </si>
  <si>
    <t>পরিবারের মধ্যে অভাগ্যের অনুভূতি আর অসন্তুষ্টি থাকে</t>
  </si>
  <si>
    <t>পরিবারের অভাবে আমার মন শুধুই অন্ধকারে ভাসা</t>
  </si>
  <si>
    <t>সারাদিনের কাজ নষ্ট হয়ে গেল কারেন্ট চলে যাওয়ার জন্য সেভ করার সময় পাইনি</t>
  </si>
  <si>
    <t>শুধুই অপমান পাওয়ার চাইতে চলে যাওয়াই ভালো মনে হয়</t>
  </si>
  <si>
    <t>আমাদের জীবনে কিছু মানুষ আসে যারা শুধু বিশ্বাস ভাঙ্গে</t>
  </si>
  <si>
    <t>আমি লক্ষ্য করেছি যে সমাজের মানুষজন বর্তমান পরিস্থিতি নিয়ে খুবই উত্তেজিত</t>
  </si>
  <si>
    <t>অসুস্থতা মনকে মাঝে মাঝে ঘোরাফেরা করার ও সুরক্ষার জন্য মুক্ত করে তোলে</t>
  </si>
  <si>
    <t>ইগো বা অহংকার একটি সম্পর্ককে বিনাশ করতে যথেষ্ট</t>
  </si>
  <si>
    <t>আপনি টাকা দিয়ে শুধু সার্টিফিকেট কিনতে পারছেন কিন্তু দক্ষতা কখনো অর্জন করতে পারছেননা</t>
  </si>
  <si>
    <t>প্রত্যেকের হৃদয়ে ব্যথা থাকে কেবল এটি প্রকাশের ধরন আলাদা হয়</t>
  </si>
  <si>
    <t>আঁকা বিনোদনের চোখে ভুলের স্পর্শ আছে দুঃখের কোনো স্পর্শ নেই</t>
  </si>
  <si>
    <t>এটা দুঃখের বিষয় যে ডেভিড ওয়ার্নার টেস্ট ক্রিকেট থেকে অবসর নিয়েছেন</t>
  </si>
  <si>
    <t>ক্লান্ত দেহ মুষড়ে পড়া মন রাত যেন কষ্টের অন্তহীন কবিতা</t>
  </si>
  <si>
    <t>অনলাইন গেমিংয়ে সহ খেলোয়াড়রা রেগে গেম ছেড়ে চলে যাওয়ার কারণে আমার অভিজ্ঞতা নষ্ট হচ্ছে</t>
  </si>
  <si>
    <t>পৃথিবীর সব কিছু মিথ্যা হলেও ছেলেদের চোখের অশ্রু কখনো মিথ্যা নয় কারণ মেয়েরা খুব কষ্ট না পেলে কখনো তাদের দামি অশ্রু ঝরায় না</t>
  </si>
  <si>
    <t>জীবনকে রঙিন করতে রঙের প্রয়োজন হয় না প্রয়োজন একটি ভালো সম্পর্কের</t>
  </si>
  <si>
    <t>জীবনে সুখ কেবল ভালোবাসতেই বসবাস করে</t>
  </si>
  <si>
    <t>এখনকার রাজনীতিতে স্বাধীনতা বলে কিছু নেই সবি তোষামোদি</t>
  </si>
  <si>
    <t>রাজনৈতিক টানাপোড়েনে মানুষের জীবন নরকে পরিণত হয়েছে</t>
  </si>
  <si>
    <t>বদলে যাওয়া প্রয়োজন ভালো থাকার জন্য</t>
  </si>
  <si>
    <t>এটা সত্য যে বিশ্ব মালিক নির্ঙ্কুশ ভাবে কিন্তু বৈষম্যও তৈরি করেছে এবং নতুন দারিদ্র্যের উদ্ভব হয়েছে</t>
  </si>
  <si>
    <t>মানুষ শুধু শারীরিক স্বাস্থ্যের খোঁজ নেয় মানসিক স্বাস্থ্যের খোঁজ নেয় না</t>
  </si>
  <si>
    <t>পরিবারের বিপর্যয়ে হৃদয় ভেঙে গেছে সমুদ্র মধ্যে অনেক স্বপ্ন ডুবে গেছে</t>
  </si>
  <si>
    <t>সম্পর্ক শুধু সুখে দুঃখে পাশে থাকা নয় সম্পর্ক এমন হোক যেন কাছে না থেকেও পাশে থাকার অনুভূতিটা হয় কালকে যতটা ভরসা ছিল আজ কেও যেন ততটাই রয়</t>
  </si>
  <si>
    <t>ভেঙে পড়া চাই না তাই চুপচাপ সহ্য করছি এই চাপা কষ্ট</t>
  </si>
  <si>
    <t>কিছু মুহূর্ত স্থান নাম গন্ধ অনেক কিছু পুরানো স্মৃতিকে মনে করতে হয়</t>
  </si>
  <si>
    <t>বাংলার সংস্কৃতির ভাঁজে নিঃশ্বাসের অশ্বস্ত দাবি</t>
  </si>
  <si>
    <t>জীবনের লক্ষ্যে অকল্পনীয় দিনের অধিকার এই অধিকারটা ছাড়া এখন কিছুই মনে হয় না</t>
  </si>
  <si>
    <t>আমি সমাজের ঐতিহ্য এবং সংস্কৃতির সাথে কোনো সম্পর্ক নেই আর</t>
  </si>
  <si>
    <t>কাঁদতে মানা প্রয়োজনে হাত পাততে পারছিনা</t>
  </si>
  <si>
    <t>যোগাযোগ হলো একটি সুস্থ সম্পর্কের ভিত্তিপ্রস্তর</t>
  </si>
  <si>
    <t>মনে মনে বেথুন জীবনের অবাক কথা লক্ষ্যের অনুপ্রেরণা ছাড়া কী সত্যি জীবন একটি বাঁচার যাত্রা</t>
  </si>
  <si>
    <t>বেঁচে থাকতে একাকিত্বে কাউকে পাওয়া যায় না আর মরে গেলে ভালোবাসার লোকের অভাব হয় না</t>
  </si>
  <si>
    <t>কোনো রুগ্ন ব্যক্তিই জীবন সম্পর্কে কোনো সুস্থ বা সুন্দর ধারণা রাখতে পারে না</t>
  </si>
  <si>
    <t>এই মুভির এন্ডিং মাথা ঘুরিয়ে দিবে গ্যারান্টি এন্ডিংয়ের জন্য হলেও এই মুভি দেখা উচিত</t>
  </si>
  <si>
    <t>সারাদিন হেঁটে হেঁটে পা দুটো ব্যাথা করছে</t>
  </si>
  <si>
    <t>ক্ষুধা যে কোন মানুষকে চোর করে</t>
  </si>
  <si>
    <t>একা থাকার কষ্টটা বুঝতে পারে সেই যে কষ্টের সাগরে একা ভাসে</t>
  </si>
  <si>
    <t>আমি আমার দেশের ইতিহাসের কিছু বিশেষ অংশের প্রতি বিরাগ অনুভব করি</t>
  </si>
  <si>
    <t>অসুস্থতা আমাদের সবচেয়ে অবাক করা আচরণ করতে পারে</t>
  </si>
  <si>
    <t>আমরাই প্রথম প্রজন্ম যারা দারিদ্র্য দূর করতে পারি</t>
  </si>
  <si>
    <t>আত্মাকে দগ্ধ করে ফেলেছে তোমার দেয়া কষ্ট</t>
  </si>
  <si>
    <t>যুদ্ধের বারুদের গর্জন মনে মনে শোনা অত্যন্ত দুঃখজনক</t>
  </si>
  <si>
    <t>অসুস্থতা হল জীবন্ত দেহে প্রবেশ করা উপাদানগুলির বিরোধ</t>
  </si>
  <si>
    <t>যুদ্ধ কর কিন্তু কখনই বিশ্বাসঘাতকতা এবং প্রতিশ্রুতি ভঙ্গ করো না</t>
  </si>
  <si>
    <t>ভেতরে অনেক কিছু ধ্বংস করে দেয় তবু চোখ থেকে যে অশ্রু ঝরে না</t>
  </si>
  <si>
    <t>দেশটা জেনো নিজের মোঘের মূল্যক</t>
  </si>
  <si>
    <t>এক সেকেন্ডের ব্যবধানে তোমার উপর থেকে সমস্ত বিশ্বাস উঠে গিয়েছে সুতরাং বুঝে শুনে চলাই মঙ্গল</t>
  </si>
  <si>
    <t>সিনেমার চলচ্চিত্রে দেখা হাসি থামছেনা</t>
  </si>
  <si>
    <t>পরিস্থিতির সাথে মানিয়ে নিয়ে হসি মুখে চলে দেখেছি তাতে অন্যরা শান্তি পেলেও আমি শুধু অবহেলা টাই পেয়েছি</t>
  </si>
  <si>
    <t>প্রিয় বই পড়ার পরে মনে হয় আমরা নিজেদের কোনো পথে নির্দিষ্ট নয় শুধু এমন একটি মাঝখানে অবস্থিত আছি যেখানে সমস্যা অবস্থান করে</t>
  </si>
  <si>
    <t>জীবনের লক্ষ্য হারিয়ে যাওয়া সময়ে মনে হয় এই জীবনটা আর নেই কোনোটাই দরকার</t>
  </si>
  <si>
    <t>দুনিয়ার সবার বিপদে আমি পাশে আছি কিন্তু কেউ আমার বিপদে পাশে নেই</t>
  </si>
  <si>
    <t>ভয়ানক ব্যথা ধারণ করে বেঁচে আছি প্রিয়</t>
  </si>
  <si>
    <t>বন্ধুত্বের বন্ধন আজ ভেঙ্গে গেছে মনটা খুব খারাপ</t>
  </si>
  <si>
    <t>রাজনীতির খেলায় নায়কদের আদর্শ এবং স্বপ্নের মধ্যে অন্ধকার প্রবেশ হচ্ছে</t>
  </si>
  <si>
    <t>মন বড় অদ্ভুত জিনিস তাকে পাবেনা জেনেও তার জন্য অপেক্ষা করে</t>
  </si>
  <si>
    <t>যুদ্ধের ক্ষতির দিকে আমি অপকৃষ্ট মনে মনে মন্ত্রিত হয়ে আছি</t>
  </si>
  <si>
    <t>শক্তিশালী হওয়া আপনার একমাত্র পছন্দ না হওয়া পর্যন্ত আপনি কখনই জানেন না আপনি কতটা শক্তিশালী</t>
  </si>
  <si>
    <t>শক্তির খেলায় হারলে বিশ্বাস ও প্রজাতন্ত্রের স্বপ্ন নিখোঁজ হয়ে যায়</t>
  </si>
  <si>
    <t>মাঝে মাঝে হৃদয় ভাঙার আওয়াজ কান্নার শব্দ হয়ে প্রকাশ হতে চায়</t>
  </si>
  <si>
    <t>একা থাকা আমার মনে অসুখ মেলে সঙ্গী হওয়ার কখনও ইচ্ছা হয় না</t>
  </si>
  <si>
    <t>দরিদ্রদের দুর্দশা যদি প্রকৃতির নিয়মে নয় আমাদের প্রতিষ্ঠানের দ্বারা সৃষ্ট হয় তবে আমাদের বড় পাপ</t>
  </si>
  <si>
    <t>আমি আমার সমাজের এই ধারণা এবং সংস্কৃতির বিরুদ্ধে অসন্তুষ্ট হয়ে উঠি</t>
  </si>
  <si>
    <t>আমেরিকা নিজের স্বার্থের জন্য সব করতে পারে</t>
  </si>
  <si>
    <t>গভীর রাতে তোমাকে ভেবেই শুধু কষ্ট পাচ্ছি</t>
  </si>
  <si>
    <t>সত্যের জয় বরাবরই হয়ে থাকে</t>
  </si>
  <si>
    <t>প্রথম থেকে শুরু হয়ে যেমন শেষ হয় তেমনি শেষ থেকেও আবার শুরু হয় তাই কোনো কিছুর শেষে মানে প্রকৃত অর্থে শেষ নয়</t>
  </si>
  <si>
    <t>আমি অসুস্থ জীবন আলিঙ্গন করছি</t>
  </si>
  <si>
    <t>কান্না দিয়ে সব বেদনাকে মুছেফেলা সম্ভব</t>
  </si>
  <si>
    <t>যুদ্ধের ক্ষণে চলার পথে হারানো স্বপ্নগুলি মাঝে মাঝে আমার মনে আসে</t>
  </si>
  <si>
    <t>শৈশব একটি রোগ একটি অসুস্থতা যা থেকে আপনি বেড়ে উঠছেন</t>
  </si>
  <si>
    <t>বন্ধু বলে যাকে সে আসলে ভাবছি সে আসলে একজন প্রতারক</t>
  </si>
  <si>
    <t>অশ্রু হলো এমন ভাষা যা হৃদয় মুখে প্রকাশ করতে পারে না</t>
  </si>
  <si>
    <t>কিছু দীর্ঘশ্বাস জমা হচ্ছে বুকে কিছু অশ্রু থেমে থাকছে চোখের নিকটে ঝরছে না জল</t>
  </si>
  <si>
    <t>মাঝে মাঝে হৃদয় ভাঙার আওয়াজ কান্নার শব্দ হয়ে প্রকাশ হতে চায়</t>
  </si>
  <si>
    <t>দিন দিন অশাদু ব্যাবসায়ীদের দউরেতে যে ভাবে পন্যের মূল্য বৃদ্ধি পাচ্ছে তাতে কিভাবে পরিবার ছালাব বুজতে পারছি না</t>
  </si>
  <si>
    <t>এতো চেষ্টা করার পরেও ব্যবসায় উন্নতি দেখতে পাচ্ছি না দিন দিন হতাশায় তলিয়ে যাচ্ছি</t>
  </si>
  <si>
    <t>মাঝে মাঝে কিছু সম্পর্ক এমন হয়ে যায় দূরে গেলেও কষ্ট হয় আর পাশে থাকলেও কষ্ট হয়</t>
  </si>
  <si>
    <t>সংস্কৃতির সম্মানে ভাসছে আমাদের মৃত সমাজ</t>
  </si>
  <si>
    <t>হয়তো টাকার বিনিময়ে অনেক কিছুই পাওয়া যায় কিন্তু প্রিয় মানুষের ভালোবাসা আর মুখটা নয়</t>
  </si>
  <si>
    <t>যখনই মনে হয় একটু স্কিল ডেভেলপ এর পিছনে সময় দিতে চাই তখনই একটা না একটা প্রেসার চলে আসে</t>
  </si>
  <si>
    <t>বেকারের অসফল গলিতে স্বপ্ন হারানোর গল্প মৃত প্রেম মৃত সব স্বপ্ন</t>
  </si>
  <si>
    <t>মানুষের মাঝে প্রেমের নাটক সংস্কৃতির আঘাত</t>
  </si>
  <si>
    <t>আমি লক্ষ্য করেছি যে সমাজের অত্যন্ত দরিদ্র এবং অত্যন্ত ধনী উভয় প্রান্তেই পাগলদের প্রায়শই অবাধে মিশতে দেওয়া হয়</t>
  </si>
  <si>
    <t>প্রয়োজনে সম্পর্কটা ভেঙে দিও তবু বিশ্বাস টুকু আগলে রেখো</t>
  </si>
  <si>
    <t>বন্ধুর পাল্লায় পরে আজকে তিন দিন চিগারেট খাচ্ছি আজকে বুঝলাম এতে করে কোন লাভ নাই</t>
  </si>
  <si>
    <t>আমি তাকে কখনো খুঁজি না যে পৃথিবীর সব থেকে সুন্দর আমি শুধু তাকেই খুঁজি যার জন্য আমার পৃথিবীটা হয়েছে আরও বেশি সুন্দর সম্পর্ক সেটা নয় যেটা দুনিয়ার মানুষকে দেখানো হয় সম্পর্ক তো সেটাই যেটা হৃদয় থেকে হয়</t>
  </si>
  <si>
    <t>অসুস্থতা হলো জীবন্ত দেহে প্রবেশ করা উপাদানগুলির বিরোধ</t>
  </si>
  <si>
    <t>মন দীর্ঘকাল খারাপ থাকলে সেখানে অসুস্থতা জমে যায়</t>
  </si>
  <si>
    <t>কষ্ট হচ্ছে নীরব ঘাতক যেকোনো মানুষকে যে কোন মুহূর্তে ভিতর থেকে শেষ করে দিতে পারে</t>
  </si>
  <si>
    <t>আমাদের যা আছে তা দিয়ে আমরা ধনী নই বরং আমরা যা ছাড়া করতে পারি তার দ্বারা</t>
  </si>
  <si>
    <t>সিনেমার চলচ্চিত্রে দেখা হাসির মুহূর্ত আমার মনের দুঃখে মেশায়</t>
  </si>
  <si>
    <t>সত্য বলতে সত্যি কষ্ট পাই কিন্তু মিথ্যা বলতে আমি নিজেকে হাসিয়ে দিতে পারি</t>
  </si>
  <si>
    <t>বাংলার সংস্কৃতির দাবি মৃত্যুর প্রহারে সত্যের অদৃশ্য দুঃখ</t>
  </si>
  <si>
    <t>ভালোবাসাটা এতটা কষ্টের যে এটি প্রকাশ করাটা কষ্টের আবার ভূলে যাওয়াটাও কষ্টের</t>
  </si>
  <si>
    <t>আমার ভালোবাসায় কোন জটিলতা নাই জটিলতা তোমার মনে তুমি আমাকে ছেরে চলে গেছো</t>
  </si>
  <si>
    <t>ভাঙ্গা সংস্কৃতির আলোয় নিজেরাই নিজেদের খুজি</t>
  </si>
  <si>
    <t>অতীতের দুঃখ আজও হৃদয়ে অজানা কারণে ব্যস্ত</t>
  </si>
  <si>
    <t>রাজনৈতিক শক্তির খেলা হলো একটি দুর্নীতির খেলা যেখানে বিপদ এবং মৃত্যু শহরের শোক এবং আঁধার আনে</t>
  </si>
  <si>
    <t>পরিবারের অভাবে মনে মনে অজানা ভয় আছে অনেক কিছু নিখোঁজ থেকে গেছে</t>
  </si>
  <si>
    <t>ম্যারাডোনার মৃত্যুতে ফুটবল জগতে শোকের ছায়া নেমে আসে</t>
  </si>
  <si>
    <t>খুব ব্যস্ত তাই না যে আমার খবরটা ও নিতে পারো না যখন তোমার ব্যস্ততা শেষ হবে তখনই না হয় আমার খবর নিও</t>
  </si>
  <si>
    <t>বাংলার সংস্কৃতির গল্পে লুকিয়ে আছে সত্যের আলোর স্পর্শ</t>
  </si>
  <si>
    <t>হৃদয়ের ক্ষত ধীরে ধীরে নিরাময় হয় শুধুমাত্র ধৈর্যের সাথে</t>
  </si>
  <si>
    <t>অসুস্থতার কারণে মানুষ সাধারণত বিস্ময়কর আচরণ করে</t>
  </si>
  <si>
    <t>মায়া বড়ই অদ্ভুত না দেয় ভুলতে না দেয় ভালো থাকতে</t>
  </si>
  <si>
    <t>অদৃশ্য ক্ষত রক্তক্ষরণের ক্ষতের চেয়েও বেশি ভয়ঙ্কর</t>
  </si>
  <si>
    <t>ভাইবোনের সম্পর্ক ও বড়ই মধুর তাদের খুনসুটি মান অভিমানের মধ্যেই লুকিয়ে থাকে তাদের ভালোবাসা</t>
  </si>
  <si>
    <t>কখনও কখনও আপনাকে একজন যোদ্ধা হতে হয়েছে এমনকি যখন আপনি অসুস্থ বোধ করছেন</t>
  </si>
  <si>
    <t>আজকে কেমন যেন খুব একা লাগছে কারো সাথে কথা বলতে ইচ্ছে করছে</t>
  </si>
  <si>
    <t>পৃথিবী এতই বিস্ময়কর যা ভেবে অবাক হই</t>
  </si>
  <si>
    <t>যুদ্ধের ধ্বংসকে এত প্রচন্ড দুঃখের অনুভূতি হয়ে দুঃখিত হয়ে আছি</t>
  </si>
  <si>
    <t>কখনো কি জানতে চেয়েছো ভালো আছি নাকি ভালো থাকার অভিনয় করছি</t>
  </si>
  <si>
    <t>জীবনে কিছু মানুষ আসে আশীর্বাদ হয়ে আর কিছু মানুষ আসে শিক্ষা হয়ে</t>
  </si>
  <si>
    <t>আসল প্রেমের মানুষ হল সেই জন দুঃখের গান শুনলে যার কথা মনে পড়ে</t>
  </si>
  <si>
    <t>আমাদের সমাজে এখন বিপদে পাশে থাকার চেয়ে তেল মারা লোকের সংখ্যাই বেশী</t>
  </si>
  <si>
    <t>যখন জীবন আমাকে অসুস্থতা দেয় আমি এটিকে শক্তিতে পরিণত করি</t>
  </si>
  <si>
    <t>লক্ষ্য নেই কোনোটাই আবার এই জীবনে আশা ছাড়া মনে মনে হয় এই সত্যি জীবনটা একটি বাঁচার যাত্রা নয়</t>
  </si>
  <si>
    <t>সাফল্য বা ব্যর্থতা মানসিক সামর্থ্যের চেয়ে মানসিক মনোভাব দ্বারা বেশি সংঘটিত হয়ে থাকে</t>
  </si>
  <si>
    <t>দারিদ্র্য একটি মহান কাটার বন্ধক</t>
  </si>
  <si>
    <t>মনের মানুষকে ভালোবাসতে ইচ্ছে করে কিন্তু ভবিষ্যতের অনিশ্চয়তা ভাবিয়ে তোলে</t>
  </si>
  <si>
    <t>মায়ের হাতের রান্না খেতে না পেরে কত কষ্ট হয়েছে</t>
  </si>
  <si>
    <t>সংস্কৃতির আলোয় পাচ্ছি অন্ধকারের অভাব</t>
  </si>
  <si>
    <t>কষ্টের অশ্রুতে ভেজা বালিশে রাতের প্রতিটি মুহূর্ত যেন অসহ্য যন্ত্রণা</t>
  </si>
  <si>
    <t>সংস্কৃতির গল্পে পড়ে ছাইয়ে গেছে মৃত্যুর অকারণ আলো</t>
  </si>
  <si>
    <t>শারীরিক ক্ষমতা থেকে শক্তি আসে না এটি একটি অদম্য ইচ্ছা থেকে আসে</t>
  </si>
  <si>
    <t>মনের গোপন কথা চিরদিন রয়ে গেল মনে জাগরণে এল না সে সে শুধু এলো স্বপনে</t>
  </si>
  <si>
    <t>কখনো প্রয়োজনে পাচ্ছি না তোমাদের</t>
  </si>
  <si>
    <t>ভালোবাসার আনন্দগুলো একমুহুর্ত থাকে কিন্তু ভালোবাসার দুঃখের মুহূর্তগুলো সারাজীবন রয়ে যায়</t>
  </si>
  <si>
    <t>আমি তোমার মধ্যে অস্ত্রীর মত সাক্ষাৎ থাকতে পারি না</t>
  </si>
  <si>
    <t>একদিন ঠিক হয়ে যাবে এই কথার ওপর নির্ভর করে টিকে আছে হাজারও সম্পর্ক</t>
  </si>
  <si>
    <t>দারিদ্রতা চরিত্রের অভাব নয় এটি নগদ অর্থের অভাব</t>
  </si>
  <si>
    <t>মিথ্যা বলা অনেকটা কষ্টকর কিন্তু সত্য বলা এখন নিজের কাছেই কষ্টদায়ক</t>
  </si>
  <si>
    <t>ইন্টারনেটের মাধ্যমে আমরা পৃথিবীর যেকোনো প্রান্তের মানুষের সাথে সংযুক্ত থাকতে পারি কিন্তু আমাদের পাশের মানুষের সাথে কতটা সংযুক্ত</t>
  </si>
  <si>
    <t>অসুস্থতা মানবজাতির সবচেয়ে বড় ত্রুটি</t>
  </si>
  <si>
    <t>দেশের বর্তমান আর্থিক অবস্থা সংকটাপন্ন আর দিন দিন ঋণে জোড়িয়ে যাচ্ছে</t>
  </si>
  <si>
    <t>একটি জাতি যত বড়ই হোক না কেন সে তার দুর্বলতম মানুষের চেয়ে শক্তিশালী নয়</t>
  </si>
  <si>
    <t>অসুস্থ তবুও তোমার কারণে হাসছি</t>
  </si>
  <si>
    <t>আমি আর অন্যকোনো জনকে ভালোবাসার অবস্থায় নেই কারণ আমার হৃদয়ের সমস্ত প্রেম গগন শূন্য</t>
  </si>
  <si>
    <t>আমি অসুস্থ নই শুধু সোমবারে অ্যালার্জি</t>
  </si>
  <si>
    <t>ব্যর্থতা নিচে পড়ে থাকে না ব্যর্থতা সেটাই যা ওপরে উত্তীর্ণ হতে অস্বীকার করায়</t>
  </si>
  <si>
    <t>মিথ্যা বলা সত্য এবং সত্য হোক</t>
  </si>
  <si>
    <t>বন্ধুত্বটা খারাপ মানুষের সাথে করছেন</t>
  </si>
  <si>
    <t>আমার ব্যর্থতা নিয়ে আমি অনেক ভালো আছি সবার তিরস্কার নিয়েও আমি বেঁচে তো আছি</t>
  </si>
  <si>
    <t>ব্যথার কিছু মুহূর্ত আপনাকে অতীত মনে করিয়ে দেয়</t>
  </si>
  <si>
    <t>ভালো পোশাক গাড়ি বাড়ি কিনতে ইচ্ছে করে কিন্তু সামর্থ্যের বাইরে সবকিছু</t>
  </si>
  <si>
    <t>একটা চাকরির খুব দরকার কিন্তু আফসোস আমার কাছে সার্টিফিকেট নেই কারণ দক্ষতার চাইতে সার্টিফিকেট এর দাম বেশী</t>
  </si>
  <si>
    <t>অবাঞ্ছিত অপ্রীতিকর যত্নহীন সকলের দ্বারা ভুলে যাওয়া আমি মনে করি এটি একটি অনেক বড় ক্ষুধা অনেক বড় দারিদ্র্য সেই ব্যক্তির চেয়ে যার খাওয়ার কিছু নেই</t>
  </si>
  <si>
    <t>ছবির শেষের মুহূর্তে আমি নিজেকে কিছু আবেগের জয়ে আবৃত করতে পারি না</t>
  </si>
  <si>
    <t>পরিশ্রম চেহারা খারাপ করে দেয় কিন্তু জীবন সুন্দর করে দেয়</t>
  </si>
  <si>
    <t>তোমাকে হারাইনি হারিয়েছি নিজেকে কাউকে বোঝাইনি বুঝিয়েছি এই নিজেকে</t>
  </si>
  <si>
    <t>সম্পর্ক সুন্দর দূরের থেকে চাই না যেতে কারও কাছে</t>
  </si>
  <si>
    <t>অসুস্থ দিনগুলি আমাকে সংজ্ঞায়িত করে না তারা আমাকে পরিমার্জিত করে</t>
  </si>
  <si>
    <t>সে চলে গেল অন্যের সাথে আমার ভালোবাসার অবমূল্যায়ন করে</t>
  </si>
  <si>
    <t>অসুস্থতা স্বাধীনতার বিপরীত এটি সবকিছুকে অসম্ভব করে তোলে</t>
  </si>
  <si>
    <t>ব্যথা আপনাকে শক্তি এনে দেয় এবং সুন্দর জিনিসগুলি ঘটায়</t>
  </si>
  <si>
    <t>ফ্রিল্যান্সিং লাইফের সবচেয়ে বাজে অভিজ্ঞতা হলো ইন্ডিয়ান ক্লায়েন্টের কাজ করা</t>
  </si>
  <si>
    <t>বাইরে হাসিখুশি ভেতরে কাঁদে মন এই চাপা কষ্ট কেবল আমারই বোঝি</t>
  </si>
  <si>
    <t>কোন কিছুকে ভালোবাসা হলো সেটি বেঁচে থাক তা চাওয়া</t>
  </si>
  <si>
    <t>নাটকের দুঃখের সীমানা আমার নিজের সীমানা থেকে বেড়ে যায়</t>
  </si>
  <si>
    <t>প্রিয় আমার শূন্যতা বুঝতে চেষ্টা করো</t>
  </si>
  <si>
    <t>স্মৃতির জোনাকি ছাড়া আর কিছু নেই বুকের বা পাশে</t>
  </si>
  <si>
    <t>আমি জীবনের প্রতিটি পদে উপলব্ধি করেছি কেউ কারো জন্যে নয়</t>
  </si>
  <si>
    <t>আমি এই সমাজের এই ঐতিহাসিক উপলব্ধির সাথে অত্যন্ত নিরাপত্তা অনুভব করি</t>
  </si>
  <si>
    <t>পরিবারের অভাবে আমার মনে কোনো প্রশান্তির কিছু নেই শুধুই অন্ধকার এবং আলোর বিপরীতে একান্ত দুঃখ</t>
  </si>
  <si>
    <t>দিন দিন সমাজে অতিরিক্ত প্রতারণা ও অত্যন্ত সামাজিক আশুপাশু দেখতে পাচ্ছি</t>
  </si>
  <si>
    <t>বাংলার সংস্কৃতির প্রতিবেদন করেছে অস্তিত্বের নিশিকাল সমাপ্তির নোট</t>
  </si>
  <si>
    <t>সাময়ের গুরুত্ব সমঝা একটি জিনিস আমি তা নিজের জন্যে নেওয়া একটি সহজ কাজ না</t>
  </si>
  <si>
    <t>আমি এখন এতটাই ব্যর্থ যে কোনো কিছু পাওয়ার আগে হারানোর ভয় বেশি লাগে</t>
  </si>
  <si>
    <t>ছবির শেষ দেখে যদি দুঃখের আবেগ না আসে তাহলে কোনো ছবি আমার মনে ধরা পড়েনি</t>
  </si>
  <si>
    <t>সংস্কৃতির অনুভূতি স্মৃতির বিচ্ছেদে ছাইয়ে যায়</t>
  </si>
  <si>
    <t>মুখ বুঝে খারাপ গুলোকে মেনে নিয়ে চুপ থাকলেই ভালো খারাপ গুলোর বিরুদ্ধে কিছু বলে দিলেই তুমি খারাপ</t>
  </si>
  <si>
    <t>যুদ্ধে হারিয়ে যাচ্ছে মানবতা ও মানবিকতার সহানুভূতি</t>
  </si>
  <si>
    <t>আমার পরিবারের সাথে অনেক সময় মনের বন্ধুত্ব আর পরম অবসাদের মধ্যে পর্যন্ত পরিণত হয়ে যায়</t>
  </si>
  <si>
    <t>ভালোবাসার মানুষকে ছেড়ে দিতে হলেও ছেলেদের হাসিমুখে বিদায় জানাতে হয়</t>
  </si>
  <si>
    <t>নিম্ন শ্রেণী থাকলেও আমি তাতে আছি যদিও একটি অপরাধমূলক উপাদান আছে আমি এটির কারাগারে আত্মা থাকলেও আমি মুক্ত নই</t>
  </si>
  <si>
    <t>পরিবারের অভাবে আমি নিজের পথে হারিয়ে যাচ্ছি সম্পূর্ণ অনুভূতি হেঁটে যাচ্ছে এখন</t>
  </si>
  <si>
    <t>আমি যুদ্ধে ব্যর্থ হয়েছি এবং এখন হতাশা আমাকে আমার মৃত্যুর দিকে নিয়ে যাচ্ছে</t>
  </si>
  <si>
    <t>ফোন করে কাউকে পাচ্ছি না যখন খুব একা লাগছে আর কথা বলতে ইচ্ছে করছে তখন যেন হাতে থাকা ফোনটাও অচল</t>
  </si>
  <si>
    <t>আজ সারাদিন কাজের চাপে ক্লান্ত হয়ে গেছি</t>
  </si>
  <si>
    <t>একাকীত্ব তখনই মানুষ অনুভব করে যখন সে নিজের সাথে কথা বলে কারণ তখন কেউ তার কথা শোনার মত থাকে না</t>
  </si>
  <si>
    <t>সামাজিক মাধ্যমে হারিয়ে যাচ্ছে স্বপ্নের বিচারপতি জীবনের সত্যিকারের সম্মুখীন একটি বাঁধা</t>
  </si>
  <si>
    <t>জীবনের এই পর্যায়ে এসে বুঝলাম নিজের পরিবার বাবা মা ভাই বোন ছাড়া কেউ আপন হয় না</t>
  </si>
  <si>
    <t>পরিচয় অল্প দিনের হলেও রেখে যাচ্ছে স্মৃতি সারাজীবনের</t>
  </si>
  <si>
    <t>আমি এই ধর্মের সাথে আমার ভারতীয় সংস্কৃতির নাম বাধা দেওয়ার মত অভিপ্রায় অনুভব করি</t>
  </si>
  <si>
    <t>পাওয়ার আনন্দ ক্ষণিকের কিন্তু না পাওয়ার বেদনা সারা জীবন</t>
  </si>
  <si>
    <t>এত ক্লান্ত হচ্ছি বাড়ি ফিরে দেখি কারেন্ট নেই কোনও কিছুই করা যাচ্ছে না</t>
  </si>
  <si>
    <t>আমরা যতই বড় হই আমরা একা থাকতে তত বেশি অভ্যস্ত হতে শিখি</t>
  </si>
  <si>
    <t>দুনিয়ার যত দামী খাবার ই খান না কেন মায়ের হাতের রান্না ছাড়া আর কিছুই ভালো লাগে না</t>
  </si>
  <si>
    <t>দারিদ্র্যপীড়িত মানুষটি ধনী ব্যক্তি সম্পর্কে একই ভুল করে</t>
  </si>
  <si>
    <t>কিন্তু কখনো মনে করতে হয় না কি হয় যদি আমরা যুদ্ধের পথে না চলি শান্তির পথে চলি</t>
  </si>
  <si>
    <t>ভালবাসা কারো জন্য দীর্ঘ প্রক্রিয়া আবার কারো জন্য স্বল্প কিন্তু কষ্ট দুটোতেই সমান</t>
  </si>
  <si>
    <t>মানুষের প্রিয় হতেও আর্থিক যোগ্যতা লাগে অর্থশূন্য মানুষ কখনো কারো প্রিয় হয় না</t>
  </si>
  <si>
    <t>পৃথিবীতে তিনটি সম্পর্ক আছে যাঁরা একটি দেশ বা জাতিকে পরিবর্তন করতে পারেন তাঁরা হলেন বাবা মা ও শিক্ষক</t>
  </si>
  <si>
    <t>সবটুকু ভালোবাসা শুধু তোমার জন্যই তুলে রেখেছি অথচ আমার ভালোবাসা তোমার কাছে মূল্যহীন</t>
  </si>
  <si>
    <t>আওয়াজ তুলতে চেয়েও আমি পারি না মনের কথাগুলোও মুখে বোঝাতে পারি না অনুভূতিহীন হয়ে বোবা হয়েই রই</t>
  </si>
  <si>
    <t>হৃদয়ের গভীরে যে ব্যথা থাকে তা অনুমান করার ক্ষমতা কারোর নেই</t>
  </si>
  <si>
    <t>প্রতিটি প্রতিকূলতা প্রতিটি ব্যর্থতা প্রতিটি ব্যথার সাথে এটি একটি সমান বা বড় কোন সফলতার বীজ বহন করে</t>
  </si>
  <si>
    <t>যুদ্ধের পরিণামে বাসিন্দা হওয়া যে বাচ্চাদের জন্য অত্যন্ত দুঃখের কথা</t>
  </si>
  <si>
    <t>বই পড়ার সময় আমরা অনেক দুঃখের মধ্যে পড়ে যাই এবং সেই দুঃখ আমাদের সাথে সাথে অনুভূতি করে যে জীবন কতটা সংকটের মধ্যে গুড়াচুড়া</t>
  </si>
  <si>
    <t>তোমাকে ভুলে থাকাটা আমার জন্য কষ্টদায়ক হচ্ছে</t>
  </si>
  <si>
    <t>সঞ্চয় দ্বারা বৃদ্ধি শুধুমাত্র অসুস্থতা</t>
  </si>
  <si>
    <t>বিনোদনের সাথে নিঃসন্তান দুঃখের নীল বিলোপের পার্থক্য নেই</t>
  </si>
  <si>
    <t>সময় পানির মতো স্রোত প্রবাহিত হচ্ছে আমার কাজের জীবনে মোহামুহূর্তের অর্থ জানতে হয় মনোযোগ</t>
  </si>
  <si>
    <t>সত্যের পথে হারিয়ে গেছি আমার মন এখন পরাজিত</t>
  </si>
  <si>
    <t>সংস্কৃতির অভাবে ভাসছে মানুষের মুখে পড়া সমস্যার সূচনা</t>
  </si>
  <si>
    <t>আজ আরও একটি শুক্রবার চলে যাচ্ছে কতদিন হয়ে গেছে বাবা মা ভাই এর সাথে একসাথে বসে আম্মুর হাতের রান্না খাই না</t>
  </si>
  <si>
    <t>এক চোখ কখনো আরেক চোখকে দেখেনা তবুও এক চোখের কিছু হলে আরেক চোখে অশ্রু না ঝড়িয়ে পারে না</t>
  </si>
  <si>
    <t>ঘুম থেকে একটু লেট করে উঠে আজ সকালে খুব তাড়াতাড়ি বেরোতে হয়েছে ব্রেকফাস্ট করার সময় পাইনি পেটটা কুঁড়কুঁড় করে কাঁদছে</t>
  </si>
  <si>
    <t>আমার মনে সেই হাসি এখনও চলমান</t>
  </si>
  <si>
    <t>মানুষের সাথে সুসম্পর্ক বজায় রাখতে হলে নিজেদের মাঝে বোঝাপড়া ও নিশ্চিন্ত মনোভাব থাকা একান্ত প্রয়োজনীয়</t>
  </si>
  <si>
    <t>অসুস্থ হলে আরামদায়ক পোশাক পরিধান করো</t>
  </si>
  <si>
    <t>ভালবাসা যত্ন করে বুকের মধ্যে আগলে রাখতে হয়</t>
  </si>
  <si>
    <t>সত্যের পথে হারিয়ে গেছি আমার সম্পর্কগুলি ধ্বংস হয়ে গেছে</t>
  </si>
  <si>
    <t>দোলনা থেকে কবর পর্যন্ত শিক্ষা অর্জন করা আমাদের উচিত পড়ালেখার কোনো শেষ নেই</t>
  </si>
  <si>
    <t>দারিদ্র্য একটি পরিস্থিতি নয় এটি একটি মনোভাব</t>
  </si>
  <si>
    <t>কখনও কখনও একটি ভাঙা হৃদয় অন্য কিছুর ভাঙা মেরামত করতে পারে</t>
  </si>
  <si>
    <t>ভালোবাসা হল বিসর্জন নিজেকে বিলিয়ে দেওয়া উজার করে দেওয়া কারোর জন্যে</t>
  </si>
  <si>
    <t>পৃথিবীর সবথেকে স্বার্থহীন সম্পর্ক হলো বাবা মার সাথে তার সন্তানের</t>
  </si>
  <si>
    <t>যুদ্ধের মধ্যে হারিয়ে যাচ্ছে সম্প্রদায় ও সামাজিক সংলাপ</t>
  </si>
  <si>
    <t>যে ভালবাসা যত গোপন সেই ভালবাসা তত গভীর</t>
  </si>
  <si>
    <t>অর্থনৈতিক অবস্থা নিয়ে অনিশ্চিত জগড়ার কারখানা যে শহর আমরা সেখানে জীবন যাপন করি</t>
  </si>
  <si>
    <t>অশ্রু হৃদয় থেকে আসে মস্তিষ্ক থেকে নয়</t>
  </si>
  <si>
    <t>রাজনৈতিক শক্তির খেলা হলো একটি নাটক যেখানে নায়ক এবং নায়িকা মানুষের ভালোবাসা অনুযায়ী বিপক্ষের ভাগ্য নির্ধারণ করে</t>
  </si>
  <si>
    <t>মানুষের মধ্যে অনেক সমস্যা হয় কিন্তু সেই সমস্যা গুলো সমাধানের পথে পৌঁছে না বরং সেগুলো আরও দ্বিগুণ বেড়ে যাচ্ছে</t>
  </si>
  <si>
    <t>অন্যের বদলে যাওয়ার জন্য খারাপ লাগে নাহ খারাপ লাগে নিজের বিশ্বাস এর জন্য</t>
  </si>
  <si>
    <t>প্রেমের পরশে প্রত্যেকেই কবি হয়ে ওঠে</t>
  </si>
  <si>
    <t>গরীব সেই মানুষ যে তার যা আছে তাই নিয়ে সন্তুষ্ট নয়</t>
  </si>
  <si>
    <t>অপরূপ দুঃখে নীতিবাণী ভেঙে গেছে আমাদের সংস্কৃতি</t>
  </si>
  <si>
    <t>সঙ্গীর স্বতন্ত্রতার সম্মান করা একটি সম্পর্কের ক্ষেত্রে অত্যন্ত গুরুত্বপূর্ণ বিষয়</t>
  </si>
  <si>
    <t>বিটিএসের সঙ্গীত ফ্যানদের মনের গভীর অনুভূতি প্রকাশের মাধ্যম দেয় নিজের মনের কথা গানের সাথে তাল মিলাতে পারা ফ্যানরা আনন্দ অনুভব করে</t>
  </si>
  <si>
    <t>অনুভূতির অভাবে হয়নি সংস্কৃতির স্বীকৃতি</t>
  </si>
  <si>
    <t>দুটো জিনিস খুবই কষ্টদায়ক একটি হচ্ছে যখন তোমার ভালোবাসার মানুষ তোমাকে ভালোবাসে কিন্তু তা তোমাকে বলে না আর অপরটি হচ্ছে যখন তোমার ভালোবাসার মানুষ তোমাকে ভালোবাসে না এবং সেটা তোমাকে সরাসরি বলে দেয়</t>
  </si>
  <si>
    <t>যুদ্ধের সাগরে আমাদের সবচেয়ে শীঘ্রই ডুবে যাওয়ার আশঙ্কা নিশ্চিত</t>
  </si>
  <si>
    <t>অভিমান ভেঙে কথা বলে নিও আজ আছি কাল খুঁজে নাও পেতে পারো</t>
  </si>
  <si>
    <t>ভালোবাসা দিয়ে সবাইকে ভালোবাসি কিন্তু বিনিময়ে কেবলই পাই অবহেলা</t>
  </si>
  <si>
    <t>তুমি কাদিঁয়ে বলো ভালোবাসি আর আমি কেদেঁ বলি ভালোবাসি</t>
  </si>
  <si>
    <t>আমার চাপা কষ্ট কেউ বুঝতে চায়না</t>
  </si>
  <si>
    <t>যুদ্ধের শব্দে আমার আকাশ আমার ভূমির পাশে দেখা হচ্ছে অন্ধকার মেঘে ঢাকা</t>
  </si>
  <si>
    <t>অসুখ দুঃখ অনুভূতির অমান্যতা যুদ্ধের ফসলে আমরা সবাই বৃদ্ধি পেতে চলেছি</t>
  </si>
  <si>
    <t>তারাই সুখী যারা নিজেদের ত্রুটি মেনে নিয়ে নিজেদের সংশোধন করতে পারে</t>
  </si>
  <si>
    <t>টিফিনের টাকা বাঁচিয়ে এমবি কিনে গেম খেলার সেই সুন্দর দিনগুলো কত মিস করি</t>
  </si>
  <si>
    <t>কতদিন হয়ে গিয়েছে মা এর হাত এর খাবার খাই না</t>
  </si>
  <si>
    <t>আমি আমার ভুল অনুভব করছি</t>
  </si>
  <si>
    <t>খেলাতে জয় পরাজয় আছেই কিন্তু বাংলাদেশ বারবার যেভাবে শেষ সময়ে গিয়ে হেরে যায় এইটা মেনে নেওয়ার মতো না</t>
  </si>
  <si>
    <t>দেখতে দেখেই দুইটি বছর চলে গিয়েছে গেলো অর্জনের খাতা এখনও শূন্য</t>
  </si>
  <si>
    <t>আমি তাকে যতবার মনে করি সে ততবার নিশ্বাস ও নেয় না</t>
  </si>
  <si>
    <t>কর্মজীবনে একজন সৎ বস খুঁজে পাওয়া এখন ভাগ্যের ব্যাপার</t>
  </si>
  <si>
    <t>আপনার অসুস্থতা আপনার পরিচয় নয় আপনার রসায়ন আপনার চরিত্র নয়</t>
  </si>
  <si>
    <t>বাবার বয়স হচ্ছে শরীরটাও খারাপ এখন</t>
  </si>
  <si>
    <t>দারিদ্র্য মানে শুধু অর্থের অভাব নয় মানুষ হিসেবে নিজের পূর্ণ সম্ভাবনা উপলব্ধি করার ক্ষমতা না থাকা</t>
  </si>
  <si>
    <t>এতো চেষ্টা করার পরও চাকরিটা করতে পারছিনা</t>
  </si>
  <si>
    <t>মনের ভেতর কষ্টের ঝড় কিন্তু কাছে নেই কেউ একাকীত্বের বেড়াজালে আটকে আছি কোনো আলোর দেখা নেই</t>
  </si>
  <si>
    <t>সিনেমা দেখা সময়ের মধ্যেই মন ভাঙ্গা হাসি ফেলে যায়</t>
  </si>
  <si>
    <t>তুমি এমন মিথ্যে স্বপ্নের সাগর যে সাগরে প্রতিরাতে ডুব দিয়ে নিজেকে হারিয়ে ফেলি</t>
  </si>
  <si>
    <t>যুক্তিহীন হওয়া সত্য অশিক্ষিতরা বেকার হয় না বেকার তো সব শিক্ষিতরাই</t>
  </si>
  <si>
    <t>চোখের জল দিয়ে কখনো লেখা যায়না কিন্তু চোখের জল অনেক কিছু লিখতে সাহায্য করে</t>
  </si>
  <si>
    <t>আমার পরিবারে সহযোগিতা এবং আদরের অভাব রয়েছে বাকি জন যেভাবে সব কিছু পায় আমি তা পাইনি</t>
  </si>
  <si>
    <t>প্রাচীন ইতিহাসের দুর্ভাগ্যবান ঘটনার স্মৃতি মনে পড়ে</t>
  </si>
  <si>
    <t>পরিবারের একজনের কোনো বিপদ অসুখ সবার মন খারাপ হওয়ার অন্যতম কারন</t>
  </si>
  <si>
    <t>পুরাতন ঘটনার স্মৃতি আমার মনে বেড়ে উঠে</t>
  </si>
  <si>
    <t>ভালোবাসার জন্য কালের প্রয়োজন নেই একটি মুহূর্তই যথেষ্ট</t>
  </si>
  <si>
    <t>প্রেম প্রকৃতির দ্বিতীয় সূর্য</t>
  </si>
  <si>
    <t>সংস্কৃতির বাঁধন ছিঁড়ে ফেলনা বরং তার পরিচর্চা করো</t>
  </si>
  <si>
    <t>তার শেষ পরিণতি মনে আছে আমার</t>
  </si>
  <si>
    <t>বাংলার আধুনিকতার দাবিতে খুঁজে পাওয়া যায় কোনো অস্তিত্ব সংস্কৃতিতে</t>
  </si>
  <si>
    <t>আগেই স্কুল কলেজে আমরা যা শিখছি এখনকার জেনারেশনের বাচ্চারা সেই শিক্ষাগুলো পাচ্ছে না</t>
  </si>
  <si>
    <t>স্বপ্ন ভেঙে যাওয়ার প্রতিটা মুহূর্তে মানুষ একেক সমুদ্র দুঃখ ধারন করে</t>
  </si>
  <si>
    <t>আশার আলো খুঁজে চলছি যেন পাই মুক্তি এই চাপা কষ্ট থেকে</t>
  </si>
  <si>
    <t>এত উচ্চশিক্ষিত হয়ে লাভ কি যদি আপনার বিবেকবোধ না আসে এই পড়ালেখার কোনো দাম নেই</t>
  </si>
  <si>
    <t>দ্বিতীয় তৃতীয় চতুর্থ পঞ্চম প্রেম বলে কিছু নেই মানুষ যখন প্রেমে পড়ে তখন প্রতিটি প্রেমই প্রথম প্রেম</t>
  </si>
  <si>
    <t>আমি এখন এতটাই বেকার যে আপন মানুষ গুলো প্রতিনিয়তই দূরে সরে যাচ্ছে</t>
  </si>
  <si>
    <t>ধন্যবাদ পরিচালককে এত সুন্দর একটা মুভি জনগনকে উপহার দেয়ার জন্য</t>
  </si>
  <si>
    <t>দাদা দাদি নানা নানির সাথে ছোটবেলা খেলা আনন্দের সাথে কাটানো সবার ভাগ্যে জুটেনা</t>
  </si>
  <si>
    <t>এমন কেউ অসুস্থ হয়ে মারা যাবে এটা ঠিক মনে হয় না</t>
  </si>
  <si>
    <t>যুদ্ধের পথে এগিয়ে যাওয়ার আশা করার আগে আমরা মনে করি তীব্র অন্ধকারে পড়েছি</t>
  </si>
  <si>
    <t>কখনো কখনো মানুষ ভেঙ্গে যায় না ছিন্নভিন্ন হয় না শুধু পরাজিত হয় কখনো নিজের দ্বারা কখনো ভাগ্যের দ্বারা আবার কখনো প্রিয়জনের দ্বারা</t>
  </si>
  <si>
    <t>পৃথিবীটা নাকি ছোট হতে হতে স্যাটেলাইট আর কেবলের হাতে ড্রয়িংরুমে রাখা বোকা বাক্সতে বন্দী ঘরে বসে সারা দুনিয়ার সাথে যোগাযোগ আজ হাতের মুঠোতে ঘুচে গেছে বেশ কাল সীমানার গন্ডি</t>
  </si>
  <si>
    <t>স্বপ্ন ছিল অনেক কিন্তু বাস্তবতা তিক্ত হতাশার গহীনে ডুবে যাচ্ছি কোন পথে এগিয়ে যেতে হবে বুঝতে পারছি না</t>
  </si>
  <si>
    <t>ভালো চাকরি পাওয়ার জন্য লড়াই কিন্তু প্রতিযোগিতায় হেরে যাওয়া</t>
  </si>
  <si>
    <t>কখনও কখনও সবচেয়ে প্রফুল্ল মানুষ সবচেয়ে ভয়ানক ব্যথা ধারণ করে</t>
  </si>
  <si>
    <t>স্বপ্ন দেখি একদিকে বাস্তবতা নিয়ে যায় অন্যদিকে</t>
  </si>
  <si>
    <t>যেখানে মূল্য নেই সেখানে অপেক্ষা করা শুধুই অপমান</t>
  </si>
  <si>
    <t>জীবন এক বিরক্তিকর অধ্যায় তবুও পরবর্তী পরিচ্ছেদে তুমি আছ ভেবে পাতা উল্টাই</t>
  </si>
  <si>
    <t>রাজনীতির বিশ্বাসের বৃদ্ধি হলো ব্যক্তিদের ভুল নিরুৎসাহিত করা</t>
  </si>
  <si>
    <t>নতুন প্রোগ্রামিং ল্যাঙ্গুয়েজ শিখতে ভালোই লাগে কিন্তু কিছুদিন পর আবার নতুন কিচুর সন্ধান পেলে আবার ওইটা তে শিফট হয় যার জন্য কোনোটাতেই নিজেকে দক্ষ বানাতে পারছি না</t>
  </si>
  <si>
    <t>হাসির পিঞ্জিরায় বন্ধুত্বের আবারও অনেকটা অকারণ বিশ্রাম পেতে হয়</t>
  </si>
  <si>
    <t>ভালোবাসা এবং ভয় একত্রে মিশ্রিত হতে পারে না</t>
  </si>
  <si>
    <t>প্রেমের সম্পর্ক অতি সূক্ষ্ম যা বিশ্বাস দিয়ে তৈরি হয় আর সেই বিশ্বাস একবার ভেঙে গেলে কখনও তা জোড়া লাগানো যায় না</t>
  </si>
  <si>
    <t>তুমি আমার কাছে নেই তাতে কি হয়েছে তুমি আছো আমার সারা হৃদয় জুড়ে</t>
  </si>
  <si>
    <t>আমি কখনোই মাফ করতে পারবো না তোমাকে পারলে এমনিই ভালো থাইকো তোমারে মাফ কইরা দিলে নিজের প্রতি অনেক বড় অবিচার করা হয়ে যেত</t>
  </si>
  <si>
    <t>যে ভালোবাসা না চাইতে পাওয়া যায় তার প্রতি কোনো মোহ থাকে না</t>
  </si>
  <si>
    <t>কষ্টের পরেই আসে সুখ এই আশায় বেঁচে থাকি</t>
  </si>
  <si>
    <t>যে কেউ রোগাক্রান্ত হয় তার থেকে গুনাহসমূহ এভাবে ঝরে যায় যেভাবে গাছ হতে তার পাতাগুলো ঝরে যায়</t>
  </si>
  <si>
    <t>আমি এখনো চাতকের ন্যায় অপেক্ষা করছি তোমার আশায়</t>
  </si>
  <si>
    <t>ভুল বোঝাবুঝির কষ্ট ছেলেদের বুঝতে পারে যারা ভুল বোঝা হয়</t>
  </si>
  <si>
    <t>যুদ্ধের মাধ্যমে আমরা সবকিছু হারিয়ে যাচ্ছি যেটা দুঃখের বিষণ্ণ করে আমাদের মনকে</t>
  </si>
  <si>
    <t>ভালবাসা হল মনের মাঝে কারু ছবি একে রাখা তার যত্ন করা তাকে মূল্যায়ন করা তার সম্মান রক্ষা করা ভালবেসে যাওয়া</t>
  </si>
  <si>
    <t>বন্ধু বলে বিশ্বাস করেছি সেই বন্ধুই আজ আমার পিঠে ছুরি মেরেছে</t>
  </si>
  <si>
    <t>কাজের চাপ আর অনিয়মিত জীবনযাপনের কারণে ঘুমের সমস্যা হচ্ছে</t>
  </si>
  <si>
    <t>এক লাখ টাকা দিয়ে ফোন কিনে যদি সেই ফোন এ ফিচার্স এর কমতি অনুভূত হয় তাহলে টাকার মূল্য কোথায়</t>
  </si>
  <si>
    <t>পরিবারের বিপর্যয়ে আমার জীবন শুধুই অবনতির সাথে প্রচুর কাঁটা এবং অপেক্ষার মোহাচ্ছাদন</t>
  </si>
  <si>
    <t>আমরা স্প্যানিয়ার্ডরা হৃদয়ের একটি অসুস্থতা জানি যা কেবল সোনাই নিরাময় করতে পারে</t>
  </si>
  <si>
    <t>সময় পানির মতো অবিরামভাবে বহন হচ্ছে আমার কাজের জীবনের সময়ে আমি নিজের জন্য কোনো সময় নিতে পারি না</t>
  </si>
  <si>
    <t>চোখের জলের কোনো বর্ণ হয়না তাই দুঃখের কারণ ভিন্ন হলে চোখে একই রকম জল ঝরে পড়ে</t>
  </si>
  <si>
    <t>অপরূপ সংস্কৃতির আঁচলে লুকিয়ে আছে স্বপ্নের অপরূপ</t>
  </si>
  <si>
    <t>সম্পর্কের মধ্যে সমস্যার সমাধান হয়ে যাবার আগে আমাদের প্রথমে সম্পর্কটির সাথে সত্যের বিকল্প এবং বিশ্বাসের পুনঃস্থাপন চেষ্টা করা উচিত</t>
  </si>
  <si>
    <t>নিজের প্রতিশ্রুতিকে অগ্রাধিকার দেওয়া এবং সঙ্গীর জন্য সময় বের করতে যত্নবান হলে একটি সম্পর্ক চিরকাল স্থায়ী হয়</t>
  </si>
  <si>
    <t>আজকে বছর বন্ধুকে দেখি না কথাও হয় না শুয়ে আছে সেই অন্ধকার কবরে</t>
  </si>
  <si>
    <t>আমি এমন তিনটি জিনিস ভালোবাসি লোকে যা ঘৃণা করে দারিদ্র অসুস্থতা এবং মৃত্যু</t>
  </si>
  <si>
    <t>যুদ্ধের স্মৃতিগুলি হৃদয়ে দুঃখের ছাপ ফেলে রেখেছে</t>
  </si>
  <si>
    <t>ভয়টা সে কখনোই পায়না খুজে</t>
  </si>
  <si>
    <t>যাদের খুব বেশি কিছু নেই তারা তাদের ছেড়ে যাওয়া সামান্য কিছু ছেড়ে দেওয়ার বিষয়ে কুত্সিত হন</t>
  </si>
  <si>
    <t>সত্যিকারের ভালোবাসা হল অনেকটা প্রেতআত্মার মতো এ নিয়ে সবাই কথা বলে কিন্তু শুধুমাত্র কয়েকজনই এর দেখা পায়</t>
  </si>
  <si>
    <t>রাজনৈতিক শক্তির খেলা হলো একটি নাটক যেখানে সত্য চেয়ে ভালো লুকানো হয়</t>
  </si>
  <si>
    <t>কান্না যেখানে নিত্য সঙ্গী কষ্ট সেখানে সবচেয়ে প্রিয় বন্ধু যারা একে অপরের অবিচ্ছেদ্য অংশ</t>
  </si>
  <si>
    <t>কিছু লোক চলে যায় তবে এটি আপনার গল্পের শেষ নয় এটি আপনার গল্পে তাদের অংশের শেষ</t>
  </si>
  <si>
    <t>যুদ্ধের ঘটনায় ক্ষতি পেয়ে এখন মনে মনে আমার কোনো সম্ভাবনা নেই</t>
  </si>
  <si>
    <t>ভালোবাসা কাঁচা সবজির মতো নষ্ট হয়ে যায় তাই যত্ন করে বুকের মধ্যে আগলে রাখতে হয়</t>
  </si>
  <si>
    <t>বেঁচে থাকার সবচেয়ে বড় গৌরব কখনই না পড়ে না বরং যতবারই আমরা পড়ে যাই উপরে ওঠার মধ্যে</t>
  </si>
  <si>
    <t>হাডুডু জাতীয় খেলা সে বিষয় কয়জন জানে</t>
  </si>
  <si>
    <t>বর্তমানে শিক্ষা ব্যবস্থা খুবই দুঃখজন</t>
  </si>
  <si>
    <t>ভালোবাসা নামের ভেতরে অবসান নিয়ে আসে অনেক বার</t>
  </si>
  <si>
    <t>এখন সেই সুন্দর সময়গুলো মনে পড়ে</t>
  </si>
  <si>
    <t>পড়াশোনা কাজ এবং নিজের জন্য একসাথে সময় বের করা দিন দিন কষ্ট হয়ে যাচ্ছে</t>
  </si>
  <si>
    <t>হারানো সময়ের বিষাদে প্রতিদিন প্রলাপ</t>
  </si>
  <si>
    <t>পরিবারের মধ্যে অস্থিরতা এবং বিভ্রান্তির অনুভূতি বেশি দেখা যায়</t>
  </si>
  <si>
    <t>বাংলার সংস্কৃতির গল্প ভরে গিয়েছে সত্যের হারানো বাস্তবতায়</t>
  </si>
  <si>
    <t>সত্যের পথে হারিয়ে গেছি আমারা আজ</t>
  </si>
  <si>
    <t>পরিবারের অভাবে আমি অনেক কিছু হারিয়েছি যা এখন ফিরে আসতে চাই</t>
  </si>
  <si>
    <t>দারিদ্র্য তাদের আচরণের সাধারণ মান থেকে মুক্ত করে যেমন অর্থ মানুষকে কাজ থেকে মুক্ত করে</t>
  </si>
  <si>
    <t>সময়ের গভীর অশ্লীল অংশে আমার দুঃখ বিস্তৃত হয়ে উঠে</t>
  </si>
  <si>
    <t>কিছু মুহূর্ত স্থান নাম গন্ধ অনেক কিছু পুরানো স্মৃতিকে মনে করিয়ে দেয়</t>
  </si>
  <si>
    <t>আমাদের গভীর রাতের কষ্টটা একান্তই নিজের হয় কারো সাথেই সেটা কখনো ভাগ করে নেয়া যায় না</t>
  </si>
  <si>
    <t>মনে হচ্ছে যেন আমি রোবট হয়ে গেছি সকালে ঘুম থেকে ওঠা ক্লাসে যাওয়া বাড়ি ফেরা রোজ একই রুটিন</t>
  </si>
  <si>
    <t>মানুষ একাকীত্ব বোধ করে কারণ তারা সম্পর্কে সেতুর নির্মাণ করার পরিবর্তে দেয়াল করার কাজে বেশি ব্যাস্ত থাকে</t>
  </si>
  <si>
    <t>সিনেমা দেখে আমি নিজেকে হাসিতে বাধা দিয়েছি কিন্তু আমার মনের অন্ধকার কোনোদিনও সমাপ্ত হয়নি</t>
  </si>
  <si>
    <t>দুনিয়ার এই মায়াজালে আমি এমনভাবে ডুবে গেছি বাঁচার কোন পথই খুঁজে পাচ্ছি না আর</t>
  </si>
  <si>
    <t>তুমি হয়তো গরীব তোমার জুতা ভেঙ্গে যেতে পারে কিন্তু মনটা একটা প্রাসাদ</t>
  </si>
  <si>
    <t>প্রেম হল সিগারেটের মতো যার আরম্ভ হল অগ্নি দিয়ে আর শেষ পরিণতি ছাই দিয়ে</t>
  </si>
  <si>
    <t>বই পড়ার মাধ্যমে আমরা বিশ্বাস করি যে সব সমস্যা দূরে চলে গেছে কিন্তু এটা আসলে আমাদের সাথে সাথে আরও নিভে যায়</t>
  </si>
  <si>
    <t>আজ আম্মুর কথা খুব মনে পড়ছে</t>
  </si>
  <si>
    <t>নদী যেমন দেয় মোহনা তোমারই আমি তোমার উপমা</t>
  </si>
  <si>
    <t>রাতটা আগের মতো আসলে ও ঘুমটা আর আগের মত আসে না</t>
  </si>
  <si>
    <t>বাংলার আদরের পরিস্থিতি নষ্ট হয়ে যাচ্ছে অরাজকতায়</t>
  </si>
  <si>
    <t>উন্নয়ন তো গাদ্দাফি ও করেছিল কিন্তু তার শেষ পরিণতি মনে আছে তো</t>
  </si>
  <si>
    <t>বার্ধক্য এবং অসুস্থতা একজন মানুষের অপরিহার্য বৈশিষ্ট্য বের করে আনে</t>
  </si>
  <si>
    <t>পরিস্থিতির সাথে মানিয়ে নিয়ে হাসি মুখে চলেছি তাতে অন্যরা শান্তি পেলেও আমি শুধু অবহেলা টাই পেয়েছি</t>
  </si>
  <si>
    <t>সারারাত জেগে কাজ করি ঘুম থেকে সকালে উঠে ক্লাস এ যেতে আর মন চাই না</t>
  </si>
  <si>
    <t>আমাদের উচিত সততার সাথে ক্যারিয়ার গঠন করা বেশির ভাগ ই অসৎ পথ বাছাই করে</t>
  </si>
  <si>
    <t>মরার কথা মাথায় আসলেও সাহসে হয় না তবে বাঁচার চেয়ে মরাটা বোধহয় সোজা</t>
  </si>
  <si>
    <t>আসলে পৃথিবীতে কেউ কারো আপন হয় না মানুষ আপনাকে তখনই মনে করে যখন তার সময় কাটে না</t>
  </si>
  <si>
    <t>একাকিত্ব সুন্দর যদি ধারণ করতে পারো দূরত্ব আরো সুন্দর যদি অনুভব করতে পারো</t>
  </si>
  <si>
    <t>দিন দিন দেশের শাশন বেবস্থা বই এর ওশেনিয়ার মতো হয়ে যাচ্ছে</t>
  </si>
  <si>
    <t>পরিবারের দায়িত্ব ছেলেদের কাঁধে তবুও নিজের কষ্ট কাউকে বলতে পারে না</t>
  </si>
  <si>
    <t>ধূলিকণা যুক্ত চোখ আর বিশ্বাস যুক্ত হৃদয় সর্বদা কাঁদে</t>
  </si>
  <si>
    <t>জীবনে কিছু এমন মানুষ থাকে যাদের সাথে পরিচয় না হলে নিজেকে শুধরে নেয়া যেত না</t>
  </si>
  <si>
    <t>লক্ষ্য ছাড়া জীবন বেমানে হয়ে যায় আশা ছাড়া মন হারায়</t>
  </si>
  <si>
    <t>কষ্টের কারণে হারিয়ে ফেলি সকল আনন্দ</t>
  </si>
  <si>
    <t>সত্যি বেদনাও মানুষকে আনন্দ দিতে পারে দিতে পারে মনের মানুষকে নিয়ে গর্ব করার সুখময় সুযোগ</t>
  </si>
  <si>
    <t>জীবনে এমন কাউকে কখনো পাইনি যে আমাকে আমার মতো করে বুঝতে পারছে</t>
  </si>
  <si>
    <t>আগের সেই পুরনো ক্লাসিক গেমগুলোর মজাই আলাদা আজকালের গেমে সেই ফিলিংস নেই</t>
  </si>
  <si>
    <t>একদিকে থেকে কাজের চাপ অন্যদিক থেকে কুইজ এসাইনমেন্ট কোনটা রেখে কোনটা করা উচিত বুঝতে পারছি না</t>
  </si>
  <si>
    <t>মানুষের অন্যত্র কি যে অপমান অত্যাচার সহিংসতা এই কথা শুধু কথায় নয় এটা আমরা প্রতিদিনের জীবনে দেখছি</t>
  </si>
  <si>
    <t>নিজের কষ্ট অনুভব করা হল জীবিত থাকার প্রমাণ অপরের কষ্ট অনুভব করা মানুষ হবার প্রমাণ</t>
  </si>
  <si>
    <t>নিঃসঙ্গতা এবং একাকীত্বের মধ্যে পার্থক্য রয়েছে নিঃসঙ্গতা এমন একটি পছন্দ যা তোমাকে স্থান এবং স্বাধীনতা প্রদান করে</t>
  </si>
  <si>
    <t>ক্ষুধার্থ পেট খালি পকেট আর মিথ্যা ভালোবাসা মানুষকে অনেক কিছু শিখিয়ে দেয়</t>
  </si>
  <si>
    <t>এত বিশাল আকাশেরও কষ্ট আছে বিশালতার উপমায় ছেয়ে যাওয়া আকাশটা ও দিনশেষে একা</t>
  </si>
  <si>
    <t>টাকা হওয়ার পরের বন্ধুগুলা হচ্ছে লাইট আর পোকার মতো যতক্ষণ আলো আছে ততক্ষণ থাকে আর যখন আলো থাকেনা তখন চলে যায়</t>
  </si>
  <si>
    <t>পরিবারের অভাবে এখন শুধু অচেনা পথে অবনতির মধ্যে দুঃখের সাগরে ডুবে আছি</t>
  </si>
  <si>
    <t>যুদ্ধের কারণে সন্তান হারিয়ে যাওয়া পরিবারের কথা মনে পড়ে দুঃখবোধ করি</t>
  </si>
  <si>
    <t>ভোরের আলোর ছোঁয়া নিতে সকাল সকাল ঘুম থেকে উঠো</t>
  </si>
  <si>
    <t>শৈশব সর্বোপরি প্রথম মূল্যবান মুদ্রা যা দারিদ্র্য একটি শিশু থেকে চুরি করে</t>
  </si>
  <si>
    <t>তোমাকে খুব মনে পড়ছে</t>
  </si>
  <si>
    <t>রাজনীতিবিদরা অনেক সময় মানুষের আত্মবিশ্বাস ও মূল্যায়ন ধ্বংস করে</t>
  </si>
  <si>
    <t>আমি আমার দুঃখের আলোতে আমার অতীত চিন্তা করছি</t>
  </si>
  <si>
    <t>পৃথিবীতে ভালোবাসা না পেয়ে হয়ত বেঁচে থাকা যায় কিন্তু ভালো না বেসে বোধকরি বেঁচে থাকা যায় না</t>
  </si>
  <si>
    <t>যেখানে অনুভূতি ও চিন্তা ভাবনা গুলো আমাকে হতাশ করতে পারবেনা সেখানে আমি যেতে চাই</t>
  </si>
  <si>
    <t>মানবতার চেয়ে আরও অন্য কিছু বিশেষ নেই যেটি আমাদের সবাইকে একত্রে জড়িয়ে দেয়</t>
  </si>
  <si>
    <t>ধনী এবং দরিদ্রের মধ্যে ভারসাম্যহীনতা সমস্ত প্রজাতন্ত্রের প্রাচীনতম এবং সবচেয়ে মারাত্মক ব্যাধি</t>
  </si>
  <si>
    <t>ব্যর্থতা একটি পথ এটি কোন শেষ রাস্তা নয়</t>
  </si>
  <si>
    <t>স্বপ্নগুলো সীমারেখায় আবদ্ধ কারণ আমি বাস্তবতায় মধ্যবিত্ত</t>
  </si>
  <si>
    <t>অবহেলার তীব্রতা বোঝার জন্য ভালোবাসা পেতে হয়</t>
  </si>
  <si>
    <t>মনের অলীক দুঃখের গল্প বিনোদনের দেওয়ার কোনো পাঠ্য নয়</t>
  </si>
  <si>
    <t>পরিবারের অভাবে আমার জীবন এখন শুধু অস্তিত্বের মধ্যে বন্ধুত্ব খুঁজে পেতে চাই</t>
  </si>
  <si>
    <t>মানবতার কল্পিত আলোর ভিতরে বিস্মিত হয়ে আছি যে জন্য আমরা দারুণ দারুণ হতাশা নিয়ে স্তব্ধ হয়ে আছি</t>
  </si>
  <si>
    <t>কখনও যুদ্ধ নয় শুধুমাত্র শান্তির পথে চলা</t>
  </si>
  <si>
    <t>মিথ্যা বলার পর আমার হৃদয় অস্তিত্বের মধ্যে প্রতিদিন অনুভব করে অবসাদ</t>
  </si>
  <si>
    <t>সামাজিক অনুষ্ঠানে অংশগ্রহণ করতে ইচ্ছে করে কিন্তু আর্থিক সামর্থ্য না থাকায় বঞ্চিত থাকা</t>
  </si>
  <si>
    <t>আজকে খুব ক্লান্ত আমি ইচ্ছা করতেছে না আর পড়ালেখার পাশাপাশি জব করা</t>
  </si>
  <si>
    <t>আমি ঠিক ততটাই ব্যর্থ যতটা ব্যর্থ হলে আর কোনো কিছু পাওয়ার ইচ্ছা থাকে না</t>
  </si>
  <si>
    <t>যখন আমরা যে সম্পর্কে বিশ্বাস করি যে সম্পর্কে আমরা আশা করি সে সম্পর্কে অসত্যতা এবং অবিশ্বাসী ব্যক্তিরা নিজেরা অগ্রাধিকার প্রদর্শন করে সেটি আমাদের জন্য একটি বড় মন্দ অভিজ্ঞতা</t>
  </si>
  <si>
    <t>অবহেলা এক বিষম অস্ত্র যা প্রিয়জনের হৃদয় ছিঁড়ে বিদীর্ণ করে</t>
  </si>
  <si>
    <t>প্রতিদিন কোনো না কোনো হৃদয় অগ্নি দহনে পোড়ে এতো সমাধির শেষ কোথায়</t>
  </si>
  <si>
    <t>আমার পরিবারের সম্পর্কে অনেক সময় নারাজি বা অসন্তুষ্টির অনুভূতি থাকে</t>
  </si>
  <si>
    <t>এত ভালো সিনেমা এত বাস্তবধর্মী যে একবারের জন্যও মনে হয় না এটা আসলে একটি সিনেমা ধন্যবাদ নির্মাতাদের</t>
  </si>
  <si>
    <t>কান্না হল এমন একটি উপায় যা আপনার চোখ কথা বলে যখন আপনার মুখ আপনার হৃদয় কতটা ভেঙেছে তা ব্যাখ্যা করতে পারে না</t>
  </si>
  <si>
    <t>বাংলার সংস্কৃতি মানুষের পক্ষে লালন করা সম্ভব</t>
  </si>
  <si>
    <t>প্রেমে পড়লে বোকা বুদ্ধিমান হয়ে উঠে বুদ্ধিমান বোকা হয়ে যায়</t>
  </si>
  <si>
    <t>ইনস্টাগ্রাম স্ক্রল করতে করতে দেখছি সবাই কত জায়গায় ঘুরতে যাচ্ছে আর এইদিকে আমি আছি ক্লাস আর কাজ নিয়ে</t>
  </si>
  <si>
    <t>বাবা মায়ের পর আমাদের সবচেয়ে কাছের সম্মানের ব্যক্তিটি হলো আমাদের ওস্তাদ শিক্ষক আফসোস এখন অনেকে শিক্ষকদের সম্মান দেয় না</t>
  </si>
  <si>
    <t>সাময়ের গুরুত্ব সমঝা একটি জিনিস কিন্তু আমি তা নিজের জন্যে নেওয়া একটি সহজ কাজ না</t>
  </si>
  <si>
    <t>ভালোবাসার মানুষ আর বিশ্বাস হারিয়ে গেলে আর ফিরে পাওয়া যায় না</t>
  </si>
  <si>
    <t>ছেলেদের কষ্ট কেউ বোঝে না কারণ সমাজ তাদেরকে কঠিন হতে বলে</t>
  </si>
  <si>
    <t>বাংলার সংস্কৃতি শোকের সমুদ্রে ভাসছে নিঃশ্বাসের কাঁদে</t>
  </si>
  <si>
    <t>যারা আপনার বিপদে পাশে থাকে তাদেরকে কখনো কষ্ট দিও না</t>
  </si>
  <si>
    <t>নিরবতা ব্যথা নয় কিছু কণ্ঠস্বর কেড়ে নেয়</t>
  </si>
  <si>
    <t>বিশ্বাস দিয়েই সম্পর্কের সূত্রপাত হয় এবং মিথ্যাচারিতা দিয়েই সম্পর্কের অবসান ঘটে</t>
  </si>
  <si>
    <t>একাকীত্ব তোমার চারপাশে মানুষের অনুপস্থিতি নয় বরং এমন এক লোকের উপস্থিতি যে তোমাকে বোঝে না</t>
  </si>
  <si>
    <t>রাজনীতি এবং সংস্কৃতি দুটো ভিন্ন বিষয় একটি রোগ অন্যটি স্বাস্থ্য</t>
  </si>
  <si>
    <t>দেশের বর্তমান আর্থসামাজিক আশানুরূপ বলাই যাই</t>
  </si>
  <si>
    <t>রাজনীতিবিদদের প্রতিটি কথার পিছনে কখনো একটি লুকানো অসত্য থাকে</t>
  </si>
  <si>
    <t>ঝরে যাওয়া পাতা জানে স্মৃতি নিয়ে বাঁচার মানে হয়তো আমি ঝরে যাবো সময়ের তালে তোমার মনে</t>
  </si>
  <si>
    <t>মানবতার অভিযানে আমরা যে বৃহত্তর ধারায় পড়েছি সেখানে রাজনীতি ধর্ম এবং ধর্মের দাবিতে মানুষের হৃদয়ে অসুস্থতা নিয়ে আছে</t>
  </si>
  <si>
    <t>বিষণ্ণ সংস্কৃতির বাঁধন কি তাড়াতে পারে আমাদের স্বাধীনতা</t>
  </si>
  <si>
    <t>পড়ালেখা এবং কাজ নিয়ে খুব ব্যস্ত সময় পার করছি তবুও ইদানীং বাড়ির কথা খুব মনে পড়ে</t>
  </si>
  <si>
    <t>এত মনোযোগ দিয়ে গানটা শিখেছি গিটার বাজিয়ে গাইতে গিয়ে কর্ডগুলো মনেই পড়ছেনা</t>
  </si>
  <si>
    <t>বিষাক্ত সম্পর্কের চেয়ে একাকিত্ব অনেক ভালো</t>
  </si>
  <si>
    <t>পরিবারের মধ্যে বন্ধুত্ব এবং প্রেমের অভাব আমাকে একটি অনুভূতি দেয় যে আমি হারানোর দিকে এগিয়ে যাচ্ছি</t>
  </si>
  <si>
    <t>দেশ জেনো না চেতনার ভান্ডার</t>
  </si>
  <si>
    <t>কর্মজীবনে আসার পর বুঝতে পারছি পরিশ্রমকারী লোকের চেয়ে তেল মারা লোকের দাম অনেক বেশী</t>
  </si>
  <si>
    <t>কাজের চাপে এত ব্যস্ত যে নিজের জন্য একটুও সময় নেই মনে হচ্ছে একঘেয়ে রোবটের মতো জীবন যাপন করছি</t>
  </si>
  <si>
    <t>নাটকের কাহিনী আমার জীবনের অপেক্ষার মতো যেটি শেষে দুঃখ এনে দিয়েছে</t>
  </si>
  <si>
    <t>সংস্কৃতির অভাবে নির্বাসন করছে বাংলার মানুষের প্রাচীন গর্ব</t>
  </si>
  <si>
    <t>টুইটারে প্রকাশিত মিথ্যা বক্তব্য যেখানে আত্মবিশ্বাস হারাচ্ছে সত্যের পথে</t>
  </si>
  <si>
    <t>পরিচয় অল্প দিনের হলেও রেখে যাওয়া স্মৃতি সারাজীবনের</t>
  </si>
  <si>
    <t>সত্যের পথে হারানোর পর আমার মনে একটি অন্ধকার ছুটে আসছে</t>
  </si>
  <si>
    <t>কোনো বাবা মা সন্তান থেকে কষ্ট পেলেও কখনো তাদের বদদোয়া দেয় না সন্তানের খারাপ চায় না</t>
  </si>
  <si>
    <t>জীবনের কিছুটা পথ একা একা চলা তেমন কঠিন নয় কিন্তু যদি এক জনের সাথে চলা যায়</t>
  </si>
  <si>
    <t>যুদ্ধের শব্দে আমার আকাশ হারিয়ে যায় আমার আকাশের আলোর সঙ্গে</t>
  </si>
  <si>
    <t>যেখানে ভালোবাসার বদলে অবহেলা মিলে সেখানে জীবন হয়ে ওঠে শূন্য ও বেদনাদায়ক</t>
  </si>
  <si>
    <t>যৌবনের স্বপ্নগুলি টুইটারের মহাজালে হারা মিথ্যা আশার নীরব দিকে</t>
  </si>
  <si>
    <t>কেউ যদি তোমার ভালবাসার মূল্য না বুঝে তবে নিজেকে নিঃস্ব ভেব না জীবনটা এত তুচ্ছ না</t>
  </si>
  <si>
    <t>ব্যক্তিগত জীবনের খুঁজে পাওয়া সময় হারানো গিয়েছে আমার কাজের দিনের মধ্যে</t>
  </si>
  <si>
    <t>কিছু কথা আছে যেগুলো কাউকে বলা যায়না শুধু বুকের মধ্যে বয়ে বেড়াতে হয়</t>
  </si>
  <si>
    <t>বদলে গেছি আজ দুজনেই একজন নিজের ইচ্ছায় আর একজন বাধ্য হয়ে</t>
  </si>
  <si>
    <t>হারিয়ে যাওয়া আশার বন্ধুত্ব যুদ্ধের মাঝে কোনো মিথ্যা সুনিশ্চিতভাবে জীবিত থাকে না</t>
  </si>
  <si>
    <t>পরিবারের মধ্যে সম্পর্ক অনেক সময় অনিশ্চিততা এবং অস্থিরতা বৃদ্ধি করে</t>
  </si>
  <si>
    <t>শান্ত রাখা দরকার নিজেকে সবসময়</t>
  </si>
  <si>
    <t>অবহেলার চেয়ে বড় কোন শাস্তি নেই যা মানুষের মনকে ভেঙে চুরমার করে দেয়</t>
  </si>
  <si>
    <t>শুন্য বুক পকেটে বন্ধি বিভক্ত সমাজ উচ্চ ও নিম্নবিত্তে কর্মব্যবস্থা ভাগ্যের পরিহাসে অমূল্য ডিগ্রি তকমা পায় বেকারত্বে</t>
  </si>
  <si>
    <t>ছেলে বলছে মা আমি বাড়ি ফিরছি নিয়ে নতুন শাড়ী ছেলে আমার বাড়ি ফিরছে চড়ে লাশের গাড়ি</t>
  </si>
  <si>
    <t>একাকিত্ব সুন্দর হতে পারে কিন্তু নিঃসঙ্গ থাকা একটি ট্র্যাজেডি</t>
  </si>
  <si>
    <t>দিন দিন মানুষের সাস্থ্যের উন্নতি হয় আর অন্যদিকে আমার অবনতি হয়</t>
  </si>
  <si>
    <t>টাকার অবাভ একটা মানুষকে সব দিক দিয়ে দূর্বল করে দেয়</t>
  </si>
  <si>
    <t>আমার সত্যের প্রতি বিশ্বাস ভেঙ্গে যাওয়ায় হারিয়ে গেছি নিজেকে</t>
  </si>
  <si>
    <t>আপনি যদি ব্যর্থতায় ভয় পান তবে আপনি সফল হওয়ার যোগ্য নন</t>
  </si>
  <si>
    <t>ভাগ্যের পরিহাসে হতবাক জীবনের প্রতি আগ্রহ হারিয়ে ফেলেছি</t>
  </si>
  <si>
    <t>ভালোবাসার মানুষের অবহেলা অন্য সকলের অবহেলার চেয়ে বেদনাদায়ক</t>
  </si>
  <si>
    <t>পরিবারের অভাবে আমার জীবন এখন শুধু অন্ধকারে ভাসা</t>
  </si>
  <si>
    <t>বলতে পারিনি ভালোবাসি কষ্টটা আজও বুকে জ্বলছে</t>
  </si>
  <si>
    <t>যুদ্ধের ঘটনার পর আমাদের সৃষ্টি হয় একটি নিঃসন্দেহে সংকটাপন্ন পৃথিবী</t>
  </si>
  <si>
    <t>যুদ্ধের রঙে একটি জীবন হারানোর অভিজ্ঞতা যেন কোনোটির অধীনে আঁকা</t>
  </si>
  <si>
    <t>ভুলে গেলে যেন সময় আঁধারে লেপ্টে যায়</t>
  </si>
  <si>
    <t>কুইজ দিতে দিতেই সব সময় চলে যাচ্ছে স্কিল ডেভেলপ এর সময় দিতে পারছিনা</t>
  </si>
  <si>
    <t>পরিবারের বড়ছেলে রাই বাবার পর উপলব্দি করতে পারে তাদের বাবা পরিবারের জন্য কতটা কষ্ট করেছে সারাজীবন</t>
  </si>
  <si>
    <t>আসলে জীবন মানে একটা ভুমিকাহীন গল্প যার প্রতিটা লাইন পড়া খুব সোজা কিন্তু বোঝা ঠিক ততটাই কঠিন</t>
  </si>
  <si>
    <t>মনের দুঃখের রসে ভাসা বিনোদনের কোনো রঙ নেই</t>
  </si>
  <si>
    <t>কাজের চাপে এত ব্যস্ত যে বন্ধুদের সাথেও আর ঠিক করে আড্ডা হয় না</t>
  </si>
  <si>
    <t>কত সখ করে গিটার কিনেছি শিখার জন্য সময়ের অভাবে প্রাকটিস ও করতে পারছি না আর শেখাও হচ্ছে না</t>
  </si>
  <si>
    <t>একা থাকার অভ্যাসে মন শক্ত হলেও কষ্টের বোঝা কাঁধে ভারী</t>
  </si>
  <si>
    <t>প্রেম মানে হৃদয়ের টান প্রেম মানে একটু অভিমান টি পাখির টি নীর টি নদীর টি তির টি মনের টি আশা তার নাম ভালবাসা</t>
  </si>
  <si>
    <t>কিছু মানুষ আমাদের জীবনে আসে শুধু আমাদের বিশ্বাস ভাঙার জন্য</t>
  </si>
  <si>
    <t>একজন মানুষ মনে করে যে কঠিন কথা বলে সে কঠিন জিনিস বুঝতে পারে</t>
  </si>
  <si>
    <t>নিজের কল্পনাকে সম্বল করে বেঁচে থাকতে শিখতে হয়</t>
  </si>
  <si>
    <t>যুদ্ধের ধ্বংসকে কেবল শোক ও অস্তিত্বের অভাব অনুভব করা যাচ্ছে</t>
  </si>
  <si>
    <t>সবচেয়ে বেদনাদায়ক বিদায় সেইগুলি যা কখনও বলা হয়নি এবং কখনও ব্যাখ্যা করা যায় না</t>
  </si>
  <si>
    <t>সিনেমা দেখা আমার জীবনে অনেক পরিবর্তন নিয়েছে যতই প্রচুর বিনোদন হয়ে উঠে</t>
  </si>
  <si>
    <t>বাংলার সংস্কৃতির আঁচলে পৌঁছে না আনন্দের আলোর দিকে</t>
  </si>
  <si>
    <t>কষ্টের ভারে কাঁধ ভেঙে যায় তবুও হাসতে হয় সকলের সামনে</t>
  </si>
  <si>
    <t>যথারীতি প্রতিটি প্রকল্পে যা দরিদ্রদের অবস্থা খারাপ করে দরিদ্রদেরই সুবিধাভোগী হিসাবে ডাকা হয়</t>
  </si>
  <si>
    <t>যে বর্তমান নিয়ন্ত্রণ করে সেই অতীত নিয়ন্ত্রন করে</t>
  </si>
  <si>
    <t>আমার জীবন একটি ট্র্যাজেডি অপূর্ণ স্বপ্ন এবং ছিন্নভিন্ন আশার গল্প</t>
  </si>
  <si>
    <t>শান্তিতে বসবাস করার জন্যই আমরা যুদ্ধে লিপ্ত হয়ে থাকি</t>
  </si>
  <si>
    <t>কুইজের প্রশ্ন খুবই কঠিন হয়েছে</t>
  </si>
  <si>
    <t>সিনেমা দেখার পরে একটাই উপলব্ধি হয়েছে সবার প্রিয় ফেলুদা একদম সঠিক ব্যক্তির হাতেই সুরক্ষিত রয়েছে ধন্যবাদ পরিচালক সন্দীপ রায়কে</t>
  </si>
  <si>
    <t>প্রিয় বই পড়ার পরে মনে হয় আমরা নিজেদের কোনো জীবনবিন্যাস পাচ্ছি না শুধু আন্তরিক অনুভূতির ভেতরে মড়ে গেছে</t>
  </si>
  <si>
    <t>সংস্কৃতির পরাধীনে পড়েছে মান</t>
  </si>
  <si>
    <t>বিপ্লব কোনো গোলাপের শয্যা নয় বিপ্লব হচ্ছে মৃত্যু পর্যন্ত অতীত ও ভবিষ্যতের মধ্যকার সংগ্রাম</t>
  </si>
  <si>
    <t>কখনো চেনা ভিড়ে হরিয়ে ফেলি নিজেকে কখনো বে রঙিন ব্যাথা কাদে এ বুকে এলোমেলো ঝড়ে মন ভেঙে পড়ে হারিয়ে ফেলি পরিচয়</t>
  </si>
  <si>
    <t>বিশ্বাস করতে গেলে হারানোর ভয় নেই কিন্তু বিপদে থাকতে গেলে আশার আলো কোথাও পাওয়া যায় না</t>
  </si>
  <si>
    <t>সুন্দর পৃথিবীকেও অসুন্দর করে তুলে অরাজকতা</t>
  </si>
  <si>
    <t>আজকের পৃথিবীতে মনে রাখার চেয়ে ভুলে যাওয়ার মানুষের সংখ্যা বেশি</t>
  </si>
  <si>
    <t>প্রত্যেক সম্পর্কের ক্ষেত্রেই পৃথক পৃথক মান মর্যাদা ও মূল্য আছে প্রত্যেক সম্পর্ককে তার প্রাপ্য সম্মান দিতে পারলে সেই সম্পর্ক কখনো ভেঙে যায় না</t>
  </si>
  <si>
    <t>তুমিতো বদলে গেছো</t>
  </si>
  <si>
    <t>যুদ্ধের ক্ষতি পেতে আমরা কতটা অস্থির হচ্ছি এটা মনে পড়ে দুঃখজনক</t>
  </si>
  <si>
    <t>কাজের জীবনে অনেক সময় মিলিয়ে নেওয়া নিজের সময় ছাড়া আমি নিজের নিজের পাওয়া যাচ্ছে না</t>
  </si>
  <si>
    <t>অবহেলার বীজ যেখানে রোপণ হয় সেখানে সুখের ফুল কখনোই ফোটে না</t>
  </si>
  <si>
    <t>সংস্কৃতির কলঙ্কে চিত্তটি বিক্ষিপ্ত হয়ে যায় অশ্রুর সমুদ্রে</t>
  </si>
  <si>
    <t>আমরা বাস্তবিক জীবনের পড়ালেখার বই গুলো যেভাবে পড়ি কিন্তু বেশীরভাগ মানুষই ধর্মীয় বই আগ্রহ নিয়ে পড়ে না</t>
  </si>
  <si>
    <t>ডিপ্রেশন শুধু প্রেমের কারনেই হয় না পরিবারের চিন্তা একাকিত্ব ভবিষ্যৎ ভাবনা নিয়েও ডিপ্রেশন হয়</t>
  </si>
  <si>
    <t>আগেই স্কুল কলেজে আমরা যা শিখছি এখনকার জেনারেশনের বাচ্চারা সেই শিক্ষাগুলো পায় না</t>
  </si>
  <si>
    <t>রাত যত গভীর হয় ঘুমিয়ে পড়ে শহর শুধু জেগে থাকে একলা মন কারো অপেক্ষায় গোনে প্রহর</t>
  </si>
  <si>
    <t>ওরা ভীষণ রকমের স্বার্থপর হয় যারা প্রয়োজনের তাগিদে প্রিয়জন পরিবর্তন করে</t>
  </si>
  <si>
    <t>বন্ধুত্ব অনেক সময় ভালোবাসা প্রকাশ পায়</t>
  </si>
  <si>
    <t>শক্তির খেলায় অংশ নেওয়ার জন্য নায়কদের দুঃখ ও পরিকল্পনা সবসময় অনুপস্থিত</t>
  </si>
  <si>
    <t>সংস্কৃতির মাঝে ফেলে দেওয়া আঁচলে মনুষ ভুলে গেছে নিজের সংস্কৃতির মূল্য</t>
  </si>
  <si>
    <t>বাস্তবতা দেখে অনেক স্বপ্নই ত্যাগ করতে হয়েছে</t>
  </si>
  <si>
    <t>সমাপ্ত এই জীবনে হয়ত একদিন অনেক কিছুই অসমাপ্ত থেকে যায়</t>
  </si>
  <si>
    <t>দুঃখ হল বাজে মুহূর্ত</t>
  </si>
  <si>
    <t>সংস্কৃতির আঁচলে ছুঁয়ে যাচ্ছে সত্যের অস্তিত্বের অশ্রু</t>
  </si>
  <si>
    <t>সবসময় স্বপ্ন দেখা কিন্তু বাস্তবতায় হতাশার সম্মুখীন হওয়া</t>
  </si>
  <si>
    <t>অর্থ দারিদ্র্যের চেয়ে উত্তম শুধুমাত্র আর্থিক কারণে</t>
  </si>
  <si>
    <t>নিরাময় খুব সহজ নয়</t>
  </si>
  <si>
    <t>আনন্দের কারণ গুলো যতো সহজে অন্যকে বোঝানো যায় দুঃখের কারণ গুলো ততো সহজে বোঝানো যায় না দুঃখ গুলো হয় একান্ত</t>
  </si>
  <si>
    <t>আমাদের উন্নতির পরীক্ষা এই নয় যে যাদের অনেক আছে তাদের প্রাচুর্যে আমরা আরও যোগ করি কি না আমরা যারা খুব কম তাদের জন্য যথেষ্ট প্রদান করা হয় কিনা</t>
  </si>
  <si>
    <t>স্বার্থের দুনিয়ায় কেউ কারোর নয়</t>
  </si>
  <si>
    <t>আমার এই অসুখে তুমি ছাড়া কোন প্রতিষেধক নেই</t>
  </si>
  <si>
    <t>সিঁড়ি দিয়ে উঠতে অনেক কষ্ট হয় আমার</t>
  </si>
  <si>
    <t>তুমি সেই কবিতা যা প্রতিদিন ভাবি লিখতে পারি না তুমি সেই ছবি যা কল্পনা করি আঁকতে পারি না তুমি সেই ভালোবাসা যা প্রতিদিন চাই কিন্তু তা কখনোই পাই না</t>
  </si>
  <si>
    <t>আজকে সারাদিনই কেমন যেন মন খারাপ লাগছে</t>
  </si>
  <si>
    <t>দুঃখজনক হলেও সত্যি বাংলাদেশ এ মানুষ ফ্রিল্যান্সিং এ সফল হতে না পেরে ফ্রিল্যান্সিং কোচিং ব্যবসা শুরু করে</t>
  </si>
  <si>
    <t>একটা সম্পর্ক দুটো বিষয় এর উপর নির্ভর করে এক হলো নিজের সাদৃশ্যগুলি উপলব্ধি করা এবং অন্যের অসাদৃশ্যগুলিকে সম্মান করা</t>
  </si>
  <si>
    <t>মৃত্যু শুধু দেহের হয় না কখনও মৃত্যু স্বপ্ন আর ইচ্ছেরও হয়</t>
  </si>
  <si>
    <t>পরিবারের মধ্যে সম্পর্ক সম্পর্কের নির্ভরশীলতা অনেক সময় অনিশ্চিত হয়ে যায়</t>
  </si>
  <si>
    <t>দুঃখের বিষয় রাজনীতির বদলে সমাজ পরিবর্তন হচ্ছে</t>
  </si>
  <si>
    <t>জীবন তখনই সুন্দর যখন কেও তোমার সম্পর্কে জানে না</t>
  </si>
  <si>
    <t>ছবির কাহিনী বাস্তবতাকেও হার মানিয়েছে</t>
  </si>
  <si>
    <t>ছোটবেলায় স্কুলের বন্ধুদের সাথে কাটানো দিনগুলো</t>
  </si>
  <si>
    <t>অসুস্থ কিন্তু পরাজিত নয়</t>
  </si>
  <si>
    <t>স্বপ্ন দেখি খুবই সহজ কিন্তু বাস্তবতাকে বুঝিনা</t>
  </si>
  <si>
    <t>পড়ালেখা সেদিনই হারিয়ে যায় যেদিন দরিদ্র নামক সিলেবাসটা নিজ চোখে দেখেছি</t>
  </si>
  <si>
    <t>ভালোবাসার মানুষ অনেক আছে কিন্তু মনকে বুঝার মানুষ খুব পরিমানেই আছে</t>
  </si>
  <si>
    <t>ভাই বোনের সম্পর্ক এমন যে শত ঝগড়ার পরেও কখনও ভালোবাসা কমে না</t>
  </si>
  <si>
    <t>আমি কেবল ভাগ্যবানদের কাছে নেতিবাচক বলে মনে করি এর কারণ আমি কম ভাগ্যবানদের দেখাই যে তারা সর্বোপরি কম ভাগ্যবান নয়</t>
  </si>
  <si>
    <t>দেশের রাজনৈতিক পরিনতি আজ যে অবস্থায় এসে দাঁড়িয়েছে তার জন্যে আমরা দায়ি</t>
  </si>
  <si>
    <t>এতো পরিশ্রমের পরেও যা রোজগার হয়েছে তা দিয়ে জীবন চালানো সম্বভ না</t>
  </si>
  <si>
    <t>প্রেম লুকানো পথ চেনে</t>
  </si>
  <si>
    <t>ভালোবাসা বেঁচে বা টিকে থাকে পরস্পরের বিশ্বাসে যে প্রেমে বিশ্বাসের ঘাটতি দেখা দেয় সেখানে হয়ত প্রেম থাকে না থাকে সামাজিকতাকে রক্ষা</t>
  </si>
  <si>
    <t>আমি অসুস্থ দিনের পোশাকে অতিরিক্ত আরামদায়ক বোধ করছি</t>
  </si>
  <si>
    <t>এটা দুখের বিষয় যে ইনজুরির কারনে রাফায়েল নাদাল এবার অস্ট্রেলিয়া ওপেন থেকে নিজেকে সরিয়ে নিয়েছে</t>
  </si>
  <si>
    <t>ভুল বোঝাবুঝির শিকার সবার কাছে অপ্রিয় হয়ে উঠেছি মনের ভেতর কষ্টের তীব্র আগুন কোনো সান্ত্বনা নেই</t>
  </si>
  <si>
    <t>প্রতিটি মিষ্টি হাসির পিছনে একটি তিক্ত দুঃখ আছে যা কেউ কখনও দেখতে এবং অনুভব করতে পারে না</t>
  </si>
  <si>
    <t>রাজনীতি ও শক্তির পরম সত্য হলো নৃশংসতা ও অসত্যতা</t>
  </si>
  <si>
    <t>এটা দারিদ্র্যের তিক্ত অভিশাপগুলোর একটি এটি উদার হওয়ার কোন অধিকার রাখে না</t>
  </si>
  <si>
    <t>আমার নাচার উৎসব শেষ বাজার মাটির জন্য আমার মন অসহায়</t>
  </si>
  <si>
    <t>আপনি নির্বাচিত হয়েছেন এই কথাটা শুনে আজ জগৎ জয় করে ফেলেছি</t>
  </si>
  <si>
    <t>আজ আরও একটি শুক্রবার চলছে কতদিন হয়ে গেছে বাবা মা ভাইয়ের সাথে একসাথে বসে আম্মার হাতের রান্না খায় না</t>
  </si>
  <si>
    <t>বন্ধুদের কাছে হাসি খুশি থাকলেও একা থাকলে বেরিয়ে আসে মনের ভেতরের কষ্ট</t>
  </si>
  <si>
    <t>বাংলার সংস্কৃতি পৌঁছায় না সত্যের আলোর বাজারে</t>
  </si>
  <si>
    <t>সত্যের কাছে কোনো স্থানে প্রতারণা নেই অসত্য বলার মাধ্যমে তোমার প্রত্যাশা হারানোর প্রতি আমি অত্যন্ত ক্ষুব্ধ</t>
  </si>
  <si>
    <t>স্বার্থের দুনিয়ায় যাকে ভাবতেছ প্রিয়জন দিন শেষে সে বুঝিয়ে দেয় তুমি হলে তার প্রয়োজন</t>
  </si>
  <si>
    <t>যুদ্ধের মধ্যে নির্ভরশীলতা এবং সম্পর্কের ভাবনা ভাঙচুর হচ্ছে</t>
  </si>
  <si>
    <t>মনে মনে আমার ভেতর প্রশ্ন একটা জীবনের লক্ষ্য ছাড়া কী মানে জীবনের সত্যি স্বাদ</t>
  </si>
  <si>
    <t>আপনার বিপদে শক্ত দালানের মত আপনার পরিবারই থাকে আপনার সুখে এবং দুঃখে</t>
  </si>
  <si>
    <t>ফেসবুকে হারিয়ে যাচ্ছে যৌবনের সত্যের স্বপ্ন মিথ্যা আশার মহাজালে আত্মবিশ্বাসের অনাদৃত পথে</t>
  </si>
  <si>
    <t>প্রিয় বই পড়ার পরে মনে হয় সমস্যা হলেও আমরা কোনো অনুভূতি অভিনিবেশ করতে পারি না</t>
  </si>
  <si>
    <t>আমি গরীবদের খাবার দিলে তারা আমাকে সাধু বলে ডাকে যখন আমি জিজ্ঞাসা করি কেন গরীবদের খাবার নেই তারা আমাকে কমিউনিস্ট বলে</t>
  </si>
  <si>
    <t>যেখানে স্বপ্ন আমাদের এক করতে পারে না সেখানে বাস্তবতা তো নির্মম</t>
  </si>
  <si>
    <t>মাঝে মাঝে কিছু সম্পর্ক এমন হয় যা দূরে গেলেও কষ্ট হয় আর পাশে থাকলেও কষ্ট হয়</t>
  </si>
  <si>
    <t>রাতের নিস্তব্ধতা মানে কেউ ভালোবাসায় হাসছে আর কেউ নিঃশব্দে কাঁদছে</t>
  </si>
  <si>
    <t>যা পাওয়া যায় না তার প্রতি আমাদের আগ্রহের সীমা থাকে না</t>
  </si>
  <si>
    <t>আজ যত যুদ্ধবাজ দেয় হানা হামলাবাজ আমাদের শান্তি সুখ করতে চায় লুটতরাজ জোট বাঁধো তৈরী হও যুদ্ধ নয় তোলো আওয়াজ</t>
  </si>
  <si>
    <t>ভোরের আলোর অপেক্ষায় কষ্টের রাত যেন অনন্তকাল ধরে চলে</t>
  </si>
  <si>
    <t>সিনেমা দেখে ভালো সময় কাটিয়েছি</t>
  </si>
  <si>
    <t>সত্যের পথে হারিয়ে গেছি আমার জীবনের অর্থ হারিয়ে গেছে</t>
  </si>
  <si>
    <t>কি অভিনয় যেন বাস্তব কেও হার মানায় অসাধারণ মুভি ধন্যবাদ সিনেমার সবাইকে এতো সুন্দর অভিনয় করার জন্য</t>
  </si>
  <si>
    <t>মেসির শেষ বিশ্বকাপের মূহুর্ত এখনও চোখে ভাসে</t>
  </si>
  <si>
    <t>সামনে রোজা আসছে অথচ এবারও পরিবার থেকে দূরে সবাইকে ছাড়াই রোজাগুলো করতে হয় ভাবতেই কষ্ট লাগছে</t>
  </si>
  <si>
    <t>অনেক দিন পর তোমাকে দেখে থমকে দারিয়ে আছি আমি খুব কষ্টে নিজেকে সামলে নিচ্ছি</t>
  </si>
  <si>
    <t>পাড়ায় বখাটে ছেলের আড্ডা খুব বেড়েছে তাদের কে কেউ মানা করার ও নেই দিন দিন বেড়েই চলেছে</t>
  </si>
  <si>
    <t>জীবনের লক্ষ্য ছাড়া জীবন একটি অব্যাহত সমুদ্র যেখানে আশা আর উত্সাহ ভেসে যাচ্ছে</t>
  </si>
  <si>
    <t>বাস্তবতা দেখে অনেক স্বপ্ন ভেঙ্গে গেছে</t>
  </si>
  <si>
    <t>শক্তির দাবী করা হলো মানুষের নিজের দাবির নিচে বাধা তুলে ধরা</t>
  </si>
  <si>
    <t>বাংলার সংস্কৃতির আলো বুঝিয়ে দেয় মৃত্যুর কাধে</t>
  </si>
  <si>
    <t>আমি সত্যের পথে এগিয়ে যাচ্ছি বলেও আমি নিজেই ভ্রমণ করছি</t>
  </si>
  <si>
    <t>পরিবারের অভাবে আমার জীবনের সব সমৃদ্ধি নিখোঁজ</t>
  </si>
  <si>
    <t>এক কথায় যারা উত্তর দেয় ভালো আছি তারা প্রকৃতপক্ষে ততোটা ভালো থাকেনা</t>
  </si>
  <si>
    <t>মনে মনে শুধু যেন নিজের সত্যের সাথে বিপরীতির মেলামেলি ঘটছে</t>
  </si>
  <si>
    <t>যখন আপনি কাউকে ভালোবাসেন তখন আপনার জমিয়ে রাখা সব ইচ্ছেগুলো বেরিয়ে আসতে থাকে</t>
  </si>
  <si>
    <t>সময় নেই সাধারণ সমস্যায় হারিয়ে গেছে আমার ব্যক্তিগত জীবনের দিন</t>
  </si>
  <si>
    <t>আমাদের অবশ্যই একটা বিষয় জানা দরকার দুঃখ হলো একটি সমুদ্র সেই সমুদ্রে কখনো কখনো ডুবে যেতে হয় এবং আমরা দুঃখের সমুদ্রে সাঁতার কাটতে বাধ্য হই</t>
  </si>
  <si>
    <t>বাংলার সংস্কৃতির আঁচলে পৌঁছে না আনন্দের অলস প্রহারে</t>
  </si>
  <si>
    <t>আমি আমার শিক্ষার্থীদের জন্য একটি উদ্ভাবনী শিক্ষা প্রণালী তৈরি করতে চাই</t>
  </si>
  <si>
    <t>যারা অন্যের জন্য বেশি ভাবে তাদের দুঃখ গুলো অন্যজন বোঝেনা</t>
  </si>
  <si>
    <t>অশ্রুজলের নদী বয়ে যায় কষ্টের সাগরে ডুবে যায় মন</t>
  </si>
  <si>
    <t>যার সাথে যতটুকু কথা বলা প্রয়োজন ততটুকুই বলো নাহলে কথাগুলোর দাম পাওয়া যায়না</t>
  </si>
  <si>
    <t>ধনী দেশে দরিদ্র মানুষকে খারাপ চিকিৎসা সেবা দেওয়া খুবই ব্যয়বহুল</t>
  </si>
  <si>
    <t>মানুষের প্রিয় জিনিস গুলোই মানুষকে আশাবাদী করে তুলে</t>
  </si>
  <si>
    <t>স্বপ্ন গুলো ভেঙ্গে গেলেও মুখ বন্ধ করে এগিয়ে যেতে হয় ছেলেদের</t>
  </si>
  <si>
    <t>খুব জানতে ইচ্ছে করছে আমার জন্য কি বিন্দুমাত্র কষ্টও হয় না তোমার</t>
  </si>
  <si>
    <t>প্রিয় বই পড়ার পরে মনে হচ্ছে আমরা নিজেদের কোনো জীবনবিন্যাস পাচ্ছি না শুধু আন্তরিক অনুভূতির ভেতরে মড়ে গেছে</t>
  </si>
  <si>
    <t>দিন দিন ফোনের ব্যাটারি হেলথ কমে যাচ্ছে বুঝতে পারছি না সমস্যা কী আপডেট দিলেই হেলথ কমে যাচ্ছে</t>
  </si>
  <si>
    <t>যুদ্ধে মানুষের আত্মসম্মান ও আত্মবিশ্বাস নষ্ট হচ্ছে</t>
  </si>
  <si>
    <t>কিছু কিছু স্মৃতি হঠাৎ করে জেগে উঠে মনের কোণে</t>
  </si>
  <si>
    <t>বাংলার সংস্কৃতির পর্যায়ে আঁধার নির্বাসন করেছে অস্তিত্বের আলো</t>
  </si>
  <si>
    <t>কোনকিছু হারিয়ে ফেললে যেমন দুঃখ হয় তার চেয়ে হাজারগুণ বেশি দুঃখ হয় যতি কেউ বদলে যায়</t>
  </si>
  <si>
    <t>সংস্কৃতির আলোর জন্য হয়তো হাসি নির্বাসন করেছে মনুষের মুখ</t>
  </si>
  <si>
    <t>মানুষের চাহিদার কখনো সমাপ্তি ঘটে না সাময়িক সময়ের জন্য চাহিদা কমলে আবার তার থেকে বেশি চাহিদার সৃষ্টি হয়</t>
  </si>
  <si>
    <t>দুনিয়ায় সবকিছু বদলাতে পারে কিন্তু মা বাবার ভালোবাসার সম্পর্ক কখনোই বদলাতে পারেনা</t>
  </si>
  <si>
    <t>সোশ্যাল মিডিয়ায় হারিয়ে যাচ্ছি নিজেকে আমি একা অস্থির এই বাঁধা আমাকে ফেলে দিছে</t>
  </si>
  <si>
    <t>অসুস্থ হওয়া কখনই মজাদার নয় তবে আমরা এখনও এটি থেকে সেরাটা করতে পারি</t>
  </si>
  <si>
    <t>অস্পষ্ট অতীতে আমি আমার ভুল অনুভব করছি</t>
  </si>
  <si>
    <t>ছেড়ে দেওয়ার দরকার হয়না কিছু মানুষ একসাথে থাকার পরেও আলাদা হয়ে যায়</t>
  </si>
  <si>
    <t>আমার ছেলেবেলা দাদা দাদির সাথে খেলা করে কাটিয়েছি সবার দাদা দাদির আদর এবং ভালোবাসা পায় না</t>
  </si>
  <si>
    <t>যাকে সত্যিকার ভালোবাসা যায় সে অতি অপমান আঘাত করলে হাজার ব্যাথা দিলেও তাকে ভোলা যায় না</t>
  </si>
  <si>
    <t>যেন কষ্টের অন্তহীন কবিতা</t>
  </si>
  <si>
    <t>আমার পরিবারের মধ্যে অনেক সময় স্বাভাবিক অবস্থা এবং সহযোগিতার অনুভূতি অনুভব হয় না</t>
  </si>
  <si>
    <t>বই পড়ার মাধ্যমে আমরা নতুন দিকে এগিয়ে যাই কিন্তু সে দিকে যাওয়া আমাদের আরেকটি ভার্ন দেখায়</t>
  </si>
  <si>
    <t>স্মৃতির সমুদ্রে আমি আমার আত্মবিশ্বাস হারাচ্ছি</t>
  </si>
  <si>
    <t>এমন একজন আইনজীবীর সাথে বিচার করতে যাওয়া যিনি আপনার পুরো জীবনধারাকে ক্রাইম ইন প্রোগ্রেস বলে মনে করেন</t>
  </si>
  <si>
    <t>ক্যারিয়ার ফোকাস করতে গিয়ে আমার আশেপাশের মানুষদের মন থেকে দূরে সরে গিয়েছি</t>
  </si>
  <si>
    <t>সংস্কৃতির ভূমিকা ভেঙে যাচ্ছে বাংলার আদরের পরিস্থিতি</t>
  </si>
  <si>
    <t>কাশি এবং হাঁচি যাই হোক না কেন ভালবাসা কখনই থেমে যায় না</t>
  </si>
  <si>
    <t>কষ্ট সবচেয়ে তখন বেশি হয় চোখের জলকে যখন হাসি দিয়ে ঢাকার ছলনা করতে হয়</t>
  </si>
  <si>
    <t>মিথ্যে অত্যন্ত ক্ষুব্ধি হয়ে ওঠে তোমার অসত্য কথা শোনার পর আমি একটি অত্যন্ত অসহায় বোধ করছি</t>
  </si>
  <si>
    <t>শীতের চাদর জড়িয়ে কুয়াশার মাঝে দাঁড়িয়ে হাত দুটো দাও বাড়িয়ে শিশিরের শীতল স্পর্শে যদি শিহরিত হয় মন বুঝেনিও আমি আছি তোমার পাশে সারাক্ষণ</t>
  </si>
  <si>
    <t>মুখের হাসি হারিয়ে গেছে চোখের আলো নিরুপ এই চাপা কষ্টের কাছে হেরে গেছি</t>
  </si>
  <si>
    <t>কিছুদিন পর পর আমার কেন যে ডিপ্রেশন কাজ করে বুঝি না</t>
  </si>
  <si>
    <t>সময় বারার সাথে সাথে অনেক কিছুর পরিবর্তন হয় হ্যাঁ ভালোবাসারও পরিবর্তন হয়</t>
  </si>
  <si>
    <t>কখনো কখনো নিজেকে চেনার জন্য একা থাকছি</t>
  </si>
  <si>
    <t>ভালো খারাপের দ্বন্ধআগামীর অগ্রসরে দেয় বাঁধা</t>
  </si>
  <si>
    <t>আমরা যখন সুখী থাকি তখন দুঃখের কথাগুলো মনে করার মতো দুঃখ আর কিছু হতে পারে না</t>
  </si>
  <si>
    <t>একজন সুস্থ মানুষের মৃত্যু কামনা করা হল অসুস্থ মনের ইচ্ছা</t>
  </si>
  <si>
    <t>আমাদের পাথরের হৃদয় মাংসের হৃদয় হয়ে যায় যখন আমরা শিখি যে বিতাড়িতরা কোথায় কাঁদে</t>
  </si>
  <si>
    <t>সুখ অল্প সময়ের জন্য ধৈর্য দেয় কিন্তু ধৈর্য চিরন্তন সুখ নিয়ে আসে</t>
  </si>
  <si>
    <t>একজন মানুষ যে রুটি এবং মার্জারিন খেয়ে এক সপ্তাহ চলে গেছে সে আর একজন মানুষ নয় শুধুমাত্র কয়েকটি আনুষঙ্গিক অঙ্গ সহ একটি পেট</t>
  </si>
  <si>
    <t>বৃথা করে পড়েছে সংস্কৃতির নীতিবাণী</t>
  </si>
  <si>
    <t>বাংলার সংস্কৃতির মাঝে অধর্ম বিক্ষিপ্ত হয়ে পড়েছে</t>
  </si>
  <si>
    <t>যুদ্ধের অন্ধকারে মনে মনে হারিয়ে গেছে মানুষের প্রত্যাশা</t>
  </si>
  <si>
    <t>সিনেমার চলচ্চিত্রে দেখা হাসির সুন্দর মুহূর্ত আমার মনের দুঃখ ঢালে দিয়েছে</t>
  </si>
  <si>
    <t>এখন তোমার স্মৃতি আমাকে স্বপ্নেও কাঁদায়</t>
  </si>
  <si>
    <t>বাজার করতে গিয়েছিলাম দাম শুনে চোখ কপালে উঠে গেছে</t>
  </si>
  <si>
    <t>প্রিয়জন বা প্রিয় জিনিস দুটোই বেশি দিন টিকে না হয়তো বদলে যায় নয়তো হারিয়ে যায়</t>
  </si>
  <si>
    <t>কান্না দিয়ে সব বেদনাকে মুছেফেলা সম্ভব হচ্ছেনা</t>
  </si>
  <si>
    <t>যে ব্যক্তি সর্বক্ষণ নিজেকে অসুস্থ মনে করে সে সারাজীবন অসুস্থই থেকে যায়</t>
  </si>
  <si>
    <t>সময় পানির মতো স্রোত প্রবাহিত হচ্ছে সেই সময়ে আমি কোনো সময় নিজের জন্যে সময় নিতে পারি না</t>
  </si>
  <si>
    <t>সাকিব আল হাসান সময়ের অন্যতম সেরা অলরাউন্ডার হলেও চোখের সমস্যার জন্যে ভালো করতে পারছে না</t>
  </si>
  <si>
    <t>একই ব্যাক্তির সাথে বহুবার প্রেমে পড়ায় সত্যিকারের নির্দেশিত প্রেম</t>
  </si>
  <si>
    <t>ভালোবাসা যখন অবদমিত হয় তার জায়গাদখল করে ঘৃণা</t>
  </si>
  <si>
    <t>প্রতিদিনের ছোট ছোট ভুল গুলোই এক সময় অনেক বড়ো ভুল হয়ে দাড়ায় যা যেকোনো সম্পর্কে ভাঙ্গন ধরতে যথেষ্ট</t>
  </si>
  <si>
    <t>ভালোবাসার আশায় এসেছি পাচ্ছি শুধুই কষ্টের বোঝা</t>
  </si>
  <si>
    <t>কারোকে কষ্ট দিলে তোমাকে কষ্ট পেতে হয় সেটা আজ হোক অথবা কাল</t>
  </si>
  <si>
    <t>প্রিয় বই পড়ার পরে মনে হয় আমরা নিজেদের কোনো জীবনবিন্যাস পাই না শুধু আন্তরিক অনুভূতির ভেতরে মড়ে আছি</t>
  </si>
  <si>
    <t>কষ্টগুলো যদি কাগজ হতো আগুন দিয়ে পুড়িয়ে ছাই করে দিতাম কিন্তু কষ্টগুলো হলো আগুন যা আমাকে কাগজের মতো পুড়িয়ে ছাই করে দিচ্ছে</t>
  </si>
  <si>
    <t>আমার সাথে আছে হাজারো মানুষ কিন্তু আমার অন্তরে অজানা একটি খালি স্থান রয়েছে</t>
  </si>
  <si>
    <t>পরিবারের অভাবে আমার মনে অনেক শোক ও বিরক্তি আছে</t>
  </si>
  <si>
    <t>চোখের জল লুকিয়ে হাসি মুখে বেঁচে থাকা একা থাকার মানুষের নিত্য নিয়ম</t>
  </si>
  <si>
    <t>রোগাক্রান্ত বা অসুস্থ দেহ আত্মার জন্য বদ্ধ কারাগার স্বরূপ</t>
  </si>
  <si>
    <t>অসুস্থ এবং এখনও কল্পিত</t>
  </si>
  <si>
    <t>গভীর রাতের নির্জনতায় কষ্টের বোঝা বহন করা একাকীত্ব আরো তীব্র মনে হয়</t>
  </si>
  <si>
    <t>কাজের জীবনে ব্যক্তিগত সময় ছাড়া আমি নিজেকে পাওয়া যাচ্ছে না</t>
  </si>
  <si>
    <t>বই পড়ার মাধ্যমে আমরা অনেক কিছু শিখছি</t>
  </si>
  <si>
    <t>অসাধারণ অভিনয় বিশেষ চাহিদা সম্পন্ন ছেলেটির অনবদ্য অভিনয়</t>
  </si>
  <si>
    <t>বিশ্বাস ই জোড়া লাগাতে পারে যে কোন সম্পর্ককে</t>
  </si>
  <si>
    <t>ভালবাসা যা দেয় তার চেয়ে বেশী কেড়ে নেয়</t>
  </si>
  <si>
    <t>ভবঘুরে এই মন ভবেই কাটাতে চায় এই জীবন</t>
  </si>
  <si>
    <t>দরিদ্ররা যে বেঁচে আছে এটাই তাদের সক্ষমতার স্পষ্ট প্রমাণ</t>
  </si>
  <si>
    <t>তারে বলে দিও সে যেনো আসে না আমার পানে</t>
  </si>
  <si>
    <t>সব চেয়ে বড়ো দুঃখ হলো আমার জন্য কেউ কিছুই করেনা</t>
  </si>
  <si>
    <t>এটা দুূঃখের বিষয় যে নিত্যপ্রয়োজনীয় পণ্যের মূল্যবৃদ্ধি এর কারণে মধ্য ও নিম্ন আয়ের মানুষের জীবনের বেহাল দশা</t>
  </si>
  <si>
    <t>আত্ম সম্মান পুরুষ বা মহিলার কাছে সবচেয়ে বড় অসুস্থতা কারণ এটি শর্তসাপেক্ষ</t>
  </si>
  <si>
    <t>একটু হাঁটতে বেরোই দেখি মনটা ভালো হয় কিনা</t>
  </si>
  <si>
    <t>আজ প্রচণ্ড রোধের বোঝাতে পারছি না আমি কোনো জাতিবাদী মনের ভিতরে আমি কোথায় যাচ্ছি</t>
  </si>
  <si>
    <t>কিছু মানুষ আমাদের জীবনে আসে শুধু আমাদের বিশ্বাস ভাঙার জন্য তাই একাকিত্ব জীবনই শ্রেয়</t>
  </si>
  <si>
    <t>পলিটিক্যাল পাওয়ার যদি একটি মহান বিপদের মাঝে দ্বিধা করে তাহলে আমরা কোনো আশা করতে পারি না</t>
  </si>
  <si>
    <t>জীবনে মানুষের চাইতে টাকা কামানোটা কে গুরুত্ব দিতে চাই কারন পকেটে ছোট একটা চিদ্র হইলে পয়সার আগে সম্পর্ক পরে যায়</t>
  </si>
  <si>
    <t>অর্থশূন্য মানুষ কখনো কারো প্রিয় হয় না</t>
  </si>
  <si>
    <t>বাংলাদেশে অনেক মেধাবী তরুণ খেলোয়াড় থাকলেও সঠিক পরিচ্ছজার ওভাবে হারিয়ে যাচ্ছে</t>
  </si>
  <si>
    <t>মানুষের দৈহিক সৌন্দর্য তার হৃদয়ের সৌন্দর্যের কাছে হারমেনে যায়</t>
  </si>
  <si>
    <t>দারিদ্র্য কোনো দুর্ঘটনা নয় দাসপ্রথা এবং বর্ণবাদের মতো এটি মানবসৃষ্ট এবং মানুষের কর্ম দ্বারা অপসারণ করা যেতে পারে</t>
  </si>
  <si>
    <t>বিষণ্ণতা এমন একটি আঘাতের মতো যা কখনো দূর হয় না</t>
  </si>
  <si>
    <t>সোশ্যাল মিডিয়া নিয়ে অনেক কিছু শিখেছি কিন্তু আজকাল মন অস্থির</t>
  </si>
  <si>
    <t>যার বাহিরের টা যত বেশী সুন্দর তার ভেতরের টা তত বেশী ক্ষত</t>
  </si>
  <si>
    <t>প্রেমে না পরলে জীবনকে অনুভব করা যায় না</t>
  </si>
  <si>
    <t>যখন আমরা ভালোবাসার সম্পর্কে জড়িত থাকি তখনই আমরা বেঁচে থাকি</t>
  </si>
  <si>
    <t>অন্ধকার হল জীবনের অনুপস্থিতি আর হতাশা হল সুখের অনুপস্থিতি</t>
  </si>
  <si>
    <t>সংস্কৃতির আলোর সাথে পালা করে আঁধারে সোনার চাঁদ বাণিয়ে চলছে অন্ধকারের রথে</t>
  </si>
  <si>
    <t>বাংলার সংস্কৃতির বুকে সুদূরের মানুষের পক্ষে লালন করা অসম্ভব স্বপ্ন</t>
  </si>
  <si>
    <t>নাটকের প্রধান চরিত্র হয়ে আমি যেন আমার নিজেকে হারাচ্ছি</t>
  </si>
  <si>
    <t>ভালোবাসা হচ্ছে একটা আদর্শ ব্যাপার আর বিয়ে হচ্ছে বাস্তব</t>
  </si>
  <si>
    <t>বন্ধু তোমায় এনে দিতে চাই আকাশ ভরা তারা</t>
  </si>
  <si>
    <t>পরিবারের মধ্যে মনের অনেক কথা যেন অপূর্ণ থাকে না বুঝা কোথায় ভুল হয়ে গেছে</t>
  </si>
  <si>
    <t>দুঃখ মানুষকে সৃজশীল করতে সক্ষম করে ফলে দুঃখ পাওয়া মানুষগুলো সৃজনশীলতার সাহায্যে নিজের ব্যথা ও নেতিবাচকতার বাইরে যেতে পারে</t>
  </si>
  <si>
    <t>আমি আজ ক্লান্ত মিথ্যা মানুষে মিথ্যা বন্ধুত্বে মিথ্যা ভালোবাসায় আর মিথ্যা আশায়</t>
  </si>
  <si>
    <t>হাসির পিঞ্জিরায় আঁধারের ঝড় পড়ে বিনোদনের অজানা বিচার শেষ নেওয়া হয়</t>
  </si>
  <si>
    <t>প্রিয় বই পড়ার পরে মনে হয় আমরা কীভাবে প্রতিদিন নিজেদের প্রতিবাদ করতে হয়</t>
  </si>
  <si>
    <t>ভালোবাসার স্মৃতিগুলো হৃদয়ের কোণে জ্বলন্ত অঙ্গারের মতো</t>
  </si>
  <si>
    <t>সত্যিকারের ভালোবাসা গুলো খুঁজে পাওয়া যায়না এগুলেকে তৈরি করে নিতে হয়</t>
  </si>
  <si>
    <t>সত্যের পথে হারিয়ে গেলে মন শুধু শোক ও অসন্তোষের মধ্যে রয়ে যায়</t>
  </si>
  <si>
    <t>জীবনে সত্যের কথা বলা মনে হয় আমি একলা এবং হতাশ হয়ে পড়ছি</t>
  </si>
  <si>
    <t>আমার কাশি ভারী কিন্তু আমার আত্মা অটুট</t>
  </si>
  <si>
    <t>আর্থিক সংকট বাধা সৃষ্টি করে</t>
  </si>
  <si>
    <t>নিজেকে ভালো করে জানার জন্যও নিজেকে পর্যালোচনা করার জন্য একাকীত্বের প্রয়োজনীয়তা আছে</t>
  </si>
  <si>
    <t>নিজের বাড়ির সবকিছুই কেনো যেনো ভাললাগে যতই রাগ অভিমান থাকুক না কেনো দিনশেষে বাবা মা এর কথায় মনে পড়ে</t>
  </si>
  <si>
    <t>অনুভূতিরা হারায় না হারিয়ে যায় সময়গুলো</t>
  </si>
  <si>
    <t>যুদ্ধের দুর্গতির শব্দে নীলিমা অনেক কিছু বাঁচে না আমার মধ্যে</t>
  </si>
  <si>
    <t>অনেক স্বপ্ন ছিলো নিজের এলাকার জন্য কিছু করবো এখনো তা করতে পারিনি</t>
  </si>
  <si>
    <t>স্বপ্ন ছিল অনেক কিন্তু বাস্তবতা তিক্ত হতাশার গহীনে ডুবেছি</t>
  </si>
  <si>
    <t>মাঝে মাঝে মনের ভিতরে এতটা কষ্ট অনুভূতি হয় যতটা কষ্ট পেলে একটা হৃদয় ক্ষত বিক্ষত হয়ে রক্ত ঝরে</t>
  </si>
  <si>
    <t>পুনরুদ্ধার থেকে ন্যাকড়া এবং রাগ থেকে পুনরুদ্ধার শিল্পের প্রতীক মানুষের অসম্পূর্ণতার একটি নিখুঁত সংকলন</t>
  </si>
  <si>
    <t>কিছু কিছু মানুষ ছেড়ে চলে যাওয়ার পরেই বুঝতে পারি তারা আমার জীবনে কতটা অবদান রাখছে</t>
  </si>
  <si>
    <t>এটা সত্যিই দুঃখের বিষয় যে ডি মারিয়া আর্জেন্টিনার অন্যতম সেরা খেলোআড় হলেও সে তার প্রকৃত মর্যাদা খোখোন পায় নি</t>
  </si>
  <si>
    <t>একজন মানুষ যখন অন্যকে হিংসা করে বা অপমান করে তখন সমাজের মানুষের মধ্যে কি মানবতা বাঁচে তা এই প্রশ্নের উত্তর খুঁজতে পেতে পারছি না</t>
  </si>
  <si>
    <t>মানুষের স্বপ্নের বিলুপ্তি সংস্কৃতির অপমানে বোঝা যায়</t>
  </si>
  <si>
    <t>মনে হয় জীবনের সবচেয়ে সময় ব্যবহার করছি এখানে কিন্তু অস্থিরতা আর নীরসতা এখানে বাস করে</t>
  </si>
  <si>
    <t>মানুষের প্রিয় জিনিস গুলোই মানুষকে বেশি আঘাত করে</t>
  </si>
  <si>
    <t>আমাকে বোঝার মতো মানুষ এই পৃথিবীতে নেই</t>
  </si>
  <si>
    <t>আমার মতে আমার সমাজের ইতিহাস এবং সংস্কৃতি অনেকটা বিরক্তিকর</t>
  </si>
  <si>
    <t>কাউকে না পেলে জীবন শেষ হয় না কিন্তু কাউকে পাওয়ার পর হারালে আর কিছু থাকে না</t>
  </si>
  <si>
    <t>সম্পর্কের টান যদি গভীর হয় দূরত্ব সেই সম্পর্ককে কখনো মুছে দিতে পারে না</t>
  </si>
  <si>
    <t>জীবনের প্রতিটি পদে উপলব্ধি করা দরকার সময় হারানো উচিত নয়</t>
  </si>
  <si>
    <t>ফেসবুকে প্রকাশিত স্বপ্নের রঙ যেখানে সত্যি নেই শোকের অন্ধকার জগতের ভেতরে</t>
  </si>
  <si>
    <t>কর্ম ও ব্যক্তিগত জীবনে অনেক সময় হারানোর অনুভূতি হাসিমুখে গোপন করে রাখতে হয়</t>
  </si>
  <si>
    <t>অবহেলা কতটা যন্ত্রণাদায়ক এইটা শুধু তারাই বুঝে যারা প্রতিনিয়ত অবহেলিত</t>
  </si>
  <si>
    <t>চোখের জল ধরে রাখা যায় হাসি দিয়ে দুঃখ আড়াল করা যায় কিন্তু হৃদয়ের ব্যথাকে লুকিয়ে রাখা সম্ভব হয়না</t>
  </si>
  <si>
    <t>একটি মনে ভালোবাসার মৃত্যু ঘটলেও অপর মনে সে ঠিকিই বেচেঁ থাকে</t>
  </si>
  <si>
    <t>জীবন হল বাচার জন্য মন হল দেবার জন্য ভালবাসা হল সারা জিবন পাশে থাকার জন্য বন্ধুত্ত হল জিবন কে সুন্দর করার জন্য</t>
  </si>
  <si>
    <t>জীবনে পড়ালেখা শেষ করে কি করবো কি হবো কোথায় চাকরি হবে খুবই চিন্তায় আছি</t>
  </si>
  <si>
    <t>ছবির কাহিনী আমার জীবনের কাহিনীর মতো যেটি শেষ হলে দুঃখ দেওয়ার মতো</t>
  </si>
  <si>
    <t>আজ আবারও একটি শুক্রবার শেষ হয়ে গেছে কতদিন হয়ে গেছে বাবা মা ভাইয়ের সাথে বসে আম্মুর হাতের রান্না খেতে পারছিনা</t>
  </si>
  <si>
    <t>নিজের জন্য কোনো সময় বের করতে পারি না</t>
  </si>
  <si>
    <t>নাটকের দুঃখের কাহিনীতে সত্যি আমি নিজেকে খুঁজে পেয়েছি কিন্তু আমার মনে অন্তরে অসহায়</t>
  </si>
  <si>
    <t>সত্যের অধিকারী বলে বিশ্বাস করা মানুষের স্বাভাবিক অসুস্থতা</t>
  </si>
  <si>
    <t>এতো কষ্ট পেয়েও তোমাকে ভুল বুঝি নি এতো দূরে রয়েও তোমাকে ভুলে যায় নি নির্ঘুম রাত জেগেও স্বপ্ন নিয়ে বেঁচে আছি কেনো জানো তোমায় খুব ভালবাসি তাই</t>
  </si>
  <si>
    <t>সব কিছুর সাথে মানিয়ে নেয়া সম্ভব না</t>
  </si>
  <si>
    <t>রাজনীতির বৃদ্ধি হলো অসত্যের শাস্তি এবং তা আমাদের সমাজের সমস্যা ও বিপদ সৃষ্টি করে</t>
  </si>
  <si>
    <t>কপালে না থাকলে হয় না যতবার আহসান মঞ্জিল দেখতে গিয়েছি ততবারই বন্ধ পেয়েছি</t>
  </si>
  <si>
    <t>শুভ ক্ষন শুভ দিন মনে রেখ চির দিন কষ্ট গুলো দূরে রেখ স্বপ্ন গুলো পুরন করো নতুন ভালো স্বপ্ন দেখো আমার কথা মনে রেখ</t>
  </si>
  <si>
    <t>মনে হয় সত্যের সঙ্গে যাওয়া বোঝা যায় না কারণ সত্য আমার হারিয়ে যাচ্ছে</t>
  </si>
  <si>
    <t>যুদ্ধের শহুরে হারিয়ে যাচ্ছে মানুষের স্বাধীনতা ও অধিকার</t>
  </si>
  <si>
    <t>সম্পর্ক একটি গাছের শিকড়ের মতো হওয়া উচিত ফুলের মতো নয় কারণ ফুল শুধু সুবাস দিয়েই ঝরে যায় কিন্তু শিকড় আমৃত্যু থেকে যায়</t>
  </si>
  <si>
    <t>কিছুর সন্ধান পেলে আবার ওইটা তে শিফট হয় যার জন্য কোনোটাতেই নিজেকে দক্ষ বানাতে পারছি না</t>
  </si>
  <si>
    <t>কেউ কাউকে ভুলে যেতে পারে না প্রয়োজন শেষ হয়ে গেছে তাই আর যোগাযোগ রাখেনা</t>
  </si>
  <si>
    <t>এত চেষ্টা করে যাচ্ছি তবু নিজেকে কেন যেন এক্সপার্ট দাবি করতে পারছি না কোথায় কমতি আছে বুঝতেও পারছি না</t>
  </si>
  <si>
    <t>যুদ্ধের দামে কতগুলি অমূল্য জীবন হারাচ্ছে সেটা বোঝার প্রয়াস করতেও যথেষ্ট হচ্ছে না</t>
  </si>
  <si>
    <t>এই দেশের নেতারা সাধারণ মানুষের ভালোবাসা ও শ্রদ্ধা হারিয়েছে</t>
  </si>
  <si>
    <t>যে নারীকে আমি ভালবাসি তার সাহায্যসমর্থন ছাড়া আমি যেমনটি চাই তেমনি নৃপতিরুপে আমার দায়িত্বের গুরুভার বহন এবং আমার কর্তব্য পালন আমার সাধ্যের অতীত বলে আমার মনে হয়েছে</t>
  </si>
  <si>
    <t>মিথ্যা বলার পর আমার অন্তরে একটি অনুভূতি যে অসম্পূর্ণতা</t>
  </si>
  <si>
    <t>সোশ্যাল মিডিয়ার প্রভাবে নতুন জেনারেশন এর মাঝে মানসিক বিকারগ্রস্ততা দিন দিন বেড়েই চলেছে</t>
  </si>
  <si>
    <t>পরিবারের অভাবে আমি মনে মনে দুঃখের সমুদ্রে ডুবে গেছি</t>
  </si>
  <si>
    <t>মনের কোন সীমাবদ্ধতা নেই যা আমরা স্বীকার করি দারিদ্র ও ধনী উভয়ই চিন্তার বংশধর</t>
  </si>
  <si>
    <t>স্বপ্নগুলো যেন ধীরে ধীরে মিলিয়ে যাচ্ছে</t>
  </si>
  <si>
    <t>বন্দুত্ব কখনো হারায় না যদি হারিয়ে যায় মনে করবেন বন্ধুত্বটা খারাপ মানুষের সাথে করছেন</t>
  </si>
  <si>
    <t>অবহেলা এক নীরব বিষ যা ধীরে ধীরে আত্মাকে ক্ষয় করে ফেলে</t>
  </si>
  <si>
    <t>তোমার অসুস্থতার আগেই সুস্থতার মূল্যায়ন করছি</t>
  </si>
  <si>
    <t>গরীবরা নিজেরাই দারিদ্র্যমুক্ত পৃথিবী গড়তে পারে</t>
  </si>
  <si>
    <t>মৃত্যুর সংস্কৃতিতে অন্ধকারে সুন্দর বিনোদন</t>
  </si>
  <si>
    <t>আমি আমার সমাজের ঐতিহ্য এবং সংস্কৃতির কাছে অত্যন্ত নিদোষ প্রত্যর্পণ করি</t>
  </si>
  <si>
    <t>আমরা বোকা নই আমরা শুধু গরীব এবং আমাদের এই পার্থক্যের উপর জোর দেওয়ার অধিকার রয়েছে</t>
  </si>
  <si>
    <t>সব কিছুর মধ্যে বিনোদন খুঁজে নিতে গিয়ে মনের গভীর সঙ্গতি হারিয়ে যায়</t>
  </si>
  <si>
    <t>হঠাৎ একদিন হারিয়ে যাবো তিন টুকরো কাফনে আপন জনেরা বলবে এত দেরি কেন দাফনে</t>
  </si>
  <si>
    <t>নতুন প্রয়োজনীয় দক্ষতা অর্জন করতে থাকুন</t>
  </si>
  <si>
    <t>ভালোবাসা একরাশ সুখের স্বপ্ন নিয়ে আসে আর কিছু ঘুম ভাঙ্গানো দুঃস্বপ্ন দিয়ে চলে যায়</t>
  </si>
  <si>
    <t>সত্যের কথা বললে মনে হয় আমি নিজেকে ক্ষতিগ্রস্ত করছি</t>
  </si>
  <si>
    <t>পড়ালেখা এবং কাজ নিয়ে খুব ব্যস্ত সময় পার করছি তবুও মাঝে মাঝে মনে হয় যদি সব কিছু বাদ দিয়ে ছুটে যেতে পারি মা এর কাছে ইদানীং বাড়ির কথা খুব মনে পড়ে</t>
  </si>
  <si>
    <t>ভ্রমণে কারোরই যাওয়ার ইচ্ছে নেই</t>
  </si>
  <si>
    <t>অসুস্থ হলে মনে হয় আপনি অন্য কারো চশমা পরেছেন</t>
  </si>
  <si>
    <t>ভাঙ্গা সংস্কৃতির আলোয় অন্ধকারে অন্ধ মানুষের অভাব</t>
  </si>
  <si>
    <t>সমাজে বসবাস করতে হলে আমাদের সকলের সমাজের নিয়ম কানুন মেনে চলা উচিৎ যা এখনকার প্রেক্ষাপটে দূর্ল্ভ</t>
  </si>
  <si>
    <t>কিছু সাংবাদিকের কাজ ই হচ্ছে বাংলাদেশ ক্রিকের দলের সমালোচনা করা</t>
  </si>
  <si>
    <t>সময়ের সাথে যেনো বাংলাদেশ ক্রিকেট দল টাও যেনো মরে যাচ্ছে এইতো কিছু দিন আগেও অন্য দলের সাথে বাঘের মত লড়াই করে আসছে কিন্তু এখন বাঘ যেনো বিড়াল হয়ে গিয়েছে</t>
  </si>
  <si>
    <t>ভীড়ে ভরা শহরে আমি ভীষ্ম একা</t>
  </si>
  <si>
    <t>আমার হৃদয়ের বেদনা একটি অদম্য আগুনের মতো আমাকে ভিতর থেকে গ্রাস করছে</t>
  </si>
  <si>
    <t>বাস্তবতা কখনোই গল্পের মতো সুন্দর হয়না আর সুন্দর গল্পে কখনো বাস্তবতার মিল থাকে না</t>
  </si>
  <si>
    <t>কেউ জীবন থেকে চলে গেলে জীবন থেমে থাকে না কিন্তু তার রেখে যাওয়া স্নৃতি আর স্বপ্ন গুলো জীবন কে বিষন্ন করে তুলে</t>
  </si>
  <si>
    <t>চিকন হওয়ার জন্য মানুষ ডায়েট করে আর এইদিকে আমি এত খাই তাও মোটা হতে পারি না</t>
  </si>
  <si>
    <t>পুরাতন ঘটনার অদৃশ্য আলোতে বিলম্বিত হচ্ছি</t>
  </si>
  <si>
    <t>ভালোবাসার মানুষ যখন চলে যায় দূরে তখন জীবনটা শুধুই মরুভূমি মনে হয়</t>
  </si>
  <si>
    <t>যারা অবহেলা করে তাদের কখনো ভালোবাসা পাওয়ার আশা করা উচিত নয়</t>
  </si>
  <si>
    <t>ছবির শেষ দেখে হাসি ফেলেছি কিন্তু আমার মন সেই হাসির মধ্যে অসহায়</t>
  </si>
  <si>
    <t>জীবনে সফলতার মূল চাবিকাঠি হলো পরিশ্রম</t>
  </si>
  <si>
    <t>হাজার মাইল দূরে থেকেও একটি সম্পর্ক দীর্ঘস্থায়ী হয় আবার এক ছাদের নিচেও থেকেও সম্পর্কে চিড় ধরে যায় তৈরি হয় তিক্ততা</t>
  </si>
  <si>
    <t>সকালে ঘুম থেকে উঠে বুঝতে পারলাম আজকে সোমবার সময় কীভাবে শেষ হয়ে যাচ্ছে বুঝতেই পারছি না</t>
  </si>
  <si>
    <t>আজকে আমরা যা খেলছি তাতে হার আমাদের প্রাপ্য</t>
  </si>
  <si>
    <t>শোকের রোদে ভিজে গেছে আমাদের পুরানো সংস্কৃতি</t>
  </si>
  <si>
    <t>মুখে উন্নতির কথা বললেই কি আর উন্নতি হতে পারে</t>
  </si>
  <si>
    <t>মানুষের প্রতি বিশ্বাস লুপ্ত করে দিয়েছে অপরূপ সংস্কৃতি</t>
  </si>
  <si>
    <t>কাজের দিনে শুধু কাজের মাঝে হারানো গেছে আমার ব্যক্তিগত জীবনের মুহূর্ত</t>
  </si>
  <si>
    <t>সাম্প্ৰতিক সময় ব্রাজিল ফুটবল দল নিজেদের হারিয়ে খুঁজছে</t>
  </si>
  <si>
    <t>পৃথিবীতে এমনটাই হয় আমরা যাকে চাই সে অন্য কাউকে চায়</t>
  </si>
  <si>
    <t>যখন একা থাকি তখন তোমার ভাবনা আমাকে আরোও একা করে দেয়</t>
  </si>
  <si>
    <t>আমরা আমাদের চারপাশে অনেক দরিদ্র মানুষের খাবার দেই</t>
  </si>
  <si>
    <t>রাতের নিস্তব্ধতা মানে কেউ ভালবাসায় হাসছে আর কেউ নিঃশব্দে কাঁদছে</t>
  </si>
  <si>
    <t>পরিস্থিতির কারণে আপন মানুষদের কাছেও যেতে পারিনা</t>
  </si>
  <si>
    <t>সত্যের সঙ্গে খেলা করতে হচ্ছে নয় কোনো ধৃতিমান প্রতারণা</t>
  </si>
  <si>
    <t>সব কিছুর সাথে মানিয়ে নিতে নিতেই জীবন শেষ</t>
  </si>
  <si>
    <t>সত্যের কথা বললে শুধু কষ্ট আমার কারণ লোকজন মনে খারাপ হয়</t>
  </si>
  <si>
    <t>দিনদিন প্রযুক্তি যেভাবে আপডেট হচ্ছে আমাদের মতো সিএসই পড়া ছাত্রদের কী হয় আল্লাহ জানে</t>
  </si>
  <si>
    <t>স্বপ্ন দেখি একদিকে বাস্তবতা নিয়ে যায় অন্য দিকে</t>
  </si>
  <si>
    <t>যতই উচ্চশিক্ষিত হই না কেনো দিন শেষে সব চেয়ে বড় শিক্ষা হচ্ছে ব্যাবহার</t>
  </si>
  <si>
    <t>অনুপম শোকে শুষ্ক হয়ে গেছে আমাদের সংস্কৃতির স্বাদ</t>
  </si>
  <si>
    <t>সামাজিক মাধ্যমের অনলাইন জগতে খোঁজা যাচ্ছে যৌবনের অলস স্বপ্নের জন্য অনাদৃত রাস্তা</t>
  </si>
  <si>
    <t>ছবিতে দেখা প্রেমের কাহিনী জীবনের অসত্য স্বপ্নের মতো মনে হয়</t>
  </si>
  <si>
    <t>ভালোবাসি আমারা কোন কারণ ছাড়াই কারণ ছাড়াই ঘৃণা করি</t>
  </si>
  <si>
    <t>কসমিক অর্ডারিং দিয়ে দারিদ্র্যের উপর একটি বৃষ্টি পরীক্ষা নিন</t>
  </si>
  <si>
    <t>প্রেম নারীর লজ্জাশীলতাকে গ্রাস করে পুরুষের বাড়ায়</t>
  </si>
  <si>
    <t>সব থেকে শক্তিশালী আর্তনাদ হলো নীরবতা</t>
  </si>
  <si>
    <t>অবহেলা সহ্য করা আত্মসম্মানের চরম অপমান</t>
  </si>
  <si>
    <t>বাস্তব ধর্মী সিনেমা উপহার দেওয়ার জন্য পরিচালককে অনেক ধন্যবাদ জানানো হয়েছে</t>
  </si>
  <si>
    <t>সব কিছু কেঁদে পাওয়া যায় না কিছু জিনিস হাসি মুখে ছেড়ে দিতে হয়</t>
  </si>
  <si>
    <t>সত্যের পথে হারিয়ে গেছে আমার সব আশা আর স্বপ্নগুলি</t>
  </si>
  <si>
    <t>ব্যথার কিছু মুহূর্ত আপনাকে শতাব্দীর জন্য কিংবদন্তি করে তুলতে পারে</t>
  </si>
  <si>
    <t>একাকীত্ব আরো তীব্র মনে হয়</t>
  </si>
  <si>
    <t>যখন কেউ কেবল জীবিকা উপার্জনের কথা চিন্তা করে তখন মহৎ চিন্তা করা খুব কঠিন</t>
  </si>
  <si>
    <t>সম্পর্ক না থাকুক মন থেকে মনের সংযোগ শেষ পর্যন্ত রয়ে যায়</t>
  </si>
  <si>
    <t>যতদিন যাচ্ছে ততই মানসিক শান্তি নষ্ট হয়ে যাচ্ছে</t>
  </si>
  <si>
    <t>অতীতের স্মৃতি বারবার মনের পর্দায় ভেসে ওঠে এবং তা চোখের জল ঝরে না থামে</t>
  </si>
  <si>
    <t>খারাপ কাকে বলে তাকে দেখে বুঝা যায়</t>
  </si>
  <si>
    <t>প্রেম ভালোবাসা হল আপেক্ষিক বিষয় কারও জন্য তা স্বর্গ সুখ বয়ে আনে আবার কাউকে দুঃখের সাগরে ভাসিয়ে দেয়</t>
  </si>
  <si>
    <t>পৃথিবী এতই বিস্ময়কর যে দিন শেষে সূর্যটাও হারিয়ে যায়</t>
  </si>
  <si>
    <t>ছোটবেলায় স্কুলের বন্ধুদের সাথে কাটানো দিনগুলো অনেক মনে পড়ছে</t>
  </si>
  <si>
    <t>অনলাইন গেমগুলোতে মাঝে মাঝে এত টক্সিক খেলোয়াড় থাকে যে খেলতেই ইচ্ছা করে না</t>
  </si>
  <si>
    <t>আমার বাসা এখন শুধু সিনেমার ভাষায় কথা বলে</t>
  </si>
  <si>
    <t>কেমন যেন এক ঘেয়েমি হয়ে যাচ্ছে সবকিছু হয় কাজ করি না হই পড়াশোনা করি নাহই বন্ধুদের সাথে আড্ডা দেই নিজের জন্য কোনোভাবেই সময় বের করতে পারছি না</t>
  </si>
  <si>
    <t>রাত্রি যতই গভীর হয় নিজেকে তত বেশিই একা লাগে</t>
  </si>
  <si>
    <t>শূন্য বিকেলে চেনা রাস্তায় বাড়ি ফেরার আগে শিক্ষিত বুকে মাথা পেতে রোজ বেকারত্ব কাদে</t>
  </si>
  <si>
    <t>দরিদ্র থাকার সবচেয়ে নিশ্চিত উপায় হল সৎ হওয়া</t>
  </si>
  <si>
    <t>স্মৃতি হল হৃদয়ের একটি চির সজীব সম্পদ</t>
  </si>
  <si>
    <t>বিশ্বাসের মানুষ যখন বিশ্বাসঘাতকতা করে তখন মনটা যেন ভেঙে চুরমার হয়ে যায়</t>
  </si>
  <si>
    <t>অসুস্থতা ঘোড়ায় চড়ে আসে কিন্তু যে পায়ে হেঁটে</t>
  </si>
  <si>
    <t>দারিদ্র্য হল আধ্যাত্মিক হ্যালিটোসিস</t>
  </si>
  <si>
    <t>আরাধ্য এবং অসুস্থ নিখুঁত কম্বো</t>
  </si>
  <si>
    <t>ভালোবাসার মানুষ ছেড়ে চলে গেলে তখন সুন্দর পৃথিবীকেও অসুন্দর মনে হয়</t>
  </si>
  <si>
    <t>যে কষ্ট অনুভব করে সেই কষ্টের গভীরতা বুঝতে পারে</t>
  </si>
  <si>
    <t>মানুষের জীবনেও চাওয়ার শেষ হয়না কখনো</t>
  </si>
  <si>
    <t>মিথ্যার পথে জীবন পরিচালনা করো না</t>
  </si>
  <si>
    <t>যে আমার নীরবতা বুঝলো না সে আমার শব্দ সম্ভার বুঝবে কী করে</t>
  </si>
  <si>
    <t>এটা আমার জন্য বিষণ্নতা নয় এটি ধূসরতা এবং অসাড়তার অবস্থায় পড়ে যাচ্ছে</t>
  </si>
  <si>
    <t>প্রতারণার পথে সত্য বিশ্বাসীদের কি করা হচ্ছে সত্যের কাছে আমরা কখনও অসহায় হওয়া উচিত নয়</t>
  </si>
  <si>
    <t>ভালোবাসা যদি পৃথিবীর সেরা অনুভূতি হয় তবে মানুষ ভালোবাসার মানুষের কাছ থেকেই কেনো আঘাত পায়</t>
  </si>
  <si>
    <t>খারাপ তখনই লাগে যখন পরিস্থিতির কারণে আপন মানুষদের কাছেও খারাপ হয়ে যায়</t>
  </si>
  <si>
    <t>দিনগুলো খুব তাড়াতাড়ি কেটে যাচ্ছে</t>
  </si>
  <si>
    <t>নাটকের দুঃখের কাহিনীতে সত্যি আমি নিজেকে খুঁজে বেড়াই</t>
  </si>
  <si>
    <t>যুদ্ধের শিকার হওয়া মানবজাতিকে এত অস্থির করে রেখেছে যে সেটা অসহ্য</t>
  </si>
  <si>
    <t>লাইন এর কোড লিখার পর লজিক ভুল খুঁজে বের করতে না পেরে আধঘণ্টা খুঁজে যখন দেখি সিনটেক্স এরর কেমনটা লাগে</t>
  </si>
  <si>
    <t>ভালোবাসাটা এতটা কষ্টের যে এটি প্রকাশ করাটা কষ্টের আবার ভোলা টাও কষ্টের</t>
  </si>
  <si>
    <t>কঠিন মুহূর্তে যাদের চাও আসলে সবাই প্রকৃত বন্ধু</t>
  </si>
  <si>
    <t>আমি বিটলসের মতোই অসুস্থ এবং ক্লান্ত হয়ে অসুস্থ এবং ক্লান্ত বোধ করছি</t>
  </si>
  <si>
    <t>একসাথে থাকা সম্ভব হচ্ছেনা আমার জন্য</t>
  </si>
  <si>
    <t>স্বাধীনতার স্বপ্ন বুঝিয়ে দেয় স্মৃতির ভাষা</t>
  </si>
  <si>
    <t>মিথ্যা বলতে মিথ্যা জীবন বানানোর অভিমুখ হয়ে গেছি আমি</t>
  </si>
  <si>
    <t>নিজের খুব পছন্দের বাইকটা এক্সিডেন্টের পর আজকে দিন হলো ভাংগারীর দোকানে পরে আছে</t>
  </si>
  <si>
    <t>কাজের জীবনে অনেক সময় মিলিয়ে নেওয়া নিজের সাথের জন্যে সময় ছাড়ায় না</t>
  </si>
  <si>
    <t>যারা অবহেলা করে তাদের কাছে ক্ষমা চাওয়ার কোন দরকার নেই</t>
  </si>
  <si>
    <t>সিনেমা দেখে হাসা এখন আমার মনের দুঃখ হয়ে গেছে</t>
  </si>
  <si>
    <t>জীবনে সত্যের পথে হারিয়ে গেছি এখন আর কোনো সম্ভাবনা নেই সন্ধান করার</t>
  </si>
  <si>
    <t>শক্তির জন্য হারানোর প্রত্যাশা করে নেতাদের মানুষের বিশ্বাস প্রাপ্ত হয় না</t>
  </si>
  <si>
    <t>আমি এখন এতটাই বেকার যে আপন মানুষগুলো প্রতিনিয়তই দূরে সরে যাচ্ছে</t>
  </si>
  <si>
    <t>ভুলে গেলে যেন আমি অতীতে অন্ধকারে ডুবে যাচ্ছি</t>
  </si>
  <si>
    <t>শান্তি হল একটি বিশাল স্বপ্ন যা আমরা সবাই একসাথে চাই</t>
  </si>
  <si>
    <t>সারাদিন কম্পিউটারের দিকে তাকিয়ে কাজ করতে করতে চোখে অনেক ব্যথা হচ্ছে মাঝে মাঝে একটু রেস্ট নেওয়া প্রয়োজন</t>
  </si>
  <si>
    <t>আজকে এই বিকেলে লেকের পাশে বসে ভাবতেছি এই মানুষের কোলাহোল থেকে অনেক দূরে চলে যেতে চাই</t>
  </si>
  <si>
    <t>যে স্মৃতিগুলো আমরা সুখের মনে করে জমিয়ে রাখি একসময় সেই সুখের স্মৃতিগুলোই আমাদের সবচেয়ে বেশি মন খারাপ করে দিয়ে যায়</t>
  </si>
  <si>
    <t>মাঝে মাঝে মনে হয় দূরে কোথাও প্রকৃতির মাঝে একা যেন হারিয়ে যাই</t>
  </si>
  <si>
    <t>সংস্কৃতির অভাবে পড়েছে প্রাণের সুরের বাজনা</t>
  </si>
  <si>
    <t>জীবনে সবকিছু সহজ হয়না সহজতর জীবনের জন্য অনেক কষ্ট করতে হয়</t>
  </si>
  <si>
    <t>তুমি টাকা কামাও আর জীবন উপভোগ করো</t>
  </si>
  <si>
    <t>কারোর কাছে আমার কথাগুলো বলতে চাই কিন্তু মুখে কোনো শব্দ আসছে না</t>
  </si>
  <si>
    <t>সফলতার পিছনে ছুটতে গিয়ে যদি জীবনের আসল উদ্দেশ্য ভুলে যাও তাহলে সফল হয়ে কী লাভ</t>
  </si>
  <si>
    <t>প্রজাতন্ত্রের চেষ্টা করছি নায়কদের হারানো হচ্ছে সেই পরিস্থিতিতে প্রকাশ পাচ্ছে যা পলিটিকাল পাওয়ারের দ্বারা নির্ধারিত</t>
  </si>
  <si>
    <t>সময় জুড়ে শুধু শুন্যতা নীরবে ছুঁয়ে থাকে</t>
  </si>
  <si>
    <t>অসুস্থতাকে শক্তিতে পরিণত করে বাঁচতে হয়</t>
  </si>
  <si>
    <t>ছেলেদের জন্য পৃথিবীতে সব চাইতে মূল্যবান হল মেয়েদের হাসি</t>
  </si>
  <si>
    <t>ফাঁকা পকেট তোমাকে অনেক কিছু শেখায় কিন্তু ভর্তি পকেট তোমাকে নষ্ট করে দেয়</t>
  </si>
  <si>
    <t>সেই বছরগুলো কতই না ক্লান্তিকর সময় মনে হচ্ছে বেঁচে থাকার ইচ্ছা ও প্রয়োজন আছে কিন্তু সামর্থ্য নেই</t>
  </si>
  <si>
    <t>প্রথম প্রেম যেমন সবচেয়ে বেশি মধুর হয় তেমনি প্রথম ক্ষতটি সবচেয়ে বেশি গভীর হয়</t>
  </si>
  <si>
    <t>মধ্যবিত্তের স্বপ্ন দেখা বারণ কারো কাছে কোন আবদার করা বারণ মধ্যবিত্তের কাঁদতে মানা প্রয়োজনে হাত পাততে মানা</t>
  </si>
  <si>
    <t>আলো সব খুব ভাল ভাই কিন্তু এটা সঙ্গে বসবাস করা সহজ নয়</t>
  </si>
  <si>
    <t>কিছু কিছু ক্ষত থাকে যা কারোর চোখে পড়ে না কিন্তু ব্যথা সারাজীবন দিয়ে যায়</t>
  </si>
  <si>
    <t>গন্তব্যের খোঁজ এ কখন যেন নিজের ঘরে নিজেই অতিথি আজ</t>
  </si>
  <si>
    <t>মনকে সর্বদা শক্তিশালী রাখা যায় না মাঝে মাঝে নিভৃতে একাকী থাকারও প্রয়োজন নিজের কান্না গুলির বহিঃপ্রকাশের জন্য</t>
  </si>
  <si>
    <t>কারো কাছে মূল্যহীন হওয়ার চেয়ে নিজের কাছে শূন্য থাকা শ্রেয়</t>
  </si>
  <si>
    <t>মনের ভেতরের ঝড় লুকিয়ে ছেলেদের বাইরে থেকে হতে হয় শান্ত</t>
  </si>
  <si>
    <t>মুখের হাসিটা লুকিয়ে চোখের জল চেপে চলছি দিনের পর দিন এই চাপা কষ্ট নিয়ে</t>
  </si>
  <si>
    <t>শক্তি আসে এবং যাওয়া যাওয়া কিন্তু দুঃখ সব সময় মানুষের জীবনে অবিরাম</t>
  </si>
  <si>
    <t>পৃথিবীতে অস্থিরতার অবসান হচ্ছেনা</t>
  </si>
  <si>
    <t>কারোর মায়ার বন্ধনে আবদ্ধ হয়ে পড়লে কাটিয়ে ওঠা অনেকটা কঠিন হয়ে পড়ে</t>
  </si>
  <si>
    <t>মনেতে আকাশ হয়ে রয়েছো ছড়িয়ে বলনা কোথায় রাখি তোমাকে লুকিয়ে</t>
  </si>
  <si>
    <t>রাজনীতির বৃদ্ধি হলো মানুষের বিশ্বাসের অপরাধ</t>
  </si>
  <si>
    <t>আবেগ হলো মোমবাতি যা কিছুক্ষণ পর নিভে যায় আর বিবেক হলো সূর্য যা কখনো নেভে না</t>
  </si>
  <si>
    <t>ভালোবাসার কষ্ট ভুলে থাকা যায় না হৃদয়ের গভীরে সে এক চিরস্থায়ী ক্ষত</t>
  </si>
  <si>
    <t>মনের কথাগুলো বলে বুঝাতে পারিনা অনুভূতিহীন হয়ে বোবা হয়েই রই</t>
  </si>
  <si>
    <t>আমার সংস্কৃতির চর্চা এখন দুর্বল হয়ে আছে</t>
  </si>
  <si>
    <t>শক্তির খেলায় জয় অর্জন করতে চাইলে মানুষের মনে আর প্রজাতন্ত্রের ভালোবাসা হারানো হয়</t>
  </si>
  <si>
    <t>হারানো সময়ের স্মৃতি নির্ঝরিত হচ্ছে আমার চোখে</t>
  </si>
  <si>
    <t>মাঝ রাতের বোবা কান্না আর চোখ বেয়ে পড়া জল গুলো কখনো মিথ্যে হয় না</t>
  </si>
  <si>
    <t>সত্যের পথে হারিয়ে পড়া আমার হৃদয় অসহনীয় কষ্টের সীমানা অতিক্রম করছে</t>
  </si>
  <si>
    <t>সারা দিনের কাজে খুব কম সময় থাকে নিজের জন্যে সেই অলস সময়ে কাজ করা হয়ে থাকে শুধু</t>
  </si>
  <si>
    <t>আমাদের স্কুল কলেজ জীবনে অনেক বন্ধু বান্ধব হয় তাদের মধ্যে অনেকেই একজন আরেকজনের সফলতা দেখতে পারে না</t>
  </si>
  <si>
    <t>মানুষ চাইলেই সব কষ্ট ভুলে যেতে পারে তাহলে সবাইকে মনে কষ্ট নিয়ে বেঁচে থাকতে হয়না</t>
  </si>
  <si>
    <t>বন্ধুবিহীন একাকীত্ব অসহনীয়</t>
  </si>
  <si>
    <t>রাজনৈতিক শক্তির সত্যতা নায়কদের অবশ্যই মূল্যায়ন করা হয় তারা আমাদের ভাবের মধ্যে অন্ধকারে পৌঁছে দেয়</t>
  </si>
  <si>
    <t>হেরে যাওয়া টা জীবনেরই এক অঙ্গ কেউ কাঁদে আর কেউ লড়াই করে</t>
  </si>
  <si>
    <t>ছোটবেলার গল্পগুলো মনে পড়ছে আজ নিজের গল্প ভেবে কাঁদছি</t>
  </si>
  <si>
    <t>বন্ধুদের ভ্রমণ পরিকল্পনার উপর বিশ্বাস রাখার চেয়ে ভালো আপনি রাজনীতিবিদদের প্রতিসূতির উপর ভরসা রাখুন</t>
  </si>
  <si>
    <t>যুদ্ধের স্বপ্নে আমার অপরিচিত দেশের স্মৃতিরা বদলে যাচ্ছে অজানা জগতে</t>
  </si>
  <si>
    <t>জীবনে কারোর আদর ই পাইনা আমি</t>
  </si>
  <si>
    <t>দরিদ্র হওয়া কী তা জানা একটি ভাল জিনিস এবং আপনি যদি এটি কোম্পানিতে করতে পারেন তবে আরও ভাল জিনিস</t>
  </si>
  <si>
    <t>সময় একটি অতি দুর্লভ সম্পদ তা নিজের জন্যে সময় নেওয়া একটি সহজ কাজ নয়</t>
  </si>
  <si>
    <t>অসুস্থ বোধ করার চেয়ে খারাপ আর কী দীর্ঘ ফার্মেসি লাইনে অপেক্ষা করছি</t>
  </si>
  <si>
    <t>বাংলার সংস্কৃতির মাঝে লুকিয়ে আছে সত্যের পাশাপাশি অপ্রত্যাশিত দুঃখ</t>
  </si>
  <si>
    <t>অবহেলাকে শক্তি হিসেবে গ্রহণ করা জীবনে সফলতার মূল চাবিকাঠি</t>
  </si>
  <si>
    <t>রাতের নিস্তব্ধতা মানেকেউ ভালবাসায় হাসছে আর কেউ নিঃশব্দে কাঁদছে</t>
  </si>
  <si>
    <t>সময় আমার হাতের মধ্যে হারিয়ে গেছে কোনো ব্যক্তিগত সময় ছাড়া আমি নিজের নিজের পাওয়া যাচ্ছে না</t>
  </si>
  <si>
    <t>কিছু কিছু স্মৃতি এমন আছে যতোই পুরানো হোক যখন মনে আসে কিছুক্ষণ ভাবিয়ে তোলে</t>
  </si>
  <si>
    <t>সময়ের গুরুত্ব জানা একটি জিনিস</t>
  </si>
  <si>
    <t>অসুস্থতা আমার নির্জন শিল্প</t>
  </si>
  <si>
    <t>অন্ধকারে হারানো আলো তার নাম সংস্কৃতি</t>
  </si>
  <si>
    <t>যুদ্ধের শব্দে স্বপ্ন ছিটে যাওয়া শুধু অন্ধকার ছড়ানো মনের মধ্যে</t>
  </si>
  <si>
    <t>আমার সংস্কৃতির প্রাচীন অধ্যায়ে লুকিয়ে গেছে শোকের কাব্য</t>
  </si>
  <si>
    <t>স্বপ্ন অনেক পূরণের সামর্থ্য কম মনের ভেতরে এক অজানা আগুন জ্বলন্ত</t>
  </si>
  <si>
    <t>আমি প্রেমে পড়েছি বার বার মনও ভেঙেছি বার বার রক্ত ঝড়া মন নিয়েই তোমার ভালোবেসি আবার আর তুমি মন ভেঙ্গেছো প্রতিবার</t>
  </si>
  <si>
    <t>একবার মনে হয় ডাটা সাইন্স এর দিকে আগাই আবার মনে হয় ডিজিটাল মার্কেটিং এ নিজেকে আরও দক্ষ করে তুলি আবার মনে হয় প্রোগ্রামিং এর দিকে আগাই কী করব নিজেই বুঝতে পারছি না</t>
  </si>
  <si>
    <t>উচ্চশিক্ষা লাভের স্বপ্ন থাকে কিন্তু আর্থিক সংকট বাধা সৃষ্টি করে</t>
  </si>
  <si>
    <t>ফেসবুকের প্রেম নামে মৃত্যুর শাপ যৌবন হারিয়ে যাচ্ছে মিথ্যা চিত্রাঙ্কনের মধ্যে</t>
  </si>
  <si>
    <t>অর্থই অনর্থের মূল</t>
  </si>
  <si>
    <t>কাজের জীবনের মধ্যে নিজের সময় নিতের জন্য খুঁজে পাওয়া যায় না তা শুধু হারানোর অনুভূতি</t>
  </si>
  <si>
    <t>একাকীত্ব তখনই মানুষ অনুভব করে দিন চলে যাচ্ছে আমার</t>
  </si>
  <si>
    <t>গভীর রাতের নিশ্চুপ নীরবতার ভিড়ে কষ্ট আমায় ছুঁয়ে দেয়</t>
  </si>
  <si>
    <t>ভালোবাসার মানুষটাকে হারানোর কষ্ট ভুলে থাকা যায় না</t>
  </si>
  <si>
    <t>অবহেলাকে উপেক্ষা করা সুখী জীবনের সূচনা</t>
  </si>
  <si>
    <t>মানুষ হারিয়ে যায় তার অস্তিত্ব বেঁচে থাকে চিরকাল</t>
  </si>
  <si>
    <t>সময়ের গুরুত্ব জানা একটি জিনিস তা নিজের সময় নেওয়া একটি সহজ কাজ নয়</t>
  </si>
  <si>
    <t>যুদ্ধের শহরে হারিয়ে গেছে আমার আত্মার সব সৌন্দর্য</t>
  </si>
  <si>
    <t>রাতটা যেন আমার শেষ হচ্ছে না</t>
  </si>
  <si>
    <t>অধিকাংশ পরিবারের সন্তানেরা তাদের স্বপ্ন পুরন করতে পারে না সমাজের কিছু খারাপ মানুষের জন্য</t>
  </si>
  <si>
    <t>যে বার বার হোচট খেয়েও উঠে দাড়াতে জানে চলার ভয়টা সে কখনোই পায়না</t>
  </si>
  <si>
    <t>আমার দলের পরাজয়ে খুবই খারাপ লাগে</t>
  </si>
  <si>
    <t>ভালোবাসায় হারলেও কাঁদতে পারে না ছেলেরা কারণ সমাজ তাদেরকে শক্তিশালী দেখতে চায়</t>
  </si>
  <si>
    <t>আমরা এমন এক পৃথিবীতে বাস করি যেখানে একজনের প্রাচুর্য অন্যের দেউলিয়া হওয়ার পূর্বাভাস দেওয়া হয়</t>
  </si>
  <si>
    <t>মনের কোণে এক অজানা আশা যা আমাকে বেচে থাকার আশা দেয়</t>
  </si>
  <si>
    <t>অবুঝ সময়ের নিরানন্দে আমার মন দুঃখিত</t>
  </si>
  <si>
    <t>একজন প্রকৃত প্রেমিক শত শত মেয়েকে ভালবাসে না বরং সে একটি মেয়েকেই শত উপায়ে ভালোবেসে থাকে</t>
  </si>
  <si>
    <t>পৃথিবীতে এমন ক্ষুধার্ত মানুষ আছে যে রুটি ছাড়া ঈশ্বর তাদের কাছে দেখা দিতে পারেন না</t>
  </si>
  <si>
    <t>জীবন কঠিন কিন্তু আপনি তাই লড়াই চালিয়ে যান শক্ত থাকুন</t>
  </si>
  <si>
    <t>আসুন একসাথে অসুস্থতাকে শক্তিতে পরিণত করি</t>
  </si>
  <si>
    <t>ভালোবাসা কি আমি বুঝতে চাইনা কারণ আমি প্রেমে ব্যর্থ হওয়ার যোগ্য নই</t>
  </si>
  <si>
    <t>ছবির কাহিনী আমার জীবনের কাহিনীর মতো যেটি শেষ হলে আমি দুঃখে প্রাণভরে পড়ি</t>
  </si>
  <si>
    <t>মানচিত্র পরিবর্তনের জন্য জাতির যুদ্ধ হয় কিন্তু দারিদ্র্যের যুদ্ধ মানচিত্র পরিবর্তনের জন্য লড়াই করা হয়</t>
  </si>
  <si>
    <t>সত্যের পথে যাওয়া অত্যন্ত কঠিন তাই বিশ্বাস হারিয়ে যাচ্ছি</t>
  </si>
  <si>
    <t>জীবনে কত মানুষ আসলো চলে গেলো তারা থাকার সম্পর্কে সবসময় মনে থাকা উচিৎ</t>
  </si>
  <si>
    <t>সেলফ কন্ট্রোল মনে হয় আমার নেই ই কেনাকাটা করতে গিয়ে বাজেটের বাইরে চলে গিয়েছি</t>
  </si>
  <si>
    <t>আমার ব্যর্থতা নিয়ে আমি অনেক ভালো আছি সবার তিরস্কার নিয়েও আমি বেঁচে আছি</t>
  </si>
  <si>
    <t>একা থাকার কষ্টে রাত জাগা ভোরের আলো দেখার আশায় অপেক্ষা</t>
  </si>
  <si>
    <t>আমি ব্যর্থ হইনি আমি এমনকিছু হাজারো কাজ খুঁজে পেয়েছি যেগুলো আমার ক্ষেত্রে সফল হয়েছে</t>
  </si>
  <si>
    <t>আত্মগতির অনুরাগ স্মৃতির বিষাদে বিবর্তিত</t>
  </si>
  <si>
    <t>সময় শেষ হলে ভালোবাসার মানুষটিও আর সময় দেয়না</t>
  </si>
  <si>
    <t>কখনো কারো উপর হিংসা করোনা যদি হিংসা করতে হয় তাইলে তার শিক্ষা নিয়ে হিংসা করেন</t>
  </si>
  <si>
    <t>অসুস্থতার সাথে কুস্তি ইতিবাচকতার সাথে জেতা</t>
  </si>
  <si>
    <t>আমার অসুস্থ দিনগুলি টিস্যু এবং গরম স্যুপ দ্বারা স্পনসর করা হয়</t>
  </si>
  <si>
    <t>সবচেয়ে খারাপ ধরনের ব্যথা হয় যখন আপনার হৃদয় কাঁদে এবং আপনার চোখ শুকিয়ে যায়</t>
  </si>
  <si>
    <t>পরিবারের ইচ্ছে মতোই বিয়েটা হয়েছিলো আমার স্বপ্নগুলোর সাথে সাথে আত্মাটাও মরে গেছে আমার</t>
  </si>
  <si>
    <t>যুদ্ধের শঙ্কার ছায়ায় বিনোদন না কেবল নির্যাতন ও দুঃখের স্রোতে পরিণত হতে হয়</t>
  </si>
  <si>
    <t>অবহেলার কষ্টে একাকীত্বই একমাত্র বন্ধু</t>
  </si>
  <si>
    <t>সন্দেহ হলো মারাত্মক অসুস্থতা৷ একবার উদ্রেক হলে তা নির্মমভাবে শেষ হয়৷</t>
  </si>
  <si>
    <t>প্রতিভার মূল্যায়ন বিদেশেই দেয় তবে বাংলাদেশে নয়</t>
  </si>
  <si>
    <t>ক্যারিয়ারের সবচেয়ে বড় বিষয় হচ্ছে লক্ষ্যে যেটি অধিকাংশের ই স্থির থাকে না</t>
  </si>
  <si>
    <t>কেউ ভুলে যায় না প্রয়োজন শেষ তাই আর যোগাযোগ রাখে না</t>
  </si>
  <si>
    <t>গভীর রাতের নিশ্চুপ নীরবতার ভিড়ে এক টুকরো কষ্ট আমার হৃদয়ে গেঁথে যায়</t>
  </si>
  <si>
    <t>অবহেলার যন্ত্রণা অগ্নিদাহের তুল্য যা আত্মাকে দগ্ধ করে ফেলে</t>
  </si>
  <si>
    <t>পৃথিবীর সবচেয়ে খারাপ অনুভূতি হলো যখন দুজনেই একে অপরকে ভালোবাসার সত্বেও একসাথে থাকা সম্ভব হয়না</t>
  </si>
  <si>
    <t>কিছু মানুষ কখনো হারিয়ে যায় না তারা থাকে চিরকাল মনের গভীর গহিনে</t>
  </si>
  <si>
    <t>হারিয়ে যাওয়া সময়ে শুধু বিনোদনের ভুলের অভ্যন্তরীণ আবর্জনা থাকে</t>
  </si>
  <si>
    <t>কাজের জীবনে অনেক সময় মিলিয়ে নেওয়া নিজের সময় ছাড়া আমি নিজের জন্য সময় নিতে পারি না</t>
  </si>
  <si>
    <t>বাস্তবতা দেখে অনেক স্বপ্নই ভেঙ্গে গেছে</t>
  </si>
  <si>
    <t>কিছু মানুষ ক্ষমতার চুড়ায় বশে ফুলে উঠছে আর বাকিরা বেঁচে থাকার জন্য যুদ্ধ করছে</t>
  </si>
  <si>
    <t>অসুস্থ হওয়া আমাকে উজ্জ্বল হতে বাধা দিচ্ছে</t>
  </si>
  <si>
    <t>প্রতিদিন একই রকম কাজ করে ক্লান্ত হয়ে গেছি এখন কিছু নতুন করে শুরু করা উচিত</t>
  </si>
  <si>
    <t>বিনোদন মনের গভীর খোঁজের মধ্যে কিছু খোঁজে নিতে পারে কিন্তু কখনো সেই খোঁজা পাওয়া যায় না</t>
  </si>
  <si>
    <t>এক কথায় এই মুভিটা বন্ধুত্বের মর্যাদা দেওয়ার জন্য শিক্ষা দেয়</t>
  </si>
  <si>
    <t>চোখের জলের কোনো বর্ণ হয় না তাই দুঃখের কারণ ভিন্ন হলে চোখে একই রকম জল ঝরে পড়ে</t>
  </si>
  <si>
    <t>আপনার হৃদয়ে সবচেয়ে দীর্ঘস্থায়ী ভালবাসা সেইটি যা ফিরে আসে না</t>
  </si>
  <si>
    <t>চীলেকোঠার একটা ঘর চাই যেই ঘরে কোন দুঃখ নাই তুমি আর আমি আমাদের ছোট্ট সংসার</t>
  </si>
  <si>
    <t>যুদ্ধে শুধু অসীম দুঃখের মধ্যে হারানো যাচ্ছে মানুষের প্রেম</t>
  </si>
  <si>
    <t>কষ্টের বোঝা মাথায় নিয়ে চলতে হয় জীবনের পথে</t>
  </si>
  <si>
    <t>সাম্রাজ্যের জবানের মোহাচ্ছাদিত চিরসবুজ প্রাচীর আমাদের প্রাচীরের মাঝে দলিয়ে আছে</t>
  </si>
  <si>
    <t>সত্যের পথে হারিয়ে গেছে আমার আশা আর স্বপ্নগুলি</t>
  </si>
  <si>
    <t>আমার আত্মা একটি ভাঙা পাত্র দুঃখের তরঙ্গ দ্বারা চারপাশে নিক্ষেপ করা হয়</t>
  </si>
  <si>
    <t>গরীবরা খাবার খায় ধনীরা তা দিয়ে খেলনা বানায়</t>
  </si>
  <si>
    <t>কিছু কথা বলার আগেই সময় ফুরিয়ে যায় কিছু স্বপ্ন দেখার আগেই ঘুম ভেঙ্গে যায়</t>
  </si>
  <si>
    <t>যুদ্ধের পরিণামে শুধু শোক এবং অস্তিত্বের অন্ধকার ছুটে আসে</t>
  </si>
  <si>
    <t>এবারও পরিবার থেকে দূরে আছি পড়াশোনার জন্য</t>
  </si>
  <si>
    <t>আমি জীবনের প্রতিটি পদে উপলব্ধি করেছি মায়ের অভাব</t>
  </si>
  <si>
    <t>কেউ ভালোবাসা পেলে এমনকি সুখ ছাড়াও সে বাঁচতে পারে</t>
  </si>
  <si>
    <t>কখনো কখনো একা থাকা ভালো একা থাকলে কেউ দুঃখ দেয়না</t>
  </si>
  <si>
    <t>মানুষের জন্ম হয় সাফল্যের সুখ লাভ করার জন্য ব্যর্থতার জালে নিমজ্জিত হওয়ার জন্য নয়</t>
  </si>
  <si>
    <t>বিশ্বাস হলো এক বিনি সুতোর মালা যা যেকোনো সম্পর্কে দৃঢ়ভাবে বেঁধে রাখতে পারে</t>
  </si>
  <si>
    <t>বিনোদনের মাঝে হাসির গানে আছে মনের রঙিন আঁধার</t>
  </si>
  <si>
    <t>আপনার ব্যথার বেশিরভাগই হল সেই তিক্ত ওষুধ যার মাধ্যমে আপনার মধ্যে থাকা চিকিত্সক আপনার অসুস্থ নিজেকে নিরাময় করেন</t>
  </si>
  <si>
    <t>ভালোবাসার ক্ষমতা যার বেশি তার ব্যথা অনুভব করার ক্ষমতা তত বেশী</t>
  </si>
  <si>
    <t>পড়াশোনা এবং কাজের চাপে অতিষ্ঠ</t>
  </si>
  <si>
    <t>খুব উঁচুমানের অসাধারণ ছবির ধন্যবাদ নির্মাতাদের</t>
  </si>
  <si>
    <t>নাটকের দুঃখের সীমানা আমার অধিকারের বাহিরে</t>
  </si>
  <si>
    <t>শহুরে জীবনের সমস্যা চারপাশে মানুষ আছে তবুও যেন কেউ নেই</t>
  </si>
  <si>
    <t>বাংলার সংস্কৃতি পরিবারের সঙ্গে ভাসছে প্রেমের অভাবে</t>
  </si>
  <si>
    <t>ভালো ঘুম না থাকলে সারাদিন ক্লান্ত লাগে</t>
  </si>
  <si>
    <t>টুইটারের প্রতিটি বক্তব্য একটি আঘাত যেটা যৌবনের স্বপ্ন থেকে হারিয়ে যাচ্ছে</t>
  </si>
  <si>
    <t>বন্ধুরা যখন বিদেশ ভ্রমণ করে তখন নিজেকে হতাশ মনে হয়</t>
  </si>
  <si>
    <t>কষ্ট ছাড়া কেউ অশ্রু ঝরাতে পারেনা ভালোবাসা ছাড়া কোন স্বপ্ন হয়না</t>
  </si>
  <si>
    <t>জীবন যেন একটা ফুল আর জীবনের ভালোবাসা হলো মধু স্বরূপ</t>
  </si>
  <si>
    <t>সত্যের পথে হারিয়ে গেছি কারণ সত্যের সঙ্গে আমার সম্পর্কগুলি ভেঙ্গে যাচ্ছে</t>
  </si>
  <si>
    <t>সত্যের পথে হারানোর পর মনে মনে অবসাদ ছড়াচ্ছে</t>
  </si>
  <si>
    <t>বিচ্ছেদের দুঃখে প্রেমের বেগ বাড়িয়া উঠে</t>
  </si>
  <si>
    <t>আমাদের জীবনে কিছু কিছু নীরব কষ্ট থাকে যা চাইলেও কখনো কোন মানুষকে দেখানো যায় না এর জন্য শুধু নিরবে কেদে যেতে হয়</t>
  </si>
  <si>
    <t>তোমায় আমি বলতে চাই তুমি ছাড়া প্রিয় আর কেহ নাই ভালবাসি শুধু তোমায় আমি জনম জনম ভালবাসতে চাই</t>
  </si>
  <si>
    <t>জীবনের অনেক ক্ষণে সত্যের কাছে হারিয়ে যাই কিন্তু তা শুধু নিজের জ্ঞানের মধ্যেই থাকে</t>
  </si>
  <si>
    <t>কাটা আঙ্গুল থেকে রক্তের মত ঝরে ঝরে পড়ে ইচ্ছার নীল অক্ষমতা</t>
  </si>
  <si>
    <t>ব্যর্থতার বোঝা ছেলেদের কাঁধে তবুও হাল ছাড়তে পারে না তারা</t>
  </si>
  <si>
    <t>আমরা হাজার চেষ্টা করলেও মনের অনুভূতি গুলোকে নষ্ট করে দিতে পারি না</t>
  </si>
  <si>
    <t>বাংলার সংস্কৃতির আজ হুমকির পথে</t>
  </si>
  <si>
    <t>ক্ষুধার্ত দেখতে মারাত্মক এটি লোকেদের আপনাকে লাথি দিতে চায়</t>
  </si>
  <si>
    <t>রাজনৈতক ব্যাক্তিবর্গের কর্মকান্ড নিতান্ত্যই হাস্যকর</t>
  </si>
  <si>
    <t>যুদ্ধের ভীষণতায় মানুষের মন অন্ধকারে ঢেকে যাচ্ছে</t>
  </si>
  <si>
    <t>ভালোবাসার জন্য যার পতন হয় সে বিধাতার কাছে আকাশের তারার মতো উজ্জ্বল</t>
  </si>
  <si>
    <t>একা থাকার বেদনায় হৃদয় কেঁদে কেঁদে ভিজে কারো কাছেই নেই আমার কোনো ভাষা</t>
  </si>
  <si>
    <t>মানুষের সহ্য ক্ষমতার বাইরে চলে গেলে তখন আর সেই কষ্টটাকে গভীর মনে হয় না বরং তখন সেটা হয় অভিজ্ঞতা</t>
  </si>
  <si>
    <t>দেশের নেতাদের সামর্থ্যে নিয়ে দেশ এর মানুষ সঙ্কিত</t>
  </si>
  <si>
    <t>ঠান্ডায় গলা ব্যথা হয়ে গেছে কোনোভাবেই ভালো হচ্ছে না</t>
  </si>
  <si>
    <t>সম্পর্কটা হলো এমন একটা ক্রীড়া যেখানে দুজনেই খেলতে পারেন এবং জয়ীও হতে পারেন</t>
  </si>
  <si>
    <t>কাজের প্রেসারে দুঃখের সমুদ্রে ডুবি গেছে আমার স্বপ্নের নৌকা</t>
  </si>
  <si>
    <t>হৃদয়ের গভীরে যে ব্যথা থাকে তা বুঝার ক্ষমতা তোমার নাই</t>
  </si>
  <si>
    <t>সবকিছু একঘেয়ে হয়ে যাচ্ছে</t>
  </si>
  <si>
    <t>বিষণ্ণতা একটি জীবন্ত মুর্তি তৈরি করে যার বেঁচে থাকার কোন ইচ্ছা নেই</t>
  </si>
  <si>
    <t>রাতটা যেন আমার ক্ষতগুলোর মতোই গভীর</t>
  </si>
  <si>
    <t>গভীর রাতের নীরবতায় স্মৃতির তীব্র ঝড়ে ভেসে যায় মন</t>
  </si>
  <si>
    <t>প্রিয়জন বা প্রিয় জিনিস দুটোই বেশি দিন টিকে না হয়তো বদলে যায় নয়তো হারিয়ে</t>
  </si>
  <si>
    <t>প্রিয় মানুষের দুঃখ দেখে ছেলেদের মন ভেঙে গেলেও সান্ত্বনা দিতে হয় তাদেরকে</t>
  </si>
  <si>
    <t>একাকীত্ব মানুষকে নতুন করে নিজেকে আবিষ্কার করতে সুযোগ করে</t>
  </si>
  <si>
    <t>আমরা সবাই আমাদের বাবা মাকে অনেক ভালোবাসি কিন্তু আমরা বাবা মায়ের কাছে গিয়ে তা প্রকাশ করি না</t>
  </si>
  <si>
    <t>দুঃখ হল বিশ্বের বিস্ময়কর ধাঁধা গুলোর মধ্যে একটি</t>
  </si>
  <si>
    <t>আমি অসুস্থ দিনগুলো থেকে সবচেয়ে বেশী ব্যবহার করছি</t>
  </si>
  <si>
    <t>সংস্কৃতির আঁচলে ভাসছে দুঃখের সমুদ্রের অগ্নি</t>
  </si>
  <si>
    <t>পরিবারের মধ্যে অনেক সময় আমি নিজেকে অসম্মত মনে করি</t>
  </si>
  <si>
    <t>অসুস্থ হলে বুঝা যায় সুস্থতা কত বড় নেয়ামত</t>
  </si>
  <si>
    <t>অজানা জলে নেভিগেশন চিহ্নের মতো দারিদ্র্যের সংজ্ঞা স্বতন্ত্র এবং দ্ব্যর্থহীন হওয়া প্রয়োজন</t>
  </si>
  <si>
    <t>সভ্য মানব সমাজে দারিদ্র্য নেই এর উপযুক্ত স্থান একটি জাদুঘরে</t>
  </si>
  <si>
    <t>তুমি যে অবহেলা করছো তা আমার হৃদয়ে ক্ষাতি করছে তুমি আমাকে বেশি যত্ন দিতে পারো না</t>
  </si>
  <si>
    <t>এই ব্যাস্ত জীবনে আজকে খুব অসহায় ইচ্ছা করতেছে পরিবারের কাছে চলে যাই সেই ছোটবেলার মতো</t>
  </si>
  <si>
    <t>বিনোদনের সাহায্যে মনে শান্তি নেই শুধুমাত্র ভুলের আনন্দ</t>
  </si>
  <si>
    <t>ভাগ্যের পরিহাসে হতবাক জীবনের প্রতি আগ্রহ হারিয়ে ফেলেছি কষ্টের মাঝে ডুবে ডুবে যাচ্ছি কোনো সুখের আশা নেই</t>
  </si>
  <si>
    <t>অর্ধেক জীবন পার চলে যাচ্ছে তুমি এতো চিকন কেন শুনতে শুনতে</t>
  </si>
  <si>
    <t>আমি সত্যের পথে যাওয়া চেষ্টা করছি কিন্তু হৃদয় মিথ্যায় পড়ে যাচ্ছে</t>
  </si>
  <si>
    <t>শান্তির মাধ্যমে মানবতার জন্য আমাদের সকলের দায়িত্ব</t>
  </si>
  <si>
    <t>কষ্টের অভ্যাস হয়ে গেছে তাই আর অনুভবই করি না</t>
  </si>
  <si>
    <t>প্রেম হচ্ছে স্বার্থ সিদ্ধির চরম অভিব্যক্তি</t>
  </si>
  <si>
    <t>সংস্কৃতির আলোয় স্বাধীনতার চিহ্ন হয়ে গেছে হৃদয়ে</t>
  </si>
  <si>
    <t>কাজের জীবনে অনেক সময় মিলিয়ে নেওয়া নিজের সময় ছাড়া আমি নিজের নিজের করার কোনো সময় নিতে পারি না</t>
  </si>
  <si>
    <t>সবচেয়ে ভয়ানক ধরণের যন্ত্রণা হল সেই বিন্দুতে যেখানে আপনি কেবল অশ্রু পড়া রোধ করার জন্য হাসছেন</t>
  </si>
  <si>
    <t>ছবির শেষ দেখে হাসি ফেলেছি কিন্তু আমার মনে সেই হাসি এখনও অসহায়</t>
  </si>
  <si>
    <t>হাসির মুহূর্ত আমার মনের দুঃখ মিলিয়ে দেয়</t>
  </si>
  <si>
    <t>ভালোবাসা ছাড়া আর আছে কী ভালোবাসা হলো নিঃশ্বাস এ দেহের নিঃশ্বাস বিনা মানুষ কখনও বাঁচে কী</t>
  </si>
  <si>
    <t>যুদ্ধে সম্মান ও মর্যাদা অস্তিত্বের অভাব অনুভব করা হচ্ছে</t>
  </si>
  <si>
    <t>সংস্কৃতির আলো নয় হারানো অন্ধকারে চিরকাল</t>
  </si>
  <si>
    <t>ভালোবাসা হচ্ছে একধরনের মায়া যেখানে পুরুষ এক নারীকে অন্য নারী থেকে আলাদা করে দেখে আর নারী এক পুরুষকে অন্য পুরুষ থেকে আলাদা করে দেখে</t>
  </si>
  <si>
    <t>যদি মনের অনুভুতি ঠিক থাকে তাহলে সম্পর্কটাও থাকে আজীবন</t>
  </si>
  <si>
    <t>দিনশেষে বিশাল আকাশে ঝুলে থাকা চমৎকার চাঁদটার মতো আমিও একা</t>
  </si>
  <si>
    <t>ভালোবাসার জন্য স্বার্থ ত্যাগে কোন ন্যায় অন্যায় বোধ থাকে না</t>
  </si>
  <si>
    <t>খুব ইচ্ছা আছে একজন খেলোয়াড় হওয়ার কিন্তু ঘরের বড় ছেলে আমি না চাওয়া সত্ত্বেও অনেক দায়িত্ব কাধে এসে পড়ে যার জন্য নিজের স্বপ্নকে বিসর্জন দিতে হয়েছে</t>
  </si>
  <si>
    <t>যুদ্ধের বাদলে কেবল মৃত্যু ও বিরক্তির ঝর্ণা আসে আমাদের জীবনে</t>
  </si>
  <si>
    <t>শুধুমাত্র সময় আপনার ভাঙ্গা হৃদয় নিরাময় করতে পারেন ঠিক যেমন সময়ই তার ভাঙা হাত পা সারিয়ে তুলতে পারে</t>
  </si>
  <si>
    <t>ইরাকের আজকের এই পরিণতি আমেরিকার জন্য</t>
  </si>
  <si>
    <t>না পাওয়ার চেয়ে পেয়ে হারানোর যন্ত্রনাটা একটু বেশি হয়ে থাকে</t>
  </si>
  <si>
    <t>এত কষ্ট করে কাপড়গুলো ধুয়ে দিয়েছি সবগুলো মাটিতে পড়ে ময়লা লেগে গেছে এখন আবার ধুতে যাচ্ছি</t>
  </si>
  <si>
    <t>কষ্ট ছাড়া আমি আর কি পাচ্ছি</t>
  </si>
  <si>
    <t>ব্যাবহার হচ্ছে বংশের পরিচয় কিন্তু এটি পড়ালেখার শিক্ষা থেকে আসেনা</t>
  </si>
  <si>
    <t>ইনস্টাগ্রামের সৌন্দর্য মহাজালে পথ হারা যেখানে সত্য নেই কেবল মিথ্যা বিপদের রাস্তা</t>
  </si>
  <si>
    <t>জানি তুমি নেই এবং তোমাকে পেতে চাই</t>
  </si>
  <si>
    <t>যুদ্ধের প্রভাবে হারে গেলেই সব হারানো মুখ মৃত্যুর মুখে পরিণত হয়ে যায়</t>
  </si>
  <si>
    <t>জানি না কেন কয়েকদিন ধরেই শরীরটা কেমন যেন ঝিমিয়ে আছে কোনো কাজে এনার্জি পাচ্ছি না</t>
  </si>
  <si>
    <t>কাজের দিনে শুধু কাজের দাপা কোনো সময় প্রয়োজনীয় ক্ষণ বিশেষ অনুভব করতে পারি না</t>
  </si>
  <si>
    <t>অসুস্থতার সাথে কুস্তি ইতিবাচকতার সাথে জেতায়</t>
  </si>
  <si>
    <t>দুনিয়ার প্রত্যেকটা মানুষের বুকেই ব্যথা আছে শুধু তাদের প্রকাশ করার ধরন আলাদা আলাদা</t>
  </si>
  <si>
    <t>একদিন ঘুরতে যাওয়া দরকার কিন্তু টাকার অভাবে সেটাও পারছি না</t>
  </si>
  <si>
    <t>এখন সবকিছু খুব ভালো জানতে পারছি</t>
  </si>
  <si>
    <t>দলকে টিকিয়ে রাখতে তাহার পদত্যাগের বিকল্প নেই</t>
  </si>
  <si>
    <t>সত্য বলতে শিখেছি তাই এখন মিথ্যা বলা অত্যন্ত কষ্টকর</t>
  </si>
  <si>
    <t>দুটি কারণে মানুষ তোমার থেকে দূরে সরে যায় হয়তো সে তোমার থেকে নতুন কিছু শিখেছে নাহলে সে তোমার কাছ থেকে আঘাত পেয়েছে</t>
  </si>
  <si>
    <t>পরিস্থিতি মানুষকে অনেক কিছু শেখায় একা একা চলতে শেখায় নিজের পায়ে দাঁড়াতে শেখায় বাস্তব শেখায় চেনা মানুষের আড়ালে অচেনা মানুষকে চিনতে শেখায়</t>
  </si>
  <si>
    <t>সময় কারো জন্য এক নয় তাদেরও কাঁদতে হয় যারা অন্যদের কাঁদায়</t>
  </si>
  <si>
    <t>শুধু একবার তাকে দেখার বড্ড ইচ্ছে জাগে আমার শুধু একবার প্রশ্ন করার ইচ্ছে জাগে কেন ঠকিয়েছ আমায়</t>
  </si>
  <si>
    <t>যুদ্ধের ভীষণতা মানুষের মনে অত্যন্ত সংকট এবং ক্লান্তি সৃষ্টি করছে</t>
  </si>
  <si>
    <t>মন্দ সাহচর্যের থেকে নিঃসঙ্গতা অনেক ভালো</t>
  </si>
  <si>
    <t>তরুণদের চেয়ে বৃদ্ধদের রোগ ব্যাধি খুবই কম৷ কিন্তু যেটুকু থাকে তা আমৃত্যু সঙ্গী হিসাবেই থেকে যায়</t>
  </si>
  <si>
    <t>আমার সন্তানের অসুখ আমাকে দিয়ে দাও তবুও আমার সন্তানকে তুমি সুস্থ করে দাও</t>
  </si>
  <si>
    <t>অতীতের বেদনায় আমার হৃদয় জড়িয়ে আছে</t>
  </si>
  <si>
    <t>অ্যাপস ব্যবহার করতেছি</t>
  </si>
  <si>
    <t>নজরুল জাতীয় কবি</t>
  </si>
  <si>
    <t>ব্যাংকিং কাজ করিয়াছি</t>
  </si>
  <si>
    <t>সফটওয়্যার ডেভেলপ করি</t>
  </si>
  <si>
    <t>সুষম খাদ্য সহজলভ্য</t>
  </si>
  <si>
    <t>সফটওয়্যার চেক করতেছি</t>
  </si>
  <si>
    <t>আত্মনির্ভরশীল হয়েছে ছাত্ররা</t>
  </si>
  <si>
    <t>সে একজন টেকনেশিয়ান</t>
  </si>
  <si>
    <t>প্রিন্টার ব্যবহার করছি</t>
  </si>
  <si>
    <t>প্রোগ্রামার সর্বদাই সম্মানিত</t>
  </si>
  <si>
    <t>হেডফোন ব্যবহার করি</t>
  </si>
  <si>
    <t>কৃষিক্ষেত্রে উন্নতি ঘটিয়েছে</t>
  </si>
  <si>
    <t>নিয়মিত শরীরচর্চা করিতেছি</t>
  </si>
  <si>
    <t>নতুন ফোন চাই</t>
  </si>
  <si>
    <t>আমি গণিত করছি</t>
  </si>
  <si>
    <t>বেশি ইন্টারনেট চালাচ্ছি</t>
  </si>
  <si>
    <t>কৃষিক্ষেত্রে উন্নতি ঘটাচ্ছে</t>
  </si>
  <si>
    <t>গুগল ব্রাউজ করিতেছি</t>
  </si>
  <si>
    <t>লেপটপ ব্যবহার করছি</t>
  </si>
  <si>
    <t>নিয়মিত ভিডিও দিচ্ছি</t>
  </si>
  <si>
    <t>কোম্পিউটার তৈরি হচ্ছে</t>
  </si>
  <si>
    <t>আইফোন দামী কোম্পানি</t>
  </si>
  <si>
    <t>কলেজ কেফেটেরিয়ায় ঘুরি</t>
  </si>
  <si>
    <t>ফাইল সেভ করিয়াছি</t>
  </si>
  <si>
    <t>ইসলামিক জীবন গড়ি</t>
  </si>
  <si>
    <t>জীবনকে সহজে করিয়াছে</t>
  </si>
  <si>
    <t>মিটিংয়ে অংশ নেই</t>
  </si>
  <si>
    <t>খাদ্য ক্ষয়পূরণ করে</t>
  </si>
  <si>
    <t>বিভিন্ন ব্লগ পড়তেছি</t>
  </si>
  <si>
    <t>অবসরে ঘুরতে যাই</t>
  </si>
  <si>
    <t>ভ্রমণে অভিজ্ঞতা হয়</t>
  </si>
  <si>
    <t>হেডফোন ব্যবহার করেছি</t>
  </si>
  <si>
    <t>বই সময়ের বন্ধু</t>
  </si>
  <si>
    <t>ইউটিউব ভিডিও প্লাটফর্ম</t>
  </si>
  <si>
    <t>কার্ড ব্যবহার করি</t>
  </si>
  <si>
    <t>চলো স্কুলে যাই</t>
  </si>
  <si>
    <t>সে গণিত করছে</t>
  </si>
  <si>
    <t>ব্যাংক হিসাব খুলিয়াছি</t>
  </si>
  <si>
    <t>রেডিও ব্যবহার করছি</t>
  </si>
  <si>
    <t>ছাত্ররা ফুটবল খেলে</t>
  </si>
  <si>
    <t>শৃঙ্খলার বজায় রাখতেছি</t>
  </si>
  <si>
    <t>আমি প্রকৃতি প্রেমিক</t>
  </si>
  <si>
    <t>হিসাব প্রবন্ধন করুন</t>
  </si>
  <si>
    <t>স্মাটটেলিফোন ব্যবহার করেছি</t>
  </si>
  <si>
    <t>রাজনীতির বিতর্ক হয়</t>
  </si>
  <si>
    <t>আইনের প্রস্তুতি চলছে</t>
  </si>
  <si>
    <t>আইনের প্রস্তুতি চলছে খুব যত্ন করে</t>
  </si>
  <si>
    <t>ব্যবহার করছি স্মার্টওয়্যাচ</t>
  </si>
  <si>
    <t>নতুন টেলিফোন কিনতেছি</t>
  </si>
  <si>
    <t>ইসলামিক জীবন গড়িতেছি</t>
  </si>
  <si>
    <t>ব্যাংকে পরিদর্শন করিয়াছি</t>
  </si>
  <si>
    <t>অ্যামাজনের পন্য ভালো</t>
  </si>
  <si>
    <t>অর্থনৈতিক হানি হয়েছে</t>
  </si>
  <si>
    <t>সহজেই ইমেইল পাঠিয়েছি</t>
  </si>
  <si>
    <t>টাকা গণনা করিয়াছি</t>
  </si>
  <si>
    <t>স্মার্টওয়াচ ব্যবহার করেছি</t>
  </si>
  <si>
    <t>নিয়মিত হাদীস পড়িতেছি</t>
  </si>
  <si>
    <t>নতুন কিছু পড়াচ্ছি</t>
  </si>
  <si>
    <t>নিবন্ধন বৃদ্ধি পেয়েছে</t>
  </si>
  <si>
    <t>লেপটপে সংবাদ দেখিয়াছি</t>
  </si>
  <si>
    <t>আমি ইতিহাস পড়ি</t>
  </si>
  <si>
    <t>আমি ইতিহাস পড়ি মনোযোগ দিয়ে</t>
  </si>
  <si>
    <t>উৎপাদনে উন্নতি চাচ্ছে</t>
  </si>
  <si>
    <t>বিনোদনের আনন্দ খুজিয়াছি</t>
  </si>
  <si>
    <t>ইন্টারনেটের যোগাযোগ সহজ</t>
  </si>
  <si>
    <t>অনলাইনে জোক্স পড়ি</t>
  </si>
  <si>
    <t>গবেষণা প্রকাশ করি</t>
  </si>
  <si>
    <t>সে গেম খেলতেছে</t>
  </si>
  <si>
    <t>বেশি ইন্টারনেট চালাই</t>
  </si>
  <si>
    <t>টেকনোলজি খোজতে চাচ্ছি</t>
  </si>
  <si>
    <t>সামাজিক আলোচনা চলছে</t>
  </si>
  <si>
    <t>আমি চিন্তা করি</t>
  </si>
  <si>
    <t>ব্যাংকে চাকরি করি</t>
  </si>
  <si>
    <t>আমি কবিতা পড়তেছি</t>
  </si>
  <si>
    <t>আইটি প্রশিক্ষণ পেয়েছি</t>
  </si>
  <si>
    <t>বার্তা বিনিময় করিয়াছি</t>
  </si>
  <si>
    <t>ইরিডার ব্যবহার করেছি</t>
  </si>
  <si>
    <t>ব্যাংক হিসাব দেয়</t>
  </si>
  <si>
    <t>দলগুলি আলোচনা করে</t>
  </si>
  <si>
    <t>জেলেরা মাছ ধরে</t>
  </si>
  <si>
    <t>জেলেরা মাছ ধরে মনে আনন্দ খুজে পায়</t>
  </si>
  <si>
    <t>সবাই খেলা দেখে</t>
  </si>
  <si>
    <t>সৌন্দর্য অবলোকনে গিয়েছি</t>
  </si>
  <si>
    <t>সৌন্দর্য অবলোকনে গিয়েছি মন ভালো হয়েছে</t>
  </si>
  <si>
    <t>কলেজ অবস্থান করি</t>
  </si>
  <si>
    <t>ইন্টারনেট বিনিয়োগ করছি</t>
  </si>
  <si>
    <t>আইপ্যাড ব্যবহার করি</t>
  </si>
  <si>
    <t>আর্থিক উন্নতি করছে</t>
  </si>
  <si>
    <t>গরীবকে দান করিতেছি</t>
  </si>
  <si>
    <t>আকাশ ভ্রমণ করিয়াছি</t>
  </si>
  <si>
    <t>ব্যাংকিং সুবিধা পান</t>
  </si>
  <si>
    <t>ব্লকচেইন পাইথন নির্ভর</t>
  </si>
  <si>
    <t>আর্থিক সমৃদ্ধি কমেছে</t>
  </si>
  <si>
    <t>সে বই পড়ে</t>
  </si>
  <si>
    <t>স্মাটটেলিফোন ব্যবহার করছি</t>
  </si>
  <si>
    <t>নতুন স্মার্টটিভি কিনতেছি</t>
  </si>
  <si>
    <t>আমি সমর্থন করছি</t>
  </si>
  <si>
    <t>বিকাশে টাকা পাঠাইছি</t>
  </si>
  <si>
    <t>সামাজিক আলোচনা হয়েছে</t>
  </si>
  <si>
    <t>ওয়েবসাইট তৈরি করি</t>
  </si>
  <si>
    <t>অনলাইন ক্লাস নেই</t>
  </si>
  <si>
    <t>ইমেইল পড়তে পারি</t>
  </si>
  <si>
    <t>হাব ব্যবহার করছি</t>
  </si>
  <si>
    <t>তুমি ইতিহাস পড় মন দিয়ে</t>
  </si>
  <si>
    <t>তুমি ইতিহাস পড়ছ</t>
  </si>
  <si>
    <t>প্রযুক্তির অকল্যাণ আছে</t>
  </si>
  <si>
    <t>বিদ্যা দ্বারা আলোকিত</t>
  </si>
  <si>
    <t>ভাল ব্যবহার করি</t>
  </si>
  <si>
    <t>ফুল সুগন্ধ ছড়াইতেছে</t>
  </si>
  <si>
    <t>রবীন্দ্রনাথ হলেন বিশ্বকবি</t>
  </si>
  <si>
    <t>ব্লুটুথ স্পিকার কিনতেছি</t>
  </si>
  <si>
    <t>উদ্যোগে প্রবর্তন করতেছি</t>
  </si>
  <si>
    <t>জ্ঞানে আলোকিত হও</t>
  </si>
  <si>
    <t>আমি মক্কায় গিয়েছি</t>
  </si>
  <si>
    <t>ভ্রমণে আনন্দ খুঁজিতেছি</t>
  </si>
  <si>
    <t>বিনিয়োগ করুন সুরক্ষিতভাবে</t>
  </si>
  <si>
    <t>কম্পিউটার অবিচ্ছেদ্য অংশ</t>
  </si>
  <si>
    <t>কলেজ কেফেটেরিয়ায় ঘুরিতেছি</t>
  </si>
  <si>
    <t>আমি আলাস্কা গিয়েছি</t>
  </si>
  <si>
    <t>বই পড়া আনন্দের</t>
  </si>
  <si>
    <t>কলেজ ভ্রমণ করি</t>
  </si>
  <si>
    <t>রাজনৈতিক আলোচনা করে</t>
  </si>
  <si>
    <t>সবসময় ঘুরে বেড়িয়েছি</t>
  </si>
  <si>
    <t>শিক্ষা সবার অধিকার</t>
  </si>
  <si>
    <t>ভ্রমণে শান্তি পাই</t>
  </si>
  <si>
    <t>আর্থিক বিকাশ হয়</t>
  </si>
  <si>
    <t>ছাত্রাবাসে জীবন কাটিয়াছে</t>
  </si>
  <si>
    <t>টেলিভিশন ব্যবহার করছি</t>
  </si>
  <si>
    <t>ব্যাংক সার্ভিস আছে</t>
  </si>
  <si>
    <t>শিক্ষার্থীরা গল্প পড়ে</t>
  </si>
  <si>
    <t>মানুষেরা মিলিত আছে</t>
  </si>
  <si>
    <t>হাইটেকপার্ক ডিজাইন হচ্ছে</t>
  </si>
  <si>
    <t>অনুভূতি শেয়ার করি</t>
  </si>
  <si>
    <t>একাউন্ট চেক করুন</t>
  </si>
  <si>
    <t>ক্রিকেট পছন্দ করি</t>
  </si>
  <si>
    <t>গুগল ব্রাউজ করিয়াছি</t>
  </si>
  <si>
    <t>খাদ্য প্রানশক্তি বাড়ায়</t>
  </si>
  <si>
    <t>খাদ্য প্রানশক্তি জোগায়</t>
  </si>
  <si>
    <t>আনন্দময় ইবাদত ভ্রমণ</t>
  </si>
  <si>
    <t>নিয়মিত হাদীস পড়ি</t>
  </si>
  <si>
    <t>ক্যামেরায় ছবি তুলেছি</t>
  </si>
  <si>
    <t>রাজনীতির বিতর্ক হচ্ছে</t>
  </si>
  <si>
    <t>আমি কাশ্মীর যাই</t>
  </si>
  <si>
    <t>সানিয়া বেডমিন্টন খেলতেছে</t>
  </si>
  <si>
    <t>শিক্ষার্থীরা কবিতা পড়তেছে</t>
  </si>
  <si>
    <t>ভিডিও ভার্তা পাঠাইতেছি</t>
  </si>
  <si>
    <t>সে ব্লগ করে</t>
  </si>
  <si>
    <t>শোক প্রকাশ করি</t>
  </si>
  <si>
    <t>বিশেষজ্ঞদের পরামর্শ নিচ্ছে</t>
  </si>
  <si>
    <t>নিজেকে সংযোজন করছি</t>
  </si>
  <si>
    <t>ওয়েবক্যাম ব্যবহার করি</t>
  </si>
  <si>
    <t>আমি ভালো বুঝেছি</t>
  </si>
  <si>
    <t>দলগুলি মিটিং হইতেছে</t>
  </si>
  <si>
    <t>আর্থিক বিকাশ হচ্ছে</t>
  </si>
  <si>
    <t>সে কম্পিউটারে দক্ষ</t>
  </si>
  <si>
    <t>কম্পিউটারের ক্লাস করে</t>
  </si>
  <si>
    <t>আমি সংখ্যা শিখছি</t>
  </si>
  <si>
    <t>আমি স্কাইরাইড করেছি</t>
  </si>
  <si>
    <t>আমি গণিত করি</t>
  </si>
  <si>
    <t>ব্যাংক সার্ভিস নেই</t>
  </si>
  <si>
    <t>আমি হোমওয়ার্ক করিয়াছি</t>
  </si>
  <si>
    <t>ভ্রমণে সুখী হচ্ছে</t>
  </si>
  <si>
    <t>নতুন কিছু পড়াই</t>
  </si>
  <si>
    <t>দারাজের পন্য খারাপ</t>
  </si>
  <si>
    <t>অনলাইনে পেশাক কিনি</t>
  </si>
  <si>
    <t>ব্যাংক সাপোর্ট দিচ্ছে</t>
  </si>
  <si>
    <t>লোকজন সমুদ্রপাড়ে ঘুরছে</t>
  </si>
  <si>
    <t>শিক্ষার্থীরা শরীরচর্চা করিয়াছে</t>
  </si>
  <si>
    <t>রোবট ব্যবহার করি</t>
  </si>
  <si>
    <t>ক্যামেরায় ছবি তুলে সময় কাটাচ্ছি</t>
  </si>
  <si>
    <t>অবসরে খেলাধুলা করিয়াছি</t>
  </si>
  <si>
    <t>একাউন্ট সৃষ্টি করি</t>
  </si>
  <si>
    <t>ভ্রমণ পছন্দ করি</t>
  </si>
  <si>
    <t>আমরা বিজ্ঞান পড়ি</t>
  </si>
  <si>
    <t>ব্যাংকিং সুবিধা পাইতেছি</t>
  </si>
  <si>
    <t>সবসময় ঘুরে বেড়াচ্ছি</t>
  </si>
  <si>
    <t>কলেজ পর্যবেক্ষণ করিতেছি</t>
  </si>
  <si>
    <t>আমি উপন্যাস পড়িয়াছি</t>
  </si>
  <si>
    <t>অবসরে গান গাইতেছি</t>
  </si>
  <si>
    <t>জিপিএস চালু করি</t>
  </si>
  <si>
    <t>প্রযুক্তি মানুষের দাস</t>
  </si>
  <si>
    <t>একাউন্টে টাকা রাখিয়াছি</t>
  </si>
  <si>
    <t>একাউন্ট ব্যালেন্স কমছে</t>
  </si>
  <si>
    <t>মানুষ রাজনীতি করেনা</t>
  </si>
  <si>
    <t>সে নতুন নোট নিয়েছে</t>
  </si>
  <si>
    <t>সে নোট লেখে</t>
  </si>
  <si>
    <t>মানুষেরা মিলিত হচ্ছে</t>
  </si>
  <si>
    <t>ঢেউ স্নিগ্ধতা ছড়াচ্ছে</t>
  </si>
  <si>
    <t>সে কম্পিউটার শিখছে</t>
  </si>
  <si>
    <t>ফোন অর্ডার করছি</t>
  </si>
  <si>
    <t>ইরিডার ব্যবহার করি</t>
  </si>
  <si>
    <t>আইনের প্রস্তুতি নিয়েছে</t>
  </si>
  <si>
    <t>সফলতার সন্ধান করিতেছি</t>
  </si>
  <si>
    <t>গ্যাজেট কিনতে চাই</t>
  </si>
  <si>
    <t>গুগলে অনুসন্ধান করছি</t>
  </si>
  <si>
    <t>সে বই লিখেছে</t>
  </si>
  <si>
    <t>নতুন স্মার্টওয়্যাচ কিনতেছি</t>
  </si>
  <si>
    <t>শৃঙ্খলার বজায় রেখেছি</t>
  </si>
  <si>
    <t>সময়ের অপচয় হয়</t>
  </si>
  <si>
    <t>সমুদ্রের তীরে ঘুরে ঘুরে সময় যাচ্ছে</t>
  </si>
  <si>
    <t>সমুদ্রের তীরে ঘুরতে নিয়ে গিয়েছি তোমাকে</t>
  </si>
  <si>
    <t>টাকা উত্তোলন করুন</t>
  </si>
  <si>
    <t>মাইনুল গদ্য পড়েছে</t>
  </si>
  <si>
    <t>ডাউনলোড করতে চাচ্ছি</t>
  </si>
  <si>
    <t>ভ্রমণেই জীবনের পরিপূর্ণতা</t>
  </si>
  <si>
    <t>জীবনের পরিপূর্ণতায় ভ্রমণ দরকার</t>
  </si>
  <si>
    <t>ভ্রমণে অনুপ্রাণিত হচ্ছে</t>
  </si>
  <si>
    <t>প্রকল্পে বিনিয়োগ করছে</t>
  </si>
  <si>
    <t>ব্যাংকে চাকরি করতেছি</t>
  </si>
  <si>
    <t>করেন্সির বৃদ্ধি হয়</t>
  </si>
  <si>
    <t>ক্রয়সংস্থা বৃদ্ধি পাচ্ছে</t>
  </si>
  <si>
    <t>প্রযুক্তির প্রকারভেদ অনেক</t>
  </si>
  <si>
    <t>ছাত্রজীবনে কষ্ট করি</t>
  </si>
  <si>
    <t>দাম্মাম দর্শনীয় স্থান</t>
  </si>
  <si>
    <t>বই পড়া এবাদত</t>
  </si>
  <si>
    <t>মোবাইলে গল্প শুনে সময় কাটে</t>
  </si>
  <si>
    <t>মোবাইলে গল্প শুনেছি বলে বকা খাচ্ছি</t>
  </si>
  <si>
    <t>সরকার সমর্থন পাচ্ছে</t>
  </si>
  <si>
    <t>ব্যাংকে মিটিং করিয়াছি</t>
  </si>
  <si>
    <t>অনলাইন ক্লাস নিয়েছি</t>
  </si>
  <si>
    <t>ফুল পছন্দ করিয়াছি</t>
  </si>
  <si>
    <t>মহাকাশে রকেট যাচ্ছে</t>
  </si>
  <si>
    <t>কলায় আয়রন আছে</t>
  </si>
  <si>
    <t>সে গণিত করে</t>
  </si>
  <si>
    <t>স্মার্টফোন ব্যবহার করতে জানিনা</t>
  </si>
  <si>
    <t>অনুভূতি শেয়ার করতেছি</t>
  </si>
  <si>
    <t>অবসরে গান গাই</t>
  </si>
  <si>
    <t>টুইটার এখন এক্স</t>
  </si>
  <si>
    <t>ব্যাংকে মিটিং করি</t>
  </si>
  <si>
    <t>ক্যারিয়ারে এগিয়ে গিয়েছি</t>
  </si>
  <si>
    <t>ব্যবসা সেক্টর বাড়ছে</t>
  </si>
  <si>
    <t>কলেজে খেলাধুলা করিতেছি</t>
  </si>
  <si>
    <t>সে সংখ্যা শেখে</t>
  </si>
  <si>
    <t>আমি মক্কায় যাই</t>
  </si>
  <si>
    <t>স্মার্টফোন ব্যবহার করেছি বলে কথা শুনতে হয়</t>
  </si>
  <si>
    <t>শিক্ষা বিচারমূলক সংস্কার</t>
  </si>
  <si>
    <t>বিকাশে টাকা পাঠাই</t>
  </si>
  <si>
    <t>আমি ভ্রমণ করিয়াছি</t>
  </si>
  <si>
    <t>আমি হোমওয়ার্ক করি</t>
  </si>
  <si>
    <t>সে বই পড়িয়াছে</t>
  </si>
  <si>
    <t>তুমি উদাহরণ নিচ্ছো</t>
  </si>
  <si>
    <t>আমি তাজমহলে যাই</t>
  </si>
  <si>
    <t>লোন অনুমোদন হচ্ছে</t>
  </si>
  <si>
    <t>সফটওয়্যার ডাউনলোড করি</t>
  </si>
  <si>
    <t>সফলতার সন্ধান করিয়াছি</t>
  </si>
  <si>
    <t>আজকাল রফতানি বাড়ছে</t>
  </si>
  <si>
    <t>সারিবদ্ধ হয়ে ঘুরি</t>
  </si>
  <si>
    <t>আনন্দ অনুষ্ঠান হইতেছে</t>
  </si>
  <si>
    <t>মাইকেল সনেটের জনক</t>
  </si>
  <si>
    <t>ছাত্রাবাসে জীবন কাটে</t>
  </si>
  <si>
    <t>উচ্চকৌশলের গেম খেলিয়াছি</t>
  </si>
  <si>
    <t>লোনের আবেদন করতেছি</t>
  </si>
  <si>
    <t>কিবোর্ড ব্যবহার করতে পারিনা</t>
  </si>
  <si>
    <t>কিবোর্ড ব্যবহার করে কাজ করো</t>
  </si>
  <si>
    <t>ভ্রমণ অনুপ্রাণিত করে</t>
  </si>
  <si>
    <t>প্রযুক্তি কল্পনার জগৎ</t>
  </si>
  <si>
    <t>উত্তোলন সুবিধা আছে</t>
  </si>
  <si>
    <t>কার্যকরী ভোট দিয়েছি</t>
  </si>
  <si>
    <t>সমাজকল্যাণে সহায়ক হই</t>
  </si>
  <si>
    <t>তিনি কবিতা পড়েছেন</t>
  </si>
  <si>
    <t>চেক প্রদান করুন</t>
  </si>
  <si>
    <t>ওয়েবসাইট তৈরি করিয়াছি</t>
  </si>
  <si>
    <t>খেলাধুলায় অংশগ্রহণ করি</t>
  </si>
  <si>
    <t>সমুদ্র অনেক বিশাল</t>
  </si>
  <si>
    <t>আমি রেইনফরেস্ট যাচ্ছি</t>
  </si>
  <si>
    <t>মাইনুল গদ্য পড়ে</t>
  </si>
  <si>
    <t>শিক্ষা বৃদ্ধি পেয়েছে</t>
  </si>
  <si>
    <t>কর্মচারীদের মান বাড়ছে</t>
  </si>
  <si>
    <t>ফ্লপিডিস্ক ব্যবহার করছি</t>
  </si>
  <si>
    <t>লেপটপে খেলা দেখতেছি</t>
  </si>
  <si>
    <t>আমি স্কাইরাইড করতেছি</t>
  </si>
  <si>
    <t>প্রযুক্তি ব্যবহার হয়েছে</t>
  </si>
  <si>
    <t>শিক্ষার্থীরা কবিতা মুখস্থ করিয়াছে</t>
  </si>
  <si>
    <t>স্মার্টফোন ব্যবহার করে সময় কাটাই</t>
  </si>
  <si>
    <t>অর্থনৈতিক বৃদ্ধি হচ্ছে</t>
  </si>
  <si>
    <t>অবকাঠামোতে পরিবর্তন করি</t>
  </si>
  <si>
    <t>কলেজের হোস্টেলে থাকিয়াছি</t>
  </si>
  <si>
    <t>বাংলাদেশে ডিজিটাল হয়েছে</t>
  </si>
  <si>
    <t>ভালো বন্ধু খুজিয়াছি</t>
  </si>
  <si>
    <t>মোবাইল ব্যবহার করছি</t>
  </si>
  <si>
    <t>খাবারে বাড়ে বল</t>
  </si>
  <si>
    <t>একাউন্ট দুই ধরনের</t>
  </si>
  <si>
    <t>আমরা গবেষণা করি</t>
  </si>
  <si>
    <t>আমরা গবেষণা করি অর্জন হিসেবে</t>
  </si>
  <si>
    <t>তুমি গণিত করছো</t>
  </si>
  <si>
    <t>অ্যাপস ব্যবহার করি</t>
  </si>
  <si>
    <t>একাউন্ট সৃষ্টি করুন</t>
  </si>
  <si>
    <t>ছাত্ররা হাডুডু খেলেছি</t>
  </si>
  <si>
    <t>ঋণ প্রদান হয়</t>
  </si>
  <si>
    <t>ক্রেডিটকার্ড অনুমোদন হয়</t>
  </si>
  <si>
    <t>রাজনীতি পছন্দ করিয়াছি</t>
  </si>
  <si>
    <t>আমি কবিতা পড়ি</t>
  </si>
  <si>
    <t>আমি তাজমহলে গিয়েছি</t>
  </si>
  <si>
    <t>অনলাইন কোর্স করছি</t>
  </si>
  <si>
    <t>রাশিয়া প্রযুক্তিতে উন্নত</t>
  </si>
  <si>
    <t>আইপ্যাড ব্যবহার করেছি</t>
  </si>
  <si>
    <t>টেলিভিশন ব্যবহার করেছি</t>
  </si>
  <si>
    <t>মসজিদে হেটে যাইতেছি</t>
  </si>
  <si>
    <t>বাণিজ্যিক সুযোগ আছে</t>
  </si>
  <si>
    <t>ভ্রমণ পছন্দ করিয়াছি</t>
  </si>
  <si>
    <t>মোবাইল একাউন্ট খোলুন</t>
  </si>
  <si>
    <t>শিক্ষা মানবজীবনের দিক</t>
  </si>
  <si>
    <t>সারিবদ্ধ হয়ে ঘুরছে</t>
  </si>
  <si>
    <t>ঢেউ স্নিগ্ধতা ছড়ায়</t>
  </si>
  <si>
    <t>নাগরিকের আশা বাড়ছে</t>
  </si>
  <si>
    <t>ইন্টারনেট ব্যাবহার করছি</t>
  </si>
  <si>
    <t>তার মেধা ভালো</t>
  </si>
  <si>
    <t>লোন প্রদান হইতেছে</t>
  </si>
  <si>
    <t>জীবনের গল্প বলিতেছি</t>
  </si>
  <si>
    <t>প্রযুক্তির বিকাশ অব্যাহত থাকছে</t>
  </si>
  <si>
    <t>প্রযুক্তির বিকাশ চলমান</t>
  </si>
  <si>
    <t>শিক্ষা মানবজীবনের দরজা</t>
  </si>
  <si>
    <t>ইউকিপিডিয়া তথ্য ভান্ডার</t>
  </si>
  <si>
    <t>বাজারে মুল্য বাড়ছে</t>
  </si>
  <si>
    <t>আমি আলাপ করছি</t>
  </si>
  <si>
    <t>তারা স্কিং করতেছে</t>
  </si>
  <si>
    <t>টাকা জমা করি অনেক কষ্ট করে</t>
  </si>
  <si>
    <t>টাকা জমা করি</t>
  </si>
  <si>
    <t>মোবাইল মিনি টেকনোলজি</t>
  </si>
  <si>
    <t>পরকাল নিয়ে ভাবি</t>
  </si>
  <si>
    <t>পোর্টফোলিও তৈরি করি</t>
  </si>
  <si>
    <t>রকেটে টাকা পাঠাইছি</t>
  </si>
  <si>
    <t>ব্যাংকে মিটিং করতেছি</t>
  </si>
  <si>
    <t>সফটওয়্যার ডাউনলোড করছি</t>
  </si>
  <si>
    <t>নগদে টাকা পাঠাইতেছি</t>
  </si>
  <si>
    <t>পিপীলিকা বাংলাদেশের সার্চইঞ্জিন</t>
  </si>
  <si>
    <t>প্রযুক্তি ভয়ংকর মালিক হয়ে গেছে</t>
  </si>
  <si>
    <t>প্রযুক্তি ভয়ংকর পরিস্থিতি বানাচ্ছে</t>
  </si>
  <si>
    <t>আইওটি ব্যবহার করেছি</t>
  </si>
  <si>
    <t>টাকা পাঠাইতেছি উপায়ে</t>
  </si>
  <si>
    <t>ইতিহাস আলোচনা হত</t>
  </si>
  <si>
    <t>পরিবারে যোগাযোগ করি</t>
  </si>
  <si>
    <t>লেপটপে গান শুনি</t>
  </si>
  <si>
    <t>শোক প্রকাশ করছি</t>
  </si>
  <si>
    <t>বিজ্ঞানের গবেষনা করতেছে</t>
  </si>
  <si>
    <t>প্রযুক্তি ব্যবহার হয়</t>
  </si>
  <si>
    <t>টেস্টিং মোড স্টার্ট</t>
  </si>
  <si>
    <t>পেপাল আন্তর্জাতিক স্বীকৃত</t>
  </si>
  <si>
    <t>ফেসবুকের জনপ্রিয়তা অনেক</t>
  </si>
  <si>
    <t>অফিসে টপোলজি লাগে</t>
  </si>
  <si>
    <t>রাজনীতিতে যোগ দেই</t>
  </si>
  <si>
    <t>কলেজ কেফেটেরিয়ায় খাইতেছি</t>
  </si>
  <si>
    <t>জেলেরা মাছ ধরছে</t>
  </si>
  <si>
    <t>জেলেরা মাছ ধরছে রিস্ক নিয়ে</t>
  </si>
  <si>
    <t>তুমি নোট লিখিয়াছ</t>
  </si>
  <si>
    <t>গরীবকে দান করিয়াছি</t>
  </si>
  <si>
    <t>ছাত্ররা ফুটবল খেলিয়াছি</t>
  </si>
  <si>
    <t>ইবুক ব্যবহার করে সময় নষ্ট করো না</t>
  </si>
  <si>
    <t>দলগুলি মন্নত পায়</t>
  </si>
  <si>
    <t>বিদেশি আমদানি বাড়ছে</t>
  </si>
  <si>
    <t>সে ব্লগ করেছে</t>
  </si>
  <si>
    <t>হাব ব্যবহার করি</t>
  </si>
  <si>
    <t>দলের আলোচনা চলছে</t>
  </si>
  <si>
    <t>বার্তা পাঠাই প্রতিদিন</t>
  </si>
  <si>
    <t>সমুদ্রের ঝিনুক খুঁজতেছি</t>
  </si>
  <si>
    <t>সমুদ্রের ঝিনুক খুঁজতেছি মনে আনন্দের জন্য</t>
  </si>
  <si>
    <t>সবসময় ফুটবল ভালবেসেছি</t>
  </si>
  <si>
    <t>তার খাবারের অভাব</t>
  </si>
  <si>
    <t>ভ্রমণ উপভোগ করেছি</t>
  </si>
  <si>
    <t>লেপটপে ছবি আকি</t>
  </si>
  <si>
    <t>আমি গণিত করিয়াছি</t>
  </si>
  <si>
    <t>ক্রিকেট পছন্দ করিয়াছি</t>
  </si>
  <si>
    <t>হার্ডওয়্যার আপগ্রেড করিয়াছি</t>
  </si>
  <si>
    <t>সে স্কুলে যায়</t>
  </si>
  <si>
    <t>অংকে আমি কাঁচা</t>
  </si>
  <si>
    <t>অংকে আমি খুব ভালো করিনি</t>
  </si>
  <si>
    <t>মহাকাশে রকেট যায়</t>
  </si>
  <si>
    <t>গ্রামে ফসল হয়</t>
  </si>
  <si>
    <t>ক্রয়সংস্থা বৃদ্ধি পায়</t>
  </si>
  <si>
    <t>ইন্টারনেট ব্যবহার করেছি</t>
  </si>
  <si>
    <t>প্রযুক্তি ব্যবহার করছে</t>
  </si>
  <si>
    <t>আমি ভ্রমণ করি</t>
  </si>
  <si>
    <t>হজ্ব করতে গিয়েছি</t>
  </si>
  <si>
    <t>সে কম্পিউটার শিখিয়াছে</t>
  </si>
  <si>
    <t>সংগঠনে কাজ করছি</t>
  </si>
  <si>
    <t>একাউন্ট খুলে এসেছি</t>
  </si>
  <si>
    <t>দলের সংগঠন চলছে</t>
  </si>
  <si>
    <t>কলেজ কেফেটেরিয়ায় গিয়েছি</t>
  </si>
  <si>
    <t>মনোভাব পরিবর্তন হচ্ছে</t>
  </si>
  <si>
    <t>অ্যাকাউন্ট নিরাপদ করুন</t>
  </si>
  <si>
    <t>ক্ষুধার্তকে অন্ন দাও</t>
  </si>
  <si>
    <t>আলোচনা চলে জনগণের</t>
  </si>
  <si>
    <t>কলেজ কেফেটেরিয়ায় যাইতেছি</t>
  </si>
  <si>
    <t>আমি চিন্তা করিয়াছি</t>
  </si>
  <si>
    <t>কম্পিউটার ব্যবহার করি</t>
  </si>
  <si>
    <t>দল আলোচনা করছে</t>
  </si>
  <si>
    <t>শিক্ষা জীবনে গুরুত্বপূর্ণ</t>
  </si>
  <si>
    <t>জ্ঞানের উৎস ভ্রমণ</t>
  </si>
  <si>
    <t>ভ্রমণে পরিবর্তন এসেছে</t>
  </si>
  <si>
    <t>প্রজন্মের সমৃদ্ধি পায়</t>
  </si>
  <si>
    <t>নতুন কম্পিউটার কিনেছি</t>
  </si>
  <si>
    <t>ওয়েবসাইটে খবর পড়িতেছি</t>
  </si>
  <si>
    <t>ব্যাংক লোন দেয়</t>
  </si>
  <si>
    <t>সে কোরআন পড়তেছে</t>
  </si>
  <si>
    <t>সফলতার সন্ধান করি</t>
  </si>
  <si>
    <t>মিডিয়ায় সময় কাটাচ্ছি</t>
  </si>
  <si>
    <t>বনে বাঘ দেখেছি</t>
  </si>
  <si>
    <t>আমি স্কাইরাইড করি</t>
  </si>
  <si>
    <t>বাড়তি সুবিধা দিয়েছে</t>
  </si>
  <si>
    <t>অবসরে গান গাইয়াছি</t>
  </si>
  <si>
    <t>মানুষেরা রাজনীতি করে</t>
  </si>
  <si>
    <t>লেপটপে খেলা দেখি</t>
  </si>
  <si>
    <t>শিক্ষা আলোর আশ্রয়</t>
  </si>
  <si>
    <t>শিক্ষকরা পরিশ্রম করেছে</t>
  </si>
  <si>
    <t>রিতা অধ্যয়ন করে</t>
  </si>
  <si>
    <t>দেশের বাইরে যাচ্ছি</t>
  </si>
  <si>
    <t>সরকার প্রকল্প দিচ্ছে</t>
  </si>
  <si>
    <t>ক্যাম্পাস সবুজায়ন হয়েছে</t>
  </si>
  <si>
    <t>আয়ন উৎসেচকের কো ফ্যাক্টর</t>
  </si>
  <si>
    <t>একাউন্ট টাকা পাঠাই</t>
  </si>
  <si>
    <t>ইন্টারনেটের তথ্য পাঠিয়েছি</t>
  </si>
  <si>
    <t>অবসরে শান্তি পাই</t>
  </si>
  <si>
    <t>খাদ্য শক্তি জোগায়</t>
  </si>
  <si>
    <t>আমি বই পড়িতেছি</t>
  </si>
  <si>
    <t>ব্যাংক খোলা হয়েছে</t>
  </si>
  <si>
    <t>অনলাইনে কোর্স করি</t>
  </si>
  <si>
    <t>আমি রেইনফরেস্ট যাই</t>
  </si>
  <si>
    <t>জটিল গণণা করতেছি</t>
  </si>
  <si>
    <t>জীবনকে সহজ করছি</t>
  </si>
  <si>
    <t>লোন অনুমোদন নিতে পারছি না</t>
  </si>
  <si>
    <t>উদ্যোগে প্রবর্তন করি</t>
  </si>
  <si>
    <t>ছেলেমেয়ারা টেনিস খেলিয়াছি</t>
  </si>
  <si>
    <t>নতুন সফটওয়্যার বানাই</t>
  </si>
  <si>
    <t>কলেজ অবস্থান করিয়াছি</t>
  </si>
  <si>
    <t>মিটিংয়ে যোগদান করি</t>
  </si>
  <si>
    <t>ক্রিকেট খেলি প্রতিদিন</t>
  </si>
  <si>
    <t>রবীন্দ্রনাথ বিশ্ব কবি</t>
  </si>
  <si>
    <t>কাঞ্চনজঙ্ঘা বরফে ঢাকা</t>
  </si>
  <si>
    <t>নগদে কাজ করুন</t>
  </si>
  <si>
    <t>বার্তা বিনিময় করছি</t>
  </si>
  <si>
    <t>ল্যাপটপ হ্যাক করি</t>
  </si>
  <si>
    <t>স্বায়ত্তশাসিত উৎপাদন বেড়েছে</t>
  </si>
  <si>
    <t>ভ্রমন শুরু করতেছি</t>
  </si>
  <si>
    <t>একাউন্টে টাকা রাখতেছি</t>
  </si>
  <si>
    <t>মতামত প্রদান করি</t>
  </si>
  <si>
    <t>শিক্ষা মানবতার শক্তি</t>
  </si>
  <si>
    <t>মিটিংয়ে যোগ দিই</t>
  </si>
  <si>
    <t>হেডফোন অর্ডার করছি</t>
  </si>
  <si>
    <t>খেলাধুলায় অংশগ্রহণ করিতেছি</t>
  </si>
  <si>
    <t>আমি প্রোগ্রামিং করি</t>
  </si>
  <si>
    <t>ওয়েবসাইটে খবর পড়িয়াছি</t>
  </si>
  <si>
    <t>স্মার্টওয়াচ ব্যাবহার করি</t>
  </si>
  <si>
    <t>রিতা অধ্যয়ন করতেছে</t>
  </si>
  <si>
    <t>নাবিকেরা জাহাজ চালিয়েছে</t>
  </si>
  <si>
    <t>নাবিকেরা জাহাজ চালিয়েছে জীবিকার জন্য</t>
  </si>
  <si>
    <t>আমিষ গুরুত্বপূর্ণ খাবার</t>
  </si>
  <si>
    <t>কলেজ অবস্থান করিতেছি</t>
  </si>
  <si>
    <t>ইন্টারনেট ব্যবহার করি</t>
  </si>
  <si>
    <t>ইন্টারনেট ব্যবহার করি বিনোদন পেতে</t>
  </si>
  <si>
    <t>আকাশ ভ্রমণ করি</t>
  </si>
  <si>
    <t>একাউন্ট ডিলিট করুন</t>
  </si>
  <si>
    <t>ওয়েবক্যাম ব্যবহার করছি</t>
  </si>
  <si>
    <t>জীবনের গল্প বলি</t>
  </si>
  <si>
    <t>বনে ভাল্লুক দেখি</t>
  </si>
  <si>
    <t>নতুন ক্যামেরা কিনতেছি</t>
  </si>
  <si>
    <t>একাউন্ট হোল্ডার হন</t>
  </si>
  <si>
    <t>গান উপভোগ করি</t>
  </si>
  <si>
    <t>লেপটপে ছবি আকিয়াছি</t>
  </si>
  <si>
    <t>রাজনীতির সহযোগিতা করতেছি</t>
  </si>
  <si>
    <t>স্মার্টফোন ব্যবহার করেছি বলে সময় নষ্ট হচ্ছে</t>
  </si>
  <si>
    <t>নগদে টাকা পাঠাইছি</t>
  </si>
  <si>
    <t>ব্যাংক পরীক্ষা দিয়েছি</t>
  </si>
  <si>
    <t>রিমোট ব্যবহার করি</t>
  </si>
  <si>
    <t>আইটি প্রশিক্ষণ নেই</t>
  </si>
  <si>
    <t>সার্কাস চলে রাজনীতিতে</t>
  </si>
  <si>
    <t>গেম খেলতে আসি</t>
  </si>
  <si>
    <t>তায়েফ পুরোটাই মরুভূমি</t>
  </si>
  <si>
    <t>লোন বৃদ্ধি করছে</t>
  </si>
  <si>
    <t>আনন্দ অনুষ্ঠান হয়েছে</t>
  </si>
  <si>
    <t>রফতানি কম হয়েছে</t>
  </si>
  <si>
    <t>গবেষণা প্রস্তুত করতেছি</t>
  </si>
  <si>
    <t>টাকা উপার্জন করতেছি</t>
  </si>
  <si>
    <t>স্মাটটেলিফোন ব্যবহার করি</t>
  </si>
  <si>
    <t>এমাজন বিশ্বের ফুসফুস</t>
  </si>
  <si>
    <t>ঋণ প্রদান হয়েছে</t>
  </si>
  <si>
    <t>মেমরিকার্ড ব্যবহার করি</t>
  </si>
  <si>
    <t>ইন্টারনেটে খবর পড়ি</t>
  </si>
  <si>
    <t>নগদে টাকা পাঠাই</t>
  </si>
  <si>
    <t>নতুন গেমিংমাউস কিনতেছি</t>
  </si>
  <si>
    <t>পরিশ্রমে সফলতা পেয়েছে</t>
  </si>
  <si>
    <t>সমুদ্র ভ্রমণ করিয়াছি</t>
  </si>
  <si>
    <t>শোক প্রকাশ করিয়াছি</t>
  </si>
  <si>
    <t>এপলফোন ব্যবহার করি</t>
  </si>
  <si>
    <t>নতুন গেম খোলতেছি</t>
  </si>
  <si>
    <t>নিয়মিত হাদীস পড়িয়াছি</t>
  </si>
  <si>
    <t>রাজনীতি পরিবর্তন হয়</t>
  </si>
  <si>
    <t>টেলিভিশনে সংবাদ দেখিয়াছি</t>
  </si>
  <si>
    <t>রোগ নির্ণয় হয়</t>
  </si>
  <si>
    <t>অর্থনৈতিক সমস্যা নেই</t>
  </si>
  <si>
    <t>অবসরে ঘুরতে যাইতেছি</t>
  </si>
  <si>
    <t>অবসরে ঘুরতে যাইতেছি মন ভালো করার জন্য</t>
  </si>
  <si>
    <t>একাউন্ট জরিমানা আছে</t>
  </si>
  <si>
    <t>ভ্রমণে আনন্দ খুঁজি</t>
  </si>
  <si>
    <t>অবসরে খেলাধুলা করিতেছি</t>
  </si>
  <si>
    <t>সবাই ব্যাংকে যাই</t>
  </si>
  <si>
    <t>তারা ভ্রমিন করিয়াছে</t>
  </si>
  <si>
    <t>সমুদ্রের তীরে ঘুরি</t>
  </si>
  <si>
    <t>সমুদ্রের তীরে ঘুরি সৌন্দর্য অবলোকনে</t>
  </si>
  <si>
    <t>কুমিল্লার রসমালাই দুর্লভ</t>
  </si>
  <si>
    <t>প্যান ব্যবহার করছি</t>
  </si>
  <si>
    <t>আমি ইংরেজি পড়িয়াছি</t>
  </si>
  <si>
    <t>সে একজন পেটুক</t>
  </si>
  <si>
    <t>টেলিভিশনে সংবাদ দেখি</t>
  </si>
  <si>
    <t>কিবোর্ড ব্যবহার করছি</t>
  </si>
  <si>
    <t>কিবোর্ড ব্যবহার করে কাজ সহজ করো</t>
  </si>
  <si>
    <t>ইন্টারনেটে খবর পড়তে প্রশিক্ষণ নিচ্ছি</t>
  </si>
  <si>
    <t>এক্সেলের চাহিদা অনেক</t>
  </si>
  <si>
    <t>সে টেনিস খেলতেছে</t>
  </si>
  <si>
    <t>আমি শিক্ষানবিতে আছি</t>
  </si>
  <si>
    <t>ডেস্কটপ ব্যবহার করি</t>
  </si>
  <si>
    <t>অ্যাপস ব্যবহার করিয়াছি</t>
  </si>
  <si>
    <t>দলগুলি মন্নত পাচ্ছে</t>
  </si>
  <si>
    <t>সে সব পড়ছে</t>
  </si>
  <si>
    <t>সেভিংস একাউন্ট খুলি</t>
  </si>
  <si>
    <t>ছুটিতে ঘুরতে যাবো</t>
  </si>
  <si>
    <t>রেডিও ব্যবহার করেছি</t>
  </si>
  <si>
    <t>অর্থনৈতিক হানি হয়</t>
  </si>
  <si>
    <t>টাকা গণনা করি</t>
  </si>
  <si>
    <t>জিপিএস চালু হইয়াছে</t>
  </si>
  <si>
    <t>ইলিশ নদীর মাছ</t>
  </si>
  <si>
    <t>আইওএস অপারেটিং সিস্টেম</t>
  </si>
  <si>
    <t>সে গেম খেলে</t>
  </si>
  <si>
    <t>ক্রয়বিক্রয়ে বৃদ্ধি পেয়েছে</t>
  </si>
  <si>
    <t>বাস টপোলজি সহজলভ্য</t>
  </si>
  <si>
    <t>সেন্টমার্টিন প্রবাল দ্বীপ</t>
  </si>
  <si>
    <t>সৌন্দর্য অবলোকনে যাই</t>
  </si>
  <si>
    <t>সৌন্দর্য অবলোকনে জীবন সুন্দর</t>
  </si>
  <si>
    <t>জোয়ার এসেছে সমুদ্রে</t>
  </si>
  <si>
    <t>জোয়ার এসেছে সমুদ্রে নতুন করে</t>
  </si>
  <si>
    <t>তাজমহল দেখতে চাই</t>
  </si>
  <si>
    <t>রাওটার ব্যবহার করি</t>
  </si>
  <si>
    <t>মসজিদে হেটে গিয়েছি</t>
  </si>
  <si>
    <t>কলেজে খেলাধুলা করি</t>
  </si>
  <si>
    <t>লেপটপে গান শুনিয়াছি</t>
  </si>
  <si>
    <t>সহজেই ইমেইল লিখি</t>
  </si>
  <si>
    <t>ছাত্ররা ফুটবল খেলেতেছে</t>
  </si>
  <si>
    <t>বাংলাদেশ ডিজিটাল হচ্ছে</t>
  </si>
  <si>
    <t>প্রযুক্তির বিকাশ হচ্ছে</t>
  </si>
  <si>
    <t>ব্যাংক যোগাযোগ করুন</t>
  </si>
  <si>
    <t>সাগর স্নিগ্ধতা ছড়িয়েছে</t>
  </si>
  <si>
    <t>আমি আলাস্কা যাই</t>
  </si>
  <si>
    <t>সফটওয়্যার চেক করি</t>
  </si>
  <si>
    <t>ক্যামেরায় ছবি তুলতেছি</t>
  </si>
  <si>
    <t>ভ্রমণ ভালো অভ্যাস</t>
  </si>
  <si>
    <t>সে ইংরেজি পড়িইয়াছে</t>
  </si>
  <si>
    <t>মোবাইল ব্যাংকিং করতেছি</t>
  </si>
  <si>
    <t>ই পাসপোর্ট বেশি নিরাপদ</t>
  </si>
  <si>
    <t>ই বুকের দাম কম</t>
  </si>
  <si>
    <t>অর্থনৈতিক হানি হচ্ছে</t>
  </si>
  <si>
    <t>সমুদ্রের ঝিনুক খুঁজি</t>
  </si>
  <si>
    <t>সমুদ্রের ঝিনুক খুঁজে তোমাকে দেই</t>
  </si>
  <si>
    <t>ব্যাংক পরীক্ষা দিতেছি</t>
  </si>
  <si>
    <t>সুজলা সুফলা বাংলাদেশ</t>
  </si>
  <si>
    <t>একাউন্ট আপডেট করুন</t>
  </si>
  <si>
    <t>উপত্যকার মাঝে রাস্তা</t>
  </si>
  <si>
    <t>আমি দার্জিলিং যাচ্ছি</t>
  </si>
  <si>
    <t>ফ্লপিডিস্ক ব্যবহার করি</t>
  </si>
  <si>
    <t>প্রযুক্তি তৈরি হচ্ছে</t>
  </si>
  <si>
    <t>লোনের আবেদন করেছি</t>
  </si>
  <si>
    <t>ভিডিও ভার্তা পাঠাই</t>
  </si>
  <si>
    <t>আর্থিক উন্নতির প্রয়োজন</t>
  </si>
  <si>
    <t>কার্যকরী ভোট দেই</t>
  </si>
  <si>
    <t>রোবট ব্যবহার করতাম</t>
  </si>
  <si>
    <t>সবসময় ফুটবল ভালবাসতেছি</t>
  </si>
  <si>
    <t>ইন্টারনেট ব্যবহার করছি</t>
  </si>
  <si>
    <t>ব্যাংক হিসাব খোলুন</t>
  </si>
  <si>
    <t>পরকাল নিয়ে ভাবতেছি</t>
  </si>
  <si>
    <t>সমুদ্র পাড়ি দেই</t>
  </si>
  <si>
    <t>রাজনীতি পরিবর্তন দরকার</t>
  </si>
  <si>
    <t>চর্যাপদের কবি লুইপা</t>
  </si>
  <si>
    <t>সুন্দরবনে বাঘ আছে</t>
  </si>
  <si>
    <t>সবসময় ঘুরে বেড়াই</t>
  </si>
  <si>
    <t>ক্যামেরা ব্যবহার করে সময় নষ্ট করো না</t>
  </si>
  <si>
    <t>কিবোর্ড ব্যবহার জানা দরকার</t>
  </si>
  <si>
    <t>পোর্টফোলিও তৈরি করছি</t>
  </si>
  <si>
    <t>ভ্রমণে পরিবর্তন আসে</t>
  </si>
  <si>
    <t>শিক্ষকরা পরিশ্রম করে</t>
  </si>
  <si>
    <t>হাব ব্যবহার করেছি</t>
  </si>
  <si>
    <t>স্মার্টটিভি ব্যবহার করি</t>
  </si>
  <si>
    <t>সফলতার মই বই</t>
  </si>
  <si>
    <t>বিশ্বায়ন প্রযুক্তির উপাদান</t>
  </si>
  <si>
    <t>প্রযুক্তি হলো চাকর</t>
  </si>
  <si>
    <t>প্রযুক্তি হলো একটা আশীর্বাদ</t>
  </si>
  <si>
    <t>প্রযুক্তির চালক মানুষ</t>
  </si>
  <si>
    <t>সে দক্ষ প্রোগ্রামার</t>
  </si>
  <si>
    <t>আরবি শিক্ষা দেই</t>
  </si>
  <si>
    <t>আইটি প্রশিক্ষণ দেই</t>
  </si>
  <si>
    <t>হাড় হবে মজবুত</t>
  </si>
  <si>
    <t>পড়াশোনায় ভাল করি</t>
  </si>
  <si>
    <t>জিপিএস চালু করতেছি</t>
  </si>
  <si>
    <t>ব্যাংকিং কাজ করছি</t>
  </si>
  <si>
    <t>চিন্তার জগৎ প্রযুক্তি</t>
  </si>
  <si>
    <t>স্মার্টফোনে অ্যাপস আছে</t>
  </si>
  <si>
    <t>মোবাইল ব্যাংকিং করুন</t>
  </si>
  <si>
    <t>ছাত্রজীবনে কষ্ট করিয়াছি</t>
  </si>
  <si>
    <t>সার্ভার ব্যবহার করছি</t>
  </si>
  <si>
    <t>তুমি সকালে পড়ো</t>
  </si>
  <si>
    <t>প্রিন্টার ব্যবহার করি</t>
  </si>
  <si>
    <t>ই বুকে বই পড়তেছি</t>
  </si>
  <si>
    <t>সে ইংরেজি পড়ছে</t>
  </si>
  <si>
    <t>ব্যাংক সার্ভিস দিতেছি</t>
  </si>
  <si>
    <t>পাসবুক অনুযায়ী চালান</t>
  </si>
  <si>
    <t>ব্লুটোথ ব্যবহার করছি</t>
  </si>
  <si>
    <t>কলেজের হোস্টেলে থাকি</t>
  </si>
  <si>
    <t>ক্যাম্পাসের সৌন্দর্য বেড়েছে</t>
  </si>
  <si>
    <t>জিপিএস চালু করিয়াছি</t>
  </si>
  <si>
    <t>আমি প্রযুক্তি ভালোবাসি</t>
  </si>
  <si>
    <t>শিক্ষা সফরে গিয়েছি</t>
  </si>
  <si>
    <t>নতুন হেডফোন কিনতেছি</t>
  </si>
  <si>
    <t>সে রোজ পড়ে</t>
  </si>
  <si>
    <t>সে ইতিহাস পড়ছে</t>
  </si>
  <si>
    <t>ছাত্রাবাসে জীবন কাটতেছে</t>
  </si>
  <si>
    <t>লেপটপে সংবাদ দেখতেছি</t>
  </si>
  <si>
    <t>খেলাধুলায় অংশগ্রহণ করিয়াছি</t>
  </si>
  <si>
    <t>শিক্ষার দ্বাড় বিশ্বজুড়ে</t>
  </si>
  <si>
    <t>আমি সমর্থন করি</t>
  </si>
  <si>
    <t>নাবিকেরা জাহাজ চালাচ্ছে</t>
  </si>
  <si>
    <t>নাবিকেরা জাহাজ করে সমুদ্রে যাচ্ছে</t>
  </si>
  <si>
    <t>কমিউনিকেশন প্রযুক্তি নির্ভর</t>
  </si>
  <si>
    <t>সমুদ্র ভ্রমণ করি</t>
  </si>
  <si>
    <t>ই বুকে বই পড়ি</t>
  </si>
  <si>
    <t>বাজারে মূল্য কমিয়াছে</t>
  </si>
  <si>
    <t>নতুন কিছু শেখাচ্ছি</t>
  </si>
  <si>
    <t>ব্যাংক হিসাব খুলি</t>
  </si>
  <si>
    <t>সে সংখ্যা শিখিয়াছে</t>
  </si>
  <si>
    <t>ভালো বন্ধু খুজিতেছি</t>
  </si>
  <si>
    <t>রকেট দ্রুত যন্ত্র</t>
  </si>
  <si>
    <t>ইবাদতে শান্তি পাই</t>
  </si>
  <si>
    <t>প্রযুক্তির অকল্যাণ নেই</t>
  </si>
  <si>
    <t>আমি সমর্থন করিয়াছি</t>
  </si>
  <si>
    <t>জীবনের গল্প বলিয়াছি</t>
  </si>
  <si>
    <t>টাকা উত্তোলন হোক</t>
  </si>
  <si>
    <t>সৌন্দর্য আনন্দ দেয়</t>
  </si>
  <si>
    <t>সৌন্দর্য আনন্দ উপভোগের সুযোগ দেয়</t>
  </si>
  <si>
    <t>নতুন ল্যাপটপ কিনতে দোকানে যাই</t>
  </si>
  <si>
    <t>টাকা জমা করেছি</t>
  </si>
  <si>
    <t>টাকা জমা করতে ব্যাংকে আসছি</t>
  </si>
  <si>
    <t>রাজনীতি আগ্রহী আছি</t>
  </si>
  <si>
    <t>নিজেকে সংযোজন করি</t>
  </si>
  <si>
    <t>ল্যাপটপে ছবি দেখছিনা</t>
  </si>
  <si>
    <t>ড্রোন ব্যবহার করছি</t>
  </si>
  <si>
    <t>বাড়তি সুবিধা দিচ্ছি</t>
  </si>
  <si>
    <t>নতুন সফটওয়্যার কিনতেছি</t>
  </si>
  <si>
    <t>এলাচ ওজন কমিয়েছে</t>
  </si>
  <si>
    <t>গুগল ব্রাউজ করি</t>
  </si>
  <si>
    <t>প্রযুক্তির সমৃদ্ধি হচ্ছে</t>
  </si>
  <si>
    <t>শিক্ষা প্রগতির সূচক</t>
  </si>
  <si>
    <t>সে ওয়েবসাইট বানাচ্ছে</t>
  </si>
  <si>
    <t>লেপটপে খেলা দেখিয়াছি</t>
  </si>
  <si>
    <t>আমি ইতিহাস পড়িয়া বিদ্বান হয়েছি</t>
  </si>
  <si>
    <t>আমি ইতিহাস পড়িয়াছি</t>
  </si>
  <si>
    <t>কার্ড ব্যবহার করিয়াছি</t>
  </si>
  <si>
    <t>জীবনে সুবিধা চাইতেছি</t>
  </si>
  <si>
    <t>শিক্ষার্থীরা শরীরচর্চা করেতেছে</t>
  </si>
  <si>
    <t>সে ইতিহাস পড়িয়াছে</t>
  </si>
  <si>
    <t>সে ইতিহাস পড়িয়া বিদ্বান হয়েছে</t>
  </si>
  <si>
    <t>বই হলো বন্ধু</t>
  </si>
  <si>
    <t>পণ্য উৎপাদন চলছে</t>
  </si>
  <si>
    <t>ডিজিটালপ্যান ব্যবহার করছি</t>
  </si>
  <si>
    <t>ভ্রমণ অনুপ্রাণিত করেছে</t>
  </si>
  <si>
    <t>সে স্কুলে যাচ্ছে</t>
  </si>
  <si>
    <t>অ্যাকাউন্ট নিরাপদ কর</t>
  </si>
  <si>
    <t>শিক্ষা মৌলিক হক</t>
  </si>
  <si>
    <t>আর্থিক উন্নতি করেছে</t>
  </si>
  <si>
    <t>রিতা অধ্যয়ন করিয়াছে</t>
  </si>
  <si>
    <t>লোন প্রদান হইয়াছে</t>
  </si>
  <si>
    <t>ইন্টারনেটে সময় কাটাচ্ছি</t>
  </si>
  <si>
    <t>প্রযুক্তি বাজারে আসছে</t>
  </si>
  <si>
    <t>পড়ালেখায় মনোযোগ দিতেছি</t>
  </si>
  <si>
    <t>লিনাক্সে অপারেটিং সহজ</t>
  </si>
  <si>
    <t>যাকাত প্রদান করি</t>
  </si>
  <si>
    <t>রাজস্ব বৃদ্ধি পায়</t>
  </si>
  <si>
    <t>ব্যবসা পরিচালনা করিয়াছে</t>
  </si>
  <si>
    <t>শিক্ষা আত্মনির্ভরতা বাড়ায়</t>
  </si>
  <si>
    <t>সৌন্দর্য অবলোকনে যাচ্ছি</t>
  </si>
  <si>
    <t>সৌন্দর্য অবলোকনে বেরিয়ে পড়ো</t>
  </si>
  <si>
    <t>টেলিভিশন ব্যবহার করি</t>
  </si>
  <si>
    <t>ভ্রমণে শান্তি পাচ্ছি</t>
  </si>
  <si>
    <t>স্মার্টফোন ব্যবহার করা শিখে নাও</t>
  </si>
  <si>
    <t>জিপিএস ব্যবহার করি</t>
  </si>
  <si>
    <t>কলেজ ভ্রমণ করিতেছি</t>
  </si>
  <si>
    <t>সরকার গঠন করছে</t>
  </si>
  <si>
    <t>অবসরে খেলাধুলা করি</t>
  </si>
  <si>
    <t>আমি সংখ্যা শিখিইয়াছি</t>
  </si>
  <si>
    <t>লোন প্রদান হয়</t>
  </si>
  <si>
    <t>হোম লোন পাই</t>
  </si>
  <si>
    <t>ব্যবসা সেক্টর কমছে</t>
  </si>
  <si>
    <t>ছেলেমেয়ারা টেনিস খেলতেছে</t>
  </si>
  <si>
    <t>দক্ষতা প্রযুক্তির মূলমন্ত্র</t>
  </si>
  <si>
    <t>মিটিংয়ে যোগদান করিয়াছি</t>
  </si>
  <si>
    <t>তুমি গণিত করিয়াছো</t>
  </si>
  <si>
    <t>ই বুকে বই পড়িয়াছি</t>
  </si>
  <si>
    <t>ই লাইব্রেরি তে দেখো</t>
  </si>
  <si>
    <t>স্কোর পরীক্ষা করুন</t>
  </si>
  <si>
    <t>একাউন্টে টাকা রাখুন</t>
  </si>
  <si>
    <t>সে একজন ভোজনরসিক</t>
  </si>
  <si>
    <t>মিটিংয়ে অংশ নিচ্ছি</t>
  </si>
  <si>
    <t>চ্যাটজিপিটি কৃত্রিম রোবট</t>
  </si>
  <si>
    <t>টাকা পাঠাও উপায়ে</t>
  </si>
  <si>
    <t>কম্পিউটার ব্যবহার করছি</t>
  </si>
  <si>
    <t>কম্পিউটার ব্যবহার করে যোগাযোগ করছি</t>
  </si>
  <si>
    <t>মোবাইলে গল্প শুনতেছি</t>
  </si>
  <si>
    <t>ক্যারিয়ারে এগিয়ে যাচ্ছি</t>
  </si>
  <si>
    <t>প্রযুক্তি ব্যবহার করা শিখতে হয়</t>
  </si>
  <si>
    <t>প্রিন্টার ব্যবহার করেছি</t>
  </si>
  <si>
    <t>অনলাইনে কেটাকানা করি</t>
  </si>
  <si>
    <t>স্পিকার ব্যবহার করেছি</t>
  </si>
  <si>
    <t>প্রযুক্তি অধ্যবসয়ের ফসল</t>
  </si>
  <si>
    <t>ডাটাবেজে তথ্য আছে</t>
  </si>
  <si>
    <t>ব্লুটোথ ব্যবহার করেছি</t>
  </si>
  <si>
    <t>ছুটিতে ঘুরতে যাইতেছি</t>
  </si>
  <si>
    <t>ফুটবল টুর্নামেন্ট হয়</t>
  </si>
  <si>
    <t>লোনের আবেদন করি</t>
  </si>
  <si>
    <t>বাণিজ্যিক গতি বেড়েছে</t>
  </si>
  <si>
    <t>বিনোদনের আনন্দ খুজি</t>
  </si>
  <si>
    <t>আমি বই পড়ি</t>
  </si>
  <si>
    <t>কলেজ পর্যবেক্ষণ করি</t>
  </si>
  <si>
    <t>গেম ডাউনলোড করেন</t>
  </si>
  <si>
    <t>বিদেশি আমদানি বাড়ে</t>
  </si>
  <si>
    <t>গুগল ইউটিউব কিনেছে</t>
  </si>
  <si>
    <t>দেশ থেকে দেশান্তরে</t>
  </si>
  <si>
    <t>ভার্চুয়ালকিবোর্ড ব্যবহার করেছি</t>
  </si>
  <si>
    <t>ভ্রমণে মনের শান্তি মিলিয়াছে</t>
  </si>
  <si>
    <t>ভ্রমণে মনের শান্তি খুজে পাই</t>
  </si>
  <si>
    <t>হার্ডওয়্যার আপগ্রেড করি</t>
  </si>
  <si>
    <t>ডেস্কটপ ব্যবহার করছি</t>
  </si>
  <si>
    <t>সে এভারেস্ট জয়কারী</t>
  </si>
  <si>
    <t>জরুরি নাম্বার</t>
  </si>
  <si>
    <t>সে পেপার পড়ছে</t>
  </si>
  <si>
    <t>লেপটপ ব্যবহার করেছি</t>
  </si>
  <si>
    <t>দুবাই ভ্রমণ ব্যয়বহুল</t>
  </si>
  <si>
    <t>নগদের ব্যাংকিং নিরাপদ</t>
  </si>
  <si>
    <t>টাচপ্যাড ব্যবহার করি</t>
  </si>
  <si>
    <t>বনে ভাল্লুক দেখেছি</t>
  </si>
  <si>
    <t>সে কোরআন পড়ে</t>
  </si>
  <si>
    <t>কলেজ ভ্রমণ করিয়াছি</t>
  </si>
  <si>
    <t>তারা সফল হচ্ছে</t>
  </si>
  <si>
    <t>কলেজ কেফেটেরিয়ায় যাই</t>
  </si>
  <si>
    <t>আকাশ ভ্রমণ করিতেছি</t>
  </si>
  <si>
    <t>সাগর স্নিগ্ধতা ছড়ায়</t>
  </si>
  <si>
    <t>ব্যাংকিং সুবিধা পাই</t>
  </si>
  <si>
    <t>টাকা উত্তোলন করি</t>
  </si>
  <si>
    <t>টাকা উত্তোলন করে বাড়ি আসিয়াছি</t>
  </si>
  <si>
    <t>রাজনীতি পরিবর্তন হয়েছে</t>
  </si>
  <si>
    <t>তুমি ইতিহাস পড়</t>
  </si>
  <si>
    <t>তুমি ইতিহাস পড়ে অনেক জেনেছ</t>
  </si>
  <si>
    <t>ধারণা উন্নত করছে</t>
  </si>
  <si>
    <t>মেমরিকার্ড ব্যবহার করেছি</t>
  </si>
  <si>
    <t>ব্যাংকিং সুবিধা পাইয়াছি</t>
  </si>
  <si>
    <t>অনলাইন ব্যবসা করতেছি</t>
  </si>
  <si>
    <t>নতুন ক্যামেরা কিনিয়াছে</t>
  </si>
  <si>
    <t>তিনি কবিতা পড়ছেন</t>
  </si>
  <si>
    <t>পরকাল নিয়ে ভাবিয়াছি</t>
  </si>
  <si>
    <t>তুমি সকালে পড়িয়াছো</t>
  </si>
  <si>
    <t>মানুষের কল্যাণেই প্রযুক্তি</t>
  </si>
  <si>
    <t>সফটওয়্যার ডাউনলোড করতেছি</t>
  </si>
  <si>
    <t>সমৃদ্ধি অর্জন করছে</t>
  </si>
  <si>
    <t>বাণিজ্যিক গতি বাড়ছে</t>
  </si>
  <si>
    <t>উন্নয়ন বৃদ্ধি পাচ্ছে</t>
  </si>
  <si>
    <t>এটি ব্যাংক হিসাব</t>
  </si>
  <si>
    <t>মূল্য বৃদ্ধি হচ্ছে</t>
  </si>
  <si>
    <t>ব্যাংক হিসাব খোলা দরকার হচ্ছে</t>
  </si>
  <si>
    <t>মূল্য নির্ধারণ হয়েছে</t>
  </si>
  <si>
    <t>উইনডোস অনেক জনপ্রিয়</t>
  </si>
  <si>
    <t>কলেজে অধ্যয়ন করি</t>
  </si>
  <si>
    <t>আইটি প্রশিক্ষণ নিয়েছি</t>
  </si>
  <si>
    <t>ক্যামেরায় ছবি তুলতে গিয়াছি</t>
  </si>
  <si>
    <t>ভ্রমণে স্মৃতিশক্তি বাড়ে</t>
  </si>
  <si>
    <t>শিক্ষা দান কর</t>
  </si>
  <si>
    <t>দলগুলি সাহায্য করতেছে</t>
  </si>
  <si>
    <t>প্রযুক্তি ব্যবহার হচ্ছে</t>
  </si>
  <si>
    <t>সহজেই ইমেইল পাঠাইতেছি</t>
  </si>
  <si>
    <t>ব্যবসা পরিচালনা করে</t>
  </si>
  <si>
    <t>বইয়ের নাম জানিয়াছি</t>
  </si>
  <si>
    <t>ওয়েবক্যাম ব্যবহার করেছি</t>
  </si>
  <si>
    <t>শিক্ষার্থীরা শরীরচর্চা করে</t>
  </si>
  <si>
    <t>বিজ্ঞানের গবেষনা করেছে</t>
  </si>
  <si>
    <t>সে বই লিখছে</t>
  </si>
  <si>
    <t>শৃঙ্খলাময় জীবনযাপন করতেছি</t>
  </si>
  <si>
    <t>ডিজাইন করছি ওয়েবসাইট</t>
  </si>
  <si>
    <t>নতুন কিছু শেখাই</t>
  </si>
  <si>
    <t>অনলাইনে জোক্স পড়ছি</t>
  </si>
  <si>
    <t>একটি ল্যাপটপ কিনতেছি</t>
  </si>
  <si>
    <t>ইয়াহুর জনপ্রিয়তা কম</t>
  </si>
  <si>
    <t>ইন্টারনেট সময় ব্যয় করছি</t>
  </si>
  <si>
    <t>চীন ঐতিহাসিক দেশ</t>
  </si>
  <si>
    <t>একটি ল্যাপটপ চাই</t>
  </si>
  <si>
    <t>সে নোট লিখিয়াছে</t>
  </si>
  <si>
    <t>নাবিকেরা জাহাজ চালায়</t>
  </si>
  <si>
    <t>নাবিকেরা জাহাজ করে পণ্য নেয়</t>
  </si>
  <si>
    <t>সৌন্দর্য আনন্দ দিচ্ছে</t>
  </si>
  <si>
    <t>সৌন্দর্য সন্ধানে বের হয়েছি</t>
  </si>
  <si>
    <t>আগ্রহ প্রকাশ করি</t>
  </si>
  <si>
    <t>মানুষ এখন মঙ্গলে</t>
  </si>
  <si>
    <t>আমি মক্কায় যাচ্ছি</t>
  </si>
  <si>
    <t>আমি বই পরিয়াছি</t>
  </si>
  <si>
    <t>শিক্ষার্থীরা গল্প পড়িয়াছে</t>
  </si>
  <si>
    <t>মোবাইলে গেম নাই</t>
  </si>
  <si>
    <t>করেন্সির বৃদ্ধি হয়েছে</t>
  </si>
  <si>
    <t>খাদ্য শরীরের পুষ্টি জোগায়</t>
  </si>
  <si>
    <t>খাদ্য শরীরের জ্বালানী</t>
  </si>
  <si>
    <t>টাকা জমা দিন</t>
  </si>
  <si>
    <t>টাকা জমা দিয়ে চলে এসেছি</t>
  </si>
  <si>
    <t>ভ্রমণে আত্মবিশ্বাস বেড়েছে</t>
  </si>
  <si>
    <t>আর্থিক সমৃদ্ধি বেড়েছে</t>
  </si>
  <si>
    <t>ভ্রমণের স্মৃতিশক্তি বেড়েছে</t>
  </si>
  <si>
    <t>বটিম ব্যাবহার নিরাপদ</t>
  </si>
  <si>
    <t>মোবাইল ব্যবহার করেছি</t>
  </si>
  <si>
    <t>মক্কা পবিত্র ভূমি</t>
  </si>
  <si>
    <t>রিমোট ব্যবহার করছি</t>
  </si>
  <si>
    <t>স্কুলে ফুটবল খেলিয়াছি</t>
  </si>
  <si>
    <t>ভ্রমণে সুখী হও</t>
  </si>
  <si>
    <t>হজ্ব করতে যাই</t>
  </si>
  <si>
    <t>সে বই পড়ছে</t>
  </si>
  <si>
    <t>সমুদ্র পাড়ি দিয়েছি</t>
  </si>
  <si>
    <t>প্রযুক্তি জীবনের অংশ</t>
  </si>
  <si>
    <t>প্রযুক্তির জীবন সহজ</t>
  </si>
  <si>
    <t>মসজিদে হেটে যাই</t>
  </si>
  <si>
    <t>আলোচনা বৃদ্ধির হচ্ছে</t>
  </si>
  <si>
    <t>রাইবোজোম প্রোটিন না</t>
  </si>
  <si>
    <t>ওয়েবক্যাম ব্যবহার করি</t>
  </si>
  <si>
    <t>ওয়েবক্যাম ব্যবহার করে মিটিং করছি</t>
  </si>
  <si>
    <t>শিক্ষা সফরে যাই</t>
  </si>
  <si>
    <t>অবসরে কবিতা লিখিতেছি</t>
  </si>
  <si>
    <t>তারা বই পড়ছে</t>
  </si>
  <si>
    <t>উদ্যোগে প্রবর্তন করিয়াছি</t>
  </si>
  <si>
    <t>সি প্রোগ্রামিং সহজ</t>
  </si>
  <si>
    <t>কলেজের হোস্টেলে থাকতেছি</t>
  </si>
  <si>
    <t>ব্যাংক স্থায়ী হচ্ছে</t>
  </si>
  <si>
    <t>ব্যাংক স্থায়ী ব্যবসা প্রতিষ্ঠা হয়েছে</t>
  </si>
  <si>
    <t>ব্যাংক স্থায়ী করা হচ্ছে</t>
  </si>
  <si>
    <t>ব্লকেচেইন কম ব্যায়বহুল</t>
  </si>
  <si>
    <t>স্পিকার ব্যবহার করি</t>
  </si>
  <si>
    <t>আমি প্রোগ্রামিং করেছি</t>
  </si>
  <si>
    <t>সে বই লিখে</t>
  </si>
  <si>
    <t>জোয়ার আসিতেছে সমুদ্রে</t>
  </si>
  <si>
    <t>প্রযুক্তি নির্ভর বিশ্ব</t>
  </si>
  <si>
    <t>সমুদ্রের তীরে ঘুরতেছি</t>
  </si>
  <si>
    <t>সমুদ্রের তীরে বসে তোমায় ভাবছি</t>
  </si>
  <si>
    <t>তারা কাব্য লিখছে</t>
  </si>
  <si>
    <t>ইন্টারনেট বিনিয়োগ করি</t>
  </si>
  <si>
    <t>ই লাইব্রেরির সেবা নাও</t>
  </si>
  <si>
    <t>শান্তি খুঁজে পেয়েছি</t>
  </si>
  <si>
    <t>সহজেই ইমেইল করি</t>
  </si>
  <si>
    <t>টাকা উপার্জন করি</t>
  </si>
  <si>
    <t>তুমি ইতিহাস পড়িয়াছো</t>
  </si>
  <si>
    <t>তুমি ইতিহাস গড়িয়াছ</t>
  </si>
  <si>
    <t>স্কুলে ফুটবল খেলিতেছি</t>
  </si>
  <si>
    <t>টাচপ্যাড ব্যবহার করেছি</t>
  </si>
  <si>
    <t>নতুন ব্লুটুথস্পিকার কিনতেছি</t>
  </si>
  <si>
    <t>নগদ নির্ভরযোগ্য এপ</t>
  </si>
  <si>
    <t>তোমরা সফল হয়েছো</t>
  </si>
  <si>
    <t>স্মার্টটিভি কিনতে চাই</t>
  </si>
  <si>
    <t>স্মার্টটিভি কিনতে গিয়েছি</t>
  </si>
  <si>
    <t>ভ্রমণেই মুক্তি হয়েছে</t>
  </si>
  <si>
    <t>ক্যামেরা কিনতে চায়</t>
  </si>
  <si>
    <t>গুগলে সব খুঁজি</t>
  </si>
  <si>
    <t>খাদ্য হলো মেডিসিন</t>
  </si>
  <si>
    <t>সমস্যার সমাধান পাইতেছি</t>
  </si>
  <si>
    <t>ফুটবল টুর্নামেন্ট হইতেছে</t>
  </si>
  <si>
    <t>মিডিয়ায় সময় কাটাই</t>
  </si>
  <si>
    <t>কলেজে অধ্যয়ন করিয়াছি</t>
  </si>
  <si>
    <t>ক্যাম্পাস সৌন্দর্য হয়েছে</t>
  </si>
  <si>
    <t>আমরা গবেষণা করতেছি</t>
  </si>
  <si>
    <t>আমরা গবেষণার সাথে জড়িত আছি</t>
  </si>
  <si>
    <t>বিদ্যার দ্বার খোলা</t>
  </si>
  <si>
    <t>ইন্টারনেটে সংগীত শোনতেছি</t>
  </si>
  <si>
    <t>মিটিংয়ে অংশ নিয়েছি</t>
  </si>
  <si>
    <t>মোবাইল ব্যবহার করি</t>
  </si>
  <si>
    <t>কিবোর্ড ব্যবহার করেছি</t>
  </si>
  <si>
    <t>সফটওয়্যার ব্যবহার করছি</t>
  </si>
  <si>
    <t>আর্থিক বিকাশ হয়েছে</t>
  </si>
  <si>
    <t>ভ্রমণে মনোবল বাড়তেছে</t>
  </si>
  <si>
    <t>অনলাইন ক্লাস নিচ্ছি</t>
  </si>
  <si>
    <t>ড্রোন ব্যবহার করি</t>
  </si>
  <si>
    <t>বিবিধ খবর ছড়ায়</t>
  </si>
  <si>
    <t>সে ইতিহাস পড়তে বিদ্যালয়ে যায়</t>
  </si>
  <si>
    <t>সংবাদ প্রচার করে</t>
  </si>
  <si>
    <t>রফতানি বৃদ্ধি পাচ্ছে</t>
  </si>
  <si>
    <t>লেপটপে মুভি দেখিয়াছি</t>
  </si>
  <si>
    <t>রকেটে টাকা পাঠাইতেছি</t>
  </si>
  <si>
    <t>বইয়ের নাম জানি</t>
  </si>
  <si>
    <t>চেকবই পরীক্ষা করুন</t>
  </si>
  <si>
    <t>গেম খেলতে আসিতেছি</t>
  </si>
  <si>
    <t>ওয়েবসাইটে খবর পড়ি</t>
  </si>
  <si>
    <t>আরবি শিক্ষা দিতেছি</t>
  </si>
  <si>
    <t>ঢেউ স্নিগ্ধতা ছড়িয়েছে</t>
  </si>
  <si>
    <t>কম্পিউটার গেম খেলতেছি</t>
  </si>
  <si>
    <t>শিক্ষা মূল্যবোধ বাড়ায়</t>
  </si>
  <si>
    <t>মাইনুল গদ্য পড়ছে</t>
  </si>
  <si>
    <t>নতুন গ্যাজেট কিনতেছি</t>
  </si>
  <si>
    <t>নতুন গ্যাজেট অর্ডার করেছি</t>
  </si>
  <si>
    <t>আমি কবিতা পড়িয়াছি</t>
  </si>
  <si>
    <t>গবেষণা প্রস্তুত করি</t>
  </si>
  <si>
    <t>ঐতিহাসিক আলোচনা চলছে</t>
  </si>
  <si>
    <t>অবকাঠামো বৃদ্ধি পাইতেছে</t>
  </si>
  <si>
    <t>বিভিন্ন ব্লগ পড়ি</t>
  </si>
  <si>
    <t>ডাউনলোড করতে চাই</t>
  </si>
  <si>
    <t>ওয়াইফাই ব্যবহার করেছি</t>
  </si>
  <si>
    <t>আমি আলাস্কা যাচ্ছি</t>
  </si>
  <si>
    <t>অবকাঠামোতে পরিবর্তন করেছে</t>
  </si>
  <si>
    <t>বই স্বার্থপর না</t>
  </si>
  <si>
    <t>গহীন অরণ্য সুন্দর</t>
  </si>
  <si>
    <t>আমি সফল হচ্ছি</t>
  </si>
  <si>
    <t>শাহজাহান তাজমহল বানিয়েছেন</t>
  </si>
  <si>
    <t>ভ্রমণে আনন্দ পাইয়াছি</t>
  </si>
  <si>
    <t>গেম খোলা হচ্ছে</t>
  </si>
  <si>
    <t>তিব্বত নেপালে অবস্থিত</t>
  </si>
  <si>
    <t>আমি কাশ্মীর যাচ্ছি</t>
  </si>
  <si>
    <t>রম ব্যবহার করি</t>
  </si>
  <si>
    <t>কলেজ পর্যবেক্ষণ করিয়াছি</t>
  </si>
  <si>
    <t>গুগল টেক জায়ান্ট</t>
  </si>
  <si>
    <t>সহজেই ইমেইল লিখেছি</t>
  </si>
  <si>
    <t>গুগলে সব আছে</t>
  </si>
  <si>
    <t>আমি শব্দ করিয়াছি</t>
  </si>
  <si>
    <t>লোন সুবিধা পাইনা</t>
  </si>
  <si>
    <t>একাউন্ট প্রমাণ দিন</t>
  </si>
  <si>
    <t>সৎ পরামর্শ চাই</t>
  </si>
  <si>
    <t>সে একজন পরিব্রাজক</t>
  </si>
  <si>
    <t>রাজস্ব বৃদ্ধি পাচ্ছে</t>
  </si>
  <si>
    <t>টাকা জমা করছি</t>
  </si>
  <si>
    <t>ধর্মের জ্ঞান কল্যাণের</t>
  </si>
  <si>
    <t>ক্যামেরা কিনতে চাই</t>
  </si>
  <si>
    <t>ভ্রমণ ভালো লাগতেছে</t>
  </si>
  <si>
    <t>আইওটি ব্যবহার করি</t>
  </si>
  <si>
    <t>আমি ভালো বুঝিয়াছি</t>
  </si>
  <si>
    <t>তুমি ভালো ছাত্র</t>
  </si>
  <si>
    <t>ইতিহাস আলোচনা হয়</t>
  </si>
  <si>
    <t>বিনোদনের মাধ্যম প্রযুক্তি</t>
  </si>
  <si>
    <t>উচ্চকৌশলের গেম খেলি</t>
  </si>
  <si>
    <t>খাদ্য শক্তি জুগিয়েছে</t>
  </si>
  <si>
    <t>করেন্সির বৃদ্ধি হইতেছে</t>
  </si>
  <si>
    <t>নিয়মিত কোরআন পড়িতেছি</t>
  </si>
  <si>
    <t>এপ্লিকেশন ইনস্টল করতেছি</t>
  </si>
  <si>
    <t>আমি ইতিহাস পড়াই ছাত্রদের</t>
  </si>
  <si>
    <t>আমি আলাপ করি</t>
  </si>
  <si>
    <t>টাকা উত্তোলন করতেছি</t>
  </si>
  <si>
    <t>আর্থিক সমৃদ্ধির হচ্ছে</t>
  </si>
  <si>
    <t>সৌন্দর্য আনন্দ দিয়েছে</t>
  </si>
  <si>
    <t>সৌন্দর্য জীবনে খুবই দরকার হয়</t>
  </si>
  <si>
    <t>অবসরে কবিতা লিখি</t>
  </si>
  <si>
    <t>অনলাইন বিপণি দেখি</t>
  </si>
  <si>
    <t>স্কুলে ফুটবল খেলি</t>
  </si>
  <si>
    <t>পাহাড়ের চূড়া ভালবাসি</t>
  </si>
  <si>
    <t>পরিশ্রমে সফলতা পাচ্ছে</t>
  </si>
  <si>
    <t>আমি হোমওয়ার্ক করছি</t>
  </si>
  <si>
    <t>লেপটপে সংবাদ দেখি</t>
  </si>
  <si>
    <t>টাকা গণনা করতেছি</t>
  </si>
  <si>
    <t>রাজস্ব বৃদ্ধি পেয়েছে</t>
  </si>
  <si>
    <t>লোন চাওয়া হচ্ছে বাড়ির করার জন্য</t>
  </si>
  <si>
    <t>লোন চাওয়া দিয়ে নতুন গাড়ি কিনব</t>
  </si>
  <si>
    <t>আউটসোর্সিং সেক্টর বাড়ছে</t>
  </si>
  <si>
    <t>উইনডোস জনপ্রিয় হয়েছে</t>
  </si>
  <si>
    <t>লোন চাওয়া দরকার ব্যবসার জন্য</t>
  </si>
  <si>
    <t>বেশি ইন্টারনেট চালিয়েছি</t>
  </si>
  <si>
    <t>আমি বিনোদন পাই</t>
  </si>
  <si>
    <t>গান উপভোগ করিতেছি</t>
  </si>
  <si>
    <t>ছাত্ররা হাডুডু খেলে</t>
  </si>
  <si>
    <t>ব্লকচেইন জনপ্রিয় হচ্ছে</t>
  </si>
  <si>
    <t>ক্যামেরা ব্যবহার করি</t>
  </si>
  <si>
    <t>ব্যবসা করতে চাই</t>
  </si>
  <si>
    <t>শিক্ষা অর্জন করো</t>
  </si>
  <si>
    <t>স্মার্টটিভি ব্যবহার করেছি</t>
  </si>
  <si>
    <t>ইবুক ব্যবহার করেছি</t>
  </si>
  <si>
    <t>ডিজিটাল পড়ুয়ালে পড়ি</t>
  </si>
  <si>
    <t>কম্পিউটারের ক্লাস করতেছি</t>
  </si>
  <si>
    <t>অবকাঠামো বৃদ্ধি পাচ্ছে</t>
  </si>
  <si>
    <t>গরীবকে দান করি</t>
  </si>
  <si>
    <t>কলেজে ছাত্ররা খেলেতেছি</t>
  </si>
  <si>
    <t>সকলের ভালোবাসা আছে</t>
  </si>
  <si>
    <t>কম্পিউটারের ক্লাস করিয়াছে</t>
  </si>
  <si>
    <t>সহজেই ইমেইল পাঠাই</t>
  </si>
  <si>
    <t>সে পেপার পড়ে</t>
  </si>
  <si>
    <t>তুমি নোট লেখো</t>
  </si>
  <si>
    <t>ডিজিটাল গেম খেলতেছি</t>
  </si>
  <si>
    <t>ফুটবল টুর্নামেন্ট হয়েছে</t>
  </si>
  <si>
    <t>ই বুকের ওজন কম</t>
  </si>
  <si>
    <t>নিয়মিত কোরআন পড়িয়াছি</t>
  </si>
  <si>
    <t>আইনের প্রস্তুতি নেয়</t>
  </si>
  <si>
    <t>আমি বই পড়িয়াছি</t>
  </si>
  <si>
    <t>ভাল প্রশংসা পাই</t>
  </si>
  <si>
    <t>ওয়েবক্যাম ব্যবহার করতেছি</t>
  </si>
  <si>
    <t>শৃঙ্খলাময় জীবনযাপন করি</t>
  </si>
  <si>
    <t>রাজনৈতিক আলোচনা করেছেন</t>
  </si>
  <si>
    <t>সিলেটের বাগানের চা</t>
  </si>
  <si>
    <t>প্রযুক্তির হাতে দুনিয়া</t>
  </si>
  <si>
    <t>কলেজ কেফেটেরিয়ায় খাইয়াছি</t>
  </si>
  <si>
    <t>টাকা উত্তোলন করিয়াছি</t>
  </si>
  <si>
    <t>ব্যাংকিং কাজ করি</t>
  </si>
  <si>
    <t>এপলফোন ব্যবহার করেছি</t>
  </si>
  <si>
    <t>ব্যাংক সার্ভিস দিয়েছি</t>
  </si>
  <si>
    <t>মিটিংয়ে যোগদান করছি</t>
  </si>
  <si>
    <t>ছুটিতে ঘুরতে যাই</t>
  </si>
  <si>
    <t>ব্যাংক গ্রাহক আসে</t>
  </si>
  <si>
    <t>তুমি স্কুলে যাও</t>
  </si>
  <si>
    <t>ওয়েবসাইট তৈরি করছি</t>
  </si>
  <si>
    <t>ট্যাব ব্যবহার করি</t>
  </si>
  <si>
    <t>গ্যাজেট কিনতে চেয়েছি</t>
  </si>
  <si>
    <t>এলাচ ওজন কমায়</t>
  </si>
  <si>
    <t>ইবুক ব্যবহার করতে সময় প্রয়োজন</t>
  </si>
  <si>
    <t>লেপটপে মুভি দেখতেছি</t>
  </si>
  <si>
    <t>বাংলাদেশ নদীমাতৃক দেশ</t>
  </si>
  <si>
    <t>একাউন্ট খোলা হচ্ছে</t>
  </si>
  <si>
    <t>আমার পড়তে ভালোলাগে</t>
  </si>
  <si>
    <t>ক্যামেরা ব্যবহার করছি</t>
  </si>
  <si>
    <t>সে টেনিস খেলিয়াছে</t>
  </si>
  <si>
    <t>তারা কাব্য লিখেছে</t>
  </si>
  <si>
    <t>ভ্রমণ ভালো লাগে</t>
  </si>
  <si>
    <t>নতুন স্মার্টফোন চাই</t>
  </si>
  <si>
    <t>তারা জাভা প্রোগ্রামার</t>
  </si>
  <si>
    <t>সে রচনা লিখছে</t>
  </si>
  <si>
    <t>এপ্লিকেশন ইনস্টল করি</t>
  </si>
  <si>
    <t>ওয়াইফাই ব্যবহার করছি</t>
  </si>
  <si>
    <t>বাংলায় ব্লগ লেখি</t>
  </si>
  <si>
    <t>আমি সমুদ্রস্নান করেছি</t>
  </si>
  <si>
    <t>অবকাঠামোতে পরিবর্তন করতেছে</t>
  </si>
  <si>
    <t>কিবোর্ড সংযোজন করি</t>
  </si>
  <si>
    <t>হেডফোন ব্যবহার করছি</t>
  </si>
  <si>
    <t>সরকার গঠন করে</t>
  </si>
  <si>
    <t>মোবাইল ব্যাংকিং করি</t>
  </si>
  <si>
    <t>উন্নতি দেখতে চাচ্ছি</t>
  </si>
  <si>
    <t>আকাশ গবেষণা ব্যয়বহুল</t>
  </si>
  <si>
    <t>ল্যাপটপ হ্যাক করতেছি</t>
  </si>
  <si>
    <t>সবাই খেলা দেখতেছে</t>
  </si>
  <si>
    <t>ফাইল সেভ করছি</t>
  </si>
  <si>
    <t>আর্থিক সমৃদ্ধি হয়</t>
  </si>
  <si>
    <t>আইপ্যাড ব্যবহার করছি</t>
  </si>
  <si>
    <t>তুমি ইংরেজি পড়</t>
  </si>
  <si>
    <t>ব্লুটোথ ব্যবহার করি</t>
  </si>
  <si>
    <t>স্মার্টফোন ব্যবহার করার জন্য সময় প্রয়োজন</t>
  </si>
  <si>
    <t>স্মার্টফোন ব্যবহার করে অনেক কিছু শিখছি</t>
  </si>
  <si>
    <t>বাংলায় ব্লগ লেখছি</t>
  </si>
  <si>
    <t>নিয়মিত শরীরচর্চা করি</t>
  </si>
  <si>
    <t>কর্মচারীদের মান বেড়েছে</t>
  </si>
  <si>
    <t>স্পিকার ব্যবহার করছি</t>
  </si>
  <si>
    <t>প্রধানমন্ত্রী আলোচনা করছেন</t>
  </si>
  <si>
    <t>স্মার্টওয়াচ ব্যবহার করছি</t>
  </si>
  <si>
    <t>ক্রেডিট কার্ড হয়েছে</t>
  </si>
  <si>
    <t>সে ওয়েবসাইট বানিয়েছে</t>
  </si>
  <si>
    <t>ফেসবুক যোগাযোগ মাধ্যম</t>
  </si>
  <si>
    <t>সফটওয়্যার ডেভেলপ করছি</t>
  </si>
  <si>
    <t>লোকজন সমুদ্রপাড়ে ঘুরেছে</t>
  </si>
  <si>
    <t>বিজ্ঞানের শাখা প্রযুক্তি</t>
  </si>
  <si>
    <t>তুমি সংখ্যা শিখিয়াছো</t>
  </si>
  <si>
    <t>তুমি নোট লিখতেছো</t>
  </si>
  <si>
    <t>গবেষণা প্রকাশ করতেছি</t>
  </si>
  <si>
    <t>ভ্রমনে আত্মবিশ্বাস বেড়েছে</t>
  </si>
  <si>
    <t>রিমোট ব্যবহার করেছি</t>
  </si>
  <si>
    <t>গুগলের কর্মচারীরা দক্ষ</t>
  </si>
  <si>
    <t>ভ্রমণে একক ইচ্ছা</t>
  </si>
  <si>
    <t>কিবোর্ডটি ব্যাবহার করছি</t>
  </si>
  <si>
    <t>ক্যামেরায় ছবি তুলি</t>
  </si>
  <si>
    <t>লিনাক্স অপারেটিং সিস্টেম</t>
  </si>
  <si>
    <t>ইন্টারনেটে খবর পড়িয়াছি</t>
  </si>
  <si>
    <t>শৃঙ্খলাময় জীবনযাপন করিয়াছি</t>
  </si>
  <si>
    <t>আমরা গবেষণা করছি</t>
  </si>
  <si>
    <t>আমরা গবেষণা প্রণোদনা পেয়েছি</t>
  </si>
  <si>
    <t>মুল্য বাড়ছে বাজারে</t>
  </si>
  <si>
    <t>শিক্ষকরা গবেষণা করেছে</t>
  </si>
  <si>
    <t>ভ্রমণ উপভোগ করি</t>
  </si>
  <si>
    <t>মানুষেরা মিলিত হয়েছে</t>
  </si>
  <si>
    <t>মেধার বিকাশেই বই</t>
  </si>
  <si>
    <t>তুমি গণিত করো</t>
  </si>
  <si>
    <t>তুমি সংখ্যা শিখছো</t>
  </si>
  <si>
    <t>মুল্য বাড়ছিল বাজারে</t>
  </si>
  <si>
    <t>সংবাদ প্রচার করতেছে</t>
  </si>
  <si>
    <t>কলেজে খেলাধুলা করিয়াছি</t>
  </si>
  <si>
    <t>সফটওয়্যার ডাউনলোড করতে অনেক সময়ের প্রয়োজন</t>
  </si>
  <si>
    <t>পণ্য প্রবর্তন হচ্ছে</t>
  </si>
  <si>
    <t>ব্লুটুথস্পিকারে গান শুনতেছি</t>
  </si>
  <si>
    <t>ব্যাকরণে সন্ধি কঠিন</t>
  </si>
  <si>
    <t>ব্যাকরণে সন্ধি পড়তে চাইনা</t>
  </si>
  <si>
    <t>ইরিডার ব্যবহার করছি</t>
  </si>
  <si>
    <t>গুগলে অনুসন্ধান করি</t>
  </si>
  <si>
    <t>সে কোরআন পড়িয়াছে</t>
  </si>
  <si>
    <t>বার্তা পাঠাচ্ছি প্রতিদিন</t>
  </si>
  <si>
    <t>পাসবুক আবশ্যক দলিল</t>
  </si>
  <si>
    <t>একটি ল্যাপটপ কিনি</t>
  </si>
  <si>
    <t>সে সংখ্যা শিখছে</t>
  </si>
  <si>
    <t>তাজমহল দেখতে চেয়েছি</t>
  </si>
  <si>
    <t>সে রচনা লিখিয়াছে</t>
  </si>
  <si>
    <t>সে গণিত করিয়াছে</t>
  </si>
  <si>
    <t>প্রধানমন্ত্রীর বৈঠক হয়েছে</t>
  </si>
  <si>
    <t>সুবিধা পেতে একাউন্ট আপডেট রাখুন সবসময়ই</t>
  </si>
  <si>
    <t>ব্যাংকে লোন কমছে</t>
  </si>
  <si>
    <t>আমি রেইনফরেস্ট গিয়েছি</t>
  </si>
  <si>
    <t>গুগলের ফোন দামি</t>
  </si>
  <si>
    <t>টাকা জমানোর জন্য একাউন্ট খুলতে যাচ্ছি</t>
  </si>
  <si>
    <t>কাশ্মীর পৃথিবীর ভূস্বর্গ</t>
  </si>
  <si>
    <t>ক্রেডিট কার্ড আছে</t>
  </si>
  <si>
    <t>সে পেপার পড়েছে</t>
  </si>
  <si>
    <t>শিক্ষকরা পরিশ্রম করছে</t>
  </si>
  <si>
    <t>নির্মূল হচ্ছে কারখানা</t>
  </si>
  <si>
    <t>প্রযুক্তির একক সৃজনশীলতা</t>
  </si>
  <si>
    <t>বিরুদ্ধে কথা বলে</t>
  </si>
  <si>
    <t>বাজারে কম্পাইলার অনেক</t>
  </si>
  <si>
    <t>আমি উদাহরণ নিচ্ছি</t>
  </si>
  <si>
    <t>উইনডোস জনপ্রিয় হচ্ছে</t>
  </si>
  <si>
    <t>ডিজিটাল মিটার ঝামেলা</t>
  </si>
  <si>
    <t>রম ব্যবহার করছি</t>
  </si>
  <si>
    <t>ওয়াইফাই ব্যবহার করি</t>
  </si>
  <si>
    <t>আরবি শিক্ষা দিয়েছি</t>
  </si>
  <si>
    <t>ডেস্কটপ ব্যবহার করেছি</t>
  </si>
  <si>
    <t>রম ব্যবহার করেছি</t>
  </si>
  <si>
    <t>শিক্ষা দারিদ্র্যতা কমায়</t>
  </si>
  <si>
    <t>রোগ নির্ণয় হচ্ছে</t>
  </si>
  <si>
    <t>নিয়মিত খেলা দেখছি</t>
  </si>
  <si>
    <t>ব্যাংক সার্ভিস দেই</t>
  </si>
  <si>
    <t>ভ্রমণে আত্মবিশ্বাস বাড়ছে</t>
  </si>
  <si>
    <t>ছাত্ররা হাডুডু খেলতেছে</t>
  </si>
  <si>
    <t>নতুন প্রযুক্তি আসছে</t>
  </si>
  <si>
    <t>জিপিএস সেবা দরকারী</t>
  </si>
  <si>
    <t>টাকা জমা করতেছি</t>
  </si>
  <si>
    <t>মোবাইলে গল্প শুনিয়া আনন্দ পাই</t>
  </si>
  <si>
    <t>ভ্রমণের স্মৃতিশক্তি বাড়ছে</t>
  </si>
  <si>
    <t>তুমি সংখ্যা শেখো</t>
  </si>
  <si>
    <t>সে কম্পিউটার শেখে</t>
  </si>
  <si>
    <t>ভ্রমন শুরু করি</t>
  </si>
  <si>
    <t>ইবুক অর্ডার করছি</t>
  </si>
  <si>
    <t>যাকাত প্রদান করিয়াছি</t>
  </si>
  <si>
    <t>মোবাইল ব্যাংকিং করো</t>
  </si>
  <si>
    <t>বাজারে মূল্য কমছে</t>
  </si>
  <si>
    <t>ওয়েবসাইট বিশ্লেষণ করছি</t>
  </si>
  <si>
    <t>ওয়াটসএপ ফেইসবুকের মালিকানাধীন</t>
  </si>
  <si>
    <t>সে রোমাঞ্চকর ভ্রমণকারী</t>
  </si>
  <si>
    <t>হ্যাকারদের সংখ্যা বাড়ছে</t>
  </si>
  <si>
    <t>ভ্রমনে আত্মার শান্তি</t>
  </si>
  <si>
    <t>নিয়মিত খেলা দেখি</t>
  </si>
  <si>
    <t>লেপটপে ছবি আকতেছি</t>
  </si>
  <si>
    <t>ভাল প্রশংসা পাইতেছি</t>
  </si>
  <si>
    <t>সমর্থন প্রকাট হচ্ছে</t>
  </si>
  <si>
    <t>বিভিন্ন ভিডিও দেখছি</t>
  </si>
  <si>
    <t>এখন ভ্রমণ ব্যয়বহুল</t>
  </si>
  <si>
    <t>ল্যাপটপে ছবি দেখিনা</t>
  </si>
  <si>
    <t>রেডিও ব্যবহার করি</t>
  </si>
  <si>
    <t>এপলফোন ব্যবহার করছি</t>
  </si>
  <si>
    <t>উচ্চকৌশলের গেম খেলিতেছি</t>
  </si>
  <si>
    <t>অবসরে শান্তি পেয়েছি</t>
  </si>
  <si>
    <t>অপারেটিং সিস্টেম নিরাপদ</t>
  </si>
  <si>
    <t>কাজ শিখার জন্য নতুন ল্যাপটপ কিনেছি</t>
  </si>
  <si>
    <t>ড্রোন ব্যবহার করেছি</t>
  </si>
  <si>
    <t>অবসরে শান্তি পাইতেছি</t>
  </si>
  <si>
    <t>টাকা উপার্জন করিয়াছি</t>
  </si>
  <si>
    <t>রাওটার ব্যবহার করছি</t>
  </si>
  <si>
    <t>ছাত্রজীবনে কষ্ট করতেছি</t>
  </si>
  <si>
    <t>খাদ্য ক্ষয়পূরণ করেছে</t>
  </si>
  <si>
    <t>সমুদ্র ভ্রমণ ভালোবাসি</t>
  </si>
  <si>
    <t>একটি কোর্স করছি</t>
  </si>
  <si>
    <t>নিয়মিত ভিডিও দেই</t>
  </si>
  <si>
    <t>সালাত আদায় করিয়াছি</t>
  </si>
  <si>
    <t>ক্রেডিট ব্যবহার করুন</t>
  </si>
  <si>
    <t>খাদ্যের উপাদান ছয়টি</t>
  </si>
  <si>
    <t>খাদ্যের উপাদান ঠিকমত জানা আছে</t>
  </si>
  <si>
    <t>গহিন অরণ্য সুন্দর</t>
  </si>
  <si>
    <t>নিয়মিত কোরআন পড়ি</t>
  </si>
  <si>
    <t>সাগর স্নিগ্ধতা ছড়াচ্ছে</t>
  </si>
  <si>
    <t>টেলিভিশনে সংবাদ দেখছি</t>
  </si>
  <si>
    <t>অনলাইনে কোর্স করছি</t>
  </si>
  <si>
    <t>প্রধানমন্ত্রীর বৈঠক হয়</t>
  </si>
  <si>
    <t>পড়াশোনায় ভাল করিয়াছি</t>
  </si>
  <si>
    <t>ভ্রমণকারীর সমার্থক পরিব্রাজক</t>
  </si>
  <si>
    <t>ভাল প্রশংসা পেয়েছি</t>
  </si>
  <si>
    <t>ফুল মুগ্ধতা ছড়ায়</t>
  </si>
  <si>
    <t>বিজ্ঞানের গবেষনা করে</t>
  </si>
  <si>
    <t>ভ্রমণে আনন্দ পাই</t>
  </si>
  <si>
    <t>কম্পিউটার বাইনারি বোঝে</t>
  </si>
  <si>
    <t>বাইনারির বেজ দুই</t>
  </si>
  <si>
    <t>সে সফল হচ্ছে</t>
  </si>
  <si>
    <t>সালাত আদায় করতেছি</t>
  </si>
  <si>
    <t>অবসরে কবিতা লিখিয়াছি</t>
  </si>
  <si>
    <t>আমি ইংরেজি পড়ি</t>
  </si>
  <si>
    <t>সফটওয়্যার ব্যবহার করতেছি</t>
  </si>
  <si>
    <t>আমি ইংরেজি পড়ছি</t>
  </si>
  <si>
    <t>কলেজ কেফেটেরিয়ায় খাই</t>
  </si>
  <si>
    <t>লেপটপে মুভি দেখি</t>
  </si>
  <si>
    <t>অ্যাপস আপডেট হচ্ছে</t>
  </si>
  <si>
    <t>সমুদ্রের ঝিনুক খুঁজেছি</t>
  </si>
  <si>
    <t>সমুদ্রের ঝিনুক দিয়ে মালা বানিয়েছি</t>
  </si>
  <si>
    <t>হিসাব স্টেটমেন্ট করুন</t>
  </si>
  <si>
    <t>ভ্রমণে সুখী হয়েছে</t>
  </si>
  <si>
    <t>নেক্সসে লেনদেন করো</t>
  </si>
  <si>
    <t>একাউন্ট ব্যালেন্স জমাই</t>
  </si>
  <si>
    <t>ব্যবসা পরিচালনা করেতেছে</t>
  </si>
  <si>
    <t>ফুল সুগন্ধ ছড়িয়েছে</t>
  </si>
  <si>
    <t>সংগঠনে কাজ করি</t>
  </si>
  <si>
    <t>নতুন ল্যাপটপ কিনে দিতে চাই তোমাকে</t>
  </si>
  <si>
    <t>স্পেনের ইতিহাস সমৃদ্ধ</t>
  </si>
  <si>
    <t>ভিডিও ভার্তা পাঠাচ্ছি</t>
  </si>
  <si>
    <t>প্রজন্মের সমৃদ্ধি পেয়েছ</t>
  </si>
  <si>
    <t>ফাইল সেভ করি</t>
  </si>
  <si>
    <t>ইন্টারনেটে তথ্য পাঠাই</t>
  </si>
  <si>
    <t>আমি সমুদ্রস্নান করতেছি</t>
  </si>
  <si>
    <t>ব্যাংক সাপোর্ট দিয়েছে</t>
  </si>
  <si>
    <t>সার্ভার ব্যবহার করি</t>
  </si>
  <si>
    <t>একাউন্ট বিনিময় করুন</t>
  </si>
  <si>
    <t>ব্যাংকসেবা গ্রহণ করিতেছি</t>
  </si>
  <si>
    <t>ব্যাংক পরীক্ষা দেই</t>
  </si>
  <si>
    <t>ইবুক অর্ডার করেছি</t>
  </si>
  <si>
    <t>কলেজে ছাত্ররা খেলিয়াছে</t>
  </si>
  <si>
    <t>স্যাটেলাইট ব্যয়বহুল জিনিস</t>
  </si>
  <si>
    <t>শিক্ষকরা গবেষণা করতেছে</t>
  </si>
  <si>
    <t>শিক্ষকরা গবেষণার বিশাল আয়োজন করেছে</t>
  </si>
  <si>
    <t>ফুল সুগন্ধ ছড়ায়</t>
  </si>
  <si>
    <t>আউটসোর্সিং কাজ আসছে</t>
  </si>
  <si>
    <t>সবসময় ফুটবল ভালবাসি</t>
  </si>
  <si>
    <t>নিয়মিত শরীরচর্চা করিয়াছি</t>
  </si>
  <si>
    <t>খেলাধুলায় শরীরচর্চা হয়</t>
  </si>
  <si>
    <t>বিকশে প্রতারক আছে</t>
  </si>
  <si>
    <t>বিদ্যা অর্জন প্রয়োজন</t>
  </si>
  <si>
    <t>জিপিএস চালু করো</t>
  </si>
  <si>
    <t>আমি ভালো বুঝিতেছি</t>
  </si>
  <si>
    <t>ই বুকে বই পড়ো</t>
  </si>
  <si>
    <t>তুমি সকালে পড়ছো</t>
  </si>
  <si>
    <t>নতুন গেমিংমাউস চাই</t>
  </si>
  <si>
    <t>নেক্সাস ব্যাবহার সহজ</t>
  </si>
  <si>
    <t>আমি চিন্তা করিতেছি</t>
  </si>
  <si>
    <t>ভ্রমণ উপভোগ করছি</t>
  </si>
  <si>
    <t>সুন্দরবনে মধু আছে</t>
  </si>
  <si>
    <t>ঢেউ মুগ্ধতা ছড়ায়</t>
  </si>
  <si>
    <t>প্রধানমন্ত্রীর বৈঠক হচ্ছে</t>
  </si>
  <si>
    <t>পড়াশোনা উন্নতির মাধ্যম</t>
  </si>
  <si>
    <t>আমরা বিজ্ঞান পড়ছি</t>
  </si>
  <si>
    <t>ব্যাংকসেবা গ্রহণ করি</t>
  </si>
  <si>
    <t>ইতিহাস আলোচনা হচ্ছে</t>
  </si>
  <si>
    <t>ল্যাপটপ ব্যবহার করছি</t>
  </si>
  <si>
    <t>আমি তাজমহলে যাচ্ছি</t>
  </si>
  <si>
    <t>ভ্রমণেই মুক্তি মিলছে</t>
  </si>
  <si>
    <t>আমরা সফল হচ্ছি</t>
  </si>
  <si>
    <t>ব্যাংকসেবা গ্রহণ করেছি</t>
  </si>
  <si>
    <t>সে উদাহরণ নিচ্ছে</t>
  </si>
  <si>
    <t>লোকেরা স্বনিযুক্ত হচ্ছে</t>
  </si>
  <si>
    <t>খবর পড়ছি এখন</t>
  </si>
  <si>
    <t>কলেজে অধ্যয়ন করতেছি</t>
  </si>
  <si>
    <t>স্টেটমেন্ট প্রিন্ট করুন</t>
  </si>
  <si>
    <t>ইতিহাস আলোচনা হয়েছে</t>
  </si>
  <si>
    <t>ই বুকের সাইজ ছোট</t>
  </si>
  <si>
    <t>খেলাধুলায় শরীরচর্চা হয়েছে</t>
  </si>
  <si>
    <t>আয়োডিনে মাথা খোলে</t>
  </si>
  <si>
    <t>ভ্রমণে কর্মদক্ষতা বেড়েছে</t>
  </si>
  <si>
    <t>বাজারের খাবারে ভেজাল</t>
  </si>
  <si>
    <t>ব্যাংক সুবিধা দেয়</t>
  </si>
  <si>
    <t>ঋণ প্রদান হচ্ছে</t>
  </si>
  <si>
    <t>বাজারে মুল্য বেড়েছে</t>
  </si>
  <si>
    <t>শিক্ষা শক্তির উৎস</t>
  </si>
  <si>
    <t>লেপটপে গান শুনতেছি</t>
  </si>
  <si>
    <t>আলোচনা চলছে জনগণের</t>
  </si>
  <si>
    <t>যাকাত প্রদান করিতেছি</t>
  </si>
  <si>
    <t>শেখার চেষ্টা করি</t>
  </si>
  <si>
    <t>ক্যামেরা ব্যবহার করা শিখতেছি</t>
  </si>
  <si>
    <t>শিক্ষার্থীরা পরিশ্রমে করতেছে</t>
  </si>
  <si>
    <t>সময়ের সাথে আছি</t>
  </si>
  <si>
    <t>ভ্রমণে আনন্দ পাইতেছি</t>
  </si>
  <si>
    <t>সময়মত খাবার খাও</t>
  </si>
  <si>
    <t>ছাত্ররা পড়াশোনায় ভাল</t>
  </si>
  <si>
    <t>গ্যাজেট কিনতে চাচ্ছি</t>
  </si>
  <si>
    <t>সামাজিক আলোচনা চলে</t>
  </si>
  <si>
    <t>প্যান ব্যবহার করি</t>
  </si>
  <si>
    <t>মহাকাশে রকেট গিয়েছে</t>
  </si>
  <si>
    <t>প্রযুক্তি সভ্যতার আশীর্বাদ</t>
  </si>
  <si>
    <t>লেপটপ ব্যবহার করি</t>
  </si>
  <si>
    <t>রাজস্ব বৃদ্ধি হচ্ছে</t>
  </si>
  <si>
    <t>অ্যাপস ব্যবহার করিতেছি</t>
  </si>
  <si>
    <t>ভ্রমণে মনোবল বাড়িয়াছে</t>
  </si>
  <si>
    <t>সে ইতিহাস পড়ে</t>
  </si>
  <si>
    <t>ভ্রমণে কর্মদক্ষতা বাড়ে</t>
  </si>
  <si>
    <t>রোবট ব্যবহার করছি</t>
  </si>
  <si>
    <t>পড়াশোনায় ভাল করতেছি</t>
  </si>
  <si>
    <t>অনলাইন প্রশিক্ষণ করতেছি</t>
  </si>
  <si>
    <t>পরিবারে যোগাযোগ করছি</t>
  </si>
  <si>
    <t>সময় নষ্ট করি</t>
  </si>
  <si>
    <t>খাদ্য শক্তি জোগাচ্ছে</t>
  </si>
  <si>
    <t>গ্লুকোজ হলো পরিপেষক</t>
  </si>
  <si>
    <t>স্যাটেলাইট জটিল প্রযুক্তি</t>
  </si>
  <si>
    <t>ইন্টারনেট ব্যবসা শিখতেছি</t>
  </si>
  <si>
    <t>কৃষি উন্নত হচ্ছে</t>
  </si>
  <si>
    <t>আর্থিক উন্নতি করে</t>
  </si>
  <si>
    <t>হিমালয় কন্যা কাঞ্চনজঙ্ঘা</t>
  </si>
  <si>
    <t>প্রযুক্তি সর্বদাই পরিবর্তনশীল</t>
  </si>
  <si>
    <t>শেয়ার করতে পারি</t>
  </si>
  <si>
    <t>সারিবদ্ধ হয়ে ঘুরেছে</t>
  </si>
  <si>
    <t>আমি আলাপ করিয়াছি</t>
  </si>
  <si>
    <t>ক্যামেরা কিনতে চাইতেছে</t>
  </si>
  <si>
    <t>সময়মত খাবার খেয়েছি</t>
  </si>
  <si>
    <t>ওয়েবরাইটার ব্যবহার করেছি</t>
  </si>
  <si>
    <t>হেডফোন কিনতে চাচ্ছি</t>
  </si>
  <si>
    <t>সে ইংরেজি পড়ে</t>
  </si>
  <si>
    <t>ক্রিকেট পছন্দ করিতেছি</t>
  </si>
  <si>
    <t>সরকার গঠন করতে হয়েছে</t>
  </si>
  <si>
    <t>গেমিং মাউস কিনতেছি</t>
  </si>
  <si>
    <t>ভ্রমণে প্রজ্ঞা বাড়ে</t>
  </si>
  <si>
    <t>আমি সংখ্যা শিখি</t>
  </si>
  <si>
    <t>কিওক্রাডাং অনেক সুন্দর</t>
  </si>
  <si>
    <t>তুমি সফল হচ্ছো</t>
  </si>
  <si>
    <t>শিক্ষা আত্মনির্ভর করে</t>
  </si>
  <si>
    <t>কানাডা ভ্রমণ ব্যয়বহুল</t>
  </si>
  <si>
    <t>ক্যামেরা কিনতে চাচ্ছি</t>
  </si>
  <si>
    <t>বনে বাঘ দেখি</t>
  </si>
  <si>
    <t>সবাই ব্যাংকে গিয়েছি</t>
  </si>
  <si>
    <t>একটি কোর্স করি</t>
  </si>
  <si>
    <t>তারা ভ্রমণ করতেছে</t>
  </si>
  <si>
    <t>কলেজ কেফেটেরিয়ায় ঘুরিয়াছি</t>
  </si>
  <si>
    <t>ই বুক ব্যবহার করছি</t>
  </si>
  <si>
    <t>সংবাদ প্রচার করিয়াছে</t>
  </si>
  <si>
    <t>আমি নোট লিখিয়াছি</t>
  </si>
  <si>
    <t>ভ্রমণে পরিবর্তন আসিতেছে</t>
  </si>
  <si>
    <t>পড়ালেখায় মনোযোগ দেই</t>
  </si>
  <si>
    <t>প্রযুক্তির মাধ্যমে শিক্ষা</t>
  </si>
  <si>
    <t>শিক্ষা ভৌতিক উন্নতি</t>
  </si>
  <si>
    <t>পড়ালেখায় মনোযোগ দিয়েছি</t>
  </si>
  <si>
    <t>আনন্দ অনুষ্ঠান হয়</t>
  </si>
  <si>
    <t>ফ্লপিডিস্ক ব্যবহার করেছি</t>
  </si>
  <si>
    <t>দেশে পৌঁছাচ্ছে বিনিয়োগ</t>
  </si>
  <si>
    <t>তিনি কবিতা পড়েন</t>
  </si>
  <si>
    <t>সে ইতিহাস পড়ছে মনোযোগ দিয়ে</t>
  </si>
  <si>
    <t>জীবনে সুবিধা চাই</t>
  </si>
  <si>
    <t>আমি উপন্যাস পড়তেছি</t>
  </si>
  <si>
    <t>টেসলা প্রযুক্তি জায়ান্ট</t>
  </si>
  <si>
    <t>বাড়তি সুবিধা দেয়</t>
  </si>
  <si>
    <t>প্রোডাক্ট উত্পন্ন হচ্ছে</t>
  </si>
  <si>
    <t>আমি স্কুলে যাচ্ছি</t>
  </si>
  <si>
    <t>ভ্রমণে শান্তি পেয়েছি</t>
  </si>
  <si>
    <t>ব্যাংকে পরিদর্শন করি</t>
  </si>
  <si>
    <t>রাজনীতি পরিবর্তন হচ্ছে</t>
  </si>
  <si>
    <t>জিপিএস চালু হয়</t>
  </si>
  <si>
    <t>নিয়মিত ভিডিও দিয়েছি</t>
  </si>
  <si>
    <t>ছেলেটা অনলাইনে আসক্ত</t>
  </si>
  <si>
    <t>শিক্ষায় সমৃদ্ধি হচ্ছে</t>
  </si>
  <si>
    <t>ভ্রমন শুরু করেছি</t>
  </si>
  <si>
    <t>কর্মচারীদের মান বাড়ে</t>
  </si>
  <si>
    <t>ইন্টারনেটে খবর পড়ছি</t>
  </si>
  <si>
    <t>ভ্রমণে আত্মবিশ্বাস বাড়ে</t>
  </si>
  <si>
    <t>তাজমহল দেখতে চাইতেছি</t>
  </si>
  <si>
    <t>বনে ভাল্লুক দেখছি</t>
  </si>
  <si>
    <t>ক্যামেরা ব্যবহার করেছি</t>
  </si>
  <si>
    <t>প্রধানমন্ত্রী আলোচনা করে</t>
  </si>
  <si>
    <t>সফটওয়্যার ট্রায়াল করছি</t>
  </si>
  <si>
    <t>ব্যাংক হিসাব খুলিতেছি</t>
  </si>
  <si>
    <t>প্রজন্মের সমৃদ্ধি পাচ্ছে</t>
  </si>
  <si>
    <t>আর্থিক সমৃদ্ধি হয়েছে</t>
  </si>
  <si>
    <t>এআই প্রোগ্রাম জনপ্রিয়</t>
  </si>
  <si>
    <t>আইটি প্রশিক্ষণ নিচ্ছি</t>
  </si>
  <si>
    <t>সৎ পরামর্শ চেয়েছি</t>
  </si>
  <si>
    <t>দলগুলি মন্নত পেয়েছে</t>
  </si>
  <si>
    <t>টাকা পাঠাই উপায়ে</t>
  </si>
  <si>
    <t>সমস্যার সমাধান পাই</t>
  </si>
  <si>
    <t>আমিষে মজবুত পেশি</t>
  </si>
  <si>
    <t>আমি গল্প পড়তেছি</t>
  </si>
  <si>
    <t>ইমেইল পাঠাতে পারে</t>
  </si>
  <si>
    <t>ভ্রমণ ভালো লেগেছে</t>
  </si>
  <si>
    <t>সে রচনা লেখে</t>
  </si>
  <si>
    <t>তুমি স্কুলে যাচ্ছো</t>
  </si>
  <si>
    <t>আইওটি ব্যবহার করছি</t>
  </si>
  <si>
    <t>ব্যাংকে চাকরি করিয়াছি</t>
  </si>
  <si>
    <t>বিরুদ্ধে কথা বলিয়াছে</t>
  </si>
  <si>
    <t>জিপিএস ব্যবহার করতেছি</t>
  </si>
  <si>
    <t>আমি গল্প পড়িয়াছি</t>
  </si>
  <si>
    <t>ইন্টারনেট ব্যবহার করে পড়াশোনা করছি</t>
  </si>
  <si>
    <t>সমুদ্র ভ্রমণ করিতেছি</t>
  </si>
  <si>
    <t>নতুন ফোন কিনতেছি</t>
  </si>
  <si>
    <t>ভ্রমণ জীবনের অংশ</t>
  </si>
  <si>
    <t>আমি উপন্যাস পড়ি</t>
  </si>
  <si>
    <t>লোন বৃদ্ধি হচ্ছে</t>
  </si>
  <si>
    <t>ফুল পছন্দ করিতেছি</t>
  </si>
  <si>
    <t>উৎপাদনে উন্নতি চাই</t>
  </si>
  <si>
    <t>ক্যামেরায় ছবি তুলছি</t>
  </si>
  <si>
    <t>আমি নোট লিখি</t>
  </si>
  <si>
    <t>বৃদ্ধির প্রক্রিয়া চলছে</t>
  </si>
  <si>
    <t>শিক্ষার সৃষ্টি সমৃদ্ধি</t>
  </si>
  <si>
    <t>রাজনীতি পছন্দ করি</t>
  </si>
  <si>
    <t>টুইটার জনপ্রিয় প্লাটফর্ম</t>
  </si>
  <si>
    <t>উন্নতি করতে চাচ্ছে</t>
  </si>
  <si>
    <t>সরকার সুবিধা দেয়</t>
  </si>
  <si>
    <t>ডাউনলোড করতে চাচ্ছে</t>
  </si>
  <si>
    <t>আমি স্কুলে যাই</t>
  </si>
  <si>
    <t>শিক্ষা সফরে যাইতেছি</t>
  </si>
  <si>
    <t>পেপালে টাকা দাও</t>
  </si>
  <si>
    <t>ছুটিতে ঘুরতে যাইতেছে</t>
  </si>
  <si>
    <t>তুমি বই পড়িয়াছো</t>
  </si>
  <si>
    <t>অক্টালের বেজ আট</t>
  </si>
  <si>
    <t>আমি কাশ্মীর গিয়েছি</t>
  </si>
  <si>
    <t>সে মেধা স্কলার</t>
  </si>
  <si>
    <t>লোন কমে যাচ্ছে</t>
  </si>
  <si>
    <t>স্মার্টটিভি ব্যবহার করছি</t>
  </si>
  <si>
    <t>ব্যাংক সাপোর্ট দেয়</t>
  </si>
  <si>
    <t>লোন সুবিধা নেই</t>
  </si>
  <si>
    <t>একাউন্ট খুলতে এসেছি তোমার জন্য</t>
  </si>
  <si>
    <t>নতুন গ্যাজেট কিনি</t>
  </si>
  <si>
    <t>স্মার্টফোন ব্যবহার করতেছি</t>
  </si>
  <si>
    <t>ভ্রমণে কর্মদক্ষতা বাড়ছে</t>
  </si>
  <si>
    <t>চেক প্রদান করতেছি</t>
  </si>
  <si>
    <t>ক্যারিয়ারে এগিয়ে যাই</t>
  </si>
  <si>
    <t>সে ওয়েবসাইট বানায়</t>
  </si>
  <si>
    <t>রাজনীতি পছন্দ করিতেছি</t>
  </si>
  <si>
    <t>আমি শব্দ করি</t>
  </si>
  <si>
    <t>গ্যাজেট পছন্দ করি</t>
  </si>
  <si>
    <t>শান্তি খুঁজে পাচ্ছি</t>
  </si>
  <si>
    <t>ছেলেমেয়ারা টেনিস খেলে</t>
  </si>
  <si>
    <t>আমরা বিজ্ঞান পড়িয়াছি</t>
  </si>
  <si>
    <t>আমরা আনন্দ খুজিতেছি</t>
  </si>
  <si>
    <t>রকেটে টাকা পাঠাই</t>
  </si>
  <si>
    <t>শিক্ষা আলোর মুখ</t>
  </si>
  <si>
    <t>বিদ্যুতে উৎপাদন বাড়ছে</t>
  </si>
  <si>
    <t>অবকাঠামো বৃদ্ধি পায়</t>
  </si>
  <si>
    <t>সরকার সাহায্য করছে</t>
  </si>
  <si>
    <t>প্রধানমন্ত্রী আলোচনা করেছেন</t>
  </si>
  <si>
    <t>সমুদ্র পাড়ি দিতেছি</t>
  </si>
  <si>
    <t>শিক্ষা সমৃদ্ধি দেয়</t>
  </si>
  <si>
    <t>মিডিয়ায় সময় কাটিয়েছি</t>
  </si>
  <si>
    <t>তুমি ইংরেজি পড়িয়াছো</t>
  </si>
  <si>
    <t>ফোন কিনতে চাচ্ছি</t>
  </si>
  <si>
    <t>পরিশ্রমে সফলতা পায়</t>
  </si>
  <si>
    <t>টাকা উত্তোলন করছি</t>
  </si>
  <si>
    <t>সহজেই ইমেইল লিখতেছি</t>
  </si>
  <si>
    <t>তুমি বই পড়ছো</t>
  </si>
  <si>
    <t>দলগুলি প্রতিস্থাপন করছে</t>
  </si>
  <si>
    <t>আপনি ফলাফল পেয়েছেন</t>
  </si>
  <si>
    <t>একাউন্টে টাকা রাখি</t>
  </si>
  <si>
    <t>নিজেকে সংযোজন করিয়াছি</t>
  </si>
  <si>
    <t>সবাই খেলা দেখিয়াছি</t>
  </si>
  <si>
    <t>পণ্য প্রবর্তন হয়েছে</t>
  </si>
  <si>
    <t>টাচপ্যাড ব্যবহার করছি</t>
  </si>
  <si>
    <t>শিক্ষা সমৃদ্ধি আনে</t>
  </si>
  <si>
    <t>তারা কাব্য লিখে</t>
  </si>
  <si>
    <t>জিপিএস চালু হইতেছে</t>
  </si>
  <si>
    <t>সার্কাস চলছে রাজনীতিতে</t>
  </si>
  <si>
    <t>মিডিয়ায় আনন্দ পাই</t>
  </si>
  <si>
    <t>জিপিএস ব্যবহার করিয়াছি</t>
  </si>
  <si>
    <t>রেডিও বার্তায় সংবাদ জানানো হয় প্রতিদিন</t>
  </si>
  <si>
    <t>জবে যোগদান করেছে</t>
  </si>
  <si>
    <t>শিক্ষার্থীরা গল্প পড়তেছে</t>
  </si>
  <si>
    <t>প্রযুক্তি বুদ্ধির খেলা</t>
  </si>
  <si>
    <t>সে গেম খেলেছে</t>
  </si>
  <si>
    <t>আমি গল্প পড়ি</t>
  </si>
  <si>
    <t>বিরুদ্ধে কথা বলতেছে</t>
  </si>
  <si>
    <t>শিক্ষার্থীরা পরিশ্রম করে</t>
  </si>
  <si>
    <t>রকেট ব্যায়বহুল প্রযুক্তি</t>
  </si>
  <si>
    <t>তোমার বিকাশে সমস্যা</t>
  </si>
  <si>
    <t>পরিচয়পত্র আধুনিক করো</t>
  </si>
  <si>
    <t>টেকনোলজি খোজতে চাই</t>
  </si>
  <si>
    <t>মেমরিকার্ড ব্যবহার করছি</t>
  </si>
  <si>
    <t>বিকাশে টাকা পাঠাইতেছি</t>
  </si>
  <si>
    <t>প্রযুক্তির ব্যাবহার সহজ</t>
  </si>
  <si>
    <t>শিক্ষা মানববুদ্ধি বাড়ায়</t>
  </si>
  <si>
    <t>গুগল ব্যবহার করি</t>
  </si>
  <si>
    <t>অনলাইন কোর্স করাই</t>
  </si>
  <si>
    <t>শিক্ষার্থীরা কবিতা পড়ে</t>
  </si>
  <si>
    <t>আলোচনা হয়েছে জনগণের</t>
  </si>
  <si>
    <t>খবর পড়ি সবসময়</t>
  </si>
  <si>
    <t>চন্দ্রযান তিন ভারতের</t>
  </si>
  <si>
    <t>শিক্ষার্থীরা পরিশ্রমে করিয়াছে</t>
  </si>
  <si>
    <t>ইন্টারনেট ব্যবসা শিখি</t>
  </si>
  <si>
    <t>এমাজন ব্রাজিলে অবস্থিত</t>
  </si>
  <si>
    <t>আজকাল অরাজকতা করে</t>
  </si>
  <si>
    <t>এলাচ ওজন কমাচ্ছে</t>
  </si>
  <si>
    <t>বিতর্কিত বাজার চলছে</t>
  </si>
  <si>
    <t>ভালো বন্ধু খুজি</t>
  </si>
  <si>
    <t>শিক্ষার মান বাড়াও</t>
  </si>
  <si>
    <t>এখন ভ্রমণ যাই</t>
  </si>
  <si>
    <t>একাউন্ট সঠিক করি</t>
  </si>
  <si>
    <t>রাজনীতির বিতর্ক হয়েছে</t>
  </si>
  <si>
    <t>গ্যাজেট পছন্দ করিতেছি</t>
  </si>
  <si>
    <t>বেতন বৃদ্ধি পেয়েছে</t>
  </si>
  <si>
    <t>সমস্যা সমাধান হচ্ছে</t>
  </si>
  <si>
    <t>সৎ পরামর্শ চাইতেছি</t>
  </si>
  <si>
    <t>ইসলামিক জীবন গড়িয়াছি</t>
  </si>
  <si>
    <t>সাজেকে পাহাড় আছে</t>
  </si>
  <si>
    <t>একটি ফোন কিনতেছি</t>
  </si>
  <si>
    <t>শাকসবজি সুরক্ষামূলক খাবার</t>
  </si>
  <si>
    <t>আমি নোট লিখছি</t>
  </si>
  <si>
    <t>তুমি ইংরেজি পড়ছো</t>
  </si>
  <si>
    <t>খেলাধুলায় শরীরচর্চা হইতেছে</t>
  </si>
  <si>
    <t>জ্ঞানে অগ্রসর হও</t>
  </si>
  <si>
    <t>চেক প্রদান করি</t>
  </si>
  <si>
    <t>ইন্টারনেট ইমেইল পড়ি</t>
  </si>
  <si>
    <t>শিক্ষা জীবনের দরজা</t>
  </si>
  <si>
    <t>আমি ইতিহাস পড়ছি</t>
  </si>
  <si>
    <t>সে ব্লগ করতেছে</t>
  </si>
  <si>
    <t>একাউন্ট সৃষ্টি করিয়াছি</t>
  </si>
  <si>
    <t>ব্যাংক যাচাই করুন</t>
  </si>
  <si>
    <t>সার্ভারটি ব্যবহার করছি</t>
  </si>
  <si>
    <t>বার্তা বিনিময় করি</t>
  </si>
  <si>
    <t>সনেট বোঝা কঠিন</t>
  </si>
  <si>
    <t>বিষয় শেখার চেষ্টা করছি</t>
  </si>
  <si>
    <t>গান উপভোগ করিয়াছি</t>
  </si>
  <si>
    <t>ক্লাইড কম্পিটিং ব্যায়বহুল</t>
  </si>
  <si>
    <t>কার্ডে প্রদান করুন</t>
  </si>
  <si>
    <t>ব্যাংকে পরিদর্শন করতেছি</t>
  </si>
  <si>
    <t>বনে বাঘ আছে</t>
  </si>
  <si>
    <t>লোন বর্জন করুন</t>
  </si>
  <si>
    <t>সালাত আদায় করি</t>
  </si>
  <si>
    <t>সে নোট লিখছে</t>
  </si>
  <si>
    <t>তুমি বই পড়ো</t>
  </si>
  <si>
    <t>স্বায়ত্তশাসিত উৎপাদন বাড়ছে</t>
  </si>
  <si>
    <t>জটিল গণণা করি</t>
  </si>
  <si>
    <t>রাজনীতির পথে চলি</t>
  </si>
  <si>
    <t>নতুন ল্যাপটপ কিনতেছি</t>
  </si>
  <si>
    <t>কার্যকরী ভোট দিচ্ছি</t>
  </si>
  <si>
    <t>এখন ওয়েবসাইট চাই</t>
  </si>
  <si>
    <t>শৃঙ্খলার বজায় রাখি</t>
  </si>
  <si>
    <t>ইমেইল করতে পারি</t>
  </si>
  <si>
    <t>আমি শব্দ করিতেছি</t>
  </si>
  <si>
    <t>সবাই ব্যাংকে যাইতেছি</t>
  </si>
  <si>
    <t>শর্করা পুষ্টি উপাদান</t>
  </si>
  <si>
    <t>সুখের উপাদান ভ্রমণ</t>
  </si>
  <si>
    <t>আমি আউটসোর্সিং করি</t>
  </si>
  <si>
    <t>ইন্টারনেটে তথ্য পাঠাচ্ছি</t>
  </si>
  <si>
    <t>ডিজিটাল ক্যামেরা নেই</t>
  </si>
  <si>
    <t>আমি প্রোগ্রামিং করতেছি</t>
  </si>
  <si>
    <t>জীবসত্তা ভ্রমণ প্রিয়</t>
  </si>
  <si>
    <t>ব্যালেন্স চেক করুন</t>
  </si>
  <si>
    <t>একাউন্ট সৃষ্টি করিতেছি</t>
  </si>
  <si>
    <t>ব্যাংক হিসাব করি</t>
  </si>
  <si>
    <t>ভ্রমণেই মুক্তি মেলে</t>
  </si>
  <si>
    <t>কার্ড ব্যবহার করতেছি</t>
  </si>
  <si>
    <t>স্নেহ খাবার দামী</t>
  </si>
  <si>
    <t>রাজনৈতিক আলোচনা করছেন</t>
  </si>
  <si>
    <t>সফটওয়্যার ট্রায়াল করিয়াছি</t>
  </si>
  <si>
    <t>আমি ভ্রমণ করতেছি</t>
  </si>
  <si>
    <t>সে টেনিস খেলে</t>
  </si>
  <si>
    <t>লোকজন সমুদ্রপাড়ে ঘুরে</t>
  </si>
  <si>
    <t>তারা স্কিং করে</t>
  </si>
  <si>
    <t>ব্যাংকিং সুবিধা পাবনা</t>
  </si>
  <si>
    <t>সানিয়া বেডমিন্টন খেলিয়াছে</t>
  </si>
  <si>
    <t>আত্মবিশ্বাসে পড়তে এগিয়ে আসুন</t>
  </si>
  <si>
    <t>মন্ত্রিসভায় দুর্নীতি নিয়ে চর্চা হয়েছে</t>
  </si>
  <si>
    <t>বাজার ভালো চলছে কিনা</t>
  </si>
  <si>
    <t>হাইটেক কম্পানিগুলি ডিজাইন ইনোভেটিভ</t>
  </si>
  <si>
    <t>ভালো ফল করা সফলতা</t>
  </si>
  <si>
    <t>পরিবেশ শিক্ষা প্রকৃতির যত্ন</t>
  </si>
  <si>
    <t>আশা ভোঁসলের সবচেয়ে আদরণীয়</t>
  </si>
  <si>
    <t>হোটেলে পৌঁছাতে সুরক্ষিতভাবে যান</t>
  </si>
  <si>
    <t>সরকার উন্নতি করছে উদ্দীপনা</t>
  </si>
  <si>
    <t>পরীক্ষা দেওয়া জ্ঞানের প্রমাণ</t>
  </si>
  <si>
    <t>একটি প্রাচীন মহাকাব্য পড়ুন</t>
  </si>
  <si>
    <t>খুলনায় শিপইয়ার্ড বিকাশ হচ্ছে</t>
  </si>
  <si>
    <t>কোকোস দ্বীপপুঞ্জ আস্ট্রেলিয়া অংশ</t>
  </si>
  <si>
    <t>বিদ্যার্থীদের উপর প্রভাব ফেলুন</t>
  </si>
  <si>
    <t>গণিতে একটি সহজ সমস্যা</t>
  </si>
  <si>
    <t>আপনার আর্থিক লক্ষ্য স্থির</t>
  </si>
  <si>
    <t>ট্যুরিস্ট বিচার সুস্থ থাকুন</t>
  </si>
  <si>
    <t>ক্রেডিট হিসাব তৈরি করুন</t>
  </si>
  <si>
    <t>কাহিনী উপস্থাপন করা হয়েছে</t>
  </si>
  <si>
    <t>ডিজাইনিং ইন্টারফেসেস এবং ইন্টারয়াকশন ভালো</t>
  </si>
  <si>
    <t>একাধিক ব্যাংক হিসাব রয়েছে</t>
  </si>
  <si>
    <t>বিভিন্ন রাস্তা গন্ধর্বের মতো</t>
  </si>
  <si>
    <t>বিশেষজ্ঞের সাথে আলোচনা করুন</t>
  </si>
  <si>
    <t>স্বাস্থ্য শিক্ষা সুস্থ জীবনযাপন</t>
  </si>
  <si>
    <t>ব্যাংক সাক্ষরিক দরবারের চেয়ারম্যান</t>
  </si>
  <si>
    <t>তালে হচ্ছে সুরের মৌনতা</t>
  </si>
  <si>
    <t>পুরান ধর্মের মন্দির ঘুরুন</t>
  </si>
  <si>
    <t>টেনিস খেলায় আমি প্রফেশনাল</t>
  </si>
  <si>
    <t>মিস্ট্রি ও থ্রিলার মিউজিক</t>
  </si>
  <si>
    <t>প্রেমের অতীত ভবিষ্যত গল্প</t>
  </si>
  <si>
    <t>বাজারে নতুন উৎপাদন আনুন</t>
  </si>
  <si>
    <t>ছুটির দিনে ঘুরতে যাই</t>
  </si>
  <si>
    <t>মোবাইল অ্যাপ্লিকেশন ডেভেলপমেন্ট শুরু হয়েছে সবার জন্য</t>
  </si>
  <si>
    <t>রেলস্টেশনে গাড়ি ভাড়া করুন</t>
  </si>
  <si>
    <t>হিমেল হসানের সঙ্গীত আলোকচিত্র</t>
  </si>
  <si>
    <t>শতরাঙ্গ টুর্নামেন্ট শুরু হতে চলেছে</t>
  </si>
  <si>
    <t>বিজ্ঞান শেখাই প্রযুক্তির সঙ্গে</t>
  </si>
  <si>
    <t>দক্ষিণে সোনার সুস্থ সৈকত</t>
  </si>
  <si>
    <t>চরিত্রে তার মোমেন্ট রয়েছে</t>
  </si>
  <si>
    <t>সাইক্লিং করতে দূরে যাও</t>
  </si>
  <si>
    <t>দৃশ্য সুন্দর ছিল পূর্ণতায়</t>
  </si>
  <si>
    <t>শিক্ষা সমাজ পরিবর্তনের হাতিয়ার</t>
  </si>
  <si>
    <t>তারা নতুন প্রকল্প বাড়াচ্ছে</t>
  </si>
  <si>
    <t>অদ্ভুত সাইন্স ফিকশন চলচ্চিত্র</t>
  </si>
  <si>
    <t>আবারও আপনার বাজেট দেখুন</t>
  </si>
  <si>
    <t>গণিত শখের মধ্যে বোঝা</t>
  </si>
  <si>
    <t>বই পড়তে সুদর্শন প্রয়োজন</t>
  </si>
  <si>
    <t>শিক্ষা মানবতার অগ্রগতির হাতিয়ার</t>
  </si>
  <si>
    <t>শিক্ষার লক্ষ্য পূরণ হোক</t>
  </si>
  <si>
    <t>বৃহত্তর দিকে ট্রাভেল করুন</t>
  </si>
  <si>
    <t>শিক্ষাচর্চায় জীবন সুখী হয়</t>
  </si>
  <si>
    <t>পোশাক উদ্যোগে লব্ধি করুন</t>
  </si>
  <si>
    <t>একটি মুভি দেখার মৌসুম</t>
  </si>
  <si>
    <t>স্মার্ট শহর টেকনোলজি ব্যবহার</t>
  </si>
  <si>
    <t>একাউন্ট স্টেটমেন্ট চেকিং এর কাজ শুরু হয়েছে</t>
  </si>
  <si>
    <t>একাউন্ট স্টেটমেন্ট চেক করুন</t>
  </si>
  <si>
    <t>বৈদেশিক মুদ্রা বিনিময় করুন</t>
  </si>
  <si>
    <t>হিসেব প্রক্রিয়ায় সহায় নিন</t>
  </si>
  <si>
    <t>হকি একটি দ্বিধা খেলা</t>
  </si>
  <si>
    <t>গল্ফ বল ধরতে শেখা</t>
  </si>
  <si>
    <t>বস্তু বিশ্ববিদ্যালয় আইসল্যান্ডে অবস্থিত</t>
  </si>
  <si>
    <t>ফিশিং করতে প্রয়োজন শান্তি</t>
  </si>
  <si>
    <t>টেকনোলজির জন্য শিক্ষা গ্রহণ</t>
  </si>
  <si>
    <t>বেঙ্গালি ফোক সংগীতে মজা</t>
  </si>
  <si>
    <t>আইনশৃঙ্গে যৌথ প্রতিবাদ জোরালো</t>
  </si>
  <si>
    <t>ফিশিং খেলা প্রশান্তির সাথে</t>
  </si>
  <si>
    <t>লোন বিতরণ সুবিধা সারাদিন</t>
  </si>
  <si>
    <t>পথশিশুরা পার্কে খেলা করে</t>
  </si>
  <si>
    <t>টাকা সঞ্চয়ে বৃদ্ধি করুন</t>
  </si>
  <si>
    <t>আসছে নতুন হীরো ছবি</t>
  </si>
  <si>
    <t>সরকারি নীতি ব্যবস্থাপনা প্রয়োজন</t>
  </si>
  <si>
    <t>টেনিস খেলা অত্যন্ত যত্নসাধন</t>
  </si>
  <si>
    <t>ভোট দিন দেশ উন্নত</t>
  </si>
  <si>
    <t>ক্রিকেটে ব্যাট আর বল</t>
  </si>
  <si>
    <t>এমএল এবং ডিপ লার্নিং</t>
  </si>
  <si>
    <t>ক্লাসে মন দিয়ে শুনি</t>
  </si>
  <si>
    <t>মিসুরি নদী উত্তর আমেরিকায়</t>
  </si>
  <si>
    <t>নীতি পরিবর্তন আবশ্যক হচ্ছে</t>
  </si>
  <si>
    <t>প্রতিবছর আয়োজিত সুরময় উৎসব</t>
  </si>
  <si>
    <t>শিক্ষা প্রণালী অনুসরণ করুন</t>
  </si>
  <si>
    <t>একাধিক প্লাটফর্মে ওয়েব হোস্টিং</t>
  </si>
  <si>
    <t>বাজার পরিচিতি পালন করুন</t>
  </si>
  <si>
    <t>হিসাব সহায়ক সোফটওয়্যার ব্যবহার</t>
  </si>
  <si>
    <t>প্রেমে হারিয়ে গেছে তার</t>
  </si>
  <si>
    <t>সুন্দরবনে বন্যা প্রাণী রয়েছে</t>
  </si>
  <si>
    <t>কবির গানে ভাসা জীবন</t>
  </si>
  <si>
    <t>অদ্ভুত চলচ্চিত্র অভিজ্ঞ হোন</t>
  </si>
  <si>
    <t>বাউল গানে ভারতীয় মায়া</t>
  </si>
  <si>
    <t>বাউল গানে আত্মীয়তা বোঝায়</t>
  </si>
  <si>
    <t>ভাইরাল কন্টেন্ট মার্কেটিং ট্রেন্ডস</t>
  </si>
  <si>
    <t>ভ্রমণে নতুন মিত্র প্রাপ্ত</t>
  </si>
  <si>
    <t>মেক্সিকো সিটি উত্তর আমেরিকার</t>
  </si>
  <si>
    <t>সাইফাই মোভিতে বিশেষ প্রভাব</t>
  </si>
  <si>
    <t>যোদ্ধা ছবি মুক্তি পাচ্ছে</t>
  </si>
  <si>
    <t>সোহাগের সঙ্গীতে ভালোবাসা আছে</t>
  </si>
  <si>
    <t>ফসলের সঙ্গীতে সমৃদ্ধি রয়েছে</t>
  </si>
  <si>
    <t>সুরে ভরা রোমান্টিক ভালোবাসা</t>
  </si>
  <si>
    <t>বাজার মূল্য পরিস্থিতি নিন</t>
  </si>
  <si>
    <t>বাজার আচ্ছাদন অবশ্যই করুন</t>
  </si>
  <si>
    <t>মুদ্রা কোণও কমছে না</t>
  </si>
  <si>
    <t>সার্বভৌম ভোট পরিচালনা সহজজনক</t>
  </si>
  <si>
    <t>দরুচ্ছীর শহর পর্যটন করুন</t>
  </si>
  <si>
    <t>সরকার প্রতি দল সমর্থন</t>
  </si>
  <si>
    <t>রাষ্ট্রপতি নির্বাচন চলছে আসন্ন</t>
  </si>
  <si>
    <t>সুরের মাধুর্য আকাশে ভরা</t>
  </si>
  <si>
    <t>লতা মঙ্গেশকর সুর দেয়</t>
  </si>
  <si>
    <t>মেশিন লার্নিং বৃদ্ধি করুন</t>
  </si>
  <si>
    <t>শিক্ষা মানব সমাজ গড়ে</t>
  </si>
  <si>
    <t>কর্পোরেট মান্যবর দরপত্র নিন</t>
  </si>
  <si>
    <t>কার্যদক্ষ এবং ইনোভেটিভ প্রোগ্রামার</t>
  </si>
  <si>
    <t>শহর জুড়ে আলোকচিত্র তৈরি</t>
  </si>
  <si>
    <t>কম্পিউটার গেমিং এবং গেমপ্লে</t>
  </si>
  <si>
    <t>সঙ্গীতে তার দৃঢ় আসক্তি</t>
  </si>
  <si>
    <t>ব্যাডমিন্টন খেলতে আমি চাই</t>
  </si>
  <si>
    <t>বাজার উপযোগী প্রদান করুন</t>
  </si>
  <si>
    <t>রাজনৈতিক দলে বিভাজন প্রস্তুতি</t>
  </si>
  <si>
    <t>ডেবিট কার্ড ব্যবহার করুন</t>
  </si>
  <si>
    <t>বৃষ্টির সময় ছাতা নিয়েছি</t>
  </si>
  <si>
    <t>বাজার শখ বিপুল আছে</t>
  </si>
  <si>
    <t>ট্রেনে পয়েন্টসেট দেখুন সুরক্ষিতভাবে</t>
  </si>
  <si>
    <t>সুমন্ত্রার সুরে ভরা বাংলা</t>
  </si>
  <si>
    <t>নওগাঁয় আঙ্গুর বোঝা জনপ্রিয়</t>
  </si>
  <si>
    <t>সাংসদের সভা অনুষ্ঠিত হয়েছে</t>
  </si>
  <si>
    <t>ব্যবসা চালান ভাল দিকে</t>
  </si>
  <si>
    <t>ভোরে সূর্য পূর্বে উঠে</t>
  </si>
  <si>
    <t>ফুটবল মহিলা দল শক্তিশালী</t>
  </si>
  <si>
    <t>ইন্টারনেটে সহজে সংবাদ পাওয়া</t>
  </si>
  <si>
    <t>সঙ্গীতে তার মন রম</t>
  </si>
  <si>
    <t>ক্যাড ডিজাইন এবং প্রোটোটাইপিং</t>
  </si>
  <si>
    <t>প্রজন্মের সুরক্ষা নিশ্চিত করুন</t>
  </si>
  <si>
    <t>বৃষ্টি ফালিত বৃদ্ধি প্রণালী</t>
  </si>
  <si>
    <t>জনগণের অভিবাদন শোনা গুরুত্বপূর্ণ</t>
  </si>
  <si>
    <t>মৃদঙ্গের ঢেউয়ে দল হচ্ছে</t>
  </si>
  <si>
    <t>সিনেমার কাহিনী খুব মনোহর</t>
  </si>
  <si>
    <t>টেনিস কোর্টে খেলতে ভাল</t>
  </si>
  <si>
    <t>পোশাক শিল্পে উন্নতি হচ্ছে</t>
  </si>
  <si>
    <t>নেতা সভা সম্পন্ন হয়েছে</t>
  </si>
  <si>
    <t>সাংসদের মধ্যে বিতর্ক চলছে</t>
  </si>
  <si>
    <t>অসীম সমুদ্রে ভ্রমণ করুন</t>
  </si>
  <si>
    <t>আপনার নিরীক্ষণ অবস্থা দেখুন</t>
  </si>
  <si>
    <t>আকর্ষণীয় কাহিনী ছবি হয়</t>
  </si>
  <si>
    <t>একটি ব্যক্তিগত ঋণ নিন</t>
  </si>
  <si>
    <t>বাজার মূল্য উচিত রাখুন</t>
  </si>
  <si>
    <t>সাইবার সুরক্ষা প্রশিক্ষণ নিন</t>
  </si>
  <si>
    <t>প্রবাসী কর্মীদের টাকা পাঠান</t>
  </si>
  <si>
    <t>শিক্ষায় মূল্যবোধ মানুষের গঠন</t>
  </si>
  <si>
    <t>একটি উপযুক্ত কমিউনিকেশন নেটওয়ার্ক</t>
  </si>
  <si>
    <t>স্কেটিং করতে আবেগপূর্ণ মুহূর্ত</t>
  </si>
  <si>
    <t>বাংলাদেশে সুন্দরবন মঙ্গল ক্ষেত্র</t>
  </si>
  <si>
    <t>সাংস্কৃতিক ধ্বনিতে ঢাকা বজায়</t>
  </si>
  <si>
    <t>পার্কে শিশুরা খেলা করিয়াছে</t>
  </si>
  <si>
    <t>লেখালেখি করা দক্ষতা বাড়ানো</t>
  </si>
  <si>
    <t>সংগীত কনসার্টে মোহনার স্বরকান্ড</t>
  </si>
  <si>
    <t>ভূতের দিকে হাঁটু চলছে</t>
  </si>
  <si>
    <t>ভ্রমণে সুরক্ষা মেনে চলুন</t>
  </si>
  <si>
    <t>বাজেটে রাজনৈতিক মোদের দায়িত্ব</t>
  </si>
  <si>
    <t>একটি বিখ্যাত নায়িকের প্রস্তুতি</t>
  </si>
  <si>
    <t>ক্লাসিক চলচ্চিত্র দেখা হয়েছে</t>
  </si>
  <si>
    <t>সাইকেল চালাতে ভালো লাগে</t>
  </si>
  <si>
    <t>সে গানে ভরা আছে</t>
  </si>
  <si>
    <t>লোন অনুমোদন প্রদান করুন</t>
  </si>
  <si>
    <t>ডেবিট কার্ড হারিয়েছি আমি</t>
  </si>
  <si>
    <t>মুদ্রা প্রবাহ পরীক্ষা করুন</t>
  </si>
  <si>
    <t>ইংরেজি শেখা গুরুত্বপূর্ণ হয়েছে</t>
  </si>
  <si>
    <t>ইতিহাস শেখা অতীত জানা</t>
  </si>
  <si>
    <t>বিদ্যুৎ সমস্যা ও সরকার</t>
  </si>
  <si>
    <t>বিশ্ব ব্যাংকিং সিস্টেম মডার্নাইজেশন</t>
  </si>
  <si>
    <t>হোম লোন সুবিধা প্রদান</t>
  </si>
  <si>
    <t>অধ্যয়নে উন্নত পদ্ধতি প্রয়োজন</t>
  </si>
  <si>
    <t>প্রেমে পড়ে গিয়ে হ্যাপি</t>
  </si>
  <si>
    <t>আমাদের বিপণি বাড়ছে ভালোভাবে</t>
  </si>
  <si>
    <t>টাকা উত্তোলনে নানা অপশন</t>
  </si>
  <si>
    <t>বরগুনায় কাঁচা মরিচ উৎপাদন</t>
  </si>
  <si>
    <t>কম্পিউটার সাইন্স কৌশল অর্জন</t>
  </si>
  <si>
    <t>বিদেশ হতে আয় বৃদ্ধি</t>
  </si>
  <si>
    <t>ক্লাউড কম্পিউটিং টেকনোলজি এসেন্স</t>
  </si>
  <si>
    <t>তার সুর হৃদয়ে গোঁফল</t>
  </si>
  <si>
    <t>বলিং খেলতে প্রস্তুতি আছে</t>
  </si>
  <si>
    <t>প্রাচীন মন্দিরে পৌঁছানো হোক</t>
  </si>
  <si>
    <t>সমাজসেবা প্রকল্প চালু হচ্ছে</t>
  </si>
  <si>
    <t>রম্য সঙ্গীতে ভালোবাসা উক্তি</t>
  </si>
  <si>
    <t>ব্যাংকিং আইডি প্রয়োজন আছে</t>
  </si>
  <si>
    <t>বিজ্ঞানে উৎকৃষ্টতা অনুষ্ঠান করছে</t>
  </si>
  <si>
    <t>বাজার দক্ষতা বিতর্কে দেখুন</t>
  </si>
  <si>
    <t>সংসদে আলোচনা অবস্থান প্রয়োজন</t>
  </si>
  <si>
    <t>আর্থিক নীতি পরিচালনা করুন</t>
  </si>
  <si>
    <t>শিক্ষক হতে চাই আমি</t>
  </si>
  <si>
    <t>মূল্যতার উচ্চ হোল্ডিং করুন</t>
  </si>
  <si>
    <t>বাংলাদেশে ক্রিকেট খুব পছন্দ</t>
  </si>
  <si>
    <t>একটি ব্যবসায়িক কৌশল বাড়ান</t>
  </si>
  <si>
    <t>রাজনৈতিক দক্ষতা প্রশিক্ষণ প্রয়োজন</t>
  </si>
  <si>
    <t>একাউন্ট স্টেটমেন্ট ইমেইল করুন</t>
  </si>
  <si>
    <t>নীল নীল সাগরে স্নান</t>
  </si>
  <si>
    <t>ক্যামেরার লেন্সে ছবি ধরেছে</t>
  </si>
  <si>
    <t>ব্যবসা প্রস্তুতি নিন ভালোভাবে</t>
  </si>
  <si>
    <t>লোন সুবিধায় চুক্তি করুন</t>
  </si>
  <si>
    <t>শক্তিশালী মূল্য মানা হয়েছে</t>
  </si>
  <si>
    <t>কম্পিউটার ভাষায় প্রোগ্রামিং শেখা</t>
  </si>
  <si>
    <t>প্রযুক্তির সাথে শিক্ষা সমন্বয়</t>
  </si>
  <si>
    <t>আমরা রাতে গাড়িতে যাচ্ছি</t>
  </si>
  <si>
    <t>কম্পিউটার নেটওয়ার্কিং বৃদ্ধি পাচ্ছে</t>
  </si>
  <si>
    <t>রাত্রিতে তারাদেখা অনুভব করুন</t>
  </si>
  <si>
    <t>ছাত্রদের জন্য ওয়েবসাইট তৈরি</t>
  </si>
  <si>
    <t>বাইকে পথ চয়ে যান</t>
  </si>
  <si>
    <t>মুদ্রার বিনিময় হোক সুস্থ</t>
  </si>
  <si>
    <t>ডাটা অ্যানালিটিক্স ব্যবহার করুন</t>
  </si>
  <si>
    <t>সোনার দিনে বাদ্য মঞ্চ</t>
  </si>
  <si>
    <t>ক্রেডিট কার্ড প্রয়োজন হয়েছে</t>
  </si>
  <si>
    <t>পুরাতাত্ত্বিক স্থানে ভ্রমণ করুন</t>
  </si>
  <si>
    <t>বাউল সঙ্গীতে আবেগ আছে</t>
  </si>
  <si>
    <t>সুরে ভাসমান আছে সে</t>
  </si>
  <si>
    <t>বিজ্ঞানে রোগবিদ্যা শেখানো</t>
  </si>
  <si>
    <t>বৃহত্তর নেতৃত্বে দক্ষতা চাই</t>
  </si>
  <si>
    <t>ফুটবলে ব্রাজিল রয়েছে শীর্ষে</t>
  </si>
  <si>
    <t>শিক্ষা সম্পদ সবার অধিকার</t>
  </si>
  <si>
    <t>রাগে ভাসছে সুরের সুন্দরতা</t>
  </si>
  <si>
    <t>ছাত্রদের পড়ালেখা করা গুরুত্বপূর্ণ</t>
  </si>
  <si>
    <t>তালে হচ্ছে বৃষ্টি বর্ষণ</t>
  </si>
  <si>
    <t>সরকারের করোনা সচেতনতা প্রচার</t>
  </si>
  <si>
    <t>রক্তমুক্ত দ্বীপ শ্রীলঙ্কা উত্তরে</t>
  </si>
  <si>
    <t>পুরাতন দরবার দর্শন করুন</t>
  </si>
  <si>
    <t>নৃপতি ও প্রজাতন্ত্র সমর্থন</t>
  </si>
  <si>
    <t>ছাত্রদের উত্সাহী হওয়া প্রয়োজন</t>
  </si>
  <si>
    <t>মোন্টে কার্লো সুইজারল্যান্ডে অবস্থিত</t>
  </si>
  <si>
    <t>টেনিস খেলা সবসময় আকর্ষণশীল</t>
  </si>
  <si>
    <t>স্থানীয় বাজারে ঘুরে আসুন</t>
  </si>
  <si>
    <t>আর্থিক পরিস্থিতি আছে কেমন</t>
  </si>
  <si>
    <t>নেটওয়ার্ক সিকিউরিটি উন্নত করুন</t>
  </si>
  <si>
    <t>মোবাইল ব্যাংকিং চলছে প্রচুর</t>
  </si>
  <si>
    <t>রাজনৈতিক কর্মসূচি জনপ্রিয় হচ্ছে</t>
  </si>
  <si>
    <t>করেন্সি উৎস পর্যালোচনা করুন</t>
  </si>
  <si>
    <t>বাজার বৃদ্ধি আছে কিনা</t>
  </si>
  <si>
    <t>উৎপাদন ও চাষাবাদ উন্নতি</t>
  </si>
  <si>
    <t>ব্যাংকিং সুবিধা সৃষ্টি করুন</t>
  </si>
  <si>
    <t>বাজার পরিস্থিতির প্রস্তুতি করুন</t>
  </si>
  <si>
    <t>অভিনয় একদম পেরফেক্ট ছিল</t>
  </si>
  <si>
    <t>বিশেষ চরিত্রে সুপারস্টার অভিনয়</t>
  </si>
  <si>
    <t>ফুটবল বিশ্বকাপে মজা হয়</t>
  </si>
  <si>
    <t>ব্যাংক শাখা সমর্থন করুন</t>
  </si>
  <si>
    <t>সুপারির মধ্যে ঘুরে আসুন</t>
  </si>
  <si>
    <t>বাস্কেটবলে দক্ষতা উজ্জ্বল করুন</t>
  </si>
  <si>
    <t>হাসির মুডে ভরা ছবি</t>
  </si>
  <si>
    <t>ক্রিকেটে বোলিং দক্ষতা প্রদর্শন</t>
  </si>
  <si>
    <t>হাইব্রিড কাম্পিউটিং প্রযুক্তি অনুসন্ধান</t>
  </si>
  <si>
    <t>বন্ধুবান্ধবীর সাথে হয়ে আসুন</t>
  </si>
  <si>
    <t>আপনার অর্থনীতি পরীক্ষা করুন</t>
  </si>
  <si>
    <t>সরকার প্রকল্পে আরও বৃদ্ধি</t>
  </si>
  <si>
    <t>একটি পুরাতাত্ত্বিক মন্দির দেখুন</t>
  </si>
  <si>
    <t>ডিজাইনিং ক্রিটিক্যাল ইনফরমেশন সিস্টেম</t>
  </si>
  <si>
    <t>কোডিং এবং প্রোগ্রামিং কৌশল</t>
  </si>
  <si>
    <t>উপকূলের মানুষ বিপদে আছে</t>
  </si>
  <si>
    <t>টাকা জমা করুন ব্যাংকে</t>
  </si>
  <si>
    <t>টাকা জমা করতে গ্রাহক এসেছে</t>
  </si>
  <si>
    <t>ডিজিটাল পাঠশালায় পড়াশোনা হয়</t>
  </si>
  <si>
    <t>মহাকালের মন্দির পর্যটন করুন</t>
  </si>
  <si>
    <t>সম্মেলনে বিষয়বস্তু চর্চা হচ্ছে</t>
  </si>
  <si>
    <t>ইষ্টার্ন শ্রুতির মাধুর্য অসীম</t>
  </si>
  <si>
    <t>নোরওয়ে দ্বীপ অনুভূতি পূর্ণ</t>
  </si>
  <si>
    <t>ফুটবল খেলা অসাধারণ হয়েছে</t>
  </si>
  <si>
    <t>অনলাইনে শেখার সুযোগ বাড়ছে</t>
  </si>
  <si>
    <t>উন্নত মেশিন ইন্টেলিজেন্স তৈরি</t>
  </si>
  <si>
    <t>ভোট প্রচুর দল শক্তিশালী</t>
  </si>
  <si>
    <t>সংসদে নোংরা আলোচনা হচ্ছে</t>
  </si>
  <si>
    <t>সহ্যশীল খেলোয়াড় ভালো থাকে</t>
  </si>
  <si>
    <t>ব্যক্তিগত মৌল বিনিয়োগ করুন</t>
  </si>
  <si>
    <t>জিমনাস্টিক্স শেখা মজা করছি</t>
  </si>
  <si>
    <t>অর্থনৈতিক রংতে কাজ করুন</t>
  </si>
  <si>
    <t>সাঁতারে ধারা লেগে গেলো</t>
  </si>
  <si>
    <t>পাঠ্যবই সঠিক ভাবে বুঝুন</t>
  </si>
  <si>
    <t>সামাজিক শিক্ষা সবার জন্য</t>
  </si>
  <si>
    <t>বংশীর সুর সম্ভার করুন</t>
  </si>
  <si>
    <t>এটি একটি নিরাপদ লেনদেন</t>
  </si>
  <si>
    <t>যুক্তরাষ্ট্রে গ্র্যান্ড ক্যানিয়ন রয়েছে</t>
  </si>
  <si>
    <t>বৃদ্ধি আপনার নিজের জন্য</t>
  </si>
  <si>
    <t>টেনিস কোর্টে বল ছোঁয়া</t>
  </si>
  <si>
    <t>সুরে বাধাহীন ভ্রমণ করুন</t>
  </si>
  <si>
    <t>সাইক্লিং করা সৌন্দর্যের সাথে</t>
  </si>
  <si>
    <t>জিমনাস্টিক্স শেখা কঠিন কিছু</t>
  </si>
  <si>
    <t>বিশেষ সফল বক্তব্য ছিলো</t>
  </si>
  <si>
    <t>ভূতের আঁচলে গল্প রয়েছে</t>
  </si>
  <si>
    <t>হকি খেলা আসছে আবার</t>
  </si>
  <si>
    <t>সোকার খেলা অত্যন্ত চিন্তনশীল</t>
  </si>
  <si>
    <t>বৃহত্তর নগরে ভ্রমণ করুন</t>
  </si>
  <si>
    <t>ফুটবলে গোল সৃষ্টি হলো</t>
  </si>
  <si>
    <t>ক্রিকেট ব্যাট করতে বলেছে</t>
  </si>
  <si>
    <t>শ্রমিকদের উৎপাদন শক্তি রয়েছে</t>
  </si>
  <si>
    <t>সরকার বৃদ্ধি করছে উন্নতি</t>
  </si>
  <si>
    <t>হকি খেলার মধ্যে মজা</t>
  </si>
  <si>
    <t>কুমিল্লায় বিশাল হাওড় রয়েছে</t>
  </si>
  <si>
    <t>স্কেটিং এ গুড়ি মিলে</t>
  </si>
  <si>
    <t>রোমান্টিক সাজগোজ হোটেলে থাকুন</t>
  </si>
  <si>
    <t>সানডে বল খেলতে ভালো</t>
  </si>
  <si>
    <t>বিশ্ব অর্থনীতি সমৃদ্ধি হচ্ছে</t>
  </si>
  <si>
    <t>পার্কে মানুষ বিনোদন পাইতেছে</t>
  </si>
  <si>
    <t>চরিত্র বিকাশ বেশ স্বার্থপর</t>
  </si>
  <si>
    <t>শিক্ষা জীবনে একটি মার্গনির্দেশক</t>
  </si>
  <si>
    <t>সুজুকির বৃদ্ধি শহরে ঘুরুন</t>
  </si>
  <si>
    <t>নতুন সাইবার সিকিউরিটি প্রযুক্তি</t>
  </si>
  <si>
    <t>ভূতের গল্প ধরে রাখুন</t>
  </si>
  <si>
    <t>হট এয়ার বেলুনে উড়ুন</t>
  </si>
  <si>
    <t>সাহায্যের জন্য গাইড নিন</t>
  </si>
  <si>
    <t>বিদ্যা আলোকিত করে মন</t>
  </si>
  <si>
    <t>তার হৃদয় সুরে ভরা</t>
  </si>
  <si>
    <t>ই ব্যাংকিং ব্যবহার করুন আপনার</t>
  </si>
  <si>
    <t>বালুচিস্তান দেশের পাশে অবস্থিত</t>
  </si>
  <si>
    <t>ইন্টারনেট কনেক্টেড ডিভাইস বাড়ছে</t>
  </si>
  <si>
    <t>সুরে ভরা সঙ্গীতের জীবন</t>
  </si>
  <si>
    <t>রম্য সঙ্গীতে সুখের ঝর্ণা</t>
  </si>
  <si>
    <t>সুস্বাদু গান ছিলো সত্যিই</t>
  </si>
  <si>
    <t>এটি একটি নতুন ব্যাংক</t>
  </si>
  <si>
    <t>সমর্থন পাচ্ছে নেতা বর্গ</t>
  </si>
  <si>
    <t>কম্পিউটার ফরেন্সিক্স প্রশিক্ষণ কোর্স</t>
  </si>
  <si>
    <t>বিদ্যালয়ে প্রয়োজনীয় সফটওয়্যার রয়েছে</t>
  </si>
  <si>
    <t>আবহাওয়া সফটওয়্যার ডেভেলপমেন্ট করো</t>
  </si>
  <si>
    <t>সিতার বাজছে মিষ্টি ধ্বনি</t>
  </si>
  <si>
    <t>লোন সুবিধা সম্পর্কে বিস্তারিত</t>
  </si>
  <si>
    <t>রোবোটিক প্রোগ্রামিং কোর্স প্রদান</t>
  </si>
  <si>
    <t>আমরা নদী দেখতে যাই</t>
  </si>
  <si>
    <t>বিজ্ঞানে পূর্ণাঙ্গ শিক্ষা দিন</t>
  </si>
  <si>
    <t>শিক্ষার বিকাশ দেশের উন্নতি</t>
  </si>
  <si>
    <t>প্রাকৃতিক সৌন্দর্যে ভ্রমণ করুন</t>
  </si>
  <si>
    <t>বাজেটে শিক্ষা বৃদ্ধি করুন</t>
  </si>
  <si>
    <t>চেক বই নম্বর দিন</t>
  </si>
  <si>
    <t>ছবি অসাধারণ সুপারিশ পায়েছে</t>
  </si>
  <si>
    <t>শিক্ষার পদ্ধতি উন্নত করছে</t>
  </si>
  <si>
    <t>সাইবার ​​ফিজিক্স সংশোধন করুন</t>
  </si>
  <si>
    <t>সঞ্চয় হিসেবে গুলি উপযোগী</t>
  </si>
  <si>
    <t>ভুলের পরিতোষে অনুভূতি আছে</t>
  </si>
  <si>
    <t>মহাভারত পর্বত ভারতে রয়েছে</t>
  </si>
  <si>
    <t>হোটেলে প্রশান্ত ভাবে থাকুন</t>
  </si>
  <si>
    <t>বিভিন্ন রঙের বাজার ঘুরুন</t>
  </si>
  <si>
    <t>সার্ভার সাইড স্ক্রিপ্টিং প্রশিক্ষণ</t>
  </si>
  <si>
    <t>ফোকশ সংগীতে আমরা ভাষায়</t>
  </si>
  <si>
    <t>আপনার আয় চেক করুন</t>
  </si>
  <si>
    <t>ব্যালেন্স সুরক্ষিত থাকবে কিভাবে</t>
  </si>
  <si>
    <t>বিজ্ঞান মিউজিয়াম দর্শন করুন</t>
  </si>
  <si>
    <t>ব্যাংক স্টেটমেন্ট প্রিন্ট করুন</t>
  </si>
  <si>
    <t>ছবির ট্রেলার দেখুন এখন</t>
  </si>
  <si>
    <t>অনুশীলন দক্ষতা বৃদ্ধি করে</t>
  </si>
  <si>
    <t>শোক প্রস্তুতি করা প্রয়োজন</t>
  </si>
  <si>
    <t>বাংলা গানে মধুর স্বর</t>
  </si>
  <si>
    <t>সাঙ্গীতিক অনুভূতি হৃদয়ে পৌঁছাছে</t>
  </si>
  <si>
    <t>গাইয়ানা সাউত আমেরিকায় অবস্থিত</t>
  </si>
  <si>
    <t>পথে অপেক্ষা করতে হচ্ছে</t>
  </si>
  <si>
    <t>বর্ষাকালে পার্বত্য অঞ্চলে যান</t>
  </si>
  <si>
    <t>অর্থনীতির স্থিতি সুস্থভাবে রয়েছে</t>
  </si>
  <si>
    <t>নির্মাণ খাতে আবর্জনা রয়েছে</t>
  </si>
  <si>
    <t>যাত্রা ভালো লাগলো দর্শকদের</t>
  </si>
  <si>
    <t>সোশ্যাল মিডিয়া প্রমোশন টেকনিক</t>
  </si>
  <si>
    <t>ক্রিকেটে ব্যাট করুন বৃহস্পতিবার</t>
  </si>
  <si>
    <t>পুরাতন দর্শনীয় স্থান পরিদর্শন</t>
  </si>
  <si>
    <t>সাইবারফিজিক্স এবং কোয়ান্টাম কম্পিউটিং</t>
  </si>
  <si>
    <t>নেতৃত্বে পরিবর্তন দরকার আছে</t>
  </si>
  <si>
    <t>বিশ্বকাপে খেলা হাসিল হয়</t>
  </si>
  <si>
    <t>বৃদ্ধি করুন হিসাব সঠিকভাবে</t>
  </si>
  <si>
    <t>বিশ্ববিদ্যালয়ে কম্পিউটার সায়েন্স পড়ুন</t>
  </si>
  <si>
    <t>বাজছে শঙ্কহ বৃষ্টির মতো</t>
  </si>
  <si>
    <t>কম্পিউটার হার্ডওয়্যার ডিজাইন</t>
  </si>
  <si>
    <t>পাগল প্রেম কাহিনী দরকার</t>
  </si>
  <si>
    <t>মিসুরি নদী মিডওয়েস্টে বাহির</t>
  </si>
  <si>
    <t>একাউন্ট মোডিফাই করুন প্রয়োজনে</t>
  </si>
  <si>
    <t>ব্যাংক একাউন্ট খুলুন সহজে</t>
  </si>
  <si>
    <t>প্রকৃত ঘটনায় ভিত্তি নেয়</t>
  </si>
  <si>
    <t>ডাটা সাইন্সে নতুন উদ্যোগ</t>
  </si>
  <si>
    <t>সরকার উন্নতি করছে অনেক</t>
  </si>
  <si>
    <t>আপনার ব্যবসা সমর্থন করুন</t>
  </si>
  <si>
    <t>বিশেষজ্ঞদের ডাটা ভিজুয়ালাইজেশন কৌশল</t>
  </si>
  <si>
    <t>বিমানে উড়ে পার্যটনে যান</t>
  </si>
  <si>
    <t>বিদ্যালয়ে শিক্ষকবৃন্দ পূর্ণ সহায়ক</t>
  </si>
  <si>
    <t>সুরময় তালে বাজছে সিতার</t>
  </si>
  <si>
    <t>বাণিজ্যিক সহযোগিতা বৃদ্ধি পাচ্ছে</t>
  </si>
  <si>
    <t>ফরমুলা রেসিং আমার পছন্দ</t>
  </si>
  <si>
    <t>ইনটারফেস ডিজাইন ব্যবহার করুন</t>
  </si>
  <si>
    <t>বর্তমান পাঠধরায় উন্নতি হয়েছে</t>
  </si>
  <si>
    <t>বাজার চার্ট অধ্যয়ন করুন</t>
  </si>
  <si>
    <t>কিস্তি ব্যবস্থাপনা সহজ করুন</t>
  </si>
  <si>
    <t>নতুন স্থানে দুর্গ দর্শন</t>
  </si>
  <si>
    <t>সুরময় বৃষ্টির মতো পৌরাণিক</t>
  </si>
  <si>
    <t>নির্বাচনে শক্তিশালী প্রতিষ্ঠান গুরুত্বপূর্ণ</t>
  </si>
  <si>
    <t>ফুটবল খেলা অসীম আনন্দ</t>
  </si>
  <si>
    <t>নীলগিরি পর্বত বাংলাদেশে অবস্থিত</t>
  </si>
  <si>
    <t>সারোদে হৃদয় ভরে যাচ্ছে</t>
  </si>
  <si>
    <t>ব্যাংক হিসাব খুলুন প্রয়োজন</t>
  </si>
  <si>
    <t>শিক্ষা ডিজাইন উন্নত হচ্ছে</t>
  </si>
  <si>
    <t>ভার্চুয়াল রিয়্যালিটি উন্নতি চলছে</t>
  </si>
  <si>
    <t>আসল বাউল সঙ্গীত অদ্বিতীয়</t>
  </si>
  <si>
    <t>গল্ফ খেলা প্রষ্ঠভূমি জনপ্রিয়</t>
  </si>
  <si>
    <t>নির্বাচনে ভোট দিন সকলে</t>
  </si>
  <si>
    <t>বাংলা সংগীতে রবীন্দ্রনাথের মাধুর্য</t>
  </si>
  <si>
    <t>ট্রাভেল ব্যাগ ধরুন সঠিকভাবে</t>
  </si>
  <si>
    <t>সত্যিকারের কাহিনী তার জীবনে</t>
  </si>
  <si>
    <t>ব্যাংক বিনিয়োগ সাহায্য করতেছে</t>
  </si>
  <si>
    <t>পড়া হোক জ্ঞান বাড়ুক</t>
  </si>
  <si>
    <t>চরিত্রে বিশেষ দারুণতা আছে</t>
  </si>
  <si>
    <t>পার্টি কর্মসূচি জনগণের মনোনিবেশ</t>
  </si>
  <si>
    <t>বৃহত্তর পাহাড় যাত্রা করুন</t>
  </si>
  <si>
    <t>সাইক্লিং করা সুখবর দেয়</t>
  </si>
  <si>
    <t>টাকা উত্তোলন সুযোগ পাই</t>
  </si>
  <si>
    <t>সমুদ্রে মাছ প্রবেশ করছে</t>
  </si>
  <si>
    <t>উন্নত বাণিজ্যিক সংক্রান্ত দক্ষতা</t>
  </si>
  <si>
    <t>গল্ফ খেলা প্রষ্ঠভূমির উপর হয়েছে</t>
  </si>
  <si>
    <t>নেতা প্রবল বক্তৃতা দিয়েছে</t>
  </si>
  <si>
    <t>বাচ্চাদের জন্য শিক্ষা উপযোগী</t>
  </si>
  <si>
    <t>কবির কবিরাজে ঘুরে আসুন</t>
  </si>
  <si>
    <t>দেশটি সম্পর্কে শেখা হোক</t>
  </si>
  <si>
    <t>সুপারহিরো একটি দারুণ নায়ক</t>
  </si>
  <si>
    <t>লতিফ শাহরুখ গান গায়</t>
  </si>
  <si>
    <t>ব্যাংক একাউন্ট কোড প্রদান</t>
  </si>
  <si>
    <t>অজস্র কমেডি ছবি চলছে</t>
  </si>
  <si>
    <t>সামরিক প্রস্তুতি ও রাজনীতি</t>
  </si>
  <si>
    <t>গঙ্গা নদীর পানি পান করুন</t>
  </si>
  <si>
    <t>গঙ্গা নদী ভারতের প্রধান নদী</t>
  </si>
  <si>
    <t>সুরে ভরা হচ্ছে প্রকৃতি</t>
  </si>
  <si>
    <t>কঠিন বিষয়গুলি সহজে শেখানো</t>
  </si>
  <si>
    <t>নাইগারা জলপ্রপাত আমেরিকায় প্রসিদ্ধ</t>
  </si>
  <si>
    <t>শিক্ষকের মাধ্যমে শিক্ষার অনুভূতি</t>
  </si>
  <si>
    <t>নতুন জিনিস শিখতে আগ্রহী</t>
  </si>
  <si>
    <t>শিক্ষক শেখান শিক্ষার্থী শেখে</t>
  </si>
  <si>
    <t>আপনার নির্ভরযোগ্য হিসাববহুল থাকুন</t>
  </si>
  <si>
    <t>সাতরের গানে ঝুমা হোক</t>
  </si>
  <si>
    <t>প্রাকৃতিক উদ্যানে বিশ্রাম করুন</t>
  </si>
  <si>
    <t>ছবির সাউন্ডট্র্যাক অসাধারণ লাগছে</t>
  </si>
  <si>
    <t>সাম্প্রদায়িক সমস্যায় সরকার চিন্তিত</t>
  </si>
  <si>
    <t>টেনিস ম্যাচে রোমাঞ্চকর সময়</t>
  </si>
  <si>
    <t>বৈদেশিক মুদ্রা প্রবাহিত হচ্ছে</t>
  </si>
  <si>
    <t>আমাজন জঙ্গলে অসীম বায়ু</t>
  </si>
  <si>
    <t>প্রতিমাসে মুনাফা প্রদান হয়</t>
  </si>
  <si>
    <t>হিমালয়ে বৃষ্টি হয় বেশি</t>
  </si>
  <si>
    <t>মহাসচিব দলে নিযুক্ত হয়েছেন</t>
  </si>
  <si>
    <t>শিক্ষক ছাত্রদের মার্গনির্দেশ করে</t>
  </si>
  <si>
    <t>ইনভেস্টমেন্ট রিটার্ন মূল্যাংকন করুন</t>
  </si>
  <si>
    <t>অনলাইনে পড়াশোনা হয় সহজেই</t>
  </si>
  <si>
    <t>ভৌতিক বিজ্ঞান আমার পছন্দ</t>
  </si>
  <si>
    <t>সিলেটে হাওড়ের বাড়তি হয়</t>
  </si>
  <si>
    <t>ইতিহাসে কম্পিউটার ভূমিকা সম্পর্কে বলা আছে</t>
  </si>
  <si>
    <t>গাইড টু ইউজাবিলিটি ডিজাইন</t>
  </si>
  <si>
    <t>লোন আবেগ কমেছে সামনে</t>
  </si>
  <si>
    <t>পড়াশোনা সমাজ উন্নত করে</t>
  </si>
  <si>
    <t>পড়াশোনা সমাজের চেহারা বদলে দেয়</t>
  </si>
  <si>
    <t>গল্ফ খেলা হৃদয়বদল খেলা</t>
  </si>
  <si>
    <t>রেটিং দিতে ভুল করতে পারিনা</t>
  </si>
  <si>
    <t>একটি ভ্যাকসিন ডেভেলপমেন্টে কাজ চলতেছে</t>
  </si>
  <si>
    <t>ইনটারনেট অফ থিংস সমর্থন</t>
  </si>
  <si>
    <t>শিল্পকলা শেখা সৌন্দর্য উপলব্ধি</t>
  </si>
  <si>
    <t>উদ্যোগে নিরীক্ষা করুন প্রযুক্তি</t>
  </si>
  <si>
    <t>কর নিয়ে সতর্ক থাকুন</t>
  </si>
  <si>
    <t>আমরা বিভিন্ন দেশে ঘুরেছি</t>
  </si>
  <si>
    <t>সাহারা বৃহত্তর মৃত্যুপ্রদ মারুভূমি</t>
  </si>
  <si>
    <t>মড়াক্কাই দ্বীপ প্রাকৃতিক সৌন্দর্য্য</t>
  </si>
  <si>
    <t>বাজার গবেষণা সুনিষ্ঠ করুন</t>
  </si>
  <si>
    <t>ট্রেনে ভ্রমণ করুন আবেগে</t>
  </si>
  <si>
    <t>বোলিং করতে ভাল লাগে</t>
  </si>
  <si>
    <t>হোম লোনের জন্য আবেদন হয়েছে</t>
  </si>
  <si>
    <t>মৌখিক বক্তব্যে সংঘর্ষ বৃদ্ধি</t>
  </si>
  <si>
    <t>ক্রিকেট একটি বিশেষ খেলা</t>
  </si>
  <si>
    <t>অনলাইন ক্লাস সুবিধাজনক হচ্ছে</t>
  </si>
  <si>
    <t>ফুটবল ম্যাচ তোমার জন্য</t>
  </si>
  <si>
    <t>স্থানীয় সংগীত অনুভব করুন</t>
  </si>
  <si>
    <t>ব্যাডমিন্টন খেলতে পারছিনা</t>
  </si>
  <si>
    <t>ব্যাডমিন্টন ম্যাচ শুরু হয়েছে</t>
  </si>
  <si>
    <t>তার জীবনে একটি বার্তা</t>
  </si>
  <si>
    <t>ফরমুলা রেস দেখতে ভাল</t>
  </si>
  <si>
    <t>লোপামুদ্রার গানে ভালোবাসা সম্ভ্রান্ত</t>
  </si>
  <si>
    <t>কাস্টম সফটওয়্যার ডেভেলপমেন্ট প্রকল্প</t>
  </si>
  <si>
    <t>নিরাপদ নিজস্ব উদ্যোগ চালান</t>
  </si>
  <si>
    <t>বায়াসিক অ্যালগোরিদম ডেভেলপমেন্ট ট্রেনিং</t>
  </si>
  <si>
    <t>রবীন্দ্র সঙ্গীতে গাওয়া উৎকৃষ্ট</t>
  </si>
  <si>
    <t>প্রশাসনে নতুন নীতি প্রণীত</t>
  </si>
  <si>
    <t>বাজার আবহাওয়া চিন্তা করুন</t>
  </si>
  <si>
    <t>মোবাইল এপ্লিকেশন ডিজাইন গাইড</t>
  </si>
  <si>
    <t>নতুন পন্য বাজারে আসছে</t>
  </si>
  <si>
    <t>ভ্রমণের জন্য সঠিক বই</t>
  </si>
  <si>
    <t>ভ্রমণে ব্যক্তিগত চাহিদা আছে</t>
  </si>
  <si>
    <t>সৈকতে মিষ্টির দিন কাটুক</t>
  </si>
  <si>
    <t>ব্যাংক বিল পরিশোধ করুন</t>
  </si>
  <si>
    <t>এটি ব্যক্তিগত ঋণের জন্য</t>
  </si>
  <si>
    <t>বিশ্ববিদ্যালয়ে ছাত্রশক্তির করোনা মামলা</t>
  </si>
  <si>
    <t>সঞ্চয় হিসেবে সুরক্ষিত করুন</t>
  </si>
  <si>
    <t>মোবাইল ব্যাংকিং ব্যবহার করুন</t>
  </si>
  <si>
    <t>সরকারের বৃদ্ধি ও প্রগতি</t>
  </si>
  <si>
    <t>সুন্দরবন ভারত বাংলাদেশে প্রসারিত</t>
  </si>
  <si>
    <t>ভ্রমণের জন্য সঠিক প্ল্যান</t>
  </si>
  <si>
    <t>একাউন্ট স্টেটমেন্ট প্রাপ্ত করুন</t>
  </si>
  <si>
    <t>বিভিন্ন পর্যটন বুক করুন</t>
  </si>
  <si>
    <t>বীণা বাজে রাগে রঙিন</t>
  </si>
  <si>
    <t>সুরে সুরকুঞ্জ সৃষ্টি করুন</t>
  </si>
  <si>
    <t>প্রশাসনিক কাজে দক্ষতা প্রশংসা</t>
  </si>
  <si>
    <t>ইতিহাসে কম্পিউটার বিজ্ঞানের মহৎ</t>
  </si>
  <si>
    <t>ব্যাংকে মোবাইল ব্যাংকিং আছে</t>
  </si>
  <si>
    <t>ট্যুরিস্ট হোটেলে ঠান্ডা থাকুন</t>
  </si>
  <si>
    <t>ঋণ হিসেবে সাবমিট করুন</t>
  </si>
  <si>
    <t>একটি জনপ্রিয় কাস্ট আছে সিনেমায়</t>
  </si>
  <si>
    <t>হোম লোন ক্যালকুলেট করুন</t>
  </si>
  <si>
    <t>মনের গানে ভালোবাসা চিরকাল</t>
  </si>
  <si>
    <t>হাস্যরসে ভরা কমেডি চলচ্চিত্র</t>
  </si>
  <si>
    <t>রাজবাড়িতে ময়লা মেলা প্রচুর</t>
  </si>
  <si>
    <t>আর্গোনমিকস এবং কোয়ান্টাম কম্পিউটিং</t>
  </si>
  <si>
    <t>মাধুর্যে বাজে কৃষ্ণের বাঁশি</t>
  </si>
  <si>
    <t>নায়িকা ভূমিকা সাবধানে নিয়েছে</t>
  </si>
  <si>
    <t>যুদ্ধে শান্তি চাইলে সহযোগিতা</t>
  </si>
  <si>
    <t>শিক্ষা মাধ্যমে জ্ঞান অর্জন</t>
  </si>
  <si>
    <t>ব্যাংক লোন এগিয়ে বাড়ান</t>
  </si>
  <si>
    <t>সাঁতারা দিয়ে গোল করা</t>
  </si>
  <si>
    <t>রম্যহাসের ছবি দেখে বাস্তবিক</t>
  </si>
  <si>
    <t>অতিরিক্ত শুল্ক পরিহার করুন</t>
  </si>
  <si>
    <t>এটি একটি স্বার্থপর সিনেমা</t>
  </si>
  <si>
    <t>সরকার নতুন প্রকল্প চালাচ্ছে</t>
  </si>
  <si>
    <t>ইনটারনেট ব্রাউজ করতে শিখুন</t>
  </si>
  <si>
    <t>রাগে তোলা বাজছে সুর</t>
  </si>
  <si>
    <t>তীরে বসে দেখছি সমুদ্র</t>
  </si>
  <si>
    <t>সংসদে বিতর্ক চলছে মৌখিক</t>
  </si>
  <si>
    <t>কুয়েবেক প্রদেশ কানাডায় অবস্থিত</t>
  </si>
  <si>
    <t>বাজেট প্রয়োজন বৃদ্ধি করুন</t>
  </si>
  <si>
    <t>ডাটা স্কাইনিং প্রযুক্তি বৃদ্ধি</t>
  </si>
  <si>
    <t>বৃন্দাবনে বাঁশির ধ্বনি বজে</t>
  </si>
  <si>
    <t>ক্রয় বিক্রয় চুক্তি সাইন করুন</t>
  </si>
  <si>
    <t>ক্রেডিট কার্ড সুযোগ পান</t>
  </si>
  <si>
    <t>আমরা ট্রেন ভ্রমণ করছি</t>
  </si>
  <si>
    <t>শঙ্কর রবীর সুরে ভাস</t>
  </si>
  <si>
    <t>ওয়েব ডেভেলপমেন্টে প্রোফেশনাল কৌশল</t>
  </si>
  <si>
    <t>ব্যাংক হিসাব সুরক্ষিত রাখুন</t>
  </si>
  <si>
    <t>তার সুর পৃথিবীকে মোহনীয়</t>
  </si>
  <si>
    <t>নতুন চলচ্চিত্র মুক্তি পায়েছে</t>
  </si>
  <si>
    <t>ভ্রমণ সময়ে ব্যক্তিগত সুরক্ষা</t>
  </si>
  <si>
    <t>উদ্যোগে বিনিময় হোক বাড়ছে</t>
  </si>
  <si>
    <t>সাউন্ডট্র্যাক ক্লাসিক হৃদয়জুড়ে</t>
  </si>
  <si>
    <t>উইয়ারলেস নেটওয়ার্কিং প্রযুক্তি বৃদ্ধি</t>
  </si>
  <si>
    <t>গল্ফ খুব প্রশান্ত খেলা</t>
  </si>
  <si>
    <t>গণনার মেশিন লার্নিং অ্যালগরিদম</t>
  </si>
  <si>
    <t>রাতে তারার দৃশ্য দেখুন</t>
  </si>
  <si>
    <t>সমুদ্র সৈকতে ভ্রমণ করুন</t>
  </si>
  <si>
    <t>অনুষ্ঠানে আসছে নতুন মোভি</t>
  </si>
  <si>
    <t>পরীক্ষার আগে পুনরায় ভয় লাগছে</t>
  </si>
  <si>
    <t>বাঁশির সুরে মাতৃভাষার গান</t>
  </si>
  <si>
    <t>বাগেরহাটে জলপ্রপাত অসুস্থ হচ্ছে</t>
  </si>
  <si>
    <t>বুকে প্রেমে ক্যান্ডি মিস্ট্রি</t>
  </si>
  <si>
    <t>সুপারহিরো চরিত্র জীবনযাত্রা শুরু</t>
  </si>
  <si>
    <t>পথশিশুরা পার্কে খেলা করতেছে</t>
  </si>
  <si>
    <t>অর্থনীতি ক্ষমতা দিয়ে উঠছে</t>
  </si>
  <si>
    <t>বিশ্বকাপে জয় প্রাপ্তি পেয়েছে</t>
  </si>
  <si>
    <t>মিস্ট্রি ম্যান একেবারে ফ্যাশন</t>
  </si>
  <si>
    <t>স্থানীয় পর্বত ঘুরুন ট্রেকিং</t>
  </si>
  <si>
    <t>নিয়োগের জন্য সু্যোগ আছে</t>
  </si>
  <si>
    <t>বাজার প্রতিরোধ তৈরি করুন</t>
  </si>
  <si>
    <t>ফিজি দ্বীপসমূহ প্যাসিফিকে অবস্থিত</t>
  </si>
  <si>
    <t>হাঙ্গরি এক দেশে যান</t>
  </si>
  <si>
    <t>ঋণ আবেগ অনুমোদন হয়নি</t>
  </si>
  <si>
    <t>যাত্রা করুন পাহাড়ী পথে</t>
  </si>
  <si>
    <t>সাইবারস্পেস এবং সাইবার সিকিউরিটি</t>
  </si>
  <si>
    <t>নেটওয়ার্কিং সিকিউরিটি ব্যাবস্থাপনা মূল</t>
  </si>
  <si>
    <t>হকি খেলার সময় রঙিন</t>
  </si>
  <si>
    <t>হৃদয়কান্ত ছবি দেখা হয়েছে</t>
  </si>
  <si>
    <t>সাহারায় রয়েছে গাড়ি দল</t>
  </si>
  <si>
    <t>দ্বিধা রহিত ভয়ঙ্কর মিষ্ট্রি</t>
  </si>
  <si>
    <t>সাইবার ফিজিক্যাল সিকিউরিটি ম্যানেজমেন্ট</t>
  </si>
  <si>
    <t>জনমতে জনপ্রিয় নেতা হোক</t>
  </si>
  <si>
    <t>সমৃদ্ধি বিতীত মানবাধিকার সংরক্ষণ</t>
  </si>
  <si>
    <t>উচ্চশিক্ষায় ভর্তি হোক সহজে</t>
  </si>
  <si>
    <t>হোটেলে সম্পুর্ণ রাত বাসাইন</t>
  </si>
  <si>
    <t>খুলনায় প্রসূতির বাড়ি বাড়ছে</t>
  </si>
  <si>
    <t>যৌন সমানতা নীতি জোরালো</t>
  </si>
  <si>
    <t>বাউল বিচারে গানের মায়া</t>
  </si>
  <si>
    <t>ব্যাংক লেনদেন স্থগিত করুন</t>
  </si>
  <si>
    <t>পড়াশোনায় আত্ম নিরীক্ষণ করো</t>
  </si>
  <si>
    <t>হাইব্রিড মোবাইল অ্যাপ্লিকেশন ডেভেলপমেন্ট</t>
  </si>
  <si>
    <t>বিশ্বের সবচেয়ে বড় জলঝর</t>
  </si>
  <si>
    <t>প্রতিষ্ঠানে নিরিক্ষণ চালানো হচ্ছে</t>
  </si>
  <si>
    <t>তাজমহল আগরা প্রবেশদ্বার ভারতে</t>
  </si>
  <si>
    <t>ব্যাংক একাধিক সেবা প্রদান</t>
  </si>
  <si>
    <t>সিতার তোলে আকাশে সুর</t>
  </si>
  <si>
    <t>হার্স রেসিং একটি অভিজ্ঞান</t>
  </si>
  <si>
    <t>মোবাইল অ্যাপ্লিকেশন ডেভেলপমেন্ট এর কাজ শিখছি</t>
  </si>
  <si>
    <t>যুদ্ধে শান্তি হলে ভালো</t>
  </si>
  <si>
    <t>লোন কনসোলিডেশন প্রস্তুত হন</t>
  </si>
  <si>
    <t>শিক্ষা শান্তি সমৃদ্ধির চাবিকাঠি</t>
  </si>
  <si>
    <t>ক্রেডিট কার্ড লেনদেন করুন</t>
  </si>
  <si>
    <t>রুসি স্টেপের অবস্থান জোন</t>
  </si>
  <si>
    <t>চমৎকার প্লট একদম দর্শনীয়</t>
  </si>
  <si>
    <t>মাউন্টেন বাইকিং আমার পছন্দ</t>
  </si>
  <si>
    <t>ছাত্র শিক্ষা লাভ করে</t>
  </si>
  <si>
    <t>টাকা উত্তোলন করুন প্রস্তুত</t>
  </si>
  <si>
    <t>সবচেয়ে প্রয়োজনীয় খরচ করুন</t>
  </si>
  <si>
    <t>ক্রিকেটে বোলিং বিশেষজ্ঞ খেলোয়াড়</t>
  </si>
  <si>
    <t>নিজেদের জন্য হোম লোন</t>
  </si>
  <si>
    <t>প্রযুক্তির মাধ্যমে রাজনৈতিক অবদান</t>
  </si>
  <si>
    <t>গানে মাগিল ভ্রমণ করুন</t>
  </si>
  <si>
    <t>বাজার ভূমিকা গড়ছে স্থিরভাবে</t>
  </si>
  <si>
    <t>রাজনীতি নিয়ে বাণী হচ্ছে</t>
  </si>
  <si>
    <t>ব্যবসায়িক প্রক্রিয়াগুলি মান করুন</t>
  </si>
  <si>
    <t>গল্ফ খেলা মনোরম খেলা</t>
  </si>
  <si>
    <t>পাহাড়ে ট্রেকিং একটি আদর্শ</t>
  </si>
  <si>
    <t>বাজার আইনে মেনে চলুন</t>
  </si>
  <si>
    <t>আপনার ট্যাক্স আপডেট করুন</t>
  </si>
  <si>
    <t>বিপ্লবের সুরে আবৃত্তি হোক</t>
  </si>
  <si>
    <t>ক্যামেরা সুরক্ষার প্রযুক্তি ব্যবহার</t>
  </si>
  <si>
    <t>বাজার অবস্থান সঠিক করুন</t>
  </si>
  <si>
    <t>উচ্চ মাধ্যমিক শিক্ষা গুরুত্বপূর্ণ</t>
  </si>
  <si>
    <t>নিজেদের হিসাবে সঞ্চয় করুন</t>
  </si>
  <si>
    <t>প্রতুলের গানে মজা করুন</t>
  </si>
  <si>
    <t>উদ্ভাবনে নতুন পথ খুঁজি</t>
  </si>
  <si>
    <t>নতুন স্থানে ঘুরে আসুন</t>
  </si>
  <si>
    <t>ব্যাংক একাউন্ট খুলুন এখন</t>
  </si>
  <si>
    <t>নির্বাচনে জনপ্রিয় হয়েছেন প্রধানমন্ত্রী</t>
  </si>
  <si>
    <t>বঙ্গোপসাগর দক্ষিণে সীমানা দেয়</t>
  </si>
  <si>
    <t>রাষ্ট্রদল ও সরকার সম্পর্ক</t>
  </si>
  <si>
    <t>ক্রেডিট কার্ড সীমা অনুমোদন</t>
  </si>
  <si>
    <t>বাজারে নিয়মিত পর্যবেক্ষণ করুন</t>
  </si>
  <si>
    <t>রিসোর্টে মনোহর সময় কাটান</t>
  </si>
  <si>
    <t>টেনিস খেলা মনোরম খেলা</t>
  </si>
  <si>
    <t>প্রযুক্তির মাধ্যমে হিসেব রাখুন</t>
  </si>
  <si>
    <t>পিয়ানো সুর ছুঁয়ে আসছে</t>
  </si>
  <si>
    <t>নদীর সৈকতে হাঁটুন পার্যটনে</t>
  </si>
  <si>
    <t>সুদ হিসেবে কিস্তি চালানো</t>
  </si>
  <si>
    <t>ডাটা স্টোরেজ সমাধান উন্নতি</t>
  </si>
  <si>
    <t>প্রাকৃতিক উদ্দীপনা অনুভব করুন</t>
  </si>
  <si>
    <t>লোন হিসাবে আবেগ বাড়ছে</t>
  </si>
  <si>
    <t>দীর্ঘকালিন ট্রেইন যাত্রা করুন</t>
  </si>
  <si>
    <t>নতুন পার্টনারশিপ গঠন করছি</t>
  </si>
  <si>
    <t>সোনার ধ্বনি ভরা আকাশ</t>
  </si>
  <si>
    <t>আমি একটি পার্কে হাটছি</t>
  </si>
  <si>
    <t>আত্মনির্ভরশীল ছাত্র ছাত্রীরা উন্নতি করছে</t>
  </si>
  <si>
    <t>প্রযোজক টিমের উদ্যোগ স্বাগতযোগ্য</t>
  </si>
  <si>
    <t>নেতারা প্রতি বছর সম্মানিত</t>
  </si>
  <si>
    <t>ভোটে জনগণের সমর্থন পাচ্ছে</t>
  </si>
  <si>
    <t>নির্বাচনে প্রতিরোধ তীব্র হচ্ছে</t>
  </si>
  <si>
    <t>স্মার্ট হোম টেকনোলজি সমৃদ্ধি</t>
  </si>
  <si>
    <t>বাজারে পূর্বাভাস অনুভব করুন</t>
  </si>
  <si>
    <t>হাস্যকর কাজ করতে ব্যাংকে</t>
  </si>
  <si>
    <t>বঙ্গবন্ধুর পথে সঙ্গীত মাঝে</t>
  </si>
  <si>
    <t>প্যাসিফিক মহাসাগর অতি বড়</t>
  </si>
  <si>
    <t>বিজ্ঞানে চুক্তি নিয়ে প্রকল্প</t>
  </si>
  <si>
    <t>প্রতিনিয়তই সংঘর্ষ চরম উন্নতি</t>
  </si>
  <si>
    <t>বিশ্বকাপে চমক অনেক দূরে</t>
  </si>
  <si>
    <t>বঙ্গবন্ধুর জন্য সঙ্গীতে শ্রদ্ধাঞ্জলি</t>
  </si>
  <si>
    <t>নেতাদের মধ্যে বৈধ সমর্থন</t>
  </si>
  <si>
    <t>বাজার বৃদ্ধি হচ্ছে কিনা</t>
  </si>
  <si>
    <t>সুরে তার বৃষ্টি গতি</t>
  </si>
  <si>
    <t>মুদ্রা পরিবর্তনে কমিশন বেশি</t>
  </si>
  <si>
    <t>সকল শিক্ষার্থী পড়াশোনায় মোটিভেট</t>
  </si>
  <si>
    <t>সঠিক প্রশ্নের মাধ্যমে শেখা</t>
  </si>
  <si>
    <t>ঋণ মেয়াদ উত্তীর্ণ হচ্ছে</t>
  </si>
  <si>
    <t>আমি নতুন দেশে গিয়েছি</t>
  </si>
  <si>
    <t>একাধিক ডেটা স্টোরেজ সলিউশন</t>
  </si>
  <si>
    <t>সুজন চরিত্রে নিজেকে উপস্থাপন</t>
  </si>
  <si>
    <t>ব্যবসা বৃদ্ধি পাচ্ছে</t>
  </si>
  <si>
    <t>হোকি ম্যাচে আমি খেলতেছি</t>
  </si>
  <si>
    <t>গল্ফ খেলায় আমি ব্রেক</t>
  </si>
  <si>
    <t>ছবির প্রস্তুতি অসাধারণ নিয়েছে</t>
  </si>
  <si>
    <t>রাষ্ট্রপক্ষে প্রশাসনিক পরিবর্তন সম্ভব</t>
  </si>
  <si>
    <t>ব্যাংক একাউন্ট ব্যবস্থাপনা করুন</t>
  </si>
  <si>
    <t>টাকা উত্তোলন ব্যবস্থা করুন</t>
  </si>
  <si>
    <t>ট্রেনে উচ্চ সুস্থতা শংকা</t>
  </si>
  <si>
    <t>দৃষ্টি মোহন কলারফুল ছবি</t>
  </si>
  <si>
    <t>ইনভেস্টমেন্ট পোর্টফোলিও তৈরি করুন</t>
  </si>
  <si>
    <t>গণিত শেখায় যুক্তিবাদী লাগে</t>
  </si>
  <si>
    <t>গল্ফ খেলা একটি শখ</t>
  </si>
  <si>
    <t>টেনিস ম্যাচ মনোরম হয়েছে</t>
  </si>
  <si>
    <t>শিক্ষা মানবতার সার্বজনীন ভাষা</t>
  </si>
  <si>
    <t>হাসানের গানে ভরা জীবন</t>
  </si>
  <si>
    <t>ওয়েব ডেভেলপমেন্ট তাড়াতাড়ি বড়ছে</t>
  </si>
  <si>
    <t>রোবটিক অটোমেশন বিষয়ক কোর্স</t>
  </si>
  <si>
    <t>একাউন্ট স্টেটমেন্ট ডাউনলোড করুন</t>
  </si>
  <si>
    <t>গানে ভাবনা অনুভূতি করুন</t>
  </si>
  <si>
    <t>বিদেশ ব্যবসা শুরু করুন</t>
  </si>
  <si>
    <t>কুমার শানুর মধুর আলাপ</t>
  </si>
  <si>
    <t>মাছের শহর ঘুরে আসুন</t>
  </si>
  <si>
    <t>কিশোর কুমার রোমান্টিক গায়</t>
  </si>
  <si>
    <t>স্বপ্নে হাসিনির সুরে মগ্ন</t>
  </si>
  <si>
    <t>গ্রীক দ্বীপপুঞ্জ অদ্বিতীয় স্থান</t>
  </si>
  <si>
    <t>সঙ্গীত তার বিশেষ প্রেম</t>
  </si>
  <si>
    <t>প্রতিদিন নতুন কিছু শিখি</t>
  </si>
  <si>
    <t>ভ্রমণে ফটো তুলুন বেশি</t>
  </si>
  <si>
    <t>প্রাকৃতিক সৌন্দর্য উপভোগ করুন</t>
  </si>
  <si>
    <t>একটি ধ্রুপদ বাজছে বাঁশি</t>
  </si>
  <si>
    <t>ব্যাংক হুব বাড়ছে দ্রুতগতিতে</t>
  </si>
  <si>
    <t>ডিজিটাল মার্কেটিং ট্রেন্ড বৃদ্ধি</t>
  </si>
  <si>
    <t>লেনড্‌স একুয়েটরিয়াল গিনিয়া প্রদেশে</t>
  </si>
  <si>
    <t>আলোচিত নাটকের চলচ্চিত্র রূপ</t>
  </si>
  <si>
    <t>ইন্টারনেট সেভ ব্রাউজিং টেকনোলজি</t>
  </si>
  <si>
    <t>সঠিক ব্যালেন্স প্রদান করুন</t>
  </si>
  <si>
    <t>ছাত্রছাত্রীদের মতামত মোকাবিলা হয়</t>
  </si>
  <si>
    <t>বিশ্বকাপে বড় চ্যাম্পিয়নশিপ হয়েছে</t>
  </si>
  <si>
    <t>তিনি পাখির মেলায় গিয়েছেন</t>
  </si>
  <si>
    <t>টেনিস ম্যাচ রোমাঞ্চকর লাগছে</t>
  </si>
  <si>
    <t>শিক্ষা মানুষের মনের গঠন</t>
  </si>
  <si>
    <t>প্রেমের গল্প শুনি সবাই</t>
  </si>
  <si>
    <t>সুপারন্যাচুরাল সত্য ছবি দেখুন</t>
  </si>
  <si>
    <t>হকি খেলার বেলা আসছে</t>
  </si>
  <si>
    <t>সুখী জীবন নিজের হাতে</t>
  </si>
  <si>
    <t>নোয়াখালী একটি নদী জেলা</t>
  </si>
  <si>
    <t>তার সুরে আলোকিত হোক</t>
  </si>
  <si>
    <t>কোমেডির দিন দীন ছবি</t>
  </si>
  <si>
    <t>নির্বাচন আসছে ভোট দিন</t>
  </si>
  <si>
    <t>বাজার উদ্যোগ বিশ্লেষণ করুন</t>
  </si>
  <si>
    <t>অলকা ইয়াগনিকে আদর করুন</t>
  </si>
  <si>
    <t>পাহাড়ে ট্রেকিং অভিজ্ঞতা করুন</t>
  </si>
  <si>
    <t>পৃথিবীর সবচেয়ে কোমল মৃদু</t>
  </si>
  <si>
    <t>শিক্ষক জ্ঞান বিতরণ করে</t>
  </si>
  <si>
    <t>সুরে মিষ্টি জীবনের গল্প</t>
  </si>
  <si>
    <t>সমুদ্র সৈকতে ঘুরুন যান</t>
  </si>
  <si>
    <t>গল্ফ একটি শোভারময় খেলা</t>
  </si>
  <si>
    <t>শিক্ষার্থী জ্ঞান অর্জন করে</t>
  </si>
  <si>
    <t>বিজ্ঞান মিউজিয়ামে অসীম শিক্ষা</t>
  </si>
  <si>
    <t>আইনশৃঙ্খলা রাষ্ট্রবাদ স্থাপনে প্রয়োজন</t>
  </si>
  <si>
    <t>নাগরিকতায় নির্ভরশীল নীতি কামনা</t>
  </si>
  <si>
    <t>নাইজের হস্পানিক ভাষা বলে</t>
  </si>
  <si>
    <t>নির্বাচনে জনপ্রতিষ্ঠানে নির্বাচন সুরক্ষিত</t>
  </si>
  <si>
    <t>হোটেলে সম্মেলনে অংশ নিন</t>
  </si>
  <si>
    <t>উদ্যোগে নির্মাণ করুন শ্রমিকদের</t>
  </si>
  <si>
    <t>মৌখিক বক্তব্যে মধ্যম সংবাদমাধ্যম</t>
  </si>
  <si>
    <t>উইম্বলডন টেনিসের রঙিন ইতিহাস</t>
  </si>
  <si>
    <t>হকসিয়ার দ্বীপ ইন্ডোনেশিয়ায় অবস্থিত</t>
  </si>
  <si>
    <t>সুরে ভরা ভালোবাসার সংগীত</t>
  </si>
  <si>
    <t>বৃদ্ধিশীল বাজার অনুসন্ধান করুন</t>
  </si>
  <si>
    <t>অ্যাথলেটিকসে বাড়তি দক্ষতা প্রদর্শন</t>
  </si>
  <si>
    <t>লোন একুয়ায়ার করুন সীমিত</t>
  </si>
  <si>
    <t>এসইও বেস্ট প্র্যাকটিস গাইড</t>
  </si>
  <si>
    <t>ফিশিং হলে তথ্য চুরি হয়</t>
  </si>
  <si>
    <t>একাউন্ট ব্লক করা হয়েছে</t>
  </si>
  <si>
    <t>রাষ্ট্রপতির ভোট চলছে দ্রুত</t>
  </si>
  <si>
    <t>মিষ্টি সত্যের গল্প ছবি</t>
  </si>
  <si>
    <t>রানিং একটি ভাল ব্যায়াম</t>
  </si>
  <si>
    <t>ফিশিং খেলা নিজের জন্য</t>
  </si>
  <si>
    <t>সাংবিদানিক ব্যবসায় লোক আসুন</t>
  </si>
  <si>
    <t>শিক্ষায় কোনো বৈষম্য নেই</t>
  </si>
  <si>
    <t>প্রযুক্তিগত উন্নতির কথা ভাবছি</t>
  </si>
  <si>
    <t>রাজনীতিতে আলোচনা ও বিতর্ক</t>
  </si>
  <si>
    <t>রহস্যময় ম্যানশনে ঘটনা ঘটছে</t>
  </si>
  <si>
    <t>বাণিজ্যিক ক্রিয়া ক্রমশ বাড়ানো</t>
  </si>
  <si>
    <t>রম্য সঙ্গীতে মাতৃভাষার শোক</t>
  </si>
  <si>
    <t>সমুদ্রে সাদা পাখি উড়ছে</t>
  </si>
  <si>
    <t>ভোট আসছে সচেতন থাকুন</t>
  </si>
  <si>
    <t>টেনিস খেলতে অভ্যন্তরীণ আনন্দ</t>
  </si>
  <si>
    <t>খুলনায় বোট পার্ক বাড়ছে</t>
  </si>
  <si>
    <t>ব্যবসা ক্ষেত্রে বৃদ্ধি প্রদর্শন</t>
  </si>
  <si>
    <t>বাণিজ্যিক ব্যবসা শোক পাচ্ছে</t>
  </si>
  <si>
    <t>সামাজিক সংগঠন রাজনৈতিক সাক্ষরতা</t>
  </si>
  <si>
    <t>পরিবেশের যত্ন নিতে শিখি</t>
  </si>
  <si>
    <t>সাংসদের মধ্যে যৌথ প্রস্তুতি</t>
  </si>
  <si>
    <t>ঢোলের তালে আত্মীয় গান</t>
  </si>
  <si>
    <t>সুরে তার বিস্মিত হোক</t>
  </si>
  <si>
    <t>বিপক্ষে বিতর্ক চলছে স্থায়ী</t>
  </si>
  <si>
    <t>নিরাপদ মূলধন বৃদ্ধি করুন</t>
  </si>
  <si>
    <t>কাহিনী মনোনিবেশ করতে সাহায্যকারী</t>
  </si>
  <si>
    <t>শহরের জাদু অনুভব করুন</t>
  </si>
  <si>
    <t>টাকা উত্তোলন অনুমোদন দিয়েছে</t>
  </si>
  <si>
    <t>বাজেটে বৃদ্ধি করা হয়েছে</t>
  </si>
  <si>
    <t>সংসদে বিষয়বস্তু আলোচনা হচ্ছে</t>
  </si>
  <si>
    <t>ইউজার ইন্টারফেস ডিজাইন উন্নত</t>
  </si>
  <si>
    <t>ট্যাক্স ফাইল করুন সময়ে</t>
  </si>
  <si>
    <t>বইমেলায় পড়াশোনা বৃদ্ধি করুন</t>
  </si>
  <si>
    <t>স্থানীয় খাদ্যের মজা লুটুন</t>
  </si>
  <si>
    <t>ছবিটি ভালো হলেও হাস্যকর</t>
  </si>
  <si>
    <t>ভূতের ভোরে ডার্ক স্টোরি</t>
  </si>
  <si>
    <t>একাউন্ট প্রস্তুতি করা হচ্ছে</t>
  </si>
  <si>
    <t>শাওনের সুরে ভরা জীবন</t>
  </si>
  <si>
    <t>সানডে বল ম্যাচ স্থলে</t>
  </si>
  <si>
    <t>অনলাইন শেখা বিশেষজ্ঞ হচ্ছে</t>
  </si>
  <si>
    <t>মেক্সিকো সিটি মধ্যম আমেরিকায়</t>
  </si>
  <si>
    <t>শিক্ষা জীবন গড়ে তোলে</t>
  </si>
  <si>
    <t>হৃদয়স্পর্শী সোজা প্লট মুভি</t>
  </si>
  <si>
    <t>ক্রিকেটে ব্যাট নষ্ট হয়েছে</t>
  </si>
  <si>
    <t>মূলধন অংশে বিনিময় করুন</t>
  </si>
  <si>
    <t>রাতে সুন্দর ছবি তুলুন</t>
  </si>
  <si>
    <t>বোর্নিও দ্বীপ মালয়েশিয়া অঞ্চল</t>
  </si>
  <si>
    <t>তার সর্বশেষ ছবি অসাধারণ</t>
  </si>
  <si>
    <t>নির্বাচনে বৃদ্ধি মোকাবিলা অতীতে</t>
  </si>
  <si>
    <t>তার আলোচনা হয়ে চলেছে</t>
  </si>
  <si>
    <t>শতাধিক মিটার পার করুন</t>
  </si>
  <si>
    <t>মানবাধিকার রক্ষায় রাজনীতি অগ্রগতি</t>
  </si>
  <si>
    <t>বউ বৌমন্ডল রোমান্টিক কমেডি</t>
  </si>
  <si>
    <t>স্কোয়াশ খেলা কঠিন হয়েছে</t>
  </si>
  <si>
    <t>বাস্কেটবল ম্যাচে ব্রিলিয়ান্ট পারফর্মেন্স</t>
  </si>
  <si>
    <t>অর্থনৈতিক সম্মেলনে অংশগ্রহণ করুন</t>
  </si>
  <si>
    <t>ক্লাউড কম্পিউটিং সেবা প্রদান</t>
  </si>
  <si>
    <t>বিশ্বকাপে জয় হাসিল হয়</t>
  </si>
  <si>
    <t>কাজিরঙা নদী মায়ানমারে প্রবাহিত</t>
  </si>
  <si>
    <t>সাইক্লিং করতে শুরু করুন</t>
  </si>
  <si>
    <t>ই চেক প্রয়োজন হয়েছে কি</t>
  </si>
  <si>
    <t>আপনার অ্যাকাউন্ট সুরক্ষিত রয়েছে</t>
  </si>
  <si>
    <t>বোকসিং খেলা তেজ গতি</t>
  </si>
  <si>
    <t>বিশ্ববিদ্যালয়ে ব্যবসায় অধ্যয়ন করুন</t>
  </si>
  <si>
    <t>আমি ট্যুরগাইডের সাথে আছি</t>
  </si>
  <si>
    <t>শিক্ষক শিক্ষিকাদের দিকে প্রবৃদ্ধি</t>
  </si>
  <si>
    <t>রবীন্দ্র সঙ্গীতে শোক ওঠে</t>
  </si>
  <si>
    <t>অর্থনৈতিক ক্ষোভে থাকুন সতর্ক</t>
  </si>
  <si>
    <t>আর্থিক পোলারিজেশন নিয়ন্ত্রণ করুন</t>
  </si>
  <si>
    <t>আমাজন উচ্চ বন্যা এলাজ়ন</t>
  </si>
  <si>
    <t>বিশ্ব ঐতিহাসিক স্থানে পৌঁছুন</t>
  </si>
  <si>
    <t>রাত্রি হোটেলে থাকুন সুরক্ষিতভাবে</t>
  </si>
  <si>
    <t>উচ্চ খাতে বৃদ্ধি দেখুন</t>
  </si>
  <si>
    <t>সংসদে সাংসদের মধ্যে আত্মবিশ্বাস</t>
  </si>
  <si>
    <t>পাহাড়ে ট্রেকিং শুরু করুন</t>
  </si>
  <si>
    <t>দলগুলির মধ্যে সংঘর্ষ চরমে</t>
  </si>
  <si>
    <t>সঠিক শিক্ষা পদ্ধতি নিন</t>
  </si>
  <si>
    <t>সংসদে নতুন উদ্দীপনা চলছে</t>
  </si>
  <si>
    <t>হাসির মুডে আছে চলচ্চিত্রটি</t>
  </si>
  <si>
    <t>শহরের পার্কে ঘুরে আসুন</t>
  </si>
  <si>
    <t>জাদুঘর দর্শন অদ্ভুত অভিজ্ঞতা</t>
  </si>
  <si>
    <t>সংসদে নতুন প্রস্তুতি হচ্ছে</t>
  </si>
  <si>
    <t>উন্নত রোবোটিক্স বিজ্ঞান বাড়ছে</t>
  </si>
  <si>
    <t>মোটরসাইকেল রেসিং উপভোগ করুন</t>
  </si>
  <si>
    <t>সুরের মাধ্যমে ভাবনা প্রকাশ</t>
  </si>
  <si>
    <t>বাজারে ক্রয়বিক্রয় বাড়ছে ধারাবাহিকভাবে</t>
  </si>
  <si>
    <t>আউটগোয়ান্ড ট্রানজেকশন অনুমোদন করুন</t>
  </si>
  <si>
    <t>ক্রিকেট ব্যাটে বড় স্ট্রাইক</t>
  </si>
  <si>
    <t>গান মনোরম ছিলো সত্যিই</t>
  </si>
  <si>
    <t>ক্যাম্পিং করুন প্রাকৃতিক পরিসরে</t>
  </si>
  <si>
    <t>সংসদে বিতর্ক চলছে এখন</t>
  </si>
  <si>
    <t>ব্যাটমিন্টন খেলা সহজ হয়নি</t>
  </si>
  <si>
    <t>মোবাইল সেকিউরিটি সেটিংস বৃদ্ধি</t>
  </si>
  <si>
    <t>আয়ের উৎস বিবেচনা করুন</t>
  </si>
  <si>
    <t>বোকসিং ম্যাচ অসীম রম্য</t>
  </si>
  <si>
    <t>উন্নত অর্থনৈতিক পদক্ষেপ নিন</t>
  </si>
  <si>
    <t>পুরনো মহলে ঘুরতে যান</t>
  </si>
  <si>
    <t>বিদ্যুৎ সমস্যা মোকাবিলা চলছে</t>
  </si>
  <si>
    <t>বাইকে পথচলা অনুভব করুন</t>
  </si>
  <si>
    <t>নায়িকা অসাধারণ অভিনয় করছে</t>
  </si>
  <si>
    <t>যৌথ প্রতিষ্ঠানে সমর্থন প্রদান</t>
  </si>
  <si>
    <t>পড়ালেখা একটি অমূল্য সম্পত্তি</t>
  </si>
  <si>
    <t>অর্থনৈতিক পরিষদে অংশগ্রহণ করুন</t>
  </si>
  <si>
    <t>হাইব্রিড সাইবার অতিরিক্ত সুরক্ষা</t>
  </si>
  <si>
    <t>নারায়ণগঞ্জে শিল্পক্ষেত্র বৃদ্ধি পাচ্ছে</t>
  </si>
  <si>
    <t>সৃজনশীল পাঠে শিক্ষকের প্রয়োগ</t>
  </si>
  <si>
    <t>মানবাধিকারে সমর্থন করা গুরুত্বপূর্ণ</t>
  </si>
  <si>
    <t>বক্স অফিসে রেকর্ড ছাড়াছে</t>
  </si>
  <si>
    <t>সীমানা দিয়ে সীমানা আসুন</t>
  </si>
  <si>
    <t>কনফিগারিং এবং ম্যানেজিং সার্ভার</t>
  </si>
  <si>
    <t>অধ্যয়নে আগ্রহী ছাত্রদের উপদেশ</t>
  </si>
  <si>
    <t>একাধিক ব্যাংক সঞ্চয় অ্যাকাউন্ট</t>
  </si>
  <si>
    <t>শিক্ষা প্রদীপ জীবন আলোকিত</t>
  </si>
  <si>
    <t>ইউজার ডেটা প্রাইভেসি ম্যানেজমেন্ট</t>
  </si>
  <si>
    <t>মূলধন বাড়াতে নির্দেশ দিন</t>
  </si>
  <si>
    <t>সহযোগিতা দ্বারা ক্ষমতা বৃদ্ধি</t>
  </si>
  <si>
    <t>রহস্যময় চলচ্চিত্র দর্শনে যাই আমরা</t>
  </si>
  <si>
    <t>পার্টিতে অংশ নিন জাপানে</t>
  </si>
  <si>
    <t>ক্রীড়া শেখা শারীরিক সুস্থতা</t>
  </si>
  <si>
    <t>আমি একটি লোন চাচ্ছি</t>
  </si>
  <si>
    <t>শিক্ষকের শ্রম জাতির ভবিষ্যৎ</t>
  </si>
  <si>
    <t>ফকির লালনের গানে আবেগভরা</t>
  </si>
  <si>
    <t>গঙ্গা নদী বাংলাদেশ প্রবাহিত</t>
  </si>
  <si>
    <t>স্কেটিং করার জন্য উপযুক্ত</t>
  </si>
  <si>
    <t>হোম লোন প্রস্তুত হন</t>
  </si>
  <si>
    <t>ছুটির দিনে মাটিরাঙ্গে যান</t>
  </si>
  <si>
    <t>সরকার ব্যয়ে নজরদারি চাইছে</t>
  </si>
  <si>
    <t>গবেষণায় নতুন উদ্ভাবন হচ্ছে</t>
  </si>
  <si>
    <t>আপনার ট্যাক্স জমা দিন</t>
  </si>
  <si>
    <t>যোগদান করুন দলে আসুন</t>
  </si>
  <si>
    <t>জাদুঘরে অভিজ্ঞতা অর্জন করুন</t>
  </si>
  <si>
    <t>নির্দেশকের দক্ষতা প্রকাশ করেছে</t>
  </si>
  <si>
    <t>গল্ফ খেলতে হবে একবার</t>
  </si>
  <si>
    <t>নিজের ভবিষ্যৎ নিজে গড়ি</t>
  </si>
  <si>
    <t>ফুটবল খেলতে ভালোবাসি আমি</t>
  </si>
  <si>
    <t>জনগণের মধ্যে পৌরসভা চয়ন</t>
  </si>
  <si>
    <t>আমরা বিতর্ক সমাধান করছি</t>
  </si>
  <si>
    <t>ফুটবল খেলতে আমি ভালোবাসি</t>
  </si>
  <si>
    <t>বাঁশির মাধুর্যে মন ভরা</t>
  </si>
  <si>
    <t>গানের মাধুর্যে মাতালেন আরতি</t>
  </si>
  <si>
    <t>টেনিস খেলা দেখতে মজা</t>
  </si>
  <si>
    <t>বাংলাদেশে শিক্ষার অগ্রগতি হচ্ছে</t>
  </si>
  <si>
    <t>ছবির বাজেট উচ্চ রাখা হয়েছে</t>
  </si>
  <si>
    <t>বিশেষজ্ঞদের হ্যাকিং কৌশল শেখা</t>
  </si>
  <si>
    <t>বাংলা রকেস্ত্রারে ডান্স মজার</t>
  </si>
  <si>
    <t>মোবাইল ব্যাংকিং চালু করুন</t>
  </si>
  <si>
    <t>একাউন্ট পাসওয়ার্ড ভুলে গিয়েছেন</t>
  </si>
  <si>
    <t>বাজার মূল্য উচ্চ হচ্ছে</t>
  </si>
  <si>
    <t>শিক্ষকবৃন্দ দক্ষ এবং প্রশিক্ষিত</t>
  </si>
  <si>
    <t>আর্টিফিশিয়াল ইন্টেলিজেন্সে অগ্রগতি হচ্ছে</t>
  </si>
  <si>
    <t>বাংলা গানে সবুজ গামছ</t>
  </si>
  <si>
    <t>তার সুর ভরে উঠে</t>
  </si>
  <si>
    <t>ঝালকাঠিতে লেবু বাড়াতে পারে</t>
  </si>
  <si>
    <t>ডাটা এনালাইটিক্স স্কিল ডেভেলপমেন্ট</t>
  </si>
  <si>
    <t>রাগের মধুর আলোকসীমা প্রকাশ</t>
  </si>
  <si>
    <t>প্রাথমিক শিকারি বিনিময় হোক</t>
  </si>
  <si>
    <t>শিক্ষা অস্ত্র অজ্ঞতা দূরে</t>
  </si>
  <si>
    <t>মূল্যবান সম্পত্তি প্রতিরক্ষা হচ্ছে</t>
  </si>
  <si>
    <t>ক্রিকেটে ব্যাট ছোঁয়ানো মজার</t>
  </si>
  <si>
    <t>শিক্ষায় মানসম্মত শিক্ষা প্রদান করা</t>
  </si>
  <si>
    <t>মৌলভীবাজারে আপনি থাকতে পারেন</t>
  </si>
  <si>
    <t>ট্রেনে বসুন আরাম করে</t>
  </si>
  <si>
    <t>একটি চৌকাদি খেলা সুন্দর</t>
  </si>
  <si>
    <t>গীতে লুটছে বাজনা ধ্বনি</t>
  </si>
  <si>
    <t>শিক্ষকদের সাথে বাঁধন গড়ুন</t>
  </si>
  <si>
    <t>ব্যাংক হুব বৃদ্ধি পাচ্ছে</t>
  </si>
  <si>
    <t>বর্তমান শিক্ষা সহজ হোক</t>
  </si>
  <si>
    <t>উদ্যোগে সহায়ক সাধন করুন</t>
  </si>
  <si>
    <t>আমি পুনরায় দেখতে চাই</t>
  </si>
  <si>
    <t>রাজনীতি সকলের কাছে পরিচিত</t>
  </si>
  <si>
    <t>ভ্রমণের সময় বই পড়ুন</t>
  </si>
  <si>
    <t>অ্যাথলেটিকসে দৌড়ে জয় অর্জন</t>
  </si>
  <si>
    <t>পাথরের পথে হাঁটুন পর্যটনে</t>
  </si>
  <si>
    <t>রঙিন সুরে মুক্তির পথে</t>
  </si>
  <si>
    <t>সোনার সুরে মন ভরে</t>
  </si>
  <si>
    <t>শিক্ষা প্রণালী উন্নত করুন</t>
  </si>
  <si>
    <t>দেশে রাজনীতি চলছে জোরদারভাবে</t>
  </si>
  <si>
    <t>সমুদ্রে পানি আছে অনেক</t>
  </si>
  <si>
    <t>এব্রেডোর উচ্চ পাহাড় বিশেষ</t>
  </si>
  <si>
    <t>ছাত্রদের মধ্যে প্রতিষ্ঠানে সহানুভূতি</t>
  </si>
  <si>
    <t>ক্রিকেট ম্যাচ আসছে বলে</t>
  </si>
  <si>
    <t>ঋণ পরিশোধ সময়ে করুন</t>
  </si>
  <si>
    <t>নচিকেতার গানে রক্তপাতের গল্প</t>
  </si>
  <si>
    <t>ভ্রমণের জন্য মোটরসাইকেল নিন</t>
  </si>
  <si>
    <t>আমি পাহাড়ে হাটতে গিয়েছি</t>
  </si>
  <si>
    <t>কম্পিউটার সার্ভার মেনেজমেন্ট কৌশল</t>
  </si>
  <si>
    <t>সঠিক ব্যাংক বিবরণ দিন</t>
  </si>
  <si>
    <t>ব্যালেন্স চেক করুন এখন</t>
  </si>
  <si>
    <t>বাস্তবায়িত বিশ্বে এইচআর প্রোগ্রামিং</t>
  </si>
  <si>
    <t>বৃদ্ধি হোক আপনার ইনভেস্টমেন্টে</t>
  </si>
  <si>
    <t>ক্রেডিট কার্ড লিমিট প্রয়োজন</t>
  </si>
  <si>
    <t>মেশিন লার্নিং মডেল ইমপ্রুভ</t>
  </si>
  <si>
    <t>রাবিন্দ্র সঙ্গীতে শান্তি পাওয়া</t>
  </si>
  <si>
    <t>নীলসাগর বিশাল মহাসাগর প্রণাম</t>
  </si>
  <si>
    <t>হাউস লোন আবেগ বাড়ছে</t>
  </si>
  <si>
    <t>একাধিক হুব ব্যবহার করুন</t>
  </si>
  <si>
    <t>সবার প্রিয় প্যারা থ্রিলার</t>
  </si>
  <si>
    <t>অব্যবহারিত সম্পদ বিক্রয় করুন</t>
  </si>
  <si>
    <t>চলচ্চিত্রে তার কৌতুকের দক্ষতা</t>
  </si>
  <si>
    <t>সুপরিচিত নেতা নির্বাচিত হয়েছেন</t>
  </si>
  <si>
    <t>মোবাইল ব্যাংকিং চলছে উন্নত</t>
  </si>
  <si>
    <t>বৃদ্ধির সুযোগ উপভোগ করুন</t>
  </si>
  <si>
    <t>বিতর্কিত বৃদ্ধির পথে চলুন</t>
  </si>
  <si>
    <t>ডেবিট কার্ড নষ্ট হয়েছে</t>
  </si>
  <si>
    <t>ফেনীতে মহিষ দেখা গেছে</t>
  </si>
  <si>
    <t>ছবি একটি রোমাঞ্চক অভিজ্ঞান</t>
  </si>
  <si>
    <t>প্রাচীন স্থান দর্শন করুন</t>
  </si>
  <si>
    <t>ব্যবসায়িক অ্যাপ্লিকেশন ডেভেলপমেন্ট গাইড</t>
  </si>
  <si>
    <t>ক্যামেরাও ভালো কাজ করেছে</t>
  </si>
  <si>
    <t>গানে তার মন বহুদূর</t>
  </si>
  <si>
    <t>ক্রেডিট কার্ড ব্যবহার করুন</t>
  </si>
  <si>
    <t>বাজারে দক্ষ প্রচার করুন</t>
  </si>
  <si>
    <t>মুভি প্লট মনোরম লাগছে</t>
  </si>
  <si>
    <t>সানডে বল খেলতে মজা</t>
  </si>
  <si>
    <t>কম্পিউটার নেটওয়ার্কিং প্রযুক্তির অধ্যায়ন</t>
  </si>
  <si>
    <t>ভোটশাগর আফ্রিকার উত্তরে পর্বত</t>
  </si>
  <si>
    <t>ডিজাইন এবং ক্রিটিক্যাল এপ্লিকেশন</t>
  </si>
  <si>
    <t>লোন আবেগ বাড়ছে দ্রুততরে</t>
  </si>
  <si>
    <t>গ্রীক দ্বীপপুঞ্জ মেডিটেরেনিয়ান সাগরে</t>
  </si>
  <si>
    <t>বলব্যাল কৌশলে ভারতীয় দল</t>
  </si>
  <si>
    <t>ব্যবসা বাড়ছে প্রায় দশগুণ</t>
  </si>
  <si>
    <t>প্রাচীন ঐতিহ্যে ভ্রমণ করুন</t>
  </si>
  <si>
    <t>একাধিক ক্রেডিট কার্ড আছে</t>
  </si>
  <si>
    <t>ক্লাউড কম্পিউটিং এবং সার্ভারলেস</t>
  </si>
  <si>
    <t>তারা ট্রেন ধরেছে শহরে</t>
  </si>
  <si>
    <t>সমুদ্রে মাঝি নৌকা ছাড়ছেন</t>
  </si>
  <si>
    <t>রোমান্টিক নাটকে বৃদ্ধি হয়</t>
  </si>
  <si>
    <t>সাউন্ড একদম অসাধারণ লাগছে</t>
  </si>
  <si>
    <t>হকি একটি দ্রুতগতি খেলা</t>
  </si>
  <si>
    <t>কোয়ান্টাম কম্পিউটিং এবং ক্যাটালিস্ট</t>
  </si>
  <si>
    <t>ক্লাউড কম্পিউটিং সম্পর্কে তথ্য</t>
  </si>
  <si>
    <t>প্রতিষ্ঠানে ন্যায়বিচার নিশ্চিত করা</t>
  </si>
  <si>
    <t>ব্যাংকিং অ্যাপ ইনস্টল করুন</t>
  </si>
  <si>
    <t>হার্স রেসিং মাত্র ধাঁধাঁধাঁ</t>
  </si>
  <si>
    <t>বরিশালে চরভিটা ঘাতক বন্যা</t>
  </si>
  <si>
    <t>সাইক্লিং করা দীর্ঘদিন কর</t>
  </si>
  <si>
    <t>ডিজিটাল মার্কেটিং স্ট্রাটেজি পর্যালোচনা</t>
  </si>
  <si>
    <t>কমেডি যোদ্ধার ভোট দান</t>
  </si>
  <si>
    <t>প্রেমে পড়তে পারে অদ্ভুত</t>
  </si>
  <si>
    <t>সরকারের নীতি বিষয়ক চর্চা</t>
  </si>
  <si>
    <t>সামাজিক দায়িত্ব পালন করুন</t>
  </si>
  <si>
    <t>গোলফ খেলতে শিখছি আমি</t>
  </si>
  <si>
    <t>সুরের জগতে অংশগ্রহণ করো</t>
  </si>
  <si>
    <t>আমাদের সেবা উন্নত হচ্ছে</t>
  </si>
  <si>
    <t>ব্যক্তিগত বাজেট পর্যালোচনা করুন</t>
  </si>
  <si>
    <t>নায়িকা অসাধারণ অভিনয় করেছে</t>
  </si>
  <si>
    <t>ম্যানেজমেন্ট সফটওয়্যার ব্যবহার করুন</t>
  </si>
  <si>
    <t>কোলুম্বিয়া নদী আমাজনে মিলে</t>
  </si>
  <si>
    <t>ইস্টার দ্বীপ প্যাসিফিক মহাসাগরে</t>
  </si>
  <si>
    <t>একটি লোন এপ্লাই করুন</t>
  </si>
  <si>
    <t>প্রিয় গানে চলছে সিনেমা</t>
  </si>
  <si>
    <t>তালে কাঁপছে বাঙালি হৃদয়</t>
  </si>
  <si>
    <t>একটি গ্যালারি ভ্রমণ করুন</t>
  </si>
  <si>
    <t>আইওটি এবং সংযোজন ব্যবস্থান</t>
  </si>
  <si>
    <t>শিক্ষা অন্ধকার দূর করে</t>
  </si>
  <si>
    <t>স্কেটিং শেখা আমার পছন্দ</t>
  </si>
  <si>
    <t>রাতে বাগানে আড্ডা দিন</t>
  </si>
  <si>
    <t>সুর সৃষ্টি করুন আত্মবিশ্বাসে</t>
  </si>
  <si>
    <t>ইণ্টারনেট অব থিংসের ব্যবহার</t>
  </si>
  <si>
    <t>কাউন্টার সাইবার অ্যাট্যাক প্রতিরোধ</t>
  </si>
  <si>
    <t>কুরিশিয়া দ্বীপ একছবি সুখবর</t>
  </si>
  <si>
    <t>কাস্টিং একদম উত্কৃষ্ট লাগছে</t>
  </si>
  <si>
    <t>বলের ক্ষেত্রে সাবাশ বাংলাদেশ</t>
  </si>
  <si>
    <t>সরকারের কার্যক্রম সহায়ক হচ্ছে</t>
  </si>
  <si>
    <t>হকি খেলা তোমার জন্য</t>
  </si>
  <si>
    <t>আমরা গাড়ি কিনে দিয়েছি</t>
  </si>
  <si>
    <t>ক্রিকেট ম্যাচ দেখতে মজা</t>
  </si>
  <si>
    <t>ব্যক্তিগত অর্থনীতি কার্যকর করুন</t>
  </si>
  <si>
    <t>হ্যারি পটার নতুন আসছে</t>
  </si>
  <si>
    <t>সফল হতে কষ্ট করতেছি</t>
  </si>
  <si>
    <t>রাজনীতি নীতি নির্ধারণ করে</t>
  </si>
  <si>
    <t>সবার চেষ্টা শিক্ষার উন্নয়ন</t>
  </si>
  <si>
    <t>স্কাইফল সাইফাই মোভি আসছে</t>
  </si>
  <si>
    <t>শিক্ষ মানবতা প্রসারিত করে</t>
  </si>
  <si>
    <t>হিসাব সহায়ক প্রযুক্তি ব্যবহার</t>
  </si>
  <si>
    <t>টাকা বৃদ্ধি হাস্যকর লাগছে</t>
  </si>
  <si>
    <t>কিশোর কুমারের আলাপ মগ্ন</t>
  </si>
  <si>
    <t>সুরক্ষিত ইন্টারনেট ব্যবহার করুন</t>
  </si>
  <si>
    <t>সঙ্গীত তার মাধ্যমিক ভাষা</t>
  </si>
  <si>
    <t>জীবনে অতীতে একটি ছবি</t>
  </si>
  <si>
    <t>প্রযুক্তির সাথে বিজ্ঞান মেলান</t>
  </si>
  <si>
    <t>ব্যাংক শাখা সমীক্ষা করুন</t>
  </si>
  <si>
    <t>সুরক্ষিত করুন আপনার পাসওয়ার্ড</t>
  </si>
  <si>
    <t>পাখির দেশে ভ্রমণ করুন</t>
  </si>
  <si>
    <t>সাঁতার ধরলে মন খারাপ</t>
  </si>
  <si>
    <t>বন্যার সাথে সফর করুন</t>
  </si>
  <si>
    <t>শিক্ষার মাধ্যমে সৃজনশীল হোন</t>
  </si>
  <si>
    <t>পোষ্টকার্ড অর্ডার করুন আজই</t>
  </si>
  <si>
    <t>গাওয়া সেরা কাজটি তার</t>
  </si>
  <si>
    <t>অর্থনৈতিক প্রতিষ্ঠানে চাকরি করুন</t>
  </si>
  <si>
    <t>শিক্ষার মাধ্যমে চিন্তা বাড়ছে</t>
  </si>
  <si>
    <t>বৃদ্ধিশীল বাজার প্রণালী রয়েছে</t>
  </si>
  <si>
    <t>হিসেব বিবরণ অদ্যতিত দেখুন</t>
  </si>
  <si>
    <t>হেমন্ত মুখোপাধ্যায়ের সুরে মগ্ন</t>
  </si>
  <si>
    <t>সংবিধানে পরিবর্তন প্রস্তুতি চলছে</t>
  </si>
  <si>
    <t>গল্পের চরিত্রটি ভালো আছে</t>
  </si>
  <si>
    <t>রহস্যময় প্লট হয়েছে এইটি</t>
  </si>
  <si>
    <t>ব্যাংক সার্টিফিকেট ভেট করুন</t>
  </si>
  <si>
    <t>রাজনৈতিক সংবাদ সংগঠনের দায়িত্ব</t>
  </si>
  <si>
    <t>সৈকতে ঘুরতে একটি কথা</t>
  </si>
  <si>
    <t>কবির সাহিত্যে সঙ্গীতের মাধুর্য</t>
  </si>
  <si>
    <t>সার্কাসের মাঝে প্রেমকাহিনী ছবি</t>
  </si>
  <si>
    <t>উদ্যোগ ভবিষ্যতে দেখুন পরিকল্পনা</t>
  </si>
  <si>
    <t>লালনগীতির সুরে জীবনের কবিতা</t>
  </si>
  <si>
    <t>বিজ্ঞান মিউজিয়ামে গিয়ে দেখুন</t>
  </si>
  <si>
    <t>বাংলাদেশে মহাকালী নদী বহুল</t>
  </si>
  <si>
    <t>পুরানো সময়ে পুনঃমিলন হয়েছে</t>
  </si>
  <si>
    <t>আপনার একাউন্ট মোনিটর করুন</t>
  </si>
  <si>
    <t>হেক্টর ক্রিয়া এবং সংবাদ</t>
  </si>
  <si>
    <t>আর্কটিক তুষারময় প্রাকৃতিক দৃশ্য</t>
  </si>
  <si>
    <t>মেশিন লার্নিং একটি ইনভোভ</t>
  </si>
  <si>
    <t>নাজরুলের কবিতা সংগীত হয়েছে</t>
  </si>
  <si>
    <t>হাইব্রিড ডেটা স্টোরেজ সমাধান</t>
  </si>
  <si>
    <t>মৌলবাদ দমনে আগ্রহী থাকা</t>
  </si>
  <si>
    <t>টাকা লেনদেন সুরক্ষিত হতে</t>
  </si>
  <si>
    <t>ভ্রমণ বুকিং আগে পড়ুন</t>
  </si>
  <si>
    <t>সুরের মাধুর্য আছে তার</t>
  </si>
  <si>
    <t>সংসদে সমর্থন প্রস্তুতি মোকাবিলা</t>
  </si>
  <si>
    <t>গোল মহাল দর্শন করুন</t>
  </si>
  <si>
    <t>অপরাধে নেতা অভিযুক্ত রয়েছে</t>
  </si>
  <si>
    <t>সুরে তার মগ্ন হোক</t>
  </si>
  <si>
    <t>প্রযুক্তির মাধ্যমে শেখা সুবিধাজনক</t>
  </si>
  <si>
    <t>সংবিধানে সমর্থন ও পরিবর্তন আছে</t>
  </si>
  <si>
    <t>লতা মঙ্গেশকরের সুরে স্বপ্ন</t>
  </si>
  <si>
    <t>ক্যাম্পিং করুন জুলাই মাসে</t>
  </si>
  <si>
    <t>সিনেমা দেখার পর বিনোদনময়</t>
  </si>
  <si>
    <t>সঞ্চয় হিসেবে জমা করুন</t>
  </si>
  <si>
    <t>হাডওয়্যার এবং সফ্টওয়্যার ইন্টেগ্রেশন</t>
  </si>
  <si>
    <t>জীবন্ত প্রাণীর খোলামেলা দেখুন</t>
  </si>
  <si>
    <t>সুদ দর চেক করুন</t>
  </si>
  <si>
    <t>কোরিয়াতে যাওয়ার পরামর্শ নিন</t>
  </si>
  <si>
    <t>ছাত্রছাত্রীরা প্রোজেক্ট পরিচালনা করছে</t>
  </si>
  <si>
    <t>গোল্ফে পারে হৃদয়জুড়ে খেলা</t>
  </si>
  <si>
    <t>ছাত্রবৃন্দ নতুন ধারাবাহিক শিখছে</t>
  </si>
  <si>
    <t>লোন চুক্তি অনুসারে মান্য</t>
  </si>
  <si>
    <t>বাজার পরিষেবা মূল্যায়ন করুন</t>
  </si>
  <si>
    <t>কাহিনীটি অদ্ভুত ছিলো সত্যিই</t>
  </si>
  <si>
    <t>স্কোয়াশ খেলতে সমৃদ্ধি হয়</t>
  </si>
  <si>
    <t>সহজে বুঝতে সাধনা করো</t>
  </si>
  <si>
    <t>পরীক্ষায় ভালো ফল করি</t>
  </si>
  <si>
    <t>সুরক্ষিত একাউন্ট ব্যবহার করুন</t>
  </si>
  <si>
    <t>ব্যাঙ্ক লেনদেন রেকর্ড করুন</t>
  </si>
  <si>
    <t>বই পড়ার উপকারিতা অসীম</t>
  </si>
  <si>
    <t>গায়ক সুমনের স্বর ভূলেনা</t>
  </si>
  <si>
    <t>শিক্ষক ছাত্রদের সাথে সহযোগিতা</t>
  </si>
  <si>
    <t>সৃজনশীল ছবি আসল কথা</t>
  </si>
  <si>
    <t>গানে ভাবনা প্রকাশ করুন</t>
  </si>
  <si>
    <t>ক্যামেরা কাজ করেছিলো ভালোভাবে</t>
  </si>
  <si>
    <t>লোন আবেদন পূর্ণ করুন</t>
  </si>
  <si>
    <t>যুক্তরাষ্ট্রে গ্রেট সল্টলেক অবস্থিত</t>
  </si>
  <si>
    <t>শিক্ষা ও প্রশিক্ষণ ব্যয়সুলভ</t>
  </si>
  <si>
    <t>নির্বাচনে জনপ্রিয় নেতৃ সহজজনক</t>
  </si>
  <si>
    <t>শ্রীকান্তের গানে ভারতীয় সৌন্দর্য</t>
  </si>
  <si>
    <t>ডেটা স্টোরেজ সুরক্ষিত রাখুন</t>
  </si>
  <si>
    <t>সফল হতে পরিশ্রম করিয়াছি</t>
  </si>
  <si>
    <t>ভূপৃষ্ঠে উত্তর ধ্রুবতারা আছে</t>
  </si>
  <si>
    <t>একাউন্ট ব্যালেন্স এসএমএস করুন</t>
  </si>
  <si>
    <t>শিক্ষার জন্য ভ্রমণ করুন</t>
  </si>
  <si>
    <t>ট্যুরিস্ট গাইড নিন সাথে</t>
  </si>
  <si>
    <t>হোম লোন সুযোগ দিচ্ছে</t>
  </si>
  <si>
    <t>কম্পিউটার হ্যাকিং প্রতিরোধে বাড়তি</t>
  </si>
  <si>
    <t>যোদ্ধা সাগা সত্যিই শক্তিশালী</t>
  </si>
  <si>
    <t>পামির পর্বতে তাজিকিস্তান অবস্থিত</t>
  </si>
  <si>
    <t>অর্থনীতি সংস্থা তৈরি করুন</t>
  </si>
  <si>
    <t>ভূতের গল্প ভিতরে আছে</t>
  </si>
  <si>
    <t>সাইবার ফিজিক্যাল এট্যাক ডিটেকশন</t>
  </si>
  <si>
    <t>ব্যাংক ম্যানেজার সাথে মিল</t>
  </si>
  <si>
    <t>তালে মিলে বাজে ধ্রুপদ</t>
  </si>
  <si>
    <t>সাহায্যে পারিসে ভ্রমণ করুন</t>
  </si>
  <si>
    <t>এফটিপি সুযোগ দিচ্ছে ব্যাংক</t>
  </si>
  <si>
    <t>বিজ্ঞানে রুচি চোখে দেখানো</t>
  </si>
  <si>
    <t>হিসেব করো কাজের বৃদ্ধি</t>
  </si>
  <si>
    <t>শিক্ষিত জাতি সমৃদ্ধ জাতি</t>
  </si>
  <si>
    <t>রোমান্টিক মুডে আছে চলচ্চিত্রটি</t>
  </si>
  <si>
    <t>সমুদ্রে নীল ঢেউ দেখছি</t>
  </si>
  <si>
    <t>নুয়ে গিনি পাহাড় উচ্চ</t>
  </si>
  <si>
    <t>অদ্ভুত প্রতিবেদন দিচ্ছে সিনেমা</t>
  </si>
  <si>
    <t>স্কেটিং পথে মাঝে মাঝে</t>
  </si>
  <si>
    <t>কম্পিউটার নেটওয়ার্কিং বেসিক্স শেখা</t>
  </si>
  <si>
    <t>বাজার আবহাওয়া মনিটর করুন</t>
  </si>
  <si>
    <t>ব্যক্তিগত অর্থ পরিস্থিতি বোঝান</t>
  </si>
  <si>
    <t>দূরদূরে ঘুরতে যান সময়</t>
  </si>
  <si>
    <t>মূলধন বাড়াতে নির্দ্বিধান করুন</t>
  </si>
  <si>
    <t>সাঁতার তৈরি করতে পারি</t>
  </si>
  <si>
    <t>প্রভাবশালী অভিনয় দেখতে পাচ্ছি</t>
  </si>
  <si>
    <t>পার্কে শিশুরা খেলা করে</t>
  </si>
  <si>
    <t>আপনার হিসেব বৃদ্ধি করুন</t>
  </si>
  <si>
    <t>আমি একটি দরবার করেছি</t>
  </si>
  <si>
    <t>ক্রিকেট ম্যাচ দেখতে ভালো</t>
  </si>
  <si>
    <t>সাহারা মৃদুস্থল আফ্রিকায় প্রসারিত</t>
  </si>
  <si>
    <t>দলের প্রতিষ্ঠানায় জনসমর্থন বৃদ্ধি</t>
  </si>
  <si>
    <t>আদৌদ কিংডমে ভ্রমণ করুন</t>
  </si>
  <si>
    <t>শিক্ষার মাধ্যমে সমাজ উন্নত</t>
  </si>
  <si>
    <t>আধুনিক সময়ের চলচ্চিত্র দেখুন</t>
  </si>
  <si>
    <t>টেনিস খেলতে ভালো লাগে</t>
  </si>
  <si>
    <t>কম্পিউটার নেটওয়ার্ক স্থাপন করুন</t>
  </si>
  <si>
    <t>ডাটা ভাইজুয়ালাইজেশন কৌশল বৃদ্ধি</t>
  </si>
  <si>
    <t>স্কেটিং একটি বিশেষ দক্ষতা</t>
  </si>
  <si>
    <t>তার সুর অদ্ভুত লাগছে</t>
  </si>
  <si>
    <t>অর্থনীতি উন্নত করুন বিশ্বজুড়ে</t>
  </si>
  <si>
    <t>মোবাইল অ্যাপ্লিকেশন ডেভেলপমেন্ট ট্রেনিং</t>
  </si>
  <si>
    <t>সোনার সুরে বাজছে ধ্বনি</t>
  </si>
  <si>
    <t>ছাত্রদের জন্য নতুন প্রোগ্রাম</t>
  </si>
  <si>
    <t>আমাজন নদীতে বন্যা উত্স</t>
  </si>
  <si>
    <t>এটি একটি চমৎকার গল্প</t>
  </si>
  <si>
    <t>দলে নতুন নেতার বিনিময়</t>
  </si>
  <si>
    <t>রাষ্ট্রপতি ভোট দিন সবাই</t>
  </si>
  <si>
    <t>তীরে মানুষ বিশ্রাম নিচ্ছে</t>
  </si>
  <si>
    <t>প্রতিকূল দলে জোর হয়েছে</t>
  </si>
  <si>
    <t>একুশ তারিখে তাইলে বইমেলায় যাচ্ছি</t>
  </si>
  <si>
    <t>শিক্ষকদের অধ্যাপনা পরিবর্তন হচ্ছে</t>
  </si>
  <si>
    <t>সাঁতার দিয়ে শরীরচর্চা করি</t>
  </si>
  <si>
    <t>বিশেষজ্ঞের সাথে শিক্ষা প্রয়োজন</t>
  </si>
  <si>
    <t>বায়োমেট্রিক একেশন অনুমোদিত হচ্ছে</t>
  </si>
  <si>
    <t>সঠিক শিক্ষায় জীবন উন্নত</t>
  </si>
  <si>
    <t>সমুদ্রের তীরে বৃষ্টি হয়েছে</t>
  </si>
  <si>
    <t>শিক্ষা হলো জ্ঞানের আলোকবর্ষ</t>
  </si>
  <si>
    <t>পরীক্ষার জন্য সঠিক প্রস্তুতি</t>
  </si>
  <si>
    <t>নেতাদের মধ্যে বিরোধ হচ্ছে</t>
  </si>
  <si>
    <t>অর্থনীতি সামাজিক প্রস্তুতি আছে</t>
  </si>
  <si>
    <t>রাজনীতি মানবাধিকার পরিস্থিতি পরীক্ষা</t>
  </si>
  <si>
    <t>ন্যানোটেকনোলজি এবং মাটেরিয়াল সাইন্স</t>
  </si>
  <si>
    <t>বিপক্ষে ভোট দিন সকলে</t>
  </si>
  <si>
    <t>তীরে শয়িত হয়েছে সমুদ্র</t>
  </si>
  <si>
    <t>হকি ম্যাচে আগামী সপ্তাহে</t>
  </si>
  <si>
    <t>স্কেটিং খেলতে পছন্দ করি</t>
  </si>
  <si>
    <t>একটি ভালো নির্মিত চলচ্চিত্র</t>
  </si>
  <si>
    <t>তাদের সাইকেল চালাতে হচ্ছে</t>
  </si>
  <si>
    <t>স্মার্টফোন অ্যাপ্লিকেশন ডেভেলপমেন্ট কর</t>
  </si>
  <si>
    <t>ছাত্রদের জন্য উপকারী কোর্স</t>
  </si>
  <si>
    <t>স্কেটিং করা খুব শখ</t>
  </si>
  <si>
    <t>নায়িকা ভালোমত অভিনয় করে</t>
  </si>
  <si>
    <t>সতর্কজনদের দৃষ্টিকোণ দেখা হয়</t>
  </si>
  <si>
    <t>ভাইরাল মার্কেটিং স্ট্রাটেজি অধ্যায়ন</t>
  </si>
  <si>
    <t>সাইবার সিকিউরিটি এক্সপার্ট ট্রেনিং</t>
  </si>
  <si>
    <t>সংবিধান সংরক্ষণ করুন সবাই</t>
  </si>
  <si>
    <t>হকি ম্যাচ চমকপূর্ণ লাগছে</t>
  </si>
  <si>
    <t>হকি ম্যাচ মনে রাখা</t>
  </si>
  <si>
    <t>সংবিধান পরিমার্জনে জনসমর্থন চলছে</t>
  </si>
  <si>
    <t>চলচ্চিত্রে মজার কিছু ঘটনা</t>
  </si>
  <si>
    <t>অদ্ভুত অদ্ভুত সাইফাই চলছে</t>
  </si>
  <si>
    <t>শ্রীকান্ত আচার্যের রোমান্টিক গান</t>
  </si>
  <si>
    <t>ফুটবল বল নেমে আসুন</t>
  </si>
  <si>
    <t>মুজিবনগর মেমোরিয়াল দর্শন করুন</t>
  </si>
  <si>
    <t>সুরক্ষিত করুন আপনার কার্ড</t>
  </si>
  <si>
    <t>ক্রেডিট স্কোর চেক করুন</t>
  </si>
  <si>
    <t>বুলেট ট্রেইনে চলছে সাস্পেন্স</t>
  </si>
  <si>
    <t>যোগাযোগ ভালো ছিল কাহিনীতে</t>
  </si>
  <si>
    <t>মজার কমেডি হাসির দিন</t>
  </si>
  <si>
    <t>সমুদ্র সৈকতে মজা করুন</t>
  </si>
  <si>
    <t>বিশেষজ্ঞের সাথে অনুসন্ধান করো</t>
  </si>
  <si>
    <t>তারা যুদ্ধে প্রতিপক্ষে মোহিত</t>
  </si>
  <si>
    <t>সোনালি ডেবিট কার্ড সুযোগ</t>
  </si>
  <si>
    <t>সুরের মাধুর্যে বুঝতে হয়</t>
  </si>
  <si>
    <t>শিক্ষক ছাড়া শিক্ষা সম্ভব</t>
  </si>
  <si>
    <t>উদ্যোগে মুনাফা দেখুন প্রতিবার</t>
  </si>
  <si>
    <t>জমিনে বৃষ্টি সম্প্রেষণ হয়</t>
  </si>
  <si>
    <t>শ্রীময়ী বাংলা সঙ্গীত ইতিহাস</t>
  </si>
  <si>
    <t>বলিং করতে বোলার গুরুত্বপূর্ণ</t>
  </si>
  <si>
    <t>সফরে হোটেল বুক করুন</t>
  </si>
  <si>
    <t>মোট ব্যাংকিং সুবিধা প্রদান</t>
  </si>
  <si>
    <t>আর্কিটেকচার এবং ডিজাইন প্যাটার্ন</t>
  </si>
  <si>
    <t>ধ্বনির সুরে বাঁচছে সংস্কৃতি</t>
  </si>
  <si>
    <t>শিক্ষকের ভালোবাসা শিক্ষার্থী উৎসাহিত</t>
  </si>
  <si>
    <t>কৃষি সহায়ে অর্থনীতি চালান</t>
  </si>
  <si>
    <t>নোটিশ দেওয়া হল দলকে</t>
  </si>
  <si>
    <t>সততা জীবনের গুরুত্বপূর্ণ মূল্যবোধ</t>
  </si>
  <si>
    <t>পার্কে মানুষ বিনোদন পায়</t>
  </si>
  <si>
    <t>রাগে রঙিন বৃষ্টির মতো</t>
  </si>
  <si>
    <t>দেশের বিভিন্ন রাজধানি ঘুরুন</t>
  </si>
  <si>
    <t>অধ্যয়নে এগিয়ে এসো সবাই</t>
  </si>
  <si>
    <t>লোন আবেগ কমেছে স্বভাবিকভাবে</t>
  </si>
  <si>
    <t>একাধিক ডিভাইসে মোবাইল ডেভেলপমেন্ট</t>
  </si>
  <si>
    <t>আকর্ষণীয় স্থানে ঘুরতে যান</t>
  </si>
  <si>
    <t>নিয়মিত অর্থনৈতিক মূল্যায়ন করুন</t>
  </si>
  <si>
    <t>বিদেশে নতুন দৃশ্য দেখুন</t>
  </si>
  <si>
    <t>মোবাইল কম্পিউটিং সুবিধা বৃদ্ধি</t>
  </si>
  <si>
    <t>চমৎকার দৃশ্যবদ্ধতা ছিল চলচ্চিত্রে</t>
  </si>
  <si>
    <t>সম্পূর্ণ পরিবর্তনে ভরসা রাখুন</t>
  </si>
  <si>
    <t>হেমন্ত মুখোপাধ্যায় গায়ে ভরপুর</t>
  </si>
  <si>
    <t>আইনিক পরিমাণ ধারণ করুন</t>
  </si>
  <si>
    <t>কারিবিয়ান সামুদ্র অবস্থিত আমেরিকায়</t>
  </si>
  <si>
    <t>বই পড়ার অভ্যন্তরে জীবন</t>
  </si>
  <si>
    <t>ক্রয়ের জন্য টাকা পোস্ট</t>
  </si>
  <si>
    <t>সবাই ছবি দেখতে চায়</t>
  </si>
  <si>
    <t>সার্বিক ভোটার বিশ্বাস গুরুত্বপূর্ণ</t>
  </si>
  <si>
    <t>প্রাকৃতিক সৌন্দর্যে উপভোগ করুন</t>
  </si>
  <si>
    <t>দক্ষিণ এশিয়া ঘুরে আসুন</t>
  </si>
  <si>
    <t>হিসেব বই পরীক্ষা করুন</t>
  </si>
  <si>
    <t>ধ্বনিশীল রাতে বাদ্যযন্ত্রে মাহফিল</t>
  </si>
  <si>
    <t>রাজনৈতিক দলে সংঘর্ষ তীব্র</t>
  </si>
  <si>
    <t>টেনিস কোর্টে বল ছোঁয়ান</t>
  </si>
  <si>
    <t>আপনার পাসওয়ার্ড পরিবর্তন করুন</t>
  </si>
  <si>
    <t>নদীর সৈকতে বোট ভ্রমণ</t>
  </si>
  <si>
    <t>পড়ালেখার মাধ্যমে সমাজ উন্নত</t>
  </si>
  <si>
    <t>সফল ক্রাইম থ্রিলার সিরিজ</t>
  </si>
  <si>
    <t>শিক্ষায় নতুন প্রযুক্তির উপযোগ</t>
  </si>
  <si>
    <t>আত্মবিশ্বাসে ভরা চরিত্র তার</t>
  </si>
  <si>
    <t>ব্যবসা চালানোর লাইসেন্স নিন</t>
  </si>
  <si>
    <t>একটি শখে কোডিং শেখা</t>
  </si>
  <si>
    <t>গিটারে রঙিন সুরময় জগত</t>
  </si>
  <si>
    <t>নেতার ভোট মানবের হাতে আছে</t>
  </si>
  <si>
    <t>একুশে তাইলে টেনিস খেলছি আমরা</t>
  </si>
  <si>
    <t>একটি সুরময় বাদ্য সংসার</t>
  </si>
  <si>
    <t>আমি বিশ্রাম নিচ্ছি হোটেলে</t>
  </si>
  <si>
    <t>সিনেমা দেখতে ভালো লাগলো</t>
  </si>
  <si>
    <t>ডেটা সিকিউরিটি প্রস্তুতি নিন</t>
  </si>
  <si>
    <t>রাগে বজায় সোনার হৃদয়</t>
  </si>
  <si>
    <t>রম্য সঙ্গীতে সুখের প্রবাহ</t>
  </si>
  <si>
    <t>সঙ্গীত শোনলে হৃদয় ভরে</t>
  </si>
  <si>
    <t>ক্লাউড কম্পিউটিং সার্ভিসের ব্যবহার</t>
  </si>
  <si>
    <t>সিনেমা দেখে হাসির সময়</t>
  </si>
  <si>
    <t>পড়াশোনা জীবনের একটি অংশ</t>
  </si>
  <si>
    <t>আমি সাফারি করছি জাঙ্গলে</t>
  </si>
  <si>
    <t>নায়কের বৃদ্ধি অভিনয় অসাধারণ</t>
  </si>
  <si>
    <t>হোটেলে রুম বুক করুন</t>
  </si>
  <si>
    <t>শাঁহনাই শোনা সোনার বাঙালি</t>
  </si>
  <si>
    <t>শিক্ষা মানব বিকাশের হাতিয়ার</t>
  </si>
  <si>
    <t>চরিত্রের বিশেষ প্রকার আছে</t>
  </si>
  <si>
    <t>হেক্টর চেইন ম্যানেজমেন্ট ট্রেনিং</t>
  </si>
  <si>
    <t>বাজেটে মানবাধিকার অনুমোদন প্রদান</t>
  </si>
  <si>
    <t>একটি বোনাস হিসাব খুলুন</t>
  </si>
  <si>
    <t>ব্লকচেইন প্রযুক্তি ও ক্রিপ্টোকারেন্সি</t>
  </si>
  <si>
    <t>ভ্রমণে হোটেল সঞ্চয় করুন</t>
  </si>
  <si>
    <t>বাজার সামগ্রিক অবস্থা নিন</t>
  </si>
  <si>
    <t>শিল্প উৎপাদন বৃদ্ধি পাচ্ছে</t>
  </si>
  <si>
    <t>বৃদ্ধি লাভ ব্যাংক আকর্ষণীয়</t>
  </si>
  <si>
    <t>তাবলা তালে সংগীতে পুনর্জাগরণ</t>
  </si>
  <si>
    <t>তাবলার তালে রঙিন রাত</t>
  </si>
  <si>
    <t>নীতি পরিচালনা সুনির্দিষ্টভাবে করুন</t>
  </si>
  <si>
    <t>ফিশিং করতে প্রস্তুতি নিন</t>
  </si>
  <si>
    <t>বাজেটে স্বাস্থ্য বৃদ্ধি করুন</t>
  </si>
  <si>
    <t>ফরমুলা রেসিং অনুষ্ঠান মজার</t>
  </si>
  <si>
    <t>স্মার্টফোনের একটি নতুন ফিচার</t>
  </si>
  <si>
    <t>ব্যাংক ঋণে অনুমোদন পান</t>
  </si>
  <si>
    <t>ইউনিভার্সাল রোবটিক্স এবং এআআআই</t>
  </si>
  <si>
    <t>ভুল শুধরে নিতে শিখি</t>
  </si>
  <si>
    <t>ব্যক্তিগত অভিজ্ঞতা করুন স্থানে</t>
  </si>
  <si>
    <t>শিক্ষকের গুরুত্ব অসীম দায়িত্ব</t>
  </si>
  <si>
    <t>চাঁদনী রাতে সৈকতে থাকুন</t>
  </si>
  <si>
    <t>চরিত্রগুলি সুস্বাদু ও রোমাঞ্চক</t>
  </si>
  <si>
    <t>বৃহত্তর নেতা সম্মানিত হয়েছেন</t>
  </si>
  <si>
    <t>বাণিজ্যিক ক্রিয়া সৃষ্টি করুন</t>
  </si>
  <si>
    <t>কোম্পানি প্রতিষ্ঠানে আমার লাভ আছে</t>
  </si>
  <si>
    <t>টাকা জমা করুন একাউন্টে</t>
  </si>
  <si>
    <t>ক্লাউড কম্পিউটিং সুবিধা সরবরাহ</t>
  </si>
  <si>
    <t>গোল্ফ খেলা বৃষ্টির সময়</t>
  </si>
  <si>
    <t>সুস্বাদু ছবি দেখার সময়</t>
  </si>
  <si>
    <t>ফুটবল খেলা শহরের মাঝে</t>
  </si>
  <si>
    <t>প্রধানমন্ত্রী আদায় করছে দায়িত্ব</t>
  </si>
  <si>
    <t>ভ্রমণের জন্য সাইকেল নিন</t>
  </si>
  <si>
    <t>গল্ফে শখের সময় কাটে</t>
  </si>
  <si>
    <t>ব্লকচেইন টেকনোলজির অনুসন্ধান করুন</t>
  </si>
  <si>
    <t>আধুনিক প্রযুক্তি অনুসন্ধান করুন</t>
  </si>
  <si>
    <t>হাইব্রিড ক্লাউড কম্পিউটিং মডেল</t>
  </si>
  <si>
    <t>ব্যাংক হিসেবে টাকা বৃদ্ধি</t>
  </si>
  <si>
    <t>হার্স রেসিং দেখতে রোমান্টিক</t>
  </si>
  <si>
    <t>রবীন্দ্রনাথ সঙ্গীতে কবির প্রভাব</t>
  </si>
  <si>
    <t>অসীমের গানে ভালোবাসা মোহক</t>
  </si>
  <si>
    <t>বিশ্ব অর্থনীতি অনুসন্ধান করুন</t>
  </si>
  <si>
    <t>শিক্ষায় সৃজনশীলতা নতুন উদ্ভাবন</t>
  </si>
  <si>
    <t>সংসদে নতুন আইন প্রয়োজন</t>
  </si>
  <si>
    <t>মৌন সমুদ্র দেখতে আসছি</t>
  </si>
  <si>
    <t>মধ্যম প্রদেশ ভারতের অংশ</t>
  </si>
  <si>
    <t>কর্পোরেট বাজারে বৃদ্ধি করুন</t>
  </si>
  <si>
    <t>দেশব্যাপী বাজার অগ্রগতি পাচ্ছে</t>
  </si>
  <si>
    <t>ছবির পরিচালক শোক্রিয়া মোহন্তি</t>
  </si>
  <si>
    <t>প্রযুক্তির সাথে শিক্ষার সম্পর্ক</t>
  </si>
  <si>
    <t>রাতে আলোর দৃশ্য দেখুন</t>
  </si>
  <si>
    <t>ভূতের বাড়িতে রহস্যময় গল্প</t>
  </si>
  <si>
    <t>তাজিকিস্তান পমির পর্বতে অবস্থিত</t>
  </si>
  <si>
    <t>প্রযুক্তি প্রস্তুতি ধরতে হবে</t>
  </si>
  <si>
    <t>দক্ষিণ সমুদ্র ঘুরে আসুন</t>
  </si>
  <si>
    <t>আল্পস পর্বতের সৌন্দর্য অপার</t>
  </si>
  <si>
    <t>অক্টোবারে যুক্তরাষ্ট্র ঘুরতে যান</t>
  </si>
  <si>
    <t>বাইকে পর্যটক দলে আনুন</t>
  </si>
  <si>
    <t>জিমনাস্টিক্স করা ভালো লাগে</t>
  </si>
  <si>
    <t>ক্রেডিট কার্ড বিচার করুন</t>
  </si>
  <si>
    <t>সাইবার ​​ফিজিক্সে পুরস্কৃত হচ্ছে</t>
  </si>
  <si>
    <t>ব্যাডমিন্টন র্যাকেট তৈরি করুন</t>
  </si>
  <si>
    <t>জোড়ার মধ্যে মিস্ট্রি চলছে</t>
  </si>
  <si>
    <t>সাংসদের মধ্যে তরুণ নেতৃত্ব</t>
  </si>
  <si>
    <t>একুশে তাইলে ব্যাট ছোঁয়ানো</t>
  </si>
  <si>
    <t>রাজনীতি ব্যক্তিগত প্রতিষ্ঠান ছাড়া</t>
  </si>
  <si>
    <t>উচ্চশিক্ষায় ভর্তি পরীক্ষা দিন</t>
  </si>
  <si>
    <t>রোবোটিক্স এবং এআই বৈদ্যুতিন</t>
  </si>
  <si>
    <t>রাজনীতি প্রচুর আলোচনা হচ্ছে</t>
  </si>
  <si>
    <t>ব্রাজিলে বাসিলিক মন্দির রয়েছে</t>
  </si>
  <si>
    <t>একাধিক অপারেটিং সিস্টেমের পরিচিতি</t>
  </si>
  <si>
    <t>শিক্ষা বিষয়ে চর্চা করুন</t>
  </si>
  <si>
    <t>ব্যাংক একাধিক সুযোগ দেয়</t>
  </si>
  <si>
    <t>ফুটবলে গোল হলে উত্সাহ</t>
  </si>
  <si>
    <t>দ্বিধা অনুভব করে সঙ্গী</t>
  </si>
  <si>
    <t>বাংলাদেশে গাড়ি চলাচল বাড়ছে</t>
  </si>
  <si>
    <t>প্রোজেক্ট ম্যানেজমেন্ট টুল ব্যবহার করি</t>
  </si>
  <si>
    <t>বিশ্বকাপে বল বৃদ্ধি পেয়েছে</t>
  </si>
  <si>
    <t>চাঁদের রাতে বোট ভ্রমণ</t>
  </si>
  <si>
    <t>নৈতিকতা শিক্ষা জীবন গড়ে</t>
  </si>
  <si>
    <t>বৃদ্ধি হোক সেভিংস একাউন্টে</t>
  </si>
  <si>
    <t>বরিশালে নদীর সৌন্দর্য অমুক</t>
  </si>
  <si>
    <t>মিস্তি নদী বাঙালি উপকূলে</t>
  </si>
  <si>
    <t>মেঘে ঢাকা শহরটিতে আমি থাকি</t>
  </si>
  <si>
    <t>ডেটা সিকিউরিটি প্রোটোকল আন্ধার</t>
  </si>
  <si>
    <t>আর্কটিক বন্যা হোয়াইট বিচ</t>
  </si>
  <si>
    <t>প্রতিদিনের জীবনে রাজনৈতিক আলোচনা</t>
  </si>
  <si>
    <t>শতাধিক মিটার রান হচ্ছে</t>
  </si>
  <si>
    <t>বিশেষ ভাবে ভ্রমণ করুন</t>
  </si>
  <si>
    <t>বিজ্ঞানে আগ্রহ দেখা হচ্ছে</t>
  </si>
  <si>
    <t>মৌলিক চরিত্রে নিজেকে মনোনিবেশ</t>
  </si>
  <si>
    <t>পাহাড়ে ট্রেকিং অদ্ভুত অনুভূতি</t>
  </si>
  <si>
    <t>নিজেদের জন্য একটি বিমা</t>
  </si>
  <si>
    <t>বৃদ্ধি মোকাবিলা করুন ব্যাংকে</t>
  </si>
  <si>
    <t>সন্ধ্যা মুখোপাধ্যায় বাংলা গান</t>
  </si>
  <si>
    <t>মহোন্নত সুরবর্ণ সৃষ্টি করুন</t>
  </si>
  <si>
    <t>ফিশিং খেলা সুখবর প্রদর্শন</t>
  </si>
  <si>
    <t>ইতিহাসের প্রথম কম্পিউটার প্রোগ্রামার</t>
  </si>
  <si>
    <t>বাঙালি রকেস্ত্রারে ডান্সে উত্সাহ</t>
  </si>
  <si>
    <t>শিক্ষা ব্যবস্থাপনায় নতুন পরিবর্তন</t>
  </si>
  <si>
    <t>মুভি মুখ্য নয়া অবিন্যাসের</t>
  </si>
  <si>
    <t>ইতিহাস এবং বর্তমান কম্পিউটিং</t>
  </si>
  <si>
    <t>মিষ্টি প্রেমের কাহিনী চলচ্চিত্র</t>
  </si>
  <si>
    <t>হোটেলে সুবিধা পেতে আসুন</t>
  </si>
  <si>
    <t>সুপরিচিত নেতা পুনরায় নির্বাচিত</t>
  </si>
  <si>
    <t>রাজনৈতিক সমর্থনে বিদ্যমান সমস্যা</t>
  </si>
  <si>
    <t>ডাটা সাইন্সে আগ্রহী ছাত্রছাত্রীরা</t>
  </si>
  <si>
    <t>এটি একটি আবহাওয়া ছবি</t>
  </si>
  <si>
    <t>রাজনীতিক সমর্থনে বৃদ্ধি মন্ত্রণালয়ে</t>
  </si>
  <si>
    <t>লোন মান্যতা যাচাই করুন</t>
  </si>
  <si>
    <t>তার সুর সৃষ্টি করে</t>
  </si>
  <si>
    <t>মখনসর জলপ্রপাত ভূটানে অবস্থিত</t>
  </si>
  <si>
    <t>কম্পিউটার ভাইরাস রিমোভাল মেথড</t>
  </si>
  <si>
    <t>তারা পার্কে ঘুরতে যাচ্ছে</t>
  </si>
  <si>
    <t>গুগল ক্লাউড প্ল্যাটফর্ম ব্যবহার</t>
  </si>
  <si>
    <t>বিতর্ক হচ্ছে নেতাদের মধ্যে</t>
  </si>
  <si>
    <t>গতির সাথে দৌড়তে হয়</t>
  </si>
  <si>
    <t>বিশেষজ্ঞদের ডেটা মডেলিং প্রশিক্ষণ</t>
  </si>
  <si>
    <t>দেশে বৃদ্ধি হচ্ছে বাজারে</t>
  </si>
  <si>
    <t>স্বপ্ন পূরণ শিক্ষার মাধ্যমে</t>
  </si>
  <si>
    <t>বাস্কেটবল ম্যাচ উচ্চতা ছয়</t>
  </si>
  <si>
    <t>বিশ্ববিদ্যালয় ছাত্রদলে করোনা প্রবোধন</t>
  </si>
  <si>
    <t>আইস হকি খেলা চমৎকার</t>
  </si>
  <si>
    <t>সংগঠিত নেতৃত্বে দল প্রচার</t>
  </si>
  <si>
    <t>পার্টির জন্য বাড়ি ছাড়ুন</t>
  </si>
  <si>
    <t>রাগে মুখোমুখি হয় সুর</t>
  </si>
  <si>
    <t>দ্বীপ দেশসমূহ খুবই সুন্দর লাগে</t>
  </si>
  <si>
    <t>কঙ্গো বাসিন উত্তর আফ্রিকায়</t>
  </si>
  <si>
    <t>চেক খোলা হচ্ছে এখন</t>
  </si>
  <si>
    <t>কঙ্গো নদী মধ্যম আফ্রিকায়</t>
  </si>
  <si>
    <t>উদ্যোগে নিরাপদ থাকুন সুরক্ষিত</t>
  </si>
  <si>
    <t>মিলনের সুর আবিষ্কার করুন</t>
  </si>
  <si>
    <t>প্রতিদিনের জীবনে রাজনীতির প্রভাব</t>
  </si>
  <si>
    <t>চট্টগ্রামে বন্যার ভয় থাকে</t>
  </si>
  <si>
    <t>আঁধারছায়া গড়া গোল্ডেন গেট</t>
  </si>
  <si>
    <t>কবি সঞ্জয়ের সুর শোনান</t>
  </si>
  <si>
    <t>কম্পিউটার ভাষা প্রোগ্রামিং শেখুন</t>
  </si>
  <si>
    <t>একটি নায়িকা দৃষ্টিনন্দনের মুকুট</t>
  </si>
  <si>
    <t>পার্টি জনসংখ্যা বৃদ্ধি পাচ্ছে</t>
  </si>
  <si>
    <t>মহিলাদের রাজনৈতিক অংশগ্রহণ গুরুত্বপূর্ণ</t>
  </si>
  <si>
    <t>ভ্রমণ করুন আকাশচারী গ্রামে</t>
  </si>
  <si>
    <t>গানের সাথে বাজছে সারোদ</t>
  </si>
  <si>
    <t>মাকু পাহাড় নেপালে অবস্থিত</t>
  </si>
  <si>
    <t>সফরে হ্যান্ড স্যানিটাইজার নিন</t>
  </si>
  <si>
    <t>সফল ক্রিমিনাল থ্রিলার চলছে</t>
  </si>
  <si>
    <t>ডিজাইন প্রোটোটাইপ ডেভেলপমেন্ট চালান</t>
  </si>
  <si>
    <t>বাস্কেটবল ম্যাচ বিজয়ী হয়েছে</t>
  </si>
  <si>
    <t>নাগরিকের জন্য সুরক্ষা জরুরি</t>
  </si>
  <si>
    <t>সরকারের উদ্যোগ মানসম্মত শিক্ষা</t>
  </si>
  <si>
    <t>লোন টার্ম নির্ধারণ করুন</t>
  </si>
  <si>
    <t>প্রাকৃতিক দৃশ্যে হোটেলে থাকুন</t>
  </si>
  <si>
    <t>প্রধানমন্ত্রী ভোট জিতেছেন সাফল্যে</t>
  </si>
  <si>
    <t>ফ্রান্সে এফেল টাওয়ার প্রস্তুত</t>
  </si>
  <si>
    <t>আপনার উদ্যোগে বিজ্ঞানমূলক হোন</t>
  </si>
  <si>
    <t>প্রযুক্তির উন্নতি করুন বিশ্বজুড়ে</t>
  </si>
  <si>
    <t>মূলধন বাড়াতে চেষ্টা করুন</t>
  </si>
  <si>
    <t>আমি হারিয়েছি ক্রিকেট ম্যাচে</t>
  </si>
  <si>
    <t>গবেষণা এবং উন্নত তথ্যপ্রযুক্তি</t>
  </si>
  <si>
    <t>সজ্ঞানে বাজারে ভ্রমণ করুন</t>
  </si>
  <si>
    <t>প্রোগ্রামিং ভাষা নির্বাচন করুন</t>
  </si>
  <si>
    <t>গবেষণা ক্ষমতা বৃদ্ধি পাচ্ছে</t>
  </si>
  <si>
    <t>অর্থনৈতিক সামগ্রী বিনিময় করুন</t>
  </si>
  <si>
    <t>কম্পিউটার গেমিং ইন্ডাস্ট্রির অগ্রগতি</t>
  </si>
  <si>
    <t>তীরে বসে সমুদ্র দেখছি</t>
  </si>
  <si>
    <t>বিশেষ চরিত্রে অভিনয়ে প্রভু</t>
  </si>
  <si>
    <t>কিশোর কুমারের সুরে ভাস</t>
  </si>
  <si>
    <t>গল্ফ খেলা সুবিধাজনক খেলা</t>
  </si>
  <si>
    <t>হাতে হাতে লেনদেন করুন</t>
  </si>
  <si>
    <t>ডাটা সাইন্স এবং এনালিটিক্স</t>
  </si>
  <si>
    <t>লোন প্রযুক্তি ব্যবহার করুন</t>
  </si>
  <si>
    <t>ইউজার ইন্টারফেস ডিজাইনের প্রিন্সিপলস</t>
  </si>
  <si>
    <t>সরকারে নাগরিক অধিকার নিশ্চিত</t>
  </si>
  <si>
    <t>আইনি পরিচর্যা মেনে চলুন</t>
  </si>
  <si>
    <t>গুগল ফ্লাইট সিমুলেটর ব্যবহার</t>
  </si>
  <si>
    <t>বাজার অবস্থা পর্যালোচনা করুন</t>
  </si>
  <si>
    <t>বৈধ প্রমাণপত্র প্রদর্শন করুন</t>
  </si>
  <si>
    <t>ফুটবল খেলা খুব রম্য়</t>
  </si>
  <si>
    <t>অ্যাথলেটিকসে দৌড়ে সফলতা লাভ</t>
  </si>
  <si>
    <t>সুরে তার সৃষ্টি হোক</t>
  </si>
  <si>
    <t>উপকূলে বসবাস করা বিপদজনক</t>
  </si>
  <si>
    <t>রম্য সঙ্গীতে বিশেষ আবেগ</t>
  </si>
  <si>
    <t>কোচে বসে ভ্রমণ করুন</t>
  </si>
  <si>
    <t>ক্রিকেটে বিজয় হাতের কাছে</t>
  </si>
  <si>
    <t>জলময় নীল সাগর দেখেছি</t>
  </si>
  <si>
    <t>সুরের মাঝে রয়েছে ভাষা</t>
  </si>
  <si>
    <t>কঙ্গো নদী আফ্রিকায় প্রবাহিত</t>
  </si>
  <si>
    <t>সরকারের নীতি আলোচনা করুন</t>
  </si>
  <si>
    <t>সে সুরে ভরা আছে</t>
  </si>
  <si>
    <t>ক্যাড এবং সিএএড ডিজাইন</t>
  </si>
  <si>
    <t>নেতৃত্বে সংঘর্ষ ও সমাধান</t>
  </si>
  <si>
    <t>সাহারার মাধ্যমে অফ্রিকা বিভাগ</t>
  </si>
  <si>
    <t>স্মার্ট হোম টেকনোলজি বৃদ্ধি</t>
  </si>
  <si>
    <t>আমি আমার কোম্পানি বাড়াচ্ছি</t>
  </si>
  <si>
    <t>কম্পিউটার ভিশন রিসার্চ অগ্রগতি</t>
  </si>
  <si>
    <t>মুদ্রা প্রস্তুতি বৃদ্ধি দিন</t>
  </si>
  <si>
    <t>আপনি কোথায় ব্যাংক করছেন</t>
  </si>
  <si>
    <t>সরকারি প্রকল্পে দ্রুত প্রবৃদ্ধি</t>
  </si>
  <si>
    <t>রঙিন আর্থিক ক্ষেত্রে সিঙ্গাপুর</t>
  </si>
  <si>
    <t>হকির খেলায় আমি জয়ী</t>
  </si>
  <si>
    <t>বাস্কেটবল খেলা জনপ্রিয়</t>
  </si>
  <si>
    <t>আপনার ক্যামেরা সহিত নিন</t>
  </si>
  <si>
    <t>কাহিনী উত্কৃষ্ট ও মনোহর</t>
  </si>
  <si>
    <t>স্মার্ট টেকনোলজি ব্যবহার করুন</t>
  </si>
  <si>
    <t>একটি চায়ের বাগান ভ্রমণ</t>
  </si>
  <si>
    <t>মূলধন অর্জনে বিশেষজ্ঞ হন</t>
  </si>
  <si>
    <t>বৃদ্ধি পাচ্ছে ক্রাইম ড্রামা</t>
  </si>
  <si>
    <t>প্রাকৃতিক জগৎ উপভোগ করুন</t>
  </si>
  <si>
    <t>তিনি ট্রেকিং করতেছেন হিমালয়ে</t>
  </si>
  <si>
    <t>সুদ হিসাব উচিত ব্যবস্থাপনা</t>
  </si>
  <si>
    <t>আপাতকালীন প্রস্তুতি নেয়া হচ্ছে</t>
  </si>
  <si>
    <t>তুমি বাদ্য সঙ্গীত রচো</t>
  </si>
  <si>
    <t>প্যারিস সেন রিভার উপকূলে</t>
  </si>
  <si>
    <t>হিমালয়ে চূড়া বর্ফপাহাড়ি পর্বত</t>
  </si>
  <si>
    <t>একাধিক প্রোগ্রামিং ভাষার ট্রেনিং</t>
  </si>
  <si>
    <t>সাংবিদানিক ভোটে অংশ নিন</t>
  </si>
  <si>
    <t>নিজেদের ক্রয়ের জন্য ঋণ</t>
  </si>
  <si>
    <t>সংসদে যোগদান করুন দলে</t>
  </si>
  <si>
    <t>ক্রিকেট খেলার অভিজ্ঞতা আছে</t>
  </si>
  <si>
    <t>ডেটা সাইন্টিস্ট ক্যারিয়ার প্যাথ</t>
  </si>
  <si>
    <t>মুদ্রা প্রচলিত আছে না</t>
  </si>
  <si>
    <t>সাহায্যের জন্য প্রধান ডেস্টিনেশন</t>
  </si>
  <si>
    <t>বিখ্যাত নির্দেশকের নতুন চলচ্চিত্র</t>
  </si>
  <si>
    <t>বাজারে প্রতিস্থাপন সঠিক হোক</t>
  </si>
  <si>
    <t>ভোট দিন দলে আসুন</t>
  </si>
  <si>
    <t>বিজ্ঞানে প্রযুক্তি ব্যবহৃত হচ্ছে</t>
  </si>
  <si>
    <t>সুন্দরবনে বন্যপ্রাণী বিচরণ করে</t>
  </si>
  <si>
    <t>ব্যাডমিন্টন রম্বটে গুড়িয়ে যায়</t>
  </si>
  <si>
    <t>বাইট কৌশল বৃদ্ধি করুন</t>
  </si>
  <si>
    <t>সাউন্ডট্র্যাক সুন্দর ছিলো সত্যিই</t>
  </si>
  <si>
    <t>বক্স অফিসে মিটিয়ে নিন</t>
  </si>
  <si>
    <t>প্রাকৃতিক দৃশ্য উপভোগ করুন</t>
  </si>
  <si>
    <t>দীঘলোকে চায়ের বাগান দেখুন</t>
  </si>
  <si>
    <t>ব্যবসা করতে ঋণ নিন</t>
  </si>
  <si>
    <t>ভার্চুয়াল রিয়ালিটি একটি উদাহরণ</t>
  </si>
  <si>
    <t>শিক্ষা সামাজিক সমস্যার সমাধান</t>
  </si>
  <si>
    <t>সাঙ্গীতিক বাদ্যযন্ত্রে মাহফিল হচ্ছে</t>
  </si>
  <si>
    <t>কমেডি ছবি মনোমুগ্ধর লাগছে</t>
  </si>
  <si>
    <t>একাউন্ট স্টেটমেন্ট প্রয়োজন আছে</t>
  </si>
  <si>
    <t>ভাবতেই পারিনি যে এই রকম টুইস্ট পাবো অসাধারণ ছিলো</t>
  </si>
  <si>
    <t>Past</t>
  </si>
  <si>
    <t>অনেক সুন্দর ছবি যত বার দেখতাম ততবার ভালো লাগত সেটা বেস্ট ছিল</t>
  </si>
  <si>
    <t>সিনেমা দেখতে দেখতে কখন যে চোখের পানি এসে গেল বুঝলাম না অসাধারণ অভিনয় করেছিলেন রিয়াজ ও পূর্ণিমা</t>
  </si>
  <si>
    <t>কি অভিনয় কি লোকেশন কি মিউজিক এক কথায় অনবদ্য ছিল স্মরণীয় হতে থাকতো আনন্দ অশ্রু প্রত্যেকটা অভিনেত্রী কে কি সুন্দর বাবে উপস্থাপন করেছিল</t>
  </si>
  <si>
    <t>অতুলনীয় কাহিনী অনবদ্য অভিনয় অসাধারণ উপস্থাপনা চোখ ভিজত জলে</t>
  </si>
  <si>
    <t>নাচটা দেখে হাসতে হাসতে শেষ হয়ে যাচ্ছিলাম</t>
  </si>
  <si>
    <t>এইরকম ব্যাস্ত মানুষের সাথে সম্পর্ক রাখার দরকার ছিলনা কারন এই ব্যাস্ত মানুষ নিজের প্রয়োজন ছাড়া আমার সাথে ছিলনা</t>
  </si>
  <si>
    <t>সত্যিই ছবিটি খুব ভালো লেগেছিলো এবং এই রকম ছবি এখনো আর হয়নি</t>
  </si>
  <si>
    <t>সত্যি বলছি অসাধারণ সুন্দর সিনেমা ছিল অনেক ধন্যবাদ</t>
  </si>
  <si>
    <t>অসাধারণ গল্পের সিনেমা ছিল</t>
  </si>
  <si>
    <t>জলিলকে পাবনায় আর এরকম আক্কাস পরিচালকদের ওগান্ডায় পাঠানো উচিত ছিল</t>
  </si>
  <si>
    <t>পুরাই লস প্রজেক্ট হয়েছিল</t>
  </si>
  <si>
    <t>ছবিটা পারিবারিক ছবি ছিল যত দিন যাচ্ছিল তত ছবিটার সারমর্ম ফুটে উঠছিল</t>
  </si>
  <si>
    <t>এটা শুধু মুভি নই এই মুভি আমাদেরকে অনেক কিছু শিখিয়ে দিয়েছিল</t>
  </si>
  <si>
    <t>রাক্ষস জগতের সিনেমার কাহিনী ছিলো</t>
  </si>
  <si>
    <t>প্রজন্মের কাছে একটি বড় ইতিহাস হয়ে ছিল সেই মুভি</t>
  </si>
  <si>
    <t>আনন্দ অশ্রুর ধারে কাছেও ছিল না প্রিয়তমা</t>
  </si>
  <si>
    <t>এত সুন্দর গানগুলো আহা ছবিটাও অপূর্ব সুন্দর ছিল সকলের অভিনয়ে ছিল বাস্তবতা</t>
  </si>
  <si>
    <t>এই ছবি নিয়ে কোন কথা হবে না সালমান শাহ ও শাবনূর বিশ্বের সবচেয়ে সেরা জুটি ছিল সালমান শাহর সিনেমা দেখে চোখে জল এসে যাত</t>
  </si>
  <si>
    <t>সত্যি বলছিলাম মুভিটা খুব ভালো হয়েছিল মুভিটা দেখে আমার কষ্ট লাগতো</t>
  </si>
  <si>
    <t>চোখে পানি ধরে রাখতে পারিনি</t>
  </si>
  <si>
    <t>জয়ার অভিনয় মারাত্মক বাজে ছিল</t>
  </si>
  <si>
    <t>অনেক ছোট ছিলাম তখন মুভিটা দেখেছিলাম আবার মন চাইতো তাই দেখেছিলাম মুভিটা আমার খুব ভালো লাগত</t>
  </si>
  <si>
    <t>বাংলাদেশের প্রযোজক ও পরিচালকেরা আমিন খানের মত নায়কের সঠিক মূল্যায়ন ও ব্যবহার করতে পারেনি</t>
  </si>
  <si>
    <t>হেহেহেহেহেহেহেহে এটা নাকি জিতের মুভি ছিল</t>
  </si>
  <si>
    <t>পুরোটা মুভি অনেক ধৈর্য সহকারে দেখেছিলাম মুভিটা বাজে বোঝা যাচ্ছিল</t>
  </si>
  <si>
    <t>আমার খুব পছন্দের একটা সিনেমা ছিল অনেক বার দেখেছিলাম তার পরে ও দেখতে মন চায় অসাধারণ ছিল একটা সিনেমা</t>
  </si>
  <si>
    <t>মুভিটা চমৎকার ছিল বলার চেয়েও ভালো ছিল</t>
  </si>
  <si>
    <t>এই মুভিটার গল্প অসাধারণ ছিল আমার পক্ষ থেকে ভালোবাসা অভিরাম মিউজিক ও অভিনয় সুন্দর ছিল আমি অনেক বার দেখেছিলাম</t>
  </si>
  <si>
    <t>সুন্দর হয়েছিল গল্প টা মুভির</t>
  </si>
  <si>
    <t>সুপার ক্রিঞ্জ ছিল</t>
  </si>
  <si>
    <t>সত্যিই চোখে পানি চলে আসলো আগের মুভি গুলো কতই না সুন্দর ছিলে</t>
  </si>
  <si>
    <t>বাংলাদেশী সিনেমার ইতিহাসে অন্যতম সেরা ফিল্ম ছিল এটি</t>
  </si>
  <si>
    <t>বাচ্চাটার অভিনয় একেবারে থার্ড ক্লাস ছিল আগে ওকে ভালোমতো অভিনয় শেখানো হতো তারপরে মুভিতে নিয়ে আনার জন্য প্রস্তুতি হতো</t>
  </si>
  <si>
    <t>হিন্দি বাংলা মেশানো গান ফালতু ছিল</t>
  </si>
  <si>
    <t>কিরে ভাই ভুতের মুভি দেখে হাসি আসত কেন</t>
  </si>
  <si>
    <t>পরিচালক টা কে ছিল ভাই এগুলা কেউ বানাইছিল</t>
  </si>
  <si>
    <t>এখানে বাংলাদেশকে ছোট করা হয়েছিল</t>
  </si>
  <si>
    <t>বিশ্বাস করুন পুরোটা ভিডিও জড়িয়ে এক মুহূর্তের জন্যও চোখের পলক সরাতে পারিনি</t>
  </si>
  <si>
    <t>এমন ফলাফলের জন্য প্রস্তুত ছিলাম না</t>
  </si>
  <si>
    <t>আমার মনে হয় এখানে পরিচালকের গাফেলতি ছিল</t>
  </si>
  <si>
    <t>শাবনুর এর জীবনের সবথেকে বেষ্ট মুভি ছিল এটা শাবনুরের নিজের মুখের কথা ছবি টি দেখে কাদে নাই এমন মানুষ খুব কম ছিল</t>
  </si>
  <si>
    <t>না তো ভালো অভিনয় ছিল ভালো ডায়লগ না তো তার কন্ঠস্বর যেন মঞ্চে যাত্রা পালা হচ্ছিল যাত্রাপালা বললেও গ্রামবাংলার ঐতিহ্যগত যাত্রাপালারও অপমান হয়েছিল</t>
  </si>
  <si>
    <t>বাংলাদেশের আর কাজ কিছু ছিল না শুধু নকল করে ছবি বানাতো</t>
  </si>
  <si>
    <t>আমার দেখা বাংলাদেশের সেরার সেরা এবং জীবনে দেখাও অন‍্যতম সেরা ছবি ছিলো কতবার যে দেখেছিলাম কতবার যে কেঁদেছিলাম তার ইয়ত্তা নেই</t>
  </si>
  <si>
    <t>কাহিনি বুঝতে কষ্ট হয়েছিল</t>
  </si>
  <si>
    <t>যেমন অভিনয় করেছিল ফ্লপ তো হয়েই ছিল</t>
  </si>
  <si>
    <t>মুভিটা আমার কাছে অনেক ভালো লাগতো এবং সুন্দর ছিলো একটা মুভি</t>
  </si>
  <si>
    <t>এদের মা বাবা এই মুভি করতে দেয়নি কিভাবে</t>
  </si>
  <si>
    <t>একটি ভালো মনের মানুষ বলেই এমন সিনেমা বানাতে পেরেছিলন এই সিনেমাটি সবার মনে দাগ কেটেছিল</t>
  </si>
  <si>
    <t>বাপরে বাপ সিনেমার কাহিনি খুঁজতে গিয়ে দেখলাম সিনেমা শেষ</t>
  </si>
  <si>
    <t>মুভি টা দেখে আমি কেন্দে দিয়েছিলাম</t>
  </si>
  <si>
    <t>এই মুভিতে দিঘি ও ডিপজলের অভিনয় ছিল বেস্ট</t>
  </si>
  <si>
    <t>একটা কথায় অসাধারণ ছবি ছবির পুরো অংশ ছিল অসাধারণ তবে শেষের অংশ টা দেখে খুবই কষ্ট অনুভব হয়েছিল আর এমন রুচিসম্মত ছবি শুধু পরিবার নিয়ে দেখা সম্ভব ছিল</t>
  </si>
  <si>
    <t>বাংলাদেশের চলচ্চিত্রের ইতিহাসের অন্যতম স্মৃতিময় ছবি ছিল</t>
  </si>
  <si>
    <t>বাংলা মুভি দেখে মনে হয়েছিল ন্যাকামি চলছিল</t>
  </si>
  <si>
    <t>অনেক সুন্দর ছিল এই ছবিটা কতবার যে দেখছিলাম নিজেও জানতামনা</t>
  </si>
  <si>
    <t>পরিমনি শুধু দেখতেই সুন্দর ছিল অভিনয়ে অনেক কাচা ছিল</t>
  </si>
  <si>
    <t>এই মুভিতে শিক্ষণীয় একটা দিক ছিলো অন্যের কথায় কখনো নিজের সঙ্গীকে অবিশ্বাস করা ঠিক ছিল না সত্যতা যাচাই না করে সন্দেহ করলে সম্পর্ক নষ্ট হয় এবং অনেক বড় দুর্ঘটনা ঘটে</t>
  </si>
  <si>
    <t>না আছিল গল্প না আছিল অভিনয় না আছিল গান না হতো ভালো কোন দৃশ্যপট</t>
  </si>
  <si>
    <t>এই সব মুভি নাকি মানুষ টাকা খরচ করে দেখতো</t>
  </si>
  <si>
    <t>ঘর ভাঙা সংসার সিনেমাটা অনেক অনেক ছোট্ট কালে দেখেছিলাম তারপর দেখার অপেক্ষা করেছিলাম আজ দেখলাম অনেক ভালো লেগেছে</t>
  </si>
  <si>
    <t>আমিন খানের নায়িকা হিসেবে যদি মৌসুমীকে দিত তাহলে ভালো হত</t>
  </si>
  <si>
    <t>খুব সুন্দর একটা মুভি মন জুড়িয়ে গেল</t>
  </si>
  <si>
    <t>ছবিটা দেখে আলাদা একটা অনুভূতি উপলব্ধি করতাম</t>
  </si>
  <si>
    <t>এটা ও এক রকমের বিনোদন ছিল যা সবাই দিতে পারতো না</t>
  </si>
  <si>
    <t>এসব সিনেমা দেখে তারা পুরো একটা জেনারেশনকে অসুস্থ বানাতে চাচ্ছিল</t>
  </si>
  <si>
    <t>মিতা চ্যাটার্জির গলা ডাবি়ং না হলেই ভালো হতো</t>
  </si>
  <si>
    <t>আবল তাবল কাহিনি বানিয়ে ছেড়ে দিয়েছিল বলেই মুভিটা ফ্লপ হয়েছিল</t>
  </si>
  <si>
    <t>সিরিয়াল মুভি সব কূটকচালিতে ভরা ছিল সিরিয়ালগুলো</t>
  </si>
  <si>
    <t>পুরো মুভিতে জায়েদ খানের শুধু লাফালাফি অ্যাক্টিং ছিল</t>
  </si>
  <si>
    <t>একটা ডায়লগ যে আমি পড়াশোনার জন্য চলে গেছিলাম</t>
  </si>
  <si>
    <t>অনেক ভালো লাগার মত সিনেমা ছিল আমার ভাল লেগেছিল</t>
  </si>
  <si>
    <t>কি ফালতু মুভি সময়টাই নষ্ট করলাম ফালতু ছিল</t>
  </si>
  <si>
    <t>বলার ভাষা রাখে নি এত সাসপেন্স থ্রিলার মুভি দেখছিলাম তবু ধারণা করতে পারতাম না কী হতে চলেছিল এতটুকু বুঝতে পারতাম যে নেইনার অতীতে কিছু তো খারাপ হয়েছিল</t>
  </si>
  <si>
    <t>আমার প্রিয় একটা মুভি ছিল জীবনের প্রথমেই এই মুভি দেখে আমার চোখে পানি আসছিল</t>
  </si>
  <si>
    <t>আমার কাছে বেশি ভালো লাগতনা</t>
  </si>
  <si>
    <t>ফারিয়া দেশের কালচারটা নষ্ট করে দিচ্ছিল</t>
  </si>
  <si>
    <t>অন্য অনুভূতির ছোঁয়া চোখের সামনে এতক্ষণ কোন অভিনয় হচ্ছিল বোঝা গেল না সব অভিনেতা অভিনেত্রীরা যেন জীবন্ত নিজেদের খেয়ালে এগিয়ে যাচ্ছিল</t>
  </si>
  <si>
    <t>বিরক্তিকর লাগছিল মুভিটা</t>
  </si>
  <si>
    <t>হাস্যকর মুভি বানায়া হয়েছিল আর কোন কাজ ছিলনা</t>
  </si>
  <si>
    <t>আমি শাহরুখ খান এর এতো বড় ফ্যান হওয়া সত্ত্বেও ত্রিশ মিনিটের বেশি দেখতে পারতাম না</t>
  </si>
  <si>
    <t>এই ছবির থেকে অনেক কিছু শিখতে পেরেছিলাম অসাধারণ বাস্তব কাহিনি ছিল</t>
  </si>
  <si>
    <t>যতবার দেখি ততবারই ভীষণ কান্না করতাম আগের ছবি গুলো এতোই ভালো লাগত</t>
  </si>
  <si>
    <t>খুব সুন্দর ঝরঝরে কাহিনী পরিছন্ন অভিনয় পরিচালনা অনবদ্য আবহ সঙ্গীত হৃদয় ছুঁয়ে যেত</t>
  </si>
  <si>
    <t>এক কথায় অসাধারণ হৃদয়ছোঁয়া ছিল</t>
  </si>
  <si>
    <t>এদের উচিত ছিল এখন ঘরে বসে থাকা এ ধরনের অভিনয় করা চেয়ে তো না করা ভালো ছিল</t>
  </si>
  <si>
    <t>আগের মুভি আর এখন কার মুভি অনেক তফাত ছিল</t>
  </si>
  <si>
    <t>সিলেটি ভাষা দেওয়ায় মুভিটা খুব সুন্দর হয়েছিল</t>
  </si>
  <si>
    <t>এই প্রথম বারে সাকিব খানের বুবলির সাথে একটা সেরা মুভি দেখলাম</t>
  </si>
  <si>
    <t>এইসবও বুঝিয়েছিল সিনেমা ভারতের মানুষের দারাই সম্ভব এমন সিনেমা বানিয়েছিলেন</t>
  </si>
  <si>
    <t>দেব রুকমিনি জুটির থেকে দেব শুবশ্রি জুটি বেশি ভালো আর মানানসই ছিল</t>
  </si>
  <si>
    <t>নিজের দেশের মুভি দেখলে নিজেরি লজ্জা লাগত</t>
  </si>
  <si>
    <t>এমন কাহিনির ছবি সত্যিই সবাই মিলে অসাধারণ অভিনয় করেছিল</t>
  </si>
  <si>
    <t>প্রিয় ছবি শ্রাবন্তী অনেক কিউট ছিল</t>
  </si>
  <si>
    <t>আহারে কি অভিনয় না হয়েছিল কয়েকটা</t>
  </si>
  <si>
    <t>অনেকদিন পর একটা ভালো বাংলা সিনেমা দেখলাম সত্যি একটা অসাধারণ সিনেমা শেষের অংশটা পুরো ইমোশনাল করে তুললো</t>
  </si>
  <si>
    <t>আমার দেখা মুক্তিযুদ্ধ নিয়ে অন্যতম সেরা ছবি ছবির প্রতিটি মানুষের অভিনয় অন্যরকম ভালো লাগা তৈরি করেছিল</t>
  </si>
  <si>
    <t>সেদিন দেখা হয়েছিলো আমার সব থেকে পছন্দের একটি সিনেমা</t>
  </si>
  <si>
    <t>যাই হোক ভালো লাগলো মুভিটা ধন্যবাদ পরিচালকে</t>
  </si>
  <si>
    <t>এই ছবি দেখে হাসতে হাসতে আমি শেষ হয়েছিলাম</t>
  </si>
  <si>
    <t>গ্রাম বাংলার অপরুপ সৌন্দর্যর এক প্রতিছবি ছিল মন ভালো হওয়ার মত</t>
  </si>
  <si>
    <t>মুভির গল্পটা খুব ভালো ছিলো কিছু শেখার ছিল</t>
  </si>
  <si>
    <t>এক কথায় অসাধারণ ছিল সবাই অনেক সুন্দর অভিনয় করেছিলেন গান গুলো ও অনেক সুন্দর ছিল পুরনো ছবি আর এখন কার ছবি রাত দিন ব্যবধান করেছেন ধন্যবাদ এমন পরিচালকে</t>
  </si>
  <si>
    <t>শেষটা অসাধারণ ছিল এবং কল্পনাও করাটা ব্যর্থ মনে হয়েছিল বাংলার বৌ ছিল দারুন উপহার সামাজিক মুভি হিসাবে</t>
  </si>
  <si>
    <t>এই একটি ছবি বহু বছর ধরে বাংলার প্রতিটি মানুষকে মোহ গ্রস্থ করে রেখেছিল</t>
  </si>
  <si>
    <t>খুব সুন্দর হয়েছিল মুভিটা ওদের জুটিটা সত্যি অসাধারণ এরকম গ্রামের মুভি গুলো সত্যি অসাধারণ</t>
  </si>
  <si>
    <t>অসাধারণ সিনেমা ছিল যা দেখলে মন ছুঁয়ে যেত সত্যি অনেক সুন্দর সিনেমা সবাই ভালো অভিনয় করেছিলেন আগের সব সিনেমা গুলি অনেক সুন্দর ছিল</t>
  </si>
  <si>
    <t>ফাইজলামির একটা সীমা থাকতো উচিত ছিল</t>
  </si>
  <si>
    <t>বাংলাদেশে আর কোন দিন এই রকম একটা ছবিও হয়নি সেরার উপরে সেরা অভিনয় প্রতিটা সেকেন্ডে কান্না করিয়ে ফেলে ছিলেন এই অভিনয় সর্বকালের সেরা মুভি</t>
  </si>
  <si>
    <t>সিনেমা টি ভালো লাগত</t>
  </si>
  <si>
    <t>যতবারই দেখেছি ছবিটি নতুন লেগেছিল অসাধারণ ফিল্ম</t>
  </si>
  <si>
    <t>খুব সুন্দর একটা মুভি ছিল মান্না ভাইয়ের অনেক ছোট বেলায় দেখতাম আজ আবার দেখতে পারলাম মান্না ভাইকে কখনো ভুলা যাবে না</t>
  </si>
  <si>
    <t>এটা কি মুভি ছিল না অন্য কিছু</t>
  </si>
  <si>
    <t>বাংলাদেশের শ্রেষ্ঠ সিনেমা এক নাম্বার সিনেমা বেদের মেয়ে জোসনা ছবির ইতিহাসে সবচাইতে বড় ব্যবসা সফল ছবি ছিল</t>
  </si>
  <si>
    <t>এই ছবিটি আমরা ছোট বেলায় অনেক দেখেছিলাম এটা অনেক সুন্দর ছবি ছিল</t>
  </si>
  <si>
    <t>সিনেমা আর নাটক এর মধ্যে অনেক পার্থক্য ছিল ছাগলামি করলেই কমিডি হতো না তোরা শিক্ষা নে হিন্দি কমিডি ছবি গুলো থেকে</t>
  </si>
  <si>
    <t>মানুষের মনই বড় একটা চিড়িয়াখানা ছিল</t>
  </si>
  <si>
    <t>সত্যিই ছবিটা অসাধারণ লেগেছিলো এখনকার দিনে এতো সুন্দর সিনেমা আর তৈরি হয়নি আজকে আমি এই ছবিটা দেখেছিলাম কারণ এটা পুরোনো ছবি ছিল</t>
  </si>
  <si>
    <t>আমার কল্পনার বাইরে ছিল এই মুভি সমাপ্তিতে আমিতো অবাক ছিলাম</t>
  </si>
  <si>
    <t>কাহিনী চিত্রনাট্যে সবার অসাধারণ অভিনয় অসাধারণ সব গান এবং ড্যান্সিং কুংফুর জন্য ছবিটি সুপার হিট হয়েছিল এ্যাকশন এবং রোমান্টিকতায় উভয় ক্ষেত্রে বাংলাদেশের অন্যতম সেরা ব্যবসাসফল ছবি হয়েছিল</t>
  </si>
  <si>
    <t>ছবিটা যতবার দেখেছিলাম ততবার ইমোশনাল হয়ে গিয়েছিলাম এই ছবির প্রতিটা মুহুর্ত দেখে আমি যেনো আমার বাস্তব জীবন ফিল করিলাম</t>
  </si>
  <si>
    <t>আমি ভারতের নাগরিক কিন্তু বাংলাদেশের সিনেমা আমার অনেক ভালো লাগত আমি দেইলি এই রকম সিনেমা গুলো দেখতাম</t>
  </si>
  <si>
    <t>চঞ্চল চৌধুরী স্যার আমার খুব প্রিয় অভিনেতা ছিলেন অনেক শুনেছিলাম সিনেমাটার ব্যাপারে কিন্তু দেখা হয়ে ওঠেনি আজ দেখলাম কাদলাম কি অসাধারণ ওহ কি অসাধারণ মনমুগ্ধ পুরো কাস্ট টাই দারুন</t>
  </si>
  <si>
    <t>কতবার যে দেখলাম মুভিটা তার কোনো হিসাব নেই বাবা নাই থাকলে বোনের ওপর বর ভাইর যে কতটা দায়িত্ব এই মুভিটা দেখলে বুঝা যায় আমার নিজের কোনো বোন নেই</t>
  </si>
  <si>
    <t>ফালতু মুভিটা পুরো দেখা হয়েছিল</t>
  </si>
  <si>
    <t>সব ফালতু অ্যাকশন আর ফালতু সব স্টোরি ছিল</t>
  </si>
  <si>
    <t>এটি শ্রেষ্ঠ ছবি ছিল বাংলা ছবির ইতিহাসে</t>
  </si>
  <si>
    <t>সত্যিই অসাধারণ একটা মুভি ছিল এমন সামাজিক মুভিই দেখতে চেষ্টা করতেছিলাম আমরা এ প্রজন্মের হয়েও এমন মুভিকে সমর্থন করতাম</t>
  </si>
  <si>
    <t>অস্কার নিয়ে এসেছিল ডানকি মুভি</t>
  </si>
  <si>
    <t>মনের অজান্তেই চোখের কোনে পানি চলে আসত কত সুন্দর কাহিনী ছিল</t>
  </si>
  <si>
    <t>একে তো বস্তা পচা কাহিনী ছিল তার ওপর জায়েদ খান ছিলেন</t>
  </si>
  <si>
    <t>বলার ভাষা ছিল না এই মুভিটা দেখে পুরনো কথাগুলো মনে পড়েছিলো অসাধারণ মুভি ছিল</t>
  </si>
  <si>
    <t>জীবনে অনেক সিনেমা দেখেছিলাম কিন্তু আমি এই রকম সিনেমা দেখিনি খুব সুন্দর ছবি</t>
  </si>
  <si>
    <t>নেই হট সিন নেই একশন সিন নেই গানের ঝলক তবুও ইতিহাসের কালজয়ী সিনেমা হয়েছিল</t>
  </si>
  <si>
    <t>একদম জঘন্য সিনেমা ছিল</t>
  </si>
  <si>
    <t>এত টাকা দিয়ে ফোন কিনে শুধুমাত্র চার্জার এর জন্য কতটুকু ব্যাটারির ক্ষতি হয়ে গেল</t>
  </si>
  <si>
    <t>অসাধারণ কি সুন্দর স্নিগ্ধ একটা অনুভূতি ছিল ফিল্ম টা দেখে গ্রাম বাংলার অসাধারণ দৃশ্য যেনো শৈশব মনে করিয়ে দিয়েছিলো কি পবিত্র ছিলো আগের সংস্কৃতি এ এসে ফিল্ম টা দেখে একটুও বোরিং লাগেনি</t>
  </si>
  <si>
    <t>বাংলা চলচ্চিত্রের মহারাণী মৌসুমী তার অভিনয়ের তুলনাহীন অসাধারণ ছিল বাংলার বউ</t>
  </si>
  <si>
    <t>এই মুভিটা দেখলে পুরোনো দিনের স্মৃতি মনে পড়ে গেল</t>
  </si>
  <si>
    <t>কত কি যে দেখা বাকি ছিল তেমন কিছু নেই এখন এই কাহিনী দিয়ে মুভি বানাতে বসেছিলো</t>
  </si>
  <si>
    <t>আমার অনেক পছন্দের নায়ক নায়িকার ছবি ছিল অনেক ভালো লাগত ফুলের মতো বউ সবচেয়ে সেরা এই মুভি</t>
  </si>
  <si>
    <t>গ্রাম বাংলার অপরূপ প্রকৃতি সিনেমায় তুলে এসেছিল</t>
  </si>
  <si>
    <t>আমি হতবাক হয়ে গিয়েছিলাম বাংলা মুভি এত সুন্দর ছিল আমাদের কে বলবে এটা সিনেমা এটা বাস্তব জীবনে হারিয়ে গিয়েছিল কত সহজ সরল ছিল আগের মানুষগুলো</t>
  </si>
  <si>
    <t>মুভিটা থেকে শিক্ষণীয় বিষয় ছিল তাই আবারো দেখেছিলাম সম্পূর্ণ টা</t>
  </si>
  <si>
    <t>পুরাটা নকল ছিল</t>
  </si>
  <si>
    <t>অনেক সুন্দরী পরীমনি অভিনয় খুব ভালো করতেন</t>
  </si>
  <si>
    <t>ট্রেইলরে দিয়েছিল বাবা ছেলের ভালোবাসা গল্প</t>
  </si>
  <si>
    <t>এই ছবি টা দেখে একজন নারী এবং একজন পুরুষের অনেক কিছু শেখা হয়েছিল</t>
  </si>
  <si>
    <t>অনেকদিন পর বাংলা ছবি দেখেছিলাম ছবিটা আসলে অনেক সুন্দর ছিল রাত জাগানোটা স্বার্থক হয়েছিল</t>
  </si>
  <si>
    <t>আহা কি মনোরম পরিবেশে ছবি দেখার মন চেয়েছিল</t>
  </si>
  <si>
    <t>খুব একটা ভালো লেগেছিল না</t>
  </si>
  <si>
    <t>এই বড়ো বড়ো অভিনেতারা কিভাবে জঘন্য নির্দেশকের পাল্লায় পড়ে কি যে করেছিলেন</t>
  </si>
  <si>
    <t>শেষটা সহ্য করার মতো ছিলো না মানুষের জীবন আসলেই অনেক ভয়ংকর ছিল</t>
  </si>
  <si>
    <t>ওমর সানি একটা তাং ফাং নায়ক ছিলেন এবং সব অভিনয় ইলিয়াসকাঞ্চন হলে ফুটে উঠতো</t>
  </si>
  <si>
    <t>মুভির কাহিনী মোটামুটি ভালো ছিল কিন্তু মিশা আর রুবেল এর অভিনয় ছাড়া অন্য কারো অভিনয় তেমন প্রফেশনাল লাগতো না</t>
  </si>
  <si>
    <t>অসাধারণ গ্রাম অঞ্চলের মুভিটি ছিল</t>
  </si>
  <si>
    <t>বাংলাদেশের ইতিহাসে সর্বাধিক জনপ্রিয় সিনেমা ছিল এটি</t>
  </si>
  <si>
    <t>এই মুভিতে প্রকৃতির অপরূপ সৌন্দর্য ফুটিয়ে তোলা হয়েছিল সত্যি খুব সুন্দর লাগত</t>
  </si>
  <si>
    <t>বুবলি অনেক ভালো অবিনয় করছিলেন</t>
  </si>
  <si>
    <t>অসম্ভব রকম বিরক্ত হয়েছিলাম জয়ার অভিনয় দেখে</t>
  </si>
  <si>
    <t>এই মুভিটায় প্রত্যেকটা ক্যারেক্টারের অভিনয় ছিল অসাধারণ মিউজিক সবকিছু মিলিয়ে হৃদয় কাঁপার মতো ছিল এবং এই কারণে এত জনপ্রিয় ছিল</t>
  </si>
  <si>
    <t>এসব ছবি যে বানাল তার ভালো সিনেমা সম্পর্কে কোন ধারণা ছিল না</t>
  </si>
  <si>
    <t>একটু বেশি বেশি হয়েছিল আর মুভির মধ্যে কিছু একচা ভাইব মিসিং ছিল চিত্রনাট্য এডিটিং আরো ভালো হতে পারত</t>
  </si>
  <si>
    <t>এরকম সতর্কতামূলক ছবি সত্যিই অসাধারণ ছবি দেখে তৃপ্তি পেলাম</t>
  </si>
  <si>
    <t>এই হলো সিনেমা দেখে মন ভালো হয়ে গিয়েছিল রেখে গিয়েছিলাম আগামির প্রজন্মের জন্য</t>
  </si>
  <si>
    <t>আজগুবি চিন্তাভাবনার মুভি ছিল</t>
  </si>
  <si>
    <t>এগুলা দেখে বাংলা সিনেমার ওপর থেকে মন উঠে গেছিল</t>
  </si>
  <si>
    <t>হুরু ফালতু ছিল</t>
  </si>
  <si>
    <t>হাফটাইম পর মুভিটার পুরো কাহিনীর পতন হয়েছিল</t>
  </si>
  <si>
    <t>অর্ঘ্য চিত্রকল্পে গোজামিল দিয়েছিলেন কেন স্ক্রিপ্টে কিছু দুর্বলতা ছিল যা ট্রিটমেন্ট করলে ঠিক করা যেত</t>
  </si>
  <si>
    <t>আসলেই দেব চ্যালেঞ্জ না নিলে আমরা ককপিট নামক এমন একটি সুন্দর মুভি উপভোগ করতে পারতাম না দেব আসলেই সেরায় সেরা ছিল</t>
  </si>
  <si>
    <t>বেশ সুন্দর একটা সিনেমা আবীর রাইমার কেমিস্ট্রি চমৎকার ছিল রাইমা যে কী সুন্দর</t>
  </si>
  <si>
    <t>শাবনূর কে অনেক ধন্যবাদ এই রকম ট্রাজেডি অভিনয় করার জন্য সিনেমা দেখে আবার দেখতে ইচ্ছে করছিলো</t>
  </si>
  <si>
    <t>আমার দেখা বাংলা ছবির মধ্যে সেরা ছবি</t>
  </si>
  <si>
    <t>এটা কি ছিল</t>
  </si>
  <si>
    <t>ছবির কোনো তুলনা করতে পারলামনা</t>
  </si>
  <si>
    <t>অনেক দিন পর বাংলা সিনেমা দেখেছিলাম ভাল লেগেছিল</t>
  </si>
  <si>
    <t>ছবি আসলেই খুব সুন্দর ছিল সাকিব খান অল বেস্ট ছিলেন</t>
  </si>
  <si>
    <t>এই মুভি টি এতো ভালো ছিল আমি যে কতবার দেখেছিলাম তা আমার মনে আছে মুভি টি যেমন রোমান্টিক তেমন কষ্ট তেমন মজা ভালো করে তৈরি করা ছিল এককথায় দারুণ ছিল</t>
  </si>
  <si>
    <t>অসাধারণ একটা গল্প দারুণ লাগলো</t>
  </si>
  <si>
    <t>পরিচালক আর নায়ক পেতে পারলেন না</t>
  </si>
  <si>
    <t>অসাধারণ একটা মুভি ছিল ঘটনার মধ্যে সাসপেন্স ছিল গল্পের শেষটাও বেশ ভালো ছিল</t>
  </si>
  <si>
    <t>ধুর এইগুলো কোন মুভি ছিল</t>
  </si>
  <si>
    <t>মুভিটা অসম্ভব সুন্দর ছিল</t>
  </si>
  <si>
    <t>লকেটের ডায়লগ ডেলিভারি এতো বাজে ছিল ওটাই যা বিরক্তিকর লেগেছিল</t>
  </si>
  <si>
    <t>অনেকদিন পর মুভি দেখেছিলাম ভালোই লেগেছিল</t>
  </si>
  <si>
    <t>হুমায়ুন ফরিদীর নিক্ষুত অভিনয় ছিল মুগ্ধকর</t>
  </si>
  <si>
    <t>বিরক্তিকর এইসব বাংলা কমেডিয়ান গুলো ছিল একমাত্র খরাজ আর রজতাভ ছাড়া কারো কমেডি ভালো লাগছিল না</t>
  </si>
  <si>
    <t>শাকিবখানকে বুড়োর মতো লাগতো</t>
  </si>
  <si>
    <t>ছবিটির বাস্তব জীবনের কহিনী ছিল এবং অনেক সুন্দর একটা ছবি ছিল</t>
  </si>
  <si>
    <t>বাচ্চা ছেলের অভিনয়টা অনেক সুন্দর ছিল ছেলেটা খুবই কিউট ছিল</t>
  </si>
  <si>
    <t>শেষটা অসাধারণ ছিল যার কল্পনাও করা ছিল তবে ব্যর্থ মনে হয়েছে বাংলার বৌ দারুন উপহার ছিল সামাজিক মুভি হিসাবে</t>
  </si>
  <si>
    <t>মুভি দেখে হাসি পেয়েছিল</t>
  </si>
  <si>
    <t>এগুলো ছিলো সামাজিক সিনেমা যেটা পরিবার নিয়ে দেখা যেতো যে মুভিতে অনুভতি প্রকাশ পাওয়া যেতো এক কথায় অসাধারণ ছিলো মুভি</t>
  </si>
  <si>
    <t>বাংলার বউ ছবিটি অসাধারণ সুন্দর ছিল মৌসুমি শেষ উক্তিটি ও মমতাজের কন্ঠে গাওয়া একটি গানের মাধ্যমে ছবিটি মূল গল্প ফুটে উঠেছিল</t>
  </si>
  <si>
    <t>অপূর্ব সুন্দর লাগলো মুভিটা</t>
  </si>
  <si>
    <t>টোটালি বাজে একটা ছবি ছিল</t>
  </si>
  <si>
    <t>ছবিটা নিয়ে কিছু বলার ভাষা ছিল না আমার সত্যিই অসাধারণ লেগেছিলো</t>
  </si>
  <si>
    <t>জাতীয় চলচ্চিত্র পুরস্কার পেতে যেমন সিনেমা ছিল তেমনি সিনেমা</t>
  </si>
  <si>
    <t>ফেরদৌস ভাই ও মৌসুমী আপুর বাংলার বউ মুভিটি অসাধারণ ছিল</t>
  </si>
  <si>
    <t>একপ্রকার অবাক হয়ে গিয়েছিলাম এত সুন্দর একটা সিনেমা দেখে</t>
  </si>
  <si>
    <t>ফালতু মুভির পরিচালক ফালতু মুভি তো হয়েছিল</t>
  </si>
  <si>
    <t>বাজে ভাই খুব বাজে ছিল</t>
  </si>
  <si>
    <t>এটা কোন ধরনের সিনেমা ছিল তা বুঝতে পারলাম না</t>
  </si>
  <si>
    <t>কতবার দেখেছিলাম ঠিক বলতে পারতাম না খুব পছন্দের ছিলো এটা সিনেমা</t>
  </si>
  <si>
    <t>সিনেমা টা দেখে মনের জোর বাড়লো অনেক সুন্দর ছিলো একটা সিনেমা</t>
  </si>
  <si>
    <t>কাহিনীর প্রর্যায়ক্রম একদম ভাল ছিলনা</t>
  </si>
  <si>
    <t>এমন একটা মুভি খুঁত ধরার কোন অবকাশ ছিল না</t>
  </si>
  <si>
    <t>দূরত্ব মিলিয়ে গিয়েছিল মনের বন্ধন আজ আরও দৃঢ় হয়েছিল প্রিয়জনকে কাছে পেয়ে</t>
  </si>
  <si>
    <t>অ্যানিমেল একটা মুভি ছিল দেখে মনে হচ্ছিল যে গাঁজা খেয়ে মুভি বানানো হয়েছিল</t>
  </si>
  <si>
    <t>পুরো ছবিটাই দেখলাম কিছু কষ্ট কিছু হাসি মিলেই ছবির কাহিনি ছিল খুব ভালো লেগেছিল</t>
  </si>
  <si>
    <t>আমার স্বপ্ন তুমি আনন্দ অশ্রু আম্মাজান ইতিহাস প্রেমের তাজমহল প্রেমের সমাধি মন মানে না ভুলোনা আমায় জন্ম মুভি গুলো দেখে আবেগে মন ভরে উঠত</t>
  </si>
  <si>
    <t>বাংলাদেশের শ্রেষ্ঠ ছবি হিসেবে এটি অস্কার জয় করতে পেরেছিল</t>
  </si>
  <si>
    <t>আমি মেয়েদেরকে নিয়ে খুব তিক্ত বিরক্ত এরকম কোমর দোলানো ছাড়া আর কোন কিছুই পারছিল না</t>
  </si>
  <si>
    <t>খুব সুন্দর একটা মুভি দেখেই শুধু হাসি পেয়েছিল</t>
  </si>
  <si>
    <t>অসাধারণ মুভি ছিল এটি ছয় বার দেখেছিলাম এটি আমার খুব প্রিয় ছিল</t>
  </si>
  <si>
    <t>অভিনয় ও ছিল না</t>
  </si>
  <si>
    <t>এগুলা কেউ দেখে ছিল কিনা</t>
  </si>
  <si>
    <t>ফালতু ছবি দেখে সময়টা নষ্ট করেছিলাম</t>
  </si>
  <si>
    <t>ভাল মুভি ভাল নায়ক ভাল নায়িকা মেজাজ খারাপ হইয়েছিল দেখে</t>
  </si>
  <si>
    <t>ফালতু লো বাজেটের একটা মুভি এর থেকে হিরু আলম ও ভালো মুভি বানাতে পেরেছিল</t>
  </si>
  <si>
    <t>এই মুভিতে দুইটি পরিবারের মধ্যে ঝগড়া ও বিবাদ নয় সম্পর্ক গড়ে তুলা হয়েছিল সুন্দর একটি মুভি সবাই দেখেছিলেন</t>
  </si>
  <si>
    <t>মম আর জায়েদ খান ফ্লপ নায়ক নায়িকা ছিলো</t>
  </si>
  <si>
    <t>শাকিব ভাইয়ার অভিনয় অসাধারণ সুন্দর হয়েছিল যা ভাষায় প্রকাশ করা যায়নি</t>
  </si>
  <si>
    <t>খুবি সুন্দর ছিল একটা সিনেমা</t>
  </si>
  <si>
    <t>সব থেকে বাজে অভিনয় করেছিলেন অনুপকুমার</t>
  </si>
  <si>
    <t>আধঘণ্টা দেখেছিলাম শুধু ভাঁড়ামো ছাড়া কিছু পেতে পারিনি</t>
  </si>
  <si>
    <t>মুভিটা দেখে আসলে কান্না চলে এসেছিল এটি ছিল বাংলার শ্রেষ্ঠ মুভি</t>
  </si>
  <si>
    <t>একটি সুন্দর ছায়াছবি দেখলাম সত্যজিত রায়ের সৃষ্টি তো অবশ্যই এমনই হয় অনুপকুমার ও সব্যসাচির অভিনয় অনবদ্য ছিল</t>
  </si>
  <si>
    <t>অবশেষে অপেক্ষার অবসান ঘটেছিল ডবল ফেলুদা খুব ভালো লেগেছিল</t>
  </si>
  <si>
    <t>যেমন সুন্দর ছবিটা তেমন সুন্দর ছবির গানগুলিও অনেক ভালো লাগত ছবিটা দুই চোখের পানি দরে রাখতে পেরেছিলাম না ছবিটা দেখে এতই কষ্ট লাগতো</t>
  </si>
  <si>
    <t>এত সিরিয়াস এবং কষ্টদায়ক সিন দেখে কান্না আসছিল আর দর্শকরা হাসছিলো খিলখিল করে</t>
  </si>
  <si>
    <t>গল্পটা ভালো ছিলো কিন্তু সে ভাবে গুছিয়ে করতে পারেননি</t>
  </si>
  <si>
    <t>মুভিটা অনেক ভালো লেগেছিল তবে এই প্রথম আনোয়ার সাহেবকে বড়লোকের অভিনয় করতে দেখেছিলাম</t>
  </si>
  <si>
    <t>এতো দিন ছবির নামটাই শুনে আসতেছিলাম কিন্তু কখনো দেখা হয়নি আজকে হঠাৎ মনে হলো ছবিটা দেখি ইতিহাসের সেরা একটা সিনেমা হয়েছিল</t>
  </si>
  <si>
    <t>সুপার হিট মুভি চ্যাম্পিয়ন ছিল</t>
  </si>
  <si>
    <t>অনেক সুন্দর ছবিটা ছিল প্রথম বার দেখেছিলাম আর আমি শতকের মানুষ কিন্তু মিস করে ফেলেছিলাম এত সুন্দর ছবিটা</t>
  </si>
  <si>
    <t>কাহিনি বুঝতে পারছিলাম না</t>
  </si>
  <si>
    <t>কাহিনী চিত্রনাট্য ও পরিচালনায় মুন্সিয়ানার ছাপ স্পষ্ট ছিল আর অর্পিতা চট্টোপাধ্যায়ের এরকম আন্ডারবেল্ট এর অভিনয় অসাধারণই শুধু নয় অনবদ্য এটি এক অন্য অর্পিতাকে পেয়েছিলাম আর সকলের অভিনয়ই সুন্দর সাবলীল ছিল</t>
  </si>
  <si>
    <t>এইরকম সিনেমা বানানোর পরিকল্পনা থাকলে বাংলাদেশের ফিল্ম ইন্ডাষ্ট্রি রসাতলে যেত</t>
  </si>
  <si>
    <t>মুভিটা অনেক সুন্দর হয়েছিল বিশেষ করে বাচ্চা টার শুটিং এবং ববির ডাবল পার্ট এবং মায়ের অভিনয় মা মারা যাওয়া সময় বাচ্চা আসলে অরিজিনাল মাকে ডেকে রাখা সব মিলিয়ে খুব কাঁদিয়েছিল</t>
  </si>
  <si>
    <t>একদিন রাস্তায় হাঁটার সময় একটা বড় ভাইয়ের সাহায্য করছিলাম আলহামদুলিল্লাহ</t>
  </si>
  <si>
    <t>এতো সিনেমা ছিল না এ এক জীবনের প্রতিচ্ছবি ছিল</t>
  </si>
  <si>
    <t>আরেফিন শুভ একটু চঞ্চলতা কমালে ভালো হতো</t>
  </si>
  <si>
    <t>সেই ছোটবেলায় সিনেমাটা দেখেছিলাম এবং কেঁদেছিলাম অবুঝ ছিলাম তবুও চোখের জল ধরে রাখতে পারিনি অনবদ্য অভিনয় করেছিলেন সালমান শাহ</t>
  </si>
  <si>
    <t>চিত্রনাট্য সংলাপ যথেষ্ট বাজে ছিল গল্প যেন তেন অভিনয় নাটকের মতো অতি অভিনয় মোদ্দা কথা ভালো হয়নি ছবিটি</t>
  </si>
  <si>
    <t>এই ছবির রেকর্ড এখনও কেউ ভাঙতে পারেনি</t>
  </si>
  <si>
    <t>এতো সুন্দর সিনেমা ছিল দেখে মন টা ভরে গিয়েছিল মনে হয়েছিল ঘন্টা সময় খুব সুন্দর কেটেছে</t>
  </si>
  <si>
    <t>সময় আমি আন্তরিকভাবে অনেক কান্না করছিলাম এবং তা অসাধারণ একটা অভিজ্ঞতা ছিল</t>
  </si>
  <si>
    <t>অসাধারণ একটা মুভি ছিল আমি কখনো কোনো বাংলা মুভি দেখিনি কিন্তু এই প্রথম এই মুভিটি দেখেছিলাম</t>
  </si>
  <si>
    <t>ছবিটা দেখে অনেক ভালো লেগেছিল আগের ছবি দেখে কতটা সুন্দর ছিল তা মনে হয়</t>
  </si>
  <si>
    <t>সবাই আমাকে বলত ছবি দেখার জন্য কিন্তু আমি পছন্দ করতামনা</t>
  </si>
  <si>
    <t>পুরনো দিনের ছবি গুলা এতোই সুন্দর বার বার দেখা হলেও বিরক্ত হতামনা</t>
  </si>
  <si>
    <t>মুভি টা যতো বার দেখতেছিলাম ততবার মুগ্ধ হতাম এই মুভির প্রতি টা গানে হৃদয় ছুঁয়ে যেতাম এবং নিজের অজান্তেই চোখে পানি ঝরে যেত</t>
  </si>
  <si>
    <t>অনেক প্রিয় একটা মভি ছিলো খুব ভালো লাগতো কিন্তু শেষের দিক দিয়ে অনেক কষ্ট পেয়েছিলাম মৌসুমিকে ভুল বুঝে যে অত্যাচার এবং ফের দাউসের যে কষ্ট তার অনেক কান্না আসতো</t>
  </si>
  <si>
    <t>অসাধারণ অভিনয়ে রিয়াজ দর্শকের মন জয় করে নিয়েছিল</t>
  </si>
  <si>
    <t>সত্যি অসাধারণ ছিল একটি মুভি তবে এই সিনেমার গান গুলো খুব সুন্দর ছিলো</t>
  </si>
  <si>
    <t>বাংলা সিনেমার শ্রেষ্ঠ সৃষ্টি গুলোর একটি ছিল</t>
  </si>
  <si>
    <t>আমার লাইফে আমি এমন বাজে সিনেমা আর একটা দেখেছিলাম না</t>
  </si>
  <si>
    <t>অসাধারণ একটা মুভি ছিল আগের দিনের সিনেমাগুলোই ভালো ছিল</t>
  </si>
  <si>
    <t>ওমর সানির কন্ঠ নকল মনে হয়েছিল</t>
  </si>
  <si>
    <t>খুব ভালো লাগলো মন ছুঁয়ে গেল একজন মা আর একজন স্ত্রীর জীবন সংগ্রামের গল্প ছিল</t>
  </si>
  <si>
    <t>ধর্মীয় অনুশাসনের কারনে আমি সিনেমা দেখতামনা</t>
  </si>
  <si>
    <t>আনন্দ অশ্রু ছবি সত্যিই এক ইতিহাস তৈরী করেছিল</t>
  </si>
  <si>
    <t>এই মুভিটা যিনি করেছিলেন তিনি একজন স্বাভাবিক মস্তিষ্কের মানুষ ছিলেন</t>
  </si>
  <si>
    <t>এনিমেল মুভিটা খুবই বাজে ছিল আর এই মুভি বহু বিবাহ আর বাজে কাজে মানুষকে উৎসাহিত করছিল</t>
  </si>
  <si>
    <t>সেই ছোট বেলায় দেখেছিলাম পরিবারের সবাই একসাথে ঢাকা এশিয়া সিনেমা হলে আজ আবার দেখেছিলাম মনে হয়েছিল আমি এখন আবার ছোট বেলায় আছি অনেক সুন্দর একটা মুভির অসাধারণ আগের মতই ছিল এবং এখন মুভির মত হয় না</t>
  </si>
  <si>
    <t>পুরো সিনামা টা কল্পনা কিন্তু খুব ভালো লাগলো এবং সিনামা টা চোখে পানি চলে আসতো</t>
  </si>
  <si>
    <t>অনেক দিন পরে পুরোপুরি ভাবে একটা বাংলা সিনেমা দেখেছিলাম প্রত্যেকের অভিনয় ভালো হয়েছিল ববি বাবিত ছিলেন</t>
  </si>
  <si>
    <t>এই সিনেমার তুলনা হয়নি মানুষের হৃদয়ে মিশে ছিল</t>
  </si>
  <si>
    <t>এত কাহিনী নির্ভর ছবিতে অনেক কিছু শিখার ছিল</t>
  </si>
  <si>
    <t>অনেক বেশি সুন্দর হয়েছিল শাকিব শাবনূর এই মুভিটা</t>
  </si>
  <si>
    <t>ছেলেদের এভাবে কেউ মেকাপ করাতো তখন</t>
  </si>
  <si>
    <t>না বাংলা সিনেমা কখনোই ঠিক হয়নি তারা এভাবে এদের ঐতিহ্য ধরে রেখেছিলেন</t>
  </si>
  <si>
    <t>একদম বাজে মুভি ছিল</t>
  </si>
  <si>
    <t>জীবনে যদি কোনো ছবি দেখতাম সেই ছবির মতো আর কোনো ছবি পাই নি</t>
  </si>
  <si>
    <t>এটা কি ছিল মুভি নাকি ছাগলামি ছিল</t>
  </si>
  <si>
    <t>জীবনে অনেক কঠিন মুহূর্তের সম্মুখীন হয়েছি কিন্তু এই রকম বাস্তবতার সম্মুখীন হইনি যাদের আপন বলে ভাবতাম তারাই আজ ছেড়ে চলে গেল</t>
  </si>
  <si>
    <t>আমি ইন্ডিয়া থেকে বলছিলাম সিনেমাটা অসাধারণ লেগেছিল</t>
  </si>
  <si>
    <t>অনন্তকে বলদের মতো দেখা যেতো এবং এটা কোন নায়ক হলো তার মুখের দাড়ির স্টাইল দেখে আমার সবচেয়ে বেশি হাসি পেয়েছিল</t>
  </si>
  <si>
    <t>এই ছবির নাম যেহেতু আসিফ আকবরের প্রথম এলবাম ছিল এবং প্রিয়া তুমি কোথায় দেওয়া হয়েছিল তাই শাবনুরের নামটাও প্রিয়া দেওয়া প্রয়োজন ছিল কারণ গানের সঙ্গে ব্যক্তির নামটাও মিল থাকা প্রয়োজন ছিল</t>
  </si>
  <si>
    <t>এই ছবি টি যৌতুক নিয়ে খুব ভালো উপস্থাপন করেছিলেন তাদের কাছে আমরা কৃতজ্ঞ</t>
  </si>
  <si>
    <t>বহু দিন পরে পুরনো ছবি দেখলাম অনেক অনেক ভালো লাগলো সত্য কে তুলে ধরেছিলেন পরিচালক সবাইকে ধন্যবাদ জানানো হচ্ছিল সুন্দর চরিত্রের জন্য</t>
  </si>
  <si>
    <t>এখন বুঝেছিলাম কেন কেউ হলে যায় না</t>
  </si>
  <si>
    <t>সিনেমাটা যতবার দেখতাম ততবারে চোখের পানি বের হত</t>
  </si>
  <si>
    <t>এই ছবিতে ডিপজলের মায়া দয়া থাকলেও মান্না ভাইয়ের কোন মায়া দয়া ছিলনা</t>
  </si>
  <si>
    <t>বাহ এই সিনেমা দেখে অনেক কিছু শেখার ছিল</t>
  </si>
  <si>
    <t>অভিনেতা গুলো এই মুভিটা করে নিজেদের নাম ডুবিয়েছিল এটা কোন অভিনয় ছিল বস্তাপচা অভিনয় ছিল</t>
  </si>
  <si>
    <t>অসাধারণ সিনেমা বার বার দেখার পরও আবার নতুন মনে হয়েছিল</t>
  </si>
  <si>
    <t>এনিমেল সিনেমার গানগুলো মন ছুয়ে গিয়েছিল</t>
  </si>
  <si>
    <t>ছবি টা খুব ভালো ছিল শাবনূরের গ্রামের ছবিতে অনেক সুন্দর মনে হয়েছিল নাছরিন ও খুব ভালো অভিনয় করেছিলেন আর শাবনূরের তো কোনো তুলনা হয়নি</t>
  </si>
  <si>
    <t>আমার দেখা জিতের বেস্ট মুভি ছিল</t>
  </si>
  <si>
    <t>অসাধারণ একটি মুভি ছিল স্যালুট শাকিব ভাই</t>
  </si>
  <si>
    <t>তানিয়ার জন্য খারাপ লেগেছিল</t>
  </si>
  <si>
    <t>অনেক ভালো লেগেছিল</t>
  </si>
  <si>
    <t>ছিঃ এগুলা কি জঘন্য গান ছিল এজন্যই কেউ আর বাংলা সিনেমা দেখতো না</t>
  </si>
  <si>
    <t>দারুন সিনেমা ছিল খুব ভালো লেগেছিল</t>
  </si>
  <si>
    <t>সত্যিই অসাধারণ একটি ফিল্ম ছিল চোখে জল এসে গেছিল</t>
  </si>
  <si>
    <t>অনেক সুন্দর বিন্দাস ছবিটা ছিল</t>
  </si>
  <si>
    <t>অসাধারণ সিনেমা ছিল বিশেষত শাবনুরের অভিনয়ের জন্য এই ধরনের গ্রামীণ বাংলা সিনেমা ছিল মানুষের উদ্বেগ</t>
  </si>
  <si>
    <t>দারুন মুভি ছিল সাবনুরের তুলনা হয়নি</t>
  </si>
  <si>
    <t>আমি এমনিতেই বাংলা সিনেমা দেখতাম না</t>
  </si>
  <si>
    <t>বেক্কল পরিচালক ছিল বেক্কল নায়ক নায়িকা ছিলেন</t>
  </si>
  <si>
    <t>আমি হাসি আটকাতে পারিতাম না</t>
  </si>
  <si>
    <t>আসলেই অনেক সুন্দর হয়েছিল খুব ভালো লেগেছিল</t>
  </si>
  <si>
    <t>সবার আগে ধন্যবাদ জানায় পরিচালককে নাটকটা অসাধারণ ছিল আর চঞ্চল ভাই তো ফাঠাই দিয়েছিলেন সুপার অসাধারণ ছিল</t>
  </si>
  <si>
    <t>তাদেরকে অভিনন্দন জানিয়েছিলাম এত সুন্দর মুভি উপহার দেয়ার জন্য</t>
  </si>
  <si>
    <t>এতো হাস্যকর অভিনয় পরিচালনা হয়েছিল</t>
  </si>
  <si>
    <t>বিরক্তিকর খুব বাজে মুভি ছিল কারো অভিনয় সুন্দর হয়নি এটা কোনো গল্প হলো কিচ্ছু বুঝিনি</t>
  </si>
  <si>
    <t>খুব খুব খুব ভালো একটা ছবি দেখেছিলাম দারুণ লেগেছিল সত্যি এ ধরনের ছবি আর হয়তো পাব না আগের সিনেমার তুলনা হয় না ফাটাফাটি ছিল</t>
  </si>
  <si>
    <t>ছবি গুলি দেখে মনে হতো বাস্তব সংসারের অভিজ্ঞতা মৌসুমী অভিনীত সমস্ত ছবি সামাজিক ছিল</t>
  </si>
  <si>
    <t>আমি হাসি আটকাতে পারতেছিলাম না পুরা ফ্লপ</t>
  </si>
  <si>
    <t>কি দারুন একটা মুভি বলে বুঝাতে পারলাম না</t>
  </si>
  <si>
    <t>আমি এই মুভিটা বার বার দেখতাম এবং আমার এটা খুব পছন্দ ছিল এমন অনুভূতির সাথে আমার মনে হয়েছিল যে এই শিক্ষা দেওয়া উচিত</t>
  </si>
  <si>
    <t>ছবি আগামাথা কিছুই বুঝতে পারিনি</t>
  </si>
  <si>
    <t>ফালতু ছিলো একদম</t>
  </si>
  <si>
    <t>এই দেখলে মনে হয় আবার ছোট বেলায় পিরে যেতে তখনকার চবি গুলা ছিলো শিক্ষনীয় আর এখন চবি</t>
  </si>
  <si>
    <t>সারাজীবন সাধনা করেও এর মতো মুভি বানাতে পারতাম সত্যিই হৃদয়ে সুখের দোলা দিয়ে যেতো মুভি টা</t>
  </si>
  <si>
    <t>অনেক চেষ্টা না করলে এত বাজে সিনেমা বানানো যায় না আর জয়া আহসানকে ভালো অভিনেত্রী বলে জানতাম এটা তো পুরো যাত্রাপালা</t>
  </si>
  <si>
    <t>এটা কোন দেশের ছবি ছিল আমার উত্তম কুমার ওই আমলের ছবি মনে হয় আমি বাটন ফোনের ক্যামেরা দিয়ে একটা ছবি তৈরি করেছিলাম</t>
  </si>
  <si>
    <t>ছবিটা দেখে আমার খুব কান্না আসত</t>
  </si>
  <si>
    <t>এই ছবিটা আমার কাছে এত ভালো লাগত কতবার দেখেছিলাম আমি নিজেও বলতে পারবনা ভুলে গেছিঃ</t>
  </si>
  <si>
    <t>কি বলবো এখনো এই ছবি টি অনেকের চোখে পানি এনে দেয় যাদের মা বাবার প্রতি ভালোবাসা ছিল</t>
  </si>
  <si>
    <t>সবাই ঠিকঠাক আছিল কিন্তু জায়েদ ভাদাইমা আইচ্ছা যাইহোক এই মুভিতে মোটামুটি ভালোই করেছিল কিন্তু গ্রাফিকস এতো বাজে ছিল কেন তার কোনো ধারণা নেই</t>
  </si>
  <si>
    <t>এক কথায় অনবদ্য ছবি ছিল</t>
  </si>
  <si>
    <t>এগুলো হতো অরজিনিয়াল মুভি দেখে অন্তর জুড়িয়ে গেছিলাম বাংলার আদি সংস্কৃতিতে ভরপুর</t>
  </si>
  <si>
    <t>কাহিনি বুঝতে পেরেছিলাম না</t>
  </si>
  <si>
    <t>অসংখ্য পরিকল্পনা করা দরকার ছিল তারপর মুভি বানানো হয়েছিল</t>
  </si>
  <si>
    <t>সিনেমা টার সাথে মানুষের বাস্তব জীবনের কোন মিল খুজে পেলাম না</t>
  </si>
  <si>
    <t>অহংকার পতনের মূল ছবিতে এটাই ফুটে উঠেছিলো</t>
  </si>
  <si>
    <t>পরিচালকরা মন মতো সিনেমা বানাতেন আর পাবলিক কিছু বললেই নানান কথা বলতো</t>
  </si>
  <si>
    <t>গানের কারণে ছবিটা চলছিল না হলে তো ছবির কাহিনীর যে অবস্থা ছিল সেটা নির্দিষ্ট হতো</t>
  </si>
  <si>
    <t>ছেলেটির বয়স একটু কম হলে ভালো হতো</t>
  </si>
  <si>
    <t>ছবিটা শেষে গিয়ে অনেক মজা লাগত বুঝতে পারছি অহংকারের সাজা</t>
  </si>
  <si>
    <t>সত্যিই ছবি খুব ভালো লাগত এইরকম ছবি হয়েছিল</t>
  </si>
  <si>
    <t>দ্বিতীয় বারের মতো আবারো দেখেছিলাম সম্পূর্ণ টা</t>
  </si>
  <si>
    <t>বাংলাদেশের মুভি এভাবে দেখতে পেয়ে খুবই ধন্যবাদ জানিয়েছিলাম</t>
  </si>
  <si>
    <t>সব ই ভালো ভাবে যাচ্ছিলো খারাপ আড্ডায় পরে এতো ভালো ক্যারিয়ার হাতে ধরেই নষ্ট করলো</t>
  </si>
  <si>
    <t>আমি এই মুভিটা আগে দেখেছিলাম তবুও আমি আবার দেখেছিলাম</t>
  </si>
  <si>
    <t>অনেক দিন পর ছবিটি দেখেছিলাম খুবই ভালো লেগেছিল ছবিটি প্রশংসার দাবিদার ছিল</t>
  </si>
  <si>
    <t>অনেক সুন্দর ছিল একটা ছবি অনেক দিন পরে এমটা মনের মতো মুভি দেখেছিলাম</t>
  </si>
  <si>
    <t>মুভির মেইন থিম কী বলতে চাচ্ছিলেন সেটাই ক্লিয়ার ছিল না</t>
  </si>
  <si>
    <t>গ্রাম বাংলার মুভি মোউসুমির মত কেউ করতে পারেন না খায়রন সুন্দরী অনেক ভাল মুভি ছিল</t>
  </si>
  <si>
    <t>দেব দার এই ছবিতে আমি তেমন কোনো কাহিনি খুঁজে পেয়েছিলাম না</t>
  </si>
  <si>
    <t>প্রথমের দিক টা জোড় করে হাসানোর চেষ্টা করেছিল আর কিছু না হাসি বেরোয়নি আর বেশিরভাগ অযৌক্তিক আর কেমন দুর্বল ছিল</t>
  </si>
  <si>
    <t>অভিনয় একটু ও ভালো লাগছিল না</t>
  </si>
  <si>
    <t>অনেক জায়গায় লো অভিনয় হয়েছিল</t>
  </si>
  <si>
    <t>আমি বুঝতাম না কিভাবে মারা গেছিল</t>
  </si>
  <si>
    <t>দারুণ গল্প ছিলো বিদ্যাবলান মানেই অসাধারণ ছিলো সিনেমা</t>
  </si>
  <si>
    <t>এইটা সিনেমা লোকেশন ভিডিও সবই ভাল লেগেছিল কিন্তু কাহিনি খুবই দূর্বল ছিল</t>
  </si>
  <si>
    <t>এই রকম অভিনেতা আরো চাইতাম তাই দেশ থেকে হল বিলুপ্ত হয়ে গেছিল</t>
  </si>
  <si>
    <t>এটা সত্যিই খুব হাস্যকর ছিল</t>
  </si>
  <si>
    <t>এত বাজে সিনেমা লোকে পয়সা খরচ করে দেখবেন কেনো ছিল</t>
  </si>
  <si>
    <t>আমি বাংলাদেশি ছিলাম তবুও মুভিটি অসাধারণ লেগেছিল</t>
  </si>
  <si>
    <t>ছবিটা অনেক সুন্দর ছিল</t>
  </si>
  <si>
    <t>এই সিনেমাগুলো চলচিত্রকে ধ্বংস করেছিল</t>
  </si>
  <si>
    <t>হাজার হাজার বছর এ ছবি বেচে থাকতো</t>
  </si>
  <si>
    <t>কি মুভি ছিলো ভাই দারুন ছিলো এক্সপ্লেইন টা</t>
  </si>
  <si>
    <t>আসলেই ছবিটা অসাধারণ ছিল</t>
  </si>
  <si>
    <t>যেমন সিনেমা তেমনি গানগুলো সব মিলিয়ে একবারেই অসাধারণ ছিল</t>
  </si>
  <si>
    <t>সেই ছোট বেলায় ছবিটা দেখেছিলাম প্রায় দুই যুগ পর আবারও দেখতে পারলাম খুবই ভালো লাগল</t>
  </si>
  <si>
    <t>সিফরাকে আমার একবারের জন্যও রোবট মনে হয়নি</t>
  </si>
  <si>
    <t>ছবিটা হলে দেখছিলাম আজ আবারও দেখেছিলাম খুব ভালো লাগতো</t>
  </si>
  <si>
    <t>এত টানটান ছবি বাংলায় নিতান্তই কম ছিল</t>
  </si>
  <si>
    <t>আমি আর কি বলতাম সবাই তো বলেছিল এক কথায় অসাধারন</t>
  </si>
  <si>
    <t>এখনকার বাংলা মুভি দেখলে মনে খুশি জেগে উঠত</t>
  </si>
  <si>
    <t>রিয়াজ সহ সবাই খুবই সুন্দর ও ভালোভাবে অভিনয় করেছিল অনেকবার দেখেছিলাম</t>
  </si>
  <si>
    <t>এই মুভি টি এত ভালো ছিল যে আমি যতবার দেখেছি মুভি টি যেমন রোমান্টিক তেমন কষ্ট তেমন মজা ভালো করা একটা মুভি ছিল এককথায় দারুণ</t>
  </si>
  <si>
    <t>সত্যিই মনোমুগ্ধকর ছিলো ছবি টি কাহিনী অভিনয় চরিত্র সব মিলিয়ে অসাধারণ ছিলো এমন ছবি আর হয় না</t>
  </si>
  <si>
    <t>সত্যি আগের মুভির মতো এখন আর কোনো মুভি হয়নি এক কথায় অসাধারণ</t>
  </si>
  <si>
    <t>বাংলা মুভি দেখা হতো না কিন্তু এই মুভিটা রাত জেগে দেখেছিলাম অনেক ভালো লেগেছিল</t>
  </si>
  <si>
    <t>অনেক দিন পর একটা বাংলা ছবি পুরোটা দেখেছিলাম খুব ভালো লাগলো এবং চোখেও জল এসে গেছিল</t>
  </si>
  <si>
    <t>ছবিটা এত সুন্দর লেগেছিল তার বুঝার মতো আমার কিছুই ছিল না</t>
  </si>
  <si>
    <t>জয়াকে ছোটবেলায় এত বড় সফল মানুষ হিসেবে জানতাম না</t>
  </si>
  <si>
    <t>মুভিটাতে চিঠি পড়ার এক পর্যায়ে বাংলাদেশ কে খাটো করে উপস্থাপন করা হয়েছিল যেটা বাংলাদেশি দশর্কদের মর্মাহত করেছিল বিশেষ করে আমাকে</t>
  </si>
  <si>
    <t>অসাধারণ একটি মুভি ছিল অনেক অনেক বেশি ভালো লাগতো মুভিটা দেখে</t>
  </si>
  <si>
    <t>গৌতম ঘোষ এর মুভি আসলেই অসাধারণ ছিল</t>
  </si>
  <si>
    <t>পুরাতন মুভিগুলো কি সুন্দর ছিলো</t>
  </si>
  <si>
    <t>ছোট বেলায় আম্মুর হাত ধরে হাটতাম তখন শুধু রাগ উঠতো হাত ধরে কেন হাটতে হবে</t>
  </si>
  <si>
    <t>বাংলা সিনেমার কত অবনতি হয়েছিল এই ছবি দেখেই বোঝা যায় এত ভালো ভালো স্টার নিয়েছিলেন অথচ কি হাল করেছিল সিনেমার</t>
  </si>
  <si>
    <t>ছোট বেলায় দেখতে পারতাম না তখন কিছুই বুঝিনি তাই এখন আবার দেখেছি খুব সুন্দর ছবি ছিল</t>
  </si>
  <si>
    <t>এসব ছবি আমার পছন্দ ছিল না</t>
  </si>
  <si>
    <t>অসাধারণ লেগেছিল সাবানা আপু মেয়েদের জন্য অনেক শিক্ষা রেখে গিয়েছেন</t>
  </si>
  <si>
    <t>আজকে দেখেছিলাম অনেক ভালো লেগেছিল জীবন্ত অভিনয় ছিল</t>
  </si>
  <si>
    <t>এত ডং কেন ছিল</t>
  </si>
  <si>
    <t>প্রাণবন্ত অভিনয় যেমন হেসেছিলাম ঠিক তেমন কাঁদিয়েছিল হৃদয় ছুঁয়ে গিয়েছিল</t>
  </si>
  <si>
    <t>দেখেছিলাম ফেলেছিলাম মাস্টারপিস মুভিটি তবে হ‍্যা মাত্র এক মিনিট চল্লিশ সেকেন্ডে</t>
  </si>
  <si>
    <t>কি জাদুকরী অভিনয় ছিল</t>
  </si>
  <si>
    <t>আমার কাছে এই মুভিটি আমার জীবনের সেরা মুভি মনে হতো</t>
  </si>
  <si>
    <t>এরকম ন্যাকা নায়ক আমি কোথাও দেখি নাই</t>
  </si>
  <si>
    <t>শিক্ষণীয় ছবি ধন্যবাদ জানালো এই সুন্দর ছবির পরিচালককে এটিই গ্রাম বাংলার বাস্তবের রুপ</t>
  </si>
  <si>
    <t>নকল করলে কেউ পুরাটাই করেছিলনা</t>
  </si>
  <si>
    <t>সিনেমার শেষ পর্বে দেখেছিলাম যে নায়ক মরে গিয়েছিল</t>
  </si>
  <si>
    <t>মুভিটার শেষ গল্পটা একটু বাড়িয়ে দেওয়া হলে অনেক সুন্দর দেখাতো কিন্তু মুভিটা শেষে ফিনিশিং হয়নি</t>
  </si>
  <si>
    <t>ধুরু কি ছিল এগুলা আজাইরা ছিল</t>
  </si>
  <si>
    <t>আমার মনে হয় এটি শাবনূর মৌসুমী রিয়াজের ক্যারিয়ার সেরা মুভি ছিল</t>
  </si>
  <si>
    <t>সেই ছোট্ট বেলা থেকে এই মুভিটা দেখা শুরু করছিলাম আজ পর্যন্ত কত হাজার বার দেখেছি জানিনা তবুও মন ভরে না আমার কাছে এই আম্মাজান মুভিটা বিশ্ব সেরা ছিল</t>
  </si>
  <si>
    <t>বাবু টার মুখ টা খুব মায়াবী ছিল</t>
  </si>
  <si>
    <t>এইসব মুভি দেখে জেনারেশনটা একদম ধ্বংস হচ্ছিল</t>
  </si>
  <si>
    <t>অনেক হাসি পেয়েছিল ওদের অভিনয় দেখে</t>
  </si>
  <si>
    <t>তুমি যদি একটিবার বলতে আমায় আমি সব মায়া ত্যাগ করে কবেই চলে যেতাম যদি একটিবার বলতে ভালোবাসনা আমি তো কবেই তোমায় মুক্ত করে দিতাম</t>
  </si>
  <si>
    <t>নুরী চরিত্রটা একটু বেশিই সহজ সরল ছিল যাকে ভালোবাসতে তাকে নিজ থেকে বার বার আরেকজন সুন্দরী মেয়ের সাথে মিশিয়ে দিতো</t>
  </si>
  <si>
    <t>এতো সুন্দর গল্প নিয়ে আর কোনদিন বাংলা সিনেমা হতো না সত্যিই জুটিটার কোন তুলনা ছিল না</t>
  </si>
  <si>
    <t>অসাধারণ বিউটিফুল একটা মুভি ছিল</t>
  </si>
  <si>
    <t>ভাই অনন্ত জলিল এর হারট বের করে আনার পর সেই বাচ্চার চিৎকার টা সেই ছিল</t>
  </si>
  <si>
    <t>কাহিনী দূর্বল ছিল অভিনেতারা শুধু ডাইলগ মুখস্থ বলে গিয়েছিল</t>
  </si>
  <si>
    <t>গল্প না থাকলে সিনেমা করার দরকার ছিল কি</t>
  </si>
  <si>
    <t>ছবিটি এত ভাল লেগেছিল অসাধারণ চমৎকার লেগেছিল</t>
  </si>
  <si>
    <t>কিছুই বুঝতে পারিনি কি দেখেছিলাম আর কেন দেখেছিলাম আশায় ছিল শেষ পর্যন্ত কিছু একটা পাব কিন্তু হতাশ হয়েছিলাম</t>
  </si>
  <si>
    <t>ছবি বানানোর নুন্যতম জ্ঞান ছিল না তাদের</t>
  </si>
  <si>
    <t>কাহিনী অভিনয় দৃশ্য সব কিছু চমৎকার ছিল</t>
  </si>
  <si>
    <t>কি মুভি ভাই খুবই হাসির মুভি হাসতে হাসতে শেষ হয়ে গিয়েছিলাম আমি</t>
  </si>
  <si>
    <t>মুভিটা দেখতে পারেন আমার কাছেও বেশ সুন্দর লেগেছিল</t>
  </si>
  <si>
    <t>থার্ড ক্লাস একটা ছবি ছিল</t>
  </si>
  <si>
    <t>এইসব সিনেমা দেখে সিনেমার প্রতি মন উঠে গিয়েছিল</t>
  </si>
  <si>
    <t>ছবিটা যতবারই দেখেছি চোখ থেকে অশ্রু নিশ্রিত হয়েছে</t>
  </si>
  <si>
    <t>ডিবজলের কিছু অভিনয়ে সে সময়ে সমাজে একটা আতংক ছিল</t>
  </si>
  <si>
    <t>খুব বাজে একটা মুভি হয়েছিল</t>
  </si>
  <si>
    <t>জানি না কেন জানি এই গল্পটা আমাকে কাঁদিয়েছিল অনেক সুন্দর একটা গল্প ছিল</t>
  </si>
  <si>
    <t>দেবাশীষ বিশ্বাস মুভিটা মোটেও ভালো হয়নি</t>
  </si>
  <si>
    <t>মানে বাংলাদেশের পরিচালকদের মাথায় নতুন কোন কাহিনী আসতো না</t>
  </si>
  <si>
    <t>বাংলাদেশের ইতিহাসের সবচেয়ে সেরা ছবি ছিল আম্মাজান</t>
  </si>
  <si>
    <t>অসাধারণ ছবি ছিল দেখলেই চোখ দিয়ে পানি চলে আসত</t>
  </si>
  <si>
    <t>এখানে মা নিজেকে নিয়ে এতো ব্যস্ত হয়ে গিয়েছিলেন তিনি নিজেকে নিয়ে ছিলেন আর একটা ছোট্ট বাচ্চার উপর দিয়ে কী যাচ্ছিল সে খেয়ালই নেননি কেয়ারলেস</t>
  </si>
  <si>
    <t>শুধু শুধু ঘুম টা নষ্ট করে ফালতু সিনেমা দেখলাম</t>
  </si>
  <si>
    <t>ভালোবাসার অসাধারণ দৃষ্টান্ত দেখা গেল এই মুভিটাতে</t>
  </si>
  <si>
    <t>ফালতু মুভি অনেক আগেই দেখেছিলাম</t>
  </si>
  <si>
    <t>ওদের কান্না দেখে আমার হাসি ওটতেছিল কি কান্নারে বাপু কি অভিনয়রে বাবা</t>
  </si>
  <si>
    <t>বাস্তবে এর কোনো ভিত্তি ছিল না আবোল তাবোল</t>
  </si>
  <si>
    <t>বাজে একটা সিনেমা শিখার কিছু দেখিনি</t>
  </si>
  <si>
    <t>শাবানার এই আচার খাওয়া বিরক্তিকর ছিল</t>
  </si>
  <si>
    <t>জীবনে কতগুলো মুভি দেখেছিলাম কিন্তু এই ধরনের কোন টুইস্ট ওয়ালা মুভি দেখিও নাই ভাবিও নাই</t>
  </si>
  <si>
    <t>এদেরকে নিয়ে রিভিউ দিতেও লজ্জা লাগত</t>
  </si>
  <si>
    <t>ফালতু সিনেমার লিমিট ছিল</t>
  </si>
  <si>
    <t>ছোটবেলায় এই সিনেমা টি আমার অনেক ভালো লাগতো আমি ইন্ডিয়া থেকে ওয়েস্ট বেঙ্গল এ থাকতাম আজ এগারো বছর পর এই মুভি টা দেখলাম খুব খুশি অনুভূতি হয়েছিল</t>
  </si>
  <si>
    <t>কতটা সুন্দর বাংলা ছায়াছবি ছিলো মা বা ভাই বোনকে নিয়ে দেখা গিয়েছিল সিনেমা</t>
  </si>
  <si>
    <t>গ্রামের ছবি অসাধারণ একটি ছবি ছিল</t>
  </si>
  <si>
    <t>একদম ফালতু ফাইট সিন ছিল</t>
  </si>
  <si>
    <t>দেখার মত একটা রোমান্টিক ছবি ছিল</t>
  </si>
  <si>
    <t>বাস্তবতার সাথে যেন এক অপরুপ মিল ছিল</t>
  </si>
  <si>
    <t>আমাদের ইন্ডিয়া আসাম রাজ্যের রাজমিতা গ্ৰাম থেকে ছবিটি দেখেছিলাম</t>
  </si>
  <si>
    <t>সব ঠিকঠাক ছিল কিন্তু গলার আওয়াজটা এতো নরম ছিল কেন এবং বাজে সাউন্ড সিস্টেমের কোয়ালিটি কখনোই শুনিনি</t>
  </si>
  <si>
    <t>কাহিনী খুবই দূর্বল ছিল অন্তিম লগ্নে যে ব্যঞ্জনা তৈরি হতে পারত তা যেন ঘটতে ঘটতেও ঘটল না</t>
  </si>
  <si>
    <t>অনেক চেষ্টা করেছিলাম হাসার বৃথা চেষ্টা করেছিলাম</t>
  </si>
  <si>
    <t>অপু বিশ্বাস সারাটা ছবির মধ্যেই কান্না কাটি করেছিল</t>
  </si>
  <si>
    <t>সত্যিই ভীষণ ভালো ছবিটি ছিল ব্যার্থ মানুষকে নতুন জীবনের স্বপ্ন দেখাতো</t>
  </si>
  <si>
    <t>সুন্দর পারিবারিক ছায়াছবি ছিল</t>
  </si>
  <si>
    <t>ফালতু সিনেমা ছিলো</t>
  </si>
  <si>
    <t>ছবির নায়িকা শিশু শিল্পী ও নায়ক সহ সকল কলা কুশলীরা ছিলেন অনবদ্য</t>
  </si>
  <si>
    <t>এইটা কোনো নায়ক ছিল</t>
  </si>
  <si>
    <t>পাগল ছাড়া কেউ এই মুভি দেখেছিল না</t>
  </si>
  <si>
    <t>এই মুভি টা যখন প্রথম এসেছিল তখন আমাদের সবাই মিলে দেখছিলাম</t>
  </si>
  <si>
    <t>এইগুলো কোন সিনেমা ছিলো নাকি</t>
  </si>
  <si>
    <t>মানুষ কি দেখে এটাকে ভালো বলেছিল বুঝলাম না</t>
  </si>
  <si>
    <t>গল্পের অপরিণামদর্শী সমাপ্তী ছিল শেষটা আরো ভালো করা যেত</t>
  </si>
  <si>
    <t>মুভিটা দেখে অনেকবার চোখের পানি মুছেছিলাম</t>
  </si>
  <si>
    <t>অত্যন্ত মিষ্টিমধুর ছবি অভিনয়ে প্রত্যেকে যে কোনো মাপকাঠির বাইরে ছিলেন মন ভরপুর হয়ে গিয়েছিল</t>
  </si>
  <si>
    <t>বিশ বছর পর আবার দেখলাম</t>
  </si>
  <si>
    <t>ইতিহাসের সেরা ছবি সেরা নায়ক মান্না যে ছবির কখনো মৃত্য ছিল না</t>
  </si>
  <si>
    <t>বাংলাদেশের ইতিহাসের শ্রেষ্ঠ ছবি ছিল</t>
  </si>
  <si>
    <t>যতবার এই মুভিটি দেখেছি ততবার যেন নতুন নতুন অনুভূতির উপলব্ধি হয়েছে সকলের কাছে আমার বিশেষ অনুরোধ দয়া করে কেউ কখনও বৃদ্ধ বয়সে মা বাবাকে কাছ ছাড়া না করে আদর যত্নে রাখবেন</t>
  </si>
  <si>
    <t>ও মাই গড এমন মুভি হয়েছিল বাংলাদেশে যা আমি জানতাম না</t>
  </si>
  <si>
    <t>এই মুভিএর থেকে নাটক অনেক ভালো লেগেছিল</t>
  </si>
  <si>
    <t>এটাই বেস্ট মুভি ছিল</t>
  </si>
  <si>
    <t>রুকমিনি অভিনয় তেমন জানতেন না বললেই চলে</t>
  </si>
  <si>
    <t>অসাধারণ একটি ছবি এরকম একটি ছবি দেখার পর নিজেকে বাঙালী হিসেবে ভীষণ গর্ব বোধ হয়েছিল মনে হয়েছিল বাংলাতেই বোধহয় সম্ভব এরকম অনবদ্য একটি পরিচালনা অভিনয় গল্প এবং আরও অনেক কিছু</t>
  </si>
  <si>
    <t>কপি মারকা সিনেমা দেখলাম</t>
  </si>
  <si>
    <t>এই কাহিনী অন্যদের হাসানোর জন্য উৎকৃষ্ট উদাহরণ ছিল বোঝা গেল প্রতিভার মূল্যায়ন হয়েছিল হয়েছিল</t>
  </si>
  <si>
    <t>আমি আমার শৈশবের দেখা ছবিটি আবার দেখেছিলাম তাও আবার দীর্ঘ বছর পর এই দশ বছরে আমি কোনো সিনেমা দেখিনি ভালো লেগেছিলো</t>
  </si>
  <si>
    <t>রজতাভ দত্তের টিম ছাড়া বাকি সব নিম্নমানের অভিনয় করেছিল</t>
  </si>
  <si>
    <t>এতো কান্না সহ্য হয়নি ভাই সারাটা ছবিতে শুধুই কান্না ছিল জীবনটা বেদনা ছিল</t>
  </si>
  <si>
    <t>আমার বাংলা দেশের সব মুভি গুলো দেখতে খুব ভালো লেগেছিল</t>
  </si>
  <si>
    <t>শেষটা সত্যি খুব অসাধারণ ছিল</t>
  </si>
  <si>
    <t>লে হালুয়া মুভির সবচেয়ে বেশি হাসির জায়গা ছিল</t>
  </si>
  <si>
    <t>এদের যে কি হয়েছিল রে বাবা আর হচ্ছিল না আর পারতাম না এদেরকে</t>
  </si>
  <si>
    <t>এটা কি সিনেমা এরকম সিনেমা আরও হলে বাংলার সিনেমা জগতে অনেক নিচে নাম চলে আসতো</t>
  </si>
  <si>
    <t>শাকিব খানের সিনেমা টি দেখে খুব ভালো লাগত</t>
  </si>
  <si>
    <t>এই মুভিটা এতো সুন্দর ছিল মন ভালো হয়ে যেতো দেখলে</t>
  </si>
  <si>
    <t>ছবি টা অনেক টাই মান্না ভাইয়ের কপি করা আমি কনফার্ম করেছিলাম</t>
  </si>
  <si>
    <t>এই ছবি ঐ সময় যখন হলে চলত তখন পোস্টারে আর বিটিভিতে কাস্টিং দেখেছিলাম তখন আমি অনেক ছোট ছিলাম কিন্তু ছবিটা কখনো দেখতে পারিনি আজ দেখলাম সত্যিই কি অসাধারণ একটা ছবি তারা করেছে যা আজও হৃদয়ে কান্নার আবেগ ধরে রাখা যায় না</t>
  </si>
  <si>
    <t>শুরু থেকেই কাহিনি ঘোলাট হয়েছিল</t>
  </si>
  <si>
    <t>যখন সব কিছু শেষ হয়েছিল এবং সকল ব্যাবসা শেষ হয়েছিল তখন এই গানটি দেয়া যুক্তিসম্মত ছিল এখন শুধু প্রতিশোধ আর প্রতিশোধ নিয়ে সামনে আগানোর প্রয়োজন ছিল</t>
  </si>
  <si>
    <t>সবচেয়ে বেশি হেসেছিলাম লে হালুয়া এই মুভি দেখে</t>
  </si>
  <si>
    <t>গাজাখরি গল্প ছিল সময় নষ্ট ছাড়া আর কিছু না</t>
  </si>
  <si>
    <t>এক কথায় এই মুভিটা বন্ধুত্বের মর্যাদা দেওয়ার জন্য শিক্ষা দিয়েছিল</t>
  </si>
  <si>
    <t>এই ছবিতে অনেকগুলো শিক্ষণীয় বিষয় ছিল</t>
  </si>
  <si>
    <t>যখন গ্রামে ছিলাম ভাবতাম আমরা শহরে থাকলে খুব ভালো হতো ভাবতাম শহরের মানুষ কতই না আধুনিক</t>
  </si>
  <si>
    <t>একেবারেই ভিন্ন স্বাদের গল্প ছিল কাহিনী নির্মাণ এবং অভিনয় দারুণ ছিল অসাধারণ</t>
  </si>
  <si>
    <t>ক্রিঞ্জের ঠেলায় মরতে যাচ্ছিলাম</t>
  </si>
  <si>
    <t>এরকম অভিনয় সমৃদ্ধ চলচ্চিত্র আর বোধহয় ছিলনা</t>
  </si>
  <si>
    <t>অনেক সুন্দর চমৎকার একটা কলকাতা বাংলা ছবি হিরণ ও কোয়েল এর চিরসাথী ছিল এর আগে কয়েকবার দেখেছিলাম যত বার দেখেছিলাম ততবার ভালো লাগত প্রত্যোক টা গান অসাধারণ শুনতে ভীষণ ভালো লাগত</t>
  </si>
  <si>
    <t>বাপরে বাপ কি সিনেমা এই রকম সিনেমা হাজার টাকায় টিকিট কেটেও দেখা যেত</t>
  </si>
  <si>
    <t>জায়েদ খান একটা টিয়ুব লাইট ছিল</t>
  </si>
  <si>
    <t>ছবিটিতে অনজু ও ইলিয়াস কান্চন প্রান খুলে অভিনয় করেছিলেন যার জন্যই জনপ্রিয়তা পেয়েছিল</t>
  </si>
  <si>
    <t>এখনো একটি চাকরি জোগাড় করতে পারলাম না</t>
  </si>
  <si>
    <t>এর থেকে ভালো মুভি আমি নিজে বানিয়েছিলাম</t>
  </si>
  <si>
    <t>এগুলা একটা সিনেমা হয়েছিল</t>
  </si>
  <si>
    <t>মম কে সামনে দেখেছিলাম বাজে লাগত সিনেমাও বাজে ছিল</t>
  </si>
  <si>
    <t>ছবিটা যতবার দেখেছিলাম ততবারই ভালো লেগেছিল অনেক কষ্টের একটা ছবি</t>
  </si>
  <si>
    <t>আজাইরা ফালতু সিনেমা বানিয়ে ছিল</t>
  </si>
  <si>
    <t>কতটুকু নিকৃষ্ট মনের মানুষ হলে এরকম সিনেমার গল্প লিখতে পারে</t>
  </si>
  <si>
    <t>অনেক সুন্দর ছিল এই গল্প ভালো লেগেছিল</t>
  </si>
  <si>
    <t>আমার দেখা সেরা টুইস্ট ছিল মুভি টা ভাবতেও পারছিলাম না</t>
  </si>
  <si>
    <t>অসাধারণ ছবি ছিলো দারুণ ছবি ছিলো</t>
  </si>
  <si>
    <t>পরিচালকের ধারণা হয়েছিল এই ছবি দিয়ে তারা ব্যবসাা করতে পারত</t>
  </si>
  <si>
    <t>একটুও ভালো লাগলো না শুধু টাইম লস হয়েছিলো</t>
  </si>
  <si>
    <t>শুরটা একদম ফাউল ছিল</t>
  </si>
  <si>
    <t>ফাউল মুভি ছিল</t>
  </si>
  <si>
    <t>বস্তাপঁচা মুভি ছিল</t>
  </si>
  <si>
    <t>ধন্যবাদ পরিচালক ভাইকে এত সুন্দর মুভি উপহার দেওয়ায়</t>
  </si>
  <si>
    <t>রিয়াজ শাবনূর যেখানে রোমান্টিক কাহিনী ছিল সেখানে এক কথায় সর্বকালের সর্বশ্রেষ্ঠ রোমান্টিক জুটি ছিল রিয়াজ শাবনূর</t>
  </si>
  <si>
    <t>শেষটা ছিল অপরিপূর্ণ</t>
  </si>
  <si>
    <t>সিনেমা দেখার পরে একটাই উপলব্ধি হয়েছিল সবার প্রিয় ফেলুদা একদম সঠিক ব্যক্তির হাতেই সুরক্ষিত রয়েছিল</t>
  </si>
  <si>
    <t>কি নিখুঁত অভিনয় যেমন শিল্পী তেমন কণ্ঠ কি গান আবার যদি এরকম সিনেমা বানানো হতো মনটা কেঁদে ওঠতো আবার দেখার পরে</t>
  </si>
  <si>
    <t>ছবি দেখে রাগ উঠত</t>
  </si>
  <si>
    <t>পুরো ফিল্ম টা ফাউল ছিল তাও আবার তামিল ফিল্মের কপি ছিল</t>
  </si>
  <si>
    <t>পুরাতন সিনেমার ইজ্জত মেরে দিলেন ওরা</t>
  </si>
  <si>
    <t>মাথায় গোবর ছিল সুতো এই সিনেমা বানায়ছিল</t>
  </si>
  <si>
    <t>রাগ উঠলো এগুলা দেখে</t>
  </si>
  <si>
    <t>গল্পে টুইস্ট পেতাম যদি সবার অনুমানকে মিথ্যে বানিয়ে ক্লাইম্যাক্সে বাস্তবিকেই রাহুল প্রতাপ প্রভৃতি চরিত্রকে অস্তিত্বশীল হিসেবে দেখানো হত আর খুনি হিসেবে বৃষ্টির মায়ের খুনীদেরকেই আবার চার খুনের খুনি বানানো হত</t>
  </si>
  <si>
    <t>ময়নামতির সংসার ছবিটি ছিল গ্রাম বাংলার একটি সামাজিক ও পারিবারিক ছবি ছবিটি খুব ভালো লেগেছিল ও বেশ উপভোগ করেছিলাম সবাই</t>
  </si>
  <si>
    <t>কাহিনী ভালো ছিল তবে ওভার অ্যাক্টিং হয়ে গেছিল</t>
  </si>
  <si>
    <t>ছবিটা অনেক সুন্দর ছিল ধন্যবাদ এমন একটি ছবি উপহার দেওয়ার জন্য</t>
  </si>
  <si>
    <t>মুভিতে কোনো কাহিনী ছিল না মানুষ আর কী দেখতেছিল ফালতু ছিল</t>
  </si>
  <si>
    <t>ভালো মুটামিটি দেখার মতো এ টি এম এর অভিনয়টা বেশি ভালো হয়েছিল</t>
  </si>
  <si>
    <t>পরিচালনা করেছিলেন বিখ্যাত হলিউড অভিনেত্রী এঞ্জেলিনা জোলি</t>
  </si>
  <si>
    <t>যারা অভিনয় করেছিলেন ওরা কি সত্যি কারের অভিনেতা ছিলেন ছিঃ</t>
  </si>
  <si>
    <t>আমার জীবনের দেখা সবচেয়ে খারাপ মুভি ছিল এইটা</t>
  </si>
  <si>
    <t>এমন ছবি করলে মানুষ আর হলে যেয়ে ছবি দেখতো না</t>
  </si>
  <si>
    <t>ময়না মতী খুব ভালো লেগেছিল</t>
  </si>
  <si>
    <t>যাই ঘুমাই ফালতু মুভি দেখার দরকার ছিল না</t>
  </si>
  <si>
    <t>অভিনয় হয় নাই ছবি ফ্লপ হয়েছিল</t>
  </si>
  <si>
    <t>খুবই বোরিং একটা মুভি ছিল</t>
  </si>
  <si>
    <t>শাকিব খানের মুভি মানেই হতো হয় নায়িকা বড়লোক থাকতো আর শাকিব খান গরিব থাকতো নয় শাকিব খান বড়লোক থাকতো নায়িকা গরিব থাকতো</t>
  </si>
  <si>
    <t>এই যুগের সেই রকম ধরনের মুভি দেখতে হলে কিভাবে হতো হলিউড থেকে তোরে একটু শিক্ষা ছিল না</t>
  </si>
  <si>
    <t>মুভিটাতে চিঠি পড়ার এক পর্যায়ে বাংলাদেশকে খাটো করে উপস্থাপন করা হয়েছিল যেটা বাংলাদেশি দশর্কদের মর্মাহত করেছিল বিশেষ করে আমাকে</t>
  </si>
  <si>
    <t>এই ছবিটা অভিনয় কার কার ভালো লেগেছিল জানিনা কিন্তু আমার খুব ভালো লেগেছিল</t>
  </si>
  <si>
    <t>এত ভালো মানের অভিনেতা ও অভিনেত্রী থাকা সত্ত্বেও তাদের থেকে বাজে অভিনয় ছাড়া কিছুই দেখলাম না</t>
  </si>
  <si>
    <t>নানান মনিষির নানান রকমের ঢং ছিলো</t>
  </si>
  <si>
    <t>কান্না ধরে রাখতে পারিনি</t>
  </si>
  <si>
    <t>আমি কেন এই মুভি দেখতে আসলাম</t>
  </si>
  <si>
    <t>আম্মুদের মুখে শুনেছিলাম মুভিটার কথা কিন্তু সত্যিই মুভি অনেক সুন্দর ছিল সত্যিই চোখে পানি চলে আসতো</t>
  </si>
  <si>
    <t>বাজে ভাবে সময় নষ্ট করেছিলাম</t>
  </si>
  <si>
    <t>এসব অভিনয় দিয়ে কিছু করতে পারলনা তারা</t>
  </si>
  <si>
    <t>সময় নষ্ট হয়েছিল আর কিছু না</t>
  </si>
  <si>
    <t>অনেক বছর আগে দেখা দারুন ছবি ছিল</t>
  </si>
  <si>
    <t>অসাধারণ একটা মুভি ছিল এখনকার দিনে এমন মুভি দেখা যায় না</t>
  </si>
  <si>
    <t>অসাধারণ অসাধারণ ছিল ছবি</t>
  </si>
  <si>
    <t>এসব ছবি করে দেখেই তো হল সব বন্ধ হয়ে গিয়েছিল</t>
  </si>
  <si>
    <t>শেষটা এমন এক ধাক্কা দিবে যা কল্পনার বাহিরে ছিল</t>
  </si>
  <si>
    <t>অসাধারণ একটি ছবি বাংলাদেশে এরকম ছবি তৈরি হয়েছিলনা</t>
  </si>
  <si>
    <t>আমাদের সিলেটের প্রাকৃতিক সৌন্দর্য এবং সিলেটি ভাষা ছিল অনেক সুন্দর একটা মুভি</t>
  </si>
  <si>
    <t>সেই ছোট কালে এই মুভিটি বিটিবিতে দেখতাম খুব সুন্দর সামাজিক মুভি ছিল</t>
  </si>
  <si>
    <t>সত্যিই চোখের পানি ধরে রেখেছিলামনা</t>
  </si>
  <si>
    <t>দুইজনই অসাধারণ অভিনয় করেছিলেন</t>
  </si>
  <si>
    <t>সাউন্ড কোয়ালিটি প্রচণ্ড খারাপ ছিল দেখার ইচ্ছেটা চলে গিয়েছিল</t>
  </si>
  <si>
    <t>ছবিটা সত্যিই অনবদ্য</t>
  </si>
  <si>
    <t>হাসি ছাড়া কিছুই দিতে পারলাম না</t>
  </si>
  <si>
    <t>নিজের অজান্তেই চোখ দিয়ে পানি পড়লো যখন ছবির শেষ টা দেখেছিলাম</t>
  </si>
  <si>
    <t>এটা এত তাড়াতাড়ি শেষ হয়ে গেছিল যা কল্পনাও করতে পারিনি টেনেটুনে দুই মিনিটেই শেষ করে দিলাম</t>
  </si>
  <si>
    <t>পাগল ছাগলের মুভি ছিল</t>
  </si>
  <si>
    <t>জঘন্য একটা ছবি ছিল</t>
  </si>
  <si>
    <t>দেবের করা সবচেয়ে ভালো মুভি ছিলো এটা</t>
  </si>
  <si>
    <t>সিনেমা টার সাথে মানুষের বাস্তব জীবনের অনেক মিল ছিল</t>
  </si>
  <si>
    <t>অসাধারণ ইমোশনাল একটি মুভি ছিল সমাজের বাস্তব চিত্র তুলে ধরা হয়েছিল মনের অজান্তেই কেঁদেছিলাম</t>
  </si>
  <si>
    <t>ছবির শেষ মুহুর্তে হঠাৎ চোখ দিয়ে পানি চলে এসেছিলো</t>
  </si>
  <si>
    <t>অনেক দিন পর একটা অসাধারণ বাংলা সিনেমা দেখলাম মনটা ভরে গেল আরো এরকম অনেক দেখার আশায় রইলাম</t>
  </si>
  <si>
    <t>সালমান শাহ একটাই ছিল ওর চাইতে ভালো ছিলনা কেউই</t>
  </si>
  <si>
    <t>কাহিনি কপি করলেই হয় না এক্টিং স্কিল ও জানা লাগতেছিল</t>
  </si>
  <si>
    <t>কাজী হায়াতের এই ছবি শত বছর মানুষের অন্তরে থাকেই যাবে</t>
  </si>
  <si>
    <t>ছবি টা দুর্দান্ত ছিল</t>
  </si>
  <si>
    <t>অনন্ত জলিল ও পারে বাবা নিজেই প্রডিউসার হয়েছিলেন নিজেই হিরো ছিলেন এবং নিজের বউকেও হিরোইন বানিয়ে দিয়েছিলেন আর নিজেই রাইটার ছিলেন এবং যেই কাহিনী বাবা দেখেছিলেন সেটা তো আমি কানা হয়ে গেছিলাম আমি যখন তাকে শুনলাম</t>
  </si>
  <si>
    <t>বিশ্বাস করেন ভাই এসব সিনেমা শুধু সিনেমা না পিউর বাস্তবতা</t>
  </si>
  <si>
    <t>অনেক সুন্দর একটা মুভি ছিলো অসাধারণ অভিনয় করতেছিলেন সানী ভাই</t>
  </si>
  <si>
    <t>মোশাররফ করিম নামটাই যথেষ্ট ছিল এই মুভিটা দেখার জন্য চমৎকার এক সত্য ঘটনা অবলম্বনে অসাধারণ নির্মাণ আর মোশাররফ করিমের অভিনয় মুভিটিকে মাস্টওয়াচ করেছিল</t>
  </si>
  <si>
    <t>এত সুন্দর ছবি আর এ বাংলায় কেউ উপহার দিতে পারবে না</t>
  </si>
  <si>
    <t>এতো জঘন্য ছবি জীবনেও দেখিনি</t>
  </si>
  <si>
    <t>অসাধারণ লাগলো ছবি কৌশিকী চক্রবর্তীকেও খুব ভালো লেগেছিল</t>
  </si>
  <si>
    <t>মেসি বার্সেলোনা ছেড়ে যাওয়াটা খুব দুঃখের ছিল</t>
  </si>
  <si>
    <t>উফঃ হাসতে হাসতে পেট ব্যাথা হয়েছিল</t>
  </si>
  <si>
    <t>এই রকম ছবি মৌসুমী শাবানা দ্বারাই একমাত্র সম্ভব ছিল এই ছবি মাধ্যমে মৌসুমী হাজার হাজার বছর বেঁচে থাকবে সারা জীবন মনে রাখার মত একটা সিনেমা ছিল</t>
  </si>
  <si>
    <t>পুরাটা ক্ষ্যাত হয়েছিল</t>
  </si>
  <si>
    <t>শেষ দৃশ্যে মনটা বেদনায় ভরে গেল অসাধারণ অতুলনীয় একটা সিনেমা দেখলাম অনেক দিন পর কি অপূর্ব অভিনয়</t>
  </si>
  <si>
    <t>ছবিটি খুব সুন্দর ছিল সবার অভিনয় সুন্দর ছিল নাসরিনের অভিনয় বিশেষত ভালো লেগেছিল</t>
  </si>
  <si>
    <t>জলন্ত খলিল থাকলে মুভি দেখা লাগতো না আমাদের</t>
  </si>
  <si>
    <t>খুব সুন্দর একটা সিনেমা দেখে মন ভরে গিয়েছিল</t>
  </si>
  <si>
    <t>টাকা থাকলেই সব সম্ভব এই মুভিতে শিল্পী হিসাবে মাফুজ হিরো আলোম রানু মন্ডল এদের নেওয়া উচিৎ ছিল</t>
  </si>
  <si>
    <t>কি ছবি ছিলো রে বলে প্রকাশ করতে পারলামনা</t>
  </si>
  <si>
    <t>খুব সুন্দর সিনেমা ছিল ফ্যামিলি নিয়ে দেখার মত সিনেমা ছিল</t>
  </si>
  <si>
    <t>ভালো ভালো অভিনেতা অভিনেত্রীরা এসব সিনেমায় অভিনয় করতেন কিভাবে বুঝতে পারিনি</t>
  </si>
  <si>
    <t>অসাধারণ কাহিনীটা অসাধারণ অভিনয়ের মাধ্যমে ফুটিয়ে তুলেছিল</t>
  </si>
  <si>
    <t>এই ছবির প্রতিটা দৃশ্য এবং সুর কথা যেন হৃদয় ছুয়ে যেত</t>
  </si>
  <si>
    <t>কি সুন্দর মুভি ছিল অভিনয় যে মনেই হচ্ছিল না কি নিখুঁত অভিনয় ছিল</t>
  </si>
  <si>
    <t>এটা আবার কেমন নাম ছিল তার মানে এখানেও নকল ছিল</t>
  </si>
  <si>
    <t>পুরনো দিনের সব মুভি গুলো দেখলে মন ভরে যেতো</t>
  </si>
  <si>
    <t>বাংলাদেশের মুভি কখনো সেইভাবে দেখা হয়নি কিন্তু এই মুভিটা ভালোই লেগেছিলো</t>
  </si>
  <si>
    <t>বুবলী নতুন এসে অসাধারণ কাজ করেছিল</t>
  </si>
  <si>
    <t>দেব দার অভিনয়ে আর আগের মতো ছিলনা</t>
  </si>
  <si>
    <t>মুভিটি এত সুন্দর করে বানানো হয়েছিল যে যেন একেবারে বাস্তব ভালোবাসা কতটা সুন্দর ও ভয়াবহ হতে পারে সেটা এই মুভির দারা বোঝানো হয়েছিল মুভিটা খুব সুন্দর হয়েছিল</t>
  </si>
  <si>
    <t>ডিপজল চাচার জীবনের সেরা ছবি ছিল এবং এটি দেখে সবাই প্রশংসা করছিল সবাই</t>
  </si>
  <si>
    <t>গ্রাম বাংলার সেরা জুটির ছবি</t>
  </si>
  <si>
    <t>আহা আগের মুভিগুলো কতই না সুন্দর ছিলো সব মুভির কাহিনি এক ছিলো দেখতেও ভালো লাগতো</t>
  </si>
  <si>
    <t>স্টোরি ভালো হলেও সেটা ফুটিয়ে তুলতে পারছিল না অভিনয়ও রং চটা কম বাজেটের ফিল্ম হলে যা হয়েছিল</t>
  </si>
  <si>
    <t>যারা প্রকৃত অপরাধী তারা পার পেয়ে গিয়েছিলেন অথচ যারা নিরপরাধ তারা শাস্তি পেয়েছিলেন</t>
  </si>
  <si>
    <t>প্রেম ভালোবাসা ছাড়া যে চলচ্চিত্র তৈরি করা যায় তার প্রমাণ দিয়ে গেল ডাবচিংড়ি</t>
  </si>
  <si>
    <t>আহা মুভিটি কোনোরকম অশ্লীলতা ছাড়া কত সুন্দর ছিল</t>
  </si>
  <si>
    <t>বিচ্ছিরি অভিনয় করেছিল</t>
  </si>
  <si>
    <t>রাউডি রাথরে অক্ষয় কুমার বেস্ট ছিলেন</t>
  </si>
  <si>
    <t>অসম্ভব সুন্দর ও মোটিভেশনাল মুভি ছিল</t>
  </si>
  <si>
    <t>এটা কোনো ছবি হয়েছিল</t>
  </si>
  <si>
    <t>না খুবই হতাশ ছিলাম একটু আশা করিনি যে মুভিটা এরকম নিরাশা করবে</t>
  </si>
  <si>
    <t>অনেকদিন পর বাংলা ছবি দেখেছিলাম ছবিটা আসলে অনেক সুন্দর ছিল রাত জাগা সাতক হল</t>
  </si>
  <si>
    <t>এপিক এক গল্পের মুভি ছিল</t>
  </si>
  <si>
    <t>বেদের মেয়ে জোছনা খুব ভালো লেগেছিল শতবছর বেঁচে থাকুক এবং আনন্দ উপভোগ করুন</t>
  </si>
  <si>
    <t>মাথা মোটা নায়কের ছবি আমি দেখেছিলাম</t>
  </si>
  <si>
    <t>ফালতু একটা মুভি জিতের এই প্রথম দেখেছিলাম সাথী সঙ্গী আওয়ারা হানডেট পারসেন লাভ জোশ জোর ওয়ান্টেড হিরো দিওয়ানা বস নাটের গুরু সাত পাকে বাঁধা বন্ধন পাওয়ার চ্যাম্পিয়ন এগুলোই ছিল তার বেস্ট মুভি</t>
  </si>
  <si>
    <t>ছবিটা খুব ভালো ছিল বিশেষ করে শেষের দিকে</t>
  </si>
  <si>
    <t>ভালো কাহিনির সুন্দর বাংলা সিনেমা দেখেছিলাম</t>
  </si>
  <si>
    <t>গল্পটা অ্যাভারেজ ছিল রজতাভ আর দীপক দা ছাড়া বাকিদের অভিনয় নিম্ন মানের ছিল ডিরেক্টর এর নিজের ছবিটা দুই তিন বার দেখা উচিত ছিল এতে উনার ভবিষ্যতে লাভ হতো</t>
  </si>
  <si>
    <t>মাথা ঘুরান্টি দেওয়ার মতো মুভি ছিল</t>
  </si>
  <si>
    <t>হিসাব ছাড়া আমি এই ছবিটা দেখেছিলাম আর এখনো দেখছিলাম আমার অনেক ভালো লেগেছিল</t>
  </si>
  <si>
    <t>সিনেমাটি আমার জন্য ও অনুপ্রেরণা হয়েছিল আজীবনে যেকোনো ধরণের সমস্যার মধ্যে থাকার পর ও যে সফলতা অর্জন করা যায় সেই সিনেমার মাধ্যমে তুলে ধরা হয়েছিল</t>
  </si>
  <si>
    <t>ছবি টার সুন্দর একটা দিক ছিল দুই ভিলেন দুই দলের কোচ</t>
  </si>
  <si>
    <t>অদের দ্বারা কপি ছাড়া কিছু চলতনা তখন</t>
  </si>
  <si>
    <t>আমি প্রথম যখন দেখেছিলাম তখন আমি কান্নায় ভেঙে পরেছিলাম এখনো যখন দেখি কান্না আটকাতে পাড়ি না সত্যিই এই ছবিটার কোন তুলনা হয় না</t>
  </si>
  <si>
    <t>রুচির দুর্ভিক্ষ নাকি এখানকার জেনারেশনই এইটা দুর্ভিক্ষ কিছুই বুঝতাম না</t>
  </si>
  <si>
    <t>আহ্ কতোই না রঙিন ছিল সেই ঊনবিংশ শতাব্দীর ছবি গুলো</t>
  </si>
  <si>
    <t>বাংলা চলচ্চিত্র জগতের ইতিহাসে সবচেয়ে রোমান্টিক নায়ক বলা হয় একজনকেই আর তিনি ছিলেন আমাদের অহংকার গর্ব করার মতো একজন আদর্শ মহানায়ক নায়ক রাজ রাজ্জাক</t>
  </si>
  <si>
    <t>অসাধারণ শিক্ষণীয় একটি মুভি ছিল যা এখনকার মুভির সাথে তুলনা হয় না খুবই ভালো লেগেছিল শেষ অংশটুকু</t>
  </si>
  <si>
    <t>মুভিটা ভালোই ছিল অহংকার যারা করত তাদের বুঝা দরকার ছিল</t>
  </si>
  <si>
    <t>এই ছবি আমার খুব প্রিয় ছিল কারণ ছবি দেখতে গিয়ে অনেক কষ্ট করেছিলাম হল ছিল অনেক দূর ওইখানে আমরা যেতাম হেঁটে হেঁটে যেতাম হেঁটে আবার আসতাম টাকার অভাবে আসতাম</t>
  </si>
  <si>
    <t>মনকাড়া ছবির কাহিনি দেখে মনটা ভরে যেত তার সাথে সাথে ছবিটা দেখে কষ্ট পেয়েছিলো</t>
  </si>
  <si>
    <t>এটা ছিল তো সেই পাপমুক্ত সিনেমা</t>
  </si>
  <si>
    <t>অনন্ত জালিল ফ্লাট দেয় গাড়ি দেয় ঘর করে দিয়েছিল পরে দেখা যাবে তার প্লাস্টিকের বোক্কা টাও দিয়ে ছিল</t>
  </si>
  <si>
    <t>কাহিনীটা অনেক হাস্যকর ছিল</t>
  </si>
  <si>
    <t>সেই দিন গুলো খুব মিছ করতাম কেনো চলে গেলো দিনগুলো</t>
  </si>
  <si>
    <t>একটা মুভির গান দেখে মানুষ মুভির প্রতি এট্রাক্ট ফিল করত কিন্তু এখানে গান গুলোই বাজে ছিল</t>
  </si>
  <si>
    <t>আমার জীবনের দেখা সবচেয়ে নিখুঁত একটা সিনেমা ছিল</t>
  </si>
  <si>
    <t>খুব একটা বাংলা সিনেমা দেখতাম না তবে এই ধরণের ছবি গুলো মন ছুঁয়ে যেত</t>
  </si>
  <si>
    <t>সত্যি সিনেমাটা খুব ভালো লেগেছিল অনেক শান্তি পেলাম সিনেমাটা দেখে</t>
  </si>
  <si>
    <t>এটা মন কে‌ড়ে নেওয়ার মত এক‌টি মুভি ছিল দুইবার দেখার প‌রেও আবার দেখেছিলাম</t>
  </si>
  <si>
    <t>এর চেয়ে নাটক হতো হাজার গুণে ভালো যত্তসব ফাউল ছিল</t>
  </si>
  <si>
    <t>ছবি দেখার প্রশ্ন আসতো না</t>
  </si>
  <si>
    <t>এমন মুভি দেখার থেকে ঘুমানো ভালো ছিল</t>
  </si>
  <si>
    <t>খুবই সুন্দর লেগেছিলো ছবিটা বাঙালী মেয়েদের যে স্বামীর শত দুঃখ কষ্টেও স্বামীর হাত ছেড়ে কখনোও চলে যেতে না হয় তা একমাত্র শাবানা ম্যামের ছবি দেখেই বুঝা যেত</t>
  </si>
  <si>
    <t>সত্যিই খুব হাস্যকর ছিল হাসতে হাসতে আমার পেটে ব্যাথা ধরে গেছিলো</t>
  </si>
  <si>
    <t>ছোট বেলায় মা বকা দিত খেলতে গেলে না ঘুমাইলে ছোট থাকলে ই ভালো হতো</t>
  </si>
  <si>
    <t>এটা একটা বাজে সিনেমা ছিলো</t>
  </si>
  <si>
    <t>মন ছুঁয়ে যাওয়ার মতো মুভি ছিল</t>
  </si>
  <si>
    <t>এর চেয়ে আমাদের সালমান শাহ অনেক ভালো ছিলেন</t>
  </si>
  <si>
    <t>শেষের দৃশ্য টা হৃদয় বিদারক ছিল এরকম ছবি এরকম কাহিনী একশো বছরেও একটা হতেই সন্দেহ ছিল</t>
  </si>
  <si>
    <t>অবাক এটা নাকি জিতের মুভি ছিল</t>
  </si>
  <si>
    <t>কিছুটা মজার কিছুটা কষ্টের কিন্তু অনেক সুন্দর মুভিটা ছিল</t>
  </si>
  <si>
    <t>মুভিটা দেখতে খুব ভালো লেগেছিলো আজকে আবার দেখেছিলাম</t>
  </si>
  <si>
    <t>মুভিটা দেখে চোখের পানি ধরে রাখতে পারিনি বাংলার শ্রেষ্ঠ মুভির সৃকৃতি দিলে উপযুক্ত সম্মাননা হতো</t>
  </si>
  <si>
    <t>একটা ছবির ভিতর এত কান্নাকাটি এত কান্নাকাটি জয়ার যাহা সত্যি বিরক্তিকর ছিল</t>
  </si>
  <si>
    <t>লাইকের থেকে আনলাইকই বেশি হয়েছিল খুব ই হাস্যকর ছিল</t>
  </si>
  <si>
    <t>অভিনয় দক্ষতা অর্জনের চেষ্টা করা যায়নি</t>
  </si>
  <si>
    <t>ভাইরে ভাই আজকে পর্যন্ত আমি অনেক মুভির অনেক টুইস্ট দেখেছিলাম কিন্তু এই মুভির এই টুইস্ট টা আমার ধারণা বাইরে ছিল</t>
  </si>
  <si>
    <t>অনেক দিন পরে আবার দেখেছিলাম খুব ভালো লেগেছিল</t>
  </si>
  <si>
    <t>ফালতু একটা সিনেমা হয়েছিল</t>
  </si>
  <si>
    <t>বেকুব না হলে কেউ এমন সিনেমা বানাতো না</t>
  </si>
  <si>
    <t>শিক্ষণীয় ছবিতে ধন্যবাদ জানায় এই সুন্দর ছবির পরিচালককে এটিই গ্রাম বাংলার বাস্তবের রুপ</t>
  </si>
  <si>
    <t>দুই ভাইয়ের মধ্যে খুব সুন্দর একটা সম্পর্ক দেখা গিয়েছিল— খুব ভালো গল্প</t>
  </si>
  <si>
    <t>খুব আশা নিয়ে মুভিটা দেখতে বসেছিলাম আশাই গুড়া বালি</t>
  </si>
  <si>
    <t>আমার জীবনের প্রথম ফিল্ম অনেক কান্না করেছিলাম সেই কিশোর বেলায় দেখেছিলাম মিস করি অনেক ভালো একটা ফিল্ম</t>
  </si>
  <si>
    <t>আমার এই ভেবে ভালো লাগছিল যে মুভিটা হলে দেখা যায়নি পুরো মুভিতে শুধু রুবেলের এন্ট্রি ভালো লেগেছিল এবং অসম্ভব ধৈর্য নিয়ে মুভিটা দেখা হয়েছিল</t>
  </si>
  <si>
    <t>এর আগে বাংলায় ডাবিং দেখিনি এখন দেখেছি ভালো লেগেছিল</t>
  </si>
  <si>
    <t>কী নির্বাক সিনিমা ছিল</t>
  </si>
  <si>
    <t>একজন বিদেশী হয়েও আমি বাংলাদেশী সিনেমা অনেক পছন্দ করতাম</t>
  </si>
  <si>
    <t>এখন বুঝতে পারছি আমার গ্রামটাই অনেক ভালো ছিল সেখানে ছিল না কোনো হিংসা বিদ্বেষ কোনো প্রতিযোগিতা</t>
  </si>
  <si>
    <t>সন্তান যখন শত্রু আমার দেখা সেরা ছবিগুলোর একটি ছিল</t>
  </si>
  <si>
    <t>অনেক সন্দর মুভি দেখা হয়েছিল</t>
  </si>
  <si>
    <t>অনেক ভালো ছবি ছিল মা বাবা ভাই বোন সবাই মিলে দেখেছিলাম</t>
  </si>
  <si>
    <t>বাংলা সিনেমার ইতিহাসে একটি ঐতিহাসিক সুপার ডুপার হিট মুভি ছিল</t>
  </si>
  <si>
    <t>বাংলাদেশের শ্রেষ্ঠ ছবির মধ্যে শ্রেষ্ঠ গান হিসেবে বেদের মেয়ে জোসনা পরিচিতি পেয়েছিল এবং বাংলাদেশের শ্রেষ্ঠ সিনেমা হিসেবে প্রথম স্থান করেছিল সেই সাথে এই সিনেমার রেকর্ড কেউ ভাঙতে পারেনি</t>
  </si>
  <si>
    <t>বাজে সিনেমা ছিল দেখার পর মনে হলো সময় নষ্ট</t>
  </si>
  <si>
    <t>ছবিটিতে অনজু ও ইলিয়াস কান্চন প্রান খুলে অভিনয় করেছিলেন</t>
  </si>
  <si>
    <t>বাস্তব ধর্মী সিনেমা উপহার দেওয়ার জন্য পরিচালককে অনেক ধন্যবাদ জানানো হয়েছিল</t>
  </si>
  <si>
    <t>বুবলির জায়গায় অন্য কেউ এই অভিনয় টা এতো সুন্দর ভাবে ফুটিয়ে তুলতে পারতনা</t>
  </si>
  <si>
    <t>কী ফালতু কাহিনী ছিল</t>
  </si>
  <si>
    <t>সাম্প্রতিক বিষয়বস্তু নিয়ে তাই বড়ই উৎসুক হয়েছিলাম দেখার জন্য</t>
  </si>
  <si>
    <t>আমি তার খাবার এবং তার দারিদ্র্য ভাগাভাগি করতাম</t>
  </si>
  <si>
    <t>ছোটবেলায় ভালো ছিলো কোন চিন্তা ছিলো না কত সুন্দর খেলা দুলা করে সময় পার হয়ে যাচ্ছিলো</t>
  </si>
  <si>
    <t>অনেক সুন্দর মুভি দেখেছিলাম</t>
  </si>
  <si>
    <t>দুই যুগ ধরে এই সিনেমাটা শ্রেষ্ঠ সিনেমা হিসেবে সবার কাছে গ্রহণযোগ্যতা পেয়েছিল</t>
  </si>
  <si>
    <t>আমার লাইফে দেখা এখন পর্যন্ত সেরা কমেডি মুভি ছিল এটি</t>
  </si>
  <si>
    <t>খুব সুন্দর হৃদয় ছোঁয়া একটি বাংলা মুভি শাবানার তুলনা শাবানাই</t>
  </si>
  <si>
    <t>ছবিটা খুব ভালো হয়েছিল</t>
  </si>
  <si>
    <t>খুবই বাজে বলা যাচ্ছিল</t>
  </si>
  <si>
    <t>এর চেয়ে টিকটকারদের শর্টফিল্ম ভালো হতো</t>
  </si>
  <si>
    <t>গল্পটা বুঝতে পারলাম না কি থেকে কি হয়েছিল</t>
  </si>
  <si>
    <t>জিৎ কে আগে ভালো লাগতো না</t>
  </si>
  <si>
    <t>চারটা পাঁচটা গুনী শিল্পী এই ধরণের সিনেমায় অভিনয় করেছিলেন কিভাবে</t>
  </si>
  <si>
    <t>এই মুভিটা দেখতে দেখতে আমি কোমায় চলে গেছিলাম</t>
  </si>
  <si>
    <t>মুভির গানগুলো অসাধারণ লেগেছিল এবং বেশি করে ভালো লেগেছিল এন্ডু কিশোর সারের কন্ঠ</t>
  </si>
  <si>
    <t>অনেক সুন্দর একটা মোভি ছিল বাস্তব কথা ফুটে উঠেছিল এই মোভিতে</t>
  </si>
  <si>
    <t>এগুলাই কিছুটা অসামাজিক ছিল</t>
  </si>
  <si>
    <t>এতো বাজে উচ্চারণ ও নিম্নমানের অভিনয় ছিল জয়া আহসানের</t>
  </si>
  <si>
    <t>এগুলা অন্য দেশের কেউ দেখলে লজ্জায় পরতো</t>
  </si>
  <si>
    <t>একদম বেকার ছবি ছিল</t>
  </si>
  <si>
    <t>এই হলো ছবি কাহিনী সমাজ অভিনয় মিলেমিশে একেবারে খাঁটি আনন্দ আসল</t>
  </si>
  <si>
    <t>এমন মুভি বাংলার মাটিতে আর হয়নি</t>
  </si>
  <si>
    <t>কিছু ভুল বুঝাবুঝি একটি সংসারকে অশান্তি এনে দিল এসব মেনে আমাদের মানব জীবন গড়ে তোলা হতো ছবির গল্পটা খুব সুন্দর ছিল</t>
  </si>
  <si>
    <t>অনেক সুন্দর একটা ছবি ছিল অনেক দিন পরে এমটা মনের মতো মুভি দেখেছিলাম</t>
  </si>
  <si>
    <t>বাংলা সিনেমার সেরা সেরা মুভির অন্যতম ছিলো এই ছবিটা মন টা ভরে গেলো বাপ্পারাজ শাবনাজ আলমগীর শাবানা আনোয়ারা মোস্তফা দের মতো জাত অভিনেতাদের অভিনয় দেখে</t>
  </si>
  <si>
    <t>ঝিনুক চরিত্রে যিনি অভিনয় করেছিলেন তার জন্য মুভিটা বেশ ভালোই মাটি হয়েছিল</t>
  </si>
  <si>
    <t>সত্যি বলতে কাঙ্গনা রানাউত এর কোনো মুভিই আমি দেখিনি তবে তার এই মুভির মধ্যের অংশের ছোট্ট একটা ক্লিপ দেখেছিলাম অনেক আগে অনেক সার্চ করেও পাইনি আজ মুভিটা সম্পুর্ন দেখে খুব ভালো লাগলো এবং কাঙ্গনার একজন ভক্ত হয়ে গেলাম</t>
  </si>
  <si>
    <t>মুভিটা সত্যিই দারুণ ছিল আগেও অনেকবার দেখেছিলাম কিন্তু যতবারই দেখি ততবারই নতুন লাগে এবং কোয়েল ও হিরন জুটি বেস্ট জুটি হিসেবে মনে হচ্ছে</t>
  </si>
  <si>
    <t>শেষটা ভালো লাগেনি এমন সন্তানদের পুনরায় মেনে নেওয়া ঠিক হয়নি</t>
  </si>
  <si>
    <t>রসগোল্লা পর্যন্ত দেখে মনে হয় পুরো সিনেমা টা দেখেছিলাম কিন্তু দেখার পর বুঝলাম ফালতু একটা মুভি দেখে সময় নষ্ট করেছিলাম খুবই নিম্ন মানের মুভি ছিল</t>
  </si>
  <si>
    <t>এতদিন এই ছায়াছবি র কথা শুনেছিলাম আজ দেখলাম অসাধারণ অভিনয় যা না দেখলে বুঝতাম না</t>
  </si>
  <si>
    <t>ফুর্তি আর ভোগ এর সিনেমা ছাড়া অন্য কিছু বানাতেননা পরিচালক</t>
  </si>
  <si>
    <t>ঘর বাড়ি পুড়ে গিয়েছিল কিন্তু ফার্নিচার আর ঘরের ভিতরের কিছু পোড়ে ছিল না</t>
  </si>
  <si>
    <t>মুভির শেষে এ সব সময় অনেক আলাদা আলাদা ধরনের টুইস্ট দেখে অভ্যস্ত ছিলাম কিন্তু আজকে এই মুভির লাস্ট টুইস্টে কেমন জানি বেক্কল হয়ে গেছিলাম</t>
  </si>
  <si>
    <t>এই মেয়েটার অভিনয় একটু ও ভালো ছিল না</t>
  </si>
  <si>
    <t>ফালতু মুভি একটা কোনো স্টোরি ছিল না</t>
  </si>
  <si>
    <t>আমাদের দেশের চলচ্চিত্রের মান কত উন্নত ছিল ছবিটি সেটাই প্রমাণ করেছিল</t>
  </si>
  <si>
    <t>ঘোরার ডিম কি অভিনয় ছিল</t>
  </si>
  <si>
    <t>মন চাইলো পরিচালককে মুভি সম্পর্কে জানিয়েছিলাম</t>
  </si>
  <si>
    <t>দারুণ উপভোগ করলাম</t>
  </si>
  <si>
    <t>সমাজকে দুই ভাগে বিভক্ত করা হয়েছিল যাদের সাধারণ হিংসা বিদ্বেষে ঐক্যবদ্ধ ছিল না যারা সাধারণ সন্ত্রাসে ঐক্যবদ্ধ ছিল</t>
  </si>
  <si>
    <t>পোশাকের দিক দিয়ে আরও মারজিত হওয়া উচিত ছিল</t>
  </si>
  <si>
    <t>বিশ মিনিট সময়টা নষ্ট হয়েছিল</t>
  </si>
  <si>
    <t>গরিবের ভাই নামের ছবিটি অনেক বার দেখেছিলাম সেরা ছবি ছিল ওনার সব মুভিই ভীষণ বাস্তবমুখী প্রশংসার দাবি রাখতেন</t>
  </si>
  <si>
    <t>অসাধারণ অভিনয় করেছেন কাঞ্চন দাদা আপনার অভিনয় খুব ভালো লাগতো</t>
  </si>
  <si>
    <t>আগা মাথায় কিছুই ছিল না ছবিতে</t>
  </si>
  <si>
    <t>শেষটা ঠিক হলো না</t>
  </si>
  <si>
    <t>আনন্তা জলিল ফানি ডায়ালগ দিয়েছিল সিনেমাতে</t>
  </si>
  <si>
    <t>দমফাটা হাসির গল্প ছিল</t>
  </si>
  <si>
    <t>মুভিটা অনেক ভালো লেগেছিল পরিবার নিয়ে একসাথে বসে দেখার মত ছিল একটা মুভি</t>
  </si>
  <si>
    <t>সেই ছোটবেলায় মহাদেবপুর বুলবুল সিনেমা দেখেছিলাম খুব সুন্দর ছবি ছিল</t>
  </si>
  <si>
    <t>অসাধারণ গঠন ছিল এই মুভিটির</t>
  </si>
  <si>
    <t>মুভিটা যেমন হাসিয়েছিল তেমন কাঁদিয়েছিল অতি সাধারণ একটা গল্প কত সুন্দর করে ফুটিয়ে তোলা হয়েছিল ক্যামেরার সামনের এবং পিছনের প্রতিটা ব্যক্তি তাদের অসাধারণ প্রতিভার প্রতিফলন ঘটিয়েছিলেন সুনিপুণভাবে</t>
  </si>
  <si>
    <t>অসম্ভব সুন্দর একটা মুভি ছিল</t>
  </si>
  <si>
    <t>সুপার মুভি ছিল আমি অনেকবার দেখেছি শাকিব বুবলি জুটি অভিনীত অহংকার ছবি অনেক ভালো ছিল</t>
  </si>
  <si>
    <t>বুঝি না কেন যেন আগের সিনেমা দেখে কান্না করতে চাইলেও কান্না আসতো না</t>
  </si>
  <si>
    <t>খুব খারাপ লেগেছিলো ত্রিশ মিনিট ও দেখতে পারছিলাম না</t>
  </si>
  <si>
    <t>পরিচালক কি খেয়ে মুভিটা বানিয়েছিলেন কাহিনি কোথায়</t>
  </si>
  <si>
    <t>কতো বার যে দেখেছিলাম তা বলতে পারবোনা কারন প্রতিদিন সময় পেলে সালমান শাহ মুভি একবার হলেও দেখিতাম এমন নায়ক আর আসতো না বাংলাদেশে</t>
  </si>
  <si>
    <t>অনন্ত ভাই বলেছিলেন ছবি দেখে তার একদম ভালো লাগেনি তখন</t>
  </si>
  <si>
    <t>বাংলা সিনেমার সেই অবস্থা ছিল</t>
  </si>
  <si>
    <t>জয়া আহসানের অতি অভিনয় বিরক্ত করেছিল</t>
  </si>
  <si>
    <t>ফুলের মতোন বউ এর অভিনয় টা খুব হাস্যকর ছিল</t>
  </si>
  <si>
    <t>বাংলাদেশের সবচেয়ে সুন্দর একটা ছবি ছিল</t>
  </si>
  <si>
    <t>বাংলা ইতিহাসে এমন অসাধারণ জুটি আর মুভি এখন পাওয়া যায়নি</t>
  </si>
  <si>
    <t>মোটা নায়িকা ছিলেন বিসসিরি</t>
  </si>
  <si>
    <t>মুভিটা দেখে আসলে কান্না চলে এসেছিল দর্শকদের চোখে</t>
  </si>
  <si>
    <t>আমি আসলে ভাষা হারিয়ে ফেলেছিলাম কাহিনি কিছুই বুঝি নি</t>
  </si>
  <si>
    <t>অপূর্ব লেখা ও পরিচালনা মন ভরে গিয়েছিল এটা বুঝিয়ে দিল ভালোবাসার কি শক্তি</t>
  </si>
  <si>
    <t>এমন ছবি মানুষ এখনো টাকা দিয়ে দেখতেন এই ছবির ক্যামেরাটা জাদু ঘরে রেখেছিল উচিৎ মনে হচ্ছে</t>
  </si>
  <si>
    <t>এই ছবিটির মধ্যে সমাজ বাস্তবতা খুব সুন্দর করে ফুটিয়ে তুলা হয়েছিল এমন জীবনঘনিষ্ঠ ছবির মাধ্যমে সমাজ থেকে অন্যায় দূর হওয়া হয়েছে এবং সুন্দর সমাজ গঠন হয়েছিল</t>
  </si>
  <si>
    <t>খুব সুন্দর মুভি তৈরি করেছিলেন মুভি টা দেখে খুব কষ্ট লাগত আশা করছিলাম এই মুভির ভিতরে মানুষের কিছু শেখা থাকবে যা দেখে মানুষ অনেক পরিবর্তন করতে পারবে</t>
  </si>
  <si>
    <t>এর থেকে হিরো আলমের ছবি ভালো ছিল</t>
  </si>
  <si>
    <t>ছবির কাহিনি সুন্দর ছিল মৌসুমির তুলনায় ফেরদৌসকে আমার কাছে বেশি ভালো লেগেছিল</t>
  </si>
  <si>
    <t>খুব সুন্দর হয়েছিল অহংকার মুভিটা</t>
  </si>
  <si>
    <t>মেয়াদ উত্তীর্ণ গাঞ্জা খেয়ে পরিচালক এই ছবিটি বানিয়েছিলেন সিনেমার ভিতরে ছ্যাবলামি ছাড়া আর কিছুই ছিল না</t>
  </si>
  <si>
    <t>পেটে লাথি মেরে হাসানোর একটা প্রচেষ্টা করেছিলাম</t>
  </si>
  <si>
    <t>সত্যিই চোখের পানি ধরে রাখা যায়নি</t>
  </si>
  <si>
    <t>কি খেয়ে যে এরা সিনেমা বানিয়েছিল</t>
  </si>
  <si>
    <t>পুরো মুভি ইন্ডাস্ট্রিকে এরা ধ্বংস করে দিতেছিল</t>
  </si>
  <si>
    <t>ভালো ছবি ছিল কিছু শিক্ষা পেয়েছিলাম সবাই ভালো অভিনেতা অভিনেত্রী ছিলেন আলাদা করে বলতে গেলে সোহমের অভিনয় ভালো লেগেছিল</t>
  </si>
  <si>
    <t>এই নায়াকা বাজে চেহারা এর চেও কমিডিয়ান নায়াকাটা সুন্দর ছিল</t>
  </si>
  <si>
    <t>পুরাই বাজে জঘন্য মুভি অযথায় সময় নষ্ট না করে কেটে পড়েছিল</t>
  </si>
  <si>
    <t>আমার কাছে ভালো লাগতো না</t>
  </si>
  <si>
    <t>এই ছবির সবচেয়ে সেরা অভিনয় করেছিল দীঘি কিন্তু এই ছবির পরিচালককে ধন্যবাদ জানাতে পারলামনা</t>
  </si>
  <si>
    <t>অসম্ভব সুন্দর একটি ছবি ছিল বার বার দেখতাম মন ভরতো না বাস্তব জীবনের প্রতিচ্ছবি ছিল</t>
  </si>
  <si>
    <t>অনেক সুন্দর ছবি ছিলো অনেক কিছু শিখেছিলাম</t>
  </si>
  <si>
    <t>মুভিটা দেখে গান গুলা ডাউনলোড না দিয়ে থাকতে পারতাম না আনেক ভাললাগছিল</t>
  </si>
  <si>
    <t>কি বাজে মুভি কিভাবে বানাতো এগুলা</t>
  </si>
  <si>
    <t>বাংলার ছবিতে এমন লিজেন্ডারি মুভি আজ পর্যন্ত কেউ করেনি</t>
  </si>
  <si>
    <t>প্রায় ছবির কাহিনী গুলো ও কাছাকাছি ছিল খুব কাছাকাছি মনে হয় আরেকটা সিনেমার সাথে মিলাতে গেলে</t>
  </si>
  <si>
    <t>না ভালো ছিল না</t>
  </si>
  <si>
    <t>অভিনয় খুব খারাপ ছিল আর দেবোজ্যোতির আবহ ও গান আরো খারাপ ছিল হাসি পাচ্ছিল সিনেমাটা দেখে</t>
  </si>
  <si>
    <t>আমার জীবনে আমি অনেক ছবি নাটক দেখেছিলাম কিন্তু কেন জানি এই মুভিটা দেখলেই আমি না কেঁদে থাকতে পারতাম না</t>
  </si>
  <si>
    <t>বাচ্চাদের মুভি কথা ডায়লগ একটাও মিলেনি সময়টা বেকার নষ্ট করেছিলাম ফাইটের অভিনয় একেবারে খারাপ হয়েছিল</t>
  </si>
  <si>
    <t>এইসব ছবি সবার মনে দাগ কাটতে পেরেছিল</t>
  </si>
  <si>
    <t>মুভির শেষের টুকু পুরাই বিশ্রী ছিল</t>
  </si>
  <si>
    <t>মেজাজ খারাপ হয়ে গেল ফাউল ছিল মুভি</t>
  </si>
  <si>
    <t>বাংলা সিনেমার মধ্যে ভালো একটা সিনেমা ছিল</t>
  </si>
  <si>
    <t>সিনেমা জগতের শ্রেষ্ঠ নায়ক ছিলেন সালমান শাহ সিনেমা জগতের শ্রেষ্ঠ সিনেমা হতো আনন্দ অশ্র যার তুলনায় আজকার বাংলা সিনেমা কিছুই ছিল না</t>
  </si>
  <si>
    <t>শাকিবতো একজন অলরাউন্ডার অভিনেতা ছিলেন তার অভিনয়ে কোনো কমতি ছিল না আর বুবলীর অভিনয়ও সুপারহিট হয়েছিল</t>
  </si>
  <si>
    <t>এতো বাজে লিপস্টিক এর কালার ছিল</t>
  </si>
  <si>
    <t>এত বাজে অভিনয় আমার জন্মে দেখিনি</t>
  </si>
  <si>
    <t>মন ছুঁয়ে যাওয়া কাহিনী খুবই ভালো লাগলো</t>
  </si>
  <si>
    <t>সময় নষ্ট হয়েছিল ফালতু মুভি দেখেছিলাম</t>
  </si>
  <si>
    <t>কোন কাহিনীই ছিল না ফালতু মুভি ছিল</t>
  </si>
  <si>
    <t>কি মুভি দেখেছিলাম ভেবেই পাচ্ছিনা ল্যাওড়া হয়েছিল</t>
  </si>
  <si>
    <t>এগুলো সত্যি ঘটনা হয়তো কিন্তু খুবই বাজে লেগেছিলো</t>
  </si>
  <si>
    <t>অসাধারণ একটি মুভি ছিল এই মুভি টা অনেক খুঁজার পরে পেলাম এই মুভি টা দেওয়ার জন্য অনেক ধন্যবাদ বাপ্পি আঁচল এবং মীমের দারুন অভিনয় ছিল</t>
  </si>
  <si>
    <t>শাবনূর এর মত অভিনয় আর কোন নায়িকা পারেনি পারতেওনা</t>
  </si>
  <si>
    <t>মাঝে মাঝে আনান্তার হাসিটা দেখে নিজের হাসি আটকাতে পাচ্ছিলাম না</t>
  </si>
  <si>
    <t>অসাধারণ অভিনয় এবং অসাধারণ ছবি ছিল</t>
  </si>
  <si>
    <t>বেশ মজার বই অসাধারণ অভিনয় ছিল</t>
  </si>
  <si>
    <t>এখানে পূর্ণিমা শাস্তি পেলেও প্রকৃত অর্থে রিয়াজ ও ইলিয়াস কাঞ্চন সারাজীবন শাস্তি ভোগ করেছিল আবার আমরা দর্শকরা এই সিনেমা দেখে কষ্ট পেয়েছিলাম এটাও এক রকম শাস্তি</t>
  </si>
  <si>
    <t>অসাধারণ গরীবের সংসার মুভি চোকের পানি ধরে রাখা যায়নি ধন্যবাধ গরিবের সংসার মুভির পরিচালক দেলোয়ার জাহান যন্টু সাহেবকে ও সবাইকে</t>
  </si>
  <si>
    <t>এটা কেমন ছিল সিনেমা আগা মাথা বুঝতাম না কিছুই</t>
  </si>
  <si>
    <t>শেষে আলমগির আর শাবানার বিয়ে হলে পরিপূর্ণ হতো</t>
  </si>
  <si>
    <t>এইরকম অভিনয় একমাত্র এটিএম শামসুজ্জামান এর দ্বারাই সম্ভব ছিল</t>
  </si>
  <si>
    <t>খুব ভালো কোনো ম্যাসেজ পাইনি</t>
  </si>
  <si>
    <t>আমার খুব পছন্দের একটা ছবি ছিল রংঙ্গিলা মানুষ রংঙ্গিলারে এই গানটির জন্য ছবিটি সবার সেরা ছিল</t>
  </si>
  <si>
    <t>না তেমন কোন কিছুই ভালো হয়নি</t>
  </si>
  <si>
    <t>একজন জাজ কখনোই একজন উকিল এর ব্যাক্তিগত ব্যাপারে সবার সম্মুখে হেওয়া কোন ভাবেই ঠিক ছিল না এটা পরিচালক এর অদক্ষতার প্রমানও বটে</t>
  </si>
  <si>
    <t>ববিকে অনেক কষ্ট করতে হয়েছিল এই মুভিতে ভালো লেগেছিল দুই বার দেখেছিলাম মুভিটা</t>
  </si>
  <si>
    <t>বাংলা সিনেমা দেখার শখ মিটে গেছিল</t>
  </si>
  <si>
    <t>শাকিব রিয়াজ শাবনুর অসাধারণ অভিনয় করেছিলেন</t>
  </si>
  <si>
    <t>আশি নব্বই দশকের সেই মর্মান্তিক সামাজিক কাহিনী সময়ের সাথে সাথে সিনেমার সারমর্ম বদলে গেছিল তার সঙ্গে মানুষের রুচিবোধ সিনেমাটা ভালো লাগেছিল</t>
  </si>
  <si>
    <t>ভিডিওগ্রাফিতে আপডেট আনা ছিল</t>
  </si>
  <si>
    <t>আমার হলে দেখা প্রথম ছবি ছিল পরিবারের সবাইকে নিয়ে মায়ের কোলে বসে দেখেছিলাম পুরোনো স্মৃতি মনে পড়ে গিয়েছিল</t>
  </si>
  <si>
    <t>এতো অসাধারণ অভিনয় কেবল মহানায়ক স্যার সালমান শাহ দিয়েই সম্ভব ছিল চোখে পানি ধরে রাখতাম অনেকবার ছবিটা দেখেছিলাম তবুও দেখতাম</t>
  </si>
  <si>
    <t>অসাধারণ একটি ছবি কয়েক বার দেখেছিলাম তার পরেও বারবার দেখতে মনে চেয়েছিল</t>
  </si>
  <si>
    <t>শিক্ষনীয় একটি ছবি যা প্রত্যেক পরিবারকে দেখা উচিৎ ছিল</t>
  </si>
  <si>
    <t>মারাত্মক মুভি একটা ছিল</t>
  </si>
  <si>
    <t>আমার মনে হয় ভারতবশে বাংলা সিনেমায় নায়কের অভাব পড়েছিল তা না হলে এমন নায়ক কিভাবে নায়ক হতো</t>
  </si>
  <si>
    <t>বুঝে না সে বুঝে না মুভিটির কাহিনী চমৎকার ছিল</t>
  </si>
  <si>
    <t>হাজার বছর ধরে আমার পরিচিত পদ্মা নদীর মাঝিদের পরিচিতি দিয়েছিলেন মানিক বন্দ্যোপাধ্যায় অসাধারণ এক জীবনগল্প ছিল</t>
  </si>
  <si>
    <t>বুবলি আর মাহিয়া মাহি তাদের ছবির চেয়ে অনেক অনেক সুন্দর হয়েছিল ববির এই ছবি</t>
  </si>
  <si>
    <t>আগের ছবির তুলনা হয় নি আগের ছবিগুলো সত্যিই খুব সুন্দর ছিল</t>
  </si>
  <si>
    <t>গালি দিতে মন চাচ্ছিল</t>
  </si>
  <si>
    <t>যুগ যুগ ধরে অমর থাকবে এই মুভিটার কাহিনি সত্যিই ছবিটি দেখে চোখের পানি ধরে রেখেছিলাম মান্না ইজ বেস্ট এক্টর ছিলেন এমন অভিনেতা আর এই দুনিয়ায় আর জন্ম হয়নি</t>
  </si>
  <si>
    <t>একদম থার্ডক্লাস সিনেমা এরকম সিনেমা এঞ্জেল ডিজিটাল কি করে আপলোড করতেছিল</t>
  </si>
  <si>
    <t>আলমগীর স্যার পুরাই স্যাভেজ বাংলা সিনেমা আসলেই সোনার টুকরো ছিলো এক সময় কাহিনি সবার সম্মিলিত বাস্তব সম্মত অভিনয় আর ক্যামেরা এংগেল সব মিলিয়ে প্রানবন্ত উপস্থাপন ছিল</t>
  </si>
  <si>
    <t>মাইন্ডব্লয়িং অনবদ্য অভিনয় দারুণ ও মনের মতো ছবি দেখে খুব ভালো লাগলো</t>
  </si>
  <si>
    <t>আসলে অনেক অনেক দারুন একটা ছবি প্রর্তেক ঘরে একটা বাংলার বউ থাকতে উচিত ছিল</t>
  </si>
  <si>
    <t>অসাধারণ মুভি ছিল</t>
  </si>
  <si>
    <t>ভালো লেগেছিল শাশুড়ি বউমার হৃদয় বিদারক সংগ্রামের মন ছুঁয়ে যাওয়া গল্প</t>
  </si>
  <si>
    <t>এই রকম মুভি সবসময় প্রয়োজন ছিল সমাজের কিছু বাস্তব চিত্র তুলে ধরা হয়েছিল</t>
  </si>
  <si>
    <t>ভালো গল্প ছবি দেখা মজা আলাদা সত্যি অনেক সুন্দর ছবি ছিল</t>
  </si>
  <si>
    <t>নাইস ছবি ছিল শাবনূরের</t>
  </si>
  <si>
    <t>এতো ডং করার কি আছিল ভাই</t>
  </si>
  <si>
    <t>আজ বরফ মুভিটা দেখলাম খুব ভালো লেগেছিল</t>
  </si>
  <si>
    <t>ছি ছি বাংলাদেশের মেয়েদের ড্রেসের স্টাইলিং দেখে লজ্জা লাগছিল</t>
  </si>
  <si>
    <t>টেনেটুনে মিনিটে শেষ করে দিলাম ⃣</t>
  </si>
  <si>
    <t>গল্পটা অসাধারণ লেগেছিল মনে হয়তো একটা মাস্টারপিস দেখছিলাম যদিও এটা একটা নেপালি মুভির রিমেক ছিল তবে বাংলায় এমন বন্ধুত্বের গল্প খুব কমই হয়েছিল মুভিতে</t>
  </si>
  <si>
    <t>বাপ্পারাজ সেই লেভেলের নায়ক ছিলেন এখন কার সাকিব রা এক জীবনে বাপ্পারাজ এর দারে কাছে ও আসতে পারেননি</t>
  </si>
  <si>
    <t>অসম্ভব ভালো একটা মুভি ছিল বিশেষ করে যারা রিলেশনশিপে আছিলেন তাদের জন্য এই মুভি থেকে অনেক কিছু শেখার ছিল সপরিবারে দেখার মতো একটি মুভি ছিল</t>
  </si>
  <si>
    <t>মন্ত্র ঠিকঠাক ভাবে উচ্চারণ ও বলতে না পারলে বলতেন না</t>
  </si>
  <si>
    <t>মুভি টা দেখলে ততই ঈদের মত আনন্দ লেগেছিলো</t>
  </si>
  <si>
    <t>অনেক সুন্দর মুভি আগের পুড়ানো মুভি দেখে মন ভরে গিয়েছিল দেখে</t>
  </si>
  <si>
    <t>মুভিটা আমার খুব পছন্দের ছবি ছিল শাবনুর আপু আর ফেরদৌস ভাইয়া খুব সুন্দর অভিনয় করছিলেন</t>
  </si>
  <si>
    <t>রাইমা সেন অপূর্ব অনেক সুন্দর হয়েছিল</t>
  </si>
  <si>
    <t>অনন্ত জলিল নাকি আনান্তা জলিল নামের মতো সিনেমাতেউ কিছু ছিল না</t>
  </si>
  <si>
    <t>ভাইরে ভাই এই মুভি দেখা আমার পক্ষে সম্ভব ছিল না এটা দেখতে দেখতে চোখ উল্টাইয়ে গেছিল</t>
  </si>
  <si>
    <t>জসিমের লটারি এর বেপার টা ক্রিঞ্জ ছিল</t>
  </si>
  <si>
    <t>ছবির কাহিনী খারাপ ছিল না কিন্তু নায়িকাদের অশ্লীলতায় ভরপুর ছিল যা বিরক্তিকর ছিল একবার দেখার পর দ্বিতীয়বার দেখার ইচ্ছা কারোর থাকতো বলে মনে হয় না</t>
  </si>
  <si>
    <t>পৃথিবীর সেরা মুভিগুলোর মাঝে শ্রেষ্ঠ মুভি ছিল এটি</t>
  </si>
  <si>
    <t>গানগুলো তেমন ভালো লাগছিল না</t>
  </si>
  <si>
    <t>আগের মুভি আর এখনকার মুভির আকাশ পাতাল ব্যবধান ছিল</t>
  </si>
  <si>
    <t>আমি জিতার ব্যাপারে আশাবাদী ছিলাম কিন্তু দল ভালো না করায় জিততে পারলাম না</t>
  </si>
  <si>
    <t>দেখলাম শুনলাম বুঝলাম এবার বেলা শেষে চুপ থাকলাম</t>
  </si>
  <si>
    <t>এটা একটা মুভি ছিলো আর কিছু লিখতে পারলাম না এর থেকে নাটক অনেক ভালো ছিল</t>
  </si>
  <si>
    <t>আমার খুব পছন্দ ছিল মুভিটি</t>
  </si>
  <si>
    <t>একটা মানুষ এতোটা ট্যালেন্টেড কিভাবে হয়েছিল এতো সুন্দর গান এতো সুন্দর অভিনয় তার কথা বলার স্টাইল সবকিছুই একসাথে অনেক ভাল ছিল</t>
  </si>
  <si>
    <t>লাইফে দেখা সবথেকে বেস্ট মুভির মধ্যে একটা ছিল</t>
  </si>
  <si>
    <t>যেমন মনে করছিলাম ছবিটা হতো ফাটাফাটি তেমন হয়নি বাজে ছবি কুবা কুবি দরকার ছিল পুলাপাইনের মাইর হিন্দি ছবির মাইর হতে চেয়েছিলাম তাহলে ছবির মতো ছবি বলতে হতো</t>
  </si>
  <si>
    <t>মুভিটা খুবই ভালো ছিল কিন্তু শেষটা পুরো মুভিটাকে নষ্ট করে দিয়েছিল</t>
  </si>
  <si>
    <t>খুব ভেবে ই চিত্রনাট্য তৈরী করেছিলেন ফাঁকি ছিল না নিখুঁত কাজ করেছিলেন</t>
  </si>
  <si>
    <t>আমার সময় টা অন্য কিছুতে দেওয়া হলেও পারতাম</t>
  </si>
  <si>
    <t>এভাবেই কোয়ালিটি মুভি আপলোড করা হয়েছিল চ্যানেল হিট করার দায়িত্ব দর্শকদের সুপার স্টার শাকিব খানের নতুন মুভি ছিল সাথে ভাল মানের অন্যান্য নায়কদের নতুন মুভি ছিল</t>
  </si>
  <si>
    <t>লুক সুন্দর ছিল কিন্তু অভিনয় আর গল্প ফালতু ছিল</t>
  </si>
  <si>
    <t>এই ছবিতে যে টাকা ইনকাম হয়েছিল তার চেয়ে গানে আরও বেশি ইনকাম হইছিল এটা সত্যিই অসাধারণ একটা মুভি ছিল আজ পর্যন্ত কেউ বাংলাদেশে এই ছবির ইনকাম বাজেট ভাঙ্গতে পারেনি</t>
  </si>
  <si>
    <t>চিরকালীন ভালো লাগার সিনেমা ছিল অতুলনীয় ছিল</t>
  </si>
  <si>
    <t>মুভির স্টোরি ভালো ছিল কিন্তু ডায়লগ জঘন্য ছিল ডিরেকশন আরো উন্নত হওয়া দরকার ছিল</t>
  </si>
  <si>
    <t>জসিম আর বাপ্পারাজ দুইজন যে ছবিতে একত্রে অভিনয় করেছিলেন ওই ছবিগুলো অসাধারণ হয়েছিল</t>
  </si>
  <si>
    <t>যতো দেখতাম ততোই ভালোলাগত</t>
  </si>
  <si>
    <t>ছবিটি শেষ না দেখে চলে গিয়েছিলাম</t>
  </si>
  <si>
    <t>মুভিটা অনেক ভালো লাগতো অসাধারণ মুভি ছিল অনেক আগে দেখেছিলাম আবার দেখেছিলাম</t>
  </si>
  <si>
    <t>সিনেমার সব দিকই বেশ ভালো ছিল</t>
  </si>
  <si>
    <t>হাস্যকর ছিল পুরাটা</t>
  </si>
  <si>
    <t>মুভিটি এককথায় অসাধারণ ছিল বাস্তবতার সাথে অনেকটা মিল ছিল</t>
  </si>
  <si>
    <t>খাইরুন সুন্দরী ছবি টা আমার মায়ের অনেক পছন্দ ছিল ছোটবেলা দেখেছিলাম এই মুভিটা আর কেঁদেছিলাম অনেক আজকে আবার দেখলাম সত্যি অনেক ভালো মুভি ছিল অনেক সুন্দর মুভি ছিল অনেক মজার মুভি ছিল ভালো যেগুলো মুভি সেগুলো দেখে যেন তৃপ্তি মেটে না মনে হয় আবার দেখতে আর আরো চাওয়া হতো</t>
  </si>
  <si>
    <t>দেখেছিলাম খুব হাসছিলাম দারুণ উপভোগ করেছিলাম দারুণ চলচ্চিত্র</t>
  </si>
  <si>
    <t>অন্য রকম একটা ছবি দেখলাম শাবনুর এর ভিন্ন অভিনয় সে সাথে নাসরিন এর অসাধারণ অভিনয় সত্যি সব মিলে খুব সুন্দর ছিল ভাবি চরিত্র টি খুব ভালো ফুটিয়েছিল</t>
  </si>
  <si>
    <t>অনুপ কুমার একজন খুব ভালো কমেডিয়ান হলেও জটায়ুর ভূমিকা তে উনি বেমানান ছিলেন</t>
  </si>
  <si>
    <t>আমার লাইফে দেখা সেরা মুভি ছিল</t>
  </si>
  <si>
    <t>খুব খুব খুব আজাইরা আর বাজে অভিনয় ছিল</t>
  </si>
  <si>
    <t>এই সিনেমা দেখার চেয়ে অন্ধ হওয়া ভালো ছিল</t>
  </si>
  <si>
    <t>কি যে কমেন্ট করবো নিজেই ভেবে পাচ্ছিলাম না এমন মুভি হয়তো আর হবে না শত চেষ্টা করেও আর এমন মুভি জানি হবে না এক কথায় বলতে গেলে অসাধারণ হয়েছিল</t>
  </si>
  <si>
    <t>সাউন্ড কোয়ালিটি খুব খারাপ ছিল</t>
  </si>
  <si>
    <t>আমার মনে হয় এই রকম মুভি আর ছিলনা</t>
  </si>
  <si>
    <t>নাহ মোটেউ ভালো লাগেনি</t>
  </si>
  <si>
    <t>সুন্দর সিনেমা ছিল বাপ্পা ভায়ের অভিনয় অতুলনি ছিল</t>
  </si>
  <si>
    <t>আমি বুঝিনা শাবানা ম্যাডাম কিভাবে এতো ন্যাচারাল অভিনয় করতেন আমার মনে হয় ইমোশন এর দিক থেকে সারা দুনিয়াতে তিনিই ছিলেন একমাত্র নাইকা</t>
  </si>
  <si>
    <t>এর মতো বাজে সিনেমা আর একটা দেখেছিলাম না</t>
  </si>
  <si>
    <t>হোয়াট এ স্ক্রিপ্ট এই জন্যই সিনেমা দেখার রুচিই হারিয়ে ফেলেছিলাম</t>
  </si>
  <si>
    <t>পরিমনি সিনমাটিতে বাজে অভিনয় করেছিল</t>
  </si>
  <si>
    <t>মৌসুমি বেশিরভাগ মুভিতে এমন অহংকারী ছিলেন</t>
  </si>
  <si>
    <t>পুরাতন ডিরেক্টর কি মারা গেছিলেন নাকি আগের ছবি আর এখনকার ছবি এই ডিজিটাল যুগে ছবি হওয়ার কথা ভালো ছিল এর চেয়ে টিকটক জারা করে তাদের ভিডিও গুলো হাজার গুন ভালো ছিল</t>
  </si>
  <si>
    <t>দের জুগ পর আবারো আম্মাজান দেখতে আসছিলাম অসম্ভব সুন্দর ছিলো</t>
  </si>
  <si>
    <t>মুভিটা সত্যি ভালো হয়েছিল সকল অভিনেতা অভিনেত্রীকে ধন্যবাদ</t>
  </si>
  <si>
    <t>একশন মুভি নাম না দিয়ে কমেডি মুভি নাম দিলেই তো পারতো অভিনয় টুকু ঠিকমতো করতে পারতেন না এরা</t>
  </si>
  <si>
    <t>একটি শক্তিশালী নাগরিক আলমগীর হোসেন তেমন একটি শক্তিশালী ছবির কাহিনি বাস্তব বানিয়েছিলেন</t>
  </si>
  <si>
    <t>অসাধারণ গল্প অসাধারণ অভিনয় খুব ভাল লাগল</t>
  </si>
  <si>
    <t>ফ্লপ কি এমনে এমনে হয়েছিল</t>
  </si>
  <si>
    <t>অসাধারণ অভিনয়ের মাধ্যমে বাস্তবতা ফুটিয়ে তুলা হয়েছিল</t>
  </si>
  <si>
    <t>জিলিপি আড়াই প্যাচ কি এর প্রধান আকর্ষণ ছিল এর অডিওশান এ বিঘ্ন ছিল আরও উন্নত হলে সামগ্রিকভাবে ভালোই হতো</t>
  </si>
  <si>
    <t>শ্রীলেখা ডাইনী বুড়ি ছিলেন</t>
  </si>
  <si>
    <t>টাকা খরচ করে মানুষ এরকম ফালতু ছবি কি করে বানাতো</t>
  </si>
  <si>
    <t>অসাধারণ ছিল একটা ছবি শালমান শাহ ভাই আর শাবনূর আপুর জুঁটি ছিল সর্বকালের সেরা জুঁটি</t>
  </si>
  <si>
    <t>পৃথিবীর বুকে এমন সিনেমা আর দ্বিতীয়টি ছিলনা</t>
  </si>
  <si>
    <t>ফলটা পাকার আগেই শুকিয়ে গেছিল নোটে গাছটির অকাল মৃত্যু হয়েছিল ছেলেমানুষি বিরক্তিকর লেগেছিল</t>
  </si>
  <si>
    <t>ছবি টি অসাধারণ ছিলো তাই ভালো লেগেছিলো</t>
  </si>
  <si>
    <t>হাসতে হাসতে পেটে ব্যাথা হয়েছিল</t>
  </si>
  <si>
    <t>এই ধরনের মুভি গুলিকে ধিক ধিক শত ধিক জানানো হয়েছিল</t>
  </si>
  <si>
    <t>অনেক বেশি সুন্দর ছিল ছবিটি এমন ছবি ত এখন আর নেই কথায় আছিল না যে পুরান চাওলে বাতে বলে ধন্যবাদ পরিচালক বাই</t>
  </si>
  <si>
    <t>শাশ্বত বাবুর দু্র্ভাগ্য ছিল যে উনি এই বাংলায় জন্ম নিয়েছিলেন নাহলে ওঁর মতো অভিনেতাকে এখানকার পরিচালকরা ঠিক ঠাক ব্যবহারই করতে পারতেন না মাত্র কয়েকজন ছাড়া অথচ উনি নায়ক থেকে খলনায়ক রসিক থেকে বেরসিক সমস্ত রকম অভিনয়েই পরীক্ষিত হতেন</t>
  </si>
  <si>
    <t>হাওয়ার মতো একটা ফালতু ছিল</t>
  </si>
  <si>
    <t>ববিতা ফারুক শাবনূর ফেরদৌস উভয় জুটির ঘর জামাই ছবি দুটোই সুন্দর ছিল</t>
  </si>
  <si>
    <t>আরও মানানসই হতে হত</t>
  </si>
  <si>
    <t>আমি অনেক আশায় ছিলাম মুভিটা নিয়ে মনটাই খারাপ করে দিয়েছিল</t>
  </si>
  <si>
    <t>রাইমা সেনের মাঝে আরেক সুচিত্রা সেনকে দেখেছিলাম খুব ভালো লেগেছিল</t>
  </si>
  <si>
    <t>কান্না দেখে আমি হাসি আটকাতে পারছিলাম না ভাই</t>
  </si>
  <si>
    <t>জুনিয়র মূলত হলিউডের বিভিন্ন স্পাই মুভি থেকে খারাপ স্ক্রিপ্ট এবং সস্তা স্পিন অফ অভিনয় সহ একটি মুভি ছিল</t>
  </si>
  <si>
    <t>সারা পরিবারকে নিয়ে দেখার মতো সুন্দর একটা সিনেমা দেখেছিলাম মন ভরে গিয়েছিল</t>
  </si>
  <si>
    <t>মুভিতে কোন রস কষ ছিল না</t>
  </si>
  <si>
    <t>অভিনয় দক্ষতা নেই বললেই চলেছিল</t>
  </si>
  <si>
    <t>সিনেমার প্রত্যেকটা ডায়ালগ প্রত্যেকটা সিন প্রত্যেকটা গানে সবকিছুতে মিশে আছিল শৈশবস্মৃতি আবেগ কতনা ঘটনা সেই সিডির যুগ আরো কত কি মনে পড়েছিল অবাক সিনেমার প্রত্যেকটা কলাকুশলী দের দেখেছিল তাদের জন্য মন থেকে মঙ্গল কামনা করলাম</t>
  </si>
  <si>
    <t>এই অভিনয় টার জন্য মৌসুমীকে জাতীয় চল‌চিত্র পুরস্কার প্রদান করা উচিত ছিল অসাধারণ অভিনেত্রী মৌসুমী</t>
  </si>
  <si>
    <t>আমি চার বার হল সিনেমা টা দেখেছিলাম আমাকে রঞ্জিত মল্লিক স্যার খুব ভালো লেগেছিলেন আমি আগে কার সিনেমা দেখতে খুব ভালোবাসতাম প্রতিদিন আগে কার সিনেমা গুলো দেখতাম</t>
  </si>
  <si>
    <t>আমি মনে করেছিলাম খুব সুন্দর অভিনয় ছিল মন ছুঁয়ে যাওয়ার মতো</t>
  </si>
  <si>
    <t>পরিচালকের চিন্তা শক্তি দেখে হাসতে হাসতে শেষ হয়েছিল</t>
  </si>
  <si>
    <t>সাকিব খানের অভিনয় অসাধারন ছিলেন শাবনুরেরও অভিনয় অসাধারন ছিলো</t>
  </si>
  <si>
    <t>সমসাময়িক এই অভিনেত্রীকে ভালো লেগেছিল বেশ সাবলীল ছিলেন</t>
  </si>
  <si>
    <t>কি সুন্দর সিনেমা ছিল এই সিনেমা আমি কয়েক বার দেখেছিলাম তারপরও দেখতে মন টানতো এই সিনেমাতে অসাধারণ গান ছিল এবং রোমান্টিক মিউজিক হৃদয় ছুঁয়ে গেল</t>
  </si>
  <si>
    <t>যে পরিচালককে আমার হাজার হাজার সালাম জানানো হয়েছিল এই রকম ছবি তৈরির জন্য</t>
  </si>
  <si>
    <t>বাংলা চলচ্চিত্রের মহারাণী মৌসুমী তার অভিনয়ের তুলনাহীন অসাধারণ বাংলার বউ ছিলেন</t>
  </si>
  <si>
    <t>আম্মা জান মুভি যতোই দেখেছিলাম সেইসব সময়েই অসাধারণ লাগত বাংলাদেশের ইতিহাসে আম্মা জান মুভি সর্বকালের সেরা ছিল</t>
  </si>
  <si>
    <t>শাকিবের অভিনয়টা দারুণ হয়েছিল</t>
  </si>
  <si>
    <t>খুব সুন্দর একটা ছবি ছিল সত্যি অসাধারণ ছিল</t>
  </si>
  <si>
    <t>অসম্ভব সুন্দর একটি মুভি ছিলো বলার ভাষা নাই এক কথায় অসাধারণ ছিলো</t>
  </si>
  <si>
    <t>দেরিতে হলেও চমৎকার একটা ছবি দেখলাম</t>
  </si>
  <si>
    <t>সমাজের একি অবস্থা ছিল কি শিখছিলো আমাদের বাচ্চারা</t>
  </si>
  <si>
    <t>কী অসাধারণ অভিনয় মনের অজান্তেই চোখে অশ্রু চলে আসত</t>
  </si>
  <si>
    <t>এত সুন্দর ছবিতে ফালতু ময়ুরিকে দিয়ে ছবির ইজ্জতটা নষ্ট করে দিয়েছিল</t>
  </si>
  <si>
    <t>এই ছবি এত ভালো লেগেছিল তা বলার ভাষা নেই</t>
  </si>
  <si>
    <t>ভাষায় প্রকাশ করতে পারছিলাম না এত সুন্দর ছবি আর বাংলার জমিনে ছিলনা</t>
  </si>
  <si>
    <t>জলিলের গেটআপ দেখে তো তাকে ঢাকার নয় পাবনার পোলা বলে মনে হয়েছিল</t>
  </si>
  <si>
    <t>এরাই তো ছবি শেষ করছিলো</t>
  </si>
  <si>
    <t>মুভিটা যতবার দেখতাম ততোই ভালো লাগত শাবনূরের দূরন্তপনা অভিনয় আর সালমান শাহ এর সত্যিকারের প্রেমিকার জন্য পাগলামি আসলেই অসাধারণ ছিল</t>
  </si>
  <si>
    <t>আসলে মানসিকভাবে অসুস্থ ছিলেন তাই এই ধরনের একটা অসুস্থ মস্তিষ্কের মুভি বানিয়েছিলেন</t>
  </si>
  <si>
    <t>ফকিন্নির মতন দেখতে ছিল যেমন মুভিটা সেরকম বাজে অভিনয় ছিল যেন মুভি দেখাটাই ছেড়ে দিতে হতো</t>
  </si>
  <si>
    <t>যে যাই বলুক বুবলির অভিনয় অনেক সুন্দর ছিল</t>
  </si>
  <si>
    <t>আমি বিশেষ সিনেমা দেখিনি এই বছর মাধ্যমিক পরীক্ষা ছিল তাই সিনেমা আমার জীবন থেকে প্রায় হারিয়ে গেছিল কিন্তু এই সিনেমার পোষ্টার দেখে লোভ সামলাতে পারতাম না জয় ফেলুদা</t>
  </si>
  <si>
    <t>করলার মতো লাগলো মুভিটা</t>
  </si>
  <si>
    <t>মুভি ভালো লাগেনি</t>
  </si>
  <si>
    <t>সিনেমা করতেই জানেনা বৃষ্টি থামার পর ছেলেকে খুঁজতে বেরিয়েছিল</t>
  </si>
  <si>
    <t>বাপ্পি আঁচল সেরা জুটি ছিল</t>
  </si>
  <si>
    <t>মন ছুঁয়ে গিয়েছিল</t>
  </si>
  <si>
    <t>রুমাটিক কাহিনী করছিল শাকিব ও শাবনূর ও রিয়াজ শব মিলে সুন্দর একটা মুবি হয়েছিল ভালো লাগছিল সবাইকে ধন্যবাদ</t>
  </si>
  <si>
    <t>সবই ঠিক ছিল ইংলিশে কথা বলা অভিনয় করা সবই ঠিক ছিল</t>
  </si>
  <si>
    <t>একি ছবি রে ভাই শুধু কান্না আর কান্না ছিল</t>
  </si>
  <si>
    <t>কি আর বলবো শুধু এইটাই বলতে চাই ইতিহাসের সেরা ছবি ছিল</t>
  </si>
  <si>
    <t>ভালো লেগেছিল সবগুলো অভিনয় ভালো ছিল মায়ের গানটা অসাধারণ ছিল</t>
  </si>
  <si>
    <t>অসাধারণ গল্পের বাস্তব কাহিনির মুভি ছিল সত্যিই প্রশংসনীয় ছিল</t>
  </si>
  <si>
    <t>পুরোটা ছবিতে হাসতেছিলাম ইচ্ছেমতো</t>
  </si>
  <si>
    <t>সপন সাহা দাদার নাম দেখেই ছবি দেখতে আসছিলাম তবে এতো খারাপ মানের নিম্ন মানের ছবি ইন্ডিয়াতে হয় বুঝতেই পারছিলামনা নায়ক যেমন মদন নায়িকাও তেমন মদন বাংলাদেশ থেকে বলছিলাম</t>
  </si>
  <si>
    <t>খুব সুন্দর একটা ছবি ছিল মজা পেয়েছিলাম মুভি টা দেখে</t>
  </si>
  <si>
    <t>বাচ্চাটার অভিনয় দেখে মন ছুঁয়ে গিয়েছিল</t>
  </si>
  <si>
    <t>চোখে জল এসে গেল এতো ভালো মুভি</t>
  </si>
  <si>
    <t>তেমন একটা ভাল নয় যতটা মনে করছিলাম</t>
  </si>
  <si>
    <t>পরাণ রজতাভ কাঞ্চন বিশ্বনাথ এদের এই ধরণের ছবিতে অভিনয় করেছিলেন আর সুজিত গুহ এর পরিচালনা করেছিলেন ভাবা যায় না নাকি এর কোন পাইরেসি হয়েছিল</t>
  </si>
  <si>
    <t>ছবিটা দেখতে গিয়ে আমি তিন তিন বার চোখে অশ্রু ঝরিয়েছিলাম</t>
  </si>
  <si>
    <t>মাস্টারপিস আমাদের গর্ব রাইসুল ইসলাম আসাদ</t>
  </si>
  <si>
    <t>ছবিটি ও ছবির গানগুলো সবই মন কাড়া ছিলো</t>
  </si>
  <si>
    <t>অসাধারণ একটি মুভি ছিল এমন মুভি আর হয়নি মহানায়ক ইলিয়াস কাঞ্চন স্যারকে শুভেচ্ছা জানানোর দরকার ছিল</t>
  </si>
  <si>
    <t>সত্যিই ছবিটা অনেক সুন্দর ছিল বাস্তবের সাথে অনেক কিছু মিল ছিল ছবিটা দেখে আমার চোখের জল ধরে রাখতে পারিনি</t>
  </si>
  <si>
    <t>অনেক সুন্দর ছিল এই ছবি আমি অনেক বার দেখেছিলাম</t>
  </si>
  <si>
    <t>আমাদের মত চাকরি প্রার্থীদের জন্য একটি উদাহরণস্বরূপ মুভি ছিল</t>
  </si>
  <si>
    <t>ওতো কিছু জানি না কিন্তু এই যুগে এসে যারা এই মুভিটা দেখেছিল বা দেখছিল তারা সমাজের অন্য দশ জন মানুষ থেকে আলাদা মনের অধিকারি</t>
  </si>
  <si>
    <t>জয়ার অতি অভিনয় আর অতিরিক্ত কান্নাকাটি চিৎকার চেঁচামেচির শব্দ দূষনের ভয়ে ওর নাটক সিনেমা দেখতাম না আজ দেখলাম টেনে টেনে</t>
  </si>
  <si>
    <t>আমার দেখা সেরা বাংলা সিনেমা ছিল এটা আমার একটুও মনে হয়নি উনারা অভিনয় করেছিলেন</t>
  </si>
  <si>
    <t>দারুন দারুন দারুন অনেকদিন বাদে এত্ত সুচারু অভিনয় পূর্ণ অনবদ্য সংলাপ সমৃদ্ধ গল্পের তৃপ্তিকর পরিসমাপ্তির স্বাদ মন প্রাণ ভরে নিয়েছিলাম</t>
  </si>
  <si>
    <t>বস্তবতার প্রামাণ চিত্র অনেক সুন্দর ছিল এক জন বিসিএস ক্যাডার হওয়ার জার্নিতায় অনেক মেধা ও পরিশ্রম দিতে হয়েছিল</t>
  </si>
  <si>
    <t>ছোট্ট ছেলেটার অভিনয় খুব সুন্দর হয়েছিল খুব মায়াবী চেহারা ছিল প্রবাস জীবনে এসে এমন মায়াবী চেহারা দেখে সত্যিই বুকটা ফেটে কান্না এসেছিল</t>
  </si>
  <si>
    <t>আমি ইন্ডিয়া থেকে মুভিটি পুরো দেখেছিলাম মনে দাগ কেটে গিয়েছিল তৎকালীন মুক্তিযোদ্ধারা কিভাবে শহীদ হয়েছেন তা খুবই হৃদয় বিদারক ছিল এই স্বাধীনতা ধরে রাখার দায়িত্ব সকল মানুষের</t>
  </si>
  <si>
    <t>পারিবারিক ছবি দেখা মতো ছবি ছিলো</t>
  </si>
  <si>
    <t>ছবিটির শেষর দৃশ্য যতো বার দেখেছিলাম ততো বার চোখের পানি ধরে রাখতে পারতাম না</t>
  </si>
  <si>
    <t>ভালো লাগলো না</t>
  </si>
  <si>
    <t>অনন্ত জলিল কে দেখলেই হাসি পেতো মনে হতো খুব কষ্ট করে অভিনয় করেছিলো</t>
  </si>
  <si>
    <t>সত্যি এক কথায় অসাধারণ ছিল</t>
  </si>
  <si>
    <t>এখনকার মুভিতে কেন কাহিনি নাই বুঝি না</t>
  </si>
  <si>
    <t>যেমন সিনেমা তেমনি গানগুলো সব মিলিয়ে একেবারেই অসাধারণ ছিল</t>
  </si>
  <si>
    <t>আমার বলার ভাষা নেই এতোটা ভালো লেগেছিল</t>
  </si>
  <si>
    <t>অনেক সুন্দর ছিল একটা মুভি শাবনূর তুমি সারা জীবন বেঁচে থাকো দোয়া করতাম</t>
  </si>
  <si>
    <t>অনেকদিন পর পাগলের পাগলামি দেখেছিলাম</t>
  </si>
  <si>
    <t>পাগল নাকিরে কি এসব এগুলা সিনমার কলংক ছিল</t>
  </si>
  <si>
    <t>তিনি খুব সুন্দর ছিল কিন্তু মদ্যপান একটি অসুস্থতা ছিল যা সুন্দর জিনিস খেয়ে ফেলেছিল</t>
  </si>
  <si>
    <t>তৎকালীন সময়ের সেরা ছবি অঞ্জুঘোষ অভিনয় করেছিলেন অসাধারণ তবে প্রিন্টটা আরো একটু ভাল হলে ভাল হতো তবুও বলা যায় যে এটি অসাধারণ একটা মুভি ছিল</t>
  </si>
  <si>
    <t>আমি জিস্ট নিতে পারিনি ছবিটা</t>
  </si>
  <si>
    <t>বাংলাদেশের এত সুন্দর একশন মুভি অনেকদিন পরে দেখেছিলাম</t>
  </si>
  <si>
    <t>এটি গ্রাম বাংলা কাপানো প্রসেনজিৎ এর ব্লকবাস্টার সিনেমা</t>
  </si>
  <si>
    <t>মুভিটা বেশ পুরাতন ছিলো তবে যে কাহিনী টা প্রকাশ করা হয়েছিল সেটা আসলেই অসাধারণ ছিল</t>
  </si>
  <si>
    <t>গাধা না হলে কেউ পুরাটা দেখতো না</t>
  </si>
  <si>
    <t>খুবই হাসির একটা মুভি ছিল যেমন হেসেছিলাম কিন্তু অনেক ভয়ংকর ছিল কান্ডগুলো ভালো লেগেছিল</t>
  </si>
  <si>
    <t>কি উচ্চারণ করতেছিল ছি: ছি:</t>
  </si>
  <si>
    <t>যতক্ষণ দেখেছিলাম সেদিকে যেন দেখা শেষ হচ্ছিলনা তখন এইসব মুভি দেখার মজা টাই আলাদা ছিল</t>
  </si>
  <si>
    <t>অসাধারণ রোমান্টিক মেলডি মুভি ছিল</t>
  </si>
  <si>
    <t>সত্যি অসাধারণ ছিল মুভিটা রিয়াজ ও পূর্ণিমার জুটিটাও সেরা জুটি ছিল</t>
  </si>
  <si>
    <t>একদম ভালো লাগেনি জয়ার অভিনয়ে অনেক ত্রুটি ছিল</t>
  </si>
  <si>
    <t>এই মুভিটা তেলেগু সিনেমা বোমারিলু থেকে কপি করা হয়েছিল</t>
  </si>
  <si>
    <t>এর মতো জঘন্য মুভি আর একটা দেখি নাই</t>
  </si>
  <si>
    <t>অনেক সুন্দর ছিল সেই মুভি অনেক বার দেখেছিলাম দেখতে আরো ভালো লাগতো</t>
  </si>
  <si>
    <t>দেখে মনে হচ্ছিল যে বাংলা সিরিয়াল দেখছিলাম</t>
  </si>
  <si>
    <t>এইটা নাকি ভুতের সিনেমা ছিল</t>
  </si>
  <si>
    <t>বলার ভাষা ছিল না শেষের পার্ট দেখে পানিতে চোখ ভেসে গেছিল এমন মুভি সবার দেখা উচিত ছিল জীবন পালটে দেওয়ার মত ধন্যবাদ এমন মুভি উপহার দেওয়ার জন্য</t>
  </si>
  <si>
    <t>ছবি টা যতবার দেখতাম ততবারই দেখতে মন চায় অসাধারণ ছিল ছবিটি</t>
  </si>
  <si>
    <t>অসাধারণ জুটি ছিল শাবনূর ও শাকিব তারা বাংলাদেশের সর্বকালের সর্বশ্রেষ্ঠ ছিলেন</t>
  </si>
  <si>
    <t>তেমন মনমতো ছিলনা</t>
  </si>
  <si>
    <t>দেব তো আগে দেখতে যেমন ছিল তাও এত দূরে আসতে পেরেছিলাম তাই অনেক আর এখন যা যা মুভি করছিলেন তার কোন কাহিনী ছিল না</t>
  </si>
  <si>
    <t>আমার পছন্দের বেস্ট সিনেমা ছিল ঘর দূয়ার</t>
  </si>
  <si>
    <t>অনেক ভালো লেগেছিলো মুভিটা মনে হয়েছিল নিজের জীবনটা নিজের মতো করে স্বাধীনভাবে চলা উচিত কারোর কাছে বন্দী না থাকা উচিত</t>
  </si>
  <si>
    <t>এটা শুধু মুভি নয় এই মুভি থেকেই আমাদের অনেক কিছু শেখার ছিলো</t>
  </si>
  <si>
    <t>নোংরা গানে ছবিটি নস্ট করেছিল</t>
  </si>
  <si>
    <t>এত এত ভালো ছবি তখন বানানো হয়েছিল ছবি দেখার জন্য সবাই সিনমা হলে ভীড় করত</t>
  </si>
  <si>
    <t>আমি আর বাংলা সিনেমা দেখবনা বলে ওয়াদা করেছিলাম কারণ সিনমাটি অনেক বাজে ছিল</t>
  </si>
  <si>
    <t>চোখে জল এসে গেছিল খুব সুন্দর ছিল সিনেমা ইন্ডিয়া থেকে ভালোবাসা হয়েছিল বাংলাদেশ এর প্রতি</t>
  </si>
  <si>
    <t>সেই একটা মুভি ইয়ামি গৌতম খুবই পারফেক্ট ভাবে চরিত্রটি করেছিলেন</t>
  </si>
  <si>
    <t>অসাধারণ একটি মুভি ছিল</t>
  </si>
  <si>
    <t>ভালো লাগছিল না বাজে মানে একদম বাজে ছিল</t>
  </si>
  <si>
    <t>বাংলা ছবির কথা মনে হলেই খারাপ লাগত তবে মান্নার কথা মনে পড়লে ছবির মতো ভালো কিছু নেই এত সুন্দর অভিনয় আর পৃথিবীতে করতে পারেনি</t>
  </si>
  <si>
    <t>গ্রাম বাংলার এতো সুন্দর দৃশ্যে অসাধারণ মুভি হয়েছিল</t>
  </si>
  <si>
    <t>জিৎ এর সাথীহারা আর চ্যাম্পিয়ন সত্যিই অসাধারণ ছিল</t>
  </si>
  <si>
    <t>অপেক্ষার শেষে মিষ্টি হয়েছিল ছবিটা দেখে কান্না হাসি কষ্ট সব করেছিলাম</t>
  </si>
  <si>
    <t>আমি যতি সিনেমা হলে দেখেছিলাম আমার ফুফুর সাথে গিয়ে ছবিটা অনেক ভালো ছিল</t>
  </si>
  <si>
    <t>একদম ফালতু একটা মুভি ছিল</t>
  </si>
  <si>
    <t>ফালতু সময় নষ্ট হয়েছিল</t>
  </si>
  <si>
    <t>ববির অভিনয় অসাধারণ ছিল</t>
  </si>
  <si>
    <t>যত বার দেখিলাম ততই ভালো লেগেছিল</t>
  </si>
  <si>
    <t>জয়া আহসানের এই অভিনয় তেমন ভালো ছিলনা</t>
  </si>
  <si>
    <t>অসাধারণ মুভি ছিল হৃদয় ছুঁয়ে গিয়েছিল</t>
  </si>
  <si>
    <t>ছোটবেলায় এই ছবিটি হলে গিয়ে দেখেছিলাম কোনো দৃশ্যই মনে ছিল না শুধু শাবানার পানির গ্লাসে ঘাস দেওয়ার দৃশ্যটি মনে ছিল আজ এতো বছর পর পুরো ছবিটি দেখে খুব ভালো লেগেছিল</t>
  </si>
  <si>
    <t>একটি খুব বাজে মুভি দেখেছিলাম এই রকম মুভি আরও বানালে বাংলা সিনেমা রসাতলে যেতো কেউ আর মুভি দেখতোই না</t>
  </si>
  <si>
    <t>একদম সময় নষ্ট হয়েছিল কেউ দেখেনি এ ধরনের মুভি</t>
  </si>
  <si>
    <t>কি সুন্দর ছিলো একটা সিনেমা আমি ছোটবেলায় এই সিনেমাটা দেখেছিলাম রঞ্জিত মল্লিকের অভিনয়টা দারুণ অসাধারণ একদম সেই লেভেলের সিনেমাটা দেখে অনেক ভালো লাগলো</t>
  </si>
  <si>
    <t>তাদের অ্যাক্টিং স্কিল উপর আরো কাজ এবং করা আরো শেখার বাকি ছিল</t>
  </si>
  <si>
    <t>কি নিখুঁত অভিনয় ছিলো দুজনের কিসের প্রিয়তমা সেরা ত যুগ যুগ থাকতো এরকম মুভি</t>
  </si>
  <si>
    <t>কি দেখে এদের নায়ক বানানো হয়েছিল</t>
  </si>
  <si>
    <t>মনপুরা এই ছবিটা আমার জীবনের দেখা সেরা মুভি ছিল</t>
  </si>
  <si>
    <t>জীবনে অনেক কঠিন মুহূর্তের সম্মুখীন হয়েছিলাম কিন্তু এই রকম বাস্তবতার সম্মুখীন হইনি যাদের আপন বলে ভাবতাম তারাই আজ ছেড়ে চলে গেল</t>
  </si>
  <si>
    <t>বাংলা সিনেমার পর্দায় যত সব ছবি নির্মিত হয়েছিল তার মধ্যে বেদের মেয়ে জ্যোৎস্না সবচেয়ে অন্যতম ছিল</t>
  </si>
  <si>
    <t>অনেক সুন্দর ছিল এই রোমাঞ্চকর মুভিটি</t>
  </si>
  <si>
    <t>কিছু মানুষ ছিল এদের জ্ঞান আক্কেল হবে না তাইতো এই ধরনের মুভি বানাতে পারছিল</t>
  </si>
  <si>
    <t>মায়ের প্রতি অনুরাগের শ্রেষ্ঠতম প্রতিচ্ছবি ছিল মুভিটি আমি মনে করতাম বাংলা চলচ্চিত্রের ইতিহাসে এটাই সর্বোচ্চ আবেদন সৃষ্টিকারী মুভি ছিল</t>
  </si>
  <si>
    <t>প্রথম প্রথম আমার খুব কষ্ট লাগত শেষে আমি হাসতে হাসতে শেষে রিনা কুটনির অভিনয় দেখতে পেয়েছিলাম</t>
  </si>
  <si>
    <t>ছবিটা ভালো ছিল কিন্তু মাতৃত্ব থেকে জৈবিক চাহিদাকে উর্ধ্বে রাখা হয়েছিল</t>
  </si>
  <si>
    <t>এসব আটার বস্তার সিনেমা মানুষ দেখতো না</t>
  </si>
  <si>
    <t>ছবির কাহিনি সুন্দর ছিল মৌসুমি ও ফেরদৌস দুজনের অভিনয় সুন্দর হয়েছিল মৌসুমির অভিনয় অসাধারণ সুন্দর ছিল</t>
  </si>
  <si>
    <t>ববি আপুর এই সিনেমাটি অনেক সুন্দর হয়েছিল</t>
  </si>
  <si>
    <t>এর থেকে বাজে ছবি আর হয়নি</t>
  </si>
  <si>
    <t>বাংলাদেশের ব্যাবসা সাফল্যের সেরা মুভি ছিল এটি</t>
  </si>
  <si>
    <t>ফালতু একটা সিনেমা দেখেছিলাম কিন্তু জানিনা কেনো এই সিনেমা টা বানানো হয়েছিল কিনা এবং কি বলতে চেয়েছিলেন কিছুই বুঝলামনা</t>
  </si>
  <si>
    <t>বিশ্বের বুকে ইতিহাস হয়ে থাকবে এই আম্মাজান সিনেমা টা</t>
  </si>
  <si>
    <t>আরে আরে এসব কি ছিল</t>
  </si>
  <si>
    <t>মুভির গল্পটা ভালো ছিলো কিন্তু একশন ভালো হয়নি</t>
  </si>
  <si>
    <t>জয়া আহসান একাই যেভাবে ওভার অ্যাক্টিং করছিলেন আর বাকিরা উনার থেকে কম করেননি যদিও বাংলাদেশের তাও বলতে বাধ্য হলাম জয়া নষ্ট করেছিলেন মুভিটা</t>
  </si>
  <si>
    <t>ভালো ছবি কিন্তু ইলিয়াসকাঞ্চন এর অভিনয় বেশী অহংকারী ছিল</t>
  </si>
  <si>
    <t>ভাইয়ারে দুনিয়ায় আর ছবি দেখার শখ মিটে গেছিল</t>
  </si>
  <si>
    <t>চোখে পানি না ধরে রাখার মতো একটি মুভি ছিল</t>
  </si>
  <si>
    <t>খুবি ভালো লাগলো আমাদের শ্রীমংলে শুটিং করেছিল</t>
  </si>
  <si>
    <t>ভীষণ সুন্দর একটি মুভি দেখলাম মন ভরে গেল</t>
  </si>
  <si>
    <t>এক কথায় অসাধারণ ছবিটা ছিল</t>
  </si>
  <si>
    <t>জায়েদ খান কে পাবনায় পাঠিয়ে দেওয়া হলো তারা সিনেমা করার দরকার ছিল না</t>
  </si>
  <si>
    <t>বাংলার বউ ছবিটি অসাধারণ সুন্দর ছিল মৌসুমি শেষ উক্তিটি এবং মমতাজের কন্ঠে গাওয়া একটি গানের মাধ্যমে ছবিটি মূল গল্প ফুটে উঠেছিল</t>
  </si>
  <si>
    <t>অসাধারণ একটি মুভি ছিল মুভির কাহিনীর মধ্যে সবচেয়ে ভালো লেগেছিল মায়েদের সম্মানের ব্যাপারটা</t>
  </si>
  <si>
    <t>এটা আমার দেখা জীবনের সেরা একটা মুভি ছিল যা চোখের জল সামলানো কঠিন ছিল</t>
  </si>
  <si>
    <t>যত দেখতাম তত ভালো লাগত রক্তের টান কেউ ভুলতো পারেনি অসাধারণ ছবি ছিল</t>
  </si>
  <si>
    <t>এগুলা দেখার থেকে কারটুন দেখা অনেক ভালো ছিল</t>
  </si>
  <si>
    <t>আচলকে কেন সিনেমা তে নেওয়া হয়েছিল অভিনয় পারতো না এক্সপ্রেসনলেস</t>
  </si>
  <si>
    <t>বাংলাদেশের সবচেয়ে বড় ব্যবসা সফল ছবি ছিল পৃথিবীর সবচেয়ে এক নম্বর ছায়াছবি</t>
  </si>
  <si>
    <t>শারুখের মুভি থেকে এইটা আশা করিনি</t>
  </si>
  <si>
    <t>তার জন্য নিজেকে পরিবর্তন করতে চেয়েছিলাম কিন্তু সে নিজেই বদলে গেল</t>
  </si>
  <si>
    <t>কার প্রতি কার অনুভুতি কাজ করল কিছুই বুঝতাম না</t>
  </si>
  <si>
    <t>আমার দেখা সবচেয়ে ভালো শিক্ষনীয় সিনেমা ছিল সবচেয়ে বড় কথা সিনেমার সকল চরিত্রগুলো ছিলো অসাধারণ</t>
  </si>
  <si>
    <t>ফুল কপি করেছিল</t>
  </si>
  <si>
    <t>আঁচলের অভিনয় অনেক সুন্দর হয়েছিল যা বলার বাহিরে</t>
  </si>
  <si>
    <t>ট্রেইলারের সাথে কোন মিল ছিল না এই সিনেমায়</t>
  </si>
  <si>
    <t>আমার কাছে এইটা বেস্ট ছিল</t>
  </si>
  <si>
    <t>এটা কোনো মুভি ছিল ফালতু নাই কোনো ফিলিংস</t>
  </si>
  <si>
    <t>পারিবারিক ছবির মধ্যে ওয়ান অফ দ্য বেস্ট ছিল</t>
  </si>
  <si>
    <t>ফালতু পরিচালক ছিল</t>
  </si>
  <si>
    <t>মানে কি আর বলতাম পরিচালক কি পাগল হয়ে গেছিল নাকি</t>
  </si>
  <si>
    <t>এটা কোনো অভিনয় হয়েছিল</t>
  </si>
  <si>
    <t>আমি টেনেটুনে দুই মিনিটের মধ্য শেষ করেছিলাম এতো সুন্দর ছবি আর হয়নি তাই তাড়াতাড়ি শেষ করে ফেলেছিলাম</t>
  </si>
  <si>
    <t>কি ভাবেছিলাম আর কি দেখেছিলাম</t>
  </si>
  <si>
    <t>আমি হেসেছিলাম আবার আমিই কেঁদেছিলাম সবাই এক কথায় অসাধারণ অভিনয় করেছিলেন</t>
  </si>
  <si>
    <t>সিনেমা সেই রকম ছিল যা এক তুড়িতে সমাজ বদলাতে না পেরেও বদলে দেওয়ার মত মেসেজ ছিল ইরফান খান ছিলেন বলেই এই সিনেমাটি এত বেশি হার্টটাচিং হয়েছিল</t>
  </si>
  <si>
    <t>থ্রিলার মুভি নাম দিয়ে এটা কি কমেডি মুভি দিলেই তো পারতো না কোন ক্লাইম্যাক্স ছিল না কোন কিছু এটা একটা মুভি ছিল</t>
  </si>
  <si>
    <t>খুব ফানি ছিল</t>
  </si>
  <si>
    <t>এর থেকে বাজে সিনেমা হয় না</t>
  </si>
  <si>
    <t>এই ছবিটি দেখে এখনও কাঁধি ভুলতাম না সালমান শাহকে</t>
  </si>
  <si>
    <t>খারাপ আড্ডায় পরার পর চিগারেট খাওয়া শুরু করছিলাম আজ অসুস্থ হওয়ার পর বুঝলাম সেটা আমার কি ক্ষতিটা করলো</t>
  </si>
  <si>
    <t>অনন্ত জলিল কথাই বলতে পারতো না সে আর কি ডায়লক দিতো বলতো সিনেমা গল্প আর কাহিনী হলেই সিনেমা চলতো না</t>
  </si>
  <si>
    <t>আমি কখনো ভাবতে পারিনি ছবিটি আমাকে এমন কাদিয়েছিল</t>
  </si>
  <si>
    <t>আগের মুভিতেও এত ক্রিঞ্জ ছিল</t>
  </si>
  <si>
    <t>যে কয়েক বার ছবিটি দেখেছি চোখের পানি ধরে রাখতে পারিনি বাচ্চার মুখে এত মায়া ছিল</t>
  </si>
  <si>
    <t>বাংলাদেশের মুভিতে এই রকম দৃশ্য কখনো আশা করা যায় নি</t>
  </si>
  <si>
    <t>শেষ টা পরিপূর্ণ ছিল না কেমন যেন</t>
  </si>
  <si>
    <t>বাংলা বউ ও খাইরুন খুব সুন্দরী ছিলেন এই দুইটি ছবিতে একে অভিনয় করেছিল নায়ক নায়িকা এই দুইটি ছবি হাজারো হাজারো দর্শকের মন করে নিয়েছিল</t>
  </si>
  <si>
    <t>শাকিব শাবনুর এর প্রথম মুভি অসাধারণ ছিল</t>
  </si>
  <si>
    <t>দারুণ মুভি একেবারে মন ছুঁয়ে গেল দুর্দান্ত অভিনয়</t>
  </si>
  <si>
    <t>অনেক আগে দেখেছিলাম ছবিটি আজকে আবার দেখলাম অসাধারণ ছবি</t>
  </si>
  <si>
    <t>আমি খুবই আগ্রহ নিয়ে মুভিটা দেখেছিলাম তবে যে শিক্ষা পেলাম তা আর না</t>
  </si>
  <si>
    <t>ছোট বেলায় এইতা মুভির জন্য কত পাগল ছিলাম এখন মনে হইলে হাসি পায় প্রচুর কতই না বেক্কল ছিলাম তখন</t>
  </si>
  <si>
    <t>রেজাউল করিম বাপ্পা ভাই এর অভিনয় অসাধারণ ছিল</t>
  </si>
  <si>
    <t>ইলিয়াছ ভাই এর মুভি দেখে আজকে প্রথম বার আমি মনে করি অসাধারণ একটি মুভি বাংলাদেশের ইতিহাসে এর মতো মুভি আর কেউ তৈরি করতে পারেনি</t>
  </si>
  <si>
    <t>মনপুরা শুধু একটা ফিল্ম নয় এটা একটা কালজয়ী সৃষ্টি একটা আবেগ একটা ভালোবাসার নাম মনপুরা ছিল</t>
  </si>
  <si>
    <t>এর থেকে বাংলাদেশের নাটক অনেক ভালো ছিল</t>
  </si>
  <si>
    <t>জসিম ভাই এর অভিনয় খুব ভালো লাগতো আর শাবানা ও জসিম অভিনয় খুব সুন্দর ছিল</t>
  </si>
  <si>
    <t>এই মুহুর্তে এটা আমার জীবনের বেস্ট একটা মুভি ছিল</t>
  </si>
  <si>
    <t>এখনকার ছবি আর আগের ছবি তুলনামূলক ছিল</t>
  </si>
  <si>
    <t>ভালো লাগতনা একদমই ভালো লাগতনা</t>
  </si>
  <si>
    <t>না সিনেমা ভালো ছিল না এবং তাদের অভিনয় ও</t>
  </si>
  <si>
    <t>আমার পছন্দের বেস্ট সিনেমা ঘর দূয়ার ছিল</t>
  </si>
  <si>
    <t>অসাধারণ একটি সিনেমা ছিল শাবানা আলমগীর জুটি তো অসাধারণ ছিল</t>
  </si>
  <si>
    <t>এই ছবিতে হিরোনকে ভালো লাগছিল না</t>
  </si>
  <si>
    <t>অসাধারণ ছবিটা ছিল ববির অভিনয় ছিল অতুলনীয়</t>
  </si>
  <si>
    <t>অনেক ভালো লাগতো ছবি টা আমার এটা বার বার দেখতে মন চায়তো</t>
  </si>
  <si>
    <t>ছবিটা খুব জোস ছিল কখনো দেখে ওঠার সময় পাওয়া যেতো না জাস্ট অসাধারণ</t>
  </si>
  <si>
    <t>পুরাই ফাতরা ছিল ছবি</t>
  </si>
  <si>
    <t>সবচেয়ে সুন্দর ছিল হোসেনের চরিত্রের অভিনয় হৃদয় ছুঁয়ে গেল</t>
  </si>
  <si>
    <t>আমাদের ইন্ডিয়া আসাম রাজ্যের রাজমিতা গ্ৰাম থেকে বলছিলাম বাংলাদেশের এই ছবিগুলো প্রচুর জনপ্রিয়তা অর্জন করেছিল</t>
  </si>
  <si>
    <t>আহা কী ছবি কী কাহিনী সকল পাপ ধ্বংস হয়ে গেছিল</t>
  </si>
  <si>
    <t>দারুন ছবি পরাণ দা আমার ভীষণ প্রিয় আর আবির স্যারের কথা সে কি আর বলবো সত্যি ছবি দেখে ভীষণ ভালো লেগেছিল</t>
  </si>
  <si>
    <t>ছবি তো সুন্দর প্রশংসনীয় ছিল</t>
  </si>
  <si>
    <t>এগুলা কেন বানায় বুঝিনি</t>
  </si>
  <si>
    <t>আজকে আমরা যা খেলছি তাতে হার আমাদের প্রাপ্য ছিলো</t>
  </si>
  <si>
    <t>ইন্ডিয়ায় এই সব চলে ফালতু মুভি ছিল শুধু এমবি খরচ হয়েছিল</t>
  </si>
  <si>
    <t>অসাধারণ অতুলনীয় ছবি ছিল আলমগীর ও সাবানার জুটি ফরিদি আরো অসাধারণ ছিল</t>
  </si>
  <si>
    <t>মুভি তে সব থেকে ভালো লেগেছিল কীর্তির অভিনয়</t>
  </si>
  <si>
    <t>বলার কিছু নাই দেখতে পেরেছিলাম না আর</t>
  </si>
  <si>
    <t>অপূর্ব বহুদিন পরে এমন একটি চলচ্চিত্র দেখতে পেয়েছিলাম যা বাংলা চলচ্চিত্রের পূর্ণবয়স্ক হবার পরিচয় বহন করত অর্পিতার অভিনয় মুগ্ধ করেছিল</t>
  </si>
  <si>
    <t>জঘন্যতম ফাতড়া ছবি ছিল</t>
  </si>
  <si>
    <t>আমি হাসতে হাসতে শেষ হয়ে যাচ্ছিলাম</t>
  </si>
  <si>
    <t>এগুলা কি দেখছিলাম ভাই</t>
  </si>
  <si>
    <t>এমন নৈসর্গিক প্রশান্তির জন্য প্রস্তুত ছিলাম না</t>
  </si>
  <si>
    <t>রুদ্রনীল আছে বলে দেখা শুরু করেছিলাম কিন্তু সব ছাগলের সঙ্গে থেকে মানুষও ছাগল হয়ে গেছিল তাই আর দেখার সাহস ছিল না</t>
  </si>
  <si>
    <t>গুড মোটিভেশনাল মুভি খুব খুব ভালো লেগেছিল ধন্যবাদ এমন একটি মুভি নির্মাণ করার জন্য</t>
  </si>
  <si>
    <t>দারুণ ছবি ছিল এ টিএম শামসুজ্জামান সেরাদের সেরাদের মধ্যে অবদান ছিল</t>
  </si>
  <si>
    <t>ছবির কোনো কাহিনী ছিলো না ফালতু ছিলো</t>
  </si>
  <si>
    <t>ছবিটি খুব ভালো লেগেছিলো অসাধারণ একটা মুভি ছিল বউও এর ওপর এত সন্দেহ করতেন না আমরা না হলে সংসারে অশান্তি সৃষ্টি হতো</t>
  </si>
  <si>
    <t>ছবিটাতে ভিলেনের সংখ্যা বেশি ছিল</t>
  </si>
  <si>
    <t>বহু দিন পর একটা পুরো মুভি দেখতে নাই দেখতেও বলেও দেখে ফেললাম মুভিটা ভাল লাগলো ছবিটিতে কিছু শিক্ষনীয় বিষয় ছিল দাদুর অভিনয়টা খুব ভাল ছিল</t>
  </si>
  <si>
    <t>দেখা মতো একটা মুভি ছিল</t>
  </si>
  <si>
    <t>একদম হাসি পারছিল না</t>
  </si>
  <si>
    <t>অসাধারণ হয়েছিল সাউন্ড সিষ্টেম সিনেমা পরিচালনা</t>
  </si>
  <si>
    <t>রিয়েল স্টরির মত কান্না করেনাই মনে কেউ নাই এই ফিল্ম দেখে</t>
  </si>
  <si>
    <t>সূর্য দীঘল বাড়ী এই মুভি কতোবার যে দেখেছিলাম তার কোন হিসাব নেই যখন একা একা বোধ করতাম তখনই এই মুভি টা দেখতাম ভীষণ ভালো লাগতো</t>
  </si>
  <si>
    <t>আমার জীবনে দেখা সেরা ছবি ছিলো মান্না ভাই আপনি একজন লিজেন্ড বাংলা চলচিত্রে মান্না ভাই একজন লিজেন্ড ছিলেন</t>
  </si>
  <si>
    <t>ভালো চোখটাও যেন নষ্ট হয়ে গেছিল এই মুভিটা দেখে একদম কেউ এই মুভিটা দেখবেন না সময় নষ্ট হয়েছিল</t>
  </si>
  <si>
    <t>হুমায়ুন ফরদি স্যার অনেক সুন্দর ও অসাধারণ অভিনেতা ছিলেন</t>
  </si>
  <si>
    <t>কত সুন্দর ছায়াছবি দেখেছিলাম সামাজিক সমস্যার কারণে মানুষের ব্যবহার কতটা খারাপ হতে পারে তা উৎপল দত্তের অভিনয় থেকে বোঝা যায় কালী ব্যানার্জীর অভিনয় অনবদ্য ছিলেন অঞ্জন চৌধুরী মহাশয়কে আমার ধন্যবাদ জানানো যায় রঞ্জিত মল্লিক শ্রেষ্ঠ অভিনেতা ছিলেন নিঃসন্দেহে</t>
  </si>
  <si>
    <t>পুরাটা ইউউউউউউউউউ হয়েছিল</t>
  </si>
  <si>
    <t>আমি দেখেছিলাম খুব সুন্দর একটা মুভি এবং বিশেষ করে সাবানা ম্যামের মুভি আমার কাছে খুব ভালো লেগেছিল</t>
  </si>
  <si>
    <t>ছবিটা দেখে যার যার মন ছুঁয়ে গিয়েছিল সে এখনি লাইক দিয়েছিলেন</t>
  </si>
  <si>
    <t>প্রথম দিক দিয়ে এত সুন্দর হবে ভাবিনি এক কথায় অসাধারণ ছিল</t>
  </si>
  <si>
    <t>বিচ্ছিরি সিনেমা সত্যজিৎ রায় লেখা এভাবে অপব্যবহার হওয়া সত্যিই দুঃখজনক ছিল না</t>
  </si>
  <si>
    <t>সে টেকনেশিয়ান ছিল</t>
  </si>
  <si>
    <t>তারা বই পড়ছিল</t>
  </si>
  <si>
    <t>সমুদ্র পাড়ি দিয়েছিল</t>
  </si>
  <si>
    <t>অবসরে গান গাইতেছিল</t>
  </si>
  <si>
    <t>আমি ভালো বুঝিতেছিল</t>
  </si>
  <si>
    <t>সুজলা সুফলা ছিল বাংলাদেশ</t>
  </si>
  <si>
    <t>সফটওয়্যার ডাউনলোড করতে সময় লেগেছিল</t>
  </si>
  <si>
    <t>কলেজ পর্যবেক্ষণ করিয়াছিল</t>
  </si>
  <si>
    <t>মেলায় ঘুরতে গেলাম</t>
  </si>
  <si>
    <t>হজ্ব করতে গিয়েয়ছিলাম</t>
  </si>
  <si>
    <t>উচ্চকৌশলের গেম খেলিয়াছিলাম</t>
  </si>
  <si>
    <t>রাজনীতি আগ্রহী ছিলাম</t>
  </si>
  <si>
    <t>নাবিকেরা জাহাজ চালিয়েছিল</t>
  </si>
  <si>
    <t>নাবিকেরা ঝড়ে আটকে পড়েছিল</t>
  </si>
  <si>
    <t>মিডিয়ায় আনন্দ পাইলাম</t>
  </si>
  <si>
    <t>কলেজে অধ্যয়ন করিলাম</t>
  </si>
  <si>
    <t>রিমোট ব্যবহার করছিলাম</t>
  </si>
  <si>
    <t>টাকা উপার্জন করিয়াছিলাম</t>
  </si>
  <si>
    <t>শিক্ষা সমৃদ্ধি দিল</t>
  </si>
  <si>
    <t>ইসলামিক জীবন গড়িলাম</t>
  </si>
  <si>
    <t>যুদ্ধ সংঘটিত হয়েছিল</t>
  </si>
  <si>
    <t>আমি সমর্থন করিয়াছিলাম</t>
  </si>
  <si>
    <t>চন্দ্রযান ছিল ভারতের</t>
  </si>
  <si>
    <t>বাজারে মূল্য কমিয়াছিল</t>
  </si>
  <si>
    <t>একাউন্ট জরিমানা ছিল</t>
  </si>
  <si>
    <t>আমি আলাপ করিলাম</t>
  </si>
  <si>
    <t>নতুন ফোন কিনতেছিলাম</t>
  </si>
  <si>
    <t>ব্যাংক হিসাব দেখলাম</t>
  </si>
  <si>
    <t>সে স্কলার ছিল</t>
  </si>
  <si>
    <t>সৌন্দর্য আনন্দ দিয়েছিল</t>
  </si>
  <si>
    <t>প্রাকৃতিক সৌন্দর্য জীবন বদলে দিয়েছিল</t>
  </si>
  <si>
    <t>সাগর স্নিগ্ধতা ছড়িয়েছিল</t>
  </si>
  <si>
    <t>ওয়েবসাইট ডিজাইন করেছিলাম</t>
  </si>
  <si>
    <t>নিয়মিত হাদীস পড়িয়াছিল</t>
  </si>
  <si>
    <t>একাউন্টে টাকা রাখতেছিলাম</t>
  </si>
  <si>
    <t>অবসরে ঘুরতে যাইতেছিল</t>
  </si>
  <si>
    <t>অবসরে ঘুরতে যেতে আগ্রহ প্রকাশ করেছিলাম</t>
  </si>
  <si>
    <t>আরবি শিক্ষা দিলাম</t>
  </si>
  <si>
    <t>শিক্ষা সফরে গিয়েছিল</t>
  </si>
  <si>
    <t>পড়াশোনায় ভাল করতাম</t>
  </si>
  <si>
    <t>সরকার সুবিধা দিল</t>
  </si>
  <si>
    <t>ল্যাপটপ হ্যাক করতেছিলাম</t>
  </si>
  <si>
    <t>গেমিং মাউস কিনতেছিলাম</t>
  </si>
  <si>
    <t>লেপটপ ব্যবহার করছিলাম</t>
  </si>
  <si>
    <t>লেপটপ শিক্ষার আগ্রহ প্রকাশ করেছিলাম</t>
  </si>
  <si>
    <t>দারাজে পণ্য কিনলাম</t>
  </si>
  <si>
    <t>উৎপাদনে উন্নতি চাচ্ছিল</t>
  </si>
  <si>
    <t>শিক্ষকরা গবেষণা করতেছিল</t>
  </si>
  <si>
    <t>সে গেম খেলতেছিল</t>
  </si>
  <si>
    <t>চেক প্রদান করলেন</t>
  </si>
  <si>
    <t>সে ইংরেজি পড়িয়াছিল</t>
  </si>
  <si>
    <t>ছাত্ররা ফুটবল খেলত</t>
  </si>
  <si>
    <t>নতুন ক্যামেরা কিনতেছিলাম</t>
  </si>
  <si>
    <t>ভ্রমণে পরিবর্তন আসল</t>
  </si>
  <si>
    <t>একাউন্ট বিনিময় করলাম</t>
  </si>
  <si>
    <t>ফুল সুগন্ধ ছড়াল</t>
  </si>
  <si>
    <t>ভ্রমণে পরিবর্তন আসিতেছিল</t>
  </si>
  <si>
    <t>জীবনে সুবিধা চাইতেছিলাম</t>
  </si>
  <si>
    <t>আমি ভালো বুঝেছিলাম</t>
  </si>
  <si>
    <t>একাউন্ট আপডেট করতে তাকে বলছিলাম</t>
  </si>
  <si>
    <t>কলেজ অবস্থান করিলাম</t>
  </si>
  <si>
    <t>গুগলে অনুসন্ধান করিলাম</t>
  </si>
  <si>
    <t>প্রযুক্তির সমৃদ্ধি হচ্ছিল</t>
  </si>
  <si>
    <t>স্মাটটেলিফোন ব্যবহার করতাম</t>
  </si>
  <si>
    <t>পরিচয়পত্র ডিজিটাল করলাম</t>
  </si>
  <si>
    <t>নিয়মিত শরীরচর্চা করিয়াছিলাম</t>
  </si>
  <si>
    <t>শৃঙ্খলাময় জীবনযাপন করিয়াছিলাম</t>
  </si>
  <si>
    <t>সার্কাস চলল রাজনীতিতে</t>
  </si>
  <si>
    <t>অবকাঠামো বৃদ্ধি পাচ্ছিল</t>
  </si>
  <si>
    <t>কর্মচারীদের মান বেড়েছিল</t>
  </si>
  <si>
    <t>মহাকাশে রকেট যাচ্ছিল</t>
  </si>
  <si>
    <t>শিক্ষার্থীরা শরীরচর্চা করেতেছিল</t>
  </si>
  <si>
    <t>আমি সমর্থন করছিলাম</t>
  </si>
  <si>
    <t>জীবনের গল্প বলিলাম</t>
  </si>
  <si>
    <t>সিলেটে চাবাগান দেখলাম</t>
  </si>
  <si>
    <t>ভ্রমণেই মুক্তি হয়েছিল</t>
  </si>
  <si>
    <t>ক্যামেরায় ছবি তুলতেছিলাম</t>
  </si>
  <si>
    <t>আকাশ ভ্রমণ করিতেছিল</t>
  </si>
  <si>
    <t>আমি রেইনফরেস্ট গিয়েছিলাম</t>
  </si>
  <si>
    <t>ক্যামেরা কিনতে চাইলাম</t>
  </si>
  <si>
    <t>শাহজাহান তাজমহল বানিয়েছিলেন</t>
  </si>
  <si>
    <t>ই বুকে বই পড়তেছিলাম</t>
  </si>
  <si>
    <t>বিকাশে টাকা পাঠাইতেছিলাম</t>
  </si>
  <si>
    <t>সে ইতিহাস শিখল</t>
  </si>
  <si>
    <t>আমরা আনন্দ খুজিতেছিলাম</t>
  </si>
  <si>
    <t>ভ্রমণে মনোবল বেড়েছিল</t>
  </si>
  <si>
    <t>স্যাটেলাইট সংযোজিত হল</t>
  </si>
  <si>
    <t>ক্যারিয়ারে এগিয়ে যাচ্ছিলাম</t>
  </si>
  <si>
    <t>টাকা জমা করে মোবাইল কিনেছিলাম</t>
  </si>
  <si>
    <t>টাকা জমা করেছিলাম</t>
  </si>
  <si>
    <t>সমুদ্রের ঝিনুক খুঁজিলাম</t>
  </si>
  <si>
    <t>সমুদ্রের ঝিনুক খুঁজে মালা বানিয়েছিলাম</t>
  </si>
  <si>
    <t>সৌন্দর্য অবলোকনে যাচ্ছিলাম</t>
  </si>
  <si>
    <t>সৌন্দর্য অবলোকনে গিয়ে তার সাথে দেখা হয়েছিল</t>
  </si>
  <si>
    <t>পোর্টফোলিও তৈরি করিলাম</t>
  </si>
  <si>
    <t>গবেষণা প্রকাশ করলাম</t>
  </si>
  <si>
    <t>পরিবারে যোগাযোগ করিলাম</t>
  </si>
  <si>
    <t>অ্যামাজনের পন্য কিনলাম</t>
  </si>
  <si>
    <t>ইন্টারনেটে যোগাযোগ করতাম</t>
  </si>
  <si>
    <t>অবকাঠামোতে পরিবর্তন করতেছিল</t>
  </si>
  <si>
    <t>হেডফোন ব্যবহার করেছিলাম</t>
  </si>
  <si>
    <t>সমস্যা সমাধান হচ্ছিল</t>
  </si>
  <si>
    <t>পরকাল নিয়ে ভাবতেছিল</t>
  </si>
  <si>
    <t>পথশিশুদের সাহায্য করিয়াছিলে</t>
  </si>
  <si>
    <t>তারা ভ্রমিন করিয়াছিল</t>
  </si>
  <si>
    <t>অনলাইনে আসক্ত ছিল</t>
  </si>
  <si>
    <t>সার্ভার ব্যবহার করছিলাম</t>
  </si>
  <si>
    <t>নতুন সার্ভার সরবরাহ করছিলাম</t>
  </si>
  <si>
    <t>মেলায় সার্কাস আয়োজন হয়েছিল</t>
  </si>
  <si>
    <t>আমি ইতিহাস পড়তে গিয়েছিলাম</t>
  </si>
  <si>
    <t>আমি শিক্ষানবিতে ছিল</t>
  </si>
  <si>
    <t>স্মার্টফোন ব্যবহার করা শিখেছিলাম</t>
  </si>
  <si>
    <t>ভ্রমণে সুখী হয়েছিল</t>
  </si>
  <si>
    <t>সমুদ্র পাড়ি দিলাম</t>
  </si>
  <si>
    <t>ব্যাংকসেবা গ্রহণ করেছিলাম</t>
  </si>
  <si>
    <t>গান উপভোগ করিয়াছিলাম</t>
  </si>
  <si>
    <t>অ্যাকাউন্ট নিরাপদ করলাম</t>
  </si>
  <si>
    <t>আমরা গবেষণা করিলাম</t>
  </si>
  <si>
    <t>গবেষণা করে সম্মান অর্জন করিলাম</t>
  </si>
  <si>
    <t>মোবাইলে গল্প শুনিলাম</t>
  </si>
  <si>
    <t>মোবাইলে গল্প শুনে তাকে শুনাইলাম</t>
  </si>
  <si>
    <t>জিপিএস ব্যবহার করিয়াছিলাম</t>
  </si>
  <si>
    <t>অনলাইনে জোক্স পড়িলাম</t>
  </si>
  <si>
    <t>রম ব্যবহার করতাম</t>
  </si>
  <si>
    <t>ডাক্তার রুগী দেখল</t>
  </si>
  <si>
    <t>মিডিয়ায় সময় কাটাচ্ছিলাম</t>
  </si>
  <si>
    <t>একাউন্ট হোল্ডার হলাম</t>
  </si>
  <si>
    <t>ওয়েবসাইটে খবর পড়িয়াছিলাম</t>
  </si>
  <si>
    <t>কিবোর্ড ব্যবহার করে আরাম লাগছিলনা</t>
  </si>
  <si>
    <t>কিবোর্ড ব্যবহার করতাম</t>
  </si>
  <si>
    <t>রাজনীতি পরিবর্তন হল</t>
  </si>
  <si>
    <t>সেবা উন্নত হয়েছিল</t>
  </si>
  <si>
    <t>আনন্দ অনুষ্ঠান হল</t>
  </si>
  <si>
    <t>সমুদ্রের তীরে ঘুরতেছিলাম</t>
  </si>
  <si>
    <t>সমুদ্রের তীরে ঘুরে সৌন্দর্য উপভোগ করিলাম</t>
  </si>
  <si>
    <t>শিক্ষার্থীরা পরিশ্রম করল</t>
  </si>
  <si>
    <t>সে কোরআন পড়েতেছিল</t>
  </si>
  <si>
    <t>সহজেই ইমেইল পাঠাইতেছিলাম</t>
  </si>
  <si>
    <t>গবেষণা ব্যয়বহুল ছিল</t>
  </si>
  <si>
    <t>তুমি বই পড়িয়াছিল</t>
  </si>
  <si>
    <t>হিমালয় দেখতে গেলাম</t>
  </si>
  <si>
    <t>আমি ভ্রমণ করতেছিলাম</t>
  </si>
  <si>
    <t>গুগলে অনুসন্ধান করছিলাম</t>
  </si>
  <si>
    <t>ভালো বন্ধু খুজিতেছিল</t>
  </si>
  <si>
    <t>ব্যাংকিং সুবিধা নিলাম</t>
  </si>
  <si>
    <t>শিক্ষকরা গবেষণা করে</t>
  </si>
  <si>
    <t>সেন্টমার্টিন ঘুরতে গেলাম</t>
  </si>
  <si>
    <t>ব্যাংক হিসাব খুলিতেছিলাম</t>
  </si>
  <si>
    <t>আউটসোর্সিং সেক্টর বাড়ছিল</t>
  </si>
  <si>
    <t>লোকজন সমুদ্রপাড়ে ঘুরতেছিল</t>
  </si>
  <si>
    <t>সে নোট লিখতেছিল</t>
  </si>
  <si>
    <t>একটি কোর্স করছিলাম</t>
  </si>
  <si>
    <t>তুমি বই পড়ছিল</t>
  </si>
  <si>
    <t>টাচপ্যাড ব্যবহার করতাম</t>
  </si>
  <si>
    <t>ব্যবহার করছিলাম স্মার্টওয়্যাচ</t>
  </si>
  <si>
    <t>মিটিংয়ে অংশ নিচ্ছিলাম</t>
  </si>
  <si>
    <t>রাজস্ব বৃদ্ধি পেয়েছিল</t>
  </si>
  <si>
    <t>ব্যাংক পরীক্ষা দিলাম</t>
  </si>
  <si>
    <t>নিয়মিত শরীরচর্চা করিতেছিল</t>
  </si>
  <si>
    <t>টেকনোলজি খোজতে চাচ্ছিলাম</t>
  </si>
  <si>
    <t>ওয়াইফাই ব্যবহার করছিলাম</t>
  </si>
  <si>
    <t>বিরুদ্ধে কথা বলিয়াছিল</t>
  </si>
  <si>
    <t>লোন বর্জন করলাম</t>
  </si>
  <si>
    <t>নতুন ব্লুটুথস্পিকার কিনতেছিলাম</t>
  </si>
  <si>
    <t>ওয়েবক্যাম ব্যবহার করতেছিলাম</t>
  </si>
  <si>
    <t>প্রয়োজনীয় খাবার কিনতেছিলাম</t>
  </si>
  <si>
    <t>ফ্লপিডিস্ক ব্যবহার করতাম</t>
  </si>
  <si>
    <t>ডাটাবেজ ডিজাইন করলাম</t>
  </si>
  <si>
    <t>ই বুকে বই কিনলাম</t>
  </si>
  <si>
    <t>করেন্সির বৃদ্ধি হল</t>
  </si>
  <si>
    <t>শিক্ষার্থীরা কবিতা পড়তেছিল</t>
  </si>
  <si>
    <t>মোবাইল ব্যবহার করেছিলাম</t>
  </si>
  <si>
    <t>গবেষণা প্রস্তুত করতেছিলাম</t>
  </si>
  <si>
    <t>সৌন্দর্য অবলোকনে গেলাম আর শান্তি পেলাম</t>
  </si>
  <si>
    <t>সৌন্দর্য অবলোকনে গেলাম</t>
  </si>
  <si>
    <t>টেলিভিশনে সংবাদ দেখছিলাম</t>
  </si>
  <si>
    <t>আমরা গবেষণা করতে চেয়েছিলাম</t>
  </si>
  <si>
    <t>আমরা গবেষণা করছিলাম</t>
  </si>
  <si>
    <t>প্রযুক্তি হলো বিশ্লেষণমূলক</t>
  </si>
  <si>
    <t>অবকাঠামো বৃদ্ধি পাইতেছিল</t>
  </si>
  <si>
    <t>আমি স্কুলে গিয়ে গান গেয়েছিলাম</t>
  </si>
  <si>
    <t>তুমি নোট লিখিয়াছিল</t>
  </si>
  <si>
    <t>কবিতা আবৃত্তি করছিলাম</t>
  </si>
  <si>
    <t>আজকাল অরাজকতা করল</t>
  </si>
  <si>
    <t>আমি চিন্তা করিতেছিলাম</t>
  </si>
  <si>
    <t>গুগল ব্রাউজ করিতেছিলাম</t>
  </si>
  <si>
    <t>প্রোগ্রামিং জানা ছিল</t>
  </si>
  <si>
    <t>আমি আলাপ করিয়াছিলাম</t>
  </si>
  <si>
    <t>লিনাক্স অপারেটিং করতেছিলাম</t>
  </si>
  <si>
    <t>একাউন্ট সৃষ্টি করিয়াছিলাম</t>
  </si>
  <si>
    <t>রম ব্যবহার করেছিলাম</t>
  </si>
  <si>
    <t>ইউকিপিডিয়া তথ্য খুজেছিলাম</t>
  </si>
  <si>
    <t>নতুন টেলিফোন কিনতেছিলাম</t>
  </si>
  <si>
    <t>আর্থিক বিকাশ হল</t>
  </si>
  <si>
    <t>প্রযুক্তির নিয়ে ভাবলাম</t>
  </si>
  <si>
    <t>আমি পাসবুক দেখালাম</t>
  </si>
  <si>
    <t>কলেজ কেফেটেরিয়ায় ঘুরিয়াছিল</t>
  </si>
  <si>
    <t>রকেট ব্যায়বহুল ছিল</t>
  </si>
  <si>
    <t>ভ্রমণে অভিজ্ঞতা হল</t>
  </si>
  <si>
    <t>সুন্দরবনে বাঘ ছিল</t>
  </si>
  <si>
    <t>কিবোর্ড ব্যবহার করছিলাম</t>
  </si>
  <si>
    <t>কিবোর্ড ব্যবহার করে কাজ সম্পন্ন করেছিলাম</t>
  </si>
  <si>
    <t>কিবোর্ড কিনে দিয়েছিলাম তাকে</t>
  </si>
  <si>
    <t>প্রযুক্তি ব্যবহার হয়েছিল</t>
  </si>
  <si>
    <t>পথশিশুদের সাহায্য করতেছিলে</t>
  </si>
  <si>
    <t>খাবারের অভাব দিয়েছিল তারা</t>
  </si>
  <si>
    <t>জ্ঞানে আলোকিত হইলাম</t>
  </si>
  <si>
    <t>আমি গল্প পড়লাম</t>
  </si>
  <si>
    <t>লোন প্রদান হল</t>
  </si>
  <si>
    <t>কলেজ পর্যবেক্ষণ করলাম</t>
  </si>
  <si>
    <t>ভ্রমণে মনোবল বাড়তেছিল</t>
  </si>
  <si>
    <t>জিপিএস চালু করলাম</t>
  </si>
  <si>
    <t>কলেজ কেফেটেরিয়ায় খাইয়াছিল</t>
  </si>
  <si>
    <t>বাণিজ্যিক গতি বেড়েছিল</t>
  </si>
  <si>
    <t>ভ্রমণে আনন্দ খুজলাম</t>
  </si>
  <si>
    <t>কলেজ কেফেটেরিয়ায় গেলাম</t>
  </si>
  <si>
    <t>সমুদ্র ভ্রমণ করিতেছিল</t>
  </si>
  <si>
    <t>টাকা জমা করতেছিলাম</t>
  </si>
  <si>
    <t>তুমি সকালে পড়তেছিল</t>
  </si>
  <si>
    <t>প্রযুক্তির অকল্যাণ ছিল</t>
  </si>
  <si>
    <t>লোকজন সমুদ্রপাড়ে ঘুরেছিল</t>
  </si>
  <si>
    <t>ক্যামেরায় ছবি তুলতে গিয়েছিলাম পাহাড়ে</t>
  </si>
  <si>
    <t>গ্রামে মেলা হয়েছিল</t>
  </si>
  <si>
    <t>একাউন্ট ডিলিট করলাম</t>
  </si>
  <si>
    <t>প্রজন্মের সমৃদ্ধি পেয়েছিল</t>
  </si>
  <si>
    <t>জিপিএস দরকার ছিল</t>
  </si>
  <si>
    <t>বই সংগ্রহ করলাম</t>
  </si>
  <si>
    <t>স্মার্টফোন ব্যবহার করলাম</t>
  </si>
  <si>
    <t>টাকা জমা দিলাম</t>
  </si>
  <si>
    <t>টাকা জমা দিতে বের হয়েছিলাম</t>
  </si>
  <si>
    <t>ফুটবল টুর্নামেন্ট হইতেছিল</t>
  </si>
  <si>
    <t>অ্যাপস ব্যবহার করিয়াছিলাম</t>
  </si>
  <si>
    <t>আইওটি ব্যবহার করেছিলাম</t>
  </si>
  <si>
    <t>গেম খেলতে আসিতেছিলাম</t>
  </si>
  <si>
    <t>আমরা ব্লকেচেইন শিখতেছিলাম</t>
  </si>
  <si>
    <t>নতুন গেমিংমাউস কিনতেছিলাম</t>
  </si>
  <si>
    <t>জিপিএস ব্যবহার করলাম</t>
  </si>
  <si>
    <t>সে গণিত করিয়াছিল</t>
  </si>
  <si>
    <t>ব্যাংকে মিটিং করিয়াছিলাম</t>
  </si>
  <si>
    <t>সে বই লিখছিল</t>
  </si>
  <si>
    <t>আমি গল্প পড়তেছিলাম</t>
  </si>
  <si>
    <t>করেন্সির বৃদ্ধি হইতেছিল</t>
  </si>
  <si>
    <t>নিজেকে সংযোজন করছিলাম</t>
  </si>
  <si>
    <t>ব্যাংক সাপোর্ট দিচ্ছিল</t>
  </si>
  <si>
    <t>শীতকালে কষ্ট করলাম</t>
  </si>
  <si>
    <t>কম্পিউটারের ক্লাস করতেছিল</t>
  </si>
  <si>
    <t>ব্লুটোথ ব্যবহার করতাম</t>
  </si>
  <si>
    <t>আমি রেইনফরেস্ট যাচ্ছিলাম</t>
  </si>
  <si>
    <t>ভ্রমণে স্মৃতিশক্তি বেড়েছিল</t>
  </si>
  <si>
    <t>মাইনুল গদ্য পড়েছিলেন</t>
  </si>
  <si>
    <t>শিক্ষা দান করলাম</t>
  </si>
  <si>
    <t>সার্ভারটি ব্যবহার করতাম</t>
  </si>
  <si>
    <t>অবসরে ঘুরতে গেলাম</t>
  </si>
  <si>
    <t>বনে বাঘ দেখেছিলাম</t>
  </si>
  <si>
    <t>লেপটপে সংবাদ দেখতেছিলাম</t>
  </si>
  <si>
    <t>মূল্য বৃদ্ধি হচ্ছিল</t>
  </si>
  <si>
    <t>সে সব পড়তেছিল</t>
  </si>
  <si>
    <t>মিডিয়ায় সময় কাটাতাম</t>
  </si>
  <si>
    <t>শিক্ষার্থীরা শরীরচর্চা করল</t>
  </si>
  <si>
    <t>সমুদ্র ভ্রমণ ভালোবাসতাম</t>
  </si>
  <si>
    <t>সে ইতিহাস জানতেছিল</t>
  </si>
  <si>
    <t>ফুল সুগন্ধ ছড়িয়েছিল</t>
  </si>
  <si>
    <t>জিপিএস চালু হইতেছিল</t>
  </si>
  <si>
    <t>ভ্রমণ পছন্দ করিয়াছিলাম</t>
  </si>
  <si>
    <t>ইবুক অর্ডার করতাম</t>
  </si>
  <si>
    <t>গ্যাজেট পছন্দ করতেছিল</t>
  </si>
  <si>
    <t>সুরক্ষামূলক ঔষধ নিয়েছিলাম</t>
  </si>
  <si>
    <t>আর্থিক উন্নতি করেছিল</t>
  </si>
  <si>
    <t>ব্যাংক হিসাব দিলাম</t>
  </si>
  <si>
    <t>লেপটপে মুভি দেখতাম</t>
  </si>
  <si>
    <t>সফটওয়্যার ডাউনলোড করছিলাম</t>
  </si>
  <si>
    <t>অ্যাপস আপডেট হচ্ছিল</t>
  </si>
  <si>
    <t>গুগল ইউটিউব কিনেছিল</t>
  </si>
  <si>
    <t>বিশেষজ্ঞদের পরামর্শ নিচ্ছিল</t>
  </si>
  <si>
    <t>সফটওয়্যার ডাউনলোড করিলাম</t>
  </si>
  <si>
    <t>হার্ডওয়্যার আপগ্রেড করিলাম</t>
  </si>
  <si>
    <t>তারা স্কিং করতেছিল</t>
  </si>
  <si>
    <t>সুন্দরবনে মধু ছিলো</t>
  </si>
  <si>
    <t>ক্যাম্পাস সবুজায়ন হয়েছিল</t>
  </si>
  <si>
    <t>দলের সংগঠন চলছিল</t>
  </si>
  <si>
    <t>পরকাল নিয়ে ভাবিলাম</t>
  </si>
  <si>
    <t>শৃঙ্খলাময় জীবনযাপন করতাম</t>
  </si>
  <si>
    <t>তুমি ইংরেজি পড়িয়াছিল</t>
  </si>
  <si>
    <t>নিয়মিত হাদীস পড়িলাম</t>
  </si>
  <si>
    <t>খবর পড়লাম সবসময়</t>
  </si>
  <si>
    <t>নেটওয়ার্কিং কাজ জানতাম</t>
  </si>
  <si>
    <t>একাউন্ট খুলতে বের হয়েছিলাম</t>
  </si>
  <si>
    <t>আমি সমুদ্রস্নান করেছিলাম</t>
  </si>
  <si>
    <t>শীতবস্ত্র বিতরণ করতেছিলাম</t>
  </si>
  <si>
    <t>নিয়মিত ভিডিও দিলাম</t>
  </si>
  <si>
    <t>টেকনোলজি খোজতে চাইলাম</t>
  </si>
  <si>
    <t>পেপালে টাকা দিলাম</t>
  </si>
  <si>
    <t>জিপিএস চালু হইয়াছিল</t>
  </si>
  <si>
    <t>নিয়মিত শরীরচর্চা করল</t>
  </si>
  <si>
    <t>উৎপাদনে উন্নতি চাইলাম</t>
  </si>
  <si>
    <t>একাউন্ট খুলে এসেছিলাম</t>
  </si>
  <si>
    <t>ফুল পছন্দ করিলাম</t>
  </si>
  <si>
    <t>ইন্টারনেটে খবর পড়িয়াছিলাম</t>
  </si>
  <si>
    <t>ভিডিও ভার্তা পাঠাইলাম</t>
  </si>
  <si>
    <t>একাউন্ট চেক করলাম</t>
  </si>
  <si>
    <t>সৌন্দর্য আনন্দ দিচ্ছিল</t>
  </si>
  <si>
    <t>সৌন্দর্য অবলোকনে সবাই গিয়েছিলাম</t>
  </si>
  <si>
    <t>খাদ্য শক্তি জুগিয়েছিল</t>
  </si>
  <si>
    <t>ডিজিটাল গেম খেলতেছিলাম</t>
  </si>
  <si>
    <t>ডিজিটাল গেম খেলতে মোবাইল কিনেছিলাম</t>
  </si>
  <si>
    <t>ছেলেমেয়ারা টেনিস খেলতেছিল</t>
  </si>
  <si>
    <t>তাজমহল দেখতে চেয়েছিল</t>
  </si>
  <si>
    <t>সানিয়া বেডমিন্টন খেলতেছিল</t>
  </si>
  <si>
    <t>ওয়েবক্যাম ব্যবহার করেছিলাম</t>
  </si>
  <si>
    <t>স্পিকার ব্যবহার করতাম</t>
  </si>
  <si>
    <t>প্রিন্টার ব্যবহার করে ভালো লেগেছিল</t>
  </si>
  <si>
    <t>মোবাইলে গল্প শুনতেছিলাম</t>
  </si>
  <si>
    <t>সহজেই ইমেইল করিলাম</t>
  </si>
  <si>
    <t>জ্ঞানে অগ্রসর হইলাম</t>
  </si>
  <si>
    <t>নগদ নির্ভরযোগ্য ছিল</t>
  </si>
  <si>
    <t>কার্ডে প্রদান করলাম</t>
  </si>
  <si>
    <t>লেপটপে খেলা দেখিয়াছিলাম</t>
  </si>
  <si>
    <t>ডাটাবেজ ডিজাইন করিয়াছিলাম</t>
  </si>
  <si>
    <t>ব্যবসা পরিচালনা করেতেছিল</t>
  </si>
  <si>
    <t>শিক্ষার্থীরা শরীরচর্চা করিয়াছিল</t>
  </si>
  <si>
    <t>ভ্রমণে সুখী খুঁজলাম</t>
  </si>
  <si>
    <t>সৌন্দর্য অবলোকনে গিয়েছিলাম</t>
  </si>
  <si>
    <t>সৌন্দর্য অবলোকনে গিয়ে ভয় পেয়েছিলাম</t>
  </si>
  <si>
    <t>ব্যাংক যোগাযোগ করলাম</t>
  </si>
  <si>
    <t>ইন্টারনেটে খবর পড়া দেখেছিলাম</t>
  </si>
  <si>
    <t>নতুন গেমিংমাউস চাইলাম</t>
  </si>
  <si>
    <t>জরুরি কল দিলাম</t>
  </si>
  <si>
    <t>শর্করা খেতে হয়েছিল</t>
  </si>
  <si>
    <t>জীবনকে সহজে করিয়াছিলাম</t>
  </si>
  <si>
    <t>গুগলে সব ছিল</t>
  </si>
  <si>
    <t>নতুন গ্যাজেট কিনতেছিলাম</t>
  </si>
  <si>
    <t>নতুন গ্যাজেট কিনে তাকে দিয়েছিলাম</t>
  </si>
  <si>
    <t>স্মার্টটিভি কিনতে চাইলাম</t>
  </si>
  <si>
    <t>স্মার্টটিভি কিনতে টাকা জমিয়েছিলাম</t>
  </si>
  <si>
    <t>ক্রেডিট কার্ড ছিল</t>
  </si>
  <si>
    <t>সে কোরআন পড়ল</t>
  </si>
  <si>
    <t>ব্যাংক হিসাব খোললাম</t>
  </si>
  <si>
    <t>আমি উপন্যাস পড়িয়াছিলাম</t>
  </si>
  <si>
    <t>মোবাইল ব্যবহার করে সময় নষ্ট হয়েছিল</t>
  </si>
  <si>
    <t>উন্নয়ন বৃদ্ধি পাচ্ছিল</t>
  </si>
  <si>
    <t>প্রধানমন্ত্রী আলোচনা করেছিলেন</t>
  </si>
  <si>
    <t>বিভিন্ন ব্লগ পড়তেছিলাম</t>
  </si>
  <si>
    <t>আর্থিক সমৃদ্ধি বেড়েছিল</t>
  </si>
  <si>
    <t>উইনডোস ছিল জনপ্রিয়</t>
  </si>
  <si>
    <t>ব্যাংক সার্ভিস দিতেছিলাম</t>
  </si>
  <si>
    <t>মিটিংয়ে যোগদান করলাম</t>
  </si>
  <si>
    <t>মহাকাশে রকেট গেল</t>
  </si>
  <si>
    <t>কলেজে খেলাধুলা করিয়াছিলাম</t>
  </si>
  <si>
    <t>ব্যাংকে চাকরি করতাম</t>
  </si>
  <si>
    <t>দেশে পৌঁছাচ্ছিল বিনিয়োগ</t>
  </si>
  <si>
    <t>আইওটি ব্যবহার করছিলাম</t>
  </si>
  <si>
    <t>সরকার সাহায্য করছিল</t>
  </si>
  <si>
    <t>প্রযুক্তি ব্যবহার শিখেছিলাম অনেক</t>
  </si>
  <si>
    <t>তুমি বই পড়ল</t>
  </si>
  <si>
    <t>আর্থিক বিকাশ হচ্ছিল</t>
  </si>
  <si>
    <t>ঢেউ স্নিগ্ধতা ছড়িয়েছিল</t>
  </si>
  <si>
    <t>শীতবস্ত্র বিতরণ করলাম</t>
  </si>
  <si>
    <t>ভ্রমণ ভালো লাগেতেছিল</t>
  </si>
  <si>
    <t>আমি মক্কায় যাইতেছিলাম</t>
  </si>
  <si>
    <t>আমি স্কাইরাইড করিলাম</t>
  </si>
  <si>
    <t>সংগঠনে কাজ করিলাম</t>
  </si>
  <si>
    <t>আমি কাশ্মীর যাচ্ছিলাম</t>
  </si>
  <si>
    <t>সে রোজ পড়ত</t>
  </si>
  <si>
    <t>সে বই পড়ছিল</t>
  </si>
  <si>
    <t>বন্ধুদের সাথে ঘুরলাম</t>
  </si>
  <si>
    <t>ভ্রমণে সুখী হলাম</t>
  </si>
  <si>
    <t>প্রযুক্তি ব্যবহার করছিল</t>
  </si>
  <si>
    <t>পড়ালেখায় মনোযোগ দিয়েছিল</t>
  </si>
  <si>
    <t>নেক্সসে লেনদেন করলাম</t>
  </si>
  <si>
    <t>আর্থিক সমৃদ্ধি হয়েছিল</t>
  </si>
  <si>
    <t>ব্যাংক হিসাব লিখলাম</t>
  </si>
  <si>
    <t>দল আলোচনা করছিল</t>
  </si>
  <si>
    <t>আনন্দ অনুষ্ঠান হইতেছিল</t>
  </si>
  <si>
    <t>ব্লুটোথ ব্যবহার করছিলাম</t>
  </si>
  <si>
    <t>স্মার্টফোন ব্যবহার করেতে চাইতাম আমি</t>
  </si>
  <si>
    <t>যাকাত প্রদান করিতেছিল</t>
  </si>
  <si>
    <t>লেপটপে ছবি আকতেছিলাম</t>
  </si>
  <si>
    <t>অবসরে কবিতা লিখিলাম</t>
  </si>
  <si>
    <t>মানুষ চাঁদে গিয়েছিল</t>
  </si>
  <si>
    <t>ফুল পছন্দ করি</t>
  </si>
  <si>
    <t>সবসময় ফুটবল ভালবেসেছিলাম</t>
  </si>
  <si>
    <t>সফটওয়্যার ডেভেলপ করতাম</t>
  </si>
  <si>
    <t>আমি গণিত শিখিলাম</t>
  </si>
  <si>
    <t>ইন্টারনেট ব্যবহার করছিলাম</t>
  </si>
  <si>
    <t>ইন্টারনেট ব্যবহার করে সময় নষ্ট হয়েছিল</t>
  </si>
  <si>
    <t>ডাটাবেজে তথ্য ছিল</t>
  </si>
  <si>
    <t>ফ্লপিডিস্ক ব্যবহার করছিলাম</t>
  </si>
  <si>
    <t>কানাডা ভ্রমণ করেছিলাম</t>
  </si>
  <si>
    <t>ডিজিটালপ্যান ব্যবহার করতেছিলাম</t>
  </si>
  <si>
    <t>নিজেকে সংযোজন করিয়াছিলাম</t>
  </si>
  <si>
    <t>ব্যাংক সার্ভিস দিলাম</t>
  </si>
  <si>
    <t>প্রযুক্তি ব্যবহার হল</t>
  </si>
  <si>
    <t>বাণিজ্যিক সুযোগ ছিল</t>
  </si>
  <si>
    <t>করেন্সির বৃদ্ধি হয়েছিল</t>
  </si>
  <si>
    <t>একাউন্ট সৃষ্টি করিতেছিলাম</t>
  </si>
  <si>
    <t>একটি ল্যাপটপ চাইলাম</t>
  </si>
  <si>
    <t>রেডিও ব্যবহার করতাম</t>
  </si>
  <si>
    <t>নতুন কিছু শেখাচ্ছিলাম</t>
  </si>
  <si>
    <t>বেশি ইন্টারনেট চালাচ্ছিলাম</t>
  </si>
  <si>
    <t>জবে যোগদান করেছিল</t>
  </si>
  <si>
    <t>রাজনৈতিক আলোচনা করতেছিলেন</t>
  </si>
  <si>
    <t>মনোভাব পরিবর্তন হচ্ছিল</t>
  </si>
  <si>
    <t>সরকার সমর্থন পাচ্ছিল</t>
  </si>
  <si>
    <t>ছবি তুলতে ক্যামেরা ব্যবহার করতে হয়েছিল</t>
  </si>
  <si>
    <t>জিপিএস চালু হল</t>
  </si>
  <si>
    <t>অনলাইন বিপণি দেখিলাম</t>
  </si>
  <si>
    <t>মতামত প্রদান করিলাম</t>
  </si>
  <si>
    <t>নতুন সফটওয়্যার বানাইলাম</t>
  </si>
  <si>
    <t>লিনাক্স অপারেটিং করিয়াছিলাম</t>
  </si>
  <si>
    <t>তুমি সংখ্যা শিখছিলে</t>
  </si>
  <si>
    <t>শোক প্রকাশ করিয়াছিলাম</t>
  </si>
  <si>
    <t>সে বই লিখল</t>
  </si>
  <si>
    <t>খেলাধুলায় অংশগ্রহণ করিতেছিল</t>
  </si>
  <si>
    <t>সুরক্ষামূলক খাবার খাইতেছিলাম</t>
  </si>
  <si>
    <t>কলেজ ভ্রমণ করলাম</t>
  </si>
  <si>
    <t>একাউন্ট ব্যালেন্স জমালাম</t>
  </si>
  <si>
    <t>স্কুলে ফুটবল খেলিলাম</t>
  </si>
  <si>
    <t>ক্যামেরা কিনতে চাচ্ছিলাম</t>
  </si>
  <si>
    <t>ইমেইল পড়তে পারতাম</t>
  </si>
  <si>
    <t>আর্থিক সমৃদ্ধি কমেছিল</t>
  </si>
  <si>
    <t>ভিডিও ভার্তা পাঠাইতেছিলাম</t>
  </si>
  <si>
    <t>ডাউনলোড করতে তাকে দিয়েছিলাম</t>
  </si>
  <si>
    <t>অনলাইনে কেটাকানা করতাম</t>
  </si>
  <si>
    <t>ব্যবসা সেক্টর কমতেছিল</t>
  </si>
  <si>
    <t>বিদেশি আমদানি বাড়ল</t>
  </si>
  <si>
    <t>নিয়মিত ভিডিও দিয়েছিলাম</t>
  </si>
  <si>
    <t>লেপটপে মুভি দেখিয়াছিলাম</t>
  </si>
  <si>
    <t>তিনি একাউন্ট সৃষ্টি করতে চেয়েছিলেন</t>
  </si>
  <si>
    <t>সে কম্পিউটার শিখল</t>
  </si>
  <si>
    <t>ভ্রমণের পরিকল্পনা করলাম</t>
  </si>
  <si>
    <t>ডেস্কটপ ব্যবহার করতাম</t>
  </si>
  <si>
    <t>উচ্চকৌশলের গেম খেলিলাম</t>
  </si>
  <si>
    <t>ব্যাংকে চাকরি করতেছিলাম</t>
  </si>
  <si>
    <t>ঐতিহাসিক আলোচনা চলছিল</t>
  </si>
  <si>
    <t>সবসময় ঘুরে বেড়িয়েছিল</t>
  </si>
  <si>
    <t>স্মার্টফোন ব্যবহার করতেছিলাম</t>
  </si>
  <si>
    <t>ছাত্ররা হাডুডু খেলেছিলাম</t>
  </si>
  <si>
    <t>গান উপভোগ করিতেছিলাম</t>
  </si>
  <si>
    <t>ছাত্রজীবনে কষ্ট করিয়াছিল</t>
  </si>
  <si>
    <t>সফটওয়্যার ব্যবহার করছিলাম</t>
  </si>
  <si>
    <t>টেলিভিশন ব্যবহার করেছিলাম</t>
  </si>
  <si>
    <t>একাউন্টে টাকা রাখিলাম</t>
  </si>
  <si>
    <t>আমি গণিত করিয়াছিলাম</t>
  </si>
  <si>
    <t>ইবাদতে শান্তি পাইতাম</t>
  </si>
  <si>
    <t>তায়েফ মরুভূমি ছিল</t>
  </si>
  <si>
    <t>কলেজের হোস্টেলে থাকতাম</t>
  </si>
  <si>
    <t>দলগুলি মন্নত পেল</t>
  </si>
  <si>
    <t>আমি নোট লিখছিলাম</t>
  </si>
  <si>
    <t>বার্তা বিনিময় করিলাম</t>
  </si>
  <si>
    <t>শিক্ষকরা পরিশ্রম করেছিল</t>
  </si>
  <si>
    <t>আমি ইতিহাস পড়িয়াছিলাম</t>
  </si>
  <si>
    <t>আমি ইতিহাস পড়িতে কলেজ গিয়েছিলাম</t>
  </si>
  <si>
    <t>সে রচনা লিখিয়াছিল</t>
  </si>
  <si>
    <t>শিক্ষকরা গবেষণা করেছিল</t>
  </si>
  <si>
    <t>রকেটে টাকা পাঠাইতেছিলাম</t>
  </si>
  <si>
    <t>ক্যামেরায় ছবি তুলেছিলাম</t>
  </si>
  <si>
    <t>সহজেই ইমেইল লিখতেছিলাম</t>
  </si>
  <si>
    <t>ডাউনলোড করতে চাইতাম</t>
  </si>
  <si>
    <t>লোনের আবেদন করেছিলাম</t>
  </si>
  <si>
    <t>ইরিডার ব্যবহার করেছিলাম</t>
  </si>
  <si>
    <t>সরকার গঠন করছিলাম</t>
  </si>
  <si>
    <t>শান্তি খুঁজে পেয়েছিলাম</t>
  </si>
  <si>
    <t>ফুল মুগ্ধতা ছড়াল</t>
  </si>
  <si>
    <t>মেলা দেখতে গিয়েছিলাম</t>
  </si>
  <si>
    <t>পরিশ্রমে সফলতা পেলাম</t>
  </si>
  <si>
    <t>তুমি সকালে পড়তে</t>
  </si>
  <si>
    <t>অ্যাপস ব্যবহার করিতেছিলাম</t>
  </si>
  <si>
    <t>প্রোডাক্ট উত্পন্ন হচ্ছিল</t>
  </si>
  <si>
    <t>আমি তাজমহলে গিয়েছিলাম</t>
  </si>
  <si>
    <t>রাজনীতি পরিবর্তন হচ্ছিল</t>
  </si>
  <si>
    <t>হাব ব্যবহার করছিলাম</t>
  </si>
  <si>
    <t>ভ্রমণে আনন্দ পাইলাম</t>
  </si>
  <si>
    <t>খাদ্য শক্তি জোগাল</t>
  </si>
  <si>
    <t>আর্থিক সমৃদ্ধি হল</t>
  </si>
  <si>
    <t>রাজস্ব বৃদ্ধি পাচ্ছিল</t>
  </si>
  <si>
    <t>জটিল গণণা করতেছিলাম</t>
  </si>
  <si>
    <t>গরীবকে দান করিলাম</t>
  </si>
  <si>
    <t>মেলায় সার্কাস হয়েছিল</t>
  </si>
  <si>
    <t>শিক্ষার্থীরা পরিশ্রমে করিয়াছিল</t>
  </si>
  <si>
    <t>শেখার চেষ্টা করিলাম</t>
  </si>
  <si>
    <t>সানিয়া বেডমিন্টন খেলত</t>
  </si>
  <si>
    <t>অবসরে খেলাধুলা করিয়াছিল</t>
  </si>
  <si>
    <t>আমি সমর্থন করিলাম</t>
  </si>
  <si>
    <t>ক্রেডিট কার্ড হয়েছেিল</t>
  </si>
  <si>
    <t>স্মাটটেলিফোন ব্যবহার করেছিলাম</t>
  </si>
  <si>
    <t>ভ্রমণের ইচ্ছা ছিল</t>
  </si>
  <si>
    <t>পোর্টফোলিও তৈরি করছিলাম</t>
  </si>
  <si>
    <t>ইন্টারনেট ব্যবহার করেছিলাম</t>
  </si>
  <si>
    <t>ইন্টারনেট ব্যবহার করেছিলাম বলে শাস্তি পেয়েছিলাম</t>
  </si>
  <si>
    <t>অবকাঠামোতে পরিবর্তন করেছিল</t>
  </si>
  <si>
    <t>স্মার্টওয়াচ ব্যাবহার করছিলাম</t>
  </si>
  <si>
    <t>পড়ালেখায় মনোযোগ দিলাম</t>
  </si>
  <si>
    <t>বন্ধুদের সাথে ঘুরছিলাম</t>
  </si>
  <si>
    <t>ফোন কিনতে চাচ্ছিলাম</t>
  </si>
  <si>
    <t>রাওটার ব্যবহার করছিলাম</t>
  </si>
  <si>
    <t>তুমি ইতিহাস পড়ছিলে</t>
  </si>
  <si>
    <t>তুমি ইতিহাস পড়ে অনেক কিছু জেনেছিলে</t>
  </si>
  <si>
    <t>আইওটি ব্যবহার করতাম</t>
  </si>
  <si>
    <t>তারা কাব্য লিখছিল</t>
  </si>
  <si>
    <t>প্রকল্পে বিনিয়োগ করছিল</t>
  </si>
  <si>
    <t>রাজনীতির বিতর্ক হল</t>
  </si>
  <si>
    <t>স্কোর পরীক্ষা করলাম</t>
  </si>
  <si>
    <t>বিজ্ঞানের গবেষনা করতেছিল</t>
  </si>
  <si>
    <t>আলোচনা চলছিল জনগণের</t>
  </si>
  <si>
    <t>সমাজকল্যাণে সহায়ক হইলাম</t>
  </si>
  <si>
    <t>সে ইংরেজি পড়ল</t>
  </si>
  <si>
    <t>সে সংখ্যা শিখছিল</t>
  </si>
  <si>
    <t>সুরক্ষামূলক খাবার খেতাম</t>
  </si>
  <si>
    <t>স্বায়ত্তশাসিত উৎপাদন বাড়ছিল</t>
  </si>
  <si>
    <t>রাজনীতি পছন্দ করিতেছিলাম</t>
  </si>
  <si>
    <t>বাড়তি সুবিধা দিচ্ছিল</t>
  </si>
  <si>
    <t>ব্যাংক খোলা হয়েছিল</t>
  </si>
  <si>
    <t>সবাই ব্যাংকে গিয়েছিল</t>
  </si>
  <si>
    <t>আমি বই পরিয়াছিলাম</t>
  </si>
  <si>
    <t>ডিজিটাল পড়ুয়ালে পড়তাম</t>
  </si>
  <si>
    <t>নগদে কাজ করলাম</t>
  </si>
  <si>
    <t>ব্যাংকে মিটিং করলাম</t>
  </si>
  <si>
    <t>সে ওয়েবসাইট বানিয়েছিল</t>
  </si>
  <si>
    <t>সাগর স্নিগ্ধতা ছড়াচ্ছিল</t>
  </si>
  <si>
    <t>সে ইতিহাস পড়ত</t>
  </si>
  <si>
    <t>পড়ালেখায় মনোযোগ দিতেছিল</t>
  </si>
  <si>
    <t>পড়লেখা আনন্দের ছিল</t>
  </si>
  <si>
    <t>ই বুক ব্যবহার করতাম</t>
  </si>
  <si>
    <t>খাবারে ভেজাল ছিল</t>
  </si>
  <si>
    <t>ফাইল সেভ করিয়াছিলাম</t>
  </si>
  <si>
    <t>আমি গণিত করছিলাম</t>
  </si>
  <si>
    <t>বইমেলায় ঘুরতে কিনিয়াছিলাম</t>
  </si>
  <si>
    <t>নতুন স্মার্টটিভি কিনতেছিলাম</t>
  </si>
  <si>
    <t>ইন্টারনেটে সময় কাটাচ্ছিলাম</t>
  </si>
  <si>
    <t>বাজারে মূল্য কমছিল</t>
  </si>
  <si>
    <t>ভ্রমণে আত্মবিশ্বাস বাড়ল</t>
  </si>
  <si>
    <t>লোনের আবেদন করতেছিলাম</t>
  </si>
  <si>
    <t>অবসরে গান গাইলাম</t>
  </si>
  <si>
    <t>পরিশ্রমে সফলতা পেয়েছিলাম</t>
  </si>
  <si>
    <t>তুমি সংখ্যা শিখতে</t>
  </si>
  <si>
    <t>নতুন ল্যাপটপ কিনতে টাকা ধার নিয়েছিলাম</t>
  </si>
  <si>
    <t>বইয়ের নাম জানিতাম</t>
  </si>
  <si>
    <t>নাবিকেরা জাহাজ চালাত</t>
  </si>
  <si>
    <t>নাবিকেরা জাহাজ চালিয়ে সমুদ্র পাড়ি দিয়েছিল</t>
  </si>
  <si>
    <t>কলেজে ছাত্ররা খেলে</t>
  </si>
  <si>
    <t>সে ব্লগ করতেছিল</t>
  </si>
  <si>
    <t>টাকা উপার্জন করিলাম</t>
  </si>
  <si>
    <t>আমি ইংরেজি পড়ছিলাম</t>
  </si>
  <si>
    <t>কলেজ কেফেটেরিয়ায় ঘুরিতেছিল</t>
  </si>
  <si>
    <t>সৌন্দর্য আনন্দের উৎস ছিল</t>
  </si>
  <si>
    <t>সৌন্দর্য আনন্দ দিল</t>
  </si>
  <si>
    <t>সমুদ্রের ঝিনুক খুঁজেছিলাম</t>
  </si>
  <si>
    <t>সমুদ্রের ঝিনুক খুঁজে তোমাকে উপহার দিলাম</t>
  </si>
  <si>
    <t>জীবন আলোকিত করলাম</t>
  </si>
  <si>
    <t>কিবোর্ডটি ব্যাবহার করতাম</t>
  </si>
  <si>
    <t>আকাশ ভ্রমণ করলাম</t>
  </si>
  <si>
    <t>লেপটপে খেলা দেখতেছিলাম</t>
  </si>
  <si>
    <t>রাজনীতির সহযোগিতা করতেছিল</t>
  </si>
  <si>
    <t>আমি নোট লিখিলাম</t>
  </si>
  <si>
    <t>টেলিভিশনে সংবাদ দেখিয়াছিলাম</t>
  </si>
  <si>
    <t>আমি আলাপ করছিলাম</t>
  </si>
  <si>
    <t>একাউন্ট সঠিক করিলাম</t>
  </si>
  <si>
    <t>ছাত্রজীবনে কষ্ট করতেছিল</t>
  </si>
  <si>
    <t>সারিবদ্ধ হয়ে ঘুরেছিলাম</t>
  </si>
  <si>
    <t>কলেজে অধ্যয়ন করতেছিলাম</t>
  </si>
  <si>
    <t>রোমাঞ্চকর ভ্রমণ ছিল</t>
  </si>
  <si>
    <t>কলেজের হোস্টেলে থাকতেছিল</t>
  </si>
  <si>
    <t>ল্যাপটপ হ্যাক করতাম</t>
  </si>
  <si>
    <t>ক্রিকেট পছন্দ করিয়াছিল</t>
  </si>
  <si>
    <t>কলেজ কেফেটেরিয়ায় খাইলাম</t>
  </si>
  <si>
    <t>বাংলাদেশে ডিজিটাল হয়েছিল</t>
  </si>
  <si>
    <t>ব্যবসা পরিচালনা করত</t>
  </si>
  <si>
    <t>জীবনের গল্প বলিতেছিলাম</t>
  </si>
  <si>
    <t>পথিকদের খাবার দিয়েছিলাম</t>
  </si>
  <si>
    <t>আমি হোমওয়ার্ক করছিলাম</t>
  </si>
  <si>
    <t>ভ্রমণে শান্তি পেয়েছিলাম</t>
  </si>
  <si>
    <t>ব্যাংকে মিটিং করতেছিলাম</t>
  </si>
  <si>
    <t>ব্লুটুথ স্পিকার কিনতেছিলাম</t>
  </si>
  <si>
    <t>বনে বাঘ ছিলো</t>
  </si>
  <si>
    <t>মূল্য নির্ধারণ হয়েছিল</t>
  </si>
  <si>
    <t>ব্লুটুথস্পিকারে গান শুনতেছিলাম</t>
  </si>
  <si>
    <t>সে কম্পিউটার শিখিয়াছিল</t>
  </si>
  <si>
    <t>সামাজিক আলোচনা চলছিল</t>
  </si>
  <si>
    <t>ব্যবসা সেক্টর বাড়ছিল</t>
  </si>
  <si>
    <t>জিপিএস চালু করিয়াছিলাম</t>
  </si>
  <si>
    <t>সহজেই ইমেইল লিখলাম</t>
  </si>
  <si>
    <t>তুমি উদাহরণ নিচ্ছিলে</t>
  </si>
  <si>
    <t>বাংলায় ব্লগ লেখিলাম</t>
  </si>
  <si>
    <t>একাউন্ট খুলতে এসেছিলাম</t>
  </si>
  <si>
    <t>স্মার্টফোন ব্যবহার করতে জানতাম না</t>
  </si>
  <si>
    <t>স্মার্টফোন ব্যবহার করে তোমাকে কল করেছিলাম</t>
  </si>
  <si>
    <t>ভ্রমণ ব্যয়বহুল ছিল</t>
  </si>
  <si>
    <t>ভ্রমণ ব্যয়বহুল ছিল বলে তোমাকে নিয়ে যেতে পারলামনা</t>
  </si>
  <si>
    <t>দলগুলি মন্নত পেয়েছিল</t>
  </si>
  <si>
    <t>ইন্টারনেট ব্যাবহার করতাম</t>
  </si>
  <si>
    <t>বার্তা বিনিময় করিয়াছিলাম</t>
  </si>
  <si>
    <t>একটি ল্যাপটপ কিনতেছিলাম</t>
  </si>
  <si>
    <t>সে সংখ্যা শিখিয়াছিল</t>
  </si>
  <si>
    <t>টাকা জমা করলাম</t>
  </si>
  <si>
    <t>ছাত্রজীবনে কষ্ট করিলাম</t>
  </si>
  <si>
    <t>পথশিশুদের শিক্ষা দিতেছিলাম</t>
  </si>
  <si>
    <t>রিতা অধ্যয়ন করতেছিল</t>
  </si>
  <si>
    <t>গ্যাজেট পছন্দ করল</t>
  </si>
  <si>
    <t>অনলাইনে পেশাক কিনিলাম</t>
  </si>
  <si>
    <t>পরিশ্রমে সফলতা পাচ্ছিলাম</t>
  </si>
  <si>
    <t>আমি ইতিহাস পড়ছিলাম</t>
  </si>
  <si>
    <t>হোম লোন পাইলাম</t>
  </si>
  <si>
    <t>সরকার প্রকল্প দিচ্ছিল</t>
  </si>
  <si>
    <t>ক্যামেরায় ছবি তুলিলাম</t>
  </si>
  <si>
    <t>উন্নতি করতে চাচ্ছিল</t>
  </si>
  <si>
    <t>টাকা উত্তোলন করিয়াছিলাম</t>
  </si>
  <si>
    <t>ব্যাংকে পরিদর্শন করিলাম</t>
  </si>
  <si>
    <t>রাজস্ব বৃদ্ধি পেল</t>
  </si>
  <si>
    <t>ভ্রমণের প্রশিক্ষণ নিয়েছিলাম</t>
  </si>
  <si>
    <t>অর্থনৈতিক বৃদ্ধি হচ্ছিল</t>
  </si>
  <si>
    <t>ব্যাংকিং কাজ করিলাম</t>
  </si>
  <si>
    <t>ব্যবসা করতে চাইলাম</t>
  </si>
  <si>
    <t>শৃঙ্খলার বজায় রাখিলাম</t>
  </si>
  <si>
    <t>স্মার্টটিভি ব্যবহার করছিলাম</t>
  </si>
  <si>
    <t>তুমি ইতিহাস পড়িয়াছিলে</t>
  </si>
  <si>
    <t>তুমি ইতিহাস পড়িয়াছিলে তাহার সাথে</t>
  </si>
  <si>
    <t>শিক্ষার্থীরা গল্প পড়তেছিল</t>
  </si>
  <si>
    <t>সমস্যার সমাধান পাইলাম</t>
  </si>
  <si>
    <t>তুমি ইংরেজি পড়ছিলে</t>
  </si>
  <si>
    <t>দলের আলোচনা চলছিল</t>
  </si>
  <si>
    <t>আমি প্রোগ্রামিং করলাম</t>
  </si>
  <si>
    <t>আমি ইংরেজি পড়তাম</t>
  </si>
  <si>
    <t>ফোন অর্ডার করছিলাম</t>
  </si>
  <si>
    <t>কম্পিউটার গেম খেলতেছিলাম</t>
  </si>
  <si>
    <t>শিক্ষার্থীরা কবিতা পড়ল</t>
  </si>
  <si>
    <t>হাইটেকপার্ক ডিজাইন হচ্ছিল</t>
  </si>
  <si>
    <t>তিব্বত নিষিদ্ধ হয়েছিল</t>
  </si>
  <si>
    <t>ই লাইব্রেরি বই খুঁজলাম</t>
  </si>
  <si>
    <t>এপ্লিকেশন ইনস্টল করতেছিলাম</t>
  </si>
  <si>
    <t>গুগলের চাকরি পেয়েছিলাম</t>
  </si>
  <si>
    <t>ভাল ব্যবহার করতাম</t>
  </si>
  <si>
    <t>কিবোর্ড ব্যবহার করেছিলাম</t>
  </si>
  <si>
    <t>হ্যাকারদের সংখ্যা বাড়ছিল</t>
  </si>
  <si>
    <t>নগদে টাকা পাঠাইছিলাম</t>
  </si>
  <si>
    <t>আমরা গবেষণা করতেছিলাম</t>
  </si>
  <si>
    <t>আমরা গবেষণা করে সম্মাননা পেয়েছিলাম</t>
  </si>
  <si>
    <t>ঋণ প্রদান হল</t>
  </si>
  <si>
    <t>পথশিশুদের শিক্ষা দিলাম</t>
  </si>
  <si>
    <t>আইপ্যাড ব্যবহার করছিলাম</t>
  </si>
  <si>
    <t>অর্থনৈতিক সমস্যা ছিলনা</t>
  </si>
  <si>
    <t>বনে ভাল্লুক দেখিলাম</t>
  </si>
  <si>
    <t>উন্নতি দেখতে চাচ্ছিলাম</t>
  </si>
  <si>
    <t>তুমি সকালে পড়িয়াছিলে</t>
  </si>
  <si>
    <t>নিজেকে সংযোজন করিলাম</t>
  </si>
  <si>
    <t>আমি ভালো বুঝিয়াছিল</t>
  </si>
  <si>
    <t>একাউন্ট সৃষ্টি করলাম</t>
  </si>
  <si>
    <t>সময় নষ্ট করলাম</t>
  </si>
  <si>
    <t>কলেজে ছাত্ররা খেলত</t>
  </si>
  <si>
    <t>অনলাইন ক্লাস নিলাম</t>
  </si>
  <si>
    <t>হেডফোন ব্যবহার করছিলাম</t>
  </si>
  <si>
    <t>শিক্ষার মান কমাল</t>
  </si>
  <si>
    <t>কোম্পিউটার তৈরি হচ্ছিল</t>
  </si>
  <si>
    <t>বিকাশে টাকা পাঠালাম</t>
  </si>
  <si>
    <t>মানবতার অঙ্গীকার করতেছিলাম</t>
  </si>
  <si>
    <t>সে ছিল ভোজনরসিক</t>
  </si>
  <si>
    <t>ডেস্কটপ ব্যবহার করেছিলাম</t>
  </si>
  <si>
    <t>টাকা জমা করছিলাম</t>
  </si>
  <si>
    <t>প্রয়োজনীয় খাবার কিনলাম</t>
  </si>
  <si>
    <t>ওয়েবক্যাম ব্যবহার করিলাম</t>
  </si>
  <si>
    <t>তুমি স্কুলে গিয়াছিলে</t>
  </si>
  <si>
    <t>চিকিৎসা সেবা দিয়েছিলাম</t>
  </si>
  <si>
    <t>স্পিকার ব্যবহার করেছিলাম</t>
  </si>
  <si>
    <t>সহজেই ইমেইল পাঠিয়েছিলাম</t>
  </si>
  <si>
    <t>ব্যাংক সাপোর্ট দিয়েছিল</t>
  </si>
  <si>
    <t>সবসময় ফুটবল ভালবাসতেছিল</t>
  </si>
  <si>
    <t>কম্পিউটার ব্যবহার করতাম</t>
  </si>
  <si>
    <t>আইটি প্রশিক্ষণ নিয়েছিলাম</t>
  </si>
  <si>
    <t>সে উদাহরণ নিচ্ছিল</t>
  </si>
  <si>
    <t>সংবাদ প্রচার করতেছিল</t>
  </si>
  <si>
    <t>সে স্কুলে গেল</t>
  </si>
  <si>
    <t>বিদ্যুতে উৎপাদন বাড়ছিল</t>
  </si>
  <si>
    <t>ব্লুটোথ ব্যবহার করেছিলাম</t>
  </si>
  <si>
    <t>গবেষণা প্রকাশ করতেছিলাম</t>
  </si>
  <si>
    <t>সফটওয়্যার ট্রায়াল করছিলাম</t>
  </si>
  <si>
    <t>তুমি স্কুলে যাইতেছিলে</t>
  </si>
  <si>
    <t>শিক্ষার্থীরা গল্প পড়ল</t>
  </si>
  <si>
    <t>প্রযুক্তি আবিষ্কার করেছিলাম</t>
  </si>
  <si>
    <t>তুমি সংখ্যা শিখিয়াছিলে</t>
  </si>
  <si>
    <t>আত্মনির্ভরশীল হয়েছিল ছাত্ররা</t>
  </si>
  <si>
    <t>অবসরে কবিতা লিখিতেছিল</t>
  </si>
  <si>
    <t>পেপার পড়তে দিলাম</t>
  </si>
  <si>
    <t>যাকাত প্রদান করিয়াছিল</t>
  </si>
  <si>
    <t>অনলাইন ক্লাস নিচ্ছিলাম</t>
  </si>
  <si>
    <t>স্কুলে ফুটবল খেলিয়াছিল</t>
  </si>
  <si>
    <t>মানবতার অঙ্গীকার করলাম</t>
  </si>
  <si>
    <t>আলোর মুখ দেখলাম</t>
  </si>
  <si>
    <t>ব্যাংকে পরিদর্শন করিয়াছিলাম</t>
  </si>
  <si>
    <t>ইবুক অর্ডার করেছিলাম</t>
  </si>
  <si>
    <t>সফটওয়্যার চেক করিলাম</t>
  </si>
  <si>
    <t>আইফোন দামী ছিল</t>
  </si>
  <si>
    <t>উইনডোস জনপ্রিয় হয়েছিল</t>
  </si>
  <si>
    <t>বইয়ের নাম জানিয়াছিলাম</t>
  </si>
  <si>
    <t>অনুভূতি শেয়ার করিলাম</t>
  </si>
  <si>
    <t>ওয়েবসাইটের কাজ নিয়েছিলাম</t>
  </si>
  <si>
    <t>একাউন্ট প্রমাণ দিলাম</t>
  </si>
  <si>
    <t>ইন্টারনেটে খবর পড়লাম</t>
  </si>
  <si>
    <t>মহাকাশে রকেট গিয়েছিল</t>
  </si>
  <si>
    <t>আমরা বিজ্ঞান পড়ছিলাম</t>
  </si>
  <si>
    <t>ব্যাংক থেকে লোন নেওয়া হচ্ছিল</t>
  </si>
  <si>
    <t>লোন চাওয়া হয়েছিল অনুরোধ করে</t>
  </si>
  <si>
    <t>টাকা উত্তোলন করতেছিলাম</t>
  </si>
  <si>
    <t>ঢেউ স্নিগ্ধতা ছড়াচ্ছিল</t>
  </si>
  <si>
    <t>বাংলায় ব্লগ লেখছিলাম</t>
  </si>
  <si>
    <t>কম্পিউটার পুরস্কার পেলাম</t>
  </si>
  <si>
    <t>সে ইতিহাস জানত</t>
  </si>
  <si>
    <t>ক্রয়সংস্থা বৃদ্ধি পেল</t>
  </si>
  <si>
    <t>আজকাল রফতানি বাড়ছিল</t>
  </si>
  <si>
    <t>জেলেরা মাছ ধরল</t>
  </si>
  <si>
    <t>জেলেরা মাছ ধরতে গভীর সমুদ্রে গিয়েছিল</t>
  </si>
  <si>
    <t>অবসরে খেলাধুলা করিতেছিল</t>
  </si>
  <si>
    <t>প্রিন্টার ব্যবহার করছিলাম</t>
  </si>
  <si>
    <t>অভিজ্ঞতা অর্জন করেছিলাম</t>
  </si>
  <si>
    <t>আইপ্যাড ব্যবহার করেছিলাম</t>
  </si>
  <si>
    <t>লেপটপে ছবি আকিতাম</t>
  </si>
  <si>
    <t>ব্যাংকিং সুবিধা পাইতেছিলাম</t>
  </si>
  <si>
    <t>জীবনকে সহজ করছিলাম</t>
  </si>
  <si>
    <t>ব্যাংক সার্ভিস ছিল</t>
  </si>
  <si>
    <t>ফাইল সেভ করছিলাম</t>
  </si>
  <si>
    <t>ক্রেডিট ব্যবহার করলাম</t>
  </si>
  <si>
    <t>সবাই খেলা দেখতেছিল</t>
  </si>
  <si>
    <t>জিপিএস চালু করতেছিলাম</t>
  </si>
  <si>
    <t>লেপটপে ছবি আকিয়াছিলাম</t>
  </si>
  <si>
    <t>সাগরে জাহাজ ছিল</t>
  </si>
  <si>
    <t>ইন্টারনেটে তথ্য পাঠাচ্ছিলাম</t>
  </si>
  <si>
    <t>নেটওয়ার্কিং কাজ শিখেছিলাম</t>
  </si>
  <si>
    <t>কলেজ কেফেটেরিয়ায় খাইতেছিল</t>
  </si>
  <si>
    <t>স্টেটমেন্ট প্রিন্ট করলাম</t>
  </si>
  <si>
    <t>জেলেরা বিশ্রাম নিচ্ছিল</t>
  </si>
  <si>
    <t>খেলাধুলায় শরীরচর্চা হল</t>
  </si>
  <si>
    <t>আমি তাজমহলে গেলাম</t>
  </si>
  <si>
    <t>বনে বাঘ দেখলাম</t>
  </si>
  <si>
    <t>অবকাঠামোতে পরিবর্তন করল</t>
  </si>
  <si>
    <t>প্রযুক্তির জ্ঞান অপর্যাপ্ত ছিল</t>
  </si>
  <si>
    <t>গুগলে সব খুঁজলাম</t>
  </si>
  <si>
    <t>আমরা ব্লকেচেইন শিখলাম</t>
  </si>
  <si>
    <t>ইন্টারনেটের তথ্য পাঠিয়েছিলাম</t>
  </si>
  <si>
    <t>আউটসোর্সিং কাজ আসছিল</t>
  </si>
  <si>
    <t>মিটিংয়ে অংশ নিয়েছিলাম</t>
  </si>
  <si>
    <t>বাড়তি সুবিধা দিল</t>
  </si>
  <si>
    <t>অবসরে শান্তি পেয়েছিল</t>
  </si>
  <si>
    <t>গুগল ব্রাউজ করিয়াছিলাম</t>
  </si>
  <si>
    <t>রাজনীতির বিতর্ক হচ্ছিল</t>
  </si>
  <si>
    <t>সে বই পড়িয়াছিল</t>
  </si>
  <si>
    <t>নতুন গ্যাজেট কিনিলাম</t>
  </si>
  <si>
    <t>প্রধানমন্ত্রীর বৈঠক হয়েছিল</t>
  </si>
  <si>
    <t>একাউন্ট খোলা হচ্ছিল</t>
  </si>
  <si>
    <t>আমি চিন্তা করিয়াছিলাম</t>
  </si>
  <si>
    <t>মানুষেরা রাজনীতি করল</t>
  </si>
  <si>
    <t>আমি উপন্যাস পড়তেছিলাম</t>
  </si>
  <si>
    <t>কোরআন তেলওয়াত শুনতাম</t>
  </si>
  <si>
    <t>বিভিন্ন ব্লগ পড়িলাম</t>
  </si>
  <si>
    <t>প্রযুক্তির শিখতে গেলাম</t>
  </si>
  <si>
    <t>ক্যারিয়ারে এগিয়ে গিয়েছিলাম</t>
  </si>
  <si>
    <t>শিক্ষা সফরে যাইতেছিলাম</t>
  </si>
  <si>
    <t>বন্ধুদের সাথে ঘুরতেছিলাম</t>
  </si>
  <si>
    <t>গ্যাজেট কিনতে চাচ্ছিলাম</t>
  </si>
  <si>
    <t>হাব ব্যবহার করেছিলাম</t>
  </si>
  <si>
    <t>তোমরা সফল হয়েছিলে</t>
  </si>
  <si>
    <t>রাজনীতি পছন্দ করিয়াছিলাম</t>
  </si>
  <si>
    <t>শোক প্রকাশ করছিলাম</t>
  </si>
  <si>
    <t>তারা ভ্রমণ করতেছিল</t>
  </si>
  <si>
    <t>বইমেলায় ঘুরতে গিয়েছিলাম</t>
  </si>
  <si>
    <t>খাদ্য ক্ষয়পূরণ করেছিল</t>
  </si>
  <si>
    <t>সফটওয়্যার ডাউনলোড করতেছিলাম</t>
  </si>
  <si>
    <t>সেমিস্টার এনরোল করলাম</t>
  </si>
  <si>
    <t>আমি ইংরেজি পড়িয়াছিলাম</t>
  </si>
  <si>
    <t>আমি তাজমহল দেখেছিলাম</t>
  </si>
  <si>
    <t>সবাই খেলা দেখিয়াছিলাম</t>
  </si>
  <si>
    <t>জেলেরা মাছ ধরছিল</t>
  </si>
  <si>
    <t>সফলতার সন্ধান করিতেছিল</t>
  </si>
  <si>
    <t>কর্মদক্ষতা অর্জন করলাম</t>
  </si>
  <si>
    <t>টেলিভিশন ব্যবহার করছিলাম</t>
  </si>
  <si>
    <t>মোবাইলে গেম নিলাম</t>
  </si>
  <si>
    <t>নিয়মিত খেলা দেখিলাম</t>
  </si>
  <si>
    <t>নতুন কিছু শেখাইলাম</t>
  </si>
  <si>
    <t>গেম খেলতে আসিলাম</t>
  </si>
  <si>
    <t>নেটওয়ার্কিং কাজ শিখতেছিলাম</t>
  </si>
  <si>
    <t>রকেট ভ্রমণ করত</t>
  </si>
  <si>
    <t>মোবাইল একাউন্ট খোললাম</t>
  </si>
  <si>
    <t>ওয়েবসাইট তৈরি করিয়াছিলাম</t>
  </si>
  <si>
    <t>সে সফল হচ্ছিল</t>
  </si>
  <si>
    <t>আলোচনা বৃদ্ধির হচ্ছিল</t>
  </si>
  <si>
    <t>কলেজের হোস্টেলে থাকিয়াছিল</t>
  </si>
  <si>
    <t>টুইটার পোস্ট করলাম</t>
  </si>
  <si>
    <t>ওয়েবক্যাম ব্যবহার করতাম</t>
  </si>
  <si>
    <t>উদ্যোগে প্রবর্তন করতেছিলাম</t>
  </si>
  <si>
    <t>গরীবকে দান করিয়াছিল</t>
  </si>
  <si>
    <t>শৃঙ্খলার বজায় রেখেছিলাম</t>
  </si>
  <si>
    <t>খাবারের অভাব ছিল</t>
  </si>
  <si>
    <t>নগদে টাকা পাঠাইলাম</t>
  </si>
  <si>
    <t>ছাত্রাবাসে জীবন কাটতেছিল</t>
  </si>
  <si>
    <t>বইমেলায় ঘুরতে যাইতেছিলাম</t>
  </si>
  <si>
    <t>বিদেশি আমদানি বাড়ছিল</t>
  </si>
  <si>
    <t>বিরুদ্ধে কথা বলল</t>
  </si>
  <si>
    <t>সে পেপার পড়ল</t>
  </si>
  <si>
    <t>ঠান্ডা খাবার খেয়েছিলাম</t>
  </si>
  <si>
    <t>অবসরে খেলাধুলা করিলাম</t>
  </si>
  <si>
    <t>সংগঠনে কাজ করছিলাম</t>
  </si>
  <si>
    <t>ওয়েবরাইটার ব্যবহার করেছিলাম</t>
  </si>
  <si>
    <t>ব্যালেন্স চেক করলেন</t>
  </si>
  <si>
    <t>ওয়াইফাই ব্যবহার করতাম</t>
  </si>
  <si>
    <t>ডিজিটাল ক্যামেরা দিলাম</t>
  </si>
  <si>
    <t>ক্রয়বিক্রয়ে বৃদ্ধি পেয়েছিল</t>
  </si>
  <si>
    <t>লোকেরা স্বনিযুক্ত হচ্ছিল</t>
  </si>
  <si>
    <t>ব্যাংক সাপোর্ট দিল</t>
  </si>
  <si>
    <t>পথশিশুদের শিক্ষা দিয়েছিলাম</t>
  </si>
  <si>
    <t>অ্যাপস ব্যবহার করতেছিলাম</t>
  </si>
  <si>
    <t>আকাশ ভ্রমণ করিয়াছিল</t>
  </si>
  <si>
    <t>জিপিএস ব্যবহার করতেছিলাম</t>
  </si>
  <si>
    <t>জাভা প্রোগ্রামার ছিলাম</t>
  </si>
  <si>
    <t>প্রযুক্তির দক্ষতা ছিল</t>
  </si>
  <si>
    <t>হজ্ব করতে যাইতেছিল</t>
  </si>
  <si>
    <t>হ্যাকারদের সংখ্যা বাড়তেছিল</t>
  </si>
  <si>
    <t>গ্যাজেট কিনতে চাইলাম</t>
  </si>
  <si>
    <t>হেডফোন অর্ডার করছিলাম</t>
  </si>
  <si>
    <t>ভ্রমণে আনন্দ পাইতেছিলাম</t>
  </si>
  <si>
    <t>সে ইতিহাস শিখিয়াছিলাম</t>
  </si>
  <si>
    <t>প্রজন্মের সমৃদ্ধি পাচ্ছিল</t>
  </si>
  <si>
    <t>লোন প্রদান হইয়াছিল</t>
  </si>
  <si>
    <t>রাজনৈতিক আলোচনা করেছিলেন</t>
  </si>
  <si>
    <t>রোবট ব্যবহার করছিলাম</t>
  </si>
  <si>
    <t>রিমোট ব্যবহার করেছিলাম</t>
  </si>
  <si>
    <t>দলগুলি আলোচনা করল</t>
  </si>
  <si>
    <t>আমার পড়তে ভালোলাগত</t>
  </si>
  <si>
    <t>শীতকালে কষ্ট করছিলাম</t>
  </si>
  <si>
    <t>ব্যাংক পরীক্ষা দিয়েছিলাম</t>
  </si>
  <si>
    <t>লেপটপে সংবাদ দেখিয়াছিলাম</t>
  </si>
  <si>
    <t>সে ছিল পেটুক</t>
  </si>
  <si>
    <t>কলেজ অবস্থান করিয়াছিল</t>
  </si>
  <si>
    <t>ক্রিকেট পছন্দ করিলাম</t>
  </si>
  <si>
    <t>তিনি কবিতা পড়ছিলেন</t>
  </si>
  <si>
    <t>পাসবুক অনুযায়ী করলাম</t>
  </si>
  <si>
    <t>পণ্য উৎপাদন চলছিল</t>
  </si>
  <si>
    <t>সে কম্পিউটারে কিনল</t>
  </si>
  <si>
    <t>আমি ইতিহাস পড়িতে চাইলাম</t>
  </si>
  <si>
    <t>আমি কবিতা পড়িয়াছিলাম</t>
  </si>
  <si>
    <t>ক্রেডিটকার্ড অনুমোদন হল</t>
  </si>
  <si>
    <t>স্কুলে ফুটবল খেলিতেছিল</t>
  </si>
  <si>
    <t>চিকিৎসা প্রশিক্ষণ নিয়েছিলাম</t>
  </si>
  <si>
    <t>আমরা বিজ্ঞান পড়ল</t>
  </si>
  <si>
    <t>মেমরিকার্ড ব্যবহার করতাম</t>
  </si>
  <si>
    <t>টাচপ্যাড ব্যবহার করছিলাম</t>
  </si>
  <si>
    <t>ক্যাম্পাস সৌন্দর্য হয়েছিল</t>
  </si>
  <si>
    <t>লোনের আবেদন করলাম</t>
  </si>
  <si>
    <t>আমি ইতিহাস পড়িলাম</t>
  </si>
  <si>
    <t>গুগল ব্রাউজ করলাম</t>
  </si>
  <si>
    <t>আমি চিন্তা করিলাম</t>
  </si>
  <si>
    <t>কলেজে খেলাধুলা করিলাম</t>
  </si>
  <si>
    <t>ল্যাপটপ ব্যবহার করছিলাম</t>
  </si>
  <si>
    <t>দেশের বাইরে যাচ্ছিলাম</t>
  </si>
  <si>
    <t>রাশিয়া ছিল উন্নত</t>
  </si>
  <si>
    <t>আমরা বিজ্ঞান পড়িয়াছিল</t>
  </si>
  <si>
    <t>সারিবদ্ধ হয়ে ঘুরলাম</t>
  </si>
  <si>
    <t>ই লাইব্রেরির সেবা নিলাম</t>
  </si>
  <si>
    <t>তুমি গণিত করতে</t>
  </si>
  <si>
    <t>রাজনীতির বিতর্ক হয়েছিল</t>
  </si>
  <si>
    <t>বাড়তি সুবিধা দিয়েছিল</t>
  </si>
  <si>
    <t>উদ্যোগে প্রবর্তন করিলাম</t>
  </si>
  <si>
    <t>ব্যবসা পরিচালনা করিয়াছিল</t>
  </si>
  <si>
    <t>হার্ডওয়্যার আপগ্রেড করিয়াছিলাম</t>
  </si>
  <si>
    <t>নেটওয়ার্কিং কাজ শিখলাম</t>
  </si>
  <si>
    <t>শিশুপার্কে মেলা বসেছিল</t>
  </si>
  <si>
    <t>টাকা উত্তোলন করছিলাম</t>
  </si>
  <si>
    <t>পরকাল নিয়ে ভাবিয়াছিল</t>
  </si>
  <si>
    <t>টাচপ্যাড ব্যবহার করেছিলাম</t>
  </si>
  <si>
    <t>চ্যাটজিপিটি ব্যবহার করতাম</t>
  </si>
  <si>
    <t>একাউন্টে টাকা রাখলাম</t>
  </si>
  <si>
    <t>টাকা গণনা করতেছিলাম</t>
  </si>
  <si>
    <t>টেলিভিশনে সংবাদ দেখিলাম</t>
  </si>
  <si>
    <t>মাইনুল গদ্য পড়লেন</t>
  </si>
  <si>
    <t>লোন কমে যাচ্ছিল</t>
  </si>
  <si>
    <t>সামাজিক আলোচনা চলল</t>
  </si>
  <si>
    <t>ভালো বন্ধু খুজিয়াছিল</t>
  </si>
  <si>
    <t>ইরিডার ব্যবহার করছিলাম</t>
  </si>
  <si>
    <t>সে গেম খেলেছিল</t>
  </si>
  <si>
    <t>ক্রিকেট খেলতাম প্রতিদিন</t>
  </si>
  <si>
    <t>আমি হোমওয়ার্ক করিয়াছিলাম</t>
  </si>
  <si>
    <t>ভ্রমন শুরু করতেছিলাম</t>
  </si>
  <si>
    <t>গেম ডাউনলোড করলেন</t>
  </si>
  <si>
    <t>আইপ্যাড ব্যবহার করতাম</t>
  </si>
  <si>
    <t>ফুল সুগন্ধ ছড়াইতেছিল</t>
  </si>
  <si>
    <t>বিনোদনের আনন্দ খুজিয়াছিলাম</t>
  </si>
  <si>
    <t>কাশ্মীর দেখতে গেলাম</t>
  </si>
  <si>
    <t>ভ্রমণ অনুপ্রাণিত করেছিল</t>
  </si>
  <si>
    <t>ভালো বন্ধু খুজিলাম</t>
  </si>
  <si>
    <t>ঋণ প্রদান হয়েছিল</t>
  </si>
  <si>
    <t>নতুন সফটওয়্যার কিনতেছিলাম</t>
  </si>
  <si>
    <t>ডাউনলোড করতে চাচ্ছিলাম</t>
  </si>
  <si>
    <t>একাউন্ট ব্যালেন্স কমছিল</t>
  </si>
  <si>
    <t>তখন ভ্রমণ গেলাম</t>
  </si>
  <si>
    <t>লিনাক্স অপারেটিং করতাম</t>
  </si>
  <si>
    <t>প্রযুক্তির দুর্লভ ছিল</t>
  </si>
  <si>
    <t>সে গণিত করল</t>
  </si>
  <si>
    <t>পরিবারে যোগাযোগ করছিলাম</t>
  </si>
  <si>
    <t>আমি উপন্যাস পড়লাম</t>
  </si>
  <si>
    <t>ভ্রমণ ভালো লেগেছিল</t>
  </si>
  <si>
    <t>স্মার্টফোন ব্যবহার করতাম</t>
  </si>
  <si>
    <t>উত্তোলন সুবিধা ছিল</t>
  </si>
  <si>
    <t>ইমেইল পাঠাতে পারতাম</t>
  </si>
  <si>
    <t>ব্যাংক সার্ভিস দিয়েছিলাম</t>
  </si>
  <si>
    <t>প্রধানমন্ত্রীর বৈঠক হল</t>
  </si>
  <si>
    <t>টাকা জমা করিলাম</t>
  </si>
  <si>
    <t>রাজনীতির পথে চলল</t>
  </si>
  <si>
    <t>সে রচনা লিখল</t>
  </si>
  <si>
    <t>খাদ্য শক্তি জোগাচ্ছিল</t>
  </si>
  <si>
    <t>শিক্ষকরা গবেষণা করল</t>
  </si>
  <si>
    <t>ছাত্ররা ফুটবল খেলেতেছিল</t>
  </si>
  <si>
    <t>আর্থিক উন্নতি করল</t>
  </si>
  <si>
    <t>পদ্মার ইলিশ খেয়েছিলাম</t>
  </si>
  <si>
    <t>দলগুলি সাহায্য করতেছিল</t>
  </si>
  <si>
    <t>ক্যামেরা ব্যবহার করে ছবি তুলেছিলাম</t>
  </si>
  <si>
    <t>বিনোদনের জন্য গিয়েছিলাম</t>
  </si>
  <si>
    <t>নগদের ব্যাংকিং করলাম</t>
  </si>
  <si>
    <t>লেপটপ ব্যবহার করেছিলাম</t>
  </si>
  <si>
    <t>কৃষিক্ষেত্রে উন্নতি ঘটাচ্ছিল</t>
  </si>
  <si>
    <t>সকলের ভালোবাসা ছিল</t>
  </si>
  <si>
    <t>সে ইতিহাস শিখতেছিল</t>
  </si>
  <si>
    <t>আইনের প্রস্তুতি নিতে বলা হয়েছিল</t>
  </si>
  <si>
    <t>আইনের প্রস্তুতি নেয়া হয়েছিল</t>
  </si>
  <si>
    <t>মাইনুল গদ্য পড়ছিলেন</t>
  </si>
  <si>
    <t>ইরিডার ব্যবহার করতাম</t>
  </si>
  <si>
    <t>ইতিহাস আলোচনা হচ্ছিল</t>
  </si>
  <si>
    <t>আমি মক্কায় গিয়েছিলাম</t>
  </si>
  <si>
    <t>তারা ভালো ছিল</t>
  </si>
  <si>
    <t>সমুদ্র ভ্রমণ করলাম</t>
  </si>
  <si>
    <t>বার্তা বিনিময় করছিলাম</t>
  </si>
  <si>
    <t>সে কোরআন পড়িয়াছিল</t>
  </si>
  <si>
    <t>আমি সফল হচ্ছিলাম</t>
  </si>
  <si>
    <t>অরণ্য সুন্দর ছিল</t>
  </si>
  <si>
    <t>সে টেনিস খেলিয়াছিল</t>
  </si>
  <si>
    <t>সবাই খেলা দেখল</t>
  </si>
  <si>
    <t>ফুল পছন্দ করিয়াছিল</t>
  </si>
  <si>
    <t>ভ্রমণ উপভোগ করেছিলাম</t>
  </si>
  <si>
    <t>মিটিংয়ে যোগ দিলাম</t>
  </si>
  <si>
    <t>কলেজে ছাত্ররা খেলিয়াছিল</t>
  </si>
  <si>
    <t>রেডিওর ব্যবহার ছিল</t>
  </si>
  <si>
    <t>সমুদ্র অবলোকন করলাম</t>
  </si>
  <si>
    <t>বইমেলায় বই কিনলাম</t>
  </si>
  <si>
    <t>বিরুদ্ধে কথা বলতেছিল</t>
  </si>
  <si>
    <t>শিক্ষার্থীরা কবিতা পড়িয়াছিল</t>
  </si>
  <si>
    <t>আলোচনা চলল জনগণের</t>
  </si>
  <si>
    <t>এপলফোন ব্যবহার করতাম</t>
  </si>
  <si>
    <t>খেলাধুলায় অংশগ্রহণ করিয়াছিল</t>
  </si>
  <si>
    <t>আমি নোট লিখিয়াছিলাম</t>
  </si>
  <si>
    <t>উচ্চকৌশলের গেম খেলিতেছিলাম</t>
  </si>
  <si>
    <t>প্রযুক্তি বাজারে আসছিল</t>
  </si>
  <si>
    <t>বই সংগ্রহ করছিলাম</t>
  </si>
  <si>
    <t>তিনি কবিতা পড়লেন</t>
  </si>
  <si>
    <t>কার্যকরী ভোট দিলাম</t>
  </si>
  <si>
    <t>বিতর্কিত বাজার চলছিল</t>
  </si>
  <si>
    <t>ছেলেমেয়ারা টেনিস খেলিয়াছিল</t>
  </si>
  <si>
    <t>রিতা অধ্যয়ন করিয়াছিল</t>
  </si>
  <si>
    <t>স্মার্টওয়াচ ব্যবহার করতাম</t>
  </si>
  <si>
    <t>স্যাটেলাইট ব্যয়বহুল ছিল</t>
  </si>
  <si>
    <t>সমুদ্রের তীরে ঘুরেছিলাম</t>
  </si>
  <si>
    <t>সমুদ্রের তীরে ঘুরে মন প্রশান্ত হয়েছিল</t>
  </si>
  <si>
    <t>সমৃদ্ধি অর্জন করছিল</t>
  </si>
  <si>
    <t>নিয়মিত হাদীস পড়িতেছিল</t>
  </si>
  <si>
    <t>রাজস্ব বৃদ্ধি হচ্ছিল</t>
  </si>
  <si>
    <t>অবসরে শান্তি পাইলাম</t>
  </si>
  <si>
    <t>মানুষেরা মিলিত ছিল</t>
  </si>
  <si>
    <t>বনে ভাল্লুক দেখছিলাম</t>
  </si>
  <si>
    <t>সৎ পরামর্শ চাইতেছিল</t>
  </si>
  <si>
    <t>গুগলের ফোন কিনলাম</t>
  </si>
  <si>
    <t>শৃঙ্খলার বজায় রাখতেছিলাম</t>
  </si>
  <si>
    <t>সে রচনা লিখছিল</t>
  </si>
  <si>
    <t>ইন্টারনেট বিনিয়োগ করিলাম</t>
  </si>
  <si>
    <t>বার্তা পাঠাইলাম প্রতিদিন</t>
  </si>
  <si>
    <t>রিতা অধ্যয়ন করল</t>
  </si>
  <si>
    <t>স্মার্টটিভি ব্যবহার করেছিলাম</t>
  </si>
  <si>
    <t>প্রিন্টার ব্যবহার করতাম</t>
  </si>
  <si>
    <t>লেপটপে গান শুনিয়াছিলাম</t>
  </si>
  <si>
    <t>বাংলাদেশ নদীমাতৃক ছিল</t>
  </si>
  <si>
    <t>টাকা উত্তোলন হল</t>
  </si>
  <si>
    <t>পণ্য প্রবর্তন হচ্ছিল</t>
  </si>
  <si>
    <t>আইনের প্রস্তুতি নিত</t>
  </si>
  <si>
    <t>যাকাত প্রদান করিলাম</t>
  </si>
  <si>
    <t>ব্যাংক সার্ভিস ছিলনা</t>
  </si>
  <si>
    <t>নগদে টাকা পাঠাইতেছিলাম</t>
  </si>
  <si>
    <t>প্যান ব্যবহার করছিলাম</t>
  </si>
  <si>
    <t>ধর্মীয় অনুষ্ঠানে গেলাম</t>
  </si>
  <si>
    <t>সামাজিক আলোচনা হয়েছিল</t>
  </si>
  <si>
    <t>ভাল প্রশংসা পাইতেছিলাম</t>
  </si>
  <si>
    <t>অনুভূতি শেয়ার করতেছিলাম</t>
  </si>
  <si>
    <t>কম্পিউটারের ক্লাস করিয়াছিল</t>
  </si>
  <si>
    <t>ঠান্ডা পানীয় খেয়েছিলাম</t>
  </si>
  <si>
    <t>শীতকালে ঘুরতে গিয়েছিলাম</t>
  </si>
  <si>
    <t>আমরা ব্লকেচেইন শিখিয়াছিলাম</t>
  </si>
  <si>
    <t>অনলাইনে কোর্স করছিলাম</t>
  </si>
  <si>
    <t>সফটওয়্যার চেক করতেছিলাম</t>
  </si>
  <si>
    <t>কৃষি উন্নত হচ্ছিল</t>
  </si>
  <si>
    <t>ব্যাংকসেবা গ্রহণ করিতেছিলাম</t>
  </si>
  <si>
    <t>ব্যাংকে লোন কমছিল</t>
  </si>
  <si>
    <t>শেয়ার করতে পারিলাম</t>
  </si>
  <si>
    <t>ক্রয়সংস্থা বৃদ্ধি পাচ্ছিল</t>
  </si>
  <si>
    <t>আমি গল্প পড়িয়াছিলাম</t>
  </si>
  <si>
    <t>লোন সুবিধা পাইলাম</t>
  </si>
  <si>
    <t>ছেলেমেয়ারা টেনিস খেলিত</t>
  </si>
  <si>
    <t>ধারণা উন্নত করছিল</t>
  </si>
  <si>
    <t>সারিবদ্ধ হয়ে ঘুরতেছিলাম</t>
  </si>
  <si>
    <t>তুমি সফল হচ্ছিলে</t>
  </si>
  <si>
    <t>এপলফোন ব্যবহার করেছিলাম</t>
  </si>
  <si>
    <t>বিনিয়োগ করলাম সুরক্ষিতভাবে</t>
  </si>
  <si>
    <t>দলগুলি মিটিং হইতেছিল</t>
  </si>
  <si>
    <t>দলগুলি মন্নত পাচ্ছিল</t>
  </si>
  <si>
    <t>আমি কাশ্মীর গেলাম</t>
  </si>
  <si>
    <t>ওয়েবসাইটে খবর পড়িতেছিলাম</t>
  </si>
  <si>
    <t>পড়াশোনায় ভাল ছিলাম</t>
  </si>
  <si>
    <t>অফিসে টপোলজি লাগল</t>
  </si>
  <si>
    <t>তাজমহল দেখতে চাইলাম</t>
  </si>
  <si>
    <t>ছাত্ররা হাডুডু খেলত</t>
  </si>
  <si>
    <t>নিবন্ধন বৃদ্ধি পেয়েছিল</t>
  </si>
  <si>
    <t>নির্মূল হচ্ছিল কারখানা</t>
  </si>
  <si>
    <t>ব্যাংক পরীক্ষা দিতেছিলাম</t>
  </si>
  <si>
    <t>বইমেলায় ঘুরতে গেলাম</t>
  </si>
  <si>
    <t>ব্যাংক যাচাই করলাম</t>
  </si>
  <si>
    <t>ডিজাইন করছিলাম ওয়েবসাইট</t>
  </si>
  <si>
    <t>বিজ্ঞানের গবেষনা করেছিল</t>
  </si>
  <si>
    <t>চেক প্রদান করলাম</t>
  </si>
  <si>
    <t>ব্যাংকে চাকরি করিয়াছিলাম</t>
  </si>
  <si>
    <t>রাজনৈতিক আলোচনা করলাম</t>
  </si>
  <si>
    <t>টাকা গণনা করিয়াছিলাম</t>
  </si>
  <si>
    <t>ফুটবল টুর্নামেন্ট হয়েছিল</t>
  </si>
  <si>
    <t>মক্কায় ভ্রমণে গিয়েছিলাম</t>
  </si>
  <si>
    <t>লেপটপে মুভি দেখতেছিলাম</t>
  </si>
  <si>
    <t>বাজারে মুল্য বাড়ছিল</t>
  </si>
  <si>
    <t>কার্যকরী ভোট দিচ্ছিল</t>
  </si>
  <si>
    <t>আইটি প্রশিক্ষণ দিলাম</t>
  </si>
  <si>
    <t>একটি ফোন কিনতেছিলাম</t>
  </si>
  <si>
    <t>ব্যাংকিং কাজ করিয়াছিলাম</t>
  </si>
  <si>
    <t>তুমি নোট লিখতেছিলে</t>
  </si>
  <si>
    <t>ব্যাংকিং সুবিধা দিল</t>
  </si>
  <si>
    <t>রিমোট ব্যবহার করতাম</t>
  </si>
  <si>
    <t>সানিয়া বেডমিন্টন খেলিয়াছিল</t>
  </si>
  <si>
    <t>ক্যারিয়ারে এগিয়ে গেলাম</t>
  </si>
  <si>
    <t>সার্কাস দেখতে গেলাম</t>
  </si>
  <si>
    <t>হসপিটালে সেবা নিলাম</t>
  </si>
  <si>
    <t>অনলাইন ব্যবসা করতেছিলাম</t>
  </si>
  <si>
    <t>চেকবই পরীক্ষা করলাম</t>
  </si>
  <si>
    <t>পিপীলিকা ব্যবহার করেছিলাম</t>
  </si>
  <si>
    <t>প্রযুক্তির প্রয়োজনীয়তা ছিল</t>
  </si>
  <si>
    <t>বনে ভাল্লুক দেখেছিলাম</t>
  </si>
  <si>
    <t>নিয়মিত ভিডিও দিচ্ছিলাম</t>
  </si>
  <si>
    <t>আমি সংখ্যা শিখছিলাম</t>
  </si>
  <si>
    <t>জোয়ার এসেছিলো সমুদ্রে</t>
  </si>
  <si>
    <t>মানুষেরা মিলিত হয়েছিল</t>
  </si>
  <si>
    <t>ভ্রমণ সময়সাপেক্ষ ছিল</t>
  </si>
  <si>
    <t>ঢেউ মুগ্ধতা ছড়াল</t>
  </si>
  <si>
    <t>লোকজন সমুদ্রপাড়ে ঘুরত</t>
  </si>
  <si>
    <t>গ্যাজেট কিনতে চেয়েছিলাম</t>
  </si>
  <si>
    <t>এপলফোন ব্যবহার করছিলাম</t>
  </si>
  <si>
    <t>আরবি শিক্ষা দিতেছিল</t>
  </si>
  <si>
    <t>সে সংখ্যা শিখল</t>
  </si>
  <si>
    <t>নতুন কম্পিউটার কিনেছিলাম</t>
  </si>
  <si>
    <t>ফুল পছন্দ করিতেছিল</t>
  </si>
  <si>
    <t>ওয়েবসাইট বিশ্লেষণ করছিলাম</t>
  </si>
  <si>
    <t>সবসময় ঘুরে বেড়াচ্ছিল</t>
  </si>
  <si>
    <t>সে ইংরেজি পড়ছিল</t>
  </si>
  <si>
    <t>লোন বৃদ্ধি করেছিল</t>
  </si>
  <si>
    <t>লেপটপে গান শুনতেছিলাম</t>
  </si>
  <si>
    <t>অবসরে শান্তি পাইতেছিল</t>
  </si>
  <si>
    <t>চেক প্রদান করতেছিলাম</t>
  </si>
  <si>
    <t>শিক্ষা বৃদ্ধি পেয়েছিল</t>
  </si>
  <si>
    <t>ব্লকচেইন জনপ্রিয় হচ্ছিল</t>
  </si>
  <si>
    <t>ডিজিটাল মিটার নিয়েছিলাম</t>
  </si>
  <si>
    <t>স্পেনের ইতিহাস জেনেছিলাম</t>
  </si>
  <si>
    <t>আমরা সফল হচ্ছিলাম</t>
  </si>
  <si>
    <t>উন্নতির প্রয়োজন ছিল</t>
  </si>
  <si>
    <t>সে পেপার পড়েছিল</t>
  </si>
  <si>
    <t>কিওক্রাডাং দেখতে চেয়েছিলাম</t>
  </si>
  <si>
    <t>বিকশে প্রতারক ছিল</t>
  </si>
  <si>
    <t>কলেজ কেফেটেরিয়ায় যাইতেছিল</t>
  </si>
  <si>
    <t>সার্কাস চলছিল রাজনীতিতে</t>
  </si>
  <si>
    <t>মিটিংয়ে অংশ নিলাম</t>
  </si>
  <si>
    <t>মোবাইল কিনে দিলাম</t>
  </si>
  <si>
    <t>ব্যাংকিং কাজ করছিলাম</t>
  </si>
  <si>
    <t>শিক্ষকরা পরিশ্রম করতেছিল</t>
  </si>
  <si>
    <t>হাব ব্যবহার করতাম</t>
  </si>
  <si>
    <t>ওয়েবসাইট তৈরি করিলাম</t>
  </si>
  <si>
    <t>রোগ নির্ণয় হল</t>
  </si>
  <si>
    <t>লেপটপে খেলা দেখিলাম</t>
  </si>
  <si>
    <t>ব্যাংক সুবিধা দিল</t>
  </si>
  <si>
    <t>বাণিজ্যিক গতি বাড়ছিল</t>
  </si>
  <si>
    <t>অ্যাপস ব্যবহার করতাম</t>
  </si>
  <si>
    <t>ডাটাবেজ ডিজাইন করতেছিলাম</t>
  </si>
  <si>
    <t>সময়মত খাবার খেয়েছিল</t>
  </si>
  <si>
    <t>গবেষণা প্রস্তুত করিলাম</t>
  </si>
  <si>
    <t>হজ্ব করতে গিয়েছিল</t>
  </si>
  <si>
    <t>রাইবোজোম কম ছিল</t>
  </si>
  <si>
    <t>মোবাইলে গল্প শুনিয়াছিলাম</t>
  </si>
  <si>
    <t>টাকা উপার্জন করতেছিলাম</t>
  </si>
  <si>
    <t>আমি সংখ্যা শিখিয়াছিলাম</t>
  </si>
  <si>
    <t>ব্যাংকসেবা গ্রহণ করিলাম</t>
  </si>
  <si>
    <t>সবসময় ঘুরে বেড়াইলাম</t>
  </si>
  <si>
    <t>শিক্ষকরা পরিশ্রম করল</t>
  </si>
  <si>
    <t>নিয়মিত খেলা দেখছিলাম</t>
  </si>
  <si>
    <t>ভ্রমণে প্রজ্ঞা বাড়ল</t>
  </si>
  <si>
    <t>খবর পড়ছিলাম তখন</t>
  </si>
  <si>
    <t>লোন অনুমোদন নিয়েছিলাম</t>
  </si>
  <si>
    <t>একাউন্ট আপডেট করলাম</t>
  </si>
  <si>
    <t>তুমি ইতিহাস জানতে গিয়েছিলে</t>
  </si>
  <si>
    <t>তুমি ইতিহাস পড়তে</t>
  </si>
  <si>
    <t>বই সংগ্রহ করিয়াছিলাম</t>
  </si>
  <si>
    <t>প্রযুক্তি ব্যবহার ছিল কম</t>
  </si>
  <si>
    <t>বিষয় শেখার চেষ্টা করছিলাম</t>
  </si>
  <si>
    <t>হেডফোন কিনতে চাচ্ছিলাম</t>
  </si>
  <si>
    <t>স্মাটটেলিফোন ব্যবহার করছিলাম</t>
  </si>
  <si>
    <t>কার্ড ব্যবহার করতেছিলাম</t>
  </si>
  <si>
    <t>গঠনমূলক আলোচনা করলাম</t>
  </si>
  <si>
    <t>রাওটার ব্যবহার করতাম</t>
  </si>
  <si>
    <t>সেভিংস একাউন্ট খুললাম</t>
  </si>
  <si>
    <t>শান্তি খুঁজে পাচ্ছিলাম</t>
  </si>
  <si>
    <t>একটি ল্যাপটপ কিনিলাম</t>
  </si>
  <si>
    <t>সৎ পরামর্শ চাইলাম</t>
  </si>
  <si>
    <t>আমি কবিতা পড়তেছিলাম</t>
  </si>
  <si>
    <t>পাহাড়ের সৌন্দর্য দেখলাম</t>
  </si>
  <si>
    <t>রোগ নির্ণয় হচ্ছিল</t>
  </si>
  <si>
    <t>কলেজ কেফেটেরিয়ায় গিয়েছিল</t>
  </si>
  <si>
    <t>শিক্ষামুলক ভ্রমণ ছিল</t>
  </si>
  <si>
    <t>নতুন ল্যাপটপ কিনে ব্যবহার করেছিলাম</t>
  </si>
  <si>
    <t>নাগরিকের আশা বাড়ছিল</t>
  </si>
  <si>
    <t>কলেজ ভ্রমণ করিয়াছিল</t>
  </si>
  <si>
    <t>ই বুকে বই পড়িলাম</t>
  </si>
  <si>
    <t>কাঠে আগুন জ্বালাতাম</t>
  </si>
  <si>
    <t>আলোচনা হয়েছিল জনগণের</t>
  </si>
  <si>
    <t>কর্মচারীদের মান বাড়ল</t>
  </si>
  <si>
    <t>রম ব্যবহার করছিলাম</t>
  </si>
  <si>
    <t>নতুন স্মার্টফোন চাইলাম</t>
  </si>
  <si>
    <t>জোয়ার আসল সমুদ্রে</t>
  </si>
  <si>
    <t>লোন বৃদ্ধি হচ্ছিল</t>
  </si>
  <si>
    <t>আমি রেইনফরেস্ট গেলাম</t>
  </si>
  <si>
    <t>টাকা উত্তোলন করিলাম</t>
  </si>
  <si>
    <t>ঋণ প্রদান হচ্ছিল</t>
  </si>
  <si>
    <t>ইন্টারনেট ব্যবহার করতাম</t>
  </si>
  <si>
    <t>ভ্রমনে আত্মবিশ্বাস বেড়েছিল</t>
  </si>
  <si>
    <t>আইওএস ব্যবহার করতাম</t>
  </si>
  <si>
    <t>ভ্রমন শুরু করেছিলাম</t>
  </si>
  <si>
    <t>আমি উদাহরণ নিচ্ছিলাম</t>
  </si>
  <si>
    <t>রকেটে টাকা পাঠাইছিলাম</t>
  </si>
  <si>
    <t>শিক্ষার মান কমিয়েছিল</t>
  </si>
  <si>
    <t>কৃষিক্ষেত্রে উন্নতি ঘটিয়েছিল</t>
  </si>
  <si>
    <t>নতুন প্রযুক্তি এলো</t>
  </si>
  <si>
    <t>মোবাইল ব্যাংকিং করতেছিলাম</t>
  </si>
  <si>
    <t>কিবোর্ড সংযোজন করলাম</t>
  </si>
  <si>
    <t>ডাটাবেজ ডিজাইন করছিলাম</t>
  </si>
  <si>
    <t>ডাটাবেজ ডিজাইন করে তোমাকে পাঠিয়েছিলাম</t>
  </si>
  <si>
    <t>সফলতার সন্ধান করিলাম</t>
  </si>
  <si>
    <t>গান উপভোগ করলাম</t>
  </si>
  <si>
    <t>মসজিদে হেটে যাইতেছিল</t>
  </si>
  <si>
    <t>ভ্রমণেই সুখ পাইলাম</t>
  </si>
  <si>
    <t>লেপটপে গান শুনিতাম</t>
  </si>
  <si>
    <t>আমি তাজমহলে যাচ্ছিলাম</t>
  </si>
  <si>
    <t>অনলাইনে জোক্স পড়ছিলাম</t>
  </si>
  <si>
    <t>কলেজ ভ্রমণ করিতেছিলাম</t>
  </si>
  <si>
    <t>বিজ্ঞানের গবেষনা করল</t>
  </si>
  <si>
    <t>ডাটাবেজ কোর্স করলাম</t>
  </si>
  <si>
    <t>সমস্যার সমাধান পাইতেছিলাম</t>
  </si>
  <si>
    <t>ট্যাব ব্যবহার করছিলাম</t>
  </si>
  <si>
    <t>প্রধানমন্ত্রীর বৈঠক হচ্ছিল</t>
  </si>
  <si>
    <t>নতুন কিছু পড়াইলাম</t>
  </si>
  <si>
    <t>ভ্রমণে মনোবল বাড়িয়াছিল</t>
  </si>
  <si>
    <t>কলেজ কেফেটেরিয়ায় ঘুরিলাম</t>
  </si>
  <si>
    <t>অবসরে গান গাইয়াছিল</t>
  </si>
  <si>
    <t>মানুষেরা মিলিত হচ্ছিল</t>
  </si>
  <si>
    <t>সালাত আদায় করতেছিল</t>
  </si>
  <si>
    <t>ইন্টারনেট ব্যবসা শিখতেছিলাম</t>
  </si>
  <si>
    <t>ক্যাম্পাসের সৌন্দর্য বেড়েছিল</t>
  </si>
  <si>
    <t>ভ্রমণের পরিকল্পনা করছিলাম</t>
  </si>
  <si>
    <t>মোবাইল ব্যবহার করে ভালো লেগেছিল</t>
  </si>
  <si>
    <t>সেমিস্টার এনরোল করতেছিলাম</t>
  </si>
  <si>
    <t>উইনডোস জনপ্রিয় হচ্ছিল</t>
  </si>
  <si>
    <t>খেলাধুলায় শরীরচর্চা হয়েছিল</t>
  </si>
  <si>
    <t>আমি হোমওয়ার্ক করিলাম</t>
  </si>
  <si>
    <t>নাবিকেরা জাহাজ চালাচ্ছিল</t>
  </si>
  <si>
    <t>নাবিকেরা জাহাজ চালিয়ে জীবিকা নির্বাহ করছিল</t>
  </si>
  <si>
    <t>আমি শব্দ করিলাম</t>
  </si>
  <si>
    <t>প্রধানমন্ত্রী আলোচনা করতেছিলেন</t>
  </si>
  <si>
    <t>ড্রোন ব্যবহার করছিলাম</t>
  </si>
  <si>
    <t>আর্থিক বিকাশ হয়েছিল</t>
  </si>
  <si>
    <t>তুমি গণিত করিয়াছিলে</t>
  </si>
  <si>
    <t>কলেজে অধ্যয়ন করিয়াছিলাম</t>
  </si>
  <si>
    <t>গেম খোলা হচ্ছিল</t>
  </si>
  <si>
    <t>লিনাক্সে অপারেটিং করেছিলাম</t>
  </si>
  <si>
    <t>বিদ্যা প্রয়োজন ছিল</t>
  </si>
  <si>
    <t>নতুন হেডফোন কিনতেছিলাম</t>
  </si>
  <si>
    <t>কুমিল্লার রসমালাই খেলাম</t>
  </si>
  <si>
    <t>তাজমহল দেখতে চাইতেছিল</t>
  </si>
  <si>
    <t>ওয়েবসাইট তৈরি করছিলাম</t>
  </si>
  <si>
    <t>ভ্রমণ অনুপ্রাণিত করল</t>
  </si>
  <si>
    <t>জীবনের গল্প বলিয়াছিলাম</t>
  </si>
  <si>
    <t>সাজেকে পাহাড় ছিল</t>
  </si>
  <si>
    <t>প্রযুক্তি তৈরি হচ্ছিল</t>
  </si>
  <si>
    <t>আমি আলাস্কা যাচ্ছিলাম</t>
  </si>
  <si>
    <t>সনেট কঠিন ছিল</t>
  </si>
  <si>
    <t>লোন অনুমোদন হচ্ছিল</t>
  </si>
  <si>
    <t>শিক্ষা সফরে গেলাম</t>
  </si>
  <si>
    <t>প্রকৃতি প্রেমিক ছিলাম</t>
  </si>
  <si>
    <t>একাউন্ট টাকা পাঠাইলাম</t>
  </si>
  <si>
    <t>গুগল ব্যবহার করিলাম</t>
  </si>
  <si>
    <t>মিডিয়ায় সময় কাটিয়েছিলাম</t>
  </si>
  <si>
    <t>ওয়েবসাইট ক্রয় করলাম</t>
  </si>
  <si>
    <t>তারা স্কিং করল</t>
  </si>
  <si>
    <t>ভ্রমণে আনন্দ পাইয়াছিলাম</t>
  </si>
  <si>
    <t>টুইটার পোস্ট করতেছিলাম</t>
  </si>
  <si>
    <t>আমি বিনোদন পাইলাম</t>
  </si>
  <si>
    <t>সরকার গঠন করেছিল</t>
  </si>
  <si>
    <t>আমি শব্দ করিতেছিলাম</t>
  </si>
  <si>
    <t>ভ্রমণে মনোবল বাড়ল</t>
  </si>
  <si>
    <t>ভ্রমণেই মুক্তি পেলাম</t>
  </si>
  <si>
    <t>হিসাব স্টেটমেন্ট করলেন</t>
  </si>
  <si>
    <t>ফুটবল টুর্নামেন্ট হল</t>
  </si>
  <si>
    <t>ফাইল সেভ করিলাম</t>
  </si>
  <si>
    <t>তারা কাব্য লিখল</t>
  </si>
  <si>
    <t>সমুদ্রের তীরে ঘুরলাম</t>
  </si>
  <si>
    <t>সমুদ্রের তীরে বসে সৌন্দর্য দেখলাম</t>
  </si>
  <si>
    <t>আইল্যান্ড ভ্রমণ করলাম</t>
  </si>
  <si>
    <t>উদ্যোগে প্রবর্তন করিয়াছিলাম</t>
  </si>
  <si>
    <t>ইয়াহুর জনপ্রিয়তা ছিল</t>
  </si>
  <si>
    <t>প্রযুক্তির প্রয়োগ করলাম</t>
  </si>
  <si>
    <t>ছুটিতে ঘুরতে গিয়েছিলাম</t>
  </si>
  <si>
    <t>আমি প্রোগ্রামিং করতেছিলাম</t>
  </si>
  <si>
    <t>সালাত আদায় করিলাম</t>
  </si>
  <si>
    <t>বইমেলায় ঘুরতে কিনিতেছিলাম</t>
  </si>
  <si>
    <t>মসজিদে হেটে গিয়েছিল</t>
  </si>
  <si>
    <t>বোন পড়াশোনা করত</t>
  </si>
  <si>
    <t>খাদ্য ক্ষয়পূরণ করল</t>
  </si>
  <si>
    <t>সে গেম খেলল</t>
  </si>
  <si>
    <t>স্মার্টওয়াচ ব্যবহার করেছিলাম</t>
  </si>
  <si>
    <t>আমি প্রোগ্রামিং করেছিলাম</t>
  </si>
  <si>
    <t>মানবসেবায় নিযুক্ত ছিলাম</t>
  </si>
  <si>
    <t>ড্রোন ব্যবহার করেছিলাম</t>
  </si>
  <si>
    <t>আর্থিক সমৃদ্ধির হচ্ছিল</t>
  </si>
  <si>
    <t>ব্যাংক হিসাব খুললেন</t>
  </si>
  <si>
    <t>তুমি গণিত করতেছিলে</t>
  </si>
  <si>
    <t>অনলাইন প্রশিক্ষণ করতেছিলাম</t>
  </si>
  <si>
    <t>মানুষ রাজনীতি করলনা</t>
  </si>
  <si>
    <t>কলেজে খেলাধুলা করিতেছিলাম</t>
  </si>
  <si>
    <t>ইমেইল করতে পারতাম</t>
  </si>
  <si>
    <t>গরীবকে দান করিতেছিল</t>
  </si>
  <si>
    <t>আমি আলাস্কা গিয়েছিলাম</t>
  </si>
  <si>
    <t>ক্যামেরা ব্যবহার করছিলাম</t>
  </si>
  <si>
    <t>ইন্টারনেট ইমেইল পড়তাম</t>
  </si>
  <si>
    <t>টাকা উত্তোলন করতাম</t>
  </si>
  <si>
    <t>ভ্রমণ ভালো লাগল</t>
  </si>
  <si>
    <t>হজ্ব করতে গেলাম</t>
  </si>
  <si>
    <t>সমুদ্রের ঝিনুক খুঁজতেছিলাম</t>
  </si>
  <si>
    <t>সমুদ্রের ঝিনুক খুঁজতে গিয়ে হারিয়ে গিয়েছিলাম</t>
  </si>
  <si>
    <t>বেশি ইন্টারনেট চালাইলাম</t>
  </si>
  <si>
    <t>টাকা পাঠাইতেছিলাম উপায়ে</t>
  </si>
  <si>
    <t>অবকাঠামো বৃদ্ধি পেল</t>
  </si>
  <si>
    <t>ঢেউ স্নিগ্ধতা ছড়াল</t>
  </si>
  <si>
    <t>মেমরিকার্ড ব্যবহার করছিলাম</t>
  </si>
  <si>
    <t>স্পিকার ব্যবহার করছিলাম</t>
  </si>
  <si>
    <t>পাহাড়ের চূড়া ভালবাসতাম</t>
  </si>
  <si>
    <t>সফলতার সন্ধান করিয়াছিল</t>
  </si>
  <si>
    <t>টেলিভিশন ব্যবহার করতাম</t>
  </si>
  <si>
    <t>স্মার্টফোন ব্যবহার করেছিলাম</t>
  </si>
  <si>
    <t>ক্যামেরা ব্যবহার করেছিলাম</t>
  </si>
  <si>
    <t>পড়াশোনায় সময় দিতেছিলাম</t>
  </si>
  <si>
    <t>নতুন গেম খোলতেছিলাম</t>
  </si>
  <si>
    <t>বাংলাদেশ ডিজিটাল হচ্ছিল</t>
  </si>
  <si>
    <t>আমি সমুদ্রস্নান করতেছিলাম</t>
  </si>
  <si>
    <t>মক্কায় বসবাস করতাম</t>
  </si>
  <si>
    <t>নতুন ক্যামেরা কিনিয়াছিলাম</t>
  </si>
  <si>
    <t>সমুদ্র পাড়ি দিতেছিল</t>
  </si>
  <si>
    <t>ইন্টারনেট বিনিয়োগ করছিলাম</t>
  </si>
  <si>
    <t>ছাত্ররা হাডুডু খেলতেছিল</t>
  </si>
  <si>
    <t>অর্থনৈতিক হানি হল</t>
  </si>
  <si>
    <t>ইন্টারনেটে খবর পড়তে গিয়েছিলাম</t>
  </si>
  <si>
    <t>ই বুকে বই পড়িয়াছিলাম</t>
  </si>
  <si>
    <t>সবাই ব্যাংকে গেল</t>
  </si>
  <si>
    <t>স্মার্টটিভি ব্যবহার করতাম</t>
  </si>
  <si>
    <t>আমি ভ্রমণ করলাম</t>
  </si>
  <si>
    <t>আমি কবিতা পড়লাম</t>
  </si>
  <si>
    <t>অর্থনৈতিক হানি হয়েছিল</t>
  </si>
  <si>
    <t>পেপালে লেনদেন করলাম</t>
  </si>
  <si>
    <t>কলায় আয়রন ছিল</t>
  </si>
  <si>
    <t>দলগুলি প্রতিস্থাপন করছিল</t>
  </si>
  <si>
    <t>ইসলামিক জীবন গড়িয়াছিল</t>
  </si>
  <si>
    <t>ভ্রমণে পরিবর্তন এসেছিল</t>
  </si>
  <si>
    <t>শিক্ষার্থীরা গল্প পড়িয়াছিল</t>
  </si>
  <si>
    <t>লোন প্রদান হইতেছিল</t>
  </si>
  <si>
    <t>প্রয়োজনীয় খাবার কিনিয়াছিলাম</t>
  </si>
  <si>
    <t>নিয়মিত কোরআন পড়িতেছিল</t>
  </si>
  <si>
    <t>আইটি প্রশিক্ষণ পেয়েছিলাম</t>
  </si>
  <si>
    <t>সময়ের সাথে ছিলাম</t>
  </si>
  <si>
    <t>খেলাধুলায় শরীরচর্চা হইতেছিল</t>
  </si>
  <si>
    <t>ভাল প্রশংসা পেয়েছিলাম</t>
  </si>
  <si>
    <t>সংবাদ প্রচার করল</t>
  </si>
  <si>
    <t>জনপ্রিয় প্রোগ্রাম করেছিলাম</t>
  </si>
  <si>
    <t>ইবুক ব্যবহার করেছিলাম</t>
  </si>
  <si>
    <t>একটি কোর্স করিলাম</t>
  </si>
  <si>
    <t>কর্মচারীদের মান বাড়ছিল</t>
  </si>
  <si>
    <t>রেডিও ব্যবহার করেছিলাম</t>
  </si>
  <si>
    <t>সে দার্শনিক ছিলেন</t>
  </si>
  <si>
    <t>আমি স্কাইরাইড করেছিলাম</t>
  </si>
  <si>
    <t>একাউন্টে চাকরি করতাম</t>
  </si>
  <si>
    <t>মানবতার অঙ্গীকার করিয়াছিলাম</t>
  </si>
  <si>
    <t>বেশি ইন্টারনেট চালিয়েছিলাম</t>
  </si>
  <si>
    <t>আমি আলাস্কা গেলাম</t>
  </si>
  <si>
    <t>শিক্ষার মান বাড়ালাম</t>
  </si>
  <si>
    <t>সে টেনিস খেলতেছিল</t>
  </si>
  <si>
    <t>সবাই ব্যাংকে যাইতেছিল</t>
  </si>
  <si>
    <t>আনন্দ অনুষ্ঠান হয়েছিল</t>
  </si>
  <si>
    <t>সফটওয়্যার ডেভেলপ করছিলাম</t>
  </si>
  <si>
    <t>মোবাইল ব্যাংকিং করলেন</t>
  </si>
  <si>
    <t>কার্ড ব্যবহার করিয়াছিলাম</t>
  </si>
  <si>
    <t>মোবাইল ব্যাংকিং করতে তাকে ডেকেছিলাম</t>
  </si>
  <si>
    <t>ক্যামেরায় ছবি তুলছিলাম</t>
  </si>
  <si>
    <t>বৃদ্ধির প্রক্রিয়া চলছিল</t>
  </si>
  <si>
    <t>ভ্রমণ উপভোগ করছিলাম</t>
  </si>
  <si>
    <t>অনলাইন ক্লাস নিয়েছিলাম</t>
  </si>
  <si>
    <t>ভ্রমণের পরিকল্পনা করিয়াছিলাম</t>
  </si>
  <si>
    <t>প্যান ব্যবহার করতাম</t>
  </si>
  <si>
    <t>সফটওয়্যার ব্যবহার করতেছিলাম</t>
  </si>
  <si>
    <t>অনলাইন কোর্স করালাম</t>
  </si>
  <si>
    <t>এপ্লিকেশন ইনস্টল করিলাম</t>
  </si>
  <si>
    <t>এক্সেল ভালো জানতাম</t>
  </si>
  <si>
    <t>সমর্থন প্রকাট হচ্ছিল</t>
  </si>
  <si>
    <t>প্রিন্টার ব্যবহার করেছিলাম</t>
  </si>
  <si>
    <t>বিবিধ খবর ছড়াত</t>
  </si>
  <si>
    <t>মসজিদে হেটে গেলাম</t>
  </si>
  <si>
    <t>ক্যামেরা কিনতে চাইতেছিলাম</t>
  </si>
  <si>
    <t>সালাত আদায় করিয়াছিল</t>
  </si>
  <si>
    <t>বিভিন্ন ভিডিও দেখছিলাম</t>
  </si>
  <si>
    <t>আর্থিক উন্নতি করছিল</t>
  </si>
  <si>
    <t>স্বায়ত্তশাসিত উৎপাদন বেড়েছিল</t>
  </si>
  <si>
    <t>ইসলামিক জীবন গড়িতেছিল</t>
  </si>
  <si>
    <t>দেশান্তর হয়ে গেলাম</t>
  </si>
  <si>
    <t>সবসময় ফুটবল ভালবাসত</t>
  </si>
  <si>
    <t>রাজনীতিতে যোগ দিলাম</t>
  </si>
  <si>
    <t>আইনের প্রস্তুতি নিয়েছিল</t>
  </si>
  <si>
    <t>ভ্রমণে শান্তি পাইলাম</t>
  </si>
  <si>
    <t>বিকাশে সমস্যা ছিল</t>
  </si>
  <si>
    <t>প্রধানমন্ত্রী আলোচনা করলেন</t>
  </si>
  <si>
    <t>লেপটপে সংবাদ দেখলাম</t>
  </si>
  <si>
    <t>পথিকদের খাবার দিতেছিলাম</t>
  </si>
  <si>
    <t>কম্পিউটারের ক্লাস করল</t>
  </si>
  <si>
    <t>ভাল প্রশংসা পাইলাম</t>
  </si>
  <si>
    <t>ভ্রমণে কর্মদক্ষতা বেড়েছিল</t>
  </si>
  <si>
    <t>অর্থনৈতিক হানি হচ্ছিল</t>
  </si>
  <si>
    <t>ব্যাংক হিসাব খুলিয়াছিলাম</t>
  </si>
  <si>
    <t>অবসরে কবিতা লিখিয়াছিল</t>
  </si>
  <si>
    <t>আমি কাশ্মীর গিয়েছিলাম</t>
  </si>
  <si>
    <t>ই বুকের খুজ করেছিলাম</t>
  </si>
  <si>
    <t>সহজেই ইমেইল পাঠালাম</t>
  </si>
  <si>
    <t>মেমরিকার্ড ব্যবহার করেছিলাম</t>
  </si>
  <si>
    <t>জোয়ার আসিতেছিল সমুদ্রে</t>
  </si>
  <si>
    <t>নিয়মিত কোরআন পড়িয়াছিল</t>
  </si>
  <si>
    <t>একাউন্টে টাকা রাখিয়াছিলাম</t>
  </si>
  <si>
    <t>মিটিংয়ে যোগদান করছিলাম</t>
  </si>
  <si>
    <t>সে কম্পিউটার শিখছিল</t>
  </si>
  <si>
    <t>ভ্রমণ পছন্দ করতাম</t>
  </si>
  <si>
    <t>নতুন ফোন চাইলাম</t>
  </si>
  <si>
    <t>শোক প্রকাশ করিলাম</t>
  </si>
  <si>
    <t>ইন্টারনেট ব্যবসা শিখিলাম</t>
  </si>
  <si>
    <t>সরকার গঠন করলাম</t>
  </si>
  <si>
    <t>সে স্কুলে যাচ্ছিল</t>
  </si>
  <si>
    <t>ভ্রমণে শান্তি পাচ্ছিলাম</t>
  </si>
  <si>
    <t>শীতবস্ত্র বিতরণ করিয়াছিলাম</t>
  </si>
  <si>
    <t>নতুন স্মার্টওয়্যাচ কিনতেছিলাম</t>
  </si>
  <si>
    <t>ভার্চুয়ালকিবোর্ড ব্যবহার করেছিলাম</t>
  </si>
  <si>
    <t>বেতন বৃদ্ধি পেয়েছিল</t>
  </si>
  <si>
    <t>বটিম নিরাপদ ছিলনা</t>
  </si>
  <si>
    <t>আইটি প্রশিক্ষণ নিতাম</t>
  </si>
  <si>
    <t>রকেটে টাকা পাঠাইলাম</t>
  </si>
  <si>
    <t>শিক্ষায় সমৃদ্ধি হচ্ছিল</t>
  </si>
  <si>
    <t>ইউকিপিডিয়া তথ্য পেলাম</t>
  </si>
  <si>
    <t>সে গণিত করছিল</t>
  </si>
  <si>
    <t>কার্ড ব্যবহার করিলাম</t>
  </si>
  <si>
    <t>ইন্টারনেটে সংগীত শোনতেছিলাম</t>
  </si>
  <si>
    <t>খেলাধুলায় অংশগ্রহণ করিলাম</t>
  </si>
  <si>
    <t>রাজনীতির বিকাশ হল</t>
  </si>
  <si>
    <t>ওয়াইফাই ব্যবহার করেছিলাম</t>
  </si>
  <si>
    <t>শিক্ষকরা গবেষণা করছিল</t>
  </si>
  <si>
    <t>শিক্ষার্থীরা পরিশ্রমে করতেছিল</t>
  </si>
  <si>
    <t>ইবুক ব্যবহার করছিলাম</t>
  </si>
  <si>
    <t>ভিডিও ভার্তা পাঠাচ্ছিলাম</t>
  </si>
  <si>
    <t>রাজনীতি পরিবর্তন হয়েছিল</t>
  </si>
  <si>
    <t>আমি শব্দ করিয়াছিলাম</t>
  </si>
  <si>
    <t>সবাই স্কুলে গিয়েছিলাম</t>
  </si>
  <si>
    <t>টাকা পাঠাইলাম উপায়ে</t>
  </si>
  <si>
    <t>সানিয়া বেডমিন্টন খেলে</t>
  </si>
  <si>
    <t>রফতানি কম হয়েছিল</t>
  </si>
  <si>
    <t>কার্যকরী ভোট দিয়েছিল</t>
  </si>
  <si>
    <t>আমি স্কাইরাইড করতেছিলাম</t>
  </si>
  <si>
    <t>ব্যাংক গ্রাহক আসল</t>
  </si>
  <si>
    <t>পথিকদের খাবার দিলাম</t>
  </si>
  <si>
    <t>ই পাসপোর্ট তৈরি করলাম</t>
  </si>
  <si>
    <t>কাঞ্চনজঙ্ঘায় বরফ ছিল</t>
  </si>
  <si>
    <t>তুমি নোট লিখলে</t>
  </si>
  <si>
    <t>ইন্টারনেটে তথ্য পাঠাইলাম</t>
  </si>
  <si>
    <t>তারা সফল হচ্ছিল</t>
  </si>
  <si>
    <t>সময়ের অপচয় হল</t>
  </si>
  <si>
    <t>শৃঙ্খলাময় জীবনযাপন করতেছিলাম</t>
  </si>
  <si>
    <t>সমুদ্র ভ্রমণ করিয়াছিল</t>
  </si>
  <si>
    <t>সে বই লিখেছিল</t>
  </si>
  <si>
    <t>হেডফোন ব্যবহার করতাম</t>
  </si>
  <si>
    <t>প্রজন্মের সমৃদ্ধি পেল</t>
  </si>
  <si>
    <t>সৎ পরামর্শ চেয়েছিল</t>
  </si>
  <si>
    <t>ই বুক পড়তে বসলাম</t>
  </si>
  <si>
    <t>ব্যাংক হিসাব দিল</t>
  </si>
  <si>
    <t>গ্লুকোজ ছিল পরিপেষক</t>
  </si>
  <si>
    <t>ইবুক ব্যবহার করতে টাকা লেগেছিল</t>
  </si>
  <si>
    <t>রাজনীতি পছন্দ করিলাম</t>
  </si>
  <si>
    <t>ভ্রমণ উপভোগ করলাম</t>
  </si>
  <si>
    <t>আইটি প্রশিক্ষণ নিচ্ছিলাম</t>
  </si>
  <si>
    <t>পড়াশোনায় ভাল করতেছিলাম</t>
  </si>
  <si>
    <t>আমি সংখ্যা শিখিলাম</t>
  </si>
  <si>
    <t>জটিল গণণা করলাম</t>
  </si>
  <si>
    <t>ছাত্রাবাসে জীবন কাটিয়াছিল</t>
  </si>
  <si>
    <t>ক্রিকেট পছন্দ করিতেছিল</t>
  </si>
  <si>
    <t>কম্পিউটার ব্যবহার করে সময় কাটাচ্ছিলাম</t>
  </si>
  <si>
    <t>কম্পিউটার ব্যবহার করছিলাম</t>
  </si>
  <si>
    <t>ব্যাংকিং সুবিধা পাইয়াছিলাম</t>
  </si>
  <si>
    <t>ভ্রমন শুরু করিলাম</t>
  </si>
  <si>
    <t>শিক্ষার মান বাড়ালাম</t>
  </si>
  <si>
    <t>নিয়মিত কোরআন পড়লাম</t>
  </si>
  <si>
    <t>টাকা গণনা করলাম</t>
  </si>
  <si>
    <t>ব্যাংক লোন দিল</t>
  </si>
  <si>
    <t>বাজারে মুল্য বেড়েছিল</t>
  </si>
  <si>
    <t>ওয়েবসাইটে খবর পড়িলাম</t>
  </si>
  <si>
    <t>বিনোদনের আনন্দ খুজিলাম</t>
  </si>
  <si>
    <t>কলেজ অবস্থান করিতেছিল</t>
  </si>
  <si>
    <t>ক্যামেরায় ছবি তুলিয়াছিলাম</t>
  </si>
  <si>
    <t>আমি বই পড়িতেছিলাম</t>
  </si>
  <si>
    <t>ক্ষুধার্তকে অন্ন দিয়েছিলাম</t>
  </si>
  <si>
    <t>ফ্লপিডিস্ক ব্যবহার করেছিলাম</t>
  </si>
  <si>
    <t>কলেজ পর্যবেক্ষণ করিতেছিলাম</t>
  </si>
  <si>
    <t>মিটিংয়ে যোগদান করিয়াছিলাম</t>
  </si>
  <si>
    <t>ব্যাংক স্থায়ী হচ্ছিল</t>
  </si>
  <si>
    <t>মোবাইল ব্যাংকিং করলাম</t>
  </si>
  <si>
    <t>কলেজে ছাত্ররা খেলেতেছিলাম</t>
  </si>
  <si>
    <t>হিসাব প্রবন্ধন করলেন</t>
  </si>
  <si>
    <t>সাগর স্নিগ্ধতা ছড়াল</t>
  </si>
  <si>
    <t>ইতিহাস আলোচনা হয়েছিল</t>
  </si>
  <si>
    <t>অনলাইন কোর্স করছিলাম</t>
  </si>
  <si>
    <t>প্রযুক্তির জ্ঞান ছিল</t>
  </si>
  <si>
    <t>সে ব্লগ করেছিল</t>
  </si>
  <si>
    <t>ভ্রমণকারীরা পরিব্রাজক ছিল</t>
  </si>
  <si>
    <t>জিপিএস চালু করল</t>
  </si>
  <si>
    <t>সে ব্লগ করল</t>
  </si>
  <si>
    <t>ক্যামেরা ব্যবহার করতাম</t>
  </si>
  <si>
    <t>বিকাশে টাকা পাঠাইছিলাম</t>
  </si>
  <si>
    <t>নতুন ল্যাপটপ কিনতেছিলাম</t>
  </si>
  <si>
    <t>ইউকিপিডিয়া তথ্য খুজতেছিলাম</t>
  </si>
  <si>
    <t>স্মার্টফোনে অ্যাপস ছিল</t>
  </si>
  <si>
    <t>সুখের উপাদান খুঁজলাম</t>
  </si>
  <si>
    <t>সেমিস্টার এনরোল করেছিলাম</t>
  </si>
  <si>
    <t>নতুন কিছু পড়াচ্ছিলাম</t>
  </si>
  <si>
    <t>নতুন ল্যাপটপ কিনে তাকে দিয়েছিলাম</t>
  </si>
  <si>
    <t>আমি স্কুলে গিয়েছিলাম</t>
  </si>
  <si>
    <t>সুরক্ষামূলক ঔষধ নিলাম</t>
  </si>
  <si>
    <t>সফটওয়্যার ট্রায়াল করয়াছিলাম</t>
  </si>
  <si>
    <t>পথশিশুদের সাহায্য করলে</t>
  </si>
  <si>
    <t>তারা কাব্য লিখেছিল</t>
  </si>
  <si>
    <t>সে বই পড়ত</t>
  </si>
  <si>
    <t>ছাত্রাবাসে জীবন কাটল</t>
  </si>
  <si>
    <t>সে নোট লিখিয়াছিল</t>
  </si>
  <si>
    <t>তুমি ইংরেজি পড়ল</t>
  </si>
  <si>
    <t>জেলেরা মাছ ধরতেছিল</t>
  </si>
  <si>
    <t>বিদ্যার দ্বার খুললাম</t>
  </si>
  <si>
    <t>জীবনে সুবিধা চাইলাম</t>
  </si>
  <si>
    <t>ড্রোন ব্যবহার করতাম</t>
  </si>
  <si>
    <t>রেডিও ব্যবহার করছিলাম</t>
  </si>
  <si>
    <t>ছাত্ররা ফুটবল খেলিয়াছিল</t>
  </si>
  <si>
    <t>নেক্সাস ব্যাবহার করতাম</t>
  </si>
  <si>
    <t>টাকা উত্তোলন করলাম</t>
  </si>
  <si>
    <t>আমি আউটসোর্সিং করতাম</t>
  </si>
  <si>
    <t>আমি ভ্রমণ করিয়াছিলাম</t>
  </si>
  <si>
    <t>ক্যামেরা কিনতে চাইতাম</t>
  </si>
  <si>
    <t>সে ছিল প্রোগ্রামার</t>
  </si>
  <si>
    <t>সংবাদ প্রচার করিয়াছিল</t>
  </si>
  <si>
    <t>স্যাটেলাইট স্থানান্তর হয়েছিল</t>
  </si>
  <si>
    <t>অনলাইনে কোর্স করিলাম</t>
  </si>
  <si>
    <t>লোন চাওয়া হচ্ছিল</t>
  </si>
  <si>
    <t>আয়নের অভাব ছিল</t>
  </si>
  <si>
    <t>ব্যাংকে পরিদর্শন করতেছিলাম</t>
  </si>
  <si>
    <t>সে টেনিস খেলত</t>
  </si>
  <si>
    <t>ভালো ছাত্র ছিলাম</t>
  </si>
  <si>
    <t>আনন্দময় ভ্রমণ করলাম</t>
  </si>
  <si>
    <t>শিক্ষার আশ্রয় নিলাম</t>
  </si>
  <si>
    <t>পণ্য প্রবর্তন হয়েছিল</t>
  </si>
  <si>
    <t>সহজেই ইমেইল লিখেছিলাম</t>
  </si>
  <si>
    <t>ডেস্কটপ ব্যবহার করছিলাম</t>
  </si>
  <si>
    <t>শীতকালে কষ্ট করিয়াছিলাম</t>
  </si>
  <si>
    <t>লোন সুবিধা নিলাম</t>
  </si>
  <si>
    <t>টুইটার পোস্ট করেছিলাম</t>
  </si>
  <si>
    <t>আগ্রহ প্রকাশ করিলাম</t>
  </si>
  <si>
    <t>রফতানি বৃদ্ধি পাচ্ছিল</t>
  </si>
  <si>
    <t>লিনাক্স অপারেটিং শিখলাম</t>
  </si>
  <si>
    <t>তুমি স্লাইসড পিজ্জা খেয়েছিলে</t>
  </si>
  <si>
    <t>পুইশাক আমি পছন্দ করতাম</t>
  </si>
  <si>
    <t>তিনি নাটক আসরে ছিলেন</t>
  </si>
  <si>
    <t>কলেজে ছাত্ররা পরীক্ষা দিয়েছিল</t>
  </si>
  <si>
    <t>অনেক খেলার আয়োজন হয়েছিল</t>
  </si>
  <si>
    <t>ব্যাংক হিসাব বন্ধ হয়েছিল</t>
  </si>
  <si>
    <t>বই পড়তে ব্যবহার করেছিলেন</t>
  </si>
  <si>
    <t>আমরা সফলতার সন্ধান করিতেছিলাম</t>
  </si>
  <si>
    <t>সাতারু সমুদ্র পাড়ি দিয়েছিল</t>
  </si>
  <si>
    <t>মন্ত্রিসভায় বসছিল আলোচনা হতে</t>
  </si>
  <si>
    <t>মন্ত্রিসভায় বসছিল আলোচনা করতে</t>
  </si>
  <si>
    <t>মাছ চাষ করতেন শিলবাবু</t>
  </si>
  <si>
    <t>আমি নাট্যকর্ম দেখলাম সপ্তাহে</t>
  </si>
  <si>
    <t>নেতা স্বীকৃতি দিয়েছিল জনমতে</t>
  </si>
  <si>
    <t>তিনি একটি বৃদ্ধি পেয়েছেন</t>
  </si>
  <si>
    <t>আমি একটি দরবার ঘুরেছিলাম</t>
  </si>
  <si>
    <t>স্টেক রোস্ট করলাম উৎসবে</t>
  </si>
  <si>
    <t>ফুটবল খেলেছিল গত বছরে</t>
  </si>
  <si>
    <t>চিংড়ি মাছ ধরেছিল নদীতে</t>
  </si>
  <si>
    <t>নতুন কাজ তৈরি করতেছিলেন</t>
  </si>
  <si>
    <t>ছাত্ররা ফুটবল আয়েজন করেছিল</t>
  </si>
  <si>
    <t>আমরা বিয়েতে বিভিন্ন খেয়েছিলাম</t>
  </si>
  <si>
    <t>তারা পানির সান্ডউইচ খেয়েছিলে</t>
  </si>
  <si>
    <t>প্রতিষ্ঠানের কমিটি গঠন হয়েছিল</t>
  </si>
  <si>
    <t>আমরা মাছ ভর্তা করেছিলাম</t>
  </si>
  <si>
    <t>আমরা প্রতিযোগীতার আয়োজন করলাম</t>
  </si>
  <si>
    <t>আমি স্যান্ডউইচ তৈরি করছিলাম</t>
  </si>
  <si>
    <t>সংগীত ছবির রোমাঞ্চ বাড়িয়েছিলো</t>
  </si>
  <si>
    <t>টেস্টিং ভুল সংশোধন করলাম</t>
  </si>
  <si>
    <t>খেলা চলেছিল দুইঘণ্টা ধরে</t>
  </si>
  <si>
    <t>এই এপ্লিকেশনটি ইন্সটল হয়েছিল</t>
  </si>
  <si>
    <t>অনুশীলন করেছিলেন পূর্বের মাসে</t>
  </si>
  <si>
    <t>একমাস ধরে উপস্থিত ছিলেন</t>
  </si>
  <si>
    <t>গল্প লেখতাম মাসের জন্য</t>
  </si>
  <si>
    <t>ব্যাটসম্যান বলের ব্যবহার করেছিল সঠিকভাবে</t>
  </si>
  <si>
    <t>তুমি হরর মুভি দেখলে</t>
  </si>
  <si>
    <t>হার কমেছিল অবৈধ বাজারে</t>
  </si>
  <si>
    <t>প্রজাতন্ত্র ঘোষণা করেছিল প্রধানমন্ত্রী</t>
  </si>
  <si>
    <t>এটা হয়েছিল ধৈর্যশীল ম্যাচ</t>
  </si>
  <si>
    <t>নেতা প্রতিদ্বন্দ্বীদের হারিয়েছিল নির্বাচনে</t>
  </si>
  <si>
    <t>জল্প্রপাত দেখতে সুন্দর ছিল</t>
  </si>
  <si>
    <t>গাড়িতে করে ঘুরতে গিয়েছিলাম</t>
  </si>
  <si>
    <t>নতুন ফ্রেমওয়ার্কে কাজ হল</t>
  </si>
  <si>
    <t>আমরা খাসি মাংস ভুনছিলাম</t>
  </si>
  <si>
    <t>ব্যবসায়ীরা পরিকল্পনা করছিলেন নির্বিঘ্নে</t>
  </si>
  <si>
    <t>পার্কে বসে গল্প করতাম</t>
  </si>
  <si>
    <t>তিনি পাখির মেলায় গিয়েছিলেন</t>
  </si>
  <si>
    <t>নিয়মিত শরীরচর্চা অভ্যাস ছিল</t>
  </si>
  <si>
    <t>মিষ্টি তৈরিতে চেষ্টা করলাম</t>
  </si>
  <si>
    <t>তীব্র আলোচনা হয়েছিল সংসদে</t>
  </si>
  <si>
    <t>আক্রমণ হয়েছিল শত্রুবাহিনী দ্বারা</t>
  </si>
  <si>
    <t>মাটি খুব উত্তেজনাত্মক ছিল</t>
  </si>
  <si>
    <t>প্রতিষ্ঠানে ঘটছিল কঠিন আলোচনা</t>
  </si>
  <si>
    <t>প্রতিষ্ঠানে সংঘটিত হয়েছিল আলোচনার সমাবেশ</t>
  </si>
  <si>
    <t>পানীর টিকা খেয়েছিলাম রেস্তোরাঁতে</t>
  </si>
  <si>
    <t>কোম্পানি লাভ কমছিল মৌসুমে</t>
  </si>
  <si>
    <t>তুমি বাঙালি মাছ ভাজতেছিল</t>
  </si>
  <si>
    <t>আমি ট্যুরগাইডের সাথে ছিলাম</t>
  </si>
  <si>
    <t>তারা সার্কাসে ছিলেন সোমবার</t>
  </si>
  <si>
    <t>সে দ্রুত মুভি দেখলে</t>
  </si>
  <si>
    <t>প্রজাতন্ত্রের প্রতিষ্ঠা করেছিল জনমতে</t>
  </si>
  <si>
    <t>খেলোয়াররা অবসরে খেলাধুলা করিতেছিল</t>
  </si>
  <si>
    <t>শৈশবে নিয়মিত কোরআন পড়িয়াছিলাম</t>
  </si>
  <si>
    <t>গেইমিং ল্যাপটপ দিয়ে খেলেছিলেন</t>
  </si>
  <si>
    <t>বাজেট অনুমোদন হলো সংসদে</t>
  </si>
  <si>
    <t>টেনিস ম্যাচ রোমাঞ্চকর ছিল</t>
  </si>
  <si>
    <t>বাগানে প্রস্তুতি সম্পন্ন হয়েছিল</t>
  </si>
  <si>
    <t>উৎপাদন বন্ধ হয়েছিল গতমাসে</t>
  </si>
  <si>
    <t>মাউন্টেন ট্রেকিং করেছিলেন জুলাইতে</t>
  </si>
  <si>
    <t>ফুটবল খেলছিল উত্সাহে সঠিকভাবে</t>
  </si>
  <si>
    <t>বিএনপি থেকে বিচারপতি হয়েছিলেন</t>
  </si>
  <si>
    <t>হকি খেলা আয়োজিত হয়েছিল</t>
  </si>
  <si>
    <t>বাজার থেকে মাছ কিনেছিল</t>
  </si>
  <si>
    <t>আমরা জঙ্গলে ছিলাম গতবছর</t>
  </si>
  <si>
    <t>দই বানালাম প্রাতে ব্রাকফাস্টে</t>
  </si>
  <si>
    <t>তুমি চিকেন স্যুপ বানাচ্ছিলে</t>
  </si>
  <si>
    <t>নেতারা সভা আয়োজন করেছিল</t>
  </si>
  <si>
    <t>কৃষক বাগানে কাজ করতেছিলেন</t>
  </si>
  <si>
    <t>ধান চাষ হয়েছিল প্রথমে</t>
  </si>
  <si>
    <t>দুইসপ্তাহ ধরে চালু ছিল</t>
  </si>
  <si>
    <t>সেচ দেওয়া হয়েছিল প্রয়োজনে</t>
  </si>
  <si>
    <t>সরকারের নীতি প্রতিরোধ সৃষ্টি করছিল</t>
  </si>
  <si>
    <t>মাছ জাতীয় প্রতিষ্ঠান ছিল</t>
  </si>
  <si>
    <t>শেয়ার মূল্য বাড়তি পেয়েছিল</t>
  </si>
  <si>
    <t>গল্ফ খেলছিল শান্ত পরিবেশে</t>
  </si>
  <si>
    <t>তুমি ফাইলটি রিড করছিলে</t>
  </si>
  <si>
    <t>স্ক্রিপ্টিং ভাষা ব্যবহার হয়েছিল</t>
  </si>
  <si>
    <t>খেলোয়াড়েরা ভাল পারফরম্যান্স দিয়েছিল</t>
  </si>
  <si>
    <t>প্রতিযোগিতায় জয় অর্জন করেছিল</t>
  </si>
  <si>
    <t>বৃদ্ধি হয়েছিল মূল্য পরিবর্তনে</t>
  </si>
  <si>
    <t>পার্টির অনুযায়ী গঠন হয়েছিল</t>
  </si>
  <si>
    <t>প্রতিষ্ঠানে নির্বাচন সম্পন্ন হলো</t>
  </si>
  <si>
    <t>মাছের কাবাব বানালাম বিশেষভবে</t>
  </si>
  <si>
    <t>আমি ছবি দেখলাম সকালে</t>
  </si>
  <si>
    <t>সংবাদপত্রিকা প্রকাশ করছিল নিয়মিতভাবে</t>
  </si>
  <si>
    <t>খেলছিল দুর্দান্ত উৎসাহে</t>
  </si>
  <si>
    <t>বৈশিষ্ট্যযুক্ত সফটওয়্যার উন্নত হয়েছিল</t>
  </si>
  <si>
    <t>তিনি সমুদ্র কিনারে ছিলেন</t>
  </si>
  <si>
    <t>দুপুর সময় চলচ্চিত্র দেখেছিল</t>
  </si>
  <si>
    <t>ক্রিকেট খেলায় পরাজিত হয়েছিল</t>
  </si>
  <si>
    <t>আমরা সমীক্ষা করেছিলাম আগে</t>
  </si>
  <si>
    <t>তারা ব্যাংক লেনদেন দেখেছিলেন</t>
  </si>
  <si>
    <t>তুমি আইসক্রিম খেয়েছিলে পার্টিতে</t>
  </si>
  <si>
    <t>টেলিভিশন অবগতি দেওয়া হয়েছিল</t>
  </si>
  <si>
    <t>ম্যাচ ছিল বৃষ্টির মধ্যে</t>
  </si>
  <si>
    <t>ভ্রমণকারী সমুদ্র ভ্রমণ করিয়াছিল</t>
  </si>
  <si>
    <t>তার চেক দরকার ছিল</t>
  </si>
  <si>
    <t>জঙ্গলে হাইকিং করেছিলেন একবার</t>
  </si>
  <si>
    <t>প্রথম সেট জিতেছিল সহজে</t>
  </si>
  <si>
    <t>তারা বই পড়েছিল সকালে</t>
  </si>
  <si>
    <t>মাছ দিয়ে খাবার খেলাম</t>
  </si>
  <si>
    <t>বিগডাটার প্রজেক্ট করা হয়েছিল</t>
  </si>
  <si>
    <t>আমি কোডিংএ মনযোগী হইলাম</t>
  </si>
  <si>
    <t>জয় পেয়েছিল দক্ষতার সাথে</t>
  </si>
  <si>
    <t>আজকের খাবার বাহিরে খেয়েছিলাম</t>
  </si>
  <si>
    <t>একটি প্রাচীন দরবার ছিল</t>
  </si>
  <si>
    <t>ফসল পরিচর্যা প্রয়োজন ছিল</t>
  </si>
  <si>
    <t>আমি একমাস ধরে কোরআন পড়ছিলাম</t>
  </si>
  <si>
    <t>তুমি আলুর ভাজা করছিলে</t>
  </si>
  <si>
    <t>চা প্রস্তুত করতে হয়েছিল</t>
  </si>
  <si>
    <t>তুমি স্পাঘেটি বোলিং করেছিলে</t>
  </si>
  <si>
    <t>তখন ড্রামা পড়তেছিলাম আমি</t>
  </si>
  <si>
    <t>তুমি পুলে সাঁতার করছিলে</t>
  </si>
  <si>
    <t>তারা বাড়িতে ডিনার বানাচ্ছিলে</t>
  </si>
  <si>
    <t>তিনি ড্রামা দেখলেন সকালে</t>
  </si>
  <si>
    <t>বিশেষ রান্না করা হয়েছিল</t>
  </si>
  <si>
    <t>টেলিভিশন সম্প্রচার দেখা হচ্ছিল</t>
  </si>
  <si>
    <t>উৎপাদন বৃদ্ধি পেয়েছিল এই মাসে</t>
  </si>
  <si>
    <t>মিশ্রিত সবজি ভুনছিলেন নাস্তায়</t>
  </si>
  <si>
    <t>প্রচারে যাচ্ছিল প্রতিষ্ঠানের সংবাদ</t>
  </si>
  <si>
    <t>আমরা সবাই প্রতিষ্ঠানের সংবাদ প্রচার করেছিলাম</t>
  </si>
  <si>
    <t>প্রোগ্রামে ভুল সংশোধন হয়েছিল</t>
  </si>
  <si>
    <t>আমি প্যাস্তা খেয়েছিলাম বিয়েতে</t>
  </si>
  <si>
    <t>প্রতিষ্ঠানে নির্বাচন হয়েছিল এইমাসে</t>
  </si>
  <si>
    <t>খেলোয়াড়রা প্রশিক্ষণ নিয়েছিল সেপ্টেম্বরে</t>
  </si>
  <si>
    <t>খেলোয়াড়রা জয় অর্জিত করেছিলেন</t>
  </si>
  <si>
    <t>নতুন পাঠ্যধারা চালু হয়েছিলো</t>
  </si>
  <si>
    <t>আমি জঙ্গলএ সাফারি করছিলাম</t>
  </si>
  <si>
    <t>শস্য কাটা হয়েছিল গতমাসে</t>
  </si>
  <si>
    <t>পরিবহন মূল্য বাড়তি হয়েছিল</t>
  </si>
  <si>
    <t>উত্সাহে সঠিকভাবে প্রতিযোগিতায়ে খেলছিল</t>
  </si>
  <si>
    <t>কোড বেস ডিজাইন হয়েছিল</t>
  </si>
  <si>
    <t>মাউন্টেন বাইক ভাড়ায় নিয়েছিলেন</t>
  </si>
  <si>
    <t>মাঠে আম্পায়ার নির্দেশনা দিতেছিল</t>
  </si>
  <si>
    <t>দলের সভাপতি কথা বলছিলেন</t>
  </si>
  <si>
    <t>দলের সভাপতি কথা বলার জন্য ডেকে ছিলেন</t>
  </si>
  <si>
    <t>আমরা নতুন ফাংশন বাড়ালাম</t>
  </si>
  <si>
    <t>তার ঋণ শোধ করেছিল</t>
  </si>
  <si>
    <t>সবাই সুন্দরবন দেখতে গিয়েছিলাম</t>
  </si>
  <si>
    <t>একটি ক্লাসিক চলচ্চিত্র দেখেছিলেন</t>
  </si>
  <si>
    <t>শুঁকাচ্ছিলাম মিষ্টি আচার সহ</t>
  </si>
  <si>
    <t>সে বাগ রিপোর্ট করেছিল</t>
  </si>
  <si>
    <t>সংসদে চলছিল উত্তরাধিকারি মাঝে</t>
  </si>
  <si>
    <t>আমরা বিভিন্ন দেশে ঘুরতেছিলাম</t>
  </si>
  <si>
    <t>মুরগির বিরিয়ানি তৈরি করছিলাম</t>
  </si>
  <si>
    <t>মাছ ভর্তা পছন্দ করতাম</t>
  </si>
  <si>
    <t>প্রোগ্রামাররা নতুন ল্যাঙ্গুয়েজ শিখেছিল</t>
  </si>
  <si>
    <t>ব্যাডমিন্টন খেলেছিলেন উত্সাহে পূর্বে</t>
  </si>
  <si>
    <t>মোবাইল সফটওয়্যার আপডেট হয়েছিল</t>
  </si>
  <si>
    <t>মূলধন বেড়েছিল তিন দিনে</t>
  </si>
  <si>
    <t>নির্মাণখাতে অপ্রয়োজনীয় খরচ হয়েছিল</t>
  </si>
  <si>
    <t>আমরা ব্যাট করেছিলাম বেশি</t>
  </si>
  <si>
    <t>তোমার জন্য ফুল নিয়েছিলাম</t>
  </si>
  <si>
    <t>শিক্ষক ছাত্রছাত্রীদের পাঠ দিতো</t>
  </si>
  <si>
    <t>তারা চকলেট খেয়েছিলে বাড়িতে</t>
  </si>
  <si>
    <t>প্রাথমিকভাবে জয় লাভ করেছিল</t>
  </si>
  <si>
    <t>বিভিন্ন স্বাদের নাস্তা বানালাম</t>
  </si>
  <si>
    <t>যোগদান করলেন জনপ্রিয় নেতা</t>
  </si>
  <si>
    <t>কম্পিউটার এক্সেসারি কিনেছিল অনলাইনে</t>
  </si>
  <si>
    <t>বাজার থেকে মিষ্টি কিনছিলেন</t>
  </si>
  <si>
    <t>প্রধানমন্ত্রী পদত্যাগ করেছিল সভায়</t>
  </si>
  <si>
    <t>সবাই গান গাইতে বসল</t>
  </si>
  <si>
    <t>রানিং রেস হয়েছিল গতমাসে</t>
  </si>
  <si>
    <t>একটি টেকনিক্যাল ডকুমেন্ট লিখেছিলাম</t>
  </si>
  <si>
    <t>জানুয়ারিতে শীতকালীন ষ্টেশনে ছিলেন</t>
  </si>
  <si>
    <t>ইংরেজি প্রবন্ধ পড়তাম আমরা</t>
  </si>
  <si>
    <t>আমি ঋণ পরিশোধ করতাম</t>
  </si>
  <si>
    <t>অবসরে শান্তি উপভোগ করিলাম</t>
  </si>
  <si>
    <t>মাংসের রোস্ট তৈরি করছিলাম</t>
  </si>
  <si>
    <t>নগরপালিকা নির্বাচন হয়েছিল আগেই</t>
  </si>
  <si>
    <t>বৃষ্টির জন্য সতর্ক ছিলেন</t>
  </si>
  <si>
    <t>তিনি একটি চিত্র আঁকছিলেন</t>
  </si>
  <si>
    <t>মাছ ভাজা পছন্দ করতাম</t>
  </si>
  <si>
    <t>প্রোগ্রামিং ভাষা ইনভেন্ট হলো</t>
  </si>
  <si>
    <t>যুদ্ধ সমাধান আয়োজন হলো</t>
  </si>
  <si>
    <t>নতুন প্রযুক্তি অগ্রগতি হয়েছিল</t>
  </si>
  <si>
    <t>সহায়তায় বাগান পরিচালনা করেছিলেন</t>
  </si>
  <si>
    <t>তুমি মিষ্টি প্রস্তুত করছিলে</t>
  </si>
  <si>
    <t>পরামর্শের জন্য সেখানে গিয়েছিলাম</t>
  </si>
  <si>
    <t>উন্নতি হয়েছিল সেবার অংশে</t>
  </si>
  <si>
    <t>ছাত্রাবাসে জীবন অতিবাহিত করছিলাম</t>
  </si>
  <si>
    <t>পদত্যাগের কথা আলোচনা চলছিল</t>
  </si>
  <si>
    <t>তারা শহরে প্রদর্শনী দেখেছিল</t>
  </si>
  <si>
    <t>বিভিন্ন স্বাদের নাস্তা ছিল</t>
  </si>
  <si>
    <t>আমরা মসজিদে হেটে পৌঁছালাম</t>
  </si>
  <si>
    <t>প্রজাতন্ত্রের বিরোধমূলক আলোচনা চলছিল</t>
  </si>
  <si>
    <t>তুমি গতবছরে উচ্চশিক্ষা করছিলে</t>
  </si>
  <si>
    <t>তোমার প্রোজেক্ট সফল হয়েছিলে</t>
  </si>
  <si>
    <t>আমি আলু ভর্তা করছিলাম</t>
  </si>
  <si>
    <t>একটি থ্রিলার দেখতেছিলাম রাতে</t>
  </si>
  <si>
    <t>তুমি মাছের কাবাব বানাচ্ছিলে</t>
  </si>
  <si>
    <t>ডেভেলপার সফটওয়্যার টেস্টিং করলেন</t>
  </si>
  <si>
    <t>কম্পিউটার সফটওয়্যার উন্নত হয়েছিল</t>
  </si>
  <si>
    <t>পূর্বে বৈশিষ্ট্য আপগ্রেড হয়েছিল</t>
  </si>
  <si>
    <t>আম সংগ্রহ করা হয়েছিল</t>
  </si>
  <si>
    <t>আম সংগ্রহ করে বিদেশ পাঠানো হয়েছিল</t>
  </si>
  <si>
    <t>মাখন দিয়ে রুটি খেয়েছিলাম</t>
  </si>
  <si>
    <t>খেলেছিল পূর্বের মাসে স্টেডিয়ামে</t>
  </si>
  <si>
    <t>টেনিস কোর্টে খেলা হয়েছিল</t>
  </si>
  <si>
    <t>আজকে বাড়িতে মাছ খেয়েছিল</t>
  </si>
  <si>
    <t>ব্যাটসম্যানটি সেন্চুরি করেছিলেন প্রথমে</t>
  </si>
  <si>
    <t>আমরা নাট্যকর্ম দেখতাম সপ্তাহে</t>
  </si>
  <si>
    <t>শোকহারিত শ্রমিকদের ক্ষোভ ছিল</t>
  </si>
  <si>
    <t>টেস্টিং সফটওয়্যার কোয়ালিটি বাড়ল</t>
  </si>
  <si>
    <t>তুমি আলু পোস্তো খেয়েছিলে</t>
  </si>
  <si>
    <t>তুমি আলু পোস্তো খেতে চেয়েছিলে</t>
  </si>
  <si>
    <t>প্রিমিয়ার প্রদর্শনীতে অংশগ্রহণ করলাম</t>
  </si>
  <si>
    <t>বাণিজ্যিক উন্নতি দেখা গিয়েছিল</t>
  </si>
  <si>
    <t>পূর্বে প্রজেক্ট সম্পন্ন হয়েছিলো</t>
  </si>
  <si>
    <t>বিগডাটার প্রজেক্ট উপাস্থাপনা হলো</t>
  </si>
  <si>
    <t>পাতা পোকায় আক্রান্ত হয়েছিল</t>
  </si>
  <si>
    <t>কোডিং করছিলাম সমস্ত দিন</t>
  </si>
  <si>
    <t>তারা সঞ্চয় খাতা খুললেন</t>
  </si>
  <si>
    <t>আমরা ব্যাংক খুলতে অনুমোদন পেয়েছিলাম</t>
  </si>
  <si>
    <t>তারা নতুন নাটক দেখেছিলেন</t>
  </si>
  <si>
    <t>আমরা পোলাও সিদ্ধ করছিলাম</t>
  </si>
  <si>
    <t>ফুটবল খেলা হয়েছিল স্টেডিয়ামে</t>
  </si>
  <si>
    <t>পুইশাক দিয়ে রান্না হল</t>
  </si>
  <si>
    <t>ফুটবল খেলা হচ্ছিল জমিনে</t>
  </si>
  <si>
    <t>বসন্তে অনেক ফুল দেখেছিলাম</t>
  </si>
  <si>
    <t>তিনি চিত্র চিত্রিত করলেন</t>
  </si>
  <si>
    <t>ব্যবসায়িক ক্ষতি কমছিল শতকে</t>
  </si>
  <si>
    <t>তারা ট্রেনে বসে যাচ্ছিলেন</t>
  </si>
  <si>
    <t>সরকারের নারাজগিরা প্রকাশ হয়েছিল</t>
  </si>
  <si>
    <t>আলু ভাজেছিলে বিফের সাথে</t>
  </si>
  <si>
    <t>সে বাড়িতে সবজি খেয়েছিল</t>
  </si>
  <si>
    <t>যে দলটি জয় করেছিল</t>
  </si>
  <si>
    <t>সরকার গড়লাম সভার পরে</t>
  </si>
  <si>
    <t>শেয়ার মূল্য বেড়েছিল গতবছরে</t>
  </si>
  <si>
    <t>সে শিশুমেলায় ঘুরতে গিয়েছিল</t>
  </si>
  <si>
    <t>তিনি বিশ্ববিদ্যালয়ে সাঁতার শেখালেন</t>
  </si>
  <si>
    <t>নায়কের সিনেমা দেখেছিলেন সকালে</t>
  </si>
  <si>
    <t>স্কুলের ছাত্ররা হাডুডু খেলেছিল</t>
  </si>
  <si>
    <t>ফসল রোপণ করা হয়েছিল</t>
  </si>
  <si>
    <t>আমরা সানসেটে সৈকতে ছিলাম</t>
  </si>
  <si>
    <t>খেলোয়াড়রা অনুশীলন করেছিলেন আগে</t>
  </si>
  <si>
    <t>মাখন দিয়ে নাস্তা বানালাম</t>
  </si>
  <si>
    <t>প্রতিষ্ঠানিক নির্বাচনে জয়ী হয়েছিল</t>
  </si>
  <si>
    <t>টেনিস খেলায় জয়ী হয়েছিল</t>
  </si>
  <si>
    <t>আমরা লোন প্রদান করেছিলাম</t>
  </si>
  <si>
    <t>গত সপ্তাহে ট্রেনে ছিলাম</t>
  </si>
  <si>
    <t>তুমি সাইনফাই মুভি দেখলে</t>
  </si>
  <si>
    <t>দলের প্রার্থী উত্তরাধিকারী হয়েছিল</t>
  </si>
  <si>
    <t>ফলের সালাদ বানাচ্ছিল রাতে</t>
  </si>
  <si>
    <t>প্রধানের কথা আলোচনা চলছিল</t>
  </si>
  <si>
    <t>আমি ডিম ভুনা খেলাম</t>
  </si>
  <si>
    <t>সরকার গড়েছিল নতুন প্রতিষ্ঠানে</t>
  </si>
  <si>
    <t>সোশ্যাল মিডিয়া জনপ্রিয় হয়েছিল</t>
  </si>
  <si>
    <t>পূর্বে বৃষ্টির মধ্যে খেলেছিল</t>
  </si>
  <si>
    <t>আমি নতুন ব্রাশ চালাতাম</t>
  </si>
  <si>
    <t>স্মার্টওয়াচ চালু হয়েছিল আগে</t>
  </si>
  <si>
    <t>বিনিয়োগ বৃদ্ধি করেছিলাম সম্পত্তিতে</t>
  </si>
  <si>
    <t>বিনিয়োগে বৃদ্ধি হয়েছিল সম্পত্তিতে</t>
  </si>
  <si>
    <t>তিনি শনিবার সিনেমা দেখেছিলেন</t>
  </si>
  <si>
    <t>মাছ মাছা ধরেছিল নদীতে</t>
  </si>
  <si>
    <t>কোডটি ফাইলে সংরক্ষণ হল</t>
  </si>
  <si>
    <t>জাপান ভ্রমণে ছিলাম সেপ্টেম্বরে</t>
  </si>
  <si>
    <t>সচরাচর সময়ে প্রচারিত করেছিল</t>
  </si>
  <si>
    <t>বিশ্বকাপ ক্রিকেট আয়োজন হয়েছিল</t>
  </si>
  <si>
    <t>আলোচনার প্রয়োজনীয়তায় গঠন হয়েছিল</t>
  </si>
  <si>
    <t>ছেলেমেয়েদের সাথে ঘুরতে গিয়েছিলাম</t>
  </si>
  <si>
    <t>রাতে গেমিং কনসোল খেলেছিল</t>
  </si>
  <si>
    <t>করার পূর্বে প্রস্তুতি নিচ্ছিলেন</t>
  </si>
  <si>
    <t>ড্রামা চলচ্চিত্র দেখেছিলাম শনিবারে</t>
  </si>
  <si>
    <t>মূলধন বাড়তি পেয়েছিল তিনদিনে</t>
  </si>
  <si>
    <t>তারা স্পাইসি চাউমিন খেয়েছিলে</t>
  </si>
  <si>
    <t>শিক্ষার্থীরা নিয়মিত অধ্যায়ন করছিল</t>
  </si>
  <si>
    <t>ক্যামেরা আবার বন্ধ করেছিল</t>
  </si>
  <si>
    <t>প্রস্তুতির জন্য রাতে পড়ছিলে</t>
  </si>
  <si>
    <t>ধনীরা যাকাত প্রদান করিয়াছিল</t>
  </si>
  <si>
    <t>সংসদ বৈঠকে ঘোষণা করেছিল</t>
  </si>
  <si>
    <t>আমরা মিষ্টি খেয়েছিলাম পার্টিতে</t>
  </si>
  <si>
    <t>একসাথে সবাই খেলা দেখিয়াছিলাম</t>
  </si>
  <si>
    <t>সে বিলতি মাছ খেয়েছিল</t>
  </si>
  <si>
    <t>মুভি দেখতে গিয়েছিলাম তাদের সঙ্গে</t>
  </si>
  <si>
    <t>খেলা হয়েছিল প্রশান্তির সাথে</t>
  </si>
  <si>
    <t>আমরা স্যুপ খেয়েছিলাম বাড়িতে</t>
  </si>
  <si>
    <t>পানি সমৃদ্ধ ছিল ভূমিতে</t>
  </si>
  <si>
    <t>সামরিক শক্তি দুর্বল হয়েছিল</t>
  </si>
  <si>
    <t>আমরা লবণে মাছ খেয়েছিলাম</t>
  </si>
  <si>
    <t>নিয়মিত হাদীস শিখিয়েছিলাম শিক্ষার্থীদের</t>
  </si>
  <si>
    <t>ট্যাবলেট খুলা হয়েছিল আগে</t>
  </si>
  <si>
    <t>সংবাদ প্রচার করেছিলেন সারাদিন</t>
  </si>
  <si>
    <t>প্রধানমন্ত্রীর পদত্যাগ চাওয়া হয়েছিল</t>
  </si>
  <si>
    <t>প্রতিষ্ঠান উন্নতি লাভ করেছিল</t>
  </si>
  <si>
    <t>একটি সফর অর্গানাইজ করেছিলাম</t>
  </si>
  <si>
    <t>তিনি বিশেষ চলচ্চিত্র দেখলেন</t>
  </si>
  <si>
    <t>আমি মিষ্টি মুভি দেখলাম</t>
  </si>
  <si>
    <t>সকাল থেকে প্রযুক্তি শিখল</t>
  </si>
  <si>
    <t>পানি প্রাচীরে ছিল প্রচুর</t>
  </si>
  <si>
    <t>ব্লুটুথ হেডফোন কিনেছিলাম অনলাইনে</t>
  </si>
  <si>
    <t>ছাত্রাবাসে জীবন কষ্টের ছিল</t>
  </si>
  <si>
    <t>তারা মিষ্টি খেয়েছিলে বিয়েতে</t>
  </si>
  <si>
    <t>ফসল পরিচর্যা করা হয়েছিল</t>
  </si>
  <si>
    <t>ক্রমান্বয়ে হ্যাকিং প্রবণতা বাড়তেছিল</t>
  </si>
  <si>
    <t>ছবি দেখলাম গত বছরের</t>
  </si>
  <si>
    <t>আমরা দুপুরে সাঁতার কাটতাম</t>
  </si>
  <si>
    <t>মাত্র নতুন চলচ্চিত্র দেখেছিলাম</t>
  </si>
  <si>
    <t>গীতিক ছবি তৈরি করছিলাম</t>
  </si>
  <si>
    <t>লেপটপ স্ক্রিন গাড়িতে দেখেছিলে</t>
  </si>
  <si>
    <t>গেমিং কনসোল বুঝা হয়েছিল</t>
  </si>
  <si>
    <t>সপ্তাহে নতুন মুভি দেখলাম</t>
  </si>
  <si>
    <t>বিশেষ কমিটি গঠন করতে হয়েছিল</t>
  </si>
  <si>
    <t>সুপ পাকালাম ঠান্ডার দিনে</t>
  </si>
  <si>
    <t>নতুন শৈলী পরীক্ষা করতেছিলেন</t>
  </si>
  <si>
    <t>গত মাসে ছবি দেখলাম</t>
  </si>
  <si>
    <t>আলু উৎপাদন করা হয়েছিল</t>
  </si>
  <si>
    <t>সংসদে উপস্থিতি থাকলো বৈঠকে</t>
  </si>
  <si>
    <t>অনলাইনে অনেক কেনাকাটা করলাম</t>
  </si>
  <si>
    <t>প্রতিষ্ঠানিক নির্বাচনে প্রতিদ্বন্দ্বীদের হারিয়েছিল</t>
  </si>
  <si>
    <t>নীতিতে পরিবর্তনের প্রতিবাদ চলছিল</t>
  </si>
  <si>
    <t>রেডিও চ্যানেল শোনা হচ্ছিল</t>
  </si>
  <si>
    <t>তার চিত্র দেখলেন গতমাসে</t>
  </si>
  <si>
    <t>চিংড়ি ফ্রাই খুব খেয়েছিলাম</t>
  </si>
  <si>
    <t>শিক্ষক ছাত্রছাত্রীদের পাঠ দিতেন</t>
  </si>
  <si>
    <t>জাতীয় নির্বাচনে নির্বাচিত হয়েছিল</t>
  </si>
  <si>
    <t>আমরা চলচ্চিত্র হলে চলেছিলাম</t>
  </si>
  <si>
    <t>ব্যাটসম্যানটি রান করেছিল ম্যাচে</t>
  </si>
  <si>
    <t>ছবি দেখে আনন্দিত ছিলেন</t>
  </si>
  <si>
    <t>কলেজ কেফেটেরিয়ায় অনুষ্ঠান হয়েছিল</t>
  </si>
  <si>
    <t>ক্যামেরা ব্যবহার করা শিখেছিলাম</t>
  </si>
  <si>
    <t>ক্যামেরা ব্যবহার করা হয়েছিল</t>
  </si>
  <si>
    <t>ব্যবসা বৃদ্ধি কমেছিল গতবছরে</t>
  </si>
  <si>
    <t>সোশ্যাল মিডিয়া পোস্ট করছিল</t>
  </si>
  <si>
    <t>টেনিস ম্যাচ চলছিল কোর্টে</t>
  </si>
  <si>
    <t>বায়োইনফরম্যাটিক্স এক্সপান্ড করতে হয়েছিল</t>
  </si>
  <si>
    <t>তার চেক স্বীকৃত হয়েছিল</t>
  </si>
  <si>
    <t>বাসে উঠেছিলেন প্রয়াত মাসে</t>
  </si>
  <si>
    <t>শিক্ষায় টেকনোলজি ব্যবহার হয়েছিলো</t>
  </si>
  <si>
    <t>বিশেষ সভা অনুষ্ঠিত হয়েছিল</t>
  </si>
  <si>
    <t>আলাদা কমিটি গঠন হয়েছিল</t>
  </si>
  <si>
    <t>সাংসদ নির্বাচিত হয়েছিল লোকসভায়</t>
  </si>
  <si>
    <t>যুদ্ধ বাঁচানো হলো সম্প্রতি</t>
  </si>
  <si>
    <t>সে ব্রেড পরিবেশন করছিল</t>
  </si>
  <si>
    <t>ম্যাচে অংশগ্রহণ করেছিলাম সক্রিয়ভাবে</t>
  </si>
  <si>
    <t>শত্রুদের সামরিক প্রস্তুতি চলছিল</t>
  </si>
  <si>
    <t>তার হিসাবস্থিতি চেক করেছিলেন</t>
  </si>
  <si>
    <t>জনগণের অভিযোগ ব্যাঘাত দিয়েছিলেন</t>
  </si>
  <si>
    <t>রাতে সবাই ছবি দেখলাম</t>
  </si>
  <si>
    <t>শত্রুদের সামরিক অভিযান হলো</t>
  </si>
  <si>
    <t>খেলাধুলায় আমাদের শরীরচর্চা হয়েছিল</t>
  </si>
  <si>
    <t>একটি রোমান্টিক মুভি দেখতেছিলে</t>
  </si>
  <si>
    <t>আলুর তরকারি মজা ছিল</t>
  </si>
  <si>
    <t>গতরাতে বই চলচ্চিত্র দেখতেছিলাম</t>
  </si>
  <si>
    <t>উৎপাদন বাড়তি পেয়েছিল তিনমাসে</t>
  </si>
  <si>
    <t>সংস্থার উদ্দেশ্যে আলোচনা চলছিল</t>
  </si>
  <si>
    <t>আমরা চকলেট বিস্কুট খেয়েছিলাম</t>
  </si>
  <si>
    <t>প্রোগ্রামিং শিখা আবশ্যিক হয়েছিল</t>
  </si>
  <si>
    <t>তুমি প্রজেক্টে মনোনিবেশ করছিলে</t>
  </si>
  <si>
    <t>একটি এপিআই ইনটিগ্রেট করলাম</t>
  </si>
  <si>
    <t>তিনি বাসি রুটি ফেলছিলেন</t>
  </si>
  <si>
    <t>ব্যাটসম্যান ব্যবহার করেছিল সঠিকভাবে</t>
  </si>
  <si>
    <t>এইমাসে কতবার সিনেমা দেখলো</t>
  </si>
  <si>
    <t>সমুদ্র উপর যাচ্ছিলেন হেলিকপ্টারে</t>
  </si>
  <si>
    <t>আমরা দুধের চকলেট খেয়েছিলাম</t>
  </si>
  <si>
    <t>কোন বছরে চলচ্চিত্র দেখেছিলে</t>
  </si>
  <si>
    <t>ফুটবল খেলা হয়েছিল উত্সাহে</t>
  </si>
  <si>
    <t>তিনি চিত্র চিত্রিত করলো</t>
  </si>
  <si>
    <t>টেনিস ম্যাচ চলছিল সকালে</t>
  </si>
  <si>
    <t>আমি গতসপ্তাহ ছবি দেখলাম</t>
  </si>
  <si>
    <t>দল জয় লাভ করেছিল</t>
  </si>
  <si>
    <t>থ্রিলার চলচ্চিত্র দেখেছিলে রাতে</t>
  </si>
  <si>
    <t>তুমি রোমান্টিক চলচ্চিত্র দেখেছিলে</t>
  </si>
  <si>
    <t>ছাত্রছাত্রীরা পোস্টার প্রদর্শনী করছিলো</t>
  </si>
  <si>
    <t>প্রোগ্রামিং ভাষার উত্থান হয়েছিল</t>
  </si>
  <si>
    <t>আমরা শিক্ষকের কাছে ছিলাম</t>
  </si>
  <si>
    <t>প্রস্তুতির সময়ে ছবি দেখেছিলাম</t>
  </si>
  <si>
    <t>বাগানে মিষ্টি ফল ছিল</t>
  </si>
  <si>
    <t>তাদের অর্থনীতি ভঙ্গুর হয়েছিল</t>
  </si>
  <si>
    <t>আলু বানালাম টেস্টি চিপস</t>
  </si>
  <si>
    <t>রান্নায় অল্প সময় লাগলো</t>
  </si>
  <si>
    <t>মোবাইল অ্যাপ্লিকেশন ডেভেলপমেন্ট হয়েছিল</t>
  </si>
  <si>
    <t>শিক্ষার্থীরা ইসলামিক জীবন গড়িয়াছিল</t>
  </si>
  <si>
    <t>আগের খেলায় আমরা জিতেছিলাম</t>
  </si>
  <si>
    <t>পূর্বপর্বে শিক্ষকছাত্র সংস্কৃতি ছিলো</t>
  </si>
  <si>
    <t>মাটি পোকা আক্রান্ত হয়েছিল</t>
  </si>
  <si>
    <t>মাখন দিয়ে রুটি ফেলেছিলে</t>
  </si>
  <si>
    <t>তিনি নতুন গান শোনলেন</t>
  </si>
  <si>
    <t>রেমিট্যান্সে কমছিল প্রবাসী শ্রমিকের</t>
  </si>
  <si>
    <t>স্কায়া ডাইভিং করেছিলাম গতবছরে</t>
  </si>
  <si>
    <t>নতুন চলচ্চিত্র দেখেছিলে শুক্রবারে</t>
  </si>
  <si>
    <t>পূর্বে মাস্টার্স করা হয়েছিলো</t>
  </si>
  <si>
    <t>ইলিশ ভাজা প্রিয় ছিল</t>
  </si>
  <si>
    <t>প্রয়াতমাসে বৃষ্টিদিনে সফর করেছিলেন</t>
  </si>
  <si>
    <t>দিনভর উত্সাহে টেনিস খেলেছিলে</t>
  </si>
  <si>
    <t>আমরা বিয়ে বাড়িতে খেয়েছিলাম</t>
  </si>
  <si>
    <t>ছেলেমেয়ারা মাঠে গল্প করছিল</t>
  </si>
  <si>
    <t>শস্য সেচ করছিল প্রয়োজনে</t>
  </si>
  <si>
    <t>সৌন্দর্য অবলোকনে ঘুরতে গিয়েছিলাম</t>
  </si>
  <si>
    <t>আতপ খুদ খেতেন কৃষকরা</t>
  </si>
  <si>
    <t>পানামনগর নামে জায়গা ছিল</t>
  </si>
  <si>
    <t>তিনি রাতে বারবিকিউ করেছিলেন</t>
  </si>
  <si>
    <t>চিংড়ি রোস্ট করলাম বিশেষভবে</t>
  </si>
  <si>
    <t>ট্রেনে বসে যাচ্ছিলেন শহরে</t>
  </si>
  <si>
    <t>সে রুটি তৈরি করছিল</t>
  </si>
  <si>
    <t>প্রদর্শন করেছিল অর্থনৈতিক উন্নতি</t>
  </si>
  <si>
    <t>ম্যাচটি বিদায় পেয়েছিল তারা</t>
  </si>
  <si>
    <t>বাগানে ফুল সুগন্ধ ছড়াইতেছিল</t>
  </si>
  <si>
    <t>খেলেছিলেন জোরে আগের সপ্তাহে</t>
  </si>
  <si>
    <t>প্রোগ্রামিং প্রতিযোগীতায় অংশগ্রহণ করলাম</t>
  </si>
  <si>
    <t>রান্না করলাম মিষ্টি পুড়ি</t>
  </si>
  <si>
    <t>আমরা সিনেমা দেখেছিলাম শনিবারে</t>
  </si>
  <si>
    <t>বাজার থেকে আলু কিনেছিলাম</t>
  </si>
  <si>
    <t>তিনি কমেডি ছবি দেখলেন</t>
  </si>
  <si>
    <t>আমি পালং শুঁকাচ্ছিলাম বেগুনে</t>
  </si>
  <si>
    <t>তিনি নতুন নৃত্য শেখছিলেন</t>
  </si>
  <si>
    <t>কার চালানো সোজা ছিল</t>
  </si>
  <si>
    <t>আমরা আলুর পরোটা করেছিলাম</t>
  </si>
  <si>
    <t>আমরা মসুর ডাল পাকাচ্ছিলাম</t>
  </si>
  <si>
    <t>একটি চিত্র চিত্রিত করেছিলেন</t>
  </si>
  <si>
    <t>নাটক দেখলেন প্রস্তুতির জন্য</t>
  </si>
  <si>
    <t>বিজ্ঞান প্রযুক্তি উন্নত হয়েছিল</t>
  </si>
  <si>
    <t>তারা প্রস্তাবনা দিয়েছিলেন সপ্তাহে</t>
  </si>
  <si>
    <t>বৃষ্টির দিনে বন সাফারি করেছিলেন</t>
  </si>
  <si>
    <t>তারা প্রযুক্তির বিষয়ে জেনেছিল</t>
  </si>
  <si>
    <t>ম্যাচ জিতেছিলেন যত্ন করে</t>
  </si>
  <si>
    <t>রানিং রেস দেখেছিলাম সবাই</t>
  </si>
  <si>
    <t>সংসদে আলোচনা হচ্ছিল জরুরীভাবে</t>
  </si>
  <si>
    <t>সংসদে সম্মেলন হয়েছিল জরুরীভাবে</t>
  </si>
  <si>
    <t>নতুন ঔষধ উদ্ভাবন হয়েছিল</t>
  </si>
  <si>
    <t>রাতে জাঙ্গলে থাকতে চেয়েছিলাম</t>
  </si>
  <si>
    <t>পুকুরে মাছ চাষ করেছিলাম</t>
  </si>
  <si>
    <t>বাগানে আম গাছ ছিল</t>
  </si>
  <si>
    <t>আমরা ভাত খাচ্ছিলাম তখন</t>
  </si>
  <si>
    <t>প্লেয়াররা ট্রফি অর্জন করেছিল</t>
  </si>
  <si>
    <t>গান শুনে মন ভরেছিল</t>
  </si>
  <si>
    <t>আমি নতুন দেশে ছিলাম</t>
  </si>
  <si>
    <t>বাগানে ফসল আবাদ হল</t>
  </si>
  <si>
    <t>সে মজার সিনেমা দেখেছিল</t>
  </si>
  <si>
    <t>খেলেছিল পূর্বে জোরে প্রয়োজনে</t>
  </si>
  <si>
    <t>মাছ দিয়ে খাবার খেয়েছিলাম</t>
  </si>
  <si>
    <t>চলচ্চিত্র দেখেছিল সপ্তাহের শেষে</t>
  </si>
  <si>
    <t>গুন বাড়ানো হয়েছিল মাটিতে</t>
  </si>
  <si>
    <t>আমরা মাছের কারি খেয়েছিলাম</t>
  </si>
  <si>
    <t>প্রতিদিন জল দিয়েছিলাম বাগে</t>
  </si>
  <si>
    <t>উত্পাদন করেছিল প্রাকৃতিক পরিবেশে</t>
  </si>
  <si>
    <t>ডিম বয়েল করেছিলাম পানিতে</t>
  </si>
  <si>
    <t>নেতা ভোটে প্রতিদ্বন্দ্বীদের হারিয়েছিল</t>
  </si>
  <si>
    <t>আমি বিশ্রাম নিচ্ছিলাম হোটেলে</t>
  </si>
  <si>
    <t>নতুন আইডিয়া প্রদান করলাম</t>
  </si>
  <si>
    <t>সমস্যা সমাধানের দক্ষতা বাড়িয়েছিলাম</t>
  </si>
  <si>
    <t>আমি চিংড়ি ভুনা খেলাম</t>
  </si>
  <si>
    <t>বাগানে ফুল ফোটানো হয়েছিল</t>
  </si>
  <si>
    <t>মূলধন বেড়েছিল গত বছরে</t>
  </si>
  <si>
    <t>মুনাফা কমেছিল প্রাক্তন দিনে</t>
  </si>
  <si>
    <t>ব্যবসায়িক লাভ কমছিল মৌসুমে</t>
  </si>
  <si>
    <t>রেডিও সংবাদ প্রচার করছিল</t>
  </si>
  <si>
    <t>রাজনৈতিক আলাপে হয়েন করলাম</t>
  </si>
  <si>
    <t>নতুন মডেল স্মার্টফোন পেয়েছিলেন</t>
  </si>
  <si>
    <t>বিফ কাচ্চি তৈরি করলাম</t>
  </si>
  <si>
    <t>একুরিয়ামে অনেক মাছ রেখেছিলাম</t>
  </si>
  <si>
    <t>ল্যাপটপ ব্যবহার করেছিল অনলাইনে</t>
  </si>
  <si>
    <t>মাটি পোকা মুক্ত ছিল</t>
  </si>
  <si>
    <t>চলচ্চিত্রের সমীক্ষা হয়েছিল তিনদিন</t>
  </si>
  <si>
    <t>তিনি ট্রেনে উঠেছিলেন শনিবারে</t>
  </si>
  <si>
    <t>নতুন বইয়ের মোড়ক কিনলাম</t>
  </si>
  <si>
    <t>সাম্প্রতিকালে ইন্টারনেটে ভাইরাল হয়েছিল</t>
  </si>
  <si>
    <t>স্মার্ট কন্ট্র্যাক্ট ডেভেলপমেন্ট হয়েছিল</t>
  </si>
  <si>
    <t>বৃষ্টিদিনের চিত্র তৈরি করতাম</t>
  </si>
  <si>
    <t>উদ্ভোধনী অনুষ্ঠানের প্রস্তুতি চলছিল</t>
  </si>
  <si>
    <t>তিনি বৃদ্ধি প্রদান করেছিলেন মাসে</t>
  </si>
  <si>
    <t>ডিজিটাল পেন্সিল ব্যবহার করেছিল</t>
  </si>
  <si>
    <t>ডিজিটাল পেন্সিল ব্যবহার করে কাজ করছিলাম</t>
  </si>
  <si>
    <t>বলিউড চলচ্চিত্র দেখেছিলে আগে</t>
  </si>
  <si>
    <t>বিরোধে সম্প্রতি বিক্ষোভ হয়েছিল</t>
  </si>
  <si>
    <t>অনেকদিন ধরে ম্যাচ খেলেছিলেন</t>
  </si>
  <si>
    <t>আমরা গাড়ি চালাচ্ছিলাম শনিবারে</t>
  </si>
  <si>
    <t>খুঁজে বের করা হচ্ছিল</t>
  </si>
  <si>
    <t>মাস্টার্স করা হয়েছিল বুয়েটে</t>
  </si>
  <si>
    <t>তিনি নতুন কবিতা রচছিলেন</t>
  </si>
  <si>
    <t>নিয়মিত কোরআন প্রশিক্ষণ নিয়েছিলাম</t>
  </si>
  <si>
    <t>মুভি দেখেছিলি তাদের সঙ্গে</t>
  </si>
  <si>
    <t>ছুরি দিয়ে আম কাটতেছিলেন</t>
  </si>
  <si>
    <t>ফিশ কারি তৈরি করছিল</t>
  </si>
  <si>
    <t>নতুন কলেজ শুরু করতেছিলেন</t>
  </si>
  <si>
    <t>ছবিটি আমাকে অনেক কাঁদাল</t>
  </si>
  <si>
    <t>ব্যাডমিন্টনে সেদিন তারা হারেছিল</t>
  </si>
  <si>
    <t>আলোচনার সময়ে নির্বাচিত হয়েছিল</t>
  </si>
  <si>
    <t>তাদেরকে দেখে অনুপ্রাণিত হয়েছিলাম</t>
  </si>
  <si>
    <t>ভুনেছিল মজাদার মসলা দিয়ে</t>
  </si>
  <si>
    <t>প্রাণির হানি ছিল উপেক্ষিত</t>
  </si>
  <si>
    <t>দেখে মন সহজ করেছিলাম</t>
  </si>
  <si>
    <t>রাজনৈতিক কর্মী হয়েছিলেন শোকার</t>
  </si>
  <si>
    <t>সে বিলেতে বাড়ি কিনেছিল</t>
  </si>
  <si>
    <t>কমিটি গঠন হয়েছিল বৈঠকে</t>
  </si>
  <si>
    <t>সবাই গতসপ্তাহে সিনেমা দেখেছিলাম</t>
  </si>
  <si>
    <t>খেলোয়াড়রা হারেছিল সংগ্রহকর্মীদের বিপক্ষে</t>
  </si>
  <si>
    <t>সবাই তাদের অনুপ্রেরণা দিয়েছিল</t>
  </si>
  <si>
    <t>ফসল সংরক্ষণ করা হয়েছিল</t>
  </si>
  <si>
    <t>চাইনিজ রান্না করা হয়েছিল</t>
  </si>
  <si>
    <t>টমেটো সস তৈরি করছিলাম</t>
  </si>
  <si>
    <t>তারা আগে স্মার্টওয়াচ কিনেছিল</t>
  </si>
  <si>
    <t>টেনিস খেলেছিলেন পূর্বের মাসে</t>
  </si>
  <si>
    <t>হকি খেলছিল দুর্দান্ত প্রদর্শনে</t>
  </si>
  <si>
    <t>রোমান্টিক ফিল্ম দেখেছিলি কবে</t>
  </si>
  <si>
    <t>পিজা বানাচ্ছিল বেগুন দিয়ে</t>
  </si>
  <si>
    <t>ডিসেম্বরে ফুটবল টুর্নামেন্ট হইতেছিল</t>
  </si>
  <si>
    <t>গায়করা অবসরে গান গাইতেছিল</t>
  </si>
  <si>
    <t>পানি সেচ করা হয়েছিল</t>
  </si>
  <si>
    <t>কৃষি উন্নতি ঘটেছিল অধীনে</t>
  </si>
  <si>
    <t>চলচ্চিত্র দেখল সপ্তাহ হয়ে</t>
  </si>
  <si>
    <t>ছাত্ররা পড়ালেখায় মনোযোগ দিয়েছিল</t>
  </si>
  <si>
    <t>তারা আজকে ম্যাচ হেরেছিল</t>
  </si>
  <si>
    <t>নতুন ব্রাশ ব্যবহার করতাম</t>
  </si>
  <si>
    <t>যথাসময়ে সেচ করা হয়েছিল</t>
  </si>
  <si>
    <t>নতুন রেস্তোরাঁয় খাওয়ায় ছিলেন</t>
  </si>
  <si>
    <t>জনপ্রিয় রাজনৈতিক কর্মী হয়েছিলেন</t>
  </si>
  <si>
    <t>উন্নতি হয়েছিল বাজারে বিনিয়োগে</t>
  </si>
  <si>
    <t>বিভাগে নির্বাচন হলো সম্প্রতি</t>
  </si>
  <si>
    <t>নতুন আইডিয়া পরিচালনা করতাম</t>
  </si>
  <si>
    <t>ট্রেন্ড অনুসরণে সময় কাটাতাম</t>
  </si>
  <si>
    <t>মাছির আক্রমণ হয়েছিল অনেক</t>
  </si>
  <si>
    <t>ডিম দিয়ে পুডিং বানালাম</t>
  </si>
  <si>
    <t>খেজুরের পিঠা তৈরি করছিল</t>
  </si>
  <si>
    <t>আমরা ট্রেনে বসে বসছিলাম</t>
  </si>
  <si>
    <t>তারা সাইকেল চালাতে ছিল</t>
  </si>
  <si>
    <t>গতবছর জলপ্রপাত দেখতে গিয়েছিলাম</t>
  </si>
  <si>
    <t>সবসময় মেলায় ঘুরে বেড়িয়েছিল</t>
  </si>
  <si>
    <t>আমি আলু ভাজা করছিলাম</t>
  </si>
  <si>
    <t>সে মাছ ভাজা করছিলো</t>
  </si>
  <si>
    <t>প্রধানমন্ত্রীর সংবাদ প্রচারে যাচ্ছিল</t>
  </si>
  <si>
    <t>বুক ক্লাব শুরু করেছিলাম</t>
  </si>
  <si>
    <t>ব্যাটিং দল হেরেছিল গতম্যাচে</t>
  </si>
  <si>
    <t>বোর্ড পরীক্ষা দেওয়া হয়েছিল</t>
  </si>
  <si>
    <t>চ্যাম্পিয়নশিপ শুরু হয়েছিল কাল</t>
  </si>
  <si>
    <t>সানিয়া বেডমিন্টন ট্রফি জিতেছিল</t>
  </si>
  <si>
    <t>বিনিয়োগে বৃদ্ধি হয়েছিল লাভে</t>
  </si>
  <si>
    <t>পঞ্চায়েতে তীব্র আলোচনা হয়েছিল</t>
  </si>
  <si>
    <t>ছবি দেখেছিলেন সপ্তাহের শেষে</t>
  </si>
  <si>
    <t>তারা খুব মিষ্টি খেয়েছিলে</t>
  </si>
  <si>
    <t>গত শনিবার সিনেমা দেখতেছিলেন</t>
  </si>
  <si>
    <t>যুদ্ধশক্তি বৃদ্ধি পেয়েছিল প্রতিবছর</t>
  </si>
  <si>
    <t>ইন্টারনেটে সংবাদ শেয়ার করছিল</t>
  </si>
  <si>
    <t>লোবণ দিয়ে মাংস মেরেছিলাম</t>
  </si>
  <si>
    <t>ছক হিসেবে দাখিল হয়েছিল</t>
  </si>
  <si>
    <t>প্যারাগ্লাইডিং করার ইচ্ছে করেছিলাম</t>
  </si>
  <si>
    <t>ট্যুর গাইডের সাথে ছিলাম জুলাইতে</t>
  </si>
  <si>
    <t>রাতে বন্ধুদের সঙ্গে খেলেছিল</t>
  </si>
  <si>
    <t>সাকিব অধিনায়কত্ব ভালো করেছিল</t>
  </si>
  <si>
    <t>পুনরায় প্রদর্শনী আয়োজন করতেছিলেন</t>
  </si>
  <si>
    <t>পূর্বে প্রস্তুতি নিচ্ছিলেন ব্যক্তিগতভাবে</t>
  </si>
  <si>
    <t>আমরা চিংড়ি মাছ খেয়েছিলাম</t>
  </si>
  <si>
    <t>তারা ডিপ্লোয়মেন্ট পরিচালনা করেছিলেন</t>
  </si>
  <si>
    <t>যাকাতের বিষয় আলোচনা করিতেছিল</t>
  </si>
  <si>
    <t>হকি খেলছিল ঘন্টাব্যাপী সময়ে</t>
  </si>
  <si>
    <t>হকি খেলতে সবাই আগ্রহ প্রকাশ করেছিল</t>
  </si>
  <si>
    <t>চিকেন কাচ্চি অর্ডার করেছিলাম</t>
  </si>
  <si>
    <t>সফটওয়্যার ইনজিনিয়ারিং কোর্স করেছিলাম</t>
  </si>
  <si>
    <t>পূর্বাভাসে বাণিজ্যিক ক্ষতি হয়েছিল</t>
  </si>
  <si>
    <t>তারা কোড অপ্টিমাইজ করেছিল</t>
  </si>
  <si>
    <t>তুমি আলু ভর্তা খেয়েছিলে</t>
  </si>
  <si>
    <t>টিম জিতেছিল আগের খেলায়</t>
  </si>
  <si>
    <t>পুরাতন মন্দির পরিদর্শন করেছিলেন</t>
  </si>
  <si>
    <t>ক্রিকেট ম্যাচ আয়েশ ছিল</t>
  </si>
  <si>
    <t>প্রোগ্রামিং কমিউনিটিতে অংশগ্রহণ করলাম</t>
  </si>
  <si>
    <t>দীর্ঘকাল সংবাদ প্রচার করেছিল</t>
  </si>
  <si>
    <t>বিশ্ববিদ্যালয়ে শিক্ষা অনুষ্ঠান হয়েছিলো</t>
  </si>
  <si>
    <t>ভোজন সম্পাদন করা হয়েছিল</t>
  </si>
  <si>
    <t>মেশিন লার্নিং দক্ষতা পেলাম</t>
  </si>
  <si>
    <t>ছবিটি দেখে আনন্দিত হয়েছিল</t>
  </si>
  <si>
    <t>তারা বিনিয়োগ করতেছিলেন গতসপ্তাহে</t>
  </si>
  <si>
    <t>সিনেমা দেখতে পছন্দ করতো</t>
  </si>
  <si>
    <t>বিশ্বকাপ জয় সহজ ছিলনা</t>
  </si>
  <si>
    <t>পরিবহনে বৃদ্ধি হয়েছিল মুনাফা</t>
  </si>
  <si>
    <t>আমি বৈদেশিক মুদ্রা কিনতাম</t>
  </si>
  <si>
    <t>ব্যাডমিন্টন খেলছিল শ্রমের সাথে</t>
  </si>
  <si>
    <t>তারা পিজ্জা প্রস্তুত করেছিল</t>
  </si>
  <si>
    <t>সফটওয়্যার টেস্টিং বাস্তবায়ন হল</t>
  </si>
  <si>
    <t>আমি মসুর ডাল খেচ্ছিলাম</t>
  </si>
  <si>
    <t>সোশ্যাল মিডিয়া ব্যবহার করতেছিলেন</t>
  </si>
  <si>
    <t>নতুন নাটক দেখতাম সপ্তাহে</t>
  </si>
  <si>
    <t>তুমি হিট মুভি দেখলে</t>
  </si>
  <si>
    <t>দুধ উবাচ্ছিলাম চা তৈরিতে</t>
  </si>
  <si>
    <t>তারা ছবি অনুষ্ঠান করছিলেন</t>
  </si>
  <si>
    <t>ইতিমধ্যে ট্যাবলেট ব্যবহার করেছিল</t>
  </si>
  <si>
    <t>সরকারের নীতি আলাদা ছিল</t>
  </si>
  <si>
    <t>সার্ভিস খরচ বাড়ছিল দ্বিগুণে</t>
  </si>
  <si>
    <t>সাংবাদিকের সংবাদ প্রচার হচ্ছিল</t>
  </si>
  <si>
    <t>তুমি নতুন বিষয় শিখছিলে</t>
  </si>
  <si>
    <t>নূন্যতম বয়স বৃদ্ধি করেছিল</t>
  </si>
  <si>
    <t>পানির বাড়িত করেছিল কৃষকরা</t>
  </si>
  <si>
    <t>মাশ্রাফি ভাল খেলোয়াড় ছিল</t>
  </si>
  <si>
    <t>নতুন ওয়ার্কফ্লো অপটিমাইজেশন হয়েছিল</t>
  </si>
  <si>
    <t>ইন্টারনেটে সময়ে জানিয়েছিলেন সংবাদ</t>
  </si>
  <si>
    <t>তারা অবাক করেছিল প্রতিদ্বন্দ্বীদের</t>
  </si>
  <si>
    <t>আমরা আলুর পরোটা বানাচ্ছিলাম</t>
  </si>
  <si>
    <t>বৃষ্টির সময় সিনেমা দেখেছিলে</t>
  </si>
  <si>
    <t>তিনি মাছ ভাজছিলেন আগে</t>
  </si>
  <si>
    <t>আমি বাড়িতে ভাত খেয়েছিলাম</t>
  </si>
  <si>
    <t>প্রধানমন্ত্রী সভায় কথা বলছিলেন</t>
  </si>
  <si>
    <t>শিক্ষা ব্যবস্থা সুধারিত হয়েছিল</t>
  </si>
  <si>
    <t>নতুন গান শোনতাম সপ্তাহে</t>
  </si>
  <si>
    <t>তিনি চলচ্চিত্র দেখল বুধবারে</t>
  </si>
  <si>
    <t>উত্পাদন করেছিল উন্নত পদ্ধতিতে</t>
  </si>
  <si>
    <t>আমি নতুন নাটক দেখলাম</t>
  </si>
  <si>
    <t>নতুন খরব রচনা করলাম</t>
  </si>
  <si>
    <t>একটি নতুন হিসাব খোলতাম</t>
  </si>
  <si>
    <t>নিরাপত্তা সুনিশ্চিত করা হয়েছিল</t>
  </si>
  <si>
    <t>তারা খেলা জয় করেছিল</t>
  </si>
  <si>
    <t>নতুন প্রকল্পে কাজ করেছিলাম</t>
  </si>
  <si>
    <t>বাজার মূল্য কমেছিল তিনদিনে</t>
  </si>
  <si>
    <t>মেশিন লার্নিং আলোচনা হয়েছিল</t>
  </si>
  <si>
    <t>হাজীরা হজ্ব করতে যাইতেছিল</t>
  </si>
  <si>
    <t>শস্য চাষ করা হয়েছিল</t>
  </si>
  <si>
    <t>আমি চেক পরিশোধ করতাম</t>
  </si>
  <si>
    <t>সে ব্যাংক শাখা খুলেছিল</t>
  </si>
  <si>
    <t>বিমা কোম্পানিতে পরিদর্শন করলাম</t>
  </si>
  <si>
    <t>খেলেোয়ারা নির্দেশনা গ্রহণ করছিল</t>
  </si>
  <si>
    <t>রোবোটিক্স বিশ্বে প্রবণতা বেড়েছিল</t>
  </si>
  <si>
    <t>উন্নতি হয়েছিল বিতর্কিত উপকরণে</t>
  </si>
  <si>
    <t>বনস্পতি তেল ব্যবহার করলাম</t>
  </si>
  <si>
    <t>বৃদ্ধি হয়েছিল প্রাক্তন সালে</t>
  </si>
  <si>
    <t>তিনি সুপ গরম করছিলেন</t>
  </si>
  <si>
    <t>সোশ্যাল মিডিয়া ব্যবহার করেছিলেন</t>
  </si>
  <si>
    <t>মুদ্রার মূল্য বৃদ্ধি হয়েছিল</t>
  </si>
  <si>
    <t>তিনমাস ধরে গেমিং করছিলাম</t>
  </si>
  <si>
    <t>প্রতিষ্ঠানিক ফসল বাড়তেছিল দ্রুত</t>
  </si>
  <si>
    <t>আমরা বিমা করতাম সপ্তাহে</t>
  </si>
  <si>
    <t>তারা নতুন নাটক দেখলেন</t>
  </si>
  <si>
    <t>সংসদে বিতর্ক চলছিল তখন</t>
  </si>
  <si>
    <t>রাজনীতিতে অস্থিতি দেখা যাচ্ছিল</t>
  </si>
  <si>
    <t>প্রোগ্রামিং চিন্তাশক্তি বৃদ্ধি হলো</t>
  </si>
  <si>
    <t>তিনি প্রিমিয়ার প্রদর্শনীতে যান</t>
  </si>
  <si>
    <t>প্রযুক্তি শিক্ষায় পরিবর্তন এনেছিল</t>
  </si>
  <si>
    <t>সে ভালো সিনেমা দেখেছিল</t>
  </si>
  <si>
    <t>ইমাম মসজিদে হেটে গিয়েছিল</t>
  </si>
  <si>
    <t>ম্যাচে অংশগ্রহণ করেছিলেন সক্রিয়ভাবে</t>
  </si>
  <si>
    <t>পরিবহন মূল্য বেড়েছিল দুইমাসে</t>
  </si>
  <si>
    <t>তারা শনিবারে সিনেমা দেখল</t>
  </si>
  <si>
    <t>গতমাসে হরর মুভি দেখেছিলেন</t>
  </si>
  <si>
    <t>একটি প্রাচীন দরবারে ছিলেন</t>
  </si>
  <si>
    <t>পূর্বে পরীক্ষা দেওয়া হয়েছিলো</t>
  </si>
  <si>
    <t>সে বাড়িতে মাংস খেয়েছিল</t>
  </si>
  <si>
    <t>ভাজা করেছিলেন বেগুনের সাথে</t>
  </si>
  <si>
    <t>নেতারা অধিনায়ক নির্বাচন করতে মিটিং করেছিল</t>
  </si>
  <si>
    <t>মসুর ডাল পাকাচ্ছিলেন আগে</t>
  </si>
  <si>
    <t>গতবছরে দুর্ঘটনার পরে খেলেছিলেন</t>
  </si>
  <si>
    <t>আমি কোড রিভিউ করলাম</t>
  </si>
  <si>
    <t>আমি মুভি দেখলাম রাতে</t>
  </si>
  <si>
    <t>জনমতে সরকার দল গড়লাম</t>
  </si>
  <si>
    <t>সিনেমা দেখতেছিলাম তার জন্য</t>
  </si>
  <si>
    <t>আমরা নদী দেখতে গিয়েছিলাম</t>
  </si>
  <si>
    <t>অবসরে বৃষ্টির কবিতা লিখিয়াছিলাম</t>
  </si>
  <si>
    <t>বিশ্বকাপে খেলা হয়েছিল জনবছরে</t>
  </si>
  <si>
    <t>শিক্ষা সম্মেলন আয়োজন করেছিল</t>
  </si>
  <si>
    <t>বাগানে পরিচর্যা সম্পন্ন হয়েছিল</t>
  </si>
  <si>
    <t>তিনি চিত্র চিত্রিত করছিলেন</t>
  </si>
  <si>
    <t>চলচ্চিত্র হলে বার্তা দেখেছিলাম</t>
  </si>
  <si>
    <t>প্রধানমন্ত্রী পদত্যাগ করেছিল অনুষ্ঠানে</t>
  </si>
  <si>
    <t>শস্য কাটা হয়েছিল গতবছরে</t>
  </si>
  <si>
    <t>নতুন চলচ্চিত্রের প্রদর্শনী গেছিলাম</t>
  </si>
  <si>
    <t>বেগুন চাষ করেছিল লোকরা</t>
  </si>
  <si>
    <t>প্রোগ্রামিং ক্যারিয়ার এগিয়ে গেলাম</t>
  </si>
  <si>
    <t>আমরা নতুন গান শোনলাম</t>
  </si>
  <si>
    <t>কেক তৈরি করা হয়েছিল</t>
  </si>
  <si>
    <t>ফল উদ্ভাবন হয়েছিল সাধারণত</t>
  </si>
  <si>
    <t>মাছের চাষ শুরু হয়েছিল</t>
  </si>
  <si>
    <t>তুমি কোড রিরাইট করলে</t>
  </si>
  <si>
    <t>আমি ছবিটি টেলিভিশনে দেখেছিলাম</t>
  </si>
  <si>
    <t>রাজনীতিবিদদের মধ্যে সমালোচনা চলছিল</t>
  </si>
  <si>
    <t>হসপিটালে চিকেন স্যুপ খেয়েছিলাম</t>
  </si>
  <si>
    <t>বিদ্যুৎ সমস্যা সমাধান হলো</t>
  </si>
  <si>
    <t>ট্যাবলেট পেয়েছিল পড়ার জন্য</t>
  </si>
  <si>
    <t>মেয়েরা পিঠা বানালো সবাই</t>
  </si>
  <si>
    <t>সে সিনেমায় আস্থা করত</t>
  </si>
  <si>
    <t>ডিম ফ্রাই করছিলাম তখন</t>
  </si>
  <si>
    <t>নভোচারী আকাশ ভ্রমণ করিয়াছিল</t>
  </si>
  <si>
    <t>বিনিয়োগে উন্নতি হয়েছিল সাহায্যে</t>
  </si>
  <si>
    <t>সাংসদ নির্বাচিত হয়েছিল সভায়</t>
  </si>
  <si>
    <t>খেলছিলেন শক্ত অভ্যন্তরীণতার সঙ্গে</t>
  </si>
  <si>
    <t>আমি পার্কে গিয়েছিলাম গতসপ্তাহে</t>
  </si>
  <si>
    <t>তারা নতুন চিত্র দেখেছিলেন</t>
  </si>
  <si>
    <t>রাষ্ট্রীয় নেতা ঘোষণা করেছিল</t>
  </si>
  <si>
    <t>আমি বাড়িতে রান্না খেলাম</t>
  </si>
  <si>
    <t>আমি নেটওয়ার্ক পরীক্ষা করতাম</t>
  </si>
  <si>
    <t>সাংসদ বাসা ফিরে গেছিলেন</t>
  </si>
  <si>
    <t>বিচারপতি নির্বাচনে অংশগ্রহণ করেছিল</t>
  </si>
  <si>
    <t>অনেক ধৈর্য প্রদর্শন করেছিল</t>
  </si>
  <si>
    <t>ধান মাটি বুনতে হয়েছিল</t>
  </si>
  <si>
    <t>আমার জন্য ফুল কিনেছিল</t>
  </si>
  <si>
    <t>বাজার থেকে চাওমিন কিনেছিলাম</t>
  </si>
  <si>
    <t>মুভি দেখতেছিলাম বন্ধুদের সঙ্গে</t>
  </si>
  <si>
    <t>প্রচলিত ধান রোপণ হয়েছিল</t>
  </si>
  <si>
    <t>তারা খেলা হেরেছিল সহজে</t>
  </si>
  <si>
    <t>শিক্ষার্থীরা কলেজের হোস্টেলে থাকিয়াছিল</t>
  </si>
  <si>
    <t>সে বছরধরে প্রযুক্তি শেখছিলো</t>
  </si>
  <si>
    <t>আমরা শনিবারে চলচ্চিত্র দেখলাম</t>
  </si>
  <si>
    <t>আমি গতসপ্তাহে পিজ্জা খেয়েছিলাম</t>
  </si>
  <si>
    <t>মেশিনলার্নিং প্রকল্পে যোগদান করছিলাম</t>
  </si>
  <si>
    <t>ব্যাডমিন্টন গ্রাউন্ডে ম্যাচ চলছিল</t>
  </si>
  <si>
    <t>আমি ফুল বিক্রি করছিলাম</t>
  </si>
  <si>
    <t>দেশে বাণিজ্যিক নির্যাতন ছিল</t>
  </si>
  <si>
    <t>মোবাইল ফোন চালু হয়েছিল</t>
  </si>
  <si>
    <t>পত্রিকা বিশেষ প্রকাশ করেছিল</t>
  </si>
  <si>
    <t>পানীয় পান করা হয়েছিল</t>
  </si>
  <si>
    <t>বিতর্কে প্রধানমন্ত্রী পদ ছেড়েছিলেন</t>
  </si>
  <si>
    <t>আত্মীয়ের সাথে চলচ্চিত্র দেখেছিলেন</t>
  </si>
  <si>
    <t>ব্যাডমিন্টনে তারা বিজয়ী হয়েছিল</t>
  </si>
  <si>
    <t>প্রোগ্রামটির এক্সেকিউটেবল তৈরি হয়েছিল</t>
  </si>
  <si>
    <t>ব্যবসার মূলধন বৃদ্ধি পেয়েছিল</t>
  </si>
  <si>
    <t>সে অবসরে কবিতা লিখিতেছিল</t>
  </si>
  <si>
    <t>দল হেরেছিল শক্তিশালী প্রতিযোগিতায়</t>
  </si>
  <si>
    <t>আমি ভালোভাবে সাঁতার কাটতাম</t>
  </si>
  <si>
    <t>মৌসুমে প্রয়োজনীয় ফসল কমছিল</t>
  </si>
  <si>
    <t>বিয়েতে মাছের কারি খেয়েছিলাম</t>
  </si>
  <si>
    <t>আমি বই লেখতে বসেছিলাম</t>
  </si>
  <si>
    <t>প্রখ্যাত রাজনীতিবিদ যোগদান করলেন</t>
  </si>
  <si>
    <t>নতুন কবিতার প্রকাশ করেছিলাম</t>
  </si>
  <si>
    <t>মাছ ধরেছিল মহিলা সমূহ</t>
  </si>
  <si>
    <t>আমি লোন নিয়েছিলাম গতমাসে</t>
  </si>
  <si>
    <t>নগর পরিষদে পদত্যাগ করেছিল</t>
  </si>
  <si>
    <t>নেতারা অধিনায়ক নির্বাচন করেছিল</t>
  </si>
  <si>
    <t>হেডফোন ব্যবহার করা হয়েছিল</t>
  </si>
  <si>
    <t>আমরা সংগীতউৎসবে ছিলাম রাতে</t>
  </si>
  <si>
    <t>প্রতিষ্ঠানে নির্বাচন আয়োজন হলো</t>
  </si>
  <si>
    <t>রান্না করেছিল স্বাদের জন্য</t>
  </si>
  <si>
    <t>ব্যবসা চলছিল নির্বিঘ্নে প্রশ্রুতিতে</t>
  </si>
  <si>
    <t>সরকার পদত্যাগ করেছিল গ্রামপরিষদে</t>
  </si>
  <si>
    <t>ডাটা মাইনিং বিষয়টি শিখলাম</t>
  </si>
  <si>
    <t>জনপ্রিয়তা প্রাপ্ত করেছিলেন মিডিয়ায়</t>
  </si>
  <si>
    <t>বিশ্ববিদ্যালয়ে লিটারেচার পড়তে গিয়েছিলাম</t>
  </si>
  <si>
    <t>ব্যাংকে চাকরির পরীক্ষা দিলাম</t>
  </si>
  <si>
    <t>প্রতিযোগিতায় অংশগ্রহণ করেছিলেন আগে</t>
  </si>
  <si>
    <t>আমরা সিনেমা হলে গিয়েছিলাম</t>
  </si>
  <si>
    <t>সময় কাটাতে মোবাইল দেখেছিল</t>
  </si>
  <si>
    <t>সে মুরগি ফ্রাই করছিল</t>
  </si>
  <si>
    <t>আমি চা চেখে দেখছিলাম</t>
  </si>
  <si>
    <t>আমি মাছ ভর্তা বানাচ্ছিলাম</t>
  </si>
  <si>
    <t>আমি খেলায় পারদর্শী ছিলাম</t>
  </si>
  <si>
    <t>কালিজা ভাজছিল পিকনিকের সময়ে</t>
  </si>
  <si>
    <t>প্লেয়ারা ফাইনালে ভালো খেলেছিল</t>
  </si>
  <si>
    <t>সাইবার সিকিউরিটি বাড়ানো হলো</t>
  </si>
  <si>
    <t>কলেজ কেফেটেরিয়ায় খেতে গিয়েছিলাম</t>
  </si>
  <si>
    <t>ফুটবল ম্যাচ হয়েছিল অসাধারণ</t>
  </si>
  <si>
    <t>নতুন এটি প্রয়োজন ছিল</t>
  </si>
  <si>
    <t>তারা একটি চিত্র বুঝতেছিলেন</t>
  </si>
  <si>
    <t>তুমি রোমান্টিক মুভি দেখলে</t>
  </si>
  <si>
    <t>ক্যামেরা দিয়ে ছবি তুলেছিলেন</t>
  </si>
  <si>
    <t>বিয়ের অনুষ্ঠানে জয়েন করেছিলাম</t>
  </si>
  <si>
    <t>তিনি স্পাঘেটি বোলিং করছিলেন</t>
  </si>
  <si>
    <t>সে অনুষ্ঠান চলচ্চিত্র দেখতেছিলেন</t>
  </si>
  <si>
    <t>তিনি সিনেমা দেখে হাসতেছিলেন</t>
  </si>
  <si>
    <t>তুমি চিংড়ি খাচ্ছিলে গরমজলে</t>
  </si>
  <si>
    <t>আমি পরীক্ষায় উত্কৃষ্ট ছিলাম</t>
  </si>
  <si>
    <t>খবরটি ইন্টারনেটে প্রচারিত হয়েছিল</t>
  </si>
  <si>
    <t>শিক্ষা বিষয়ক প্রবৃদ্ধি হয়েছিলো</t>
  </si>
  <si>
    <t>মুসলিমগণ হজ্ব করতে গিয়েছিল</t>
  </si>
  <si>
    <t>মন্ত্রিসভা আলোচনা করেছিল সম্প্রতি</t>
  </si>
  <si>
    <t>গতকাল ছেলেমেয়ারা টেনিস খেলিয়াছিল</t>
  </si>
  <si>
    <t>প্রধানমন্ত্রী নিয়ে প্রতিবাদ উঠেছিল</t>
  </si>
  <si>
    <t>সে নতুুন বিমা করল</t>
  </si>
  <si>
    <t>কমেডি ছবি দেখেছিল বিকেলে</t>
  </si>
  <si>
    <t>আমরা বাংলা চলচ্চিত্র দেখেছিলাম</t>
  </si>
  <si>
    <t>সংবাদ প্রচারে জনপ্রিয় ছিল</t>
  </si>
  <si>
    <t>সুন্দর শহরে ছিলেন জানুয়ারিতে</t>
  </si>
  <si>
    <t>আমরা ভালো বন্ধু খুজিয়াছিলাম</t>
  </si>
  <si>
    <t>প্রশংসা করেছিলে সিনেমা উপভোগ্য</t>
  </si>
  <si>
    <t>মোরগ পালন করতেন ছেলেরা</t>
  </si>
  <si>
    <t>কাস্টমের কাজ বিঘ্ন হয়েছিল</t>
  </si>
  <si>
    <t>সে বাগানে পানি দিচ্ছিল</t>
  </si>
  <si>
    <t>ম্যাচটি আজকে সমাপ্ত হয়েছিল</t>
  </si>
  <si>
    <t>টিম জয় করেছিল প্রতিযোগিতায়</t>
  </si>
  <si>
    <t>আমি প্রযুক্তি শেখতে ছিলাম</t>
  </si>
  <si>
    <t>নতুন কবিতার বই লিখেছিলাম</t>
  </si>
  <si>
    <t>বড় স্ক্রিনে সিনেমা দেখেছিলাম</t>
  </si>
  <si>
    <t>সে অসাধারণ চলচ্চিত্র দেখল</t>
  </si>
  <si>
    <t>প্রাচীন ইতিহাসের অনুসন্ধান করেছিলেন</t>
  </si>
  <si>
    <t>সমস্যা সমাধান করেই গিয়েছিলাম</t>
  </si>
  <si>
    <t>তারা নতুন চিত্র দেখতেছিলেন</t>
  </si>
  <si>
    <t>অবসরে ঘুরতে যাইতে চেয়েছিলেন</t>
  </si>
  <si>
    <t>এই মাসে ই রিমোট কিনেছিলাম</t>
  </si>
  <si>
    <t>সংসদে আসতেন নায়ক মন্ত্রী</t>
  </si>
  <si>
    <t>পানির তারকারি খেলাম রাতে</t>
  </si>
  <si>
    <t>শাহজাহান তাজমহল দেখতে চেয়েছিল</t>
  </si>
  <si>
    <t>মন্ত্রিসভায় বক্তব্য দিতে প্রেস কল করা হয়েছিল</t>
  </si>
  <si>
    <t>মন্ত্রিসভায় বক্তব্য দিচ্ছিলেন প্রধানমন্ত্রী</t>
  </si>
  <si>
    <t>যখন আমি চা বানাচ্ছিলাম</t>
  </si>
  <si>
    <t>গানের গলা ভাল ছিল</t>
  </si>
  <si>
    <t>বড় সফরে যাচ্ছিলাম ছুটিতে</t>
  </si>
  <si>
    <t>বিশ্বকাপে ভারত বিজয়ী হয়েছিল</t>
  </si>
  <si>
    <t>হকি খেলায় হারেছিল তারা</t>
  </si>
  <si>
    <t>প্রচার হচ্ছিল সংবাদ চ্যানেলে</t>
  </si>
  <si>
    <t>শিক্ষার্থীরা সফলতার সন্ধান করিয়াছিল</t>
  </si>
  <si>
    <t>দল জয় লাভ করল</t>
  </si>
  <si>
    <t>শিক্ষা প্রণোদনা প্রচুর ছিলো</t>
  </si>
  <si>
    <t>কোড রিভিউয়ে সময় দিতাম</t>
  </si>
  <si>
    <t>আরবি শিক্ষা আয়োজন করল</t>
  </si>
  <si>
    <t>হার্ভেস্ট সময়ে অশোক ছিল</t>
  </si>
  <si>
    <t>সদস্যদের মধ্যে আলোচনা চলছিল</t>
  </si>
  <si>
    <t>অবসরে শান্তিময় ভ্রমণ করেছিলাম</t>
  </si>
  <si>
    <t>আমরা ট্রেন ধরছিলাম শনিবারে</t>
  </si>
  <si>
    <t>ট্রেনে বসেছিলাম সপ্তাহ পূর্বে</t>
  </si>
  <si>
    <t>দাওয়াতে অতিথিদের আসা হয়েছিল</t>
  </si>
  <si>
    <t>বিগ ডেটা ব্যবহার করেছিলাম</t>
  </si>
  <si>
    <t>অধিনায়ক মাঠে উপস্থিত ছিলেন</t>
  </si>
  <si>
    <t>ব্যাডমিন্টনে তারা জয়ী হয়েছিল</t>
  </si>
  <si>
    <t>মুনাফা কমেছিল প্রাক্তন বছরে</t>
  </si>
  <si>
    <t>তাদের অর্থনীতির উন্নয়ন হয়েছিল</t>
  </si>
  <si>
    <t>নতুন ভাস্কর্য রচনা করতেছিলেন</t>
  </si>
  <si>
    <t>পূর্বে ক্লাস শেষ হয়েছিলো</t>
  </si>
  <si>
    <t>মোরগ পালতেন গ্রামের লোকরা</t>
  </si>
  <si>
    <t>মসজিদে সালাত আদায় করতেছিল</t>
  </si>
  <si>
    <t>আমরা গীতির অনুষ্ঠান দেখছিলাম</t>
  </si>
  <si>
    <t>মাংস ভুনছিলে নানের সাথে</t>
  </si>
  <si>
    <t>ভাজা হয়েছিল ডুবানী তেলে</t>
  </si>
  <si>
    <t>বিকেলে পাকোড়া তৈরি করলেন</t>
  </si>
  <si>
    <t>সে আজকের খাবার বানিয়েছিল</t>
  </si>
  <si>
    <t>বিশ্বকাপে এগারটি দল ছিল</t>
  </si>
  <si>
    <t>কোডিং কৌশলে অগ্রসর হইলাম</t>
  </si>
  <si>
    <t>অপপ্রিয় নির্বাচন হয়েছিল শেষবারে</t>
  </si>
  <si>
    <t>ট্যাবলেট খুলতেছিল রবিবার সকালে</t>
  </si>
  <si>
    <t>মৌসুমে উর্বর প্রতিকূলতা হয়েছিল</t>
  </si>
  <si>
    <t>তিনি ক্রেডিট কার্ড পেয়েছিলেন</t>
  </si>
  <si>
    <t>খেলা হয়েছিলল শহরের ক্লাবে</t>
  </si>
  <si>
    <t>সরকার ভাঙতে ব্যাঘাত দিয়েছিলেন</t>
  </si>
  <si>
    <t>সোসাইটিতে ডিজিটাল পরিবর্তন এসেছিল</t>
  </si>
  <si>
    <t>সে টেনিস ট্রফি জিতেছিল</t>
  </si>
  <si>
    <t>বাংলাদেশ বিশ্বকাপ ফুটবল খেলেছিল</t>
  </si>
  <si>
    <t>কোড বাগ রিপোর্ট করতেছিলাম</t>
  </si>
  <si>
    <t>বৃদ্ধি হিসেবে নিয়োজিত হয়েছিলাম</t>
  </si>
  <si>
    <t>লেখক হিসেবে পুরস্কৃত হলাম</t>
  </si>
  <si>
    <t>সকালে নাস্তায় রুটি খেয়েছিলাম</t>
  </si>
  <si>
    <t>মন্ত্রিসভা আলোচনা করেছিল প্রতিষ্ঠানে</t>
  </si>
  <si>
    <t>একটি ফ্রেমওয়ার্ক ব্যবহার করলাম</t>
  </si>
  <si>
    <t>তারা ঋণ পরিশোধ করতেছিলেন</t>
  </si>
  <si>
    <t>তুমি ছবিটি সারাদিন দেখেছিলে</t>
  </si>
  <si>
    <t>সে বারবিকিউ গ্রিল করছিল</t>
  </si>
  <si>
    <t>সিনেমা হলে কবে দেখলে</t>
  </si>
  <si>
    <t>সানিয়া বেডমিন্টন চেম্পিয়ন হয়েছিল</t>
  </si>
  <si>
    <t>পরিবহন বিক্রয় কমেছিল মাসে</t>
  </si>
  <si>
    <t>শিশুমেলায় অনেক মানুষ ছিল</t>
  </si>
  <si>
    <t>আমরা নাটক আসরে ছিলাম</t>
  </si>
  <si>
    <t>একটি নতুন চিত্র দেখলেন</t>
  </si>
  <si>
    <t>নতুন সিটি দেখতে গিয়েছিলাম</t>
  </si>
  <si>
    <t>সফটওয়্যার টেস্টিং করতে হয়েছিল</t>
  </si>
  <si>
    <t>শস্যের মাটি উপযুক্ত ছিল</t>
  </si>
  <si>
    <t>রাজনীতিবিদদের সভায় আলোচনা চলছিল</t>
  </si>
  <si>
    <t>সে সারাদিন মুভি দেখতেছিলেন</t>
  </si>
  <si>
    <t>সে মুরগি পরিবেশন করছিল</t>
  </si>
  <si>
    <t>পরিদর্শক কলেজ পর্যবেক্ষণ করিয়াছিল</t>
  </si>
  <si>
    <t>সফল হতে পরিশ্রম করেছিলাম</t>
  </si>
  <si>
    <t>মাছ দিয়ে রান্না করলাম</t>
  </si>
  <si>
    <t>স্যুপ গরম করছিল নাস্তায়</t>
  </si>
  <si>
    <t>রেস্তোরাঁতে চিংড়ি মাছ খেয়েছিলে</t>
  </si>
  <si>
    <t>আমরা নতুন নাটয়িক দেখতেছিলাম</t>
  </si>
  <si>
    <t>আগে আমরা সমীক্ষা করেছিলাম</t>
  </si>
  <si>
    <t>সুন্দরবন জীবজন্তুে পরিপূর্ণ ছিল</t>
  </si>
  <si>
    <t>স্কুলে আরবি শিক্ষা দিয়েছিল</t>
  </si>
  <si>
    <t>আমি মুনাফা লাভ করেছিলাম</t>
  </si>
  <si>
    <t>শেষ হয়েছিল প্রশান্তির সাথে</t>
  </si>
  <si>
    <t>সে বাড়িতে স্যুপ খেয়েছিল</t>
  </si>
  <si>
    <t>ম্যাচ হারেছিল শক্তিশালী প্রতিদ্বন্দ্বী</t>
  </si>
  <si>
    <t>সভাপতি নির্বাচন করেছিলেন মন্ত্রী</t>
  </si>
  <si>
    <t>মুসলমানরা পরকাল নিয়ে ভাবিয়াছিল</t>
  </si>
  <si>
    <t>বলেছিলে যে সিনেমা ভালো</t>
  </si>
  <si>
    <t>সে বিলেত ভ্রমণে গিয়েছিল</t>
  </si>
  <si>
    <t>উন্নতি হয়েছিল সাংবাদিকতা প্রতিষ্ঠানে</t>
  </si>
  <si>
    <t>বিগডাটার রিসোর্স প্রশিক্ষণ হয়েছিল</t>
  </si>
  <si>
    <t>ট্রফি জয়ের জন্য খেলেছিলাম</t>
  </si>
  <si>
    <t>টেলিভিশন দেখা হচ্ছিল প্রতিদিন</t>
  </si>
  <si>
    <t>শেয়ার মূল্য কমেছিল গতসপ্তাহে</t>
  </si>
  <si>
    <t>গতমাসে হিট মুভি দেখেছিলেন</t>
  </si>
  <si>
    <t>তার চিত্র চিত্রিত হচ্ছিলো</t>
  </si>
  <si>
    <t>হকি খেলায় তারা হারেছিল</t>
  </si>
  <si>
    <t>অ্যানিমেশন চলচ্চিত্র দেখেছিলেন সকালে</t>
  </si>
  <si>
    <t>আমি শহরে ঘুরে আসলাম</t>
  </si>
  <si>
    <t>উদারপন্থী সুবিধা অর্জন হয়েছিল</t>
  </si>
  <si>
    <t>ম্যাচটি শেষ হয়েছিল প্রশ্নিতে</t>
  </si>
  <si>
    <t>প্রধানমন্ত্রী প্রশ্ন জিজ্ঞাসা করলেন</t>
  </si>
  <si>
    <t>আমি গতবছরের ফিল্ম দেখেছিলাম</t>
  </si>
  <si>
    <t>কোড রিভিউ ছিল প্রয়োজনীয়</t>
  </si>
  <si>
    <t>নুনে রুটি বানানো হয়েছিল</t>
  </si>
  <si>
    <t>আমরা সংগীত উৎসবে ছিলাম</t>
  </si>
  <si>
    <t>প্রধান কার্যালয়ে অনুষ্ঠিত হয়েছিল</t>
  </si>
  <si>
    <t>অস্ট্রেলিয়ায় ছিলাম গত বছরে</t>
  </si>
  <si>
    <t>এই প্রোজেক্ট বড় ছিল</t>
  </si>
  <si>
    <t>প্রস্তুতি ছাড়া ভাষণ দিয়েছিলাম</t>
  </si>
  <si>
    <t>তারা জিতেছিল ফুটবল ম্যাচে</t>
  </si>
  <si>
    <t>তারা ফুটবল ম্যাচেে অংশগ্রহন করেছিল</t>
  </si>
  <si>
    <t>রাষ্ট্রপতির সঙ্গে বৈঠক করেছিলেন প্রধানমন্ত্রী</t>
  </si>
  <si>
    <t>তিনি নতুন নৃত্য দেখেছিলেন</t>
  </si>
  <si>
    <t>গরীবকে দান করিতে চেয়েছিলাম</t>
  </si>
  <si>
    <t>মূল্য বাড়তি পেয়েছিল তিনমাসে</t>
  </si>
  <si>
    <t>একটি ভূতপুর্ব ছবি দেখেছিলে</t>
  </si>
  <si>
    <t>তারা আলু চিপস খেয়েছিলে</t>
  </si>
  <si>
    <t>রাতে পড়ছিলাম প্রস্তুতির জন্য</t>
  </si>
  <si>
    <t>ছাত্ররা নতুন রোবট বানাল</t>
  </si>
  <si>
    <t>ক্রিকেট খেলা চলছিল অবিরামভাবে</t>
  </si>
  <si>
    <t>তুমি বিজ্ঞানে গবেষণা করছিলে</t>
  </si>
  <si>
    <t>কম্পিউটার সমস্যা সমাধান হয়েছিলো</t>
  </si>
  <si>
    <t>মূলধন কমেছিল গত বছরে</t>
  </si>
  <si>
    <t>আমি একটি ডিপোজিট করতাম</t>
  </si>
  <si>
    <t>সে খেজুর আম কাটছিল</t>
  </si>
  <si>
    <t>তিনি ব্যাংক স্টেটমেন্ট পেয়েছিলেন</t>
  </si>
  <si>
    <t>পানি পোকা প্রবল ছিল</t>
  </si>
  <si>
    <t>বাংলাদেশে সংবাদ সরবরাহ হচ্ছিল</t>
  </si>
  <si>
    <t>ধানের বীজ বোনা হয়েছিল</t>
  </si>
  <si>
    <t>রেডিও প্রোগ্রাম চলছিল বারবার</t>
  </si>
  <si>
    <t>সরকার গড়েছিল নতুন নীতিমালা</t>
  </si>
  <si>
    <t>অভ্যন্তরীণ সরকার পদত্যাগ করেছিল</t>
  </si>
  <si>
    <t>তুমি দেখেছিলে কার সঙ্গে</t>
  </si>
  <si>
    <t>অবসরে খেলাধুলা প্রয়োজন ছিল</t>
  </si>
  <si>
    <t>নতুন নতুন আইডিয়া আসত</t>
  </si>
  <si>
    <t>সমুদ্র কিনারে বসে ছিলেন</t>
  </si>
  <si>
    <t>প্রতিষ্ঠানের বিষয়ে সমালোচনা চলছিল</t>
  </si>
  <si>
    <t>তারা লোন পেয়েছিলেন সপ্তাহে</t>
  </si>
  <si>
    <t>বিশেষ কমিটি গঠন হয়েছিল</t>
  </si>
  <si>
    <t>প্রধানমন্ত্রী নির্বাচন হয়েছিল জনসভায়</t>
  </si>
  <si>
    <t>মোবাইল প্রযুক্তি বৃদ্ধি হয়েছিলো</t>
  </si>
  <si>
    <t>একটি হোটেলে থাকতেছিলেন রাতে</t>
  </si>
  <si>
    <t>তুমি ভ্যানিলা আইসক্রিম খাচ্ছিলে</t>
  </si>
  <si>
    <t>তিনি ট্রেকিং করছিলেন হিমালয়ে</t>
  </si>
  <si>
    <t>খেলা দেখতে গিয়েছিলাম স্টেডিয়ামে</t>
  </si>
  <si>
    <t>ফ্যান্টাসি ছবি দেখেছিলে রাতে</t>
  </si>
  <si>
    <t>নতুন সরকারে যোগ দিয়েছিলেন</t>
  </si>
  <si>
    <t>গল্ফ খেলছিল সুন্দর গ্রীনে</t>
  </si>
  <si>
    <t>বিফ স্ট্রিপস ফ্রাই করছিলাম</t>
  </si>
  <si>
    <t>সুন্দরবনে অনেক পশুপাখি দেখেছিলাম</t>
  </si>
  <si>
    <t>সে গরুর মাংস খেয়েছিল</t>
  </si>
  <si>
    <t>জমিতে ধান চাষ হয়েছিল</t>
  </si>
  <si>
    <t>তাজমহল দেখতে আগ্রা গিয়েছিলাম</t>
  </si>
  <si>
    <t>বাজারে দাম বাড়ছিল গতমাসে</t>
  </si>
  <si>
    <t>নতুন ডিজাইন উপস্থাপন করলাম</t>
  </si>
  <si>
    <t>সে আজ স্যুপ খেয়েছিল</t>
  </si>
  <si>
    <t>আগ্রার সৌন্দর্য মুগ্ধ করেছিল</t>
  </si>
  <si>
    <t>আমরা টাকা উধাও করলাম</t>
  </si>
  <si>
    <t>নতুন এপ্লিকেশন ডেভেলপ হয়েছিল</t>
  </si>
  <si>
    <t>ব্যাডমিন্টন খেলেছিলেন আগের মাসে</t>
  </si>
  <si>
    <t>তুমি মাছের কারি বানাচ্ছিলে</t>
  </si>
  <si>
    <t>পুরানো চলচ্চিত্র দেখেছিলাম গতসপ্তাহে</t>
  </si>
  <si>
    <t>নতুন হোটেল পর্যালোচনা করেছিলেন</t>
  </si>
  <si>
    <t>ক্রিকেটে সেনা পরাজিত হয়েছিল</t>
  </si>
  <si>
    <t>গত সপ্তাহে টেস্ট হয়েছিল</t>
  </si>
  <si>
    <t>তুমি সব বই পড়েছিলে</t>
  </si>
  <si>
    <t>ডেভেলপমেন্টে আমি চোখ রেখেছিলাম</t>
  </si>
  <si>
    <t>তুমি চিংড়ি ভুনা খেলে</t>
  </si>
  <si>
    <t>বসন্তের সৌন্দর্য অবলোকন করেছিলাম</t>
  </si>
  <si>
    <t>সংসদের মধ্যে বিতর্ক হয়েছিল</t>
  </si>
  <si>
    <t>বই থেকে মুভি দেখেছিলেন</t>
  </si>
  <si>
    <t>ডিজাইন প্যাটার্ন ইমপ্লিমেন্ট করলাম</t>
  </si>
  <si>
    <t>আমরা একটি স্ক্রিপ্ট বানাল</t>
  </si>
  <si>
    <t>ট্যাক্স মেয়াদ অতিশয় ছিল</t>
  </si>
  <si>
    <t>জাতীয় নেতারা ঘোষণা করেছিল</t>
  </si>
  <si>
    <t>ফুটবল খেলায় বিজয়ী হয়েছিল</t>
  </si>
  <si>
    <t>সে আজকে চাউমিন খেয়েছিল</t>
  </si>
  <si>
    <t>ছাত্রছাত্রীরা পুরাতন গল্প পড়েছিলো</t>
  </si>
  <si>
    <t>সে বাড়িতে পাস্তা খেয়েছিল</t>
  </si>
  <si>
    <t>নির্বাচন নিয়ে অভিযোগ ছিল</t>
  </si>
  <si>
    <t>সকাল থেকে প্রযুক্তি শেখছিলে</t>
  </si>
  <si>
    <t>শেয়ার মূল্য কমল গতসপ্তাহে</t>
  </si>
  <si>
    <t>গানে সবাই বিভোর ছিল</t>
  </si>
  <si>
    <t>ফিল্ডার বলটি ধরছিলেন স্পষ্টভাবে</t>
  </si>
  <si>
    <t>ভোটে জয় লাভ করেছিল</t>
  </si>
  <si>
    <t>নাস্তায় রুটি রাখতে বলেছিলাম</t>
  </si>
  <si>
    <t>তারা সাদা চকলেট খেয়েছিল</t>
  </si>
  <si>
    <t>আমরা ব্যাংক গিয়েছিলাম মাসে</t>
  </si>
  <si>
    <t>রান্নার জন্য বাজারে গেছিল</t>
  </si>
  <si>
    <t>টেনিস ম্যাচে সেরা হয়েছিল</t>
  </si>
  <si>
    <t>বোলিং দল প্রশিক্ষণ পেয়েছিল</t>
  </si>
  <si>
    <t>দেশে দেশে পুনঃপ্রবর্তন হয়েছিল</t>
  </si>
  <si>
    <t>ফসল পরিচালনা করেন কৃষক</t>
  </si>
  <si>
    <t>টেনিস খেলছিল ছাদের উপরে</t>
  </si>
  <si>
    <t>আমি প্রিয় ছবি দেখেছিলাম</t>
  </si>
  <si>
    <t>ব্যবসা বন্ধ হয়েছিল সপ্তাহে</t>
  </si>
  <si>
    <t>শাক লাগানো হয়েছিল শীতে</t>
  </si>
  <si>
    <t>নতুন মোড়ক উন্মোচিত হল</t>
  </si>
  <si>
    <t>ছবি প্রদর্শন করতেছিলেন মাসে</t>
  </si>
  <si>
    <t>প্রধানমন্ত্রী দফা করতেন শনিবারে</t>
  </si>
  <si>
    <t>ম্যাচটি বারবার বাধা পেয়েছিল</t>
  </si>
  <si>
    <t>আমি মিষ্টি খেয়েছিলাম বিকেলে</t>
  </si>
  <si>
    <t>ড্রামা চলচ্চিত্র দেখেছিলাম সকালে</t>
  </si>
  <si>
    <t>ওয়েবসাইট ডিজাইন সম্পন্ন হয়েছিল</t>
  </si>
  <si>
    <t>তুমি বুঝতে চেষ্টা করছিলে</t>
  </si>
  <si>
    <t>মাংসের রোস্ট করতেছিলেন মাঝে</t>
  </si>
  <si>
    <t>ছাত্রজীবনে কষ্ট করেছিলাম সফলতার জন্য</t>
  </si>
  <si>
    <t>ছাত্রজীবনে কষ্ট করতে হয়েছিল</t>
  </si>
  <si>
    <t>একটি জাহাজে ছিলেন শনিবারে</t>
  </si>
  <si>
    <t>ক্লাসিক বাঙালি লিটেরেচার পড়তাম</t>
  </si>
  <si>
    <t>শাহজাহান তাজমহল তৈরী করেছিল</t>
  </si>
  <si>
    <t>রাজনীতিতে উল্লেখযোগ্য বিক্ষোভ চলছিল</t>
  </si>
  <si>
    <t>তিনি হিসাব চেক করলেন</t>
  </si>
  <si>
    <t>হকি খেলা হতো সকালে</t>
  </si>
  <si>
    <t>নাটক দেখল সন্ধ্যার সময়ে</t>
  </si>
  <si>
    <t>ছাত্ররা ফুটবল উপভোগ করছিল</t>
  </si>
  <si>
    <t>মন্ত্রিসভা প্রস্তাবনা অনুমোদন করেছিল</t>
  </si>
  <si>
    <t>তার চিত্র দেখতেছিলাম মাসে</t>
  </si>
  <si>
    <t>সাইবার সিকিউরিটি শিখতে হয়েছিল</t>
  </si>
  <si>
    <t>কোডিং টেকনোলজি উত্থান হয়েছিল</t>
  </si>
  <si>
    <t>সে প্রযুক্তি শিখেছিল দ্রুত</t>
  </si>
  <si>
    <t>ইসলামিক জীবনের পরামর্শ দিয়েছিলাম</t>
  </si>
  <si>
    <t>সুন্দরবনে অনেক বাঘ ছিল</t>
  </si>
  <si>
    <t>পরিবহনে উন্নতি হয়েছিল ব্যয়ে</t>
  </si>
  <si>
    <t>তুমি চা পান করছিলে</t>
  </si>
  <si>
    <t>বসন্তে পরিবেশ সুন্দর ছিল</t>
  </si>
  <si>
    <t>সকালে নাস্তা বানানো হয়েছিল</t>
  </si>
  <si>
    <t>গেমটি ডেভেলপার ডেভেলপ করল</t>
  </si>
  <si>
    <t>রুট পরীক্ষা মন্দির করেছিলাম</t>
  </si>
  <si>
    <t>তুমি গতবছরে উচ্চশিক্ষা করেছিলে</t>
  </si>
  <si>
    <t>সোসাইটি ডিজিটালাইজেশনে অগ্রসর হয়েছিল</t>
  </si>
  <si>
    <t>মিটিংয়ে হেডফোন ব্যবহার করেছিল</t>
  </si>
  <si>
    <t>আমরা পাহাড়ে হিসেবে ছিলাম</t>
  </si>
  <si>
    <t>অব্যবস্থিত বাণিজ্যিক প্রণালী ছিল</t>
  </si>
  <si>
    <t>পুরাতন মসজিদ পরিদর্শন করেছিলেন</t>
  </si>
  <si>
    <t>এপ্লিকেশনে বাগ দেখা দিয়েছিল</t>
  </si>
  <si>
    <t>সংসদে আসলেন সাংসদ সদস্য</t>
  </si>
  <si>
    <t>বাজেট প্রস্তুতি হলো সরকারের</t>
  </si>
  <si>
    <t>সবাই খেলতে মাঠে আসল</t>
  </si>
  <si>
    <t>মাসিক ব্যাংক বিবাদ করেছিলাম</t>
  </si>
  <si>
    <t>প্রতিযোগীতার মান বৃদ্ধি হল</t>
  </si>
  <si>
    <t>মুসলিমরা সালাত আদায় করিয়াছিল</t>
  </si>
  <si>
    <t>ক্লাসিক লিটেরেচার পড়ছিল সবাই</t>
  </si>
  <si>
    <t>বার্ষিক শিক্ষা সফরে গিয়েছিলাম</t>
  </si>
  <si>
    <t>তিনি ডিম ফেলেছিলেন পাতিলে</t>
  </si>
  <si>
    <t>ফলে আম উৎপাদিত হয়েছিল</t>
  </si>
  <si>
    <t>রোস্ট চিকেন খেয়েছিলাম উৎসবে</t>
  </si>
  <si>
    <t>পিজা খেয়েছিলাম আগের বিকেলে</t>
  </si>
  <si>
    <t>প্রাকৃতিক আকর্ষণ দেখতে গিয়েছিলেন</t>
  </si>
  <si>
    <t>গায়করা অবসরে অনুষ্ঠানে গিয়েছিল</t>
  </si>
  <si>
    <t>ভারত অস্ট্রেলিয়ার কাছে হেরেছিল</t>
  </si>
  <si>
    <t>টোর্নামেন্ট শুরু হয়েছিল শনিবারে</t>
  </si>
  <si>
    <t>বাজার থেকে সবকি এনেছিলাম</t>
  </si>
  <si>
    <t>প্রদর্শন করেছিল বাজারে দ্রুতি</t>
  </si>
  <si>
    <t>পার্কে থাকতাম বিশেষ দিনে</t>
  </si>
  <si>
    <t>আমরা একটি ডিবাগ করিয়াছিলাম</t>
  </si>
  <si>
    <t>ট্যাবলেট ব্যবহার করেছিল পড়াশোনায়</t>
  </si>
  <si>
    <t>অনেকক্ষণ উত্সাহে ম্যাচ খেলেছিলেন</t>
  </si>
  <si>
    <t>আমি মুরগি কোরমা বানাচ্ছিলাম</t>
  </si>
  <si>
    <t>পিজ্জা খেয়েছিলাম আগের সপ্তাহে</t>
  </si>
  <si>
    <t>মাংস কোরমা বানালাম বিশেষভবে</t>
  </si>
  <si>
    <t>ডিজাইন প্যাটার্ন অনুসরণ হলো</t>
  </si>
  <si>
    <t>দেশের গৃহ মন্ত্রালয়ে হয়েছিল</t>
  </si>
  <si>
    <t>তারা ব্যাংক খুললেন মাসে</t>
  </si>
  <si>
    <t>শস্য সংগ্রহ হয়েছিল গতবছরে</t>
  </si>
  <si>
    <t>প্রতিষ্ঠান ম্যানেজারের ইন্টারভিউ হয়েছিল</t>
  </si>
  <si>
    <t>শিক্ষায় নতুন কোর্স এসেছিলো</t>
  </si>
  <si>
    <t>একটি মিউজিয়ামে ছিলাম শনিবারে</t>
  </si>
  <si>
    <t>স্যালাড তৈরি করা হয়েছিল</t>
  </si>
  <si>
    <t>ব্যবসা বৃদ্ধি পেয়েছিল মাসে</t>
  </si>
  <si>
    <t>পরিষদে সরকার পদত্যাগ করেছিল</t>
  </si>
  <si>
    <t>রাজনীতি আলোচনা হয়েছিল পরিষদে</t>
  </si>
  <si>
    <t>নেতা নির্বাচিত হয়েছিল প্রচারে</t>
  </si>
  <si>
    <t>চিংড়ি ভুনেছিলে ভালো করে</t>
  </si>
  <si>
    <t>মেসি গোল করেছিল ম্যাচে</t>
  </si>
  <si>
    <t>সাইবার সিকিউরিটি বৃদ্ধি পেয়েছিল</t>
  </si>
  <si>
    <t>তিনি বারবিকিউ গ্রিল করছিলেন</t>
  </si>
  <si>
    <t>খেলাধুলায় শরীরে আঘাত পেয়েছিলাম</t>
  </si>
  <si>
    <t>বাগানে গোলাপ ফুল ফুটিয়েছিল</t>
  </si>
  <si>
    <t>খেলছিল জোরে দৃঢ়তার সাথে</t>
  </si>
  <si>
    <t>পার্টির জন্য তৈরি হয়েছিল</t>
  </si>
  <si>
    <t>সরকারের বিদায় ঘোষণা হয়েছিল</t>
  </si>
  <si>
    <t>আমি মুরগি ভুনি ছিলাম</t>
  </si>
  <si>
    <t>অটোমেশন সিস্টেম স্থাপনা হয়েছিলো</t>
  </si>
  <si>
    <t>সমুদ্র ভ্রমণ উপভোগ করেছিলাম</t>
  </si>
  <si>
    <t>পাহাড়ে হাইকিং করছিলাম গতবছর</t>
  </si>
  <si>
    <t>তারা চলচ্চিত্র দেখেছিল রাতে</t>
  </si>
  <si>
    <t>টিম সবসময়ই কাজ করেছিল</t>
  </si>
  <si>
    <t>টিমটি গোল করেছিল প্রথম</t>
  </si>
  <si>
    <t>দিনভর সময় ধরে হয়েছিল</t>
  </si>
  <si>
    <t>পুঁইশাক চাষ করা হয়েছিল</t>
  </si>
  <si>
    <t>প্রকাশ করতে আগ্রহ ছিল</t>
  </si>
  <si>
    <t>রাষ্ট্রপতির সঙ্গে বৈঠক হয়েছিল</t>
  </si>
  <si>
    <t>আমরা গাড়িতে যাচ্ছিলাম শনিবারে</t>
  </si>
  <si>
    <t>বাগান পরিচালনা করা হয়েছিল</t>
  </si>
  <si>
    <t>বিভিন্ন রকম রান্না হল</t>
  </si>
  <si>
    <t>পরিস্থিতির কারণে বাজারে কমছিল</t>
  </si>
  <si>
    <t>প্রাথমিকভাবে ডিজিটাল ক্যামেরা কিনেছিল</t>
  </si>
  <si>
    <t>পরিবহন বাড়তি পেয়েছিল তিনমাসে</t>
  </si>
  <si>
    <t>ব্যবস্থাপনায় উন্নতি হয়েছিল পরিচালনায়</t>
  </si>
  <si>
    <t>একটি বিশেষ ছবি দেখেছিলেন</t>
  </si>
  <si>
    <t>সভাপতি নির্বাচন হয়েছিল জনসভায়</t>
  </si>
  <si>
    <t>তিনি গাছ লাগিয়েছিল গ্রামে</t>
  </si>
  <si>
    <t>তারা ম্যাচ জিতেছিলেন প্রতিশ্রুতিতে</t>
  </si>
  <si>
    <t>বায়োইনফরম্যাটিক্স বিশেষজ্ঞ বাড়ানো হল</t>
  </si>
  <si>
    <t>আমি ভিসা পেয়েছিলাম গতবছরে</t>
  </si>
  <si>
    <t>রাতে জাঙ্গলে থাকতে গিয়েছিলাম</t>
  </si>
  <si>
    <t>আমি স্থায়ী জমা করেছিলাম</t>
  </si>
  <si>
    <t>একটি সুন্দর হোটেলে থাকলাম</t>
  </si>
  <si>
    <t>আমি অর্থনীতির বই পড়তাম</t>
  </si>
  <si>
    <t>আমরা নৃত্য দেখলাম গতসপ্তাহে</t>
  </si>
  <si>
    <t>প্রচারে যাচ্ছিল প্রধানমন্ত্রীর সংবাদ</t>
  </si>
  <si>
    <t>আমি নতুন গান শোনছিলাম</t>
  </si>
  <si>
    <t>কেক তৈরীর উপাদান কিনলাম</t>
  </si>
  <si>
    <t>বীজ বোনা হয়েছিল যথাসময়ে</t>
  </si>
  <si>
    <t>পথ পরিচালনায় স্মার্টওয়াচ পরেছিল</t>
  </si>
  <si>
    <t>মন্ত্রিসভা অনুমোদন করলো বাজেটের</t>
  </si>
  <si>
    <t>বিশ্বকাপে জয়ী হয়ে ফিরেছিলাম</t>
  </si>
  <si>
    <t>আমি একটি চিত্র দেখছিলাম</t>
  </si>
  <si>
    <t>নেতারা সভা বাতিল করেছিলেন</t>
  </si>
  <si>
    <t>আমি একটি পার্কে ছিলাম</t>
  </si>
  <si>
    <t>প্রচুর সাংবাদিক রিপোর্ট করছিল</t>
  </si>
  <si>
    <t>মাদ্রাসায় নিয়মিত হাদীস পড়িয়াছিল</t>
  </si>
  <si>
    <t>মুমিনগণ পরকালের কথা বললেন</t>
  </si>
  <si>
    <t>কোড কমেন্ট করতে হল</t>
  </si>
  <si>
    <t>প্রতিদ্বন্দ্বীদের হারিয়েছিল নগর নির্বাচনে</t>
  </si>
  <si>
    <t>সোশ্যাল মিডিয়া ব্যবহার করা নিষেধ ছিল</t>
  </si>
  <si>
    <t>পুরনো চলচ্চিত্র পুনঃদর্শন করেছিল</t>
  </si>
  <si>
    <t>নিজেদের ঋণ পরিশোধ করেছিলেন</t>
  </si>
  <si>
    <t>ক্রিকেট ম্যাচে পরাজিত হয়েছিল</t>
  </si>
  <si>
    <t>প্রধানমন্ত্রী বৈঠকে আলোচনা করলেন</t>
  </si>
  <si>
    <t>রাজনীতি দিয়ে চলছিল বৈঠকে</t>
  </si>
  <si>
    <t>তুমি ভিটামিন টিকা নিলে</t>
  </si>
  <si>
    <t>দক্ষতার সাথে ধারাবাহিকভাবে খেলছিল</t>
  </si>
  <si>
    <t>প্রধানমন্ত্রী পদ অধিষ্ঠাপন করেছিলেন</t>
  </si>
  <si>
    <t>আপনি খেলা হেরেছিলেন কেন</t>
  </si>
  <si>
    <t>হৃদয়ে বেজেছিল সুরের ধ্বনি</t>
  </si>
  <si>
    <t>পার্টির উদ্যোগে অনুষ্ঠিত হয়েছিল</t>
  </si>
  <si>
    <t>সোশ্যাল মিডিয়ায় এনালাইটিক্স দেখতাম</t>
  </si>
  <si>
    <t>আমি একমাস ধরে পড়ছিলাম</t>
  </si>
  <si>
    <t>সামরিক শক্তি বাড়াতে হলো</t>
  </si>
  <si>
    <t>নতুন জায়গায় ভ্রমণ করেছিলাম</t>
  </si>
  <si>
    <t>মাছের কাচ্চি তৈরি করলাম</t>
  </si>
  <si>
    <t>আমি মজাদার খেতেছিলাম গতরাতে</t>
  </si>
  <si>
    <t>নোটবঁধে একটি লেনদেন হয়েছিল</t>
  </si>
  <si>
    <t>যে খেলোয়াড়টি সেন্চুরি করেছিল</t>
  </si>
  <si>
    <t>লাইব্রেরিটি একটি আপডেট পেয়েছিল</t>
  </si>
  <si>
    <t>নতুন রুটে ট্রেকিং করেছিলাম</t>
  </si>
  <si>
    <t>পার্টির সদস্যগণ আলোচনা চলছিল</t>
  </si>
  <si>
    <t>আমরা জনপ্রিয় কোড শিখছিলাম</t>
  </si>
  <si>
    <t>বই পড়া শেষ করলাম</t>
  </si>
  <si>
    <t>হকি খেলেছিলেন প্রশান্তির সাথে</t>
  </si>
  <si>
    <t>সরকারের নীতি আলোচনা চলছিল</t>
  </si>
  <si>
    <t>ব্যাটসম্যান ব্যবহার করছিলেন নতুন কৌশল</t>
  </si>
  <si>
    <t>বিমা কোম্পানিতে চাকরি করতাম</t>
  </si>
  <si>
    <t>বৃষ্টির দিনে গিয়েছিল সৈকতে</t>
  </si>
  <si>
    <t>ছাত্রছাত্রীরা পোস্টার প্রদর্শনী করল</t>
  </si>
  <si>
    <t>ক্লাস শেষ করে খেয়েছিলাম</t>
  </si>
  <si>
    <t>নতুন ফ্রেমওয়ার্কে ডেভেলপমেন্ট হল</t>
  </si>
  <si>
    <t>সোশ্যাল মিডিয়া ব্যবহার হচ্ছিল</t>
  </si>
  <si>
    <t>আমি থ্রিলার ছবি দেখেছিলাম</t>
  </si>
  <si>
    <t>বিচারপতি নির্বাচন হয়েছিল জনসভায়</t>
  </si>
  <si>
    <t>সঠিকভাবে সংরক্ষণ করা হয়েছিল</t>
  </si>
  <si>
    <t>আমি নতুন চিত্র দেখলাম</t>
  </si>
  <si>
    <t>ফুটবল টোর্নামেন্ট শুরু হয়েছিল</t>
  </si>
  <si>
    <t>পাস্তা বানালাম বিনোদনের জন্য</t>
  </si>
  <si>
    <t>ব্যাংক দেউলিয়া হয়ে গিয়েছিল</t>
  </si>
  <si>
    <t>জনগণ সৈন্যের পাশে ছিল</t>
  </si>
  <si>
    <t>তুমি বিফ ভুনছিলে প্যানে</t>
  </si>
  <si>
    <t>বাগানে অনেক ফুল ছিল</t>
  </si>
  <si>
    <t>আমি অবশেষে ল্যাপটপ কিনেছিলাম</t>
  </si>
  <si>
    <t>রেস্তোরাঁর শেফ খাবার বানাচ্ছিল</t>
  </si>
  <si>
    <t>কোড ব্যাকআপ নিতে হয়েছিল</t>
  </si>
  <si>
    <t>তারা এপ্লিকেশনটি ডেভেলপ করেছিল</t>
  </si>
  <si>
    <t>পুনর্মূদ্রিত ছবি তৈরি করতাম</t>
  </si>
  <si>
    <t>প্রয়োজনে একটি ঘণ্টা ধরে হয়েছিল</t>
  </si>
  <si>
    <t>নতুন বিমায় টাকা রাখলাম</t>
  </si>
  <si>
    <t>দৃঢ়তার সাথে অনুশীলন করেছিলেন</t>
  </si>
  <si>
    <t>শিক্ষা ভ্রমন সুন্দর ছিল</t>
  </si>
  <si>
    <t>যখন তিনি মাছ ভাজতেছিলেন</t>
  </si>
  <si>
    <t>পরীক্ষা দিয়ে রেজাল্ট পেয়েছিলাম</t>
  </si>
  <si>
    <t>তিনি বৃদ্ধি দিয়েছিলেন মাসে</t>
  </si>
  <si>
    <t>ফুটবল খেলা চলছিল রাতে</t>
  </si>
  <si>
    <t>প্রিয় অভিনেতার মুভি দেখলেন</t>
  </si>
  <si>
    <t>সে নতুন ফ্রেমওয়ার্ক শিখল</t>
  </si>
  <si>
    <t>আমি একটি হিসাব খোলতাম</t>
  </si>
  <si>
    <t>শনিবারে পাখির মেলায় যাচ্ছিলেন</t>
  </si>
  <si>
    <t>কলেজ কেফেটেরিয়ায় সমাবেশ হল</t>
  </si>
  <si>
    <t>আমরা রাতে গাড়িতে ছিলাম</t>
  </si>
  <si>
    <t>মূলধন বৃদ্ধি পেয়েছিল ব্যবস্থা</t>
  </si>
  <si>
    <t>আলু উৎপাদন করেছিল খুশিরা</t>
  </si>
  <si>
    <t>তুমি নতুন চলচ্চিত্র দেখেছিলে</t>
  </si>
  <si>
    <t>তুমি প্রজেক্টে মনোনিবেশ করলে</t>
  </si>
  <si>
    <t>খেলোয়াররা মাঠে শরীরচর্চা করতেছিল</t>
  </si>
  <si>
    <t>ছাত্ররা সৎ পরামর্শ চেয়েছিল</t>
  </si>
  <si>
    <t>বাজার মূল্য কমেছিল গতমাসে</t>
  </si>
  <si>
    <t>রানার দ্রুততম ধাক্কা করছিলেন</t>
  </si>
  <si>
    <t>সোশ্যাল মিডিয়া এনালাইটিক্স দেখছিলাম</t>
  </si>
  <si>
    <t>সকলে ভালো বন্ধু খুজিতেছিল</t>
  </si>
  <si>
    <t>বন্ধুদের সঙ্গে মুভি দেখলে</t>
  </si>
  <si>
    <t>বায়োইনফরম্যাটিক্স প্রযুক্তি অনুষ্ঠান হয়েছিল</t>
  </si>
  <si>
    <t>সাংসদ নির্বাচিত হয়েছিল রাজ্যসভায়</t>
  </si>
  <si>
    <t>গলফ খেলা সহজ ছিলনা</t>
  </si>
  <si>
    <t>স্মার্টওয়াচ পরেছিল স্বাস্থ্য পরিচর্যায়</t>
  </si>
  <si>
    <t>খেলাধুলায় শরীরচর্চা দরকার ছিল</t>
  </si>
  <si>
    <t>সাইবার সুরক্ষা উন্নত হয়েছিলো</t>
  </si>
  <si>
    <t>তার চিত্র চিত্রণ করছিলেন</t>
  </si>
  <si>
    <t>সদস্য হিসেবে নির্বাচিত হয়েছিলেন</t>
  </si>
  <si>
    <t>প্রোগ্রামীং কোর্স শিখানো হল</t>
  </si>
  <si>
    <t>খেলা হচ্ছিল শহরের ক্লাবে</t>
  </si>
  <si>
    <t>আমরা টেস্ট কেস লিখেছিলাম</t>
  </si>
  <si>
    <t>নিজস্ব উৎপাদনে উন্নতি হয়েছিল</t>
  </si>
  <si>
    <t>নিরাপত্তা সুনিশ্চিত করেছিল সরকার</t>
  </si>
  <si>
    <t>বাজারে প্রবলভাবে বৃদ্ধি হয়েছিল</t>
  </si>
  <si>
    <t>প্রতিনিধিদের বক্তব্য স্বীকার করেছিলেন</t>
  </si>
  <si>
    <t>মূলধন কমেছিল গত সপ্তাহে</t>
  </si>
  <si>
    <t>শেয়ার মূল্য বেড়েছিল দুইদিনে</t>
  </si>
  <si>
    <t>সংসদে আলোচনা হয়েছিল গতমাসে</t>
  </si>
  <si>
    <t>সাইবারসিকিউরিটি গুরুত্বপূর্ণ বিষয় ছিল</t>
  </si>
  <si>
    <t>চিকেন কাচ্চি তৈরি করছিল</t>
  </si>
  <si>
    <t>সে রোমান্টিক ফিল্ম দেখল</t>
  </si>
  <si>
    <t>পার্টনারশিপ করেছিল দক্ষতার সাথে</t>
  </si>
  <si>
    <t>গিটহাবে আরও প্রোজেক্ট ছিল</t>
  </si>
  <si>
    <t>শিক্ষা ক্ষেত্রে উন্নতি হয়েছিলো</t>
  </si>
  <si>
    <t>তুমি মুরগি কোরমা বানাচ্ছিলে</t>
  </si>
  <si>
    <t>সাংবাদিকরা আলোচনার বিষয় খুঁজছিলেন</t>
  </si>
  <si>
    <t>প্রথমে অগ্রাধিকার লাভ করেছিল</t>
  </si>
  <si>
    <t>কলেজে আনন্দ অনুষ্ঠান হয়েছিল</t>
  </si>
  <si>
    <t>সে গতসপ্তাহে সিনেমা দেখেছিল</t>
  </si>
  <si>
    <t>আমরা পাউরুটি ভাজা করছিলাম</t>
  </si>
  <si>
    <t>গতমাসে তার চিত্র আঁকেছিলো</t>
  </si>
  <si>
    <t>তারা নতুন কবিতা পড়েছিলেন</t>
  </si>
  <si>
    <t>সংসদের সভায় নির্বাচিত হয়েছিল</t>
  </si>
  <si>
    <t>একটি ছবি দেখতাম মাসে</t>
  </si>
  <si>
    <t>মূল্যবান প্রকল্পে বিনিয়োগ হয়েছিল</t>
  </si>
  <si>
    <t>ঘণ্টায় সংবাদ প্রচার হচ্ছিল</t>
  </si>
  <si>
    <t>অতীতে পড়তে হয়েছিল তাদের</t>
  </si>
  <si>
    <t>বোর্ড পরীক্ষা দেওয়া হল</t>
  </si>
  <si>
    <t>মিল্কি চা তৈরি করছিল</t>
  </si>
  <si>
    <t>তুমি সব বই পড়েছিলে</t>
  </si>
  <si>
    <t>প্রাচীন মন্দির পরিদর্শন করেছিলেন</t>
  </si>
  <si>
    <t>টেকনোলজি ট্রেন্ড অনুসরণ করছিলাম</t>
  </si>
  <si>
    <t>প্রশংসা পেয়েছিলো সিনেমাটি</t>
  </si>
  <si>
    <t>অবসরে নৃত্যানুষ্ঠান আয়োজন হয়েছিল</t>
  </si>
  <si>
    <t>রমজানে ইসলামিক গান বাজত</t>
  </si>
  <si>
    <t>সে ই রিডার ব্যবহার করেছিলেন</t>
  </si>
  <si>
    <t>প্রথম সপ্তাহে হোটেলে ছিলেন</t>
  </si>
  <si>
    <t>তারা ফিশ টুকরা খেয়েছিলে</t>
  </si>
  <si>
    <t>ইতিমধ্যে নতুন ট্যাবলেট পেয়েছিল</t>
  </si>
  <si>
    <t>দক্ষতার সাথে বলিং খেলছিল</t>
  </si>
  <si>
    <t>তিনি ছবি দেখেছিলেন কলকাতায়</t>
  </si>
  <si>
    <t>উৎপাদন বন্ধ হয়েছিল মাসে</t>
  </si>
  <si>
    <t>ডিম ওপর ফ্রাই করছিলেন</t>
  </si>
  <si>
    <t>গবেষণা ক্ষেত্রে প্রবৃদ্ধি হয়েছিল</t>
  </si>
  <si>
    <t>প্রজেক্ট সম্পন্ন করা হয়েছিল</t>
  </si>
  <si>
    <t>তারা ছবি প্রদর্শন করছিলেন</t>
  </si>
  <si>
    <t>মোবাইল চালু করেছিল সকালে</t>
  </si>
  <si>
    <t>উন্নতি হয়েছিল ব্যবস্থাপনা পরিচালনায়</t>
  </si>
  <si>
    <t>আমরা ইতালীয় পাস্তা উবাচ্ছিলাম</t>
  </si>
  <si>
    <t>তারা পার্কে ঘুরতে ছিল</t>
  </si>
  <si>
    <t>আলু দিয়ে রান্না হয়েছিল</t>
  </si>
  <si>
    <t>জনগণের ভোটে নির্বাচিত হয়েছিল</t>
  </si>
  <si>
    <t>প্রতিষ্ঠানে ভাল অবদান রেখেছিলাম</t>
  </si>
  <si>
    <t>মাটি উর্বর ছিল প্রায়</t>
  </si>
  <si>
    <t>সোশ্যাল মিডিয়া চলছিল সকলের</t>
  </si>
  <si>
    <t>সুপারহিরো চলচ্চিত্র দেখেছিলে কখন</t>
  </si>
  <si>
    <t>বন্ধুদের সাথে চলচ্চিত্রে গিয়েছিলাম</t>
  </si>
  <si>
    <t>জমা দেওয়ার জন্য গিয়েছিলেন</t>
  </si>
  <si>
    <t>কম্পিউটার প্রযুক্তি বৃদ্ধি হয়েছিলো</t>
  </si>
  <si>
    <t>দুর্গম অঞ্চলে সম্প্রচার করছিল</t>
  </si>
  <si>
    <t>নতুন বই কিনতে গিয়েছিলাম</t>
  </si>
  <si>
    <t>মুরগি কোরমা রান্না করলাম</t>
  </si>
  <si>
    <t>গায়করা অনুষ্ঠানে অংশগ্রহণ করেছিল</t>
  </si>
  <si>
    <t>সামরিক সরঞ্জাম কিনা হলো</t>
  </si>
  <si>
    <t>শাক লাগানো হয়েছিল মাটিতে</t>
  </si>
  <si>
    <t>কখনোই খেলায় আমি হারতামনা</t>
  </si>
  <si>
    <t>শিক্ষার্থীরা স্কুলে ফুটবল খেলিতেছিল</t>
  </si>
  <si>
    <t>সিনেমা দেখে ভ্রমণ করেছিলেন</t>
  </si>
  <si>
    <t>সকালে দোকানে যাওয়া হয়েছিল</t>
  </si>
  <si>
    <t>শনিবার বিজনেস মুভি দেখেছিলেন</t>
  </si>
  <si>
    <t>নূন্যতম মূল্য প্রস্তাবনা হলো</t>
  </si>
  <si>
    <t>সফটওয়্যার ডেভেলপ হয়েছিল পর্যাপ্তভাবে</t>
  </si>
  <si>
    <t>প্রোজেক্ট শীঘ্রই শুরু হয়েছিল</t>
  </si>
  <si>
    <t>তুমি লেটেস্ট চলচ্চিত্র দেখলে</t>
  </si>
  <si>
    <t>সে প্রজেক্টটি ম্যানেজ করেছিল</t>
  </si>
  <si>
    <t>ছেলেমেয়েরা পড়ালেখায় ব্যাস্ত ছিল</t>
  </si>
  <si>
    <t>ইংরেজী গল্প বলছিলাম সবাইকে</t>
  </si>
  <si>
    <t>আমি প্রয়োজনে উদ্যোগ নিলাম</t>
  </si>
  <si>
    <t>বিখ্যাত সবুজ শাক ছিল</t>
  </si>
  <si>
    <t>ফল উদ্ভাবন হয়েছিল পরিমাণে</t>
  </si>
  <si>
    <t>বিভিন্ন প্রোজেক্ট শোকেস হয়েছিলো</t>
  </si>
  <si>
    <t>তুমি মসুর ডাল খেলে</t>
  </si>
  <si>
    <t>প্যারাগ্লাইডিং করার ইচ্ছা ছিল</t>
  </si>
  <si>
    <t>তুমি মাংস পিজ্জা বানাচ্ছিলে</t>
  </si>
  <si>
    <t>বৃষ্টিতে গেম বন্ধ হয়েছিল</t>
  </si>
  <si>
    <t>নতুন বইয়ের কাজ করছিলাম</t>
  </si>
  <si>
    <t>সিকিউরিটি টুল ব্যবহার করছিলাম</t>
  </si>
  <si>
    <t>সৎপরামর্শ গ্রহণ করতে গিয়েছিলাম</t>
  </si>
  <si>
    <t>সর্বাধিক গোল ছিল সোমবারে</t>
  </si>
  <si>
    <t>সে বাংলা নাটক দেখল</t>
  </si>
  <si>
    <t>রুটি দিয়ে নাস্তা করেছিলাম</t>
  </si>
  <si>
    <t>তুমি প্রোগ্রামিং ভাষা শিখলে</t>
  </si>
  <si>
    <t>তারা ডিম ফ্রাই করছিলে</t>
  </si>
  <si>
    <t>মুভি দেখতেছিলি তাদের সঙ্গে</t>
  </si>
  <si>
    <t>সে ডাটা ভ্যালিডেট করল</t>
  </si>
  <si>
    <t>স্বাস্থ্যকর স্যুপ অর্ডার করেছিলাম</t>
  </si>
  <si>
    <t>তারা ছবি তৈরি করছিলেন</t>
  </si>
  <si>
    <t>সে হলিউড চলচ্চিত্র দেখল</t>
  </si>
  <si>
    <t>সংসদে আসতেন নেতা মন্ত্রী</t>
  </si>
  <si>
    <t>তুমি পাস্তা তৈরি করছিলে</t>
  </si>
  <si>
    <t>ডাটা সাইন্টিস্টের ডিমান্ড ছিল</t>
  </si>
  <si>
    <t>সপ্তাহে নতুন কবিতা পড়তাম</t>
  </si>
  <si>
    <t>একটি ওয়েবসাইট ডিজাইন করছিলাম</t>
  </si>
  <si>
    <t>নতুন উইন্ডোস রিলিজ হয়েছিল</t>
  </si>
  <si>
    <t>কম্পিউটার ভাইরাস ছড়িয়ে পরেছিল</t>
  </si>
  <si>
    <t>সঠিকভাবে ফসল চাষ হয়েছিল</t>
  </si>
  <si>
    <t>একবার ইন্টারনেট বিপর্যয় হয়েছিল</t>
  </si>
  <si>
    <t>আমি নতুন উদ্ভিদ লাগিয়েছিলাম</t>
  </si>
  <si>
    <t>টেলিভিশন দেখেছিল প্রিয় অনুষ্ঠান</t>
  </si>
  <si>
    <t>কাচ্চি তৈরিতে চেষ্টা করলাম</t>
  </si>
  <si>
    <t>তারা ট্রেন ধরছিলেন শহরে</t>
  </si>
  <si>
    <t>আমরা একত্রে ডিপ্লয়মেন্ট চেয়েছিলাম</t>
  </si>
  <si>
    <t>শীতকালে নতুন গ্যাজেট আসতো</t>
  </si>
  <si>
    <t>আমাদের কলেজ মিছিল হয়েছিল</t>
  </si>
  <si>
    <t>গেম শেষ হয়েছিল অনেকটা</t>
  </si>
  <si>
    <t>স্টেডিয়ামে রাতে খেলা হয়েছিল</t>
  </si>
  <si>
    <t>রেডিও সংবাদ শোনা হচ্ছিল</t>
  </si>
  <si>
    <t>তুমি হোটেলে বুকিং করেছিলাম</t>
  </si>
  <si>
    <t>আমরা লোন পেয়েছিলাম সপ্তাহে</t>
  </si>
  <si>
    <t>সাধারণ নির্বাচনে জয়ী হয়েছিল</t>
  </si>
  <si>
    <t>ব্যাকএন্ড ফ্রেমওয়ার্ক ব্যবহার হয়েছিল</t>
  </si>
  <si>
    <t>তুমি লাউ ভর্তা পাকাচ্ছিলে</t>
  </si>
  <si>
    <t>মিষ্টি ছবি দেখেছিল রাতে</t>
  </si>
  <si>
    <t>ফুটবল খেলছিলেন দক্ষতার সাথে</t>
  </si>
  <si>
    <t>সফটওয়্যার টেস্টিং কোর্স হয়েছিল</t>
  </si>
  <si>
    <t>জনগণের সমর্থনে নেতা জিতেছিল</t>
  </si>
  <si>
    <t>বোলার আহত হয়েছিল খেলার সময়</t>
  </si>
  <si>
    <t>বিপক্ষের প্রধান পদত্যাগ করেছিল</t>
  </si>
  <si>
    <t>ম্যাচটি অনেক জটিল ছিল</t>
  </si>
  <si>
    <t>ট্রেড ডেফিসিট বাড়ছিল চিনে</t>
  </si>
  <si>
    <t>ব্যবসা বৃদ্ধি কমেছিল দুইমাসে</t>
  </si>
  <si>
    <t>আমি সারারাত প্রোগ্রামিং করছিলাম</t>
  </si>
  <si>
    <t>বাজারে বৃদ্ধি হয়েছিল প্রতিযোগিতায়</t>
  </si>
  <si>
    <t>উত্কৃষ্ট ভাবে পার্টনারশিপ করেছিল</t>
  </si>
  <si>
    <t>ইংরেজি শায়রি পড়িয়েছিলেন তিনি</t>
  </si>
  <si>
    <t>নতুন ফ্রেমওয়ার্কে কাজ শিখলাম</t>
  </si>
  <si>
    <t>তিনি নদীতে সাঁতার কাটছিলেন</t>
  </si>
  <si>
    <t>তাজমহলে দর্শকের ভীর ছিল</t>
  </si>
  <si>
    <t>শস্য খাদ্য উৎপাদন করেছিলেন</t>
  </si>
  <si>
    <t>তার চিত্র দেখেছিলাম মাসে</t>
  </si>
  <si>
    <t>সোশ্যাল মিডিয়া চলছিল গুগলে</t>
  </si>
  <si>
    <t>আমরা আকাশ ভ্রমণে গিয়েছিলাম</t>
  </si>
  <si>
    <t>কাউন্সিলে আলোচনা হলো গতসপ্তাহে</t>
  </si>
  <si>
    <t>আমি চকলেট খেয়েছিলাম বিয়েবাড়িতে</t>
  </si>
  <si>
    <t>পরিবারের সদস্যেরা ভালোভাবে সাজিয়েছিল</t>
  </si>
  <si>
    <t>তুমি দুধ চা উবাচ্ছিলে</t>
  </si>
  <si>
    <t>চাষের প্রস্তুতি সম্পন্ন হয়েছিল</t>
  </si>
  <si>
    <t>ব্যাডমিন্টন ম্যাচ চলছিল গ্রাউন্ডে</t>
  </si>
  <si>
    <t>ব্যাংক ভাইভায় অংশগ্রহণ করলাম</t>
  </si>
  <si>
    <t>তারা স্যুপ গরম করছিলে</t>
  </si>
  <si>
    <t>তিন ঘণ্টা ধরে জোরে হয়েছিল</t>
  </si>
  <si>
    <t>সেন্টারে গতসপ্তাহে ম্যাচ হচ্ছিল</t>
  </si>
  <si>
    <t>রান্না করতে ব্যস্ত ছিলাম</t>
  </si>
  <si>
    <t>ডিম পরটা বানালাম প্রাতে</t>
  </si>
  <si>
    <t>নিরাপত্তা প্রকোষ্ঠ বৃদ্ধি করল</t>
  </si>
  <si>
    <t>সুপার ম্যাচ দেখেছিল টেলিভিশনে</t>
  </si>
  <si>
    <t>পরিদর্শক কলেজ ভ্রমণ করিয়াছিল</t>
  </si>
  <si>
    <t>মানুষজন ক্রিকেট পছন্দ করিয়াছিল</t>
  </si>
  <si>
    <t>সে হলিউড ছবি দেখেছিল</t>
  </si>
  <si>
    <t>একটি পার্কে হেটে ছিলাম</t>
  </si>
  <si>
    <t>দল জয়ী হয়েছিল গ্রামনির্বাচনে</t>
  </si>
  <si>
    <t>সমুদ্র পাড়ি দিতে হয়েছিল</t>
  </si>
  <si>
    <t>স্টেডিয়ামে খেলা উপভোগ করেছিলাম</t>
  </si>
  <si>
    <t>পাতুরি তৈরি করা হয়েছিল</t>
  </si>
  <si>
    <t>ট্যুর গাইডের সাথে ছিলাম</t>
  </si>
  <si>
    <t>রাজনৈতিক আলোচনা কখনোই করতামনা</t>
  </si>
  <si>
    <t>আমি একটি পার্কে হেটেছিলাম</t>
  </si>
  <si>
    <t>অ্যাথলেটিকসে দৌড়ে সফলতা পেয়েছিল</t>
  </si>
  <si>
    <t>আমরা আবাসিক হোটেলে থাকতাম</t>
  </si>
  <si>
    <t>সমস্যাটি অনেক জটিল ছিল</t>
  </si>
  <si>
    <t>মজার খিচুড়ি তৈরি করলাম</t>
  </si>
  <si>
    <t>আমি নাট্যকর্ম দেখতাম প্রতিমাসে</t>
  </si>
  <si>
    <t>আমরা চলচ্চিত্র দেখলাম শুক্রবারে</t>
  </si>
  <si>
    <t>তুমি আলু চিপস খাচ্ছিলে</t>
  </si>
  <si>
    <t>আমি ব্যাংক প্রস্তুত করতাম</t>
  </si>
  <si>
    <t>ট্রফি জয়ের কথা দিয়েছিলাম</t>
  </si>
  <si>
    <t>তারা জিতেছিল হকির খেলায়</t>
  </si>
  <si>
    <t>সে শিক্ষা প্রণোদনা পেয়েছিলো</t>
  </si>
  <si>
    <t>স্যুপ বানালাম ঠান্ডা দিনে</t>
  </si>
  <si>
    <t>বই পড়া শেষ হয়েছিলো</t>
  </si>
  <si>
    <t>তারা সানসেটে ছিলেন সৈকতে</t>
  </si>
  <si>
    <t>ল্যাপটপ ব্যবহার করা হয়েছিল</t>
  </si>
  <si>
    <t>পরিশ্রম করেছিল উন্নতির জন্য</t>
  </si>
  <si>
    <t>গত মাসে স্কুল ছাড়ছিলো</t>
  </si>
  <si>
    <t>নির্বাচিত হয়েছিল মতামতের ভিত্তিতে</t>
  </si>
  <si>
    <t>প্রিয় ডায়রেক্টরের চলচ্চিত্র দেখলাম</t>
  </si>
  <si>
    <t>নেতারা জনসমাগমে উপস্থিত ছিলেন</t>
  </si>
  <si>
    <t>অ্যাপ্লিকেশন ডেভেলপমেন্ট প্রস্তুতি নিলাম</t>
  </si>
  <si>
    <t>সভায় সদস্য নির্বাচন হলো</t>
  </si>
  <si>
    <t>প্রজাতন্ত্র ঘোষণা করেছিল সভাপতি</t>
  </si>
  <si>
    <t>চিংড়ি চাষ করতেন নদীতে</t>
  </si>
  <si>
    <t>দানবীর গরীবকে দান করিয়াছিল</t>
  </si>
  <si>
    <t>বাজার মূল্য বেড়েছিল তিনদিনে</t>
  </si>
  <si>
    <t>প্রতিষ্ঠানে মন্ত্রী নিযুক্ত হয়েছিলেন</t>
  </si>
  <si>
    <t>টেলিভিশন দেখা হচ্ছিল সকালে</t>
  </si>
  <si>
    <t>পৌরসভার নির্বাচল সংঘটিত হয়েছিল</t>
  </si>
  <si>
    <t>সরকার পরিবর্তন ঘটেছিল গতবছরে</t>
  </si>
  <si>
    <t>ছেলেমেয়েরা সবসময় ঘুরে বেড়াচ্ছিল</t>
  </si>
  <si>
    <t>আমরা রেস্তোরাঁতে চাইনিজ খেয়েছিলাম</t>
  </si>
  <si>
    <t>আমরা নতুন গান শোনতাম</t>
  </si>
  <si>
    <t>স্কুলে ছাত্ররা ফুটবল খেলিয়াছিল</t>
  </si>
  <si>
    <t>ফুটবল টুর্নামেন্ট উপভোগ করেছিলাম</t>
  </si>
  <si>
    <t>উচ্চ দক্ষতার সাথে খেলছিলেন</t>
  </si>
  <si>
    <t>টেলিভিশন দেখেছিল আপডেট খবর</t>
  </si>
  <si>
    <t>বায়োমেট্রিকস প্রযুক্তি ব্যবহার হয়েছিল</t>
  </si>
  <si>
    <t>সে কম্পিউটার চালিয়ে ছিলো</t>
  </si>
  <si>
    <t>আমি মূল্যবান চিত্রকলা কিনতাম</t>
  </si>
  <si>
    <t>নতুন ছবি দেখতেছিলেন সবাই মিলে</t>
  </si>
  <si>
    <t>গবেষণা প্রকল্প সফল হয়েছিল</t>
  </si>
  <si>
    <t>বিশ্বকাপ উত্তেজনা সৃষ্টি করেছিল</t>
  </si>
  <si>
    <t>এটি নতুন লাইব্রেরি ছিল</t>
  </si>
  <si>
    <t>একটি ইন্টারফেস ডিজাইন হল</t>
  </si>
  <si>
    <t>টিম ম্যাচ জিতেছিল ভালোভাবে</t>
  </si>
  <si>
    <t>সে শিক্ষককে সাহায্য করছিলো</t>
  </si>
  <si>
    <t>সফটওয়্যার টেস্টিং শিখানো হয়েছিল</t>
  </si>
  <si>
    <t>প্রশাসনিক সভায় নির্বাচিত হয়েছিল</t>
  </si>
  <si>
    <t>অবসরে সবাই পিকনিকে গিয়েছিল</t>
  </si>
  <si>
    <t>গতবছর সিনেমা দেখতেছিলাম বেশি</t>
  </si>
  <si>
    <t>ক্যাবিনেটে যোগদান করলেন মন্ত্রী</t>
  </si>
  <si>
    <t>আমরা মিষ্টি পায়েস বানাচ্ছিলাম</t>
  </si>
  <si>
    <t>প্রধানমন্ত্রী বিদায়ী বক্তব্য রাখছিলেন</t>
  </si>
  <si>
    <t>মন্ত্রিসভার প্রতিষ্ঠান হলো গত মাসে</t>
  </si>
  <si>
    <t>মোবাইল চালু করেছিল সন্ধ্যায়</t>
  </si>
  <si>
    <t>তোমার বন্ধু ল্যাপটপ কিনেছিল</t>
  </si>
  <si>
    <t>নির্বাচনের আগে সংঘর্ষ ঘটেছিল</t>
  </si>
  <si>
    <t>রেজাক্টেড আবেগ বেড়েছিল কাস্টমারের</t>
  </si>
  <si>
    <t>আমি পরীক্ষায় উত্কৃষ্ট হয়েছিলাম</t>
  </si>
  <si>
    <t>টেনিস ম্যাচে বিজয়ী হয়েছিল</t>
  </si>
  <si>
    <t>গুড়িয়ে গেছিলেন নদী কিনারে</t>
  </si>
  <si>
    <t>বাচ্চারা পাঠশালায় পড়তে গিয়েছিল</t>
  </si>
  <si>
    <t>তারা মজার খেয়েছিলে পার্টিতে</t>
  </si>
  <si>
    <t>প্রতিনিধিরা অধিনায়ক নির্বাচন করেছিল</t>
  </si>
  <si>
    <t>আমি গরুর মাংস খেয়েছিলাম</t>
  </si>
  <si>
    <t>সংবাদ পত্রিকা বার্তা দিচ্ছিল</t>
  </si>
  <si>
    <t>তার চিত্র দেখেছিলেন গতসপ্তাহে</t>
  </si>
  <si>
    <t>আলু দিয়ে চিপস বানালাম</t>
  </si>
  <si>
    <t>তিনি ব্যক্তিগত ঋণ নেয়েছিলেন</t>
  </si>
  <si>
    <t>জনগণের ভোটে নির্বাচন হয়েছিল</t>
  </si>
  <si>
    <t>মজার দারুচিনি রোস্ট করলাম</t>
  </si>
  <si>
    <t>মাংস কোরমা রান্না করতেছিলাম</t>
  </si>
  <si>
    <t>খেলোয়াররা অবসরে অনুশীলন করিতেছিল</t>
  </si>
  <si>
    <t>পাউরুটিতে মাখন মিশিয়ে নিলাম</t>
  </si>
  <si>
    <t>মাছ ভাজি খেলাম রাতে</t>
  </si>
  <si>
    <t>নতুন টেকনিক অধ্যয়ন করতাম</t>
  </si>
  <si>
    <t>গতবছরে অসাধারণ চলচ্চিত্র দেখেছিলেন</t>
  </si>
  <si>
    <t>স্মার্টওয়াচ প্রয়োগ করেছিল ফিটনেসে</t>
  </si>
  <si>
    <t>আমরা সবসময় ফুটবল ভালবেসেছিলাম</t>
  </si>
  <si>
    <t>চলচিত্রে অংশগ্রহণ কমে গিয়েছিল</t>
  </si>
  <si>
    <t>আলুর দাম অনেক বাড়ল</t>
  </si>
  <si>
    <t>ক্রিকেট খেলছিল বৃষ্টির মধ্যে</t>
  </si>
  <si>
    <t>সে সারাদিন চলচ্চিত্র দেখতেছিল</t>
  </si>
  <si>
    <t>একটি এক্সটেনশন ডেভেলপ করালাম</t>
  </si>
  <si>
    <t>গতবছরে অনেক শস্য হয়েছিল</t>
  </si>
  <si>
    <t>সে পাস্তা প্যানকেক বানাচ্ছিল</t>
  </si>
  <si>
    <t>প্রতিযোগিতায় জয় পেয়েছিল দক্ষতায়</t>
  </si>
  <si>
    <t>রাজনৈতিক ভাষণের প্রস্তুতি নিলাম</t>
  </si>
  <si>
    <t>তিনি প্রোজেক্ট উপস্থাপনা করেছিলেন</t>
  </si>
  <si>
    <t>উন্নতি হয়েছিল প্রযুক্তিতে প্রগতি</t>
  </si>
  <si>
    <t>তাদের অর্থনীতি ভালো ছিল</t>
  </si>
  <si>
    <t>চিংড়ি মাছ রান্না করছিলাম</t>
  </si>
  <si>
    <t>তেল ব্যবহার করা হয়েছিল</t>
  </si>
  <si>
    <t>তুমি পুকুরে মাছ ধরেছিলে</t>
  </si>
  <si>
    <t>মূল্য বৃদ্ধি হয়েছিল প্রকৌশলে</t>
  </si>
  <si>
    <t>ডিজাইন প্রযুক্তি প্রগতিশীল হয়েছিল</t>
  </si>
  <si>
    <t>গরমে আমি বৃষ্টি চেয়েছিলাম</t>
  </si>
  <si>
    <t>শস্য কাটছিল মাছির আক্রমণে</t>
  </si>
  <si>
    <t>তারা বিকেলের নাস্তা করেছিল</t>
  </si>
  <si>
    <t>টেনিস খেলতে জাপান গেলাম</t>
  </si>
  <si>
    <t>বন্ধুদের সঙ্গে চলচ্চিত্র দেখেছিলেন</t>
  </si>
  <si>
    <t>প্রদর্শন করেছিল বিনিয়োগে বৃদ্ধি</t>
  </si>
  <si>
    <t>নতুন খবর প্রকাশ হল</t>
  </si>
  <si>
    <t>আগে স্মার্টফোন ব্যবহার করেছিলেন</t>
  </si>
  <si>
    <t>যুদ্ধে জয় এসেছিল বিজয়ীর</t>
  </si>
  <si>
    <t>সফল হতে কষ্ট করেছিলাম</t>
  </si>
  <si>
    <t>টেবিল ভর্তি খাবার ছিল</t>
  </si>
  <si>
    <t>সাইন্স ফিকশন চলচ্চিত্র দেখেছিলেন</t>
  </si>
  <si>
    <t>ওয়েব ডেভেলপমেন্ট জনপ্রিয় ছিল</t>
  </si>
  <si>
    <t>আমি নতুন ফুল কিনছিলাম</t>
  </si>
  <si>
    <t>ইংরেজি গল্প শিখেছিল তারা</t>
  </si>
  <si>
    <t>ভ্রমণ করে মন ভরেছিল</t>
  </si>
  <si>
    <t>হট এয়ার ব্যবহার করেছিলেন</t>
  </si>
  <si>
    <t>পিজা খাচ্ছিলে চায়ের সাথে</t>
  </si>
  <si>
    <t>স্টক মার্কেটে বিনিয়োগ চলছিল</t>
  </si>
  <si>
    <t>সে চলচ্চিত্র দেখল সপ্তাহে</t>
  </si>
  <si>
    <t>তারা বিজয়ী হয়েছিল ফুটবলে</t>
  </si>
  <si>
    <t>সংসদে বিতর্ক হয়েছিল শেষে</t>
  </si>
  <si>
    <t>রাজনীতির খবর প্রকাশিত হতেছিল</t>
  </si>
  <si>
    <t>বৃষ্টির পরে হেঁটে বেড়িয়েছিলাম</t>
  </si>
  <si>
    <t>অরেকটা আগেই করে ফেলেছিল</t>
  </si>
  <si>
    <t>তিন ঘণ্টা ধরে বসেছিলাম</t>
  </si>
  <si>
    <t>বৈশিষ্ট্য আপগ্রেড হয়েছিল গতসপ্তাহে</t>
  </si>
  <si>
    <t>সিনেমা দেখেছিলাম প্রস্তুতির জন্য</t>
  </si>
  <si>
    <t>আমরা ফাংশনটি টেস্ট করলাম</t>
  </si>
  <si>
    <t>প্রদর্শনী আয়োজন করতেছিলেন প্রতিমাসে</t>
  </si>
  <si>
    <t>মোবাইল অ্যাপ ডেভেলপ করলাম</t>
  </si>
  <si>
    <t>সবসময় ফুটবল জনপ্রিয় ছিল</t>
  </si>
  <si>
    <t>ডাল পাকাচ্ছিলাম সকালের জন্য</t>
  </si>
  <si>
    <t>দল জয় পেয়েছিল গতম্যাচে</t>
  </si>
  <si>
    <t>নতুন চিকিৎসা পদ্ধতি এনেছিল</t>
  </si>
  <si>
    <t>দুপুরের খাবারে মাছ রেখেছিলাম</t>
  </si>
  <si>
    <t>ট্রেজেডি মুভি দেখছিলাম হলে</t>
  </si>
  <si>
    <t>সাকিব অর্ধশত রান করেছিল</t>
  </si>
  <si>
    <t>আমি একটি পাসবুক পেয়েছিলাম</t>
  </si>
  <si>
    <t>ডেভেলপারদের মধ্যে পরিচালনা হয়েছিল</t>
  </si>
  <si>
    <t>হকি খেলেছিল পূর্বের রাতে</t>
  </si>
  <si>
    <t>তিনি বই পড়তেন প্রতিদিন</t>
  </si>
  <si>
    <t>সকল খেলাধুলায় অংশগ্রহণ করিতেছিল</t>
  </si>
  <si>
    <t>নতুন দেশ দেখতে গিয়েছিলাম</t>
  </si>
  <si>
    <t>আমি পাহাড়ে হেটেছিলাম গতবছর</t>
  </si>
  <si>
    <t>খেলোয়াড়রা বৃষ্টির মধ্যে খেলছিলেন</t>
  </si>
  <si>
    <t>প্রধানমন্ত্রী দফা করলেন শনিবারে</t>
  </si>
  <si>
    <t>তুমি প্রচুর চলচ্চিত্র দেখেছিলে</t>
  </si>
  <si>
    <t>আমি ইন্টারনেটে আইটি প্রশিক্ষণ নিচ্ছিলাম</t>
  </si>
  <si>
    <t>রিতা ভালো কলেজে অধ্যয়ন করিয়াছিল</t>
  </si>
  <si>
    <t>রোমাঞ্চকর ভিতরের প্রাণী দেখা গেল</t>
  </si>
  <si>
    <t>শিক্ষা আমাদের চরিত্র গড়ে তুলেছিল</t>
  </si>
  <si>
    <t>চিন্তাভাবনা ছাড়াই আমরা ভ্রমণ করেছিলাম</t>
  </si>
  <si>
    <t>এটা অজানা অনুভূতি মনে হয়েছিল</t>
  </si>
  <si>
    <t>আন্দিজ পর্বত মাধ্যমিক পর্বতমালা ছিল</t>
  </si>
  <si>
    <t>টেনিস খেলোয়াড়েরা আন্তর্জাতিক সাড়া পেয়েছিল</t>
  </si>
  <si>
    <t>নতুন একটি স্মার্ট টিভি কিনতে চাইলাম</t>
  </si>
  <si>
    <t>সহজেই ওয়ারলেস ক্যামেরা ব্যবহার করতে পেরেছিলাম</t>
  </si>
  <si>
    <t>মাসিক হাজার বেতন পাইলাম</t>
  </si>
  <si>
    <t>দেশের রাজনীতি নিয়ে বিতর্ক হয়েছিল</t>
  </si>
  <si>
    <t>আমরা পড়াশোনায় চুরি করতে চেয়েছিলাম</t>
  </si>
  <si>
    <t>ট্র্যাজেডি সিরিজ আমার ভালো লাগল</t>
  </si>
  <si>
    <t>করিম অনলাইন ব্যবসা পরিচালনা করেতেছিলাম</t>
  </si>
  <si>
    <t>ছাত্রছাত্রীরা পড়াশোনায় আগ্রহ দেখাতে পারল</t>
  </si>
  <si>
    <t>তীরধনুকে খেলার জন্য ক্লাব ছিল</t>
  </si>
  <si>
    <t>আমি বিজ্ঞান প্রকৌশল আগ্রহী ছিলাম</t>
  </si>
  <si>
    <t>আমি কম্পিউটার গেম খেলতে ইন্টারনেট কিনেছিলাম</t>
  </si>
  <si>
    <t>তাদেরকে আমি সহজেই ইমেইল পাঠিয়েছিলাম</t>
  </si>
  <si>
    <t>রাগবি খেলায় খেলেোয়ারা ধারাবাহিকভাবে দৌড়াচ্ছিল</t>
  </si>
  <si>
    <t>আমরা সবাই টেলিভিশনে সংবাদ দেখলাম</t>
  </si>
  <si>
    <t>এই ব্যাংকে শেয়ার খুলতে চাইলাম</t>
  </si>
  <si>
    <t>সিনেমাটির গল্প আমাকে ভাবিয়ে তুলেছিল</t>
  </si>
  <si>
    <t>চরিত্রগুলো খুব রহস্যজনক মনে হল</t>
  </si>
  <si>
    <t>নতুন একটি গ্যাজেট ব্যবহার করতেছিলাম</t>
  </si>
  <si>
    <t>ভ্রমণকারী অবসর সময়ে ভ্রমণ করছিল</t>
  </si>
  <si>
    <t>বিজ্ঞান মেলায় অনেক প্রদর্শনী দেখেতেছিলাম</t>
  </si>
  <si>
    <t>আমি নতুন ব্লুটোথ ব্যবহার করলাম</t>
  </si>
  <si>
    <t>তখন মনে হয়েছিল সময় মূল্যবান</t>
  </si>
  <si>
    <t>এক অপরের বিরুদ্ধে কথা বলতেছিল</t>
  </si>
  <si>
    <t>এটি প্রিয় ভূতের চলচ্চিত্র ছিল</t>
  </si>
  <si>
    <t>আমরা সবাই সমুদ্রের ঝিনুক খুঁজেছিলাম</t>
  </si>
  <si>
    <t>শিক্ষার্থীরা পরিশ্রমে ভাল রেজাল্ট করতেছিল</t>
  </si>
  <si>
    <t>আমি ওয়েব রাইটার ব্যবহার করেছিলাম</t>
  </si>
  <si>
    <t>সে পরিশ্রমে ভাল রেজাল্ট করল</t>
  </si>
  <si>
    <t>চাকরি পেতে অনেক পড়ালেখা করতেছিলাম</t>
  </si>
  <si>
    <t>দ্বীপ আসমানী সৌন্দর্য্য বহন করেছিল</t>
  </si>
  <si>
    <t>লোকজন সমুদ্রপাড়ে সারিবদ্ধ হয়ে ঘুরছিল</t>
  </si>
  <si>
    <t>সরকার প্রজন্মকে সুবিধা দিতে চাচ্ছিল</t>
  </si>
  <si>
    <t>আমি একটি গ্যাজেট কিনতে চেয়েছিলাম</t>
  </si>
  <si>
    <t>আমি নতুন লেপটপে খেলা দেখলাম</t>
  </si>
  <si>
    <t>মুভির কাহিনী দেখেই ভালোবাসা বাড়তেছিল</t>
  </si>
  <si>
    <t>আমি নতুন লেপটপ ব্যবহার করেছিলাম</t>
  </si>
  <si>
    <t>এত কষ্ট করেও চাকরি পাইলামনা</t>
  </si>
  <si>
    <t>আমি নতুন সফটওয়্যার ট্রায়াল করছিলাম</t>
  </si>
  <si>
    <t>আমি নতুন সফটওয়্যার ইন্সটল করছিলাম</t>
  </si>
  <si>
    <t>আমি নতুন আইওটি ব্যবহার করছিলাম</t>
  </si>
  <si>
    <t>সবচেয়ে প্রাচীন পর্বত ছিল আল্পস</t>
  </si>
  <si>
    <t>আমরা সবাই মিলে গবেষণা করছিলাম</t>
  </si>
  <si>
    <t>আমি এই ব্যাংকে প্রস্তুতি নিচ্ছিলাম</t>
  </si>
  <si>
    <t>আমি এই ব্যাংকের লোন নিচ্ছিলাম</t>
  </si>
  <si>
    <t>আমি খুব ভালো রেজাল্ট চাইলাম</t>
  </si>
  <si>
    <t>আমি ব্স্যভিংস একাউন্ট চালাতে চাইলাম</t>
  </si>
  <si>
    <t>আমি অনলাইন মিটিংয়ে যোগদান করিয়াছিলাম</t>
  </si>
  <si>
    <t>ভ্রমণে অদ্ভুত পর্যটন স্থলে পৌঁছালাম</t>
  </si>
  <si>
    <t>অনলাইনে কোর্স করলাম শেখার জন্য</t>
  </si>
  <si>
    <t>ঘুমকে পরিহার করেছিলাম নেক আগেই</t>
  </si>
  <si>
    <t>সরকার কর্মচারীদের মিলিত মান বাড়ল</t>
  </si>
  <si>
    <t>আইনি পরিপ্রেক্ষ্য নিবন্ধন বৃদ্ধি পেয়েছিল</t>
  </si>
  <si>
    <t>আমি নতুন টেলিভিশন ব্যবহার করেছিলাম</t>
  </si>
  <si>
    <t>আমি ব্যাংক ভাইভার প্রস্তুতি নিচ্ছিলাম</t>
  </si>
  <si>
    <t>সিনেমা দেখে মন শান্ত হল</t>
  </si>
  <si>
    <t>আমি নতুন লেপটপে মুভি দেখতেছিলাম</t>
  </si>
  <si>
    <t>ছবিটির সাফল্যের খবর ছড়িয়ে পড়ল</t>
  </si>
  <si>
    <t>রাজনীতির মাধ্যমে প্রজন্মের সমৃদ্ধি পাচ্ছিল</t>
  </si>
  <si>
    <t>রাজনীতি মানুষের জীবন পরিবর্তন করল</t>
  </si>
  <si>
    <t>আমি প্রাকৃতিক দৃশ্যে ভ্রমণে যাচ্ছিলাম</t>
  </si>
  <si>
    <t>ট্র্যাজেডি সিরিজ আমার ভালো লেগেছিল</t>
  </si>
  <si>
    <t>পরকালের জন্য ধর্মীয় জ্ঞানচর্চা করলাম</t>
  </si>
  <si>
    <t>জিমনাস্টিক্সে খেলোয়াড় বিভিন্নভাবে মূল্যায়িত হয়েছিল</t>
  </si>
  <si>
    <t>আমি নতুন আইওটি ব্যবহার করেছিলাম</t>
  </si>
  <si>
    <t>আমি স্মার্টফোন ব্যবহার করতে পছন্দ করতামনা</t>
  </si>
  <si>
    <t>আমি স্মার্টফোন ব্যবহার করতে চাচ্ছিলাম</t>
  </si>
  <si>
    <t>আমি স্মার্টফোন ব্যবহার করে বিরক্ত হয়েছিলাম</t>
  </si>
  <si>
    <t>সে প্রতিদিন সমসয়মত স্কুলে গিয়েছিল</t>
  </si>
  <si>
    <t>আর্থিক বিকাশে ব্যাপক কাজ হচ্ছিল</t>
  </si>
  <si>
    <t>রতন নতুন বাংলা ছবি দেখেছিলেন</t>
  </si>
  <si>
    <t>আমরা সবাই সমুদ্রের ঝিনুক খুঁজিলাম</t>
  </si>
  <si>
    <t>নেতারা সংসদে রাজনৈতিক আলোচনা করছিলেন</t>
  </si>
  <si>
    <t>ভাল ফলাফলই আমার প্রত্যাশা ছিল</t>
  </si>
  <si>
    <t>সমুদ্রের অপরূপ সৌন্দর্য অবলোকনে যাচ্ছিলাম</t>
  </si>
  <si>
    <t>গত মাসে নতুন ল্যাপটপ কিনিয়াছিলাম</t>
  </si>
  <si>
    <t>মানবিক বিভাগে পড়াশোনা ভাল হত</t>
  </si>
  <si>
    <t>পড়াশোনার মনোরম পরিবেশ করা হয়েছিল</t>
  </si>
  <si>
    <t>সার্কাস চলছিল আমাদের দেশের রাজনীতিতে</t>
  </si>
  <si>
    <t>সাধারণ মানুষের জীবন জানা গেল</t>
  </si>
  <si>
    <t>আমি সহজেই ইমেইল পড়তে পারলাম</t>
  </si>
  <si>
    <t>ছবির রোমান্টিক মুডটি সাহসিক ছিল</t>
  </si>
  <si>
    <t>সমুদ্রের অপরূপ সৌন্দর্য অবলোকনে গিয়েছিলাম</t>
  </si>
  <si>
    <t>আমি একটি ল্যাপটপ কিনতে ঢাকা গিয়েছিলাম</t>
  </si>
  <si>
    <t>আমি একটি ল্যাপটপ কিনতে চাচ্ছিলাম</t>
  </si>
  <si>
    <t>আফ্রিকা ছিল বিশ্বের দীর্ঘতম মহাদ্বীপ</t>
  </si>
  <si>
    <t>প্রধানমন্ত্রী রাজনীতি নিয়ে আলোচনা করেছিলেন</t>
  </si>
  <si>
    <t>বিদ্যায় মুক্তির মাধ্যমে মোকাবিলা হয়ছিল</t>
  </si>
  <si>
    <t>ইন্টারনেটে নিজেকে নতুন কিছু পড়াইলাম</t>
  </si>
  <si>
    <t>ব্যাংকে অনলাইন ব্যাংকিং চালাতে অনুমোদন পেয়েছিলাম</t>
  </si>
  <si>
    <t>বিশ্বের নাগরিকত্ব অনুভব করা গেল</t>
  </si>
  <si>
    <t>সবাই বাচ্চাদের জন্য শিক্ষা চেয়েছিল</t>
  </si>
  <si>
    <t>কোনও অর্থনৈতিক সমস্যা ছিলনা দেশে</t>
  </si>
  <si>
    <t>আমি নতুন ড্রোন ব্যবহার করেছিলাম</t>
  </si>
  <si>
    <t>আমি আমার স্বপ্নের দেশ ভ্রমণ করছিলাম</t>
  </si>
  <si>
    <t>একটি নতুন ওয়েবসাইট তৈরি করিয়াছিলাম</t>
  </si>
  <si>
    <t>গুগল ব্রাউজ করতে ব্যবহার করলাম</t>
  </si>
  <si>
    <t>গুগল ব্রাউজ করতে আর ভাল লাগতেছিলনা</t>
  </si>
  <si>
    <t>মূল্য বৃদ্ধি হচ্ছিল বিদেশী জিনিসে</t>
  </si>
  <si>
    <t>আমি পাহাড়ে ট্রেকিং করতে চাচ্ছিলাম</t>
  </si>
  <si>
    <t>বিশ্ববিদ্যালয়ে বিতর্ক প্রতিযোগীতায় উৎসাহিত করল</t>
  </si>
  <si>
    <t>রেজাল্ট ভাল করায় প্রশংসা পেলাম</t>
  </si>
  <si>
    <t>সহজেই ওয়ারলেস ক্যামেরা ব্যবহার করলাম</t>
  </si>
  <si>
    <t>সবচেয়ে সুন্দর দিক ছিল প্রাকৃতিক সৌন্দর্য</t>
  </si>
  <si>
    <t>ছাত্রদের মধ্যে প্রতিযোগিতামূলক আচরণ ছিল</t>
  </si>
  <si>
    <t>আমি একটি ক্যামেরা কিনতে চাচ্ছিলাম</t>
  </si>
  <si>
    <t>তুমি গুরুত্বপূর্ণ স্থান দেখতে চেয়েছিলে</t>
  </si>
  <si>
    <t>নতুন একটি ক্যামেরায় ছবি তুলতেছিলাম</t>
  </si>
  <si>
    <t>হরর মুভি দেখতে ভয় লাগল</t>
  </si>
  <si>
    <t>সোশ্যাল মিডিয়ায় বার্তা বিনিময় করিলাম</t>
  </si>
  <si>
    <t>আর্থিক বিকাশে ব্যাপক কাজ হয়েছিল</t>
  </si>
  <si>
    <t>সমুদ্র ভ্রমণে শান্তি খুঁজে পাচ্ছিলাম</t>
  </si>
  <si>
    <t>পৃথিবীতে বাতিঘরের বৃষ্টি সবচেয়ে বেশি হত</t>
  </si>
  <si>
    <t>ইন্টারনেট মাধ্যমে ভিডিও ভার্তা পাঠাইতেছিলাম</t>
  </si>
  <si>
    <t>সবাই মিলে মোবাইলে গল্প শুনলাম</t>
  </si>
  <si>
    <t>সবাই মিলে মোবাইলে লুডু খেলছিলাম</t>
  </si>
  <si>
    <t>ছবিটির প্রভাব সমাজে দেখা গেল</t>
  </si>
  <si>
    <t>স্কিং শীতকালীন পরিবেশে খেলা হয়েছিল</t>
  </si>
  <si>
    <t>সিনেমাটি দেখে সামাজিক জীবন পাল্টেছিল</t>
  </si>
  <si>
    <t>শিক্ষা আমাদের চরিত্র গড়ে তোলেছিল</t>
  </si>
  <si>
    <t>আমি গায়ে ভ্রমণ করতে চাচ্ছিলাম</t>
  </si>
  <si>
    <t>মুভিটি শুধু ভ্রমণপিপাষু মানুষদের ছিল</t>
  </si>
  <si>
    <t>সরকার বাড়তি উন্নতি দেখতে চাচ্ছিল</t>
  </si>
  <si>
    <t>নতুন হেডফোন কিনে ব্যবহার করছিলাম</t>
  </si>
  <si>
    <t>ছবিটির প্রভাব সমাজে দেখা যাচ্ছিল</t>
  </si>
  <si>
    <t>ইন্টারনেটে নতুন উদ্যোগে প্রবর্তন করতেছিলাম</t>
  </si>
  <si>
    <t>সে পরিশ্রমে ভাল রেজাল্ট করতেছিল</t>
  </si>
  <si>
    <t>আমি নতুন লেপটপে গান শুনতেছিলাম</t>
  </si>
  <si>
    <t>উত্তাল সমুদ্রে নাবিকেরা জাহাজ চালিয়েছিল</t>
  </si>
  <si>
    <t>রতন নতুন বাংলা ছবি দেখল</t>
  </si>
  <si>
    <t>জটিল বিষয়গুলো আরো জটিল লাগছিল</t>
  </si>
  <si>
    <t>ইন্টারনেটে নিজেকে নতুন কিছু পড়াচ্ছিলাম</t>
  </si>
  <si>
    <t>রতন সিনেমা দেখে কিছু শিখল</t>
  </si>
  <si>
    <t>সকল দলের মধ্যে সংগঠন চলছিল</t>
  </si>
  <si>
    <t>সকল দলের মধ্যে সংগঠন করতে বলা হয়েছিল</t>
  </si>
  <si>
    <t>এই চলচ্চিত্রটি দর্শকদের হৃদয় জোগিয়েছিল</t>
  </si>
  <si>
    <t>প্রফেসর ছাত্রদের যথার্থ সহায়তা করতেছিলেন</t>
  </si>
  <si>
    <t>আমি বিশ্ববিদ্যালয় ইতিহাস বিভাগে পড়তেছিলাম</t>
  </si>
  <si>
    <t>ভূগোলে উদ্ভাবনি স্থান ছিল খুবই গুরুতপূর্ণ</t>
  </si>
  <si>
    <t>সরকার আর্থিক উন্নতির প্রয়োজন বলছিল</t>
  </si>
  <si>
    <t>মৌন্টএভারেস্ট ছিল বিশ্বের উচ্চতম পর্বত</t>
  </si>
  <si>
    <t>আমি পড়ার সময় অপচয় করলাম</t>
  </si>
  <si>
    <t>ব্যাংকে আমার বৃদ্ধিচেক জমাতে চাইলাম</t>
  </si>
  <si>
    <t>তুমি শপিং এ টাকা ব্যয় করছিলে</t>
  </si>
  <si>
    <t>কলেজ কর্তৃপক্ষ অবকাঠামোতে পরিবর্তন করল</t>
  </si>
  <si>
    <t>আমি নতুন কিবোর্ড ব্যবহার করছিলাম</t>
  </si>
  <si>
    <t>একটি বাস্তবতা নির্ভর চলচিত্র ছিল</t>
  </si>
  <si>
    <t>চরিত্রগুলো খুব সুন্দরভাবে দেখানো হইতেছিল</t>
  </si>
  <si>
    <t>দলগুলির মধ্যে সামাজিক আলোচনা চলছিল</t>
  </si>
  <si>
    <t>ইন্টারনেটে নতুন টেকনোলজি খোজতে চাচ্ছিলাম</t>
  </si>
  <si>
    <t>শহরের জনপ্রিয় স্থান দেখা গেল</t>
  </si>
  <si>
    <t>ক্রিকেট ম্যাচে ব্যাটসম্যান ছয় মারছিল</t>
  </si>
  <si>
    <t>ট্র্যাজেডি সিরিজ আমার ভালো লাগতেছিল</t>
  </si>
  <si>
    <t>ভ্রমন প্রশান্তি প্রদান করল মানুষকে</t>
  </si>
  <si>
    <t>নায়িকার সৌন্দর্য্য সবাইকে মুগ্ধ করে</t>
  </si>
  <si>
    <t>স্মৃতিতে চেতনায় হৃদয়ে এবং চিহ্ন রাখছিল</t>
  </si>
  <si>
    <t>অনুভূতি বিস্তৃত হয়েছিল ভ্রমণের মাধ্যমে</t>
  </si>
  <si>
    <t>প্রযুক্তির মাধ্যমে আর্থিক সমৃদ্ধি হচ্ছিল</t>
  </si>
  <si>
    <t>স্মার্টফোনে বিভিন্ন অ্যাপস ব্যবহার করিয়াছিলাম</t>
  </si>
  <si>
    <t>আমি নতুন ল্যাপটপ কিনতে গিয়েছিলাম বাজারে</t>
  </si>
  <si>
    <t>রেজাল্টের জন্য শিক্ষকরা পরিশ্রম করিয়াছিল</t>
  </si>
  <si>
    <t>আমি এই ব্যাংকে লোন নিতে চাইলাম</t>
  </si>
  <si>
    <t>আমি একটি সেফটি একাউন্ট চাইলাম</t>
  </si>
  <si>
    <t>ব্যাংকে আমি একটি লোন চাইলাম</t>
  </si>
  <si>
    <t>ছবিটির সাফল্যের খবর ছড়িয়ে যাচ্ছিল</t>
  </si>
  <si>
    <t>সাহসিকতা নিয়ে ভ্রমণের প্রস্তুতি নিয়েছিলাম</t>
  </si>
  <si>
    <t>সাগরের নীল ঢেউ স্নিগ্ধতা ছড়িয়েছিল</t>
  </si>
  <si>
    <t>দানের জন্য টাকা খরচ করতেছিলাম</t>
  </si>
  <si>
    <t>আমি স্থায়ী মূল্যায়ন খোলতে চাইলাম</t>
  </si>
  <si>
    <t>আমি স্থায়ী মূল্যায়ন খোলতে আগ্রহ প্রকাশ করেছিলাম</t>
  </si>
  <si>
    <t>সিনেমাটি দেখে আমার আস্থা বাড়ল</t>
  </si>
  <si>
    <t>দলের সবাই পর্যাপ্ত স্কোর করেছিল</t>
  </si>
  <si>
    <t>এখন বাজারে ক্রয় ও বিক্রয় বেড়েছিল</t>
  </si>
  <si>
    <t>ইন্টারনেটে নতুন সফটওয়্যার চেক করতেছিলাম</t>
  </si>
  <si>
    <t>শিক্ষক ছাত্রদের কঠিন প্রশ্ন করতেছিলেন</t>
  </si>
  <si>
    <t>ছবিটি আমার জীবনে প্রভাব ফেলেছিল</t>
  </si>
  <si>
    <t>দলগুলি নাগরিক থেকে মন্নত পেয়েছিল</t>
  </si>
  <si>
    <t>আমি নতুন ডেস্কটপ ব্যবহার করছিলাম</t>
  </si>
  <si>
    <t>ছবিটির সাফল্যের খবর ছড়িয়ে গিয়েছিল</t>
  </si>
  <si>
    <t>ইন্টারনেট ব্যবহার করে ব্যবসা শিখতেছিলাম</t>
  </si>
  <si>
    <t>প্রযুক্তির মাধ্যমে আর্থিক সমৃদ্ধি হয়েছিল</t>
  </si>
  <si>
    <t>সে অদম্য পরিশ্রমে সফলতা পেয়েছিল</t>
  </si>
  <si>
    <t>রাহাত কলেজে অধ্যয়ন করতে চেয়েছিলাম</t>
  </si>
  <si>
    <t>আমি ছাত্রদের সাথে ভ্রমণে গিয়েছিলাম</t>
  </si>
  <si>
    <t>সরকার মানুষের সাথে মিলিত ছিল</t>
  </si>
  <si>
    <t>আমরা অলিম্পিক স্পোর্টসের প্রস্তুতি নিচ্ছিলাম</t>
  </si>
  <si>
    <t>আমি অতিরিক্ত সুদ পরিশোধ করছিলাম</t>
  </si>
  <si>
    <t>আমরা সবাই একই স্কুলে পড়তেছিলাম</t>
  </si>
  <si>
    <t>মৌন্টফুজি জাপানে অবস্থিত একক পর্বত ছিল</t>
  </si>
  <si>
    <t>সে তখন উপবনে ভ্রমণ করছিলাম</t>
  </si>
  <si>
    <t>ছবিটি আমার কাছে ছিল মূল্যবান</t>
  </si>
  <si>
    <t>সিনেমাটি দেখে সামাজিক জীবন পাল্টাল</t>
  </si>
  <si>
    <t>অদৃশ্য স্থানে শান্তি অনুভব করলাম</t>
  </si>
  <si>
    <t>সরকারের নীতিতে আমি সমর্থন করিয়াছিলাম</t>
  </si>
  <si>
    <t>বিশ্বের বিভিন্ন ধর্মের সন্ধান করাল</t>
  </si>
  <si>
    <t>দাবা খেলায় ফোকাস বৃদ্ধি হয়েছিল</t>
  </si>
  <si>
    <t>সাহসের সাথে খেলছিল বাংলাদেশী সাঁতারু</t>
  </si>
  <si>
    <t>শিক্ষিত কর্মচারী আর্থিক উন্নতি করত</t>
  </si>
  <si>
    <t>ছবিটির গল্প সত্যই উপভোগ্য ছিল</t>
  </si>
  <si>
    <t>ওরা এখানে সিনেমা দেখতে আসিয়াছিল</t>
  </si>
  <si>
    <t>সিনেমার দৃশ্য বিপুল সৌন্দর্য ছিল</t>
  </si>
  <si>
    <t>বাংলাদেশের ক্রিকেট ম্যাচ চলছিল তখন</t>
  </si>
  <si>
    <t>সিনেমাটি দেখে সামাজিক জীবন বদলাল</t>
  </si>
  <si>
    <t>সমুদ্রের অপরূপ সৌন্দর্য অবলোকনে গেলাম</t>
  </si>
  <si>
    <t>আমি নতুন সার্ভার ব্যবহার করলাম</t>
  </si>
  <si>
    <t>ইন্টারনেট আমার ভাষায় ব্লগ লেখছিলাম</t>
  </si>
  <si>
    <t>নির্যাতনবাদ কারণে অর্থনৈতিক হানি হল</t>
  </si>
  <si>
    <t>সরকার দেশের উন্নতি করতে চাচ্ছিল</t>
  </si>
  <si>
    <t>আমি নতুন একটি ফোন কিনতে চাচ্ছিলাম</t>
  </si>
  <si>
    <t>সরকার মানুষকে বাড়তি সুবিধা দিল</t>
  </si>
  <si>
    <t>আমি নতুন স্মার্টটিভি ব্যবহার করলাম</t>
  </si>
  <si>
    <t>ইন্টরানেট আমাদের জীবনকে সহজে করিয়াছিলাম</t>
  </si>
  <si>
    <t>পড়াশোনার মনোরম পরিবেশ করা হল</t>
  </si>
  <si>
    <t>প্রাকৃতিক জীবনে মজা খুজে পেলাম</t>
  </si>
  <si>
    <t>সাইক্লিং বিচ্ছিন্ন পথে খেলা হয়ছিল</t>
  </si>
  <si>
    <t>শিক্ষার্থীরা একসাথে বইমেলা অংশগ্রহণ করছিল</t>
  </si>
  <si>
    <t>আমি ভার্চুয়াল কিবোর্ড ব্যবহার করলাম</t>
  </si>
  <si>
    <t>বিজ্ঞান মেলায় অনেক প্রদর্শনী দেখেছিলাম</t>
  </si>
  <si>
    <t>এই ব্যাংকে আমি চেক জমা দিচ্ছিলাম</t>
  </si>
  <si>
    <t>ভ্রমণে নতুন দৃশ্য দেখতে চাচ্ছিলাম</t>
  </si>
  <si>
    <t>ভারতে হিমালয় মাধ্যমিক পর্বতমালা ছিল</t>
  </si>
  <si>
    <t>আমি নতুন কিবোর্ড ব্যবহার করেছিলাম</t>
  </si>
  <si>
    <t>আমি অনলাইন খবর পড়ছিলাম এখন</t>
  </si>
  <si>
    <t>বিজ্ঞানে প্রগতিতে আমি চেষ্টা করছিলাম</t>
  </si>
  <si>
    <t>লোকজন সমুদ্রপাড়ে সারিবদ্ধ হয়ে ঘুরেছিল</t>
  </si>
  <si>
    <t>অনুভূতির সীমানা আদানপ্রদানে সাহায্য করল</t>
  </si>
  <si>
    <t>শিক্ষিত কর্মচারী প্রযুক্তি ব্যবহার করছিল</t>
  </si>
  <si>
    <t>আমি ব্যাংকে শেয়ার খুলতে চাইছিলাম</t>
  </si>
  <si>
    <t>তারা খেলতে যাচ্ছিল টেনিস ম্যাচে</t>
  </si>
  <si>
    <t>ইন্টারনেট ব্যবহারে ক্যারিয়ারে এগিয়ে যাচ্ছিলাম</t>
  </si>
  <si>
    <t>আমি নতুন প্রিন্টার ব্যবহার করছিলাম</t>
  </si>
  <si>
    <t>সমস্ত ভ্রমণের গোপন গন্তব্য রইল</t>
  </si>
  <si>
    <t>বইগুলি বিশেষ পুস্তকালয়ে বিদ্যমান রয়েছিল</t>
  </si>
  <si>
    <t>আমি টাকা পয়সার বৃদ্ধি চাইলাম</t>
  </si>
  <si>
    <t>সমুদ্রের অপরূপ সৌন্দর্য আনন্দ দিচ্ছিল</t>
  </si>
  <si>
    <t>ক্যামেরা ব্যবহার করে ছবি তুলছিলাম</t>
  </si>
  <si>
    <t>আমি নতুন হেডফোন ব্যবহার করছিলাম</t>
  </si>
  <si>
    <t>আমাদের পৃথিবী জলের ঢাকা ছিল</t>
  </si>
  <si>
    <t>রেজাল্টের জন্য শিক্ষকরা পরিশ্রম করল</t>
  </si>
  <si>
    <t>আমি মোবাইল ইন্টারনেটে খবর পড়ছিলাম</t>
  </si>
  <si>
    <t>আমি মোবাইল ইন্টারনেটে পড়ে সময় কাটাচ্ছিলাম</t>
  </si>
  <si>
    <t>আমি উচ্চশিক্ষার প্রস্তুতি গ্রহণ করছিলাম</t>
  </si>
  <si>
    <t>ছাত্র ছাত্রীরা প্রশ্নের উত্তর দিতেছিল</t>
  </si>
  <si>
    <t>আমি নতুন ইবুক ব্যবহার করতে আগ্রহ প্রকাশ করেছিলাম</t>
  </si>
  <si>
    <t>আমি নতুন ইবুক কিনেছিলাম তোমার জন্য</t>
  </si>
  <si>
    <t>ছবিটির বক্সঅফিসে সাফল্য অর্জন করল</t>
  </si>
  <si>
    <t>আমি এই সময় বিমানে যাচ্ছিলাম</t>
  </si>
  <si>
    <t>আমি পড়ালেখায় স্মার্টওয়্যাচ ব্যবহার করছিলাম</t>
  </si>
  <si>
    <t>আমি তোমাকে অনেক টাকা দিতেছিলাম</t>
  </si>
  <si>
    <t>আমি ব্যাংকে নতুন একাউন্ট চাইলাম</t>
  </si>
  <si>
    <t>নায়িকার সৌন্দর্য্য সবাইকে মুগ্ধ করেছিল</t>
  </si>
  <si>
    <t>আমি নতুন ইন্টারনেট ব্যবহার করছিলাম</t>
  </si>
  <si>
    <t>আমি নতুন ইন্টারনেট সংযোগ নিয়েছিলাম</t>
  </si>
  <si>
    <t>আমি নতুন ইন্টারনেট ব্যবহারকারী খুজছিলাম</t>
  </si>
  <si>
    <t>মুস্তির মধ্যে খেলোয়াড় লড়াই করছিল</t>
  </si>
  <si>
    <t>আমি সফটওয়্যার ব্যবহার করতেছিলাম মোবাইলে</t>
  </si>
  <si>
    <t>আর্থিক সমৃদ্ধি হ্রাস পেয়েছিল দেশে</t>
  </si>
  <si>
    <t>মুভিতে ভালোবাসা ফুটিয়ে তোলা হয়েছিল</t>
  </si>
  <si>
    <t>রিতা একটি কমেডি সিরিজ দেখল</t>
  </si>
  <si>
    <t>সময়ের মধ্যে সরকার গঠন করছিল</t>
  </si>
  <si>
    <t>তোমাকে এখন খুব প্রশান্ত দেখাচ্ছিলাম</t>
  </si>
  <si>
    <t>তারা একটি বাংলা ছবি দেখল</t>
  </si>
  <si>
    <t>সিনেমাটির রিমেক তৈরি করা হয়েছিল</t>
  </si>
  <si>
    <t>গ্রীষ্মকালে সাহারা ছিল বিষম প্রদেশ</t>
  </si>
  <si>
    <t>ব্যাংক ঋণ প্রদান বৃদ্ধি হয়েছিল</t>
  </si>
  <si>
    <t>আমি ব্লগ লেখিয়াছিলাম আমার জীবনের</t>
  </si>
  <si>
    <t>আমি ওয়েব রাইটার ব্যবহার করছিলাম</t>
  </si>
  <si>
    <t>আমি ডিজিটাল রিমোট ব্যবহার করেছিলাম</t>
  </si>
  <si>
    <t>নির্যাতনবাদ কারণে অর্থনৈতিক হানি হয়েছিল</t>
  </si>
  <si>
    <t>পৃথিবীতে দুইটি অদৃশ্য অংশ ছিল</t>
  </si>
  <si>
    <t>বিশ্বের বৃহত্তম মহাসাগর ছিল আটলান্টিক</t>
  </si>
  <si>
    <t>আমাকে উচ্চশিক্ষায় কষ্ট করতে হল</t>
  </si>
  <si>
    <t>দেশে পৌঁছাচ্ছিল বিদেশী নিকটস্থ বিনিয়োগ</t>
  </si>
  <si>
    <t>মার্শালআর্ট্সে প্রতিযোগিতায় আমরা পিছিয়ে ছিলাম</t>
  </si>
  <si>
    <t>রাজনীতি মানুষের জীবন পরিবর্তন করছিল</t>
  </si>
  <si>
    <t>আমরা বিনোদনের মাধ্যমে আনন্দ খুজিয়াছিলাম</t>
  </si>
  <si>
    <t>আমি পড়াশোনা করতে উৎসাহী হলাম</t>
  </si>
  <si>
    <t>গুগল ব্রাউজ করতে ব্যবহার করিয়াছিলাম</t>
  </si>
  <si>
    <t>শিক্ষার্থীদের ভালো লাইব্রেরি প্রয়োজন ছিল</t>
  </si>
  <si>
    <t>ব্যাংকে আমার টাকা জমা দিচ্ছিলাম</t>
  </si>
  <si>
    <t>আমি তখন ডিজিটাল পোর্টালে পড়তাম</t>
  </si>
  <si>
    <t>একটি নতুন ওয়েবসাইট তৈরি করছিলাম</t>
  </si>
  <si>
    <t>সাগরের নীল ঢেউ স্নিগ্ধতা ছড়াল</t>
  </si>
  <si>
    <t>ছবিটির বক্সঅফিসে সাফল্য অর্জন করতেছিল</t>
  </si>
  <si>
    <t>সে পানিতে ভ্রমণ করতেছিল তখন</t>
  </si>
  <si>
    <t>অদম্য পরিশ্রমে ভাল ফলাফল হয়েছিল</t>
  </si>
  <si>
    <t>আমি ভালো পরিমাণে টাকা পাচ্ছিলাম</t>
  </si>
  <si>
    <t>ব্যাংকে অনলাইন ব্যাংকিং চালাতে চাইলাম</t>
  </si>
  <si>
    <t>মহান ঐতিহ্যের অনুভব করা গেল</t>
  </si>
  <si>
    <t>মানবিক বিভাগে ইতিহাস আলোচনা হয়েছিল</t>
  </si>
  <si>
    <t>চরিত্রগুলো খুব রহস্যজনক মনে হয়েছিল</t>
  </si>
  <si>
    <t>আমি তোমাকে অনেক টাকা দিলাম</t>
  </si>
  <si>
    <t>প্রযুক্তির মাধ্যমে আর্থিক সমৃদ্ধি হল</t>
  </si>
  <si>
    <t>অর্থনৈতিক লক্ষ্য বৃদ্ধি হচ্ছিল ব্যাংকে</t>
  </si>
  <si>
    <t>ক্লাসে শিক্ষক ছাত্রদের প্রশ্ন করছিলেন</t>
  </si>
  <si>
    <t>হকি ম্যাচ দেখতে যাচ্ছিল স্টেডিয়ামে</t>
  </si>
  <si>
    <t>সিনেমাটির রিমেক তৈরি করা হল</t>
  </si>
  <si>
    <t>ইন্দোনেশিয়ার জাভাতে আমরা ভ্রমণ করেছিলাম</t>
  </si>
  <si>
    <t>দৃশ্য চিত্র প্রকশনা করা হল</t>
  </si>
  <si>
    <t>হকির জন্য মাঠ প্রস্তুত করল</t>
  </si>
  <si>
    <t>গুগল ড্রাইভে ফাইল সেভ করলাম</t>
  </si>
  <si>
    <t>শিক্ষা ছিল মান বৃদ্ধির উপায়</t>
  </si>
  <si>
    <t>ফুটবল ম্যাচ চলছিল আবহনী দলের</t>
  </si>
  <si>
    <t>সে টেনিস কোর্টে টেনিস খেলছিল</t>
  </si>
  <si>
    <t>আমি নতুন ফ্লপিডিস্ক ব্যবহার করলাম</t>
  </si>
  <si>
    <t>তুমি আগামী মাসে পাঠ্যদান করবে</t>
  </si>
  <si>
    <t>Future</t>
  </si>
  <si>
    <t>আজকে আকাশের দিকে তাকিয়ে মনে হবে পৃথিবীটা কী অপরূপ</t>
  </si>
  <si>
    <t>সবচেয়ে গুরুত্বপূর্ণ জিনিস হবে ধৈর্য ধরতে হবে এবং অপেক্ষা করতে হবে</t>
  </si>
  <si>
    <t>আমরা আগামীকাল একটি নতুন সিনেমা দেখবো</t>
  </si>
  <si>
    <t>বই পড়ার মাধ্যমে মানুষ নিজের মধ্যে অজানা জগতের সম্মুখীন হবে এবং তাদের মনে নতুন আনন্দ সৃষ্টি হবে</t>
  </si>
  <si>
    <t>কাঁঠালের বিচি দিয়ে তৈরি চচ্চড়ি গরমের দিনে এক অদ্ভুত স্বাদের খাবার হবে</t>
  </si>
  <si>
    <t>সে আগামী মাসে নতুন ভাষা শেখার জন্য বই কিনবে</t>
  </si>
  <si>
    <t>বড় ভাই হবে বাবার পর একটা সাপোর্ট বড় ভাই যাদের নেই তারাই একমাত্র উপলব্ধি করতে পারবে</t>
  </si>
  <si>
    <t>মাটি খোঁড়ানো গাছ লাগানো আর প্রাকৃতিক সঙ্গে একাকীত্ব সময় কাটানো মনের সব একাকী দূর করবে</t>
  </si>
  <si>
    <t>টাইম মেশিন আবিষ্কার হয়ে যাবে</t>
  </si>
  <si>
    <t>তোমরা আগামীকাল উন্নত মানের তথ্য প্রযুক্তি নিয়ে একটি প্রদর্শনীতে অংশ নেবে</t>
  </si>
  <si>
    <t>সময় কেটে যাওয়ার পরে স্মৃতির পুড়িতে আমার বন্ধুদের ছবি সবসময় থাকবে</t>
  </si>
  <si>
    <t>দেশের অনেক মানুষ নিজের স্বার্থের কথা ভেবে গুমিয়ে গেলেও অনেকে এখনো মুক্তির জন্যে সংগ্রাম করবে</t>
  </si>
  <si>
    <t>নিঃশব্দে জ্বলজ্বলে আকাশ থাকবে মনের সব চিন্তা দূর করবে</t>
  </si>
  <si>
    <t>ঢেউ খেলা ঢেউয়ের সাথে ঝাঁপিয়ে পড়া শিহরণ জাগানো এক মুহূর্ত হবে</t>
  </si>
  <si>
    <t>সে আগামী মাসে নতুন সংস্থা গঠন করতে চাইবে</t>
  </si>
  <si>
    <t>আমি এই প্রকল্পে আগামীকাল থেকে থাকব</t>
  </si>
  <si>
    <t>যখন আমি আমার পিএইচডি সম্পন্ন করব তখন আমি একটি নামকরা গবেষণা প্রতিষ্ঠানে যোগ দেব</t>
  </si>
  <si>
    <t>তারা আগামীকালে টেনিস কোর্টে খেলতে যাবে</t>
  </si>
  <si>
    <t>তুমি পরশুদিন কৃত্রিম বুদ্ধিমত্তা নিয়ে একটি আন্তর্জাতিক সেমিনারে বক্তব্য দেবে</t>
  </si>
  <si>
    <t>ছবির শেষে মনে হবে জীবনে আরও কিছু করার থাকবে</t>
  </si>
  <si>
    <t>অস্কার নিয়ে আসবে ডানকি মুভি</t>
  </si>
  <si>
    <t>এই গরমে নারকেলের পানি খেয়ে তৃষ্ণা মেটাবো মন ভরে যাবে</t>
  </si>
  <si>
    <t>বন্ধুর নতুন উদ্যোগ– ব্যবসায় সাফল্যের শুভেচ্ছা দেবো এগিয়ে যাবে</t>
  </si>
  <si>
    <t>আগামীকাল আমি একটি নতুন রেসিপি চেষ্টা করব যা আমার পরিবারের সবাইকে খুশি করবে</t>
  </si>
  <si>
    <t>আমি আগামী মাসে একটি নতুন যন্ত্র সংগীত শিখতে শুরু করব যা আমার সৃজনশীল দক্ষতা বাড়াবে</t>
  </si>
  <si>
    <t>একদিন মানুষ নিজের অধিকার বুঝে নেবে</t>
  </si>
  <si>
    <t>ভবিষ্যতে আমি একটি নতুন ব্যবসায়িক মডেল তৈরি করব যা আমাদের কোম্পানির মুনাফা বৃদ্ধি করবে</t>
  </si>
  <si>
    <t>তারা সময় না করে আমাদের সাথে সমাপ্তির পর্যন্ত কাজ করতে থাকবে</t>
  </si>
  <si>
    <t>পরবর্তী বছরে আমি আরও অনেক বই পড়ব যাতে আমার জ্ঞান বৃদ্ধি পেয়ে থাকব</t>
  </si>
  <si>
    <t>এই ছবি দেখে মনে হবে সিনেমা শুধু মনোরঞ্জন দেবে না অনেক কিছু শেখাবে</t>
  </si>
  <si>
    <t>তুমি আগামীকাল একটি বিশেষ অনুষ্ঠানে অংশগ্রহণ করবে</t>
  </si>
  <si>
    <t>পরবর্তী ছুটিতে আমি আমার দাদার বাড়ি ঘুরতে যাব যেখানে তার সাথে অনেক মজার খেলা দেখতে পারব</t>
  </si>
  <si>
    <t>আগামী ছুটিতে আমরা পার্বত্য অঞ্চলে ভ্রমণ করব যেখানে প্রকৃতির সৌন্দর্য উপভোগ করতে পারিব।</t>
  </si>
  <si>
    <t>প্রকৃতির নিজস্ব সঙ্গীত মনকে শান্ত করবে</t>
  </si>
  <si>
    <t>এরকম অভিনয় সমৃদ্ধ চলচ্চিত্র আর বোধহয় আসবেনা</t>
  </si>
  <si>
    <t>দিনের কাজের চাপ থেকে মুক্তি পাওয়ার পর রাতে শান্ত মনে মিউজিক শোনা যাবে এই শান্ত পরিবেশে মন আলোকিত হয়ে আসবে আর আনন্দ বোধ জাগবে</t>
  </si>
  <si>
    <t>চিত্রের মাধ্যমে আমি সমস্ত প্রাণী ও পরিবেশের সাথে সম্পর্ক স্থাপন করতে চেষ্টা করবো প্রচুর রঙের মাধ্যমে আমি সমস্ত স্বাধীনতা এবং সৃষ্টিতে মজার মেলা খুঁজে পাবো</t>
  </si>
  <si>
    <t>সাঁতার কাটার সময় হঠাৎ ঠান্ডা বাতাসে শরীর জুড়িয়ে যাবে মুহূর্তের চমকের পর আরো বেশি সজীব লাগবে</t>
  </si>
  <si>
    <t>আমি পরের সপ্তাহে নতুন ভাবে যাব</t>
  </si>
  <si>
    <t>আমরা আগামী বছরে নতুন ভাবে কাজ করব</t>
  </si>
  <si>
    <t>তোমরা আগামীকাল উন্নত মানের জ্বালানি উৎপাদন প্রযুক্তি নিয়ে একটি সেমিনারে বক্তৃতা দেবে</t>
  </si>
  <si>
    <t>ক্রিকেট আর ফুটবলে একের পর এক জয় দিয়ে বাংলার মেয়েরা দেখিয়ে দেবে তারা ও পারে</t>
  </si>
  <si>
    <t>যদি চেষ্টা করো তাহলে অবশ্যই সফল হবে আমার গল্পটা আপনাদেরও অনুপ্রেরণা জোগাবে।</t>
  </si>
  <si>
    <t>মায়ের হাতের খাবার খেয়ে বুঝবো সুখের কোনো মাপকাঠি নেই এই ছোট্ট জিনিসটাই একদিন আমার পৃথিবী হবে</t>
  </si>
  <si>
    <t>ভবিষ্যতে আমি একটি সফল চিকিৎসক হব যেখানে আমি রোগীদের জীবন বাঁচাতে পারব</t>
  </si>
  <si>
    <t>তুমি আমার সঙ্গে আগামীকাল বিশেষ সাক্ষাৎ করতে পারবে</t>
  </si>
  <si>
    <t>ভবিষ্যতে আমি একটি দাতব্য প্রতিষ্ঠান স্থাপন করব যেখানে দরিদ্র ও অসহায় মানুষদের সহায়তা করব</t>
  </si>
  <si>
    <t>আমি আগামীকালে বাগানে ফুলের রঙ দেখতে যাবো</t>
  </si>
  <si>
    <t>তোমাদের পরবর্তী মাসে একটি পানির যাত্রা করতে যাব</t>
  </si>
  <si>
    <t>তুমি আগামী বছরে নতুন ভাবে সম্পত্তি অর্জন করবে</t>
  </si>
  <si>
    <t>তিনি আগামীকালে ফ্যান সার্ভিস করার জন্য আসবেন</t>
  </si>
  <si>
    <t>আমি আগামীকাল পরিবেশ সুরক্ষার জন্য একটি বিশদ পরিকল্পনা উপস্থাপন করব</t>
  </si>
  <si>
    <t>সে আগামী মাসে নতুন ভাবে রাত্রি কাটাব</t>
  </si>
  <si>
    <t>সেন্ট মার্টিন এর ট্যুরটা লাইফের বেস্ট এনজয় হবে</t>
  </si>
  <si>
    <t>আমরা সমাপ্ত হবে না এখানে কাজ করতে থাকব</t>
  </si>
  <si>
    <t>তিনি আগামী বছরে একটি বড় মাপের প্রদর্শনীতে তার শিল্পকর্ম প্রদর্শন করবেন যা তাকে আন্তর্জাতিক মানচিত্রে স্থান দেবে</t>
  </si>
  <si>
    <t>ভবিষ্যতে আমি একটি সফল শিল্পী হব যেখানে আমার শিল্পকর্ম সারা বিশ্বে প্রদর্শিত হবে</t>
  </si>
  <si>
    <t>তারা আগামীকালে নতুন মোবাইল ফোনের জন্য কাভার কিনতে যাব</t>
  </si>
  <si>
    <t>ফুটবল খেলা দেখতে খুব ভালো লাগবে</t>
  </si>
  <si>
    <t>সব সেটআপ সম্পূর্ণ হলেই তারা নিজেদের পরিশ্রমের মাধ্যমে আমাদের প্রকল্পটি সমাপ্ত করবে</t>
  </si>
  <si>
    <t>প্রতি শীতকালে আমি আমার গাছগুলির সঙ্গে নীরব সময় কাটাবো এবং সেটি আমাকে অবিস্মরণীয় খুশি করবে</t>
  </si>
  <si>
    <t>সময় শেষ হলে ভালোবাসার মানুষটিও আর সময় দিবে না</t>
  </si>
  <si>
    <t>ভবিষ্যতে আমি একটি সফল শিক্ষক হব যেখানে আমি অনেক শিক্ষার্থীকে শিক্ষা দেব</t>
  </si>
  <si>
    <t>বেহালার সুর ছেড়ে বিকেলটা কাটিয়ে দেবো মনটা আজ খুবই হালকা লাগবে</t>
  </si>
  <si>
    <t>প্রথম স্যালারি পাবো বাবার হাতে টাকাটা দিয়ে বলবো বাবা এই নাও ঘর চালানোর টাকা তোমাকে আর কষ্ট করতে হবে না</t>
  </si>
  <si>
    <t>তারা আগামীকাল একটি বড় ধরনের জনসেবামূলক ইভেন্ট আয়োজন করবে যেখানে সমাজের দুর্বল সদস্যদের সাহায্য করা হবে</t>
  </si>
  <si>
    <t>দিদি তোমার বিবাহের খবরে বাড়িতে একটা উৎসবের আমেজ শুভবিবাহের পরেও মাঝেমধ্যে বাড়িতে আসতে ভুলবে না কিন্তু</t>
  </si>
  <si>
    <t>বড় ভাই এর কাছ থেকে অনেক কিছু শিখবো তার এই সাফল্য আমাকে আরও অনুপ্রেরণা জোগাবে চাকরির জন্য শুভেচ্ছা জানাবে সবাই</t>
  </si>
  <si>
    <t>পরবর্তী বছরে আমরা একটি বড় আকারের শিল্প কারখানা নির্মাণ করব যা আমাদের দেশের অর্থনীতিতে বড় ভূমিকা পালন করবে</t>
  </si>
  <si>
    <t>জীবনে চলার পথে বাবা মায়ের পরে বড় ভাই বোন থেকে যে সাপোর্ট পাবো তা যাদের বড় ভাই বোন থাকবে তারাই একমাত্র বলতে পারবে</t>
  </si>
  <si>
    <t>তোমরা আগামীকাল উন্নত মানের কৃষি প্রযুক্তি নিয়ে একটি প্রদর্শনীতে অংশ নেবে</t>
  </si>
  <si>
    <t>আমরা আগামীকাল একটি নতুন রেস্তোরাঁয় খাবার খেতে যাবো</t>
  </si>
  <si>
    <t>হঠাৎ করেই দেখবো একটা ছোট্ট খরগোশ বাগানের এক কোণে ঘাস খেতে থাকবে</t>
  </si>
  <si>
    <t>আমি আমার পড়াশোনার ক্ষেত্রে একটি শীর্ষক পেয়ে থাকবো যখন আমি আমার পোস্ট গ্র্যাজুয়েট অধ্যয়ন সমাপ্ত করবো</t>
  </si>
  <si>
    <t>আমার জয় আপনাদের সমর্থনের ফল হবে</t>
  </si>
  <si>
    <t>আমি প্রয়োজনীয় সমস্ত তথ্য সংগ্রহ করে রাখবো যখন তারা ফোন করবে</t>
  </si>
  <si>
    <t>আগামীকাল আমি একটি গুরুত্বপূর্ণ প্রেজেন্টেশন দেব যাতে আমাদের নতুন প্রজেক্টের ধারণা সবার সামনে তুলে ধরতে পারব</t>
  </si>
  <si>
    <t>আগামীকাল আমি একটি বড় ব্যবসায়িক চুক্তি স্বাক্ষর করব যা আমাদের কোম্পানির জন্য নতুন সম্ভাবনা তৈরি করবে</t>
  </si>
  <si>
    <t>রেস্টুরেন্টের চেয়ে বৌদির হাতের খাবার সেরা হবে</t>
  </si>
  <si>
    <t>আমি আগামীকালে বাস্কেটবল খেলতে যাবো গার্ডেনে</t>
  </si>
  <si>
    <t>আমি চিন্তা করছি আগামীতে নতুন ধারণা গুলি অধ্যয়ন করতে অনেক সময় দেওয়ার লাগবে।</t>
  </si>
  <si>
    <t>তারা আগামী সপ্তাহে একটি বড় ধরনের বিনিয়োগ সম্মেলনে যোগদান করবে যেখানে তারা নতুন বিনিয়োগকারী খুঁজবে</t>
  </si>
  <si>
    <t>কি আর বলবো এরা নাচ কবে যে শিখতে পারবে কে জানে</t>
  </si>
  <si>
    <t>টাকা হওয়ার পরের বন্ধু গুলা হচ্ছে লাইট আর পোঁকার মতো যতক্ষন আলো থাকবে ততক্ষন থাকবে আর যখন আলো থাকবে না তখন চলে যাবে</t>
  </si>
  <si>
    <t>শিল্পের মাধুর্যে সবার মুখ উজ্জ্বল হবে সৃজনশীল মুহূর্তে আনন্দে মুগ্ধ হয়ে উঠবো সৃষ্টিশীল প্রকাশে প্রকৃত খুশির স্বাদ পাবো আমরা আনন্দে উপভোগ করবো সবার সঙ্গে শিল্পের আলোয় আমরা উজ্জ্বল হয়ে উঠবো সব সময়</t>
  </si>
  <si>
    <t>পদোন্নতির খবর পেয়ে জলপানের ট্রিট দেবো</t>
  </si>
  <si>
    <t>আমি জানি যে জীবনের সেই খারাপ সময়গুলি আমাকে আরও বলিষ্ঠ করবে</t>
  </si>
  <si>
    <t>আমি সাইবার নিরাপত্তা সম্পর্কে শিক্ষা প্রচার করব</t>
  </si>
  <si>
    <t>নতুন বইয়ের গন্ধ নতুন কিছু শেখার আনন্দ পাবে</t>
  </si>
  <si>
    <t>তারা আগামীকাল নতুন প্রযুক্তির উপর ভিত্তি করে একটি অনুসন্ধান শুরু করবে</t>
  </si>
  <si>
    <t>মা কে প্রমোশন হবে খুশিতে আত্মহারা হবো মা র কঠোর পরিশ্রমের স্বীকৃতি হবে এটাই</t>
  </si>
  <si>
    <t>শুধু খালা নই সেরা খালা হয়ে যাবো ধন্যবাদ ইয়াসিন</t>
  </si>
  <si>
    <t>আমার সন্তান বড় হয়ে একজন নামকরা চিকিৎসক হবে মানুষের সেবা করবে</t>
  </si>
  <si>
    <t>ভালোবাসা অমর থাকবে শুভ বিবাহবার্ষিকী নতুন দম্পতি</t>
  </si>
  <si>
    <t>আমরা আগামী মাসে একটি নতুন শহরে ঘুরতে যাবো</t>
  </si>
  <si>
    <t>বই পড়া মানুষের মনে আনন্দের সঙ্গে পূর্ণ হবে এবং তাদের মনে নতুন আলো ছড়াবে</t>
  </si>
  <si>
    <t>একতারার সুরে ছেলেবেলার স্মৃতি জাগবে মনের মাঝে এক অদ্ভুত শান্তি নেমে আসবে</t>
  </si>
  <si>
    <t>ভালোবাসি বলে বিশ্বাস রাখি তুই আবার আমার মাঝে ফিরে আসবি</t>
  </si>
  <si>
    <t>বৌদির হাতের খাবার খেয়ে বুঝবো বৌদি এখন পরিবারেরই একজন হবে</t>
  </si>
  <si>
    <t>ভাবছি এবার বিদ্রোহটা নিজের সাথেই করবো মন কেন যে তোমায় ভালোবাসে এর উত্তর খুঁজে বের করবো তোমায় ভালোবেসে নিঃস্ব আমি ভাবছি বিদ্রোহটা নিজের সাথেই করবো</t>
  </si>
  <si>
    <t>ঢাকের তালে ধ্বনি বাংলা কালী হয়েছে জয় আনন্দে ঝুম ঝুম করে নাচবো</t>
  </si>
  <si>
    <t>বছর পর শুভর সাথে আবার আড্ডা দিবো পুরোনো দিনের গল্প মুহূর্ত ফিরিয়ে আনবে</t>
  </si>
  <si>
    <t>নতুন সময় এবং সুযোগ অনেক আসবেই কিন্তু হারানো সময় আর সুযোগ আর ফিরে আসবে না</t>
  </si>
  <si>
    <t>প্রতিটা ছবিই একটা গল্প বলবে আপনি কি শুনতে চাইবেন</t>
  </si>
  <si>
    <t>সেই সব দারুণ ফুড ব্লগারদের প্রতি কৃতজ্ঞ হবো যারা আমাকে নতুন জিনিস রান্না করতে অনুপ্রাণিত করবে</t>
  </si>
  <si>
    <t>পরবর্তী বছরে আমি একটি নতুন গাড়ি কিনব যা আমার যাতায়াতের জন্য আরও সুবিধাজনক হবে</t>
  </si>
  <si>
    <t>বৃষ্টির পরে আকাশে রংধনু দেখবো সাত রঙের এই সেতু প্রকৃতির অপূর্ব সৃষ্টি মনের শান্তি আনবে</t>
  </si>
  <si>
    <t>আগামীকাল আমি একটি নতুন ব্যবসা শুরু করব যা আমার ক্যারিয়ারের জন্য গুরুত্বপূর্ণ হবে</t>
  </si>
  <si>
    <t>সঙ্গীত শিখতে শুরু করব এবং আগামী বছরের কনসার্টে পারফর্ম করতে পারব</t>
  </si>
  <si>
    <t>শেষমেশ সাফল্য আমারই হবে</t>
  </si>
  <si>
    <t>সে আগামী মাসে একটি নতুন আর্ট কোর্সে ভর্তি হবে যেখানে তার শিল্পকর্মের দক্ষতা আরও বৃদ্ধি পাবে</t>
  </si>
  <si>
    <t>শিশুরা কেবল রঙ ই না তাদের চিত্রের মাধ্যমে গল্প বলতে পছন্দ করবে এই গল্প রচনা করতে গিয়ে তারা কল্পনাশক্তি ব্যবহার করবে এবং আনন্দ অনুভব করবে</t>
  </si>
  <si>
    <t>সে আজ অনেকদিন পর গরুর মাংস দিয়ে ভাত খাবে</t>
  </si>
  <si>
    <t>টাকার জন্য হয়ত একদিন অনেক স্বপ্ন ভেঙ্গে যাবে</t>
  </si>
  <si>
    <t>পরবর্তী ছুটিতে আমরা একটি প্রাকৃতিক উদ্যান ভ্রমণ করব যেখানে আমরা বিভিন্ন প্রজাতির প্রাণী দেখব</t>
  </si>
  <si>
    <t>আমরা আগামী মাসে একটি সেমিনার অনুষ্ঠান করব</t>
  </si>
  <si>
    <t>ভবিষ্যতে আমি একটি টেক স্টার্টআপ চালু করব যেখানে নতুন প্রযুক্তি উদ্ভাবন করা হবে</t>
  </si>
  <si>
    <t>আপনার শহরে বা এলাকায় হওয়া সঙ্গীতের উৎসবগুলোতে গিয়ে স্থানীয় শিল্পীদের গান উপভোগ করবেন</t>
  </si>
  <si>
    <t>আমি শিক্ষা ব্যবস্থায় আরও বেশি নারী ও মেয়েদের অংশগ্রহণ নিশ্চিত করার জন্য কাজ করব</t>
  </si>
  <si>
    <t>আমরা আগামী মাসে একটি নতুন কমিউনিটি সেন্টার উদ্বোধন করবো যেখানে স্থানীয়রা বিভিন্ন সামাজিক ও সাংস্কৃতিক কার্যক্রমে অংশ নিতে পারবে</t>
  </si>
  <si>
    <t>এই গরমে আমের আচারের শরবত স্বাদে ঠান্ডা হবে মনে আনন্দ হবে</t>
  </si>
  <si>
    <t>আগামীকাল সকালে আমি পার্কে গিয়ে একটি কাক দেখবো যাকে অসুস্থ মনে হবে তার জন্য সব ধরনের সাহায্য করবো এবং একটি স্থানীয় প্রাণিসংরক্ষণ সংস্থায় দেবো পাখিটির জন্য কিছু করে ভালো লাগবে</t>
  </si>
  <si>
    <t>ছোট প্যাকেজে বড় জিনিস ক্যারিয়ারের উন্নতির খবরটা জানিয়ে খুব গর্বিত হবো পথ চলায় যারা আমাকে সমর্থন করেছেন তাদের সকলকে ধন্যবাদ জানাবো 。</t>
  </si>
  <si>
    <t>অফিসের ড্রেস কোড একটু বদলাতে হবে</t>
  </si>
  <si>
    <t>আগামী সপ্তাহের জন্য প্রস্তুত থাকতে আমরা প্রয়োজনীয় সকল ব্যবসায়িক প্রস্তুতি করে রাখবো</t>
  </si>
  <si>
    <t>আমি আগামীকাল উন্নত মানের তথ্য সংগ্রহ পদ্ধতি নিয়ে একটি প্রবন্ধ প্রকাশ করব</t>
  </si>
  <si>
    <t>ভবিষ্যতে আমি একটি বড় মিউজিক ফেস্টিভাল আয়োজন করব যেখানে বিশ্বের সেরা শিল্পীরা পারফর্ম করবে</t>
  </si>
  <si>
    <t>স্কুলের জুনিয়র সিনিয়রের বন্ধন এক অন্যরকম সম্পর্ক হবে</t>
  </si>
  <si>
    <t>তুমি আগামীকাল একটি নতুন বই পড়া শুরু করবে</t>
  </si>
  <si>
    <t>তারা আগামী সপ্তাহে একটি বিশেষ অনুষ্ঠানে যাবে</t>
  </si>
  <si>
    <t>মায়ের হাতের খাবার খেয়ে মনে হবে আজকে রাতে স্বপ্নের রাজ্যেও এই স্বাদই থাকবে</t>
  </si>
  <si>
    <t>সে আগামীকাল একটি নতুন ছবি আঁকবে</t>
  </si>
  <si>
    <t>আর্জেন্টিনাকে ওয়ার্ল্ডকাপ শিরোপা জিততে দেখার মুহূর্তটা আমার জীবনের সেরা মুহূর্তগুলোর মধ্যে একটা হবে</t>
  </si>
  <si>
    <t>সে আগামী মাসে একটি নতুন ফটোগ্রাফি ক্লাসে ভর্তি হবে</t>
  </si>
  <si>
    <t>কমেডির সাথে জীবন সুন্দর হয়ে উঠবে একটি সুন্দর হাসি সবার প্রশংসা পাবে</t>
  </si>
  <si>
    <t>আজ আমরা সোনারগাঁও ঘুরতে যাবো সেখানকার প্রাচীন সৌন্দর্য বলে আছে তা বুঝাতে পারবো না</t>
  </si>
  <si>
    <t>তারা আগামী বছর বিদেশে ভ্রমণ করবে</t>
  </si>
  <si>
    <t>তিনি নির্দিষ্ট সময়ে সমস্ত কাজ সম্পন্ন করে থাকবেন যখন তার প্রয়োজনীয় তথ্য সংগ্রহ হবে</t>
  </si>
  <si>
    <t>পরিবারের জন্য রান্না করতে ইচ্ছে করবে সবার খুশি মুখ দেখবে</t>
  </si>
  <si>
    <t>মা দুর্গার বিসর্জনে মনটা একটু বিষন্ন কিন্তু আশা আছে আবার আসবে এই মহাসমারোহ</t>
  </si>
  <si>
    <t>ক্রিপ্টোকারেন্সি ব্লকচেইন যেভাবে প্রসারিত হবে হয়তো মুদ্রারীতি চলে যাবে</t>
  </si>
  <si>
    <t>আগামীকাল আমি একটি নতুন গেম খেলব যা আমার মনকে প্রশান্তি দেবে</t>
  </si>
  <si>
    <t>পড়ালেখা শেষ করে একটা চাকরী পাওয়া যে কতটা আনন্দের যে পায় সেই একমাত্র উপলব্ধি করতে পারবে</t>
  </si>
  <si>
    <t>তুমি কি আমাদের পরিকল্পনা সম্পন্ন করার পরে সেখানে থাকতে পারবে</t>
  </si>
  <si>
    <t>তারা আগামী বছর একটি নতুন প্রজেক্ট প্রদান করব যেখানে নতুন সুযোগ সৃষ্টি করা হবে</t>
  </si>
  <si>
    <t>যখন আমি আমার শিক্ষাজীবন সম্পন্ন করব তখন আমি একটি প্রতিষ্ঠিত কোম্পানিতে কাজ শুরু করব</t>
  </si>
  <si>
    <t>সবচেয়ে বড় দায়িত্ব সবচেয়ে বড় আনন্দ বাবা হওয়ার মধ্যে দুটোই থাকবে স্বাগতম আমার ছোট্টসোনা</t>
  </si>
  <si>
    <t>তারা আগামী মাসে নতুন বাসায় উঠবে</t>
  </si>
  <si>
    <t>পরবর্তী মাসে আমাদের পরিবারের পুনর্মিলন হবে যেখানে আমরা আমাদের পুরানো স্মৃতিগুলো পুনরুজ্জীবিত করব</t>
  </si>
  <si>
    <t>সে আগামী বছর উন্নত মানের সাইবার নিরাপত্তা প্রযুক্তি নিয়ে একটি গবেষণা শুরু করবে</t>
  </si>
  <si>
    <t>আমরা আগামী মাসে একটি নতুন আর্ট গ্যালারি উদ্বোধন করবো যেখানে স্থানীয় শিল্পীরা তাদের কাজ প্রদর্শন করতে পারবে</t>
  </si>
  <si>
    <t>আমার কাছে তুই সবসময়ই সেরা থাকবে চাকরির জন্য অভিনন্দন তোকে নিজের মতো করে এগিয়ে যাবি সবসময়।</t>
  </si>
  <si>
    <t>যাকে তুমি সবচেয়ে বেশি গুরুত্ব দেবে তার কাছেই তুমি একদিন মূল্যহীন হয়ে পড়বে</t>
  </si>
  <si>
    <t>আকাশের পাখিরা আজকে এত উঁচুতে উড়বে মনে হবে তারা আমাদের সাথে লুকোচুরি খেলতে থাকবে</t>
  </si>
  <si>
    <t>রমজানের পুরো মাসের পরে আসবে ঈদের দিন যা খুশির উৎসব হবে</t>
  </si>
  <si>
    <t>স্কুল জীবনের কঠিন নিয়ম গুলো আজ জীবনে কাজে লাগবে</t>
  </si>
  <si>
    <t>তোমরা আগামীকাল পরিবেশ সুরক্ষার জন্য একটি গুরুত্বপূর্ণ প্রস্তাবনা উপস্থাপন করবে</t>
  </si>
  <si>
    <t>আগামীকাল আমি একটি বড় সম্মেলনে বক্তব্য দেব যা আমার ক্যারিয়ারের জন্য গুরুত্বপূর্ণ হবে</t>
  </si>
  <si>
    <t>এই বয়সে এত সফলতা পাবি তুই আমার ইন্সপিরেশন হবি</t>
  </si>
  <si>
    <t>আমি ভাবছি আগামী মাসে নতুন বিজ্ঞান প্রযুক্তির ক্ষেত্রে আমার প্রযুক্তিগত দক্ষতা বৃদ্ধি করব আমি আশা করি এটি আমার ক্যারিয়ারের সাথে বেশি দিক সংশোধন করব</t>
  </si>
  <si>
    <t>পরবর্তী বছরে আমি একটি নতুন গাড়ি কিনব যা আমার মা-বাবার স্বপ্ন পূরণ করবে</t>
  </si>
  <si>
    <t>আমি আগামীকালে বাগানে বিভিন্ন প্রজাতির ফুল চারা উঠিয়ে রেখে থাকব</t>
  </si>
  <si>
    <t>তারা নির্দিষ্ট সময়ে এসব কাজ সম্পন্ন করে থাকবে যখন তাদের প্রকল্প পূর্ণ হবে</t>
  </si>
  <si>
    <t>নিঃশ্বাস নিয়ে গভীর সাঁতার কাটবো জলের রাজ্যে নিজের দক্ষতা পরীক্ষা করবো</t>
  </si>
  <si>
    <t>পরবর্তী বছরে আমরা একটি নতুন ব্যবসা শুরু করব যা আমাদের পরিবারের উন্নতি করবে</t>
  </si>
  <si>
    <t>তারা আগামী বছরে বিয়ে করবে</t>
  </si>
  <si>
    <t>এই ম্যাচটা এতো রোমাঞ্চকর হার্টবিটই বাড়িয়ে দিবে</t>
  </si>
  <si>
    <t>বাংলাদেশের প্রতিনিধি হিসেবে বিদেশে যাওয়া একটি গর্বের মুহূর্ত হবে</t>
  </si>
  <si>
    <t>তিনি আগামী মাসে তার সমস্ত গবেষণা প্রবন্ধ লেখা সম্পূর্ণ করে রাখবেন</t>
  </si>
  <si>
    <t>পরবর্তী বছরে আমি বাড়ি বানাব যা আমার বসবাসের জন্য আরও সুবিধাজনক হবে</t>
  </si>
  <si>
    <t>ক্লাস বাতিল হবে জ্ঞান অর্জনের চেয়ে আজকে আত্মাকে জানার সুযোগ পাবো</t>
  </si>
  <si>
    <t>বোন বাড়ি ফিরলো এই খবরে খুশিতে নাচতে শুরু করবে</t>
  </si>
  <si>
    <t>আমার স্বপ্ন গুলো থেকে যাবে কিন্তু আমি একদিন চলে যাবো</t>
  </si>
  <si>
    <t>উপহারটা ছোট হবে কিন্তু ভালোবাসা অনেক বড় হবে শুভ জন্মদিন হৃদয়</t>
  </si>
  <si>
    <t>বোনের চাকরির খবরে এত খুশি হবো যে বর্ণনা করার মতো থাকবে না ধন্যবাদ ঈশ্বর</t>
  </si>
  <si>
    <t>পদোন্নতির খবরটা দিতে পেরে রোমাঞ্চিত হব কঠোর পরিশ্রম এবং নিবেদনের জয়ধ্বনি বাজবে</t>
  </si>
  <si>
    <t>নতুন বছরে নতুন স্বপ্ন নতুন চেষ্টা চলুন সবাই মিলে এগিয়ে যাবো শুভ নববর্ষ</t>
  </si>
  <si>
    <t>অফিসের টেনশন এক মুহূর্তের মধ্যে উধাও হয়ে যাবে মায়ের হাতে এই উপহার দেখে</t>
  </si>
  <si>
    <t>সে আগামী শুক্রবার সিনেমা দেখতে যাবে</t>
  </si>
  <si>
    <t>জীবনে প্রথমবারের মতো বন্ধুর সঙ্গে এত সুখের অভিজ্ঞতা পাবো</t>
  </si>
  <si>
    <t>বন্ধুত্ব হবে একটি প্রকৃত গান যা আমরা আমাদের মনে গাইতে পারবো আমাদের হৃদয়ে রং দেবে</t>
  </si>
  <si>
    <t>আগামীকাল আমি একটি গুরুত্বপূর্ণ বৈঠকে যোগ দেব যেখানে আমাদের কোম্পানির ভবিষ্যত পরিকল্পনা নিয়ে আলোচনা হবে</t>
  </si>
  <si>
    <t>খুব ভাব নিয়ে দুইজনের সাথে একাই ক্যারম খেলতে গিয়ে হারবো হাহাহা</t>
  </si>
  <si>
    <t>শেরপুরের দুর্গাপূজার ঐতিহ্য আমাদের গর্ব হবে</t>
  </si>
  <si>
    <t>নিজের কাহিনী ছবিতে বা সিনেমায় দেখে মুগ্ধ হবো কৃতিত্বের অনুভূতি</t>
  </si>
  <si>
    <t>দাদুর সাথে বসে ছোটবেলার গল্প শুনবো স্মৃতির পাতায় হারিয়ে যেতে কত যে ভালো লাগবে</t>
  </si>
  <si>
    <t>বড় বিপদের সময়ে আমার বিড়াল হাসিমুখে আমার পাশে থাকবে আমাকে সহায়তা করবে আমার উপর নিঃস্বার্থ ভালবাসা প্রদর্শন করবে</t>
  </si>
  <si>
    <t>জয় মা দুর্গা বলে পূজা শুরু করবে সবাই</t>
  </si>
  <si>
    <t>দারুণ থ্রিলার ছবি ঘুম আসবে না আজ রাতে</t>
  </si>
  <si>
    <t>আগামীকাল আমি আমার বন্ধুর বিয়েতে অংশগ্রহণ করব যেখানে আমরা সবাই একসাথে আনন্দ করব</t>
  </si>
  <si>
    <t>তাদের স্বপ্নের সন্তান হতে পেরে আমি খুবই আনন্দিত হবো</t>
  </si>
  <si>
    <t>আগামীকাল আমি একটি নতুন প্রজেক্ট শুরু করব যা আমার ক্যারিয়ারের জন্য গুরুত্বপূর্ণ হবে</t>
  </si>
  <si>
    <t>বৃষ্টির সাথে একতারার সুর মিশে যাবে মন কেমন করে আচ্ছন্ন হয়ে যাবে</t>
  </si>
  <si>
    <t>ভবিষ্যতে আমি একজন বিখ্যাত শিল্পী হব</t>
  </si>
  <si>
    <t>বিটিএসের ডায়নামাইট গানের সঙ্গে নাচ করতে করতে ফ্যানরা ব্যায়াম করে আনন্দ অনুভব করবে</t>
  </si>
  <si>
    <t>চাকরিটা পাব ঠিকই কিন্তু লক্ষ্য এখনও অনেক দূরে থাকবে চলুন একসাথে এগিয়ে যাবো</t>
  </si>
  <si>
    <t>আমি পরের মাসে নতুন ভাবে লেখা করব</t>
  </si>
  <si>
    <t>পরবর্তী ছুটিতে আমি আমার পরিবারের সাথে সমুদ্রের তীরে যাব যেখানে আমরা সবাই মিলে মজা করব</t>
  </si>
  <si>
    <t>আমরা আগামী বছরের শেষে আমাদের কাঠামো প্রকল্পটি সম্পন্ন করে ফেলবো যখন প্রয়োজনীয় সকল সুযোগ সুবিধা সংগ্রহ করে ফেলবো</t>
  </si>
  <si>
    <t>ঠান্ডা স্বচ্ছ জলের স্পর্শ শরীর ও মন চাঙ্গা করবে</t>
  </si>
  <si>
    <t>নতুন চ্যালেঞ্জ নেওয়ার সময় হবে আমি নতুন পদ উত্তীর্ণ হওয়ার জন্য উত্তেজিত থাকব 。</t>
  </si>
  <si>
    <t>সবাই তোমাকে কষ্ট দিবে তোমাকে শুধু এমন একজনকে খুঁজে নিতে হবে যার দেয়া কষ্ট তুমি সহ্য করতে পারবে</t>
  </si>
  <si>
    <t>আমার সন্তান আমার গর্ব শুভ এর পদোন্নতির খবরে মন প্রাণ খুশিতে ছেয়ে যাবে</t>
  </si>
  <si>
    <t>আমি আগামীকাল বাসা থেকে বের হব তারপর তারা আসবে</t>
  </si>
  <si>
    <t>আগামীকাল আমি একটি রিসার্চ পেপার পাবলিশ করব যা আমার ক্যারিয়ারের জন্য গুরুত্বপূর্ণ হবে</t>
  </si>
  <si>
    <t>আমার নতুন বইটি সফলভাবে প্রকাশ হবে আমি এতে অত্যন্ত আনন্দিত হব</t>
  </si>
  <si>
    <t>আগামীকাল আমি একটি নতুন ফিটনেস প্রোগ্রাম শুরু করব যাতে আমার শরীর ও মন আরও সুস্থ থাকবে।</t>
  </si>
  <si>
    <t>তারা আগামী মাসে উন্নত বিদ্যুৎ উৎপাদন প্রযুক্তি নিয়ে একটি বড় প্রকল্প শুরু করবে</t>
  </si>
  <si>
    <t>মা বাবার আশীর্বাদ আর স্ত্রী র পাশে থাকায় আজকে এই সাফল্য আসবে ধন্যবাদ তাদের সবাইকে</t>
  </si>
  <si>
    <t>ভবিষ্যতে আমি একটি সফল উদ্যোক্তা হব যেখানে আমার ব্যবসা সারা বিশ্বে পরিচিত হবে</t>
  </si>
  <si>
    <t>তিনি আগামী বছরে একটি নতুন প্রযুক্তি স্টার্টআপ শুরু করবেন যা বাজারে নতুন সেবা প্রদান করবে</t>
  </si>
  <si>
    <t>নতুন প্রজেক্টে কাজ করতে বেশ ভালোই লাগবে</t>
  </si>
  <si>
    <t>শক্তির সাম্প্রদায়িক খেলায় বিচলিত মানুষের আবেগ এ রকম রাজনৈতিক বাজি কি কখনো শেষ হবে</t>
  </si>
  <si>
    <t>বিশ্বাসী বন্ধু আমার পাশের এই ছোট কুকুরটির সঙ্গে আমার জীবন সত্যিই সুন্দর একটি প্রসঙ্গ হবে তার সহযোগিতা আমার মনে সুখ ও সান্ত্বনা এনে দেবে</t>
  </si>
  <si>
    <t>তারা স্বাভাবিকভাবে এখানে থাকতে থাকবে</t>
  </si>
  <si>
    <t>সে তার প্রয়োজনীয় সমস্ত তথ্য সংগ্রহ করে রাখবে যখন তার প্রকল্প সম্পূর্ণ হয়ে যাবে</t>
  </si>
  <si>
    <t>বিশ্বাস জিতেছে জয় আমাদের হবে</t>
  </si>
  <si>
    <t>বাবা মা কখনো একজন টাকা ওয়ালা সন্তান চাইবে না তারা চাইবে একজন শিক্ষিত আর আদর্শ সন্তান</t>
  </si>
  <si>
    <t>এই সাগর পারে এসে আমার মাতাল মাতাল লাগবে</t>
  </si>
  <si>
    <t>প্রথম সিনেমা দেখার পরে কয়েকদিন ধরে গল্পের মধ্যে হারিয়ে থাকবো</t>
  </si>
  <si>
    <t>খাবারের পরে আমি নতুন উৎসাহ অনুভব করবো</t>
  </si>
  <si>
    <t>তিনি আগামীকালে নতুন মোবাইল এক্সেসরিজ ক্রয় করতে যাবেন</t>
  </si>
  <si>
    <t>পদোন্নতির খবরে সবার শুভেচ্ছা পেয়ে অভিভূত হবো ধন্যবাদ সবাইকে</t>
  </si>
  <si>
    <t>পরবর্তী ছুটিতে আমি পাহাড়ে ট্রেকিং করব নতুন অভিজ্ঞতা অর্জন করব</t>
  </si>
  <si>
    <t>আগামীকাল আমি একটি গুরুত্বপূর্ণ মিটিংয়ে অংশগ্রহণ করব যেখানে আমাদের কোম্পানির ভবিষ্যত পরিকল্পনা নিয়ে আলোচনা হবে</t>
  </si>
  <si>
    <t>ভবিষ্যতে আমি একজন সফল শিক্ষক হব যেখানে আমি অনেক শিক্ষার্থীকে সুশিক্ষা দিতে পারব</t>
  </si>
  <si>
    <t>পরিবারের সদস্যরা নতুন ব্যক্তি গুলির সাথে পরিচিত হবে আমরা সবাই একসাথে সুখে সমৃদ্ধি ভাগ করতে পারব</t>
  </si>
  <si>
    <t>যখন সাঁতারে পারদর্শী হয়ে যাবো তখন মনে হবে যেন জলের রাজা</t>
  </si>
  <si>
    <t>পরবর্তী বছরে আমি সমৃদ্ধির পথে এগিয়ে যাবো</t>
  </si>
  <si>
    <t>শুধু বেতন নয় স্বপ্নের পথে একটা বড় পা বাড়িয়ে দিবো</t>
  </si>
  <si>
    <t>যতই ভ্রমন করবো ভ্রমণের পিপাশা শেষ হবে না এইবার একটি সীমাহিন গন্তব্যে যাত্রা শুরু করতে চাইব</t>
  </si>
  <si>
    <t>কমেডি মানুষের চোখে আনন্দের আলো দিয়ে থাকবে একটি মজার হাসি দিয়ে জীবন উজ্জ্বল হবে</t>
  </si>
  <si>
    <t>তারা পরের মাসে বাজারে একটি নতুন পণ্য উন্মুক্ত করবে</t>
  </si>
  <si>
    <t>তারা সমস্ত ব্যবসায়িক প্রযুক্তি সংগ্রহ করে রাখবে যখন তারা নতুন ব্যবসা আরম্ভ করবে</t>
  </si>
  <si>
    <t>মায়ের হাতের এই খাবার খেয়ে বেড়ে উঠব স্বাদে কোনো কমতি থাকবে না</t>
  </si>
  <si>
    <t>প্রীতিকে সারপ্রাইজ দেওয়ার প্ল্যান সফল হবে তার চমকে ওঠা মুখটা দেখার মত হবে</t>
  </si>
  <si>
    <t>এই মানুষটি সবসময় আমার পাশে থাকবে তাই আজকে তাকে একটা ছোট্ট উপহার দিয়ে খুশি করতে এই আয়োজন করবো</t>
  </si>
  <si>
    <t>বন্ধুরা পরস্পরের সমর্থন এবং উৎসাহের ব্যবস্থা করবে</t>
  </si>
  <si>
    <t>বিবাহ শুধু একটা শব্দ নয় দুটো আত্মার মিলন আজ সেই মিলনের উৎসব হবে</t>
  </si>
  <si>
    <t>জীবন ফিরে পাবো আবার ইয়ামিন এর হাসিতে কান্নায় খুঁজে পাবো নতুন আনন্দ</t>
  </si>
  <si>
    <t>আমরা আগামী মাসে সমস্ত কাজ সম্পন্ন করে থাকবো যখন আমরা আমাদের প্রকল্পের সম্পূর্ণতা পরিশ্রম করবো</t>
  </si>
  <si>
    <t>নতুন একটা চাকুরী পাবো আলহামদুলিল্লাহ আমি এখন আর বেকার থাকবো না</t>
  </si>
  <si>
    <t>আমরা আগামীকাল একটি নতুন পার্কে বেড়াতে যাবো</t>
  </si>
  <si>
    <t>পরবর্তী ছুটিতে আমি আমার দাদার বাড়ি যাব যেখানে তার সাথে অনেক মজার গল্প শোনা যাবে</t>
  </si>
  <si>
    <t>আমি আগামীকালে ফুল বাগানে মেঘের পরে ফুলের ছায়া ছাড়ানোর আনন্দ পাব</t>
  </si>
  <si>
    <t>প্রিয় মানুষের জন্য রান্না করা আমার জন্য একটি প্রিয় কাজে পরিণত হবে</t>
  </si>
  <si>
    <t>অবশেষে ক্লাস বাতিলের জন্য অপেক্ষায় থাকবো</t>
  </si>
  <si>
    <t>কোরিয়ান ড্রামার মাধ্যমে কোরিয়ার সংস্কৃতি খাবার পোশাক ইত্যাদি বিষয় সম্পর্কে জানার সুযোগ মনকে আনন্দ দেবে</t>
  </si>
  <si>
    <t>ভবিষ্যতে আমি একটি আন্তর্জাতিক নেটওয়ার্ক স্থাপন করব যা বিভিন্ন দেশের সাথে ব্যবসায়িক সম্পর্ক গড়ে তুলবে</t>
  </si>
  <si>
    <t>কোরিয়ান ড্রামার কিছু অসাধারণ কাহিনী আপনাকে বাস্তব জগতের চাপ থেকে দূরে নিয়ে যাবে কল্পনার রাজ্যে</t>
  </si>
  <si>
    <t>আগামী মাসে আমরা একটি বড় পারিবারিক পুনর্মিলন করব যেখানে সবাই একসাথে আনন্দ করব</t>
  </si>
  <si>
    <t>আমরা আগামীকাল উন্নত মানের পরিবেশ সুরক্ষা পদ্ধতি নিয়ে একটি বৈজ্ঞানিক আলোচনা করব</t>
  </si>
  <si>
    <t>তারা নিজেদের স্বপ্ন সাকার করে থাকবে যখন তারা নিজের প্রয়োজনীয় সমস্ত সুযোগ সুযোগ নিয়ে পরিশ্রম করবে</t>
  </si>
  <si>
    <t>তুমি আগামীকাল একটি গুরুত্বপূর্ণ ক্রীড়া প্রতিযোগিতায় অংশগ্রহণ করবে যেখানে তোমার দক্ষতা প্রদর্শিত হবে</t>
  </si>
  <si>
    <t>ছোট একটি অভিমান হয়ত একদিন বড় কোনো দূরত্বের সৃষ্টি করে দিবে</t>
  </si>
  <si>
    <t>আবেগের ভালোবাসা একদিন বিবেকের কাছে হেরে যাবে আর মনের ভালোবাসা চিরদিন থেকে যাবে</t>
  </si>
  <si>
    <t>আমরা আমাদের বিদ্যালয়ের পরিচালনা করতে থাকব</t>
  </si>
  <si>
    <t>তারা আগামীকালে হকি ম্যাচ দেখতে যাবে মাঠে</t>
  </si>
  <si>
    <t>খাবার সবসময় ঔষধের মতো খাইতে হবে নয়লে ঔষধটাকে ই নিজের খাবার হিসেবে গ্রহন করতে হবে</t>
  </si>
  <si>
    <t>তিনি সম্পূর্ণ তার সময় ব্যবহার করে থাকবেন যখন তিনি তার বই প্রকাশ করবেন</t>
  </si>
  <si>
    <t>আমি আমার দেশের জন্য একটি পরিবর্তন হাতে ধরে নেবো</t>
  </si>
  <si>
    <t>ভবিষ্যতে আমি একটি সফল ব্যবসায়ী হব যেখানে আমার ব্যবসা সারা বিশ্বে পরিচিত হবে</t>
  </si>
  <si>
    <t>আমরা আগামী সপ্তাহে একটি বড় মাপের কনফারেন্স আয়োজন করব যেখানে বিশ্বখ্যাত বিশেষজ্ঞরা বক্তব্য রাখবেন</t>
  </si>
  <si>
    <t>কনক এর ব্যবসাকে সমর্থন করার জন্য উৎসাহিত করবো নিশ্চয়ই সাফল্য হবে</t>
  </si>
  <si>
    <t>তিনি আমাদের সাহায্য করতে থাকবেন</t>
  </si>
  <si>
    <t>তোমার হাসিটা আজ আরও বেশি সুন্দর লাগবে দিদি শ্বশুরবাড়িতে সবাইকে তোমার এই সুন্দর হাসিটা দিয়ে জয় করে নিবে শুভবিবাহ</t>
  </si>
  <si>
    <t>সে প্রকল্পের উদ্দেশ্য হবে এই ক্ষেত্রে আরও নতুন প্রযুক্তি ব্যবহার নিশ্চিতকরণ।</t>
  </si>
  <si>
    <t>মনের শান্তি ও ক্ষমার আশায় প্রতিদিনের সালাত করবো</t>
  </si>
  <si>
    <t>ধুনের গন্ধ সিঁদুরের রং মা এর দর্শন পুজোর স্মৃতি চিরস্মরণীয় হয়ে থাকবে</t>
  </si>
  <si>
    <t>ভবিষ্যতে আমি একটি বড় বিজ্ঞান মেলা আয়োজন করব যেখানে নতুন আবিষ্কার প্রদর্শিত হবে</t>
  </si>
  <si>
    <t>পরের মাসে আমি একটি নতুন ভাষা শিখব</t>
  </si>
  <si>
    <t>তোমরা আগামীকাল বাসায় থাকবা</t>
  </si>
  <si>
    <t>তারা স্কুল থেকে ফিরে এসে আমাদের সঙ্গে খেলতে থাকবে</t>
  </si>
  <si>
    <t>পার্টির প্ল্যান চলছে শুভর চাকরির সাফল্যের জন্য জমিয়ে উদযাপন করব</t>
  </si>
  <si>
    <t>তুমি আগামী মাসে নতুন ভাবে দেখা করবে</t>
  </si>
  <si>
    <t>নতুন বছরের প্রথম দিনটি সবার সাথে উদযাপন করব</t>
  </si>
  <si>
    <t>তুমি আগামী বছরে বিদেশ যাবে</t>
  </si>
  <si>
    <t>সিলেটের নান্দনিকতায় মুগ্ধ হবো আমি</t>
  </si>
  <si>
    <t>পরবর্তী ছুটিতে আমি একটি নতুন জায়গা ভ্রমণ করব যেখানে নতুন অভিজ্ঞতা অর্জন করব</t>
  </si>
  <si>
    <t>প্রিয় মানুষের হাসি এক ক্লিকে চিরকালের জন্য থামিয়ে রাখা যাবে</t>
  </si>
  <si>
    <t>মায়ের হাতের খাবার খেয়ে আজকে একটু বেশি আদুরে লাগবে</t>
  </si>
  <si>
    <t>জীবনের যাত্রায় প্রতিটি ভুলই একটা শিক্ষা হবে প্রতিটি ব্যর্থতা একটা সুযোগ যে ভুল থেকে যত দ্রুত শিখে নিজেকে পরিবর্তন করতে পারবে সে সফল হবে</t>
  </si>
  <si>
    <t>আমরা আমাদের উদ্যোগের সম্প্রদায়ের উন্নতি পর্যন্ত পরিশ্রম করে থাকবো যখন আমরা লক্ষ্যে পৌঁছাবো</t>
  </si>
  <si>
    <t>সে তার সার্বিক উন্নতি পর্যন্ত শিক্ষার মাধ্যমে তার স্বপ্ন সাকার করে যাবে যখন তিনি এই ক্লাসে যোগ দেবে</t>
  </si>
  <si>
    <t>কোলের সন্তানকে আদর করে তার ছোট ছোট হাসি দেখে আনন্দ পাবো</t>
  </si>
  <si>
    <t>ঈদের আগমনে পৃথিবী উৎসাহে ভরে উঠবে সবাই একত্রিত হবে একে অপরের সঙ্গে খুশির সাথে সময় কাটানোর জন্য উল্লাসিত হয়ে উঠবে</t>
  </si>
  <si>
    <t>সে আগামী বছর উন্নত মানের স্বাস্থ্য প্রযুক্তি নিয়ে একটি গবেষণা করবে</t>
  </si>
  <si>
    <t>তুমি আগামীকালে বই পড়ে থাকবে</t>
  </si>
  <si>
    <t>আপনি সর্বদা প্রতিটি চ্যালেঞ্জ অতিক্রম করবেন এবং আপনার সমস্ত কিছু দেবেন এবং আমি নিশ্চিত যে আপনি আপনার নতুন কাজের ক্ষেত্রেও একই কাজ করবেন অভিনন্দন</t>
  </si>
  <si>
    <t>মিষ্টি ও চায়ের আড্ডায় বাঙালি আনন্দিত হবে</t>
  </si>
  <si>
    <t>পরবর্তী ছুটিতে আমরা একটি বিখ্যাত ঐতিহাসিক স্থানে যাব যেখানে আমরা অনেক কিছু শিখব</t>
  </si>
  <si>
    <t>বাচ্চাদের মতো মা বাবার কাছে আহ্লাদ করবে এই খুশি অমূল্য হবে</t>
  </si>
  <si>
    <t>ফ্রিল্যান্সিং এ আসার আগে এক ভাই বলেছিলেন তুমি টাকার পিছে না ছুটে স্কিল এর পিছে ছুটো দেখবে টাকা এমনিতেই আসবে আজ এই সময়ে এসে সেই ভাই এর কথার মূল্য বুঝতে পারবো</t>
  </si>
  <si>
    <t>আজকে সেই নিষ্ঠার ফল পাবেন প্রমোশনের জন্য অভিনন্দন মা</t>
  </si>
  <si>
    <t>পরিবারের প্রতি কৃতজ্ঞতা জানানোর দিন প্রতিটা মুহূর্ত মনে রাখবো</t>
  </si>
  <si>
    <t>এল পহেলা বৈশাখ বাংলার নব বসন্ত হবে শুভ নববর্ষ</t>
  </si>
  <si>
    <t>আমি আগামীকাল সকালে গ্রন্থাগারে যাব</t>
  </si>
  <si>
    <t>তিনি আগামীকালে বিশ্ববিদ্যালয়ে ভর্তি হতে যাবেন।</t>
  </si>
  <si>
    <t>সে তার সাফল্য পর্যন্ত অত্যন্ত সক্রিয় থাকবে যখন তার স্বপ্ন সাকার হয়ে যাবে</t>
  </si>
  <si>
    <t>ক্লায়েন্ট এর কাজ করে ডেলিভারি দেয়ার সময় ক্লায়েন্ট নতুন কাজের আলোচনা শুরু করলে ভালোই লাগবে</t>
  </si>
  <si>
    <t>কিছু কিছু সম্পর্ক কথায় লেখা যাবে না অনুভব করতে হবে স্বাগতম আমার ছোট্ট স্বপ্ন</t>
  </si>
  <si>
    <t>ভাবতাম না বন্ধুত্ব একদিন এতটা সুন্দর সম্পর্কে রূপান্তরিত হবে শুভবিবাহ</t>
  </si>
  <si>
    <t>মা দুর্গা আমাদের সবার মধ্যে শক্তি জাগিয়ে দেবে শুভ দুর্গাপূজা</t>
  </si>
  <si>
    <t>আমরা আগামী মাসে একটি নতুন প্রযুক্তি শিখব যা আমাদের উৎপাদন প্রক্রিয়া আরও দক্ষ করবে</t>
  </si>
  <si>
    <t>আমরা প্রযুক্তি ব্যবহার করে থাকবো যখন আমরা প্রযুক্তিগত সমস্যার সমাধান করবো</t>
  </si>
  <si>
    <t>বাংলা সংস্কৃতির মহা উৎসব পহেলা বৈশাখ শুভেচ্ছা জানাবো সবাইকে শুভ নববর্ষ</t>
  </si>
  <si>
    <t>প্রথম প্রেমের গল্প স্কুল জীবনেরই স্পেশাল থাকবে</t>
  </si>
  <si>
    <t>যখন আমি আমার গবেষণা প্রকল্প সম্পন্ন করব তখন আমি একটি বড় পুরস্কার পাব</t>
  </si>
  <si>
    <t>আমরা আগামীকাল উন্নত মানের শিক্ষা প্রযুক্তি নিয়ে একটি গবেষণা কর্মশালা করব</t>
  </si>
  <si>
    <t>ক্লাস বাতিল হবে এই ছুটি কাজে লাগানোর সুযোগ পাবো</t>
  </si>
  <si>
    <t>আনন্দের মুখ লেখক জগদীশ চন্দ্র বসু বইটি পড়ে মন সমৃদ্ধির আনন্দে মেলে মিলিয়ে আসবে লেখকের সৃষ্টি মনের আনন্দের জন্য আলো বাজাবে বইটি পড়ে মন আনন্দের সফরে ভ্রমণ করবে</t>
  </si>
  <si>
    <t>অনেক দিন পর কালকে ঘুরতে যাবো</t>
  </si>
  <si>
    <t>ভাই হিসেবে নিজের দায়িত্ব জানবো যখন প্রয়োজন হবে আমি তোর পাশে থাকবো</t>
  </si>
  <si>
    <t>আকাশের দিকে তাকালে মনে হবে মনের সব দুশ্চিন্তা মিলিয়ে যাবে</t>
  </si>
  <si>
    <t>আমি গৃহহীনদের জন্য একটি আশ্রয় খোঁজার অ্যাপ্লিকেশন তৈরি করব</t>
  </si>
  <si>
    <t>প্রতিটা ছবিই একটা গল্প হবে আপনি কি শুনতে চাইবেন</t>
  </si>
  <si>
    <t>শুভেচ্ছা তোমার সাফল্যে আমি অত্যন্ত আনন্দিত হবো</t>
  </si>
  <si>
    <t>ভবিষ্যতে আমি একটি বড় সামাজিক সংগঠন গড়ে তুলব যা সমাজের উন্নতিতে কাজ করবে</t>
  </si>
  <si>
    <t>আমি আগামী বছরে বিশাল একটি প্রযুক্তি প্রকল্প শুরু করব</t>
  </si>
  <si>
    <t>আমরা সময় পেলেই পরিবারের সবাই একসাথে ভ্রমণ এ যাবো</t>
  </si>
  <si>
    <t>কিছুদিন পরেই এনভিডিয়া র শেয়ার আকাশ ছুঁবে</t>
  </si>
  <si>
    <t>আমি আমার পরিবারের জন্য একটি স্বপ্নবান বাড়ি কিনতে যাব।</t>
  </si>
  <si>
    <t>নতুন বছরে আমরা বাড়ির সামনে একটি সুন্দর বাগান তৈরি করব যেখানে নানা রকম ফুলের গাছ থাকবে</t>
  </si>
  <si>
    <t>ভবিষ্যতে আমি একটি বড় চলচ্চিত্র পরিচালনা করব যা আন্তর্জাতিক পুরস্কার জিতবে</t>
  </si>
  <si>
    <t>তুমি আগামী বছর উন্নত মানের তথ্য নিরাপত্তা পদ্ধতি নিয়ে একটি প্রশিক্ষণ প্রোগ্রাম পরিচালনা করবে</t>
  </si>
  <si>
    <t>স্কুল জীবন এক মিষ্টি স্বপ্নের মতো হবে</t>
  </si>
  <si>
    <t>আমরা আগামী সপ্তাহে একটি নতুন সংস্থানে পরিদর্শন করব</t>
  </si>
  <si>
    <t>তারা আগামীকালে একটি নতুন প্রকল্প শুরু করে থাকবে</t>
  </si>
  <si>
    <t>তুমি শহরের নির্জন রাস্তাগুলো দেখো হয়তো তুমি আমার একাকীত্ব অনুভব করবে</t>
  </si>
  <si>
    <t>তারা কোনও সময়ে আমাদের সাথে খেলা করতে থাকবে</t>
  </si>
  <si>
    <t>আমি মানুষকে তাদের মানসিক স্বাস্থ্যের যত্ন নেওয়ার জন্য নিজের প্রতি সচেতন হতে উৎসাহিত করব</t>
  </si>
  <si>
    <t>শেষ পর্যন্ত আমরা কেউই একসঙ্গে থাকতে পারবো না কাউকে না কাউকে আগে ও পরে একা হতে হবে</t>
  </si>
  <si>
    <t>যখন আমি আমার নতুন বই লিখব তখন আমি আমার জীবনের অভিজ্ঞতা শেয়ার করব</t>
  </si>
  <si>
    <t>আগামী সপ্তাহে আমরা একটি বড় পার্টি করব যেখানে সবাই একসাথে আনন্দ করব</t>
  </si>
  <si>
    <t>আমি একটি টেলিমেডিসিন প্ল্যাটফর্ম তৈরি করব যা গ্রামীণ এলাকার মানুষকে চিকিৎসা পরিষেবা প্রদান করবে</t>
  </si>
  <si>
    <t>সে তার ব্যবসা সম্পর্কে অভিনব ধারনা অর্জন করে থাকবে যখন তার নতুন উপাদান নিয়ে আগ্রহী হবে</t>
  </si>
  <si>
    <t>প্রিয় গল্পের প্রিয় চরিত্রদের সফলতা আপনার নিজের সফলতার মতো আনন্দ দেবে</t>
  </si>
  <si>
    <t>ক্লায়েন্ট আমার চেহারা পরিপাটি দেখে নিজের জন্য পার্লার বুকিং দিবে আগামীকাল।</t>
  </si>
  <si>
    <t>তিনি আগামীকালে নতুন বিয়ের পার্টিতে এসি ইন্সটল করার প্রস্তুতি নিবেন</t>
  </si>
  <si>
    <t>ফ্যাশন ট্রেন্ড একটি সমৃদ্ধ প্রস্তুতি যা লোকেরা পছন্দ করবে এবং এটি একটি সুখের এবং উৎসাহের উপায় হবে</t>
  </si>
  <si>
    <t>নিজের হাতে মাটি কে রূপ দেওয়ার মজা অসাধারণ হবে এ যেন জাদু</t>
  </si>
  <si>
    <t>সবাইকে জানাবো নতুন চাকরিতে যোগদানের জন্য প্রস্তুত হবো</t>
  </si>
  <si>
    <t>হাসির মজার আলোকিত পথে চলতে মানুষ আনন্দের সন্ধানে যাবে সুখের রঙিন ছবি চিত্রিত হবে হাসির কণ্ঠে</t>
  </si>
  <si>
    <t>তারা আগামী বছর মহাকাশ গবেষণায় নতুন উদ্যোগ নেবে এবং নতুন উপগ্রহ উৎক্ষেপণ করবে</t>
  </si>
  <si>
    <t>পড়ালেখা এগিয়ে নিয়ে যাবো আমি আশাবাদী একদিন কাঙ্ক্ষিত লক্ষ্যে পৌঁছাবো ইন শা আল্লাহ্‌</t>
  </si>
  <si>
    <t>আমরা সব সময় এখানে অগ্রগতি করতে থাকব</t>
  </si>
  <si>
    <t>নতুন খাবার নতুন উৎসব বিদেশী সংস্কৃতির সাথে মিশে যাওয়ার অপেক্ষা থাকব</t>
  </si>
  <si>
    <t>পরিশ্রম ও সংগঠনশীলতা ছাড়া কোনও লক্ষ্য অর্জন করা সম্ভব হবে না</t>
  </si>
  <si>
    <t>একটি নতুন পাস্তা রেসিপি চেষ্টা করার সময় আমি উৎসাহী হয়ে উঠবো যেটা আমার প্রিয় ব্যক্তিগত উপহারের মতো মনে হবে 。</t>
  </si>
  <si>
    <t>পরবর্তী বছরে আমি সম্পূর্ণরূপে ভাষা শেখার আশায় থাকবো</t>
  </si>
  <si>
    <t>আমি একটি পরিবেশবান্ধব কৃষি পদ্ধতি উন্নয়নে গবেষণা করব</t>
  </si>
  <si>
    <t>আমি আগামীকালে পার্টির জন্য একটি উত্তেজিত সময় পাবো</t>
  </si>
  <si>
    <t>তুমি কি প্রত্যেকের প্রশিক্ষণ দিতে থাকবে</t>
  </si>
  <si>
    <t>সেন্টমার্টিন দ্বীপের সৌন্দর্য ভুলবার মতো হবে না</t>
  </si>
  <si>
    <t>স্কুল ব্যাগে ভারী বই কিন্তু বন্ধুদের সাথে হাঁটতে ভালো লাগবে</t>
  </si>
  <si>
    <t>চমচম ঝাল চাটনির সাথে সব খাবারই স্বর্গীয় লাগবে</t>
  </si>
  <si>
    <t>প্রফুল্ল হৃদয়ে আমি আমার পরিশ্রমের ফল পেলে আনন্দিত হবো</t>
  </si>
  <si>
    <t>আমি আগামীকালে নতুন বাজারে যাবো বাজারের কিছু কিনতে</t>
  </si>
  <si>
    <t>তারা সঙ্গে এখানে খেলতে থাকবে</t>
  </si>
  <si>
    <t>এই উপহারে আমার মনের গহীন চাওয়াটা পূরণ হয়ে যাবে</t>
  </si>
  <si>
    <t>আমাদের ছোটবেলার ঝগড়াগুলো এখন স্মৃতি হবে আজ তুমি নতুন সংসার শুরু করবে শুভেচ্ছা জানাই সব সময় একে অপরের পাশে থাকবে</t>
  </si>
  <si>
    <t>আমরা সমস্ত তথ্য সংগ্রহ করে রাখবো যখন আমরা আমাদের প্রকল্প পরিচালনা করবো</t>
  </si>
  <si>
    <t>আমরা আগামীকাল উন্নত মানের শিক্ষা পদ্ধতি নিয়ে একটি বৈজ্ঞানিক আলোচনা করব</t>
  </si>
  <si>
    <t>পুরনো চাকরির বন্ধনে আর থাকতে চাইবো না ব্যবসার সঙ্গে নিজের মতো করে কিছু করার স্বাধীনতা পাবো</t>
  </si>
  <si>
    <t>তুমি আগামী বছরে নতুন ভাবে সাহায্য করবে</t>
  </si>
  <si>
    <t>ভবিষ্যতে আমি একটি বড় সংগীত কনসার্ট আয়োজন করব যেখানে সারা বিশ্বের শ্রোতারা আসবে</t>
  </si>
  <si>
    <t>মেসি সর্বকালের সেরা তোমাকে কোনোদিন ভুলবে না কোনো ফুটবলপ্রেমী</t>
  </si>
  <si>
    <t>তার পরিচালনার অধীনে দক্ষতা প্রশিক্ষণ শেষ হলেই সমস্ত নির্দিষ্ট কাজ সম্পন্ন করে ফেলবেন</t>
  </si>
  <si>
    <t>হাসির কণ্ঠ সুন্দর সুর প্রদান করবে মানুষের জীবনে একটি সুস্থ হাসি শরীর ও মনে সুখ আনবে</t>
  </si>
  <si>
    <t>বিশ্ব মঞ্ছে দেশের নাম উজ্জ্বল করার সুযোগ পেয়ে গর্বিত হব</t>
  </si>
  <si>
    <t>ঘরে বড় বস এসে যাবে শুভ এর পদোন্নতির খবরে আজ আমার আনন্দ রোধ করা যাবে না</t>
  </si>
  <si>
    <t>অবশ্যই দামী জিনিস না কিন্তু রাহুল কে এই হাতে তৈরি করা উপহারটা দিতে পেরে খুব আনন্দ লাগবে</t>
  </si>
  <si>
    <t>সংসদে চাইলে তিনি তার বক্তব্যটি তুলে ধরতে পারবেন</t>
  </si>
  <si>
    <t>নিয়মিত ঘুমের অভ্যাস গড়ে তুলতে হবে</t>
  </si>
  <si>
    <t>আগামী মাসে আমি আমার প্রথম বই প্রকাশ করব যা পাঠকদের মনের গভীরে পৌঁছাবে</t>
  </si>
  <si>
    <t>তোমরা আগামীকাল উন্নত মানের পানি সংরক্ষণ প্রযুক্তি নিয়ে একটি সেমিনারে অংশ নেবে</t>
  </si>
  <si>
    <t>ভবিষ্যতে আমরা বিশ্বের বিভিন্ন দেশ ভ্রমণ করব যেখানে আমরা নতুন সংস্কৃতি ও ঐতিহ্য সম্পর্কে জানতে পারব</t>
  </si>
  <si>
    <t>জনগণের ভালোবাসায় জয়ী হবো</t>
  </si>
  <si>
    <t>পরবর্তী ছুটিতে আমরা একটি বিখ্যাত পর্যটনস্থলে যাব যেখানে আমরা অনেক আনন্দ করব</t>
  </si>
  <si>
    <t>আমি আগামীকাল জলবায়ু পরিবর্তন নিয়ে একটি আন্তর্জাতিক সভায় বক্তব্য দেব</t>
  </si>
  <si>
    <t>আমরা পরবর্তী সপ্তাহে একটি নতুন উদ্যোক্তা সম্মেলন আয়োজন করব যেখানে আমরা আপেক্ষিকতা আবিষ্কার করব</t>
  </si>
  <si>
    <t>জোরালো ঢেউয়ের সাথে লড়াই করা শরীরের শক্তি পরীক্ষা দেওয়া আর জয়ের আনন্দ হবে</t>
  </si>
  <si>
    <t>পরবর্তী বছরে পড়াশোনায় আরো মনোযোগী হবো যাতে ভালো ফলাফল করতে পারি</t>
  </si>
  <si>
    <t>পরবর্তী ছুটিতে আমরা একটি সুন্দর পাহাড়ে যাব যেখানে আমরা প্রকৃতির সৌন্দর্য উপভোগ করব</t>
  </si>
  <si>
    <t>স্কুলের বন্ধুদের সাথে বসে আড্ডা দেওয়ার দিনগুলো আর ফিরে আসবে না</t>
  </si>
  <si>
    <t>মা র প্রমোশনের খবরটা শুনে বাড়িতে আনন্দধ্বনি হবে এই সাফল্যের জন্য মা কে অভিনন্দন জানাব</t>
  </si>
  <si>
    <t>ভবিষ্যতে আমি একটি ক্যান্সার গবেষণা প্রতিষ্ঠানে কাজ করব যেখানে আমি নতুন চিকিৎসা পদ্ধতি উদ্ভাবন করব</t>
  </si>
  <si>
    <t>হাসির প্রস্তুতি আনন্দের দৃষ্টিকোন উন্নত করবে</t>
  </si>
  <si>
    <t>তার স্বপ্ন সাকার হলেই তারা জীবনের শ্রেষ্ঠ সাফল্য অর্জন করে ফেলবে</t>
  </si>
  <si>
    <t>সে আগামী শুক্রবার উন্নত মানের কৃষি প্রযুক্তি নিয়ে একটি সেমিনারে বক্তৃতা দেবে</t>
  </si>
  <si>
    <t>মায়ের হাতের খাবার খেয়ে মনে হবে ছেলেবেলায় ফিরে গিয়ে মায়ের কোলে আবার ঢুকে পড়ব</t>
  </si>
  <si>
    <t>আগামী মাসে আমি একটি নতুন গান লিখব</t>
  </si>
  <si>
    <t>সে আগামী সপ্তাহে নতুন ভাবে পড়তে থাকবে</t>
  </si>
  <si>
    <t>আনন্দের জুগল লেখক শাহাদাত হোসেন বইটি পড়ে মন আনন্দের সমৃদ্ধি পাবে লেখকের বিচার মনের আনন্দের জন্য অনুপ্রেরণা বৃদ্ধি করবে প্রিয় জুগলে মনের আনন্দে সমৃদ্ধি সৃষ্টি হবে</t>
  </si>
  <si>
    <t>জীবনের ব্যস্ততার মাঝেও আল্লাহর সান্নিধ্য পাওয়ার মধুর মুহূর্ত হবে সালাত</t>
  </si>
  <si>
    <t>সে আগামীকাল একটি গুরুত্বপূর্ণ ব্যবসায়িক মিটিংয়ে অংশগ্রহণ করবে যেখানে নতুন ব্যবসা পরিকল্পনা আলোচনা করা হবে</t>
  </si>
  <si>
    <t>আমি একটি কৃষি প্রযুক্তি তৈরি করব যা খাদ্য উৎপাদন বৃদ্ধি করতে সাহায্য করবে</t>
  </si>
  <si>
    <t>তিনি আগামী বছরে একটি নতুন আন্তর্জাতিক গবেষণা প্রকল্পে কাজ শুরু করবেন যা বিশ্বব্যাপী প্রভাব ফেলবে</t>
  </si>
  <si>
    <t>তারা আগামী সপ্তাহে একটি নতুন আর্ট প্রদর্শনীতে অংশ নেবে যা তাদের সৃজনশীলতা প্রকাশের একটি মাধ্যম হবে</t>
  </si>
  <si>
    <t>আমার শক্তি হবে তুমি সবসময় আমি তোমার পাশে থাকবো</t>
  </si>
  <si>
    <t>রান্নার নতুন দিগন্ত খুঁজব একটা নতুন ডিশের সঙ্গে</t>
  </si>
  <si>
    <t>তারা সম্পূর্ণ প্রকল্প পরিচালনা করে দেয় যখন তারা তাদের লক্ষ্য পৌঁছে যাবে</t>
  </si>
  <si>
    <t>তারা আগামীকাল একটি নতুন সামাজিক উদ্যোগ শুরু করবে যেখানে সমাজের অবহেলিত জনগোষ্ঠীর উন্নয়নের কাজ করবে</t>
  </si>
  <si>
    <t>তুমি আগামী সপ্তাহে একটি নতুন গেম খেলবে</t>
  </si>
  <si>
    <t>নতুন জলবায়ু আর পরিবেশে খাপ খাওয়া একটা চ্যালেঞ্জ হবে কিন্তু নতুন অভিজ্ঞতার জন্য উত্তেজিত থাকবো</t>
  </si>
  <si>
    <t>সে আগামী শুক্রবার ক্যান্সার গবেষণার নতুন পদ্ধতি নিয়ে একটি প্রেজেন্টেশন দেবে</t>
  </si>
  <si>
    <t>ঠিক আছে প্রথম বেতনের টাকাটা তাহলে আমাকে ধার দিবি</t>
  </si>
  <si>
    <t>সে প্রেসক্রীন কাজ সম্পন্ন করে দিবে যখন সে আগামী মাসে বিদেশ যাবে</t>
  </si>
  <si>
    <t>আমরা আগামীকাল একটি বিশেষ কর্মশালায় যোগদান করবো যেখানে নতুন প্রযুক্তি ব্যবহার করে কীভাবে কাজ করা যায় তা শিখানো হবে</t>
  </si>
  <si>
    <t>তিনি আগামীকালে নতুন মোবাইল অ্যাপ্লিকেশন ডাউনলোড করতে যাবেন</t>
  </si>
  <si>
    <t>সিনেমা হলের বাইরে বেরিয়ে বন্ধুদের সাথে গল্প করতে করতে রাস্তা ভুল করবো</t>
  </si>
  <si>
    <t>আজকে নিজের জন্য একটা স্পেশাল গিফট কিনব</t>
  </si>
  <si>
    <t>শেষটা এমন এক ধাক্কা দিবে যা কল্পনার বাহিরে</t>
  </si>
  <si>
    <t>সারাদিনের ক্লান্তির পরে বিছানায় গা এলিয়ে দেওয়ার যে মজা তা আর কিছুতে থাকবে না</t>
  </si>
  <si>
    <t>বিদেশে উচ্চশিক্ষা অর্জন করার পর দেশে ফিরে আসব এবং দেশের উন্নতির জন্য কাজ করব</t>
  </si>
  <si>
    <t>আমরা আশা করি এই গবেষণা থেকে একটি নতুন চিকিৎসা আবিষ্কার করা যাবে</t>
  </si>
  <si>
    <t>আমি আগামীকালে নতুন এসির জন্য অনলাইনে অর্ডার করব</t>
  </si>
  <si>
    <t>তিনি আসছে সময়ে গীটার বাজার শেখা শুরু করবে</t>
  </si>
  <si>
    <t>করিম আজ অনেক খুশি হবে কারণ সে অনেক কষ্টের পর তার মেয়েকে স্কুলে ভর্তি করার টাকা জমা করতে পারবে</t>
  </si>
  <si>
    <t>তারা আগামী মাসে একটি নতুন পরিবেশ সংরক্ষণ প্রকল্প শুরু করবে যা আমাদের প্রাকৃতিক সম্পদ রক্ষা করবে</t>
  </si>
  <si>
    <t>আমরা আগামীকালে অনেক খাবার খেয়ে ফেলে থাকবো</t>
  </si>
  <si>
    <t>স্বপ্নের গাড়িটা কিনে ফেলবো এখন ঘুরে বেড়ানোর পালা</t>
  </si>
  <si>
    <t>নাচের পথে মানুষের মন পুনঃজন্ম পাবে প্রতিটি নাচে ফুটে উঠবে আনন্দের ঝর্ণা</t>
  </si>
  <si>
    <t>ফ্যাশন প্রতিযোগিতা একটি আনন্দের মেলা হবে এটি সম্প্রতি প্রচলিত থাকবে এবং লোকেরা এটি উৎসাহের সাথে প্রতিযোগিতা করবে</t>
  </si>
  <si>
    <t>তিনি আমাদের সঙ্গে থাকতে অত্যন্ত প্রস্তুত হবেন যখন তার প্রতিষ্ঠানটি নতুন স্থানে স্থাপন করে ফেলবেন</t>
  </si>
  <si>
    <t>আজকে বুঝবো টাকা কামানো সত্যিই কঠিন কিন্তু আজকের এই খুশিটুকু সেই কষ্টকে ভুলিয়ে দেবে</t>
  </si>
  <si>
    <t>তিনি সমস্ত নির্দিষ্ট কাজ সম্পন্ন করে থাকবেন যখন তার পরিচালনার অধীনের দক্ষতা প্রশিক্ষণ শেষ হবে</t>
  </si>
  <si>
    <t>আল্লাহর দোয়াতে আস্তে আস্তে অর্থনৈতিক অবস্থা ভালো হবে</t>
  </si>
  <si>
    <t>ছবি দেখে মনে হবে সিনেমা সামাজিক বার্তা দেওয়ারও দারুণ মাধ্যম</t>
  </si>
  <si>
    <t>নিজের মতো করে কিছু করার স্বপ্ন ছিল আগামীকাল সেটা পূরণ হবে সঙ্গে থাকবেন</t>
  </si>
  <si>
    <t>বাংলাদেশের স্বাধীনতা সংগ্রাম ইতিহাসের এক স্বর্ণকীর্তি হবে</t>
  </si>
  <si>
    <t>তুমি পরের মাসে নতুন মোবাইল কিনবে</t>
  </si>
  <si>
    <t>পরবর্তী বছরে আমরা আমাদের ব্যবসায়িক সম্প্রসারণ করব যা আমাদের লাভ বাড়াবে</t>
  </si>
  <si>
    <t>কঠোর পরিশ্রমের ফল জয় আমাদের ঝুলিতে থাকবে</t>
  </si>
  <si>
    <t>আমরা পরের মাসে একটি অনুষ্ঠান আয়োজন করব</t>
  </si>
  <si>
    <t>ঘরে বসেই বিশ্বের বিভিন্ন প্রান্তের শিল্পীদের গান উপভোগ করার সুযোগ পাবো</t>
  </si>
  <si>
    <t>তুমি আগামী মাসে নতুন প্রযুক্তির মধ্যে শিখতে আরও সময় দেবে</t>
  </si>
  <si>
    <t>এই উপহারের সাথে ঢাকা থাকবে বাবা মায়ের অফুরন্ত ভালোবাসা</t>
  </si>
  <si>
    <t>আগামী মাসে আমরা একটি বড় পারিবারিক পুনর্মিলন করব যেখানে আমরা আমাদের পুরানো স্মৃতিগুলো পুনরুজ্জীবিত করব</t>
  </si>
  <si>
    <t>শপিং মলে এত কিছু দেখেও আমার পছন্দ বুঝে এটা বেছে নেওয়াটা সেটাই সবচেয়ে বড় পাওয়া হবে</t>
  </si>
  <si>
    <t>সাহসী পাথরের পথে পথচারী আমি খুশির পথে অগ্রসর হব</t>
  </si>
  <si>
    <t>তোমরা আগামী বছর আন্তর্জাতিক মানের শিক্ষা প্রতিষ্ঠানে শিক্ষার উন্নয়নে কাজ করবে</t>
  </si>
  <si>
    <t>যখন আমি আমার নতুন চাকরিতে যোগ দেব তখন আমি নতুন সহকর্মীদের সাথে পরিচিত হব</t>
  </si>
  <si>
    <t>মানুষ খাবার খাবে বাঁচার জন্য কিন্তু শিক্ষা অর্জন করবে জীবনটাকে সুন্দর করার জন্য</t>
  </si>
  <si>
    <t>নামাজের পর দোয়াতেই থাকবে মুক্তি</t>
  </si>
  <si>
    <t>ভ্রমণের অভিজ্ঞতা মানুষের মনে নতুন আনন্দের সৃষ্টি করবে পথে পথে মেলে যাবে সুখের প্রতিমুখ</t>
  </si>
  <si>
    <t>দূরত্ব মিলিয়ে যাবে মনের বন্ধন আজ আরও দৃঢ় হবে প্রিয়জনকে কাছে পেয়ে</t>
  </si>
  <si>
    <t>তিনি তার পরিকল্পনার সম্প্রদায়ের প্রচুর সাহায্য পেয়ে থাকবেন যখন তিনি তার লক্ষ্য পৌঁছাবেন</t>
  </si>
  <si>
    <t>সব ডকুমেন্ট সম্পন্ন হলেই আমরা কঠোর পরিশ্রমের মাধ্যমে সকল কাজ সম্পন্ন করবো</t>
  </si>
  <si>
    <t>শুধু চাকরি না আমার নতুন পরিচয় হবে ধন্যবাদ স্বপ্নের পথে চলার জন্য</t>
  </si>
  <si>
    <t>আপনার ছবিগুলো দেখে মনে হবে আপনি শুধু ছবি তুলবেন না মুহূর্তগুলোকে বাঁধিয়ে রাখবেন</t>
  </si>
  <si>
    <t>রাতের আকাশের নিচে পুলে বসে তারা দেখার সময় মনের শান্তি আসবে</t>
  </si>
  <si>
    <t>আমাদের ক্রিকেট দল এখন পৃথিবীর যে কোনো দলকে চ্যালেঞ্জ ছুড়ে দিতে পারবে</t>
  </si>
  <si>
    <t>সব কিছুর শেষ হয় কষ্টেরও একদিন অবসান ঘটবে</t>
  </si>
  <si>
    <t>সাঁতারের প্রতিযোগিতায় জেতা কঠোর পরিশ্রমের ফল ভোগ করা গর্বের মুহূর্ত হবে</t>
  </si>
  <si>
    <t>ভবিষ্যতে আমি একটি সৃজনশীল লেখার কর্মশালা চালু করব যেখানে নবীন লেখকদের প্রশিক্ষণ দেওয়া হবে</t>
  </si>
  <si>
    <t>পরবর্তী ছুটিতে আমরা একটি প্রাচীন শহর ভ্রমণ করব যেখানে ইতিহাস এবং সংস্কৃতির মিশ্রণ পাব</t>
  </si>
  <si>
    <t>আমি আগামী সপ্তাহে নতুন প্রযুক্তির ব্যবহার শুরু করব আমি আশা করি এটি আমার কাজে ব্যবহার হবে</t>
  </si>
  <si>
    <t>পরবর্তী বছরে আমরা একটি বড় ব্যবসায়িক চুক্তি স্বাক্ষর করব যা আমাদের কোম্পানির জন্য নতুন সম্ভাবনা তৈরি করবে</t>
  </si>
  <si>
    <t>শারীরিক ভাবে সুস্থ থাকব সবাই</t>
  </si>
  <si>
    <t>আমি স্বাস্থ্য বীমা আরও বেশি মানুষের কাছে অ্যাক্সেসযোগ্য করার জন্য লড়াই করব</t>
  </si>
  <si>
    <t>আমি একটি স্বাস্থ্যকর জীবনধারা প্রচার করার জন্য একটি জনস্বাস্থ্য অভিযান চালাব</t>
  </si>
  <si>
    <t>আমরা ধাপে ধাপে এগিয়ে যাবো প্রকল্পের সম্প্রদায়ের উন্নতি নিশ্চিত করবো যখনই তারা আমাদের সাথে যোগাযোগ করবে</t>
  </si>
  <si>
    <t>নতুন বছরের আগমনে পৃথিবী রঙিন হয়ে উঠবে সবাই নতুন পোষাকে সাজবে নতুন গানে নাচবে এবং সুখের স্বাদ মানাবে বৈশাখী উৎসব যেখানে সবাই আনন্দের মাধ্যমে একত্রিত হবে</t>
  </si>
  <si>
    <t>পরবর্তী ছুটিতে আমরা একটি বিখ্যাত পর্যটনস্থলে যাব যেখানে আমরা অনেক মজা করব</t>
  </si>
  <si>
    <t>পরবর্তী বছরে আমি একটি উন্নত ডিগ্রি অর্জন করব</t>
  </si>
  <si>
    <t>বাড়িতে নতুন গাছ লাগানো হবে পরিবেশ রক্ষা ও মনের শান্তি</t>
  </si>
  <si>
    <t>তোমরা আগামী সপ্তাহে নাটক মঞ্চস্থ করবে</t>
  </si>
  <si>
    <t>মুগ্ধ এই ছবিটা মন ছুঁয়ে যাবে</t>
  </si>
  <si>
    <t>প্রথম বেতন হাতে পেয়ে সেলিব্রেট করতেই হবে এবং আমরা থাকবো</t>
  </si>
  <si>
    <t>তারা আগামী মাসে বৃদ্ধি করলেই তাদের প্রযুক্তিগত নমুনা প্রকল্পটি সম্পন্ন করে ফেলবে</t>
  </si>
  <si>
    <t>আমি বৃহস্পতিবার দিনটি খুবই সফল হব আমি নতুন পরিযায়ে অগ্রসর হব</t>
  </si>
  <si>
    <t>আমি আগামীকালে বাগানে ফুল চেষ্টা করতে গিয়ে বড় আনন্দ পাব</t>
  </si>
  <si>
    <t>সূর্যাস্তের সময় সাঁতার আকাশের রঙের খেলা আর পানির ঝিলিক মনমোহনীয় দৃশ্য হবে</t>
  </si>
  <si>
    <t>মায়ের হাতের খাবার খেতে না পেরে কত স্বপ্ন দেখেছি অবশেষে সেই স্বপ্ন পূরণ হবে</t>
  </si>
  <si>
    <t>পরিবারই আমার সব তাদের ছাড়া জীবন অসম্পূর্ণ হয়ে যাবে</t>
  </si>
  <si>
    <t>আমি আগামীকালে আমার বিছানার নিচে এসি চালু করব</t>
  </si>
  <si>
    <t>আমরা আগামী সপ্তাহে নতুন প্রযুক্তির মূল্যায়ন করতে চাইব</t>
  </si>
  <si>
    <t>নতুন মানুষ নতুন অভিজ্ঞতা নিয়ে উচ্ছ্বাসিত হবো বিশ্ববিদ্যালয় জীবন একটু অন্যরকমভাবে হবে</t>
  </si>
  <si>
    <t>তিনি তার প্রকল্পের সম্পূর্ণতা পর্যন্ত ব্যবসা চালিয়ে যাবেন যখন তার প্রযুক্তি সম্পূর্ণ হবে</t>
  </si>
  <si>
    <t>পানিতে লাফ দেওয়া হবে মুক্তির অনুভূতি যেন সব চিন্তা দূরে ছেঁটে যাবে</t>
  </si>
  <si>
    <t>প্রকল্পের সম্পূর্ণতা পর্যন্ত পরিশ্রম করে যাবো যখন সকল প্রয়োজনীয় সুযোগ সুবিধা সংগ্রহ করে ফেলবো</t>
  </si>
  <si>
    <t>স্কুলের প্রতিযোগিতায় জয় গর্বের মুহূর্ত মনে হবে</t>
  </si>
  <si>
    <t>ছবির অসাধারণ সঙ্গীত পরিচালনা মুগ্ধ করবে</t>
  </si>
  <si>
    <t>বন্ধু সঙ্গী আর এখন গিফট গুরুও হবে</t>
  </si>
  <si>
    <t>আগামী বছরে আমি একটি আন্তর্জাতিক সম্মেলনে যোগ দেব যেখানে বিশ্বের সেরা বিশেষজ্ঞদের সাথে অভিজ্ঞতা বিনিময় করতে পারব</t>
  </si>
  <si>
    <t>পরবর্তী বছরে আমি একটি নতুন উদ্যোগ চালিয়ে দেব যা প্রযুক্তির প্রযুক্তিগত সমাধানে ভিত্তি করে</t>
  </si>
  <si>
    <t>আজকে গিফট এক্সপার্ট হয়ে যাবো</t>
  </si>
  <si>
    <t>আজকে কেয়া কে একটা স্পেশাল উপহার দিয়ে মনটা খুব ভালো লাগবে উপহার দেওয়ার আনন্দই আলাদা হবে</t>
  </si>
  <si>
    <t>চায়ের বাষ্প হয়ে লেখা হবে মনের কবিতা</t>
  </si>
  <si>
    <t>ছোট ভাই বোনের সাথে খেলব তাদের আনন্দ দেখলেই আমার মন ভরে যাবে</t>
  </si>
  <si>
    <t>যখন আমি উচ্চশিক্ষার জন্য বিদেশে যাব তখন আমি নতুন সংস্কৃতি এবং ভাষা শিখতে পারব</t>
  </si>
  <si>
    <t>মা বাবার আশীর্বাদ আর গর্ব নিয়ে এগিয়ে যেতে আরো অনুপ্রেরণা পাব</t>
  </si>
  <si>
    <t>নতুন চাকরির অফিসে যোগ দেবো নতুন সহকর্মীদের সাথে পরিচিত হবো</t>
  </si>
  <si>
    <t>কমেডি শো মানুষের জীবনে এক ধরনের অনুলিপি হবে যেখানে বিভিন্ন কৌতুক হাসি এবং আনন্দের পথে প্রবেশ করবে এই শোগুলি মানুষের মনে নতুন উদ্দীপনা দেবে</t>
  </si>
  <si>
    <t>এই বছর আমি নতুন সাহিত্যিক প্রযুক্তি গুলি শেখার জন্য অনেক প্রচেষ্টা করব আমি আশা করি এটি আমার লেখার ক্ষেত্রে অত্যন্ত উপকারী হবে</t>
  </si>
  <si>
    <t>এই খবরে মন প্রফুল্ল হবে বন্ধু এখন স্বাধীন উদ্যোক্তা আকাশ এগিয়ে যাবে</t>
  </si>
  <si>
    <t>তুমি আগামীকাল একটি গুরুত্বপূর্ণ মেডিক্যাল কনফারেন্সে যোগদান করবে যেখানে নতুন চিকিৎসা প্রযুক্তির উপস্থাপনা করা হবে</t>
  </si>
  <si>
    <t>মায়ের হাতের খাবার খেয়ে জীবনের সব ঝামেলা ভুলে যাবো</t>
  </si>
  <si>
    <t>আমি একটি অনুবাদ অ্যাপ্লিকেশন তৈরি করব যা ভাষা বাধা দূর করতে সাহায্য করবে</t>
  </si>
  <si>
    <t>পরবর্তী ছুটিতে আমরা একটি দূরবর্তী দ্বীপে ভ্রমণ করব যেখানে আমরা প্রকৃতির সৌন্দর্য উপভোগ করব</t>
  </si>
  <si>
    <t>নতুন ভাষা শেখার সুযোগ বিদেশী বন্ধুদের সাথে কথোপকথন করার অপেক্ষা করবো</t>
  </si>
  <si>
    <t>পাখা মেলে উড়তে প্রস্তুত হবো ব্যবসা নামের যাত্রা শুরু হবে</t>
  </si>
  <si>
    <t>সে আগামী মাসে নতুন গিটার শেখা শুরু করবে</t>
  </si>
  <si>
    <t>সে আগামী মাসে একটি নতুন প্রযুক্তি শিখতে শুরু করবে</t>
  </si>
  <si>
    <t>এইবার পরিবারের সাথে কক্সবাজার ভ্রমণটা আমার কাছে সবসময় স্মরণীয় হয়ে থাকবে</t>
  </si>
  <si>
    <t>পরবর্তী বছরে আমি একটি বই লিখব</t>
  </si>
  <si>
    <t>চেষ্টা করলেই সফলতা আসবে এই কথার সত্যিটা আজ বুঝতে পারব</t>
  </si>
  <si>
    <t>আমরা আমাদের কাজে এখানে আগামী সপ্তাহে থাকব</t>
  </si>
  <si>
    <t>এই গরমে আমের আচারের আমসত্ত্ব টক ঝালে গরমের দম যাবে</t>
  </si>
  <si>
    <t>বৃষ্টি থামার পর বাগানের মাটির সুবাসে ম ম করে যাবে</t>
  </si>
  <si>
    <t>আমি আগামীকালে বাগানে মেঘের পরে বন্ধুদের সাথে ফুল প্লাকার বানানোর কাজে জুটব</t>
  </si>
  <si>
    <t>স্কুলের বন্ধুরা সবসময় পাশে থাকবে তাদের সাথে কাটানো সময় মনে থাকবে</t>
  </si>
  <si>
    <t>বাজারের গলিতে লোকের মধ্যে অবসর প্রাচীন মন্দিরে ধূপ দেওয়া পুজো গ্রামের মেলায় লোকের উল্লাস যাত্রার সাথে স্থানীয় সংস্কৃতির সাথে পরিচিত হওয়া আর সেই অনুভূতি আমাদের কাছে সুখের মুখ প্রদর্শন করবে</t>
  </si>
  <si>
    <t>এই কফির স্বাদ অবিশ্বাস্য হবে</t>
  </si>
  <si>
    <t>আমার স্বামী আমার গর্ব শুভ এর পদোন্নতির জন্য অসংখ্য শুভেচ্ছা জানাবো</t>
  </si>
  <si>
    <t>কাসা বাটলো এর সৌন্দর্য যে কাউকে মুগ্ধ করবে</t>
  </si>
  <si>
    <t>তুমি আগামী সপ্তাহে নতুন বন্ধুদের সাথে পরিচিত হবে</t>
  </si>
  <si>
    <t>সকালে আগে উঠব আমি আমার বাগানে সময় কাটাব মাটির গন্ধে মুগ্ধ হব পুষ্পের মধ্যে আনন্দ মেলবে</t>
  </si>
  <si>
    <t>আগামী মাসে আমরা আমাদের পরিবারের সকল সদস্যদের নিয়ে একটি বড় পারিবারিক পুনর্মিলন করব</t>
  </si>
  <si>
    <t>তুমি পরের মাসে উন্নত প্রযুক্তির ব্যবহার নিয়ে একটি প্রশিক্ষণ কর্মশালা পরিচালনা করবে</t>
  </si>
  <si>
    <t>মা র এই সাফল্য আমাদের সবার জন্য একটা অনুস্মারক হবে কঠোর পরিশ্রম সবসময় ফল দেবে</t>
  </si>
  <si>
    <t>আমরা আমাদের ক্যাম্পাসে অগ্রগতিতে থাকব</t>
  </si>
  <si>
    <t>তারা আগামীকাল একটি পরিবেশ সচেতনতা প্রচারণা শুরু করবে যেখানে তারা স্থানীয় কমিউনিটিকে পরিবেশ সংরক্ষণে উদ্বুদ্ধ করবে</t>
  </si>
  <si>
    <t>বন্ধুত্বের বন্ধনে আজ আরেকটা খুশির মুহূর্ত হবে হিমি এর সাফল্যে গর্বিত হবো</t>
  </si>
  <si>
    <t>এই তো ছেলেবেলার স্বপ্ন পূরণের শুরু হবে আরো অনেক আসবে এমন দিন</t>
  </si>
  <si>
    <t>আমরা আগামী মাসে আমাদের গবেষণার ফলাফলগুলি প্রকাশ করব যা বৈজ্ঞানিক সমাজে একটি নতুন দৃষ্টিভঙ্গি প্রদান করবে</t>
  </si>
  <si>
    <t>এই পৃথিবীতে প্রিয় মানুষগুলোকে ছাড়া বেঁচে থাকাটা কষ্টকর কিন্তু অসম্ভব কিছু নয় কারো জন্য কারো জীবন থেমে থাকে না জীবন তার মতই প্রবাহিত হবে</t>
  </si>
  <si>
    <t>মেকআপ ব্রাশ গুলোকে সাজিয়ে রাখব রঙিন স্বপ্ন হাতে পাবো</t>
  </si>
  <si>
    <t>বিটিএসের গানে জীবনের চ্যালেঞ্জ মোকাবিলা করার শক্তি ও আশা পাওয়া যাবে এই আশায় নিজের স্বপ্ন পূরণের পথে এগিয়ে যাওয়ার জন্য ফ্যানদের মনে আনন্দ জাগবে</t>
  </si>
  <si>
    <t>সীমানা অপেক্ষা লেখক সুমন সেন এই বইটি সত্যিই একটি আনন্দের সফর হবে লেখকের শব্দগুলো মনের সমৃদ্ধি আবিষ্কার করবে প্রতিটি পাতা আনন্দের এক নতুন দিনের আলো ছড়াবে বইটি পড়ে মন ভরে যাবে সমৃদ্ধির আনন্দে</t>
  </si>
  <si>
    <t>অনেক টাকা লাগবে না ভালোবাসা দেখাতে এই ছোট্ট উপহারটাই তার প্রমাণ হবে</t>
  </si>
  <si>
    <t>বিশ্বের বিশেষজ্ঞদের সাথে আন্তর্জাতিক সম্মেলনে অংশগ্রহণের সুযোগ থাকবে</t>
  </si>
  <si>
    <t>সে আগামী মাসে তার বাসায় সমস্ত নতুন ডেকোরেশন সম্পন্ন করে রাখবে</t>
  </si>
  <si>
    <t>আমি নিরন্তর আগামী সপ্তাহের সময় সেখানে থাকতে পারব</t>
  </si>
  <si>
    <t>ভ্রমণ আমাদের অন্যদের ঐতিহ্য সম্পর্কে জানতে সাহায্য করবে</t>
  </si>
  <si>
    <t>স্কুলের ক্লাসে শিক্ষকের প্রশ্নের উত্তর না জেনে মজার জবাব দিয়ে হাসি আটকানো কঠিন হবে</t>
  </si>
  <si>
    <t>বিশ্বাস ভালোবাসা আর সম্মান এই তিনটে স্তম্ভে দাঁড়িয়ে থাকবে আমাদের সংসার শুভ বিবাহবার্ষিকী</t>
  </si>
  <si>
    <t>পরিচয় থেকে প্রেম প্রেম থেকে বিবাহ এই সুন্দর গল্পের নতুন পর্ব শুরু হবে</t>
  </si>
  <si>
    <t>বিদেশের চাকচিক্য ছেড়ে রিয়া কে আমার এই ছোট শহরে দেখে মনে হবে বিশ্ব জয় করে ফেলেব</t>
  </si>
  <si>
    <t>আগামীকাল আমি একটি গুরুত্বপূর্ণ মিটিংয়ে অংশগ্রহণ করব যা আমাদের কোম্পানির ভবিষ্যত নির্ধারণ করবে</t>
  </si>
  <si>
    <t>তুমি পরের মাসে উন্নত মানের কৃষি উৎপাদন প্রযুক্তি নিয়ে একটি সেমিনারে বক্তৃতা দেবে</t>
  </si>
  <si>
    <t>আমি আগামী মাসে একটি স্বাস্থ্যকর রান্নাঘরের কর্মশালা চালু করব</t>
  </si>
  <si>
    <t>বাড়িতে সবাই মিলে গল্প করবো এতো সুন্দর মুহূর্ত হবে</t>
  </si>
  <si>
    <t>আমি আমার পরিবারকে আনন্দের সাথে পরিপূর্ণ জীবন উপহার করবো</t>
  </si>
  <si>
    <t>এই পাগলামি এই ঝগড়া আর এই মজা এইসব মিশিয়েই তৈরি হবে আমাদের বন্ধুত্বের উপহার</t>
  </si>
  <si>
    <t>আকাশের দিকে তাকিয়ে ভবিষ্যৎ নিয়ে স্বপ্ন দেখব</t>
  </si>
  <si>
    <t>আমি আগামী মাসে নতুন প্রযুক্তির উপর একটি বিশদ প্রতিবেদন তৈরি করব যা আমাদের দলের জন্য অত্যন্ত গুরুত্বপূর্ণ হবে</t>
  </si>
  <si>
    <t>সে তার ব্যবসা সম্পর্কে সম্পূর্ণ সন্তুষ্ট হবে যখন তার নতুন প্রযুক্তির সফল অনুমোদন প্রাপ্ত হবে</t>
  </si>
  <si>
    <t>ফুটবলের এই উত্তেজনা কিছুতেই বর্ণনা করা যাবে না</t>
  </si>
  <si>
    <t>তুমি আগামী সপ্তাহে একটি নতুন খেলাধুলার কোচিং ক্লাসে ভর্তি হবে যেখানে তোমার ক্রীড়ার দক্ষতা উন্নত হবে</t>
  </si>
  <si>
    <t>ভবিষ্যতে আমি একটি সফল ইঞ্জিনিয়ার হব যেখানে আমি নতুন প্রযুক্তি উদ্ভাবন করব</t>
  </si>
  <si>
    <t>বহুদিন পরে পুরনো একটা সিরিজ দেখতে শুরু করবো সারারাত বসে থেকে দেখতে ইচ্ছে করবে</t>
  </si>
  <si>
    <t>নৃত্যের মহামায়ার মেলায় আমরা আনন্দে মুগ্ধ হয়ে উঠব প্রকৃত বাতাসে মজার কথা বলে আনন্দে উপভোগ করব সবার সঙ্গে শিল্পের আলো আমাদের মনে হাসির পর্বত উত্তেজিত করবে সব সময়</t>
  </si>
  <si>
    <t>আগামী মাসে আমরা একটি বড় ক্রীড়া প্রতিযোগিতা আয়োজন করব যেখানে বিভিন্ন দেশের খেলোয়াড়রা অংশগ্রহণ করবে</t>
  </si>
  <si>
    <t>যখন আমি আমার প্রথম মুভি পরিচালনা করব তখন আমি একটি বড় পুরস্কার জিতব</t>
  </si>
  <si>
    <t>আমার ছাদ থেকে আকাশটা সবচেয়ে সুন্দর দেখাবে</t>
  </si>
  <si>
    <t>আমি আগামীকালে সকালে আমার কক্ষের এসি চালু করবো</t>
  </si>
  <si>
    <t>মা বাবা তোমাদের কাছ থেকেই শিখবো ভালোবাসা আর সংসার কীভাবে টিকিয়ে রাখা যায় শুভ বিবাহবার্ষিকী</t>
  </si>
  <si>
    <t>কালো শাড়ি লালপাড়ে আজ অনেকদিন পরে খুঁজে পাবো মন আনন্দে নেচে উঠবে</t>
  </si>
  <si>
    <t>নিজের কামাই করা টাকাতে কেনাকাটা করার একটা আলাদা আনন্দ পাবে জমিয়ে খরচা করবে</t>
  </si>
  <si>
    <t>ভবিষ্যতে রোবোট মানুষকে বিভিন্ন কাজে সহায়তা করবে</t>
  </si>
  <si>
    <t>স্কুলের বন্ধুরা জীবনের সেরা সহচর হবে</t>
  </si>
  <si>
    <t>এই প্রাণী সঙ্গীর সাথে জীবনে একটি সমৃদ্ধ অভিজ্ঞতা হবে</t>
  </si>
  <si>
    <t>আমি আগামী সপ্তাহে নতুন প্রকল্পে যুক্ত হব এটি আমার দক্ষতা ও অভিজ্ঞতা বৃদ্ধি করবে</t>
  </si>
  <si>
    <t>আমরা আগামী সপ্তাহে একটি নতুন কর্মশালার আয়োজন করব যেখানে নতুন উদ্ভাবনী ধারণাগুলি নিয়ে আলোচনা করা হবে</t>
  </si>
  <si>
    <t>আমি আগামীকালে ফুটবল ম্যাচ দেখতে যাবো বন্ধুদের সঙ্গে</t>
  </si>
  <si>
    <t>তারা আগামী বছরে উন্নত মানের চিকিৎসা সেবা নিয়ে একটি বড় প্রদর্শনী করবে</t>
  </si>
  <si>
    <t>পছন্দের সেলিব্রিটির মেকআপ লুক কে নিজের জন্য করতে পারা প্রিয় মানুষের মনের মত সাজ হবে</t>
  </si>
  <si>
    <t>এতদিন পর পুরনো বন্ধুর সাথে হঠাৎ দেখা হওয়াতে যেন পুরো দুনিয়া আবার রঙিন হয়ে উঠবে</t>
  </si>
  <si>
    <t>নাচের মাধ্যমে আমরা আমাদের অনুভূতিগুলোকে প্রকাশ করবো ধামাকা গানের তালে পা দুলালে আনন্দে মেতে উঠবো</t>
  </si>
  <si>
    <t>শনিবারে আমি নতুন কোড শেখা শুরু করব আমি আশা করি এটি আমাকে অনেক কিছু শিখতে সাহায্য করবে</t>
  </si>
  <si>
    <t>আগামীকাল আমি একটি নতুন স্পোর্টস একাডেমিতে যোগ দেব যাতে আমার শারীরিক সক্ষমতা বৃদ্ধি পাবে</t>
  </si>
  <si>
    <t>যতটুকু শিক্ষা আপানার আছে ততটুকুই কাজে লাগাবেন যেটা জানেন না সেটা কখনো চেষ্টা করবেন না অইটার ফলাফল খুব ভয়ংকর হবে</t>
  </si>
  <si>
    <t>তোমরা আগামীকাল উন্নত গ্রাফিক্স ডিজাইন নিয়ে একটি কর্মশালায় অংশ নেবে</t>
  </si>
  <si>
    <t>ভবিষ্যতে আমি একটি সফল চিকিৎসক হব যেখানে আমি রোগীদের সুস্থ করে তুলব</t>
  </si>
  <si>
    <t>তুমি আগামী সপ্তাহে নতুন রান্না শিখবে</t>
  </si>
  <si>
    <t>আমরা আগামীকাল উন্নত মানের শিক্ষা উন্নয়ন নিয়ে একটি বৈজ্ঞানিক গবেষণা করব</t>
  </si>
  <si>
    <t>ভবিষ্যতে আমি একটি সফল শিক্ষক হয়ে বাবার স্বপ্ন পূরণ করব</t>
  </si>
  <si>
    <t>গাড়ি চালানোর সময় জোরে গান গাওয়া লম্বা রাস্তায় একঘন্টাব্যাপী গান গাওয়া চালকের ক্লান্তি দূর করবে এবং যাত্রা মজা বাড়াবে</t>
  </si>
  <si>
    <t>প্রাণীরা আমাদের সঙ্গে আত্মীয়তা গড়ে তুলবে তাদের সঙ্গে সময় কাটানো জীবনের অমূল্য অংশ হবে তাদের প্রেমে আমরা আলোকিত হয়ে থাকব সব সময় 。</t>
  </si>
  <si>
    <t>ডোনাল্ড ট্রাম্পকে নিয়ে অনেক শঙ্কা থাকলেও সে নতুন কোনো যুদ্ধ শুরু করবে না</t>
  </si>
  <si>
    <t>শুভ এর পদোন্নতির খবর পেয়ে মিষ্টি বাঁটা চলবে পুরো পাড়ায়</t>
  </si>
  <si>
    <t>শিক্ষা মানুষকে জীবনে চলার পথে যে সমস্যা গুলো তার অনেক কিছুর ই সমাধান দেবে</t>
  </si>
  <si>
    <t>বন্ধুকে উপহার দিতে গিয়ে নিজের কেনাকাটার ইচ্ছাটাও দমিয়ে রাখতে হবে কিন্তু তার খুশি মুখ দেখে সব মিলিয়ে যাবে</t>
  </si>
  <si>
    <t>একসাথে কোরিয়ান ড্রামা দেখা গল্প নিয়ে আলোচনা করা হাসি মজা করা আর বন্ধুত্বের বন্ধন আরও দৃঢ় হবে</t>
  </si>
  <si>
    <t>বৌদির হাতের খাবার খেয়ে বুঝবো পরিবার বড় হওয়ার সাথে সাথে স্বাদ আরও মজাদার হবে</t>
  </si>
  <si>
    <t>ফ্যাশন প্রতিযোগিতা উৎসাহ এবং সুখের একটি উপায় হবে যা লোকেরা নিজেদের প্রদর্শন করতে এবং আনন্দ অনুভব করতে সাহায্য করবে</t>
  </si>
  <si>
    <t>সবার পড়ালেখা শেষে চাকুরীর দিকে নিয়ত থাকবে আমার নিজের একটা ব্যাবসা প্রতিষ্ঠান দার করানোর ইচ্ছা থাকবে ইন শা আল্লাহ</t>
  </si>
  <si>
    <t>যুক্তরাষ্ট্রের ক্লায়েন্ট গুলোর ব্যবহার একেক জনের একেকরকম হবে কেও অনেক ভালো ব্যবহার করবে আবার কেও কাজ ছাড়া কিছু বুঝবে না ভিন্ন রকম অভিজ্ঞতা হবে</t>
  </si>
  <si>
    <t>তারা আগামী বছর উন্নত বিদ্যুৎ সঞ্চালন পদ্ধতি নিয়ে একটি প্রকল্প শুরু করবে</t>
  </si>
  <si>
    <t>নৃত্যের আনন্দে সমৃদ্ধ মানুষের মন হবে নাচের মধ্যে মনের সকল দু খ চলে যাবে</t>
  </si>
  <si>
    <t>তারাই ভাগ্যবান যারা ছোট বেলায় নানা নানীর আদর পেয়েছে নানা নানীর দোয়া সব সময় যাদের সাথে থাকবে</t>
  </si>
  <si>
    <t>সিনেমা দেখার পরে বেরিয়ে এসে বৃষ্টি দেখে সিনেমার রোমান্টিক গানটা মনে পড়বে</t>
  </si>
  <si>
    <t>আমার রেজাল্ট আমার পরিশ্রমের ফল হবে</t>
  </si>
  <si>
    <t>হঠাৎ গত বছর বান্দরবান ভ্রমণের কথা মনে পড়বে এ প্রাকৃতিক সৌন্দর্যের কোনো তুলনা হবে না</t>
  </si>
  <si>
    <t>আমার সন্তান বড় হয়ে একজন সফল ব্যক্তি হবে তার জীবনের লক্ষ্য পূরণ করবে</t>
  </si>
  <si>
    <t>তারা আগামীকাল একটি নতুন মুভি প্রিমিয়ারে যাবে</t>
  </si>
  <si>
    <t>তুমি আগামীকাল একটি নতুন পোষা প্রাণী নিয়ে আসবে</t>
  </si>
  <si>
    <t>তুমি আমার সঙ্গে আগামীকাল বিশ্বাসের সাক্ষা করতে পারবে</t>
  </si>
  <si>
    <t>তিনি আগামীকালে গোলফ খেলতে যাবেন গোলফ কোর্সে</t>
  </si>
  <si>
    <t>সিনেমা হলে বন্ধুদের সাথে হৈ হৈ চিৎকার আর মজার অভিজ্ঞতা হবে</t>
  </si>
  <si>
    <t>কোড হবে আমার সৃজনশীল মাধ্যম এর সাহায্যে আমি আমার আইডিয়া গুলি বাস্তবে পরিণত করবো</t>
  </si>
  <si>
    <t>ঘরের শান্তি ও সুখের অবস্থানের জন্য প্রাণী সঙ্গী আমাদের প্রতিদিনের জীবনে একটি অপরিহার্য অংশ হবে তাদের সঙ্গে কাটানো সময় আমাদের মনে শান্তি এনে দেবে</t>
  </si>
  <si>
    <t>নিজের হাতে বানানো এই সব সামগ্রী দেখে মনে গর্ব হবে</t>
  </si>
  <si>
    <t>ভবিষ্যতে আমি একটি সফল লেখক হব যেখানে আমার বই সারা বিশ্বে বিক্রি হবে</t>
  </si>
  <si>
    <t>সমুদ্রের মাঝে থাকবে আমার স্বপ্নের দেশ ভ্রমণের অন্তরে গোপন আমার আনন্দের গল্প</t>
  </si>
  <si>
    <t>বৌদির হাতের খাবার খেয়ে মনে হবে ছেলেবেলার মতো আবার ঐ স্বাদ পাওয়া যাবে।</t>
  </si>
  <si>
    <t>এই মাসের শেষে আমি এই বইটি পড়তে শেষ করে ফেলব</t>
  </si>
  <si>
    <t>আগামী মাসে আমি আমার বন্ধুদের সাথে একটি পুনর্মিলনী অনুষ্ঠানে যোগ দেব</t>
  </si>
  <si>
    <t>নতুন জুতা পরে বেরোতেই এক অন্য রকম আনন্দ হবে</t>
  </si>
  <si>
    <t>পানিতে সাতার দেওয়ার আনন্দটা শুধু গরমেই না ঠান্ডার মৌসুমে সূর্যের আলোয় উষ্ণ পানিতে সাঁতার কাটাও মনোমুগ্ধকর হবে</t>
  </si>
  <si>
    <t>সূর্যের অন্ধকার লেখক সুনীল গঙ্গোপাধ্যায় এই বইটি পড়লে মন ভরে যাবে একটি অদৃশ্য আনন্দে লেখকের শব্দগুলো জীবনের আনন্দের মধ্যে এক নতুন প্রতিবিম্ব নিয়ে আসবে</t>
  </si>
  <si>
    <t>বউয়ের সঙ্গে ঝগড়া তারপর আবার মিলে যাওয়া এই মিষ্টি ঝামেলায় তোমার জীবন হবে আরও রঙিন শুভবিবাহ দাদা</t>
  </si>
  <si>
    <t>তারা আগামী বছরে একটি নতুন সামাজিক উদ্যোগ গ্রহণ করবে যা কমিউনিটির উন্নয়নে সহায়ক হবে</t>
  </si>
  <si>
    <t>আমরা নতুন বিষয়ে গবেষণা করতে থাকব</t>
  </si>
  <si>
    <t>আমরা আগামীকাল উন্নত মানের শিক্ষা পদ্ধতি নিয়ে একটি কর্মশালায় অংশ নেব</t>
  </si>
  <si>
    <t>শাকের পাঁচ ভাজা শীতের সবজি খাওয়ার সেরা উপায় জানবেন</t>
  </si>
  <si>
    <t>তুমি পরীক্ষায় সফলতা পাবে</t>
  </si>
  <si>
    <t>সমাজে নিজের মান সম্মান টিকিয়ে রাখতে চাইলে শিক্ষিত হবো</t>
  </si>
  <si>
    <t>ভালোবাসতে শেখ ভালোবাসা দিতে শেখ তাহলে তোমার জীবনে ভালোবাসার অভাব হবে না</t>
  </si>
  <si>
    <t>আমি একটি ইন্টারেক্টিভ শিক্ষা গেম তৈরি করব যা শিক্ষাকে আরও মজাদার করে তুলবে</t>
  </si>
  <si>
    <t>নিজের লেখা বিশ্বের মানুষের কাছে পৌঁছানো শুধু আশ্চর্যজনক হবে</t>
  </si>
  <si>
    <t>আমি পর্যায়ক্রমে বাসা থেকে বের হতে থাকব</t>
  </si>
  <si>
    <t>অভিনন্দন তোমার রেজাল্ট দেখে আমি খুব খুশি হব</t>
  </si>
  <si>
    <t>আমার সবচেয়ে বড় পাওয়া তুমিই কিন্তু আজকে তোমার এই স্বাবলম্বিতা আরো গর্ববোধ করিয়ে দেবে শুভেচ্ছা প্রিয়তমা</t>
  </si>
  <si>
    <t>মায়ের হাতের খাবার খেয়ে বুঝবো সত্যিই কিছু স্বাদ মনের মধ্যে চিরকাল থাকবে</t>
  </si>
  <si>
    <t>সে আগামী বছর একটি আন্তর্জাতিক ব্যবসায়িক সফরে যাবে যেখানে তার কোম্পানির উন্নতির জন্য নতুন ব্যবসায়িক সুযোগ সন্ধান করবে</t>
  </si>
  <si>
    <t>নিজের চেহারা পরিবর্তন করে আত্মবিশ্বাস বৃদ্ধি পাবে অভ্যন্তরীণ সৌন্দর্য প্রকাশ হবে</t>
  </si>
  <si>
    <t>তুমি আমার সাহায্যের জন্য কি সব সময় উপলব্ধ থাকতে পারবে</t>
  </si>
  <si>
    <t>আমি একটি কৃত্রিম বুদ্ধিমত্তা চালিত শিক্ষক সহকারী তৈরি করব যা ব্যক্তিগতকৃত শিক্ষা প্রদানের মাধ্যমে শিক্ষার্থীদের শেখা উন্নত করতে সাহায্য করবে</t>
  </si>
  <si>
    <t>ভবিষ্যতে আমি একটি সফল প্রকৌশলী হব যেখানে আমি নতুন নির্মাণ প্রকল্পে কাজ করব</t>
  </si>
  <si>
    <t>আজ কিছু খাবার দান করবো ক্ষুধার্ত মানুষের চোখের অভাবটা দেখতে পারা যাবে না</t>
  </si>
  <si>
    <t>আগামী মাসে আমরা একটি সাংস্কৃতিক উৎসবে অংশগ্রহণ করব যেখানে বিভিন্ন দেশের সংস্কৃতি প্রদর্শিত হবে</t>
  </si>
  <si>
    <t>বৃষ্টির পানিতে ভিজে আমি আমার ছোট গাছগুলোর সাথে বড় অসীম আনন্দ ভাগ করবো</t>
  </si>
  <si>
    <t>তারা তাদের প্রযুক্তিগত প্রকল্পের সফলতা অর্জন করে থাকবে যখন তারা অগত্যা মূলক পরিশ্রম করে যাবে</t>
  </si>
  <si>
    <t>আগামীকাল আমি একটি নতুন কনফারেন্সে যোগদান করব যা আমার ক্যারিয়ারের উন্নতি করবে</t>
  </si>
  <si>
    <t>প্রাণী সঙ্গীর সহযোগিতা জীবনের একটি উদ্দীপনা তাদের সঙ্গে থাকা জীবনের উজ্জ্বল দিন ও উজ্জ্বল অভিজ্ঞতা আমাদের প্রতিদিনের অংশ হবে</t>
  </si>
  <si>
    <t>দেশের অবকাঠামো উন্নয়নে টাকা বিনিয়োগ করার কারণে কর্ম ক্ষেত্র বৃদ্ধি পাবে</t>
  </si>
  <si>
    <t>আমি ঠিক করলাম আমি ওদের সাথে যাবো কিন্তু বাবার বাড়িতেই খাবো</t>
  </si>
  <si>
    <t>মনটা শুধু তোমায় দিলাম তোমায় পাব বলে হিৃদয় দরজা খুলে রেখেছি তুমি আসবে বলে আসবে তুমি বসবে পাসে গাইবে তুমি গান</t>
  </si>
  <si>
    <t>তোমরা আগামী বছর বিশ্ববিদ্যালয়ে ভর্তি হবে</t>
  </si>
  <si>
    <t>আমরা আগামী সপ্তাহে একটি পরিবেশ সুরক্ষা কর্মসূচি শুরু করবো যেখানে স্থানীয়দের সচেতনতা বৃদ্ধির জন্য কর্মশালা হবে</t>
  </si>
  <si>
    <t>আমার ছবিগুলো আমার স্বপ্নের মতো হবে</t>
  </si>
  <si>
    <t>নতুন বাসা সাজানোর জন্য সুন্দর সুন্দর জিনিস কিনবো</t>
  </si>
  <si>
    <t>আমি পর্যবেক্ষণ করে দেখবো যখন আমার শিক্ষার্থীরা প্রশিক্ষণ শেষ করে ফেলবে</t>
  </si>
  <si>
    <t>আমি আমার পরিকল্পনা সম্পন্ন হওয়ার আগে আগামী সপ্তাহে দেখা দিতে থাকব</t>
  </si>
  <si>
    <t>নতুন প্রজেক্ট শুরু করার আগে আমরা একটি ভালো পরিকল্পনা করব যাতে সাফল্যের সম্ভাবনা বাড়বে</t>
  </si>
  <si>
    <t>আমি বন্ধুদের সঙ্গে অসংখ্য হাসির কথা শেয়ার করবো</t>
  </si>
  <si>
    <t>খেলার সঙ্গী গল্পের কাছের মানুষ এবার থাকবে আমার কাছেও স্বাগতম জানাব তোমায় আমার ছোট্ট ফুটফুটে বাচ্চা</t>
  </si>
  <si>
    <t>মা বাবার দেওয়া এই উপহার আমার কাছে অমূল্য সম্পদ হবে</t>
  </si>
  <si>
    <t>কাহিনীগুলির পাতায় জীবনের সুখের চিত্র চিত্রিত হয়ে উঠবে</t>
  </si>
  <si>
    <t>আমার বিশ্ববিদ্যালয়ের শেষ বছরটি যখন শেষ হবে তখন আমি একটি বহুজাতিক কোম্পানিতে যোগ দেব</t>
  </si>
  <si>
    <t>যদি একা থাকতে চান তাহলে বাঘের মতো থাকবেন আর যদি সংগ চান তাহলে পিপড়ার মতো দলবদ্ধ হয়ে থাকবেন</t>
  </si>
  <si>
    <t>আমরা সমস্ত প্রয়োজনীয় ব্যবসায়িক সুযোগ সুযোগ প্রয়োগ করে থাকবো যখন আমরা প্রকল্পের সম্পন্নতা পর্যন্ত ধাপ ধাপে অগ্রসর হবো</t>
  </si>
  <si>
    <t>আমরা আগামী মাসে একটি নতুন চলচ্চিত্র নির্মাণ প্রকল্প শুরু করবো যেখানে স্থানীয় প্রতিভাদের সুযোগ দেওয়া হবে</t>
  </si>
  <si>
    <t>আমরা আগামী মাসে বাসা সাজানোর পরিকল্পনা করে থাকব</t>
  </si>
  <si>
    <t>আমি আগামী বছরে নতুন প্রযুক্তি শেখা শুরু করব আমি আশা করি এটি আমার পেশাদার পথে আমাকে সাহায্য করবে</t>
  </si>
  <si>
    <t>আমি মানুষকে পরিবেশের যত্ন নেওয়ার গুরুত্ব সম্পর্কে শিক্ষিত করার জন্য কাজ করব</t>
  </si>
  <si>
    <t>আমরা আগামীকাল নতুন প্রোজেক্ট শুরু করব</t>
  </si>
  <si>
    <t>ভবিষ্যতে আমি একটি সফল শিক্ষক হব যেখানে আমি অনেক শিক্ষার্থীকে সুশিক্ষা দিতে পারব</t>
  </si>
  <si>
    <t>রান্নাঘরে আজ নতুন চ্যালেঞ্জ হবে বিরিয়ানি বানানোর চেষ্টা ফলাফল জানতে আমাদের সাথেই থাকতে হবে</t>
  </si>
  <si>
    <t>একজন মানুষ তার মূল্যবান শিক্ষা পাবে তার পরিবার থেকে</t>
  </si>
  <si>
    <t>কমেডি শোতে বিভিন্ন কাহিনী কৌতুক গল্পের মাধ্যমে মানুষের মনে হাসির আলো প্রদান করা হবে এই কমেডি শো দেখে মানুষ তাদের দৈনন্দিন কাজের জন্য নতুন উৎসাহ ও উৎসাহিত হবে</t>
  </si>
  <si>
    <t>পরবর্তী বছরে আমি একটি বৈজ্ঞানিক গবেষণা প্রকল্পে অংশ নেব যা মানবজাতির জন্য নতুন সুযোগ সৃষ্টি করবে</t>
  </si>
  <si>
    <t>বড়দির হাতের খাবার খেয়ে মনে হবে বড়দিই মায়ের মতো খেয়াল রাখবে</t>
  </si>
  <si>
    <t>আগামী মাসে আমরা একটি সাংস্কৃতিক উৎসবে অংশগ্রহণ করব যেখানে বিভিন্ন দেশের সংস্কৃতি সম্পর্কে জানতে পারব</t>
  </si>
  <si>
    <t>আগামী সপ্তাহে আমাদের সকলের জন্য একটি পানির পিকনিক আয়োজন করা হবে</t>
  </si>
  <si>
    <t>তুমি আমার সঙ্গে আগামীকাল বিশ্বাসের সাক্ষাৎ করতে পারবে</t>
  </si>
  <si>
    <t>তারা সকল ব্যবসায়িক লক্ষ্য পূরণ করলেই আমরা প্রতিষ্ঠানের নতুন পরিচালকের পরিশ্রমের স্বীকৃতি পাবো</t>
  </si>
  <si>
    <t>তারা আগামী বছরে উন্নত মানের বিদ্যুৎ উৎপাদন প্রযুক্তি নিয়ে একটি সেমিনারে অংশ নেবে</t>
  </si>
  <si>
    <t>তোমার হাসিই আমার জীবনের সবচেয়ে সুন্দর দৃশ্য হবে শুভ বিবাহবার্ষিকী প্রিয়</t>
  </si>
  <si>
    <t>আমরা পরবর্তী বছরে একটি বৃহত্তর বাজার অনুসন্ধান করব যা আমাদের বিপণন পরিচালনা করবে</t>
  </si>
  <si>
    <t>আমরা আগামী সপ্তাহে একটি নতুন সামাজিক উদ্যোগ শুরু করব যা সমাজের দুর্বল শ্রেণীর জন্য সহায়ক হবে</t>
  </si>
  <si>
    <t>মনের আকাশে একটু একটু করে অনেকটা মেঘ জমা হয়েছে একদিন বৃষ্টি হয়ে সব ধুয়ে যাবে</t>
  </si>
  <si>
    <t>আগামী মাসে আমি একটি নতুন ভাষা শেখা শুরু করব যাতে আমি বিদেশে যাতায়াত করতে পারব</t>
  </si>
  <si>
    <t>সালাতের সঙ্গে মনকে শুদ্ধ করবে জীবন হবে সুন্দর</t>
  </si>
  <si>
    <t>কনক এর ব্যবসা সফল হবে এই আমার প্রার্থনা থাকবে শুভকামনা</t>
  </si>
  <si>
    <t>কখনো ব্যাস্ত মানুষের সাথে সম্পর্ক রাখবেন না কারন ব্যাস্ত মানুষ নিজের প্রয়োজন ছাড়া তোমার সাথে কথা বলবে না</t>
  </si>
  <si>
    <t>মা বাবার আদরে খালার আদরেই বড় হবে তুমি আনন্দে ভাসবো আমরা সবাই</t>
  </si>
  <si>
    <t>তারা আগামী বছরে বিশ্ব যুদ্ধ কেন্দ্রে যাবে</t>
  </si>
  <si>
    <t>এই খাবার খেয়ে ছেলেবেলার স্মৃতি মনে পড়বে</t>
  </si>
  <si>
    <t>সুখের বন্ধন কবি রীমা মুখার্জি রীমা মুখার্জির কবিতা সুখের বন্ধন পড়ে মন সুখের বন্ধনে বাঁধা পড়বে কবির চিন্তা এবং কথাবার্তা পাঠকের হৃদয়ে আনন্দ এবং উৎসাহ জাগিয়ে তুলবে</t>
  </si>
  <si>
    <t>এই উপহার দেখে আমি বুঝব আমার পছন্দটা কেউ একজন ভালো করে জানবে</t>
  </si>
  <si>
    <t>ভবিষ্যতে আমি একটি বড় সাইন্টিফিক কনফারেন্সে অংশগ্রহণ করব যেখানে আমি আমার গবেষণা উপস্থাপন করব</t>
  </si>
  <si>
    <t>নিজের চেয়ে বড় জয় এটা আপনাদেরই জয় হবে</t>
  </si>
  <si>
    <t>বন্ধু তোমার এই সাফল্যের গল্পটা সবার কাছে ছড়িয়ে দিতে ইচ্ছে করবে খুব গর্ববোধ হবে তোমার জন্য</t>
  </si>
  <si>
    <t>আমি তোমার সাথে আমার পরের প্রকল্পে কাজ করতে থাকব</t>
  </si>
  <si>
    <t>ভ্রমণের মাধ্যমে পৃথিবীর রম্য সুন্দর্য দেখার অপেক্ষায় থাকবো</t>
  </si>
  <si>
    <t>মা কে আজ বিরিয়ানি খাইয়ে চমকে দেব</t>
  </si>
  <si>
    <t>সে আগামী সপ্তাহে একটি নতুন বাগান তৈরি করবে</t>
  </si>
  <si>
    <t>তুমি সম্প্রতি প্রক্রিয়াকরণে আছিলে আগামীকাল কি কাজ করতে থাকবে</t>
  </si>
  <si>
    <t>আমি আগামী বছর একটি কৃত্রিম বুদ্ধিমত্তা চালিত অ্যাপ্লিকেশন তৈরি করব যা প্রতিবন্ধী মানুষদের জীবনকে সহজ করে তুলবে</t>
  </si>
  <si>
    <t>দান করার পর এত শান্তি পাবো নিজের অল্প কিছু দিয়ে অন্যের জীবন সহজ করতে পেরে ধন্য বোধ করব</t>
  </si>
  <si>
    <t>তিনি আগামী বছরে তার নতুন বই প্রকাশ করবেন যা সাহিত্যপ্রেমীদের মধ্যে বিপুল সাড়া ফেলবে</t>
  </si>
  <si>
    <t>আকাশের নিচে খোলা জায়গায় দাঁড়ালে মনে হবে সবকিছু সম্ভব হবে</t>
  </si>
  <si>
    <t>তোমাকে ধন্যবাদ জানাতে কখনোই ভুলব না এবং তোমাকে সবসময়ই কাছে চাইব।</t>
  </si>
  <si>
    <t>তুমি আগামীকাল একটি নতুন গান শিখবে</t>
  </si>
  <si>
    <t>ফেভারিট গান শুনতে শুরু করলেই মুখে ফুটে ওঠা হাসি মনের মধ্যে এক অন্য রকম আনন্দ জাগাবে</t>
  </si>
  <si>
    <t>আমি প্লাস্টিকের ব্যবহার কমাতে একটি প্রচারণা চালাব</t>
  </si>
  <si>
    <t>স্কুলের পরীক্ষায় নকল করতে গিয়ে ধরা পড়বো কিন্তু বন্ধুদের সাথে মজার গল্প হবে</t>
  </si>
  <si>
    <t>মা দুর্গার কাছে সবার মঙ্গল কামনা করবো শুভ দুর্গাপূজা</t>
  </si>
  <si>
    <t>আশা করি ভবিষ্যতে আরও বেশি ইন্টারেক্টিভ সিনেমা হলের অভিজ্ঞতা পাবো</t>
  </si>
  <si>
    <t>নতুন জামা পরে নিজেরই নিজেকে চিনতে পারবো না</t>
  </si>
  <si>
    <t>বিবর্ণ গুলালের সম্মিলন হাসির উপাসনা প্রেমের বাণী এবং সবার সাথে নেচে হোলি সবার জীবনে বার্ষিক উৎসব হবে যেখানে সবাই আনন্দে বিভর হয়ে উঠবে</t>
  </si>
  <si>
    <t>একটা সময় আসবে যখন নিজের টাকায় একটি আইফোন কিনবো আল্লাহর রহমতে নিজের টাকায় কিনতে পারবো আল্লাহর কাছে শুকরিয়া জানাবো</t>
  </si>
  <si>
    <t>পুলের পাশে শুয়ে থাকা ঠান্ডা বাতাস আর সূর্যের আভাস শরীর ও মন প্রফুল্ল করবে</t>
  </si>
  <si>
    <t>পরিবারের সাথে পুজোর আনন্দ আলো খাবার আর আত্মীয়স্বজনের সাথে দেখা হবে</t>
  </si>
  <si>
    <t>আকাশে মেঘেরা যে খেলা খেলবে তা দেখতে দেখতে কখন যে সময় চলে যাবে বুঝবই না</t>
  </si>
  <si>
    <t>তারা নিজেদের স্বপ্ন সাকার করে থাকবে যখন তারা নিজের প্রয়োজনীয় সমস্ত সুযোগ সুযোগ নিয়ে পরিশ্রম করে যাবে</t>
  </si>
  <si>
    <t>রোহান র মুখে হাসি দেখে উপহার দেওয়ার সার্থকতা বুঝতে পারবো</t>
  </si>
  <si>
    <t>আমি আগামী মাসে নতুন একটি প্রতিষ্ঠান খুলব</t>
  </si>
  <si>
    <t>কাসা মিলার সূন্দর্য আমাকে সবসময় মুগ্ধ করবে</t>
  </si>
  <si>
    <t>তারা আগামীকালে বাগানে প্রকৃতির সাথে একটি সংযোগ স্থাপন করব</t>
  </si>
  <si>
    <t>আমি আমার বন্ধুদের সঙ্গে একটি সফরে যাব</t>
  </si>
  <si>
    <t>অজানা রাস্তায় পথ চলব অজানা লোকের সঙ্গে আলোচনা করব প্রাকৃতিক আকর্ষণে মুখের মুগ্ধতা থাকবে প্রতিটি ভ্রমণের মাধ্যমে আমরা নতুন আনন্দের পরিচয় করব</t>
  </si>
  <si>
    <t>সে আগামী বছর গিটার বাজানো শিখবে</t>
  </si>
  <si>
    <t>ভবিষ্যতে আমি একটি বই লিখব যেখানে আমার জীবনের অভিজ্ঞতা ও শিক্ষাগুলো তুলে ধরব</t>
  </si>
  <si>
    <t>ভবিষ্যতে আমি একটি সৃজনশীল লেখার কর্মশালায় যোগ দেব এবং আমার লেখার দক্ষতা বৃদ্ধি পাবে</t>
  </si>
  <si>
    <t>আমি আগামী সপ্তাহে আমার প্রকল্পের সম্পন্নতা পর্যন্ত সকল নির্দিষ্ট কাজ সম্পন্ন করে থাকবো</t>
  </si>
  <si>
    <t>আজকে আমার প্রথম প্রোগ্রাম রান হবে সফলতার এই মিষ্টি স্বাদ কতই না ভাল লাগবে</t>
  </si>
  <si>
    <t>লেখালেখির জন্য পুরস্কার পাবো</t>
  </si>
  <si>
    <t>স্কুলের খেলার মাঠে দৌড়ঝাপ করবো আনন্দে ভরা মধ্যাহ্ন হবে</t>
  </si>
  <si>
    <t>আজকে দান করে মন খুব খুশি হবে অল্প কিছু দিয়ে যদি কেউ খুশি হয় তা ই বড় পুরস্কার হবে</t>
  </si>
  <si>
    <t>আজ কেরাম খেলায় নিজের খেলা দেখে নিজেই অভাক হয়ে যাবো ভালো প্লেয়ার এর সাথে খেললে এমনিতেই খেলা ভালো হয়ে যাবে</t>
  </si>
  <si>
    <t>আমি আগামীকালে নতুন মোবাইল টেলিফোন কিনতে যাব</t>
  </si>
  <si>
    <t>আমরা আগামী মাসে একটি নতুন প্রযুক্তিগত কর্মশালার আয়োজন করব যা আমাদের কর্মীদের দক্ষতা বাড়াবে</t>
  </si>
  <si>
    <t>আগামী মাসে আমরা একটি বড় ফেস্টিভাল আয়োজন করব যেখানে সবাই একসাথে উদযাপন করব</t>
  </si>
  <si>
    <t>নাচের মাধ্যমে মানুষের মন নতুন আনন্দের সঙ্গে পূর্ণ হয়ে উঠবে এবং তাদের জীবন উজ্জ্বল হবে</t>
  </si>
  <si>
    <t>রাস্তায় একটা বিড়াল ছানা কে খাবার দেব তার ক্ষুধার্ত চোখে খুশি দেখে নিজের মধ্যেও এক অদ্ভুত আনন্দ জাগবে</t>
  </si>
  <si>
    <t>বৃষ্টি না হলে যেমন রংধনু তৈরি হয় না তেমনি দুঃখ না আসলে আনন্দ অনুভূত হবেনা</t>
  </si>
  <si>
    <t>আমি শিক্ষার্থীদের জন্য একটি আন্তর্জাতিক বিনিময় প্রোগ্রাম তৈরি করব যা তাদের বিভিন্ন সংস্কৃতি সম্পর্কে জানতে সাহায্য করবে</t>
  </si>
  <si>
    <t>মনে হবে প্রতিদিনই নতুন কোনো প্রযুক্তির খবর আসবে আপডেট থাকাই মুশকিল হবে</t>
  </si>
  <si>
    <t>জয় আসবে কিন্তু লড়াইয়ের পথে অনেক কিছু শিখবো</t>
  </si>
  <si>
    <t>ভবিষ্যতে আমি একটি বড় কর্মসংস্থানে চাকরি পাব</t>
  </si>
  <si>
    <t>ছবির গানগুলো ইতিমধ্যেই আমার ফেভারিট লিস্টে যোগ করব</t>
  </si>
  <si>
    <t>তুমি আগামীকালে একটি বিশেষ অনুষ্ঠানে অংশ নিবে</t>
  </si>
  <si>
    <t>শপিং থেরাপি চলবে কেনাকাটা করলে মন ভালো লাগবে</t>
  </si>
  <si>
    <t>যখন আমি অবসর নেব তখন আমি একটি শান্তিপূর্ণ গ্রামে স্থায়ীভাবে বসবাস করব</t>
  </si>
  <si>
    <t>আনারসের জল আর বরফ গরমের দুপুরে সেরা সঙ্গী হবে</t>
  </si>
  <si>
    <t>কোড শেখা আমার যুক্তি এবং সমস্যা সমাধানের ক্ষমতাকে শক্তিশালী করবে</t>
  </si>
  <si>
    <t>আমার মেয়ে শেষমেশ প্রকৃতির সৌন্দর্য মূল্যায়ন করতে শুরু করবে আজ সে বড় হাসি দিয়ে আমাকে সূর্যমুখী বীজ বপনে সাহায্য করবে</t>
  </si>
  <si>
    <t>সুস্বাদু খাবারের পরে মন নতুন স্বপ্ন ও আশার সঙ্গে পূর্ণ হবে</t>
  </si>
  <si>
    <t>পাট সজ্জা আলপনা মিষ্টি পহেলা বৈশাখের রমণীয় আবহ থাকবে শুভ নববর্ষ</t>
  </si>
  <si>
    <t>সমস্ত বিপদের মধ্যে একটি বন্ধু সহায়ক হবে</t>
  </si>
  <si>
    <t>অফিসের নতুন পরিবেশ নতুন সহকর্মী রোহানকে এই নতুন অভিজ্ঞতার জন্য শুভেচ্ছা জানাব</t>
  </si>
  <si>
    <t>নিজের কাজ কে ভালোবাসবো কারণ যদি নিজের কাজকে ভালোবাসতে না পারি তাইলে কখনো সুখী জীবন পরিচালনা করতে পারবো না</t>
  </si>
  <si>
    <t>ক্লাস বাতিল হবে শিক্ষকদের জন্য বিশেষ ধন্যবাদ জানাবো</t>
  </si>
  <si>
    <t>বন্ধুর স্বপ্নের ব্যবসা শুরু হবে কনক কে এক গাদা শুভেচ্ছা</t>
  </si>
  <si>
    <t>সে তার ব্যবসা সম্পর্কে অভিনব ধারনা অর্জন করে থাকবে যখন তার নতুন পণ্য সম্পূর্ণ হয়ে যাবে</t>
  </si>
  <si>
    <t>পড়াশোনা আর ভ্রমণ দুটোই একসাথে চলবে</t>
  </si>
  <si>
    <t>ভবিষ্যতে আমি একটি প্রতিষ্ঠান স্থাপন করব যেখানে শিক্ষার্থীরা বিনামূল্যে শিক্ষা পাবে</t>
  </si>
  <si>
    <t>বাসায় ফিরে এক কাপ চা মা র হাতে এই সুখের টান কেউ কাঁড়তে পারবে না</t>
  </si>
  <si>
    <t>অনুষ্ঠানের আয়োজন করো হিমি এর পদোন্নতি সেলিব্রেট করতে হবে</t>
  </si>
  <si>
    <t>আমরা আগামীকাল একটি নতুন সফটওয়্যার সল্যুশন ডেভেলপ করার কাজ শুরু করব</t>
  </si>
  <si>
    <t>প্রথমবারের মতো টিকিট হাতে নিয়ে মনে হবে যেন জাদুর কাঠি পাব</t>
  </si>
  <si>
    <t>তিনি প্রশিক্ষণ শেষ করলেই নির্ধারিত সময়ে সকল কাজ সম্পন্ন করে ফেলবেন</t>
  </si>
  <si>
    <t>ড্রামের লাঠি নাড়তে নাড়তে শরীরটা পুরো চার্জ হয়ে যাবে</t>
  </si>
  <si>
    <t>এমন নৈসর্গিক প্রশান্তির জন্য প্রস্তুত থাকব</t>
  </si>
  <si>
    <t>আগামীকাল আমি একটি গুরুত্বপূর্ণ সেমিনারে বক্তব্য দেব যা আমার ক্যারিয়ারের জন্য অত্যন্ত গুরুত্বপূর্ণ</t>
  </si>
  <si>
    <t>আগামী মাসে আমি একটি নতুন শিক্ষানীতি প্রযুক্তি প্রযুক্তির উদ্ভাবন করব যা ছাত্র ছাত্রীদের শিক্ষার্থিত্ব সুবিধাজনক করবে</t>
  </si>
  <si>
    <t>পরবর্তী বছরে আমরা একটি বড় সংগীত উৎসব আয়োজন করব যেখানে সারা বিশ্বের শিল্পীরা অংশগ্রহণ করবে</t>
  </si>
  <si>
    <t>ঈদের সকালে বাগানের ফুল দিয়ে বাড়ি সাজাবো – বাড়ির সাজে একটা বিশেষ মাত্রা যোগ হবে</t>
  </si>
  <si>
    <t>বাংলাদেশের ঐতিহ্য বিশ্ব মানুষের সাথে ভাগ করে নেওয়ার আনন্দ পাবো</t>
  </si>
  <si>
    <t>প্রতি রঙের সাথে মিশ্রিত হওয়া শিশুদের জন্য এক রোমাঞ্চকর অভিজ্ঞতা হবে নতুন রঙের সৃষ্টি ও বিভিন্ন ছায়া আবিষ্কার করতে গিয়ে আনন্দ বোধ করবে তারা</t>
  </si>
  <si>
    <t>আমি আগামীকালে ব্যাডমিন্টন খেলতে যাবো স্পর্ধা ক্লাবে</t>
  </si>
  <si>
    <t>বড় ভাই এতদিন তুমি ছিলে আমার রক্ষাকর্তা আজ থেকে কারোর জীবনসঙ্গী হবে শুভবিবাহ দাদা</t>
  </si>
  <si>
    <t>অনেক দিন পর আজকে মাছ রান্না হবে দেখে রিংকি অনেক খুশি হবে</t>
  </si>
  <si>
    <t>কী নিবি প্রথম বেতনে আমাকে জানাতে হবে কিন্তু</t>
  </si>
  <si>
    <t>খাবারের ছবি দেবো না ঈর্ষায় মরে যাবেন</t>
  </si>
  <si>
    <t>স্বপ্নের পাতা লেখক সুমন চক্রবর্তী এই বইটি পড়ে মন সমৃদ্ধির প্রকাশ হবে লেখিকার ভাবনা মনের আনন্দে মিলে আসবে প্রতিটি পাতা একটি নতুন স্বপ্নের ছবি জাগিয়ে তুলবে</t>
  </si>
  <si>
    <t>পরিবারের প্রতিটি সদস্যের সাফল্যে গর্ব বোধ করা হবে</t>
  </si>
  <si>
    <t>আজ রান্নাঘরে একটু এক্সপেরিমেন্ট চলবে নতুন খাবার বানানোর চেষ্টা করবো</t>
  </si>
  <si>
    <t>তুমি আগামী মাসে একটি নতুন ফিটনেস প্রোগ্রামে যোগদান করবে যেখানে তোমার শারীরিক সুস্থতা বৃদ্ধি পাবে</t>
  </si>
  <si>
    <t>আমি আগামীকালে ফোনের সাথে নতুন ক্যামেরা ফীচার ব্যবহার করতে যাব</t>
  </si>
  <si>
    <t>মায়ের হাতের খাবার খেয়ে বুঝবো সুখ খুব জটিল কিছু না</t>
  </si>
  <si>
    <t>আমরা আগামী মাসে আমাদের প্রযুক্তিগত প্রকল্পের উন্নতি পর্যন্ত পরিশ্রম করে থাকবো</t>
  </si>
  <si>
    <t>আমি যখন বন্ধুদের সাথে থাকবো তখন আমি নিজেকে সম্পূর্ণ স্বতন্ত্র অনুভব করবো</t>
  </si>
  <si>
    <t>সিঙ্গেল লাইফের পার্টি শেষ এবার ডাবল ডেটের পালা আসবে শুভবিবাহ জানাব সুজন আর জয়াকে</t>
  </si>
  <si>
    <t>আগামী বছরে আমি বিশ্বের সেরা বিশ্ববিদ্যালয়ে ভর্তি হব</t>
  </si>
  <si>
    <t>ত্যাগ কাকে বলে তা আপনি আপনার মা বাবাকে দেখলে বুঝতে পারবেন</t>
  </si>
  <si>
    <t>আমি আমার সমস্ত স্বপ্ন পূরণ করবো এবং উচ্চমানের মাধ্যমে সফলতা অর্জন করবো</t>
  </si>
  <si>
    <t>আমরা আগামীকাল পিকনিকে যাব</t>
  </si>
  <si>
    <t>তিনি আগামীকালে আমাদের অফিসের এসি রিপেয়ার করতে আসবেন</t>
  </si>
  <si>
    <t>পরিবারের ছোট্ট খুটিনাটি জিনিসগুলোও মনে রাখবো কারণ এগুলোই স্মৃতির সোনালী অধ্যায় হবে</t>
  </si>
  <si>
    <t>নৃত্যের মধ্যে সম্পূর্ণ আনন্দের মহাজগত থাকবে নাচের মাধ্যমে মানুষের মন খুলে উঠবে</t>
  </si>
  <si>
    <t>তারা আগামীকাল একটি নতুন প্রযুক্তি স্টার্টআপে কাজ শুরু করবে যেখানে তারা উদ্ভাবনী সমাধান নিয়ে কাজ করবে</t>
  </si>
  <si>
    <t>গিটার হাতে নিব মনে এক অদ্ভুত আনন্দ থাকবে সুরের তালে ম ম ছেড়ে ফেলতে ইচ্ছে করবে</t>
  </si>
  <si>
    <t>এত বছরে অনেক কিছু বদলে যাবে কিন্তু আমাদের বন্ধুত্বের মধুরতা এখনও বদলাবে না</t>
  </si>
  <si>
    <t>নতুন ধারার নৃত্য চেষ্টা করা ও সাধারণ মানুষের চিন্তার বাইরে যাওয়া নৃত্যশিল্পীদের সংঘরসের পরিচয় দেবে এই সীমানা অতিক্রম করার চ্যালেঞ্জ জয় করা তাদের আনন্দ দেবে</t>
  </si>
  <si>
    <t>আমি ভাবছি আমি আগামী মাসে নতুন ভাষা শেখা শুরু করব আমি আশা করি এটি আমাকে আরও বিস্তৃত করবে এবং আমার বিশেষ দক্ষতা বৃদ্ধি করবে</t>
  </si>
  <si>
    <t>ভবিষ্যতে আমি একজন সফল বয়বসায়ী হব</t>
  </si>
  <si>
    <t>ঝর্ণার নিচে দাঁড়ানো ঠান্ডা জলের ঝাপটা আর প্রবল শব্দ শরীর ও মন চাঙ্গা করে তুলবে</t>
  </si>
  <si>
    <t>ভাই বোনের সাথে ঝগড়া হতে পারে কিন্তু এই ঝগড়ার পিছনে একটি অটুট সম্পর্ক থাকবে</t>
  </si>
  <si>
    <t>পরবর্তী মাসে আমরা একটি নতুন প্রজেক্ট শুরু করব যেখানে সবাই একসাথে কাজ করব</t>
  </si>
  <si>
    <t>আনন্দের বন্ধন লেখক সালমান রুশদি এই বইটি পড়তে মন সমৃদ্ধির জগতে প্রবেশ করাবে লেখকের সৃষ্টি মনের আনন্দের জন্য অনুপ্রেরণা বৃদ্ধি করবে বইটি পড়ে মন আনন্দের সফরে ভ্রমণ করবে</t>
  </si>
  <si>
    <t>লেখক মুহাম্মদ যুসুফ এর এই বইটি পড়ে মন সমৃদ্ধির জগতে প্রবেশ করবো লেখকের সৃষ্টি মনের আনন্দের জন্য অনুপ্রেরণা বৃদ্ধি করবে বইটি পড়ে মন আনন্দের সফরে ভ্রমণ করবে</t>
  </si>
  <si>
    <t>তিনি আগামীকালে নতুন মোবাইল এক্সটেন্সন সার্টিফিকেট ইনস্টল করতে যাবেন</t>
  </si>
  <si>
    <t>তারা আসলে স্পেসক্রাফটে আসবে</t>
  </si>
  <si>
    <t>বাংলাদেশের মর্যাদা বহন করে বিদেশে যাবো</t>
  </si>
  <si>
    <t>মায়ের হাতের খাবার খেয়ে বুঝবো সত্যিই মা হলো ঘর</t>
  </si>
  <si>
    <t>ভবিষ্যতে আমি একটি গবেষণা প্রকল্পে কাজ করব যা আমাদের দেশের উন্নতিতে সাহায্য করবে</t>
  </si>
  <si>
    <t>বিটিএস অন্যান্য শিল্পীদের সঙ্গে মিউজিক করবে যা ফ্যানদের মধ্যে নতুন শব্দ আবিষ্কারের আনন্দ জাগাবে</t>
  </si>
  <si>
    <t>ফ্রিল্যান্সিং স্কিল অর্জন করে সেটা নিয়েই এগোবো যেভাবে সবকিছুতে পরিবর্তন আসে পরিবর্তনের সাথে সাথে নিজেকে এগিয়ে নিয়ে যেতে হবে</t>
  </si>
  <si>
    <t>বাংলা ভাষায় লিখবো বিদেশী মাটিতে গিয়ে নিজের জ্ঞানকে আরো বাড়িয়ে নেবো গর্ববোধ করবো বাংলাদেশের ছেলে মেয়ে হিসেবে এমন সুযোগ পাওয়ার জন্য</t>
  </si>
  <si>
    <t>রাতে জোনাকির আলোয় হাঁটা প্রকৃতির নিজস্ব আলোকসজ্জা মায়াময় পরিবেশ মনের আনন্দ বাড়িয়ে দেবে</t>
  </si>
  <si>
    <t>এই সফলতা আমার জীবনের একটি অবিস্মরণীয় অংশ হবে</t>
  </si>
  <si>
    <t>ভবিষ্যতে আমি একটি সফল ক্রীড়াবিদ হব যেখানে আমার নাম সারা বিশ্বে পরিচিত হবে</t>
  </si>
  <si>
    <t>ছোট্ট একটা পদক্ষেপ বড় স্বপ্নের দিকে ব্যবসা এর সঙ্গে থাকবেন সবসময় এবং তাতে সফল হবেন</t>
  </si>
  <si>
    <t>আবার কোনো একদিন দেখা হয়ে যাবে সেই চেনা রাস্তায় তখন আমরা থাকবো অচেনা দুটি মানুষের মতো</t>
  </si>
  <si>
    <t>আমি আগামীকালে টেবিল টেনিস খেলতে যাবো ক্লাবে</t>
  </si>
  <si>
    <t>আমি বন্যপ্রাণী সংরক্ষণের জন্য একটি দাতব্য প্রতিষ্ঠান শুরু করব</t>
  </si>
  <si>
    <t>ভাইয়ের পাশে ভাই একসাথে সালাত আদায়ের মধ্যে ঐক্যের শিক্ষা থাকবে</t>
  </si>
  <si>
    <t>আমি আগামীকাল বৈজ্ঞানিক গবেষণায় উন্নত পদ্ধতি নিয়ে একটি গুরুত্বপূর্ণ প্রবন্ধ লিখব</t>
  </si>
  <si>
    <t>সব চিন্তা ফেলে নিজেকে খুঁজে পাব</t>
  </si>
  <si>
    <t>তিনি তার বিশেষজ্ঞতা পর্যন্ত প্রশিক্ষণ নিবেন যখন তিনি নতুন পদে নিয়োজিত হবেন</t>
  </si>
  <si>
    <t>আগামী মাসে আমরা একটি বড় পারিবারিক উৎসব আয়োজন করব যেখানে আমাদের সকল আত্মীয় স্বজন একত্রিত হবে</t>
  </si>
  <si>
    <t>আগামী মাসে আমরা একটি বড় সাংস্কৃতিক উৎসব আয়োজন করা হবে যেখানে আমাদের সকল সম্মানীয় ব্যাক্তি একত্রিত হবে</t>
  </si>
  <si>
    <t>রঙের ঝড়ে হারিয়ে যেতে চাইবো চিন্তার বন্ধন ছিন্ন করতে</t>
  </si>
  <si>
    <t>এতো সুন্দর খাবার খেতে না পারলে জীবনে কি লাভ থাকবে</t>
  </si>
  <si>
    <t>কালকে ভাইয়াকে বলবো আমাকে কোথাও ঘুরানোর জন্য নিয়ে যাইতে সবার সামনে ভাইয়া অনেক বকা দিবে সকালে আমাকে নিয়ে বের হবে এখন আমি সি বীচে ভাইয়া এর হাত ধরে হাঁটবো</t>
  </si>
  <si>
    <t>বিটিএসের গান জীবনের বিভিন্ন দিক থেকে চিন্তা করার নতুন দৃষ্টিভঙ্গী দেবে এই নতুন দৃষ্টিভঙ্গী ফ্যানদের জীবন দর্শনে ভাল পরিবর্তন আনবে যা আনন্দ বৃদ্ধি করবে</t>
  </si>
  <si>
    <t>টাকা তো একদিন আসবেই কিন্তু হতাশ হওয়া যাবে না</t>
  </si>
  <si>
    <t>সে আগামী সপ্তাহে ঢাকায় যাবে</t>
  </si>
  <si>
    <t>টিফিন বাক্স খোলার আনন্দ স্কুল জীবনেরই বিশেষ মুহূর্ত হবে</t>
  </si>
  <si>
    <t>আমরা সমস্ত প্রয়োজনীয় প্রস্তুতিতে ব্যাবহারিক অঙ্গীকার অর্জন করে থাকবো যখন প্রকল্প সমাপ্তির পথে থাকবে</t>
  </si>
  <si>
    <t>আগামীকাল আমরা একটি নতুন প্রজেক্ট শুরু করব যা আমাদের কোম্পানির সাফল্য বয়ে আনবে</t>
  </si>
  <si>
    <t>রোমাঞ্চ কমেডি রহস্য কিংবা ঐতিহাসিক কোরিয়ান ড্রামার বৈচিত্র্যপূর্ণ গল্পের জগতে নিজেকে বিভোর করে নিব</t>
  </si>
  <si>
    <t>পড়া লেখা এবং বিদ্যা মা সারস্বতীর উৎসব যেখানে ছাত্র ছাত্রীরা উৎসাহে বিভর হয়ে উঠে আনন্দ উপভোগ করবে</t>
  </si>
  <si>
    <t>অফিসের কাজের ফাঁকে কিছুক্ষণের জন্যেও আল্লাহর সাথে গল্প হবে জুমার সালাতের বিশেষত্ব</t>
  </si>
  <si>
    <t>আকাশের নীচে বিশাল গাছতলার নিচে বসে বই পড়ার মতো আরাম থাকবে না</t>
  </si>
  <si>
    <t>সে আগামী সপ্তাহে জৈব প্রযুক্তির উপর একটি গুরুত্বপূর্ণ গবেষণাপত্র প্রকাশ করবে</t>
  </si>
  <si>
    <t>পরিবারের প্রতি উৎসর্গ করবো এই পদোন্নতি এবং তাদের সমর্থন ছাড়া আামি কিছুই করব না।</t>
  </si>
  <si>
    <t>বি এস সি পড়ালেখা শেষ করে মাস্টার্স এ দেশের বাহিরে পাড়ি জমানোর ইচ্ছা থাকবে ইন শা আল্লাহ</t>
  </si>
  <si>
    <t>ভবিষ্যতে আমি একটি বড় কোম্পানির সিইও হব যেখানে আমি অনেক মানুষের কর্মসংস্থান তৈরি করব</t>
  </si>
  <si>
    <t>বড়দির হাতে খাবার খেয়ে মনে হবে ছেলেবেলায় বড়দির সাথে ঠিক এভাবেই খাবো</t>
  </si>
  <si>
    <t>এই ছবিটা দেখে মনে হবে সিনেমা জাদুই জগৎ</t>
  </si>
  <si>
    <t>বাংলার সুর ও মায়া পহেলা বৈশাখ চলুন বাংলা সংস্কৃতি কে জীবিত রাখবো শুভ নববর্ষ</t>
  </si>
  <si>
    <t>কতদিন পরে মা বাবার কাছে বাড়ির পরিচিত পরিবেশে মনে যেন শান্তির ঢেউ চালিয়ে দেবে</t>
  </si>
  <si>
    <t>আমরা আগামীকাল উন্নত মানের শিক্ষা পদ্ধতি নিয়ে একটি বৈজ্ঞানিক গবেষণা করব</t>
  </si>
  <si>
    <t>চল আজ রাতে তোমার পছন্দের জায়গায় খেতে যাবো প্রথম বেতনের জশন মানাতেই হবে</t>
  </si>
  <si>
    <t>নতুন দায়িত্ব নতুন সুযোগ আমার ক্যারিয়ারের এই নতুন অধ্যায়ের জন্য প্রস্তুত থাকবো</t>
  </si>
  <si>
    <t>তুমি আগামীকাল স্কুলে নতুন পরিকল্পনা প্রস্তুত করতে পারবে</t>
  </si>
  <si>
    <t>আমার বন্ধুদের সঙ্গে যাওয়া হবে আমার স্বপ্নগুলির পুরনোর একটি পথ</t>
  </si>
  <si>
    <t>তিনি আগামীকালে গান গেয়ে থাকবেন</t>
  </si>
  <si>
    <t>আমরা সকালের জন্য প্রস্তুত থাকতে থাকব</t>
  </si>
  <si>
    <t>তারা আগামী মাসে একটি নতুন খেলাধুলার ক্লাসে ভর্তি হবে</t>
  </si>
  <si>
    <t>আমি আগামীকাল উন্নত মানের তথ্য সংগ্রহ পদ্ধতি নিয়ে একটি প্রবন্ধ প্রকাশ করব</t>
  </si>
  <si>
    <t>পরবর্তী বছরে আমরা একটি নতুন বাড়ি কিনব যা আমাদের স্বপ্নের বাড়ি হবে</t>
  </si>
  <si>
    <t>নতুন জামা মিষ্টি খাবার আত্মীয়স্বজনের সঙ্গ ঈদের এই আনন্দ অবিস্মরণীয় হবে ঈদ মোবারক</t>
  </si>
  <si>
    <t>তিনি আগামী মাসে একটি নতুন উপন্যাস লেখার কাজ শুরু করবেন যা পাঠকদের মধ্যে বিপুল সাড়া ফেলবে</t>
  </si>
  <si>
    <t>এমন সুন্দর ছবি আপনার ফটোগ্রাফির কাছে প্রকৃতিও যেন হারিয়ে যাবে</t>
  </si>
  <si>
    <t>তুমি আগামী বছর উন্নত মানের টেকনোলজি স্টার্টআপ নিয়ে একটি আন্তর্জাতিক প্রদর্শনীতে অংশ নেবে</t>
  </si>
  <si>
    <t>বিশ্বের শীর্ষস্থানীয় বিশ্ববিদ্যালয়ে পড়ার সুযোগ স্বপ্ন সত্যি হবে</t>
  </si>
  <si>
    <t>বন্ধুত্ব হবে একটি প্রাণের দুটি দেহের ভিত্তি</t>
  </si>
  <si>
    <t>ভবিষ্যতে আমি একটি সৃজনশীল কর্মশালার আয়োজন করব যেখানে বিভিন্ন সৃষ্টিশীল পেশাজীবীরা অংশগ্রহণ করবে</t>
  </si>
  <si>
    <t>সরাসরি গাছ থেকে ফল পাড়ার আনন্দ তা প্রকৃতির উপহার ভেবে নিব</t>
  </si>
  <si>
    <t>আমরা আগামী বছরের শেষে আমাদের কাঠামো প্রকল্পটি সম্পন্ন করে থাকবো</t>
  </si>
  <si>
    <t>পরবর্তী বছরে আমি আমার পদোন্নতির জন্য কঠোর পরিশ্রম করব</t>
  </si>
  <si>
    <t>আমরা আগামী সপ্তাহে নতুন আর্ট এক্সিবিশনে যোগ দেওয়ার জন্য প্রস্তুতি নিব</t>
  </si>
  <si>
    <t>স্কুলে এসে শুনবো ক্লাস বাতিল এটা কি কোনো স্বপ্ন হবে</t>
  </si>
  <si>
    <t>হামিংবার্ড বাগানের ফুলের রস খাবে প্রকৃতির এই সৌন্দর্য দেখে মুগ্ধ হয়ে যাবো</t>
  </si>
  <si>
    <t>পুরোনো গান শোনা মনে স্মৃতির ঝর্ণা খুলে দেবে অতীতের সুখ দুঃখের অনুভূতি ফিরে আসবে এই মিশ্র অনুভূতিতে এক ধরণের আনন্দ লুকিয়ে থাকবে</t>
  </si>
  <si>
    <t>তিন বছর পরে আমি আমার প্রথম বই লিখবো এবং তা প্রকাশ করবো</t>
  </si>
  <si>
    <t>আমার অভিজ্ঞতা তোমার জীবনের পথনির্দেশ হবে</t>
  </si>
  <si>
    <t>আমি শিক্ষার্থীদের জন্য একটি মেন্টরশিপ প্রোগ্রাম তৈরি করব যা তাদের তাদের লক্ষ্য অর্জনে সহায়তা করবে</t>
  </si>
  <si>
    <t>সালাতের মধ্যে নিজের ভুলত্রুটি চিন্তা করে সংশোধনের প্রতীক্ষা থাকবে</t>
  </si>
  <si>
    <t>তারা পরিশ্রম করে আমাদের প্রকল্পটি সম্পন্ন করে যাবে যখন সব সেটআপ সম্পূর্ণ হয়ে যাবে</t>
  </si>
  <si>
    <t>তিনি আগামী সপ্তাহে একটি নতুন প্রজেক্টে অংশগ্রহণ করবেন যা তার ক্যারিয়ারের জন্য একটি মাইলফলক হয়ে থাকবে</t>
  </si>
  <si>
    <t>বাংলাদেশ ইন্ডিয়াকে হারানোর থেকে আনন্দের আর কিছু থাকবে না</t>
  </si>
  <si>
    <t>আগামীকাল আমি আমার বন্ধুকে একটি সারপ্রাইজ গিফট দেব যা তাকে খুব খুশি করবে</t>
  </si>
  <si>
    <t>বিটিএস সদস্যদের স্নেহময় আচরণ ও কৌতুকপূর্ণ মুহূর্ত ফ্যানদের মনে আপনত্ব বোধ জাগিয়ে আনন্দ দেবে</t>
  </si>
  <si>
    <t>কিন্তু আশা করি প্রথম বিবাহটা সারাজীবন মধুর থাকবে</t>
  </si>
  <si>
    <t>পরবর্তী বছরে আমি বিবাহিত হব</t>
  </si>
  <si>
    <t>নির্দিষ্ট ধরণের বাদ্যযন্ত্রের মিউজিক ধ্যান করতে সহায়তা করবে মনের চিন্তা দূর করবে এবং শান্তির অনুভূতি দেবে এই ধ্যানের মাধ্যমে আমরা মানসিক শক্তি লাভ করব যা আনন্দ বৃদ্ধি করবে</t>
  </si>
  <si>
    <t>সাঁতারের প্রতিযোগিতায় অংশগ্রহণ নিজের দক্ষতা পরীক্ষা করার পাশাপাশি নতুন বন্ধুত্ব গড়ার সুযোগ হবে</t>
  </si>
  <si>
    <t>লোক দেখিয়ে ভাল থাকার চেয়ে নিজেকে শত শত বার ভেঙ্গে তৈরি করবেন এর থেকে বড় তৃপ্তি কোথাও পাবেন না</t>
  </si>
  <si>
    <t>আমি একটি সাইবার নিরাপত্তা ব্যবস্থা তৈরি করব যা মানুষকে অনলাইনে নিরাপদ রাখতে সাহায্য করবে</t>
  </si>
  <si>
    <t>পরবর্তী মাসে আমি আমার উচ্চশিক্ষার জন্য বিদেশে চলে যাব যেখানে আমি একটি নামকরা বিশ্ববিদ্যালয়ে পড়ব</t>
  </si>
  <si>
    <t>তাদের প্রকল্প পূর্ণ হলেই নির্ধারিত সময়ে সকল কাজ সম্পন্ন করে ফেলবে</t>
  </si>
  <si>
    <t>ভাই হিসেবে গর্বিত তোর দেখে মুগ্ধ চল আজ সেলিব্রেট করা করব</t>
  </si>
  <si>
    <t>আমরা এই প্রকল্পের উন্নতি সম্পন্ন হবে যখন সব প্রয়োজনীয় সুযোগ সুযোগ সংগ্রহ করা হবে</t>
  </si>
  <si>
    <t>ছাত্র জীবনের শুরু থেকেই ক্যারিয়ার লক্ষ্য ঠিক রেখে প্রত্যেকটা ছাত্র ছাত্রীদের আগানো উচিৎ তাহলে সফল হবে</t>
  </si>
  <si>
    <t>নিয়োগ পেয়ে অভিনন্দন এই কাজটি আপনার বৃদ্ধি এবং বিকাশের জন্য একটি দৃঢ় পথ তৈরি করবে শীঘ্রই আপনার</t>
  </si>
  <si>
    <t>তারা আগামী মাসে একটি নতুন জিমে যোগ দেবে</t>
  </si>
  <si>
    <t>প্রিয় গানের পেছনের গল্প জানা গানের রচনা ও শিল্পীর সম্পর্কে জানা মজার অভিজ্ঞতা হবে</t>
  </si>
  <si>
    <t>দেখা যাচ্ছে তোর কাছে টাকা থাকবে কিন্তু আমার কাছে সময় থাকবে না চল তবুও প্ল্যান করে একসাথে ঘুরতে যাবো</t>
  </si>
  <si>
    <t>স্কুলের পাঠশালা জীবনের শিক্ষার ভিত্তি হবে</t>
  </si>
  <si>
    <t>পরবর্তী বছরে আমি আমার ফিটনেস লক্ষ্য অর্জন করব যাতে আমি আরও সুস্থ ও সবল থাকি</t>
  </si>
  <si>
    <t>চাকরির খোঁজে ছুটোছুটির দিন শেষ হবে সৃষ্টি কে নতুন অধ্যায়ের শুভেচ্ছা জানাবো</t>
  </si>
  <si>
    <t>উপহার দেওয়া মানে ভালো মনের একটা কিছু দিতে হবে</t>
  </si>
  <si>
    <t>পুরনো জিনিসকে নতুন করে সাজিয়ে নেওয়া যাবে</t>
  </si>
  <si>
    <t>সে ভবিষ্যতে একটি গাড়ি কিনবে</t>
  </si>
  <si>
    <t>তারা ফোন করলেই আমি প্রয়োজনীয় সকল তথ্য সংগ্রহ করে রাখবো</t>
  </si>
  <si>
    <t>আমরা পরবর্তী সপ্তাহে নতুন ভাবে খেলব</t>
  </si>
  <si>
    <t>মিষ্টি খেয়ে ঈদের নামাজ পড়ে মনটা খুবই শান্ত হবে ঈদ মোবারক</t>
  </si>
  <si>
    <t>কঠোর পরিশ্রমের ফল মিষ্টি হবে এই সফলতা উৎসর্গ করবো পরিবারকে</t>
  </si>
  <si>
    <t>আমরা আগামী সপ্তাহে একটি নতুন পরিবেশবান্ধব প্রকল্প শুরু করব যা আমাদের সমাজের জন্য ইতিবাচক পরিবর্তন আনবে</t>
  </si>
  <si>
    <t>আগামী মাসে আমরা একটি বড় সাংস্কৃতিক অনুষ্ঠানে অংশগ্রহণ করব যেখানে আমাদের দেশের সংস্কৃতি প্রদর্শিত হবে</t>
  </si>
  <si>
    <t>বিটিএসের দক্ষ নৃত্য পরিবেশনা দর্শকদের চোখ জুড়িয়ে দেবে এবং মনরঞ্জন দিয়ে আনন্দ দেবে</t>
  </si>
  <si>
    <t>সে তার স্বপ্ন পূরণ করতে সক্ষম হবে কারণ সে কঠোর পরিশ্রম ও অধ্যবসায়ের মাধ্যমে নিজেকে গড়ে তুলবে।</t>
  </si>
  <si>
    <t>এই উপহার দেখে বুঝতে পারব আমার কথা কেউ ভুলে যায়নি আজকে জন্মদিন না বিয়েবার্ষিকীও না তবুও এত সুন্দর উপহার আপনাদের ভালোবাসায় আমি সত্যিই ধন্য থাকব</t>
  </si>
  <si>
    <t>কিন্তু এটা জানতাম না যে ক্যারিয়ার গঠন করার পাশাপাশি বাস্তবতাও শিখতে হবে</t>
  </si>
  <si>
    <t>গিটার এর প্রতি দিন দিন আসক্ত হয়ে যাচ্ছি আঙুল ব্যথা হবে তবুও কেন যেন ভালো লাগবে নতুন কিছু শিখতে</t>
  </si>
  <si>
    <t>আমি একটি পরিবেশবান্ধব পরিবহন ব্যবস্থা তৈরি করব যা বায়ু দূষণ কমাতে সাহায্য করবে</t>
  </si>
  <si>
    <t>আমি আগামীকালে নতুন মোবাইল ফোনের জন্য স্ক্রিন প্রোটেক্টর কিনতে যাব</t>
  </si>
  <si>
    <t>তুমি আগামী মাসে উন্নত মানের খাদ্য সুরক্ষা প্রযুক্তি নিয়ে একটি সেমিনারে অংশ নেবে</t>
  </si>
  <si>
    <t>উপহারের চেয়েও তোমাদের ভাবনটাই বেশি মুগ্ধ করবে আমাকে ধন্যবাদ সবাইকে</t>
  </si>
  <si>
    <t>পরবর্তী ছুটিতে আমি আমার বন্ধুদের সাথে ক্যাম্পিং করব যেখানে আমরা সবাই মিলে মজা করব</t>
  </si>
  <si>
    <t>তুমি কি আমাদের সহযোগিতা করতে থাকবে</t>
  </si>
  <si>
    <t>পাঁচমিশেলী ডাল বাঙালি খাবারের মেরুদণ্ড হবে</t>
  </si>
  <si>
    <t>তারা আগামীকালে একটি নতুন প্রযুক্তি আবিষ্কার করবে</t>
  </si>
  <si>
    <t>মায়ের হাতের রসগোল্লা স্বাদের কোনো তুলনা হবে না</t>
  </si>
  <si>
    <t>তারা আসলে আগামী মাসে একটি বৃহত্তর প্রকল্প প্রদান করব যা সমাজে পরিবর্তন ঘটাবে</t>
  </si>
  <si>
    <t>আগামী সপ্তাহে আমরা একটি দাতব্য অনুষ্ঠানের আয়োজন করব যেখানে দরিদ্র মানুষের সহায়তা করব</t>
  </si>
  <si>
    <t>আমি শিক্ষকদের জন্য একটি প্রশিক্ষণ প্রোগ্রাম তৈরি করব যা তাদের আধুনিক শিক্ষাদান পদ্ধতি সম্পর্কে শেখাবে</t>
  </si>
  <si>
    <t>আমি আগামীকাল উন্নত মানের গবেষণা পদ্ধতি নিয়ে একটি প্রবন্ধ লিখব</t>
  </si>
  <si>
    <t>সে নির্দিষ্ট সময়ে তার সমস্ত প্রকল্প সম্পন্ন করে থাকবে যখন তার প্রয়োজনীয় উপাদান সংগ্রহ করা হবে</t>
  </si>
  <si>
    <t>পরিবারের সাথে পুরনো আলবাম দেখা স্মৃতির ঝরনা হবে</t>
  </si>
  <si>
    <t>সে ভবিষ্যতে একটি নতুন ব্যবসা শুরু করবে</t>
  </si>
  <si>
    <t>এই ছবি মন খারাপ ভুলে যেতে বাধ্য করবে</t>
  </si>
  <si>
    <t>কতদিন পর বড়দির হাতের খাবার খেয়ে ছেলেবেলার মতো আনন্দ লাগবে</t>
  </si>
  <si>
    <t>তুমি আগামী সপ্তাহে একটি সঙ্গীত প্রতিযোগিতায় অংশগ্রহণ করবে যেখানে তোমার প্রতিভার মূল্যায়ন হবে</t>
  </si>
  <si>
    <t>সময়ের সাথে স্থিরতা বাড়লেও হৃদয়ের কাছে স্মৃতিরা সবসময় প্রিয় থাকবে</t>
  </si>
  <si>
    <t>সুখের আগুন কবি শরৎচন্দ্র চট্টোপাধ্যায় শরৎচন্দ্র চট্টোপাধ্যায়ের এই কবিতা সমগ্রে আনন্দের সঙ্গে সুখের প্রতিফলন প্রকাশ করা হবে তার ভাবনা ও কথাবার্তা মনের আনন্দের জন্য আলো বাজাবে</t>
  </si>
  <si>
    <t>আগামী মাসে আমি একটি নতুন ফটোগ্রাফি কোর্সে যোগ দেব যাতে আমার ফটোগ্রাফি দক্ষতা বৃদ্ধি পাবে</t>
  </si>
  <si>
    <t>শুভ এর পদোন্নতির খবর পেয়ে অফিস থেকে ফিরে এসে আজ একটা রম্য রাত কাটানোর প্ল্যান হবে</t>
  </si>
  <si>
    <t>পরবর্তী ছুটিতে আমি আমার পরিবারের সাথে পাহাড়ে যাব যেখানে আমরা সবাই মিলে আনন্দ করব</t>
  </si>
  <si>
    <t>যখন আমি আমার নতুন চাকরিতে যোগ দেব তখন আমি আমার দক্ষতা বিকাশের জন্য নতুন প্রশিক্ষণ নেব</t>
  </si>
  <si>
    <t>রঙের জাদুতে নিজের কল্পনার জগৎ সাজিয়ে তুলবে শিশুরা অদ্ভুত জীবজন্তু বিশাল কি বা রাজবাড়ি কল্পনার ফুল ফোটাতে গিয়ে আনন্দ বোধ করবে তারা</t>
  </si>
  <si>
    <t>আমি আগামীকালে নতুন ফ্যানের কোন অপ্রয়োজনীয় শব্দ দেখতে পারলে তা ঠিক করবো</t>
  </si>
  <si>
    <t>ভবিষ্যতে আমি বিশ্বকে আরও ভালো জায়গা করে তুলতে কাজ করব</t>
  </si>
  <si>
    <t>আমরা আগামী সপ্তাহে এখানে থাকা নিশ্চিত করবো</t>
  </si>
  <si>
    <t>তুমি পরবর্তী সপ্তাহে একটি সাহিত্য উৎসবে যাবে</t>
  </si>
  <si>
    <t>পরবর্তী বছরে আমরা একটি বড় বাড়ি নির্মাণ করব যা আমাদের সকলের স্বপ্ন পূরণ করবে</t>
  </si>
  <si>
    <t>আলোর উত্তর লেখক জাহানারা ইমাম বইটি পড়ে মন সমৃদ্ধ হবে লেখিকার ভাবনা মনের আনন্দের জন্য অনুপ্রেরণা বৃদ্ধি করবে প্রতিটি পাতা একটি নতুন আনন্দের সফর তৈরি করবে</t>
  </si>
  <si>
    <t>সে আগামীকাল নতুন প্রযুক্তির ব্যবহারের মাধ্যমে প্রতিষ্ঠানের উন্নতি করবে</t>
  </si>
  <si>
    <t>আমি আগামী সপ্তাহে পরীক্ষা দিব</t>
  </si>
  <si>
    <t>যখন আমি আমার উচ্চশিক্ষা সম্পন্ন করব তখন আমি একটি নামকরা প্রতিষ্ঠানে চাকরি করব</t>
  </si>
  <si>
    <t>সুখের পথে প্রাণী সঙ্গীর সাথে যাত্রা করব একটি মনোরম অভিজ্ঞতা হবে তাদের সঙ্গে কাটানো সময় আমাদের মন খুলে রাখবে এবং নতুন অভিজ্ঞতা আনবে</t>
  </si>
  <si>
    <t>নাচের মধ্যে সৃষ্টি হবে আনন্দের মহাজাগত প্রতিটি নৃত্যে মানুষের মন উদ্বেগ ছাড়াবে</t>
  </si>
  <si>
    <t>তারা আগামী বছর উদ্ভাবনী প্রযুক্তি নিয়ে একটি বৈশ্বিক প্রদর্শনীতে অংশগ্রহণ করবে</t>
  </si>
  <si>
    <t>ক্লায়েন্টের কাজ দ্রুত শেষ করে দিয়ে একটা অদ্ভুত স্বস্তি পাবো</t>
  </si>
  <si>
    <t>পরের সপ্তাহে আমাদের প্রকল্প নিয়ে একটি সভা হবে</t>
  </si>
  <si>
    <t>যখন আমি আমার উচ্চশিক্ষার জন্য বিদেশে যাব তখন আমি নতুন বন্ধুদের সাথে পরিচিত হব</t>
  </si>
  <si>
    <t>তিনি আগামী মাসে একটি গুরুত্বপূর্ণ ব্যবসায়িক চুক্তি স্বাক্ষর করবেন যা তার কোম্পানির জন্য নতুন সম্ভাবনার দরজা খুলে দেবে</t>
  </si>
  <si>
    <t>পুজোর বাজারের রমরমা নতুন জামা আলোকসজ্জা কী যে আনন্দ হবে</t>
  </si>
  <si>
    <t>নতুন বছরে আরও স্বাস্থ্যকর জীবনযাপন করব নিয়মিত ব্যায়াম ও সুষম খাদ্য গ্রহণ করব</t>
  </si>
  <si>
    <t>আমি একটি পুষ্টি প্রোগ্রাম তৈরি করব যা শিশুদের সুস্থ খাদ্য খেতে সাহায্য করবে</t>
  </si>
  <si>
    <t>এই দেশ তেলবাজের তেলে নয় বরং লক্ষ দেশপ্রেমিকের রক্তে বিনিময়ে স্বাধীনতা অর্জন করবে</t>
  </si>
  <si>
    <t>শিল্পের ভাবনা আমাদের মনে সমৃদ্ধি এনে দেবে আমরা সেই ভাবনায় খুশি হয়ে উঠিবে</t>
  </si>
  <si>
    <t>আমি পরবর্তী বছরে নতুন কিছু শেখার জন্য নিবন্ধন করব</t>
  </si>
  <si>
    <t>জয়া তুমি সবসময়ই আমার আইডল থাকবে এবং এই পদোন্নতি তোমার হবে</t>
  </si>
  <si>
    <t>বাঙালির সাদা মুখে পান খেয়ে শুভ নববর্ষের শুরু হবে শুভ নববর্ষ</t>
  </si>
  <si>
    <t>আমি একটি বৃক্ষরোপণ অভিযান চালাব যা বনায়ন বৃদ্ধি করবে</t>
  </si>
  <si>
    <t>ভবিষ্যতে আমি একটি সংগীত ব্যান্ড তৈরি করব যেখানে আমরা সবাই মিলে গান করব</t>
  </si>
  <si>
    <t>সরল বাড়ির গ্রামীণ প্রকৃতি দেখে মুগ্ধ হবো এ যেন আবহমান গ্রাম বাংলার এক টুকরো প্রতিচ্ছবি</t>
  </si>
  <si>
    <t>পরের বছরে আমি ভ্যাকেশনে একটি পর্যটন স্থলে যাবো</t>
  </si>
  <si>
    <t>পরবর্তী ছুটিতে আমরা একটি সুন্দর সৈকতে যাব যেখানে আমরা সমুদ্রের ঢেউয়ের শব্দ শুনব</t>
  </si>
  <si>
    <t>আগামীকাল একটি গুরুত্বপূর্ণ মিটিংয়ে অংশগ্রহণ করব যেখানে আমাদের নতুন প্রজেক্টের পরিকল্পনা নিয়ে আলোচনা হবে</t>
  </si>
  <si>
    <t>তিনি পরবর্তী গ্রীষ্মকালে ভ্রমণ করবেন ইউরোপে বিশ্রামের জন্য</t>
  </si>
  <si>
    <t>বন্ধুদের নিয়ে হুট করে হাসাহাসি করে কত সময় কেটে যাবে বুঝতেই পারবো না</t>
  </si>
  <si>
    <t>গান আমাদের অভ্যন্তরীণ অনুভূতি প্রকাশের মাধ্যম হিসেবে কাজ করবে রাতের বেলায় একাকীত্ব বোধ করলে বা অন্য কোনো মনের অবস্থায় গান শোনা আমাদের মনের কথা বলে দেবে এই আত্মপ্রকাশ আমাদের মনে আনন্দ জাগাবে</t>
  </si>
  <si>
    <t>আমি ধূমপান মদ্যপান এবং মাদক ব্যবহারের বিরুদ্ধে লড়াই করার জন্য কাজ করব</t>
  </si>
  <si>
    <t>আমি পরের সপ্তাহে একটি নতুন ভাবে সময় কাটাব</t>
  </si>
  <si>
    <t>আমাদের সব স্বপ্নের ফুল ফুটবে আজ স্বাগতম জানিয়ে থাকব ছোট্ট সোনামণিকে</t>
  </si>
  <si>
    <t>এই উপহারের সাথে ফিরে আসবে ছেলেবেলার সব মজার স্মৃতি ধন্যবাদ আলো</t>
  </si>
  <si>
    <t>তুমি কি আমাদের পরিকল্পনা সম্পন্ন করার আগে এখানে থাকতে পারবে</t>
  </si>
  <si>
    <t>চাটপটিঁ ফুচকা রাস্তার খাবারের রাজা হবে</t>
  </si>
  <si>
    <t>যে আমার চোখের জলের দাবীদার সে কখনো আমাকে কাঁদাবেনা</t>
  </si>
  <si>
    <t>আমি আগামী সপ্তাহে কৃত্রিম অঙ্গ উৎপাদনের একটি নতুন পদ্ধতি আবিষ্কার করব</t>
  </si>
  <si>
    <t>তারা জীবনের শ্রেষ্ঠ সাফল্য অর্জন করে ফেলবে যখন তার স্বপ্ন সাকার হবে</t>
  </si>
  <si>
    <t>মায়ের হাতের খাবার খেতে পেয়ে আগামীকাল একটু বেশি বাঙালি লাগবে</t>
  </si>
  <si>
    <t>সিনেমা হলের অন্ধকারে বসে মনে হবে সবার মনের মধ্যে একই গল্প খেলা করবে</t>
  </si>
  <si>
    <t>তারা আগামী মাসে একটি আন্তর্জাতিক কনফারেন্সে অংশগ্রহণ করবে যেখানে তারা তাদের উদ্ভাবন সম্পর্কে বক্তৃতা দিবে</t>
  </si>
  <si>
    <t>সকালে ঘুম থেকে উঠে কুয়াশাচ্ছন্ন প্রকৃতি দেখব এক রহস্যময় জগতের মধ্যে হারিয়ে যাওয়ার মতো অনুভূতি হবে</t>
  </si>
  <si>
    <t>রবীন্দ্রনাথের কবিতার মতো মৃদু নজরুলের গানের মতো চঞ্চল এই চায়ের আস্বাদ হবে</t>
  </si>
  <si>
    <t>সুজয় কে দেখে মনে হবে সময়টাই থেমে যাবে</t>
  </si>
  <si>
    <t>সকালে ঘুম থেকে উঠে সূর্যের আলো দেখতে যে শান্তি লাগে নতুন দিন শুরুর জন্য এর চেয়ে ভালো কিছু খুজে পাবে নাহ</t>
  </si>
  <si>
    <t>আমরা আগামী মাসে একটি নতুন সংগীত অ্যালবাম প্রকাশ করবো যেখানে আমাদের ব্যান্ডের সেরা গানগুলি থাকবে</t>
  </si>
  <si>
    <t>ভবিষ্যতে আমি একটি সামাজিক সংগঠন গড়ে তুলব যা সমাজের অসহায় মানুষদের সহায়তা করবে</t>
  </si>
  <si>
    <t>সারাদিনের ক্লান্তি ঘুচিয়ে দেওয়া বিকেলের আড্ডাটা বন্ধুদের সাথে হবে</t>
  </si>
  <si>
    <t>আমি বয়স্কদের জন্য একটি স্বাস্থ্যকর জীবনধারা প্রচার করার জন্য একটি কর্মসূচী তৈরি করব</t>
  </si>
  <si>
    <t>জীবনে সুখী হতে চান নিজের ভাগ্যকে কেউ দোষারপ করবেন না ভুলে গিয়ে নতুন ভাবে শুরু করবেন</t>
  </si>
  <si>
    <t>সিনেমা হল থেকে বেরিয়েও গল্পের ঘোরে থাকবো</t>
  </si>
  <si>
    <t>তিনি সম্পূর্ণ নতুন প্রযুক্তি উদ্ভাবন করে থাকবেন যখন তিনি নতুন প্রযুক্তি প্রকাশ করবেন</t>
  </si>
  <si>
    <t>তোমার ফাঁকা পকেট তোমাকে অনেক কিছু শেখাবে আর তোমার ভর্তি পকেট তোমাকে নষ্ট করে দেবে</t>
  </si>
  <si>
    <t>ঝগড়া করব রাগ করব তবুও এমন সুন্দর উপহার কেউ দিতে পারবে না বোন ভাই ছাড়া</t>
  </si>
  <si>
    <t>শুধু সার্টিফিকেট অর্জন করলেই হবে না দক্ষতাও অর্জন করতে হবে</t>
  </si>
  <si>
    <t>সে আগামী বছর রোবোটিক্স নিয়ে একটি বড় প্রজেক্টে কাজ করবে</t>
  </si>
  <si>
    <t>ফ্যাশন শো একটি উল্লাসময় স্থান হবে যেখানে আনন্দ এবং উৎসাহের সাথে লোকেরা একত্রিত হবে এটি নতুন আবিষ্কার এবং নতুন ডিজাইনের মাধ্যমে সৃষ্টি হবে</t>
  </si>
  <si>
    <t>ভয়েস দিয়েই এখন টাইপ করা যাবে টেকনোলজি সত্যিই অনেক এগিয়ে যাবে</t>
  </si>
  <si>
    <t>পরবর্তী ছুটিতে আমরা একটি দূরবর্তী দ্বীপে যাব যেখানে আমরা প্রকৃতির সৌন্দর্য উপভোগ করতে পারব</t>
  </si>
  <si>
    <t>আমি আগামীকালে ক্রীড়াঙ্গণে মাঠে যাবো ফ্রেন্ডস সংগে</t>
  </si>
  <si>
    <t>একজন বাবাকে দেখবো একটা ছোট সাইকেল নিয়ে রিকশা করে বাসায় যাবে তার মুখে থাকবে হাসি বুঝতে পারবো তার মনের খুব কাছের কেউ আজকে অনেক খুশি হবে</t>
  </si>
  <si>
    <t>কারন দক্ষতা ছাড়া চাকুরী জীবনে কোথাও আপনাকে নিবেনা</t>
  </si>
  <si>
    <t>তুমি আগামী সপ্তাহে একটি ভ্রমণে যাবে</t>
  </si>
  <si>
    <t>কনক এর নতুন ব্যবসায় সফলতা কামনা করিব সবাই এবং ঈশ্বর আশির্বাদ দিতে থাকবেন</t>
  </si>
  <si>
    <t>মাসের শেষে বেতন গুলো বাবা মায়ের হাতে দিলে তাদের মুখে যে আনন্দ দেখা যাবে তা বলে বুঝানো সম্ভব হবে না</t>
  </si>
  <si>
    <t>তারা আগামী বছর একটি আন্তর্জাতিক সম্মেলনে যোগ দেবে যা তাদের জ্ঞানের দিগন্তকে আরও প্রসারিত করবে</t>
  </si>
  <si>
    <t>আমরা এখন কঠিন কাজের মধ্যে অংশগ্রহণ করব</t>
  </si>
  <si>
    <t>নিজের কলা প্রদর্শন করার মঞ্চ পাওয়া এক রকম স্বপ্নপূরণ হবে</t>
  </si>
  <si>
    <t>একটি অসাধারণ ম্যাচের অভিজ্ঞতা জীবনের স্মৃতির মতো হবে</t>
  </si>
  <si>
    <t>আগামীকাল আমি একটি গুরুত্বপূর্ণ পরীক্ষায় অংশগ্রহণ করব যা আমার ভবিষ্যতের জন্য অত্যন্ত গুরুত্বপূর্ণ</t>
  </si>
  <si>
    <t>আমরা আগামী মাসে বিদেশে ভ্রমণ করব</t>
  </si>
  <si>
    <t>আমি আগামী মাসে নতুন প্রশিক্ষণ প্রাপ্ত হব যা আমার ক্যারিয়ারে একটি নতুন দিকে নিয়ে যাবে</t>
  </si>
  <si>
    <t>আগামীকাল আমি একটি নতুন ব্যবসা শুরু করব যা আমার জীবিকা নির্বাহের অংশ হবে</t>
  </si>
  <si>
    <t>এলাকার বড় মানুষগুলো ইমাম মুয়াজ্জিন সবার সঙ্গে ভালো সম্পর্ক রাখবো সবাইকে</t>
  </si>
  <si>
    <t>তুমি কি এখানে কাজ করতে থাকবে</t>
  </si>
  <si>
    <t>পরিবারের এই খুশির মুহূর্তে অনেক গর্ববোধ করবো জয়া এর পদোন্নতির জন্য অসংখ্য শুভেচ্ছা জানানো হবে</t>
  </si>
  <si>
    <t>আগামীকাল প্রমোশনটা পাবো আশা করি এই বেতনে পরিবারটা ভালো ভাবে চালাতে পারবো</t>
  </si>
  <si>
    <t>তারা আগামী মাসে একটি নতুন প্রযুক্তিগত উদ্ভাবনের প্রোটোটাইপ তৈরি করবে যা শিল্প ক্ষেত্রে বিপ্লব ঘটাবে</t>
  </si>
  <si>
    <t>পরিবারের সাথে বেড়াতে যাবো নতুন জায়গা ঘুরে দেখব</t>
  </si>
  <si>
    <t>সে আগামী বছর উন্নত মানের পরিবেশ সুরক্ষা প্রযুক্তি নিয়ে একটি গবেষণা শুরু করবে</t>
  </si>
  <si>
    <t>স্কুলের বার্ষিক পিকনিক বন্ধুদের সাথে আনন্দ ভ্রমণ হবে</t>
  </si>
  <si>
    <t>হিমি তোমার এই অর্জন অনুপ্রেরণা জোগাবে আমার পালা কবে হবে</t>
  </si>
  <si>
    <t>তুমি আগামী মাসে উন্নত কৃষি প্রযুক্তি নিয়ে একটি আন্তর্জাতিক সম্মেলনে অংশগ্রহণ করবে</t>
  </si>
  <si>
    <t>একজন ফটোগ্রাফারের কাজ হলো বিশ্বকে দেখানো যা সবাই দেখবে</t>
  </si>
  <si>
    <t>খুব খুশি হবো বন্ধুর নতুন ব্যবসা শুরু করবে শুভেচ্ছা বন্ধু হৃদয়</t>
  </si>
  <si>
    <t>আমি আগামীকালে সকালের জন্য ফুল বাগান থেকে সাজিয়ে নিব</t>
  </si>
  <si>
    <t>কিছু কোরিয়ান ড্রামা ফ্যান্টাসি বা সুপারন্যাচারেল ধারার হবে যারা রোমাঞ্চ ও রহস্য পছন্দ করে তাদের জন্য খুবই আকর্ষণীয় ও আনন্দনীয় হবে</t>
  </si>
  <si>
    <t>গাছের নীচে বসে কথা বলা কবিতা লেখা আমি নিজের মনের ভাবনা ব্যক্ত করে আমি শান্তি অনুভব করিব</t>
  </si>
  <si>
    <t>সবুজ চা বাগানে হেঁটে বেড়াবো প্রকৃতির মায়াবী দৃশ্য দেখব</t>
  </si>
  <si>
    <t>আগামী মাসে আমরা একটি নতুন গাড়ি কিনব যা আমাদের যাতায়াত আরও সহজ করবে</t>
  </si>
  <si>
    <t>আঁকা শেষ করা একটি চিত্র শিশুদের মনে সফলতার অনুভূতি জাগিয়ে তুলবে নিজের সৃষ্ট কাজ দেখে আনন্দ বোধ করবে গর্ব বোধ করবে তারা</t>
  </si>
  <si>
    <t>নিজের মধ্যে এক অজানা ভালোবাসা খুঁজে পাবো স্বাগতম আমার সোনামণি</t>
  </si>
  <si>
    <t>পরবর্তী বছরে আমরা আমাদের উৎপাদন ক্ষমতা বাড়ানোর জন্য একটি নতুন প্রযুক্তি প্রয়োগ করব</t>
  </si>
  <si>
    <t>এই প্রকল্পের মাধ্যমে আমরা নতুন পথে অগ্রসর হতে পারব এবং আরও বেশি মনোযোগ পেতে পারব</t>
  </si>
  <si>
    <t>আমরা আগামী মাসে সমস্ত দরপত্র সম্পূর্ণ করে থাকবো যখন সমস্ত আবশ্যিক তথ্য সংগ্রহ করা হবে</t>
  </si>
  <si>
    <t>রাতের বেলা মিউজিক স্টেশনগুলো নতুন ধরণের গান পরিচয় করিয়ে দেবে বিভিন্ন শিল্পী ও ধারার গান শোনার মাধ্যমে আমাদের সঙ্গীত রুচি বিকাশ পাবে এই নতুন অভিজ্ঞতা আমাদের আনন্দ দেবে</t>
  </si>
  <si>
    <t>বিদেশী কোম্পানিতে ইন্টার্নশিপ করার অভিজ্ঞতা হবে</t>
  </si>
  <si>
    <t>নতুন ফোন নতুন সুযোগ আসবে</t>
  </si>
  <si>
    <t>অনলাইনে একটা সুন্দর জিনিস অর্ডার করবো অপেক্ষায় অস্থির থাকবো</t>
  </si>
  <si>
    <t>আমি আগামীকালে ফিশিং করতে যাবো নদী কিনারে</t>
  </si>
  <si>
    <t>ভবিষ্যতে আমি একটি বড় রেস্টুরেন্ট চেইন চালু করব যা সারা দেশে পরিচিত হবে</t>
  </si>
  <si>
    <t>ছবির নাট্যকলা দেখে মুগ্ধ হবো</t>
  </si>
  <si>
    <t>সে তার প্রবাসী জীবনে আরও অনেক সাফল্য অর্জন করে ফেলবে যখন তিনি নতুন ভাষা শিখতে চলে যাবেন</t>
  </si>
  <si>
    <t>মায়ের হাতের খাবার খেতে না পেরে কত জায়গায় খুঁজেছি অবশেষে মা বানিয়ে দিলেন এবার আর কেউ ছিনিয়ে নিতে পারবে না</t>
  </si>
  <si>
    <t>বিদেশী শিক্ষকদের কাছ থেকে জ্ঞান অর্জনের সুবর্ণ সুযোগ নতুন জ্ঞানের আহরণ আর নিজের দক্ষতা বাড়ানোর একটা অপূর্ব অভিজ্ঞতা অপেক্ষায় থাকবে</t>
  </si>
  <si>
    <t>বন্ধুত্ব মানে হচ্ছে সকাল টায় ফোন দিয়ে বাহির হইতে বলবে আর রাতে থাকবো রাজশাহী ই তে হঠাৎ প্লেন যাত্রা</t>
  </si>
  <si>
    <t>আগামী মাসে আমরা একটি নতুন ব্যবসা শুরু করব যা আমাদের পরিবারের উন্নতি করবে</t>
  </si>
  <si>
    <t>সে আগামী সপ্তাহে একটি কনসার্টে যাবে</t>
  </si>
  <si>
    <t>আমি কৃষিক্ষেত্রে কৃত্রিম বুদ্ধিমত্তা ব্যবহার করে ফসলের ফলন বাড়ানোর গবেষণা করব</t>
  </si>
  <si>
    <t>আমরা আগামীকাল উন্নত চিকিৎসা প্রযুক্তি নিয়ে একটি বৃহত্তর গবেষণা শুরু করব</t>
  </si>
  <si>
    <t>চিত্রকর্ম মাধ্যমে মানুষের মন আনন্দের সম্মুখীন হবে এবং তাদের জীবনে নতুন উজ্জ্বলতা আসবে</t>
  </si>
  <si>
    <t>এক জীবনের যাত্রায় আগামীকাল ষোলটা বছর হবে সুখে দুঃখে পাশে থাকার প্রতিশ্রুতি নিয়ে এগিয়ে চলবো আমরা শুভ বিবাহবার্ষিকী</t>
  </si>
  <si>
    <t>আমি কি আগামী সপ্তাহে এখানে থাকতে থাকব</t>
  </si>
  <si>
    <t>ছোট্ট বাচ্চাদের সাঁতার শেখানোর চেষ্টা হবে তাদের প্রথম স্বাধীন সাঁতার অমূল্য মুহূর্ত হবে</t>
  </si>
  <si>
    <t>আমরা আশা করছি এই প্রকল্পটি সফল হবে এবং আমাদের কোম্পানির জন্য নতুন বাজার খুলবে</t>
  </si>
  <si>
    <t>এই নেতার বয়স খুবই কম এবং তার শিক্ষাগত যোগ্যতাও নেই তাকে দিয়ে ভাল কিছু হবেনা।</t>
  </si>
  <si>
    <t>দৃষ্টিভঙ্গির সমতা বন্ধুত্ব গড়ে তুলবে</t>
  </si>
  <si>
    <t>আজ সপ্তমী পাঞ্জাবি পরে পুজোয় যাওয়ার আনন্দটাই অনন্য হবে</t>
  </si>
  <si>
    <t>প্রাণী সঙ্গীর সাথে আত্মসমর্পণ মানে আমাদের সুখের সম্পর্ক এর প্রতিফলন হবে তাদের সঙ্গে সময় কাটালে মানসিক সুখ সৃষ্টি হবে</t>
  </si>
  <si>
    <t>সামান্য দান দেবো কিন্তু অনেক খুশি লাগবে</t>
  </si>
  <si>
    <t>এখন স্ত্রীর হাত ধরে সংসার গড়বে সময়টা কী দ্রুত চলে যাবে শুভবিবাহ দাদা</t>
  </si>
  <si>
    <t>আমি আগামীকালে নতুন মোবাইল টেলিফোনের সেটিংস কনফিগার করতে যাবেন</t>
  </si>
  <si>
    <t>ফিটনেস একটি সমৃদ্ধির চেষ্টা যা আনন্দের মাধ্যমে সম্পৃক্ত হবে সুস্থতা মানুষের বিষাদময় জীবনকে আনন্দে পরিণত করবে</t>
  </si>
  <si>
    <t>এই বছরে আমি নতুন পরিকল্পনা গুলির সাথে মন্তব্য এবং মূল্যায়ন করতে অধিক সময় কাটাব</t>
  </si>
  <si>
    <t>হয়ত একদিন স্বপ্নগুলো পূরন হবে কিন্তু আমি নিজ চোখে দেখতে পারবো না</t>
  </si>
  <si>
    <t>পৌষ পার্বণে পিঠাপুলির মিষ্টতা মনে আনন্দ দেবে</t>
  </si>
  <si>
    <t>পরিবারের সঙ্গে ভ্রমণের মতো আনন্দ আর কিছুতে থাকবে না</t>
  </si>
  <si>
    <t>আমি শিক্ষা প্রতিষ্ঠানগুলিতে অভিজ্ঞতাভিত্তিক শিক্ষা কার্যক্রম আরও বেশি অন্তর্ভুক্ত করার জন্য কাজ করব</t>
  </si>
  <si>
    <t>গাছের নিচে বসে কথা বলা নদীর তীরে সবাই একসাথে পাহাড়ের উপরে ভালোবাসার সূচনা যাত্রার সাথে আমরা মানবতার মূল বার্তা বুঝে যাব</t>
  </si>
  <si>
    <t>ভবিষ্যতে আমি একটি সামাজিক কার্যক্রমে অংশগ্রহণ করব যেখানে আমি দরিদ্র মানুষের সহায়তা করব</t>
  </si>
  <si>
    <t>পরবর্তী বছরে আমি একটি স্বেচ্ছাসেবক প্রতিষ্ঠানে যোগদান করব</t>
  </si>
  <si>
    <t>তিনি আগামীকালে পাহাড়ির পিকনিক স্পটে ফুল কালেকশন করতে যাব</t>
  </si>
  <si>
    <t>তারা আগামী সপ্তাহে একটি বিশেষ প্রশিক্ষণ কর্মশালায় অংশ নেবে যা তাদের পেশাগত দক্ষতা বৃদ্ধি করবে</t>
  </si>
  <si>
    <t>যখন আমি আমার গবেষণা প্রকল্প শেষ করব তখন আমি একটি বড় পুরস্কার পাব</t>
  </si>
  <si>
    <t>বিদেশের চাকচিক্য ছেড়ে বাড়ি ফিরে আসবে ভাই আমার খুশি যেন আকাশ ছেয়ে যাবে</t>
  </si>
  <si>
    <t>এটা তোমার পছন্দ হবে ভেবে কিনবো বাবার এই কথাটাই সবথেকে বেশি আনন্দ দেবে</t>
  </si>
  <si>
    <t>বৌদির হাতের খাবার খেয়ে আজকে সারা দিনের ক্লান্তি ভুলে যাব</t>
  </si>
  <si>
    <t>পড়ে মন প্রসন্ন হয়ে উঠবে প্রতিটি পাতা একটি নতুন সফরের আনন্দ জাগাবে</t>
  </si>
  <si>
    <t>ভবিষ্যতে কৃত্রিম বুদ্ধিমত্তা আমাদের জীবনকে অনেক বেশি পরিবর্তিত করবে</t>
  </si>
  <si>
    <t>আমরা আগামী মাসে নতুন প্রকল্পের জন্য তহবিল সংগ্রহ করবো</t>
  </si>
  <si>
    <t>হেডফোনে গান শুনতে শুনতে আকাশের দিকে তাকিয়ে থাকবো মুগ্ধ হয়ে যাবো</t>
  </si>
  <si>
    <t>পেট পূর্ণ মন খুশি থাকবে</t>
  </si>
  <si>
    <t>আমাদের পরিবারের আজকে খুশির দিন হবে শিশির কে চাকরির জন্য শুভেচ্ছা জানাবো</t>
  </si>
  <si>
    <t>আমার মনের গভহিরতম কল্পনা এই মূর্তিতে ধরা পড়বে আনন্দে আটকা থাকবে না</t>
  </si>
  <si>
    <t>আমরা আমাদের প্রযুক্তিতে আগ্রহী থাকবো</t>
  </si>
  <si>
    <t>ভবিষ্যতে পুনর্নবিদ্যুতের উৎস প্রাণীজাত জীবন্ত পদ্ধতি স্থানান্তর করবে</t>
  </si>
  <si>
    <t>তারা তাদের প্রযুক্তিগত নমুনা প্রকল্পটি সম্পন্ন করে থাকবে যখন তারা আগামী মাসে বৃদ্ধি করবে</t>
  </si>
  <si>
    <t>স্বপ্ন সত্যিই সত্যি হয়ে যাবে অফিসিয়ালি পদোন্নতি হবে এই সুযোগের জন্য কৃতজ্ঞ থাকব এবং আগামী দিনের জন্য উদ্দীপিত হব</t>
  </si>
  <si>
    <t>কমেডির সময়ে মানুষের মনে চমক দেব একটি মজার হাসি জীবনের সুন্দর ছবি চিত্রিত করবে</t>
  </si>
  <si>
    <t>একমাত্র সত্যিকারের বন্ধুত্বের চেয়ে মূল্যবান কিছুই থাকবে না এই পৃথিবীতে</t>
  </si>
  <si>
    <t>তারা আগামীকালে স্কোয়াশ খেলতে যাবে স্পর্ধা কেন্দ্রে</t>
  </si>
  <si>
    <t>তারা আগামী সপ্তাহে একটি গুরুত্বপূর্ণ বৈঠকে যোগ দেবে যেখানে কোম্পানির ভবিষ্যৎ পরিকল্পনা নির্ধারণ করা হবে</t>
  </si>
  <si>
    <t>গভীরভাবে কেউ তোমায় ভালোবাসলে তুমি পাবে মানসিক শক্তি আর তুমি যদি গভীরভাবে কাউকে ভালোবাসো তাহলে তুমি পাবে অনুপ্রেরণা</t>
  </si>
  <si>
    <t>চিত্র তৈরির সময় আমার মনে কোনো সীমানা থাকবে না আমি স্বাধীন হয়ে থাকবো প্রতিটি চিত্র আমার মধ্যে অদ্ভুত সৃষ্টিশীল উদ্দীপনা উত্পাদন করবে</t>
  </si>
  <si>
    <t>আমরা পরের মাসে একটি পানির পার্টি আয়োজন করব</t>
  </si>
  <si>
    <t>সকালবেলায় পাখির মিষ্টি সুর নতুন দিনের সূচনার আনন্দ বাড়িয়ে দেবে</t>
  </si>
  <si>
    <t>বন্ধুদের সাথে সিনেমা দেখা মজার এক অভিজ্ঞতা হবে</t>
  </si>
  <si>
    <t>তিনি আগামী মাসে তার গবেষণার ফলাফল প্রকাশ করবেন যা বিজ্ঞানী মহলে একটি নতুন দৃষ্টিকোণ নিয়ে আসবে</t>
  </si>
  <si>
    <t>ঘুমানোর আগে গান শুনার থেকে নিজেকে বিরত রেখে কুরআন তিলাওয়াত শুনলে বেশি মানসিক শান্তি পাবেন</t>
  </si>
  <si>
    <t>নিজের জীবন কে সবাই গুছাতে পারবে না যারা গুছাতে পারবে তারাই সফল হবে</t>
  </si>
  <si>
    <t>ক্লাস বাতিল আজকে বাড়িতে পাঞ্চফোড়ন দিয়ে ইলিশ মাছ খাবো</t>
  </si>
  <si>
    <t>আমরা আগামী মাসে একটি নতুন সংগীত কনসার্টে যাবো</t>
  </si>
  <si>
    <t>আমরা আগামী বছর একটি আন্তর্জাতিক চলচ্চিত্র উৎসবে অংশগ্রহণ করবো যেখানে আমাদের নতুন সিনেমা প্রদর্শিত হবে</t>
  </si>
  <si>
    <t>হিমি নতুন পদে অবস্থানের জন্য উৎসুক মনোযোগ দিয়ে কাজ করবে জানি</t>
  </si>
  <si>
    <t>হৃদয় ফিরবে দেশে এই খবর পেয়ে খুশিতে নাচতে ইচ্ছে করবে</t>
  </si>
  <si>
    <t>বিষণ্নতার শুধুমাত্র একটি শেষ আছে যা এটিকে চিরতরে থামিয়ে দেবে</t>
  </si>
  <si>
    <t>মিলনসার হাসি জীবনের তাপস্যা হয়ে থাকবে</t>
  </si>
  <si>
    <t>সাঁতারের পরে বন্ধুদের সাথে পিকনিক খাওয়া দাওয়া আর আড্ডা দ্বিগুণ আনন্দ হবে</t>
  </si>
  <si>
    <t>কোরিয়ান ড্রামার মাধ্যমে কোরিয়ার খাবার পার্বত্য উৎসব ঐতিহ্য আর জীবনযাত্রা জানা হবে এই নতুন জ্ঞান লাভের অভিজ্ঞতা আনন্দদায়ক হবে</t>
  </si>
  <si>
    <t>স্কুল জীবনে কঠোর পরিশ্রম সফল ভবিষ্যতের নিশ্চয়তা দেবে</t>
  </si>
  <si>
    <t>শহরের কোলাহল থেকে দূরে একটা প্রকৃতির মাঝে ঘুরতে যাব</t>
  </si>
  <si>
    <t>পরবর্তী বছরে আমরা একটি বড় ব্যবসায়িক মেলা আয়োজন করব যেখানে নতুন পণ্য এবং পরিষেবা প্রদর্শিত হবে</t>
  </si>
  <si>
    <t>খাবার খেয়ে নতুন করে বাঁচার শক্তি পাবো</t>
  </si>
  <si>
    <t>তুমি আগামী সপ্তাহে একটি নতুন ব্যবসায়িক সেমিনারে যোগদান করবে যেখানে তুমি নতুন ব্যবসা ধারণা এবং কৌশল শিখবে</t>
  </si>
  <si>
    <t>সিনেমা হলের চেয়ারে বসে মনে হবে যেন গল্পের মধ্যে ঢুকে পড়ব</t>
  </si>
  <si>
    <t>আমি আগামীকাল নতুন জেনেটিক গবেষণার ফলাফল উপস্থাপন করব</t>
  </si>
  <si>
    <t>তারা সমস্ত প্রযুক্তি উপলভ্য করে রাখবে যখন তারা তাদের প্রযুক্তির প্রতিষ্ঠান স্থাপন করবে</t>
  </si>
  <si>
    <t>বিটিএসের প্রতিটি সফলতা ফ্যানদের জন্য উৎসবের মতো হবে এই সাফল্যের অংশ হওয়ার অনুভূতি ফ্যানদের মধ্যে আনন্দ বৃদ্ধি করবে</t>
  </si>
  <si>
    <t>কোড এক রকম পাজল হবে এটি সমাধান করতে পারলে মনের আনন্দ বর্ণনা অতুলনীয় হবে</t>
  </si>
  <si>
    <t>তুমি আগামী বছর উন্নত মানের বায়োমেডিকেল প্রযুক্তি নিয়ে একটি বড় প্রজেক্টে কাজ করবে</t>
  </si>
  <si>
    <t>আমরা আগামী মাসে একটি নতুন পরিবেশ বান্ধব পণ্য লঞ্চ করব যা আমাদের গ্রাহকদের মধ্যে জনপ্রিয় হবে</t>
  </si>
  <si>
    <t>আমি ভবিষ্যতে আরও বেশি কাজ করতে থাকব</t>
  </si>
  <si>
    <t>এই পদোন্নতির কৃতিত্ব শুধু আমার নয় সেই সব সহকর্মীরও হবে যারা সবসময় পাশে থাকবে</t>
  </si>
  <si>
    <t>মাংস মাছ মিষ্টি পহেলা বৈশাখের ঐতিহ্য শুভ নববর্ষ জানাতে হবে সবাইকে</t>
  </si>
  <si>
    <t>ভাগ্যক্রমে কলেজের এক বড় ভাই পাবো ছোটবেলার বন্ধুর থেকেও জীবনের সব বিপদে আপদে সব জায়গায় ভাইকে পাবো আলহামদুলিল্লাহ</t>
  </si>
  <si>
    <t>তার অভিনয়ের দ্বারা মানুষের মনে বেঁচে থাকবেন যুগ যুগ ধরে</t>
  </si>
  <si>
    <t>আমরা আগামী বছর আমাদের প্রতিষ্ঠানের জন্য একটি বৃহত্তর বিপণন প্রচারাভিযান শুরু করব যা বিশ্বব্যাপী প্রচারিত হবে</t>
  </si>
  <si>
    <t>পরীক্ষার ফলাফল এলো মনটা আকাশ স্পর্শ করবে</t>
  </si>
  <si>
    <t>কতদিন পর মায়ের হাতের মোয়া খেয়ে মনে হবে আবার ছোটবেলায় ফিরে যাব</t>
  </si>
  <si>
    <t>একটু একটু করে স্বপ্ন পূরণ হবে 。 এগিয়ে যাওয়ার নতুন প্রেরণা নিয়ে এগিয়ে যাবো 。</t>
  </si>
  <si>
    <t>এই চায়ের স্বাদ অবিশ্বাস্য হবে</t>
  </si>
  <si>
    <t>আমি আগামীকালে আমার কক্ষের ফ্যান চালু করবো</t>
  </si>
  <si>
    <t>ড্রামের তালে শরীরটা কাঁপবে এই মুহূর্তে পুরো দুনিয়া যেন আমার কাছে থেমে থাকবে</t>
  </si>
  <si>
    <t>সাজেক ভ্যালি প্রকৃতির এক অনন্য নিদর্শন হবে</t>
  </si>
  <si>
    <t>আমরা আগামী মাসে একটি নতুন প্রযুক্তি উদ্ভাবন করব যা আমাদের কোম্পানির জন্য একটি নতুন দিগন্ত খুলে দেবে</t>
  </si>
  <si>
    <t>তুমি আগামী সপ্তাহে একটি নতুন রান্নার ক্লাসে ভর্তি হবে যেখানে তোমার রান্নার দক্ষতা আরও উন্নত হবে</t>
  </si>
  <si>
    <t>সুস্থ মানুষ সুখের পথে অগ্রসর হবে</t>
  </si>
  <si>
    <t>এই ঈদে সবার মুখে হাসি ফুটবে সবার ঘরে আনন্দ থাকবে ঈদ মোবারক</t>
  </si>
  <si>
    <t>আমরা আগামী সপ্তাহে একটি নতুন শিক্ষামূলক কর্মশালা আয়োজন করব যা ছাত্রদের জন্য অত্যন্ত লাভজনক হবে</t>
  </si>
  <si>
    <t>আগামীকাল সারাদিন খুব খারাপ লাগবে কিন্তু বাড়ি ফিরে দেখবো নতুন কিনে দেওয়া খেলনা নিয়ে মজা করছে লিটু আমার বিড়াল আমার মুখে একটা হাসি ফুটে উঠবে</t>
  </si>
  <si>
    <t>আমি একটি স্থানীয় প্রাণি শেল্টারের সহযোগিতা করবো এবং তাদের জন্য আদর এবং যত্ন প্রদান করবো যা আমায় মানশিক প্রশান্তি দেবে</t>
  </si>
  <si>
    <t>যখন আমি আমার পিএইচডি সম্পন্ন করব তখন আমি একটি নামকরা বিশ্ববিদ্যালয়ে পড়াব</t>
  </si>
  <si>
    <t>আমাদের পরিবারের সুরেলা সুর হবে সুবর্ণা</t>
  </si>
  <si>
    <t>তুমি কি একাধিক বিষয়ে কাজ করতে থাকবে</t>
  </si>
  <si>
    <t>তুমি আগামী বছর নতুন কুকুর পোষা শুরু করবে</t>
  </si>
  <si>
    <t>সে নিজেকে তার শিক্ষার্থীদের পরিমাণের আগে দেখতে প্রশিক্ষিত করে নিবে যখন তিনি তার পরিকল্পনা চলাকালীন হবে</t>
  </si>
  <si>
    <t>বই মেঘের উপরে আলো এটি একটি উপন্যাস যা মেঘের উপরে আলো ছড়াবে পাঠকদের মনে অবিরাম আনন্দের ভাবনা মিশে উঠবে কল্পিত জগতে ভ্রমণ করবে পাঠক হাসির মিছিলে অবতীর্ণ হয়ে থাকবে</t>
  </si>
  <si>
    <t>আলো আমার আঁধারের পর এটি একটি কল্পকাহিনী সংকলন হবে যা পাঠকদের মনে সুখের আলো ছড়াবে কল্পনার জগতে ভ্রমণ করবে পাঠক হাসির মিছিলে অবতীর্ণ হয়ে থাকবে</t>
  </si>
  <si>
    <t>আগামী মাসে আমি একটি নতুন ভাষা শিখতে শুরু করব যা আমার কর্মজীবনের জন্য সহায়ক হবে</t>
  </si>
  <si>
    <t>তারা আগামী বছর চাকরি পাবে</t>
  </si>
  <si>
    <t>খুনসুটি আর অনেক মধুর স্মৃতি এই মিশ্রণেই তোমাদের সুখের সংসার হবে শুভ বিবাহবার্ষিকী</t>
  </si>
  <si>
    <t>আমরা বিরিয়ানি খেয়ে জগতের সব চিন্তা ভুলে যাব</t>
  </si>
  <si>
    <t>অসুস্থ থাকা অবস্থায় নিজের কথা এবং চিন্তাগুলিকে কখনো বিশ্বাস করবেন না</t>
  </si>
  <si>
    <t>বরণ সপ্তমী অষ্টমী নবমী দশমী প্রতিদিনের পুজোর আনন্দ অপূর্ব হবে শুভ দুর্গাপূজা</t>
  </si>
  <si>
    <t>সমুদ্রের পাড়ে নিজের প্রিয় মানুষ গুলোর সাথে হাঁটতে হাঁটতে গল্প ঠাট্টা মজা করার সেই স্মৃতি মনে পড়বে স্কুলবেলার বন্ধুগুলোর তুলনা হবে না</t>
  </si>
  <si>
    <t>আগামী বছর আমরা একটি নতুন বাড়ি কিনব যা আমাদের স্বপ্নের বাড়ি হবে</t>
  </si>
  <si>
    <t>ছবির কিছু ডায়ালগ মনের মধ্যে গেঁথে যাবে</t>
  </si>
  <si>
    <t>আপনি আসার সময়ে আমি ডিনার প্রস্তুত করে রাখব</t>
  </si>
  <si>
    <t>আলোয়ের মুখ লেখক আনোয়ারা একবার এই বইটির কথা বলা কঠিন হবে কারণ বইটির সকল পাতা এক নতুন সৃজনশীল আনন্দের প্রতিফলন দেখাবে</t>
  </si>
  <si>
    <t>পুস্তকের পাতায় সময় কাটানো মনের আনন্দে সমৃদ্ধ হবে প্রেমের গল্প উদ্যোক্তার মূল্যবান উক্তি কিশোরকেলায় চিত্রিত স্বপ্ন সব বই জীবনের উজ্জ্বল দিনের আলো ছড়াবে</t>
  </si>
  <si>
    <t>এত বছর পর বন্ধুর মুখ দেখে মনে হবে পুরো দুনিয়া জয় করে ফেলেব</t>
  </si>
  <si>
    <t>জীবন একটি সাইকেল চালানোর মত আপনার ভারসাম্য বজায় রাখতে আপনাকে অবশ্যই চলতে হবে</t>
  </si>
  <si>
    <t>প্রতিদিন কিছু সময় ফিটনেস প্রতিষ্ঠা করা জরুরি হবে সুস্থ শরীর সুখে পরিণত হবে</t>
  </si>
  <si>
    <t>জয়ের আনন্দে ভাসবো কাজ শুরুর সময়</t>
  </si>
  <si>
    <t>প্রতিবেশীদের সাথে বাগানের টিপস বিনিময় করব এবং নতুন কিছু শিখতে খুব ভালো লাগবে</t>
  </si>
  <si>
    <t>মাংসের কড়াই শীতের দুপুরে দেহ গরম রাখার দারুণ খাবার হবে</t>
  </si>
  <si>
    <t>তিনি তার প্রকল্পের সম্পন্নতা পর্যন্ত ব্যবসায় চালিয়ে যাবেন যখন তার প্রযুক্তি সম্পূর্ণ হবে</t>
  </si>
  <si>
    <t>কমেডি শো মানুষের জীবনে একটি প্রান্ত যেখানে হাসির অংশ হিসেবে সবসময় আনন্দের মহল তৈরি করবে</t>
  </si>
  <si>
    <t>এতো বাস্তবসম্মত গল্প নিজের জীবনের সাথে মিল খুঁজে পাবো</t>
  </si>
  <si>
    <t>মা বকা দিবে খেলতে গেলে না ঘুমাইলে ঘুমালে মা ভাল বাসবে</t>
  </si>
  <si>
    <t>অনেকদিন পর ক্লায়েন্ট এর কাছ থেকে টিপস পাবো মাঝে মাঝে এমন টিপস আসলে ভালোই লাগবে</t>
  </si>
  <si>
    <t>আমি আগামী সপ্তাহে একটি নতুন ভাষার কোর্সে ভর্তি হব যা আমার আন্তর্জাতিক যোগাযোগের দক্ষতা উন্নত করবে</t>
  </si>
  <si>
    <t>আমরা আগামী বছরে আমাদের প্রকল্পের জন্য নতুন বিনিয়োগ সংগ্রহ করব যা আমাদের পরিকল্পনাগুলি বাস্তবায়িত করতে সাহায্য করবে</t>
  </si>
  <si>
    <t>তারা নিজেদের ক্ষমতা পর্যন্ত প্রশিক্ষণ নিবে যখন তারা বাড়িতে ফেরার জন্য প্রস্তুত হবে</t>
  </si>
  <si>
    <t>বাহ জয়া এবার বড় বস হবে আমাকে আজকে একটা ট্রিট দিতে হবে</t>
  </si>
  <si>
    <t>সমাজে ভালোবাসা ও সহযোগিতার মাধ্যমে আজ এই পর্যন্ত এসেছি সামনে এগিয়ে যাবো আরো</t>
  </si>
  <si>
    <t>সোশ্যাল মিডিয়া মনোযোগ কেড়ে নিচ্ছে মনে হয় ডিঅ্যাক্টিভেট করে দেবো</t>
  </si>
  <si>
    <t>আগের সেই দিনগুলো কতই না সহজ হবে না কোনো দায়িত্ব থাকবে না চিন্তা</t>
  </si>
  <si>
    <t>বই পড়তে পড়তে হঠাৎ দেখবো সূর্য ডুবেছে প্রকৃতির এই অপার সৌন্দর্যে মন কেড়ে নেবে</t>
  </si>
  <si>
    <t>সমালোচকদের প্রশংসা পাওয়া যাবে</t>
  </si>
  <si>
    <t>আজকে খারাপ দিন কাল ভালো দিন আসবেই হাল ছাড়া যাবে না</t>
  </si>
  <si>
    <t>প্রিয় অভিনেতা বা অভিনেত্রীর অসাধারণ অভিনয় দেখে তাঁদের প্রতি প্রশংসা জানানোর আনন্দ হবে সোশ্যাল মিডিয়াতে তাঁদের সফলতায় খুশি হবো</t>
  </si>
  <si>
    <t>তিনি আগামী সপ্তাহে একটি গুরুত্বপূর্ণ সম্মেলনে বক্তব্য রাখবেন যা তার বিশেষজ্ঞতা প্রদর্শনের একটি সুযোগ হবে</t>
  </si>
  <si>
    <t>বাণিজ্যের নতুন অধ্যায় শুরু হবে ব্যবসার মাধ্যমে আপনাদের কাছে পৌঁছে দেওয়ার চেষ্টা করবো সেরা পণ্য আপনাদের সমর্থন আশা করিব</t>
  </si>
  <si>
    <t>তারা আগামী সপ্তাহে একটি আন্তর্জাতিক স্টার্টআপ প্রতিযোগিতায় অংশগ্রহণ করবে যেখানে তারা তাদের নতুন প্রজেক্ট উপস্থাপন করবে</t>
  </si>
  <si>
    <t>এই বছর আমি নতুন বিজ্ঞান এবং প্রযুক্তির প্রযুক্তিগত প্রগতিতে অবদান রেখে যাব আমি আশা করি এটি আমার ক্যারিয়ারের সাথে বেশি দিক সংশোধন করব</t>
  </si>
  <si>
    <t>তোমার জন্য মন থেকে প্রার্থনা করবো সব সময় সুখি থাকবে</t>
  </si>
  <si>
    <t>পরবর্তী ছুটিতে আমরা একটি পাহাড়ি শহরে যাব যেখানে আমরা প্রাকৃতিক সৌন্দর্য উপভোগ করব</t>
  </si>
  <si>
    <t>সময়েরও রং আছে কখনো কালো কখনো বা সাদা দুটো রংকেই ভালোবাসতে হবে সাদা কালো দিয়েই জীবনের ছবি আঁকতে হবে</t>
  </si>
  <si>
    <t>ছোট্ট পা কিন্তু বড় বড় স্বপ্ন থাকবে আমরা তোমার পাশে থাকব প্রতিটি পদক্ষেপে</t>
  </si>
  <si>
    <t>প্রাণের চেয়ে প্রিয় তুমি বন্ধু আমার হাজার বছর বেঁচে থাকবে আমাদের বন্ধুত্ব দুজনার</t>
  </si>
  <si>
    <t>বন্ধুত্ব হবে একটি আলোর সমাহার যা আমার জীবনে সৃষ্টি হবে</t>
  </si>
  <si>
    <t>বিয়ের পিড়ি থেকে বউভাত সব আয়োজনে ছিলাম সঙ্গী এবার বাকি জীবনেও তোমাদের পাশে থাকব শুভেচ্ছা</t>
  </si>
  <si>
    <t>একটা কাজ শিখে মার্কেটপ্লেস এ ঢুকেছিলাম ক্লায়েন্ট এর ডিমান্ড এর জন্য প্রতিনিয়ত নতুন কিছু শিখতে হবে একদিক থেকে ভালো হবে</t>
  </si>
  <si>
    <t>আমি আগামীকালে নতুন মোবাইল টেলিফোনের ব্যাটারি চেক করতে যাব</t>
  </si>
  <si>
    <t>বন্ধুত্ব হলো একটি অনুভূতির কলাকে আকার দেওয়া যা সমস্ত সময়ে আমাদের সাথে থাকবে</t>
  </si>
  <si>
    <t>কোনো বিষয়ে সিদ্ধান্ত নিতে না পারলে জনকে সমস্যার কথা বলবো যে সিদ্ধান্তে বেশীরভাগ মত দিবে সেটাই আমি গ্রহণ করবো</t>
  </si>
  <si>
    <t>সে তার পড়াশোনা পর্যন্ত ধৈর্য এবং ধারণাগুলি বৃদ্ধি পেয়েছে যখন তিনি তার মেজর কোর্স সমাপ্ত করবে</t>
  </si>
  <si>
    <t>মায়ের হাতের খাবার খেয়ে বুঝবো সুখ জিনিসটা কি</t>
  </si>
  <si>
    <t>সিনেমা দেখার সময় চারপাশের মানুষের হাসি ও কান্ন সব মিলিয়ে এক আবেগের সমুদ্র হবে</t>
  </si>
  <si>
    <t>এবার ট্রিট তো তুই দিবি প্রথম বেতনে জমিয়ে খাওয়া হবে</t>
  </si>
  <si>
    <t>পর্দার আলো জ্বলে উঠলেই মনে হবে যেন জাদু শুরু হবে</t>
  </si>
  <si>
    <t>বিদেশে অবকাশ যাত্রায় সুযোগ পেলে অজস্র পুলে সাঁতার কাটার স্বপ্ন পূরণ হবে</t>
  </si>
  <si>
    <t>ভাবছি কখন আবার সিনেমা হলে যাবো পুরনো সেই মজাটা আবার উপভোগ করতে ইচ্ছে করবে</t>
  </si>
  <si>
    <t>পরবর্তী বছরে আমরা আমাদের ব্যবসা আন্তর্জাতিকভাবে সম্প্রসারণ করব যা আমাদের লাভ বাড়াবে</t>
  </si>
  <si>
    <t>পরবর্তী বছরে আমরা আমাদের মেলা আন্তর্জাতিকভাবে আয়োজন করা হবে যা আমাদের লাভ বাড়াবে</t>
  </si>
  <si>
    <t>এগুলা মুভি দেখতে কেউ হল কেন হলের বারান্দায় ও যেবে না</t>
  </si>
  <si>
    <t>সাকিব আল হাসান একজন সফল সংসদ সদস্য হতে পারবেন</t>
  </si>
  <si>
    <t>আগামী মাসে আমরা একটি নৌকা ভ্রমণে যাব যেখানে আমরা নদীর তীরে মনোরম দৃশ্য উপভোগ করব</t>
  </si>
  <si>
    <t>পুরনো ছবি দেখে স্মৃতি রোমন্থন করবো ছোটবেলায় সাঁতার শেখা ও বন্ধুদের সাথে কাটানো মজার সময়ের কথা মনে করবো</t>
  </si>
  <si>
    <t>নিজের মধ্যে অনেক দুঃখ এবং জটিলতা থেকে পার্থক্য করতে বই পড়া মানুষের মনে সমৃদ্ধি আনবে</t>
  </si>
  <si>
    <t>হাসির মাধ্যমে মানুষ সুখের মুখ পাবে একটি মজার কৌতুক শুধু আনন্দ দিয়ে যাবে</t>
  </si>
  <si>
    <t>আগামী মাসে আমরা আমাদের ব্যবসার নতুন শাখা চালু করব যা আমাদের লাভের পরিমাণ বাড়াবে</t>
  </si>
  <si>
    <t>নিজের গান লিখে সুর দিয়ে গাইতে পারবো সৃষ্টিশীলতার এই অনুভূতি অসাধারণ হবে</t>
  </si>
  <si>
    <t>তুমি পরের মাসে উন্নত মানের খাদ্য উৎপাদন প্রযুক্তি নিয়ে একটি সেমিনারে অংশ নেবে</t>
  </si>
  <si>
    <t>তুমি পরের মাসে উন্নত মানের পরিবেশ সুরক্ষা পদ্ধতি নিয়ে একটি সেমিনারে বক্তৃতা দেবে</t>
  </si>
  <si>
    <t>সিনেমা শেষে বন্ধুদের সাথে গল্প করব গান গাবো মুভির নাটকের অভিনয় করব মজার শেষ থাকবে না</t>
  </si>
  <si>
    <t>ভবিষ্যতে আমি একটি সফল উদ্যোক্তা হব যেখানে আমার ব্যবসা সারা দেশে পরিচিত হবে</t>
  </si>
  <si>
    <t>আমরা আগামী মাসে একটি নতুন আর্ট গ্যালারি উদ্বোধন করব যেখানে স্থানীয় শিল্পীদের কাজ প্রদর্শিত হবে</t>
  </si>
  <si>
    <t>অস্ট্রেলিয়া যেভাবে ইন্ডিয়াকে হারাবে তা দেখার মতো হবে</t>
  </si>
  <si>
    <t>মনের আঙ্গিনায় আশা বাঁধবো বছর হবে সবার জন্য মঙ্গলময় শুভ নববর্ষ</t>
  </si>
  <si>
    <t>কমেডির মাধ্যমে মানুষের জীবনে আনন্দ এবং আলো প্রদান হবে একটি হাসির সহজ কৌতুক জীবনে রঙ চড়াবে</t>
  </si>
  <si>
    <t>আমরা আগামী সপ্তাহে একটি নতুন গ্রন্থাগার উদ্বোধন করবো যেখানে শিক্ষার্থীরা পড়াশোনার জন্য একটি উপযুক্ত পরিবেশ পাবে</t>
  </si>
  <si>
    <t>তোমরা আগামী সপ্তাহে আন্তর্জাতিক স্তরে একটি গুরুত্বপূর্ণ প্রবন্ধ উপস্থাপন করবে</t>
  </si>
  <si>
    <t>পরবর্তী বইমেলায় আমার লেখা নতুন বই প্রকাশিত হবে যা পাঠকদের ভালো লাগবে</t>
  </si>
  <si>
    <t>আমি ভালো বন্ধু পেয়ে অনেক ধন্য থাকব</t>
  </si>
  <si>
    <t>তিনি আগামী মাসে একটি গুরুত্বপূর্ণ ব্যবসায়িক চুক্তি স্বাক্ষর করবেন যা তার কোম্পানির বৃদ্ধির জন্য সহায়ক হবে</t>
  </si>
  <si>
    <t>ক্যাম্পফায়ারের আশেপাশে বসে গল্প করবো আকাশে তারা চারপাশে গাছের সারি আর বন্ধুদের সাথে আড্ডা অমূল্য মুহূর্ত হবে</t>
  </si>
  <si>
    <t>রান্নাঘরেও কখনো শেখা বন্ধ হবে না প্রথমবারের মতো বিরিয়ানি বানাবো</t>
  </si>
  <si>
    <t>আগামী মাসে আমি একটি নতুন রান্নার ক্লাসে যোগ দেব যাতে আমি নতুন নতুন রেসিপি শিখতে পারব</t>
  </si>
  <si>
    <t>আমি আমার পেশায় অত্যন্ত সফল হব</t>
  </si>
  <si>
    <t>সিনেমা হলের বাইরে বেরিয়ে এসে মনে হবে পৃথিবীটা অন্যরকম</t>
  </si>
  <si>
    <t>রাজনীতিতে সত্য ও ন্যায়ের জন্য আমরা লড়াই করবো</t>
  </si>
  <si>
    <t>আগামী মাসে আমরা একটি বড় ইভেন্ট আয়োজন করব যেখানে অনেক বিশিষ্ট ব্যক্তিরা অংশগ্রহণ করবে</t>
  </si>
  <si>
    <t>তিনি আগামী মাসে একটি নতুন ভাষার উপর দক্ষতা অর্জন করবেন যা তার আন্তর্জাতিক সম্পর্ক আরও সুদৃঢ় করবে</t>
  </si>
  <si>
    <t>পানির নিচে গিয়ে মাছেরা যেভাবে সাঁতার কাটে তাদের সাথে সামান্য খেলা অবিস্মরণীয় অভিজ্ঞতা হবে</t>
  </si>
  <si>
    <t>চ্যালেঞ্জ নেওয়ার সময় আসবে নতুন পরিবেশে নিজেকে খাপ খাইয়ে নেওয়া আর কঠোর পরিশ্রমের মধ্য দিয়ে নিজের স্বপ্ন পূরণ এই লক্ষ্যে এগিয়ে যাবো</t>
  </si>
  <si>
    <t>আমি একটি রান্নার প্রশিক্ষণ নিব যা আমার ক্যারিয়ারের উন্নতি করবে</t>
  </si>
  <si>
    <t>খেলার সময়ে সবাই একসাথে থাকবে এর থেকে সুন্দর আর কি হবে</t>
  </si>
  <si>
    <t>আগামীকাল আমি একটি নতুন রান্নার কোর্স শুরু করব এবং আমি নতুন নতুন রেসিপি শিখতে পারব</t>
  </si>
  <si>
    <t>সে তার কর্মক্ষমতা পর্যন্ত উন্নত করেছে যখন তিনি তার অবসরের সময় অধ্যয়ন করে থাকবে</t>
  </si>
  <si>
    <t>আমি আমার পরিবারের সঙ্গে একটি মিলনসীমা আয়োজন করব</t>
  </si>
  <si>
    <t>সে আগামী বছরে নতুন ভাবে শিক্ষা প্রাপ্ত করবে</t>
  </si>
  <si>
    <t>ফুটবল ম্যাচের অভিজ্ঞতা সত্যিই আনন্দদায়ক হবে</t>
  </si>
  <si>
    <t>তুমি আগামী সপ্তাহে একটি বিশেষ গবেষণা প্রকল্পে কাজ শুরু করবে যেখানে তোমার গবেষণার ফলাফল একটি সম্মানজনক জার্নালে প্রকাশিত হবে</t>
  </si>
  <si>
    <t>বাংলাদেশ আই এম এফ এর ঋণ পাবে যেটা দেশের অর্থনীতি কিছুটা স্বাভাবিক করবে</t>
  </si>
  <si>
    <t>আমরা আমাদের প্রকল্পের সম্প্রদায়ের উন্নতি পর্যন্ত পরিশ্রম করে যাবো যখন তারা আমাদের সাথে যোগাযোগ করবে</t>
  </si>
  <si>
    <t>তারা সব সময় সমাপ্তির জন্য আমাদের সঙ্গে থাকবে</t>
  </si>
  <si>
    <t>তারা আগামীকাল একটি বড় ধরনের দাতব্য ইভেন্ট আয়োজন করবে যেখানে সমাজের উন্নয়নের জন্য তহবিল সংগ্রহ করা হবে</t>
  </si>
  <si>
    <t>পরবর্তী ছুটিতে আমি সমুদ্র সৈকতে ভ্রমণ করব</t>
  </si>
  <si>
    <t>রিয়া কে নতুন চাকরি পাওয়ায় অভিনন্দন তোমার কঠোর পরিশ্রমের ফল পেতে দেখে খুব খুশি লাগবে</t>
  </si>
  <si>
    <t>মাঝ রাতে ইয়ামিন এর কান্না শুনলেও ঘুম ভাঙবে না ভালোবাসার ঢেউ আসবে</t>
  </si>
  <si>
    <t>এইবার তো বড় হয়ে যাবো তোর নিজের টাকা থাকবে তবুও বড় ভাইয়ের কথা মতো চলতে হবে জানিস তো</t>
  </si>
  <si>
    <t>দিনের শেষে আমাদের পরিবারের সবাই মিলে একটি ভালো মুহূর্ত কাটাব</t>
  </si>
  <si>
    <t>অবশেষে টিম এর নতুন সদস্য পেয়ে যাবো বিথী কে চাকরির জন্য শুভেচ্ছা দেবো</t>
  </si>
  <si>
    <t>সকালে স্নানের সময় পুকুরে দু টো দৌড় দিনের সূচনাটা করার দুর্দান্ত উপায় হবে</t>
  </si>
  <si>
    <t>একটু কঠিন পরিশ্রম দ্বারা এগিয়ে যাব এবং একদিন সেই পরিশ্রমের ফল পাবো</t>
  </si>
  <si>
    <t>বিটিএস সদস্যদের মধ্যে খুনতখুনতি কথাবার্তা মজার কার্যকলাপ ও স্নেহের মারামারি গুলো ফ্যানদের মনোরঞ্জনের উৎস হবে</t>
  </si>
  <si>
    <t>বৌদির হাতের খাবার খেয়ে জানা যাবে নতুন জায়গায়ও পুরনো স্বাদ ফিরে পাওয়া যাবে</t>
  </si>
  <si>
    <t>কী অদ্ভুত এই আনন্দে আমার চোখে না যেন আকাশে তারা ঝিলমিল করবে</t>
  </si>
  <si>
    <t>মাঝে মাঝে সহজ সুরের গানে পৃথিবীর সব প্রশান্তি লাভ করবো</t>
  </si>
  <si>
    <t>তুমি পরের মাসে উন্নত মানের কৃষি উৎপাদন প্রযুক্তি নিয়ে একটি সেমিনারে বক্তৃতা দেবে</t>
  </si>
  <si>
    <t>অবশেষে সুর তুলতে পারবো অল্প অল্প করে এগিয়ে যাওয়ার আনন্দই আলাদা হবে</t>
  </si>
  <si>
    <t>তারা আগামীকালে বিয়ে উপস্থাপন করার জন্য একটি ফুলের বুকেট কিনে নিব</t>
  </si>
  <si>
    <t>তারা আগামী বছরে উন্নত মানের শক্তি সঞ্চালন পদ্ধতি নিয়ে একটি প্রকল্প শুরু করবে</t>
  </si>
  <si>
    <t>আমরা আগামী মাসে নতুন ভাবে আসব</t>
  </si>
  <si>
    <t>পরবর্তী বছরে আমরা আমাদের পরিবারের ব্যবসায় আরও নতুন প্রযুক্তি প্রয়োগ করব যা আমাদের উৎপাদন ক্ষমতা বাড়াবে</t>
  </si>
  <si>
    <t>বৃষ্টির পরের প্রকৃতি ধোয়া ধোয়া আকাশ সবুজ পাতায় জলের টলটলে আর মাটির সুবাস মন কেড়ে নেওয়া এক অনুভূতি হবে</t>
  </si>
  <si>
    <t>কোডিং শিখতে কিছুটা কঠিন হবে তবে শিক্ষা শুরু করলে অসাধারণ ক্ষমতা অর্জন করা যাবে</t>
  </si>
  <si>
    <t>বাগানে একটা বড় আমের গাছের ছায়ার নিচে বসে বই পড়ব পুরো আনন্দ</t>
  </si>
  <si>
    <t>সে ক্রমশঃ তার স্বপ্ন পূরণ করবে শিক্ষার মাধ্যমে নিজেকে সমৃদ্ধ করে যখন এই ক্লাসে যোগদান করবে</t>
  </si>
  <si>
    <t>আমি জলবায়ু পরিবর্তনের বিরুদ্ধে লড়াই করার জন্য আরও কঠোর পরিবেশ আইন প্রণয়নের পক্ষে সমর্থন দেব</t>
  </si>
  <si>
    <t>অন্যান্য শ্রোতাদের অভিজ্ঞতা জানবো গানের সমালোচনা পড়ে নিজের দৃষ্টিভঙ্গি আরও সমৃদ্ধ করবো মানুষের মনের আনন্দ আরও বাড়বে</t>
  </si>
  <si>
    <t>পরিবারের ছোট্ট খুটিনাটি কাজেও সাহায্য করলে বাবা মায়ের মুখে আশীর্বাদ পাওয়া যাবে</t>
  </si>
  <si>
    <t>মা আজ রান্না করে দেবেন আনন্দে রাতে ঘুমই আসবে না</t>
  </si>
  <si>
    <t>সূর্যাস্তের প্রতিচ্ছবি উদয়ের সাথে পাখির গানের সঙ্গে সহজে হাঁটবো নদীর ধারে বৃষ্টির সঙ্গে ভেসে যাবো প্রাকৃতিক সম্পর্ক ও মনোমুগ্ধতায় ভ্রমণে আমরা আনন্দ অনুভব করবো</t>
  </si>
  <si>
    <t>বন্ধুর জন্মদিনে চমক দেবো সারপ্রাইজ পার্টির আয়োজন করব</t>
  </si>
  <si>
    <t>আশা করি সবার প্রথম সিনেমা হলের অভিজ্ঞতা মধুর স্মৃতি হয়ে থাকবে</t>
  </si>
  <si>
    <t>আমি আগামীকাল উন্নত মানের চিকিৎসা গবেষণা নিয়ে একটি প্রবন্ধ প্রকাশ করব</t>
  </si>
  <si>
    <t>পরিবারের সাথে সিনেমা দেখা মজার এক অভিজ্ঞতা হবে</t>
  </si>
  <si>
    <t>আনন্দের একটি সূত্র হবে প্রাণী সঙ্গী তাদের সঙ্গে সময় কাটানো মনের আনন্দ আরো বাড়াবে</t>
  </si>
  <si>
    <t>ফিটনেস আনন্দের একটি প্রতীক হবে সুস্থ মানুষ আনন্দের সন্ধানে যাত্রা করবে</t>
  </si>
  <si>
    <t>আমরা প্রচুর পরিশ্রম করে এসব কাজ সম্পন্ন করে যাবো যখন সব ডকুমেন্ট সম্পূর্ণ হয়ে যাবে</t>
  </si>
  <si>
    <t>ছোটবেলায় ঝগড়া করলেও আজ তোর সফলতায় খুব খুশি হবো</t>
  </si>
  <si>
    <t>কমেডি শোগুলি মানুষের মনে নতুন উদ্দীপনা দেবে এবং তাদের দিনগুলি উজ্জ্বল করে তুলবে হাসির খেলা মানুষের মনকে আনন্দের পথে নিয়ে যাবে যা তাদের জীবনে নতুন সুখের সৃষ্টি করবে</t>
  </si>
  <si>
    <t>প্রতিদিন নতুন কিছু শিখব ফটোগ্রাফির সাথে যাত্রা অবিরাম হবে</t>
  </si>
  <si>
    <t>ছবি তোলা হবে অন্যদের সাথে গল্প ভাগ করে নেওয়ার একটা ভাষা</t>
  </si>
  <si>
    <t>বিবাহের অ্যালবামে আমার ছবি থাকবে না কিন্তু তোমাদের সুখে দুঃখে সবসময় থাকব শুভকামনা</t>
  </si>
  <si>
    <t>আপনাদের ভোটে আমি জয়ী আন্তরিক কৃতজ্ঞতা থাকবে</t>
  </si>
  <si>
    <t>আমরা প্রতিষ্ঠানের নতুন পরিচালকের পরিশ্রম স্বীকৃতি পাবো যখন তারা সব ব্যবসায়িক লক্ষ্য পূরণ করে ফেলবে</t>
  </si>
  <si>
    <t>তুমি সমাপ্তির পর্যন্ত আমাদের সঙ্গে থাকবে</t>
  </si>
  <si>
    <t>সে আগামীকাল একটি বিখ্যাত রেস্টুরেন্টে কাজ শুরু করবে যেখানে তার কুকিং দক্ষতা উন্নত হবে</t>
  </si>
  <si>
    <t>যখন আমি আমার গবেষণা সম্পন্ন করব তখন আমি একটি নামকরা পত্রিকায় আমার গবেষণাপত্র প্রকাশ করব</t>
  </si>
  <si>
    <t>বাবা মা এর জন্য কিছু করতে পারলে কতই না শান্তি লাগবে</t>
  </si>
  <si>
    <t>সে আগামী মাসে একটি নতুন ভাষা কোর্সে ভর্তি হবে যেখানে তার ভাষা দক্ষতা উন্নত হবে</t>
  </si>
  <si>
    <t>এখন আর শুধু দুর্গাপূজার সময়ই একসাথে থাকতে হবে না সারা জীবন সুখে থাকবে দাদা বৌদি</t>
  </si>
  <si>
    <t>আগামী মাসে আমি একটি নতুন আর্ট ক্লাসে যোগ দেব যাতে আমার সৃজনশীলতা বৃদ্ধি পাবে</t>
  </si>
  <si>
    <t>সাঁতার শেখানো অন্যকে এই দক্ষতা দান করা আর তাদের খুশি মুখ দেখা আলাদা আনন্দ হবে</t>
  </si>
  <si>
    <t>জয়ের চেয়ে বড় মূল্য মানুষের ভালোবাসা পাবো</t>
  </si>
  <si>
    <t>আমার জীবনের সবচেয়ে সুন্দর অধ্যায় শুরু হবে সোনামণির আগমনে</t>
  </si>
  <si>
    <t>আজ থেকে আর্থিক স্বাধীনতার এক নতুন পর্বের শুরু হবে</t>
  </si>
  <si>
    <t>সে আগামী মাসে একটি নতুন স্বাস্থ্য ও ফিটনেস প্রোগ্রামে যোগদান করবে যেখানে তার শারীরিক সুস্থতা বাড়ানো হবে</t>
  </si>
  <si>
    <t>তারা আগামীকালে নতুন সম্প্রতি উন্নত প্রযুক্তি শেখা শুরু করবে</t>
  </si>
  <si>
    <t>আমার জীবনের এই মন্দ দিনগুলি অপেক্ষার মধ্যেই যাচ্ছে যাকে আমি হাসাতে পারব</t>
  </si>
  <si>
    <t>আজ একঘণ্টা ভেবে একটা প্রবলেম সলভ করবো নিজেকে অনেক বড় প্রোগ্রামার মনে হবে</t>
  </si>
  <si>
    <t>প্রতিটি ফুলের আসর প্রতিটি ফলের উৎসব আমার হৃদয়ে আনন্দের অনুভূতি জাগাবে ফুলের রঙ ও গন্ধ আমার জীবনে বড় সুখের উৎস হবে</t>
  </si>
  <si>
    <t>বড় বোন পাওয়াটা খুব ভাগ্যের ব্যাপার হবে হয়তো ওর সাথে সারাদিন ঝগড়া করবো কিন্তু একটা কথা বলবো জীবনের অর্ধেক টেনশন ওর সাথে ঝগড়া করেই দূর হবে</t>
  </si>
  <si>
    <t>এক ফ্রেমে আজকের সূর্যোদয়ের রঙিন অংকন হবে</t>
  </si>
  <si>
    <t>তার নতুন প্রযুক্তির সফল অনুমোদন প্রাপ্ত হলেই সে তার ব্যবসা সম্পর্কে সম্পূর্ণ সন্তুষ্ট হবে</t>
  </si>
  <si>
    <t>তুমি প্রত্যেকটি বিষয়ে কাজ করতে থাকবে</t>
  </si>
  <si>
    <t>সে আগামী শুক্রবার উন্নত মানের খাদ্য নিরাপত্তা প্রযুক্তি নিয়ে একটি গবেষণা শুরু করবে</t>
  </si>
  <si>
    <t>মাসি হওয়ার স্বাদ এখনো মেটেনি খুড়িমার পদমর্যাদাও পেয়ে যাবো স্বাগতম আমার কাণ্ডারি</t>
  </si>
  <si>
    <t>বই পড়ার মধ্যে সময় কাটানো মনের মধ্যে আনন্দের উল্লাস সৃষ্টি করবে</t>
  </si>
  <si>
    <t>সে আগামী মাসে নতুন ভাষা শেখার জন্য বই কিনতে যাবে</t>
  </si>
  <si>
    <t>আমরা পরবর্তী বছরে একটি মুদ্রা প্রতিষ্ঠান শুরু করব</t>
  </si>
  <si>
    <t>ভবিষ্যতে আমি একটি বড় মিউজিক কনসার্ট আয়োজন করব যেখানে অনেক মানুষ আসবে</t>
  </si>
  <si>
    <t>পরবর্তী ছুটিতে আমরা বিদেশে ভ্রমণ করব যেখানে নতুন সংস্কৃতি ও খাবার সম্পর্কে জানব</t>
  </si>
  <si>
    <t>সে আগামী বছরে একটি নতুন ভাবে বিজ্ঞান শেখাবে</t>
  </si>
  <si>
    <t>বৌদির হাতের খাবার খেয়ে আজকে একটু বেশি আপন লাগবে বৌদিকে</t>
  </si>
  <si>
    <t>আমি আগামী মাসে নতুন একটি ব্যবসা শুরু করার জন্য প্রয়োজনীয় সমস্ত পরিকল্পনা এবং তহবিল সংগ্রহ করবো</t>
  </si>
  <si>
    <t>পরবর্তী শীতে আমরা পাহাড়ে বেড়াতে যাব যেখানে তুষারের সৌন্দর্য উপভোগ করব</t>
  </si>
  <si>
    <t>আমি আগামী মাসে একটি নতুন ভাষা শেখা শুরু করবো</t>
  </si>
  <si>
    <t>তারা আগামী মাসে একটি আন্তর্জাতিক প্রতিযোগিতায় অংশগ্রহণ করবে যা তাদের প্রতিভা প্রদর্শনের সুযোগ দেবে</t>
  </si>
  <si>
    <t>আমরা আগামী মাসে পরিবেশ বান্ধব প্রযুক্তি নিয়ে একটি বৃহত্তর সম্মেলনের আয়োজন করব</t>
  </si>
  <si>
    <t>অ্যাকশন দৃশ্য দেখে চেঁচামেচি কমেডি দৃশ্যে হাসাহাসি সিনেমা হলের আবেগের ঢেউ হবে</t>
  </si>
  <si>
    <t>তুমি পরশুদিন স্কুলে যাবে</t>
  </si>
  <si>
    <t>আহা চায়ের গন্ধে মন প্রফুল্ল হবে</t>
  </si>
  <si>
    <t>সিনেমা হলের আঁধারে হারিয়ে যাবো কিন্তু পর্দার আলোয় গল্প খুঁজে পাবো</t>
  </si>
  <si>
    <t>আজকের দিনটিই হবে যেদিন দুটো হৃদয় এক হবে আজও সেই একত্বের আনন্দে ভাসবো শুভ বিবাহবার্ষিকী প্রিয়</t>
  </si>
  <si>
    <t>আমি একটি সামাজিক যোগাযোগ মাধ্যম প্ল্যাটফর্ম তৈরি করব যা ইতিবাচকতা ও সংযোগস্থাপনকে উৎসাহিত করে</t>
  </si>
  <si>
    <t>ভবিষ্যতে আমি একটি বড় দাতব্য সংস্থা স্থাপন করব যা দারিদ্র্য বিমোচনে কাজ করবে</t>
  </si>
  <si>
    <t>এক কাপ চায়ের জাদু হবে</t>
  </si>
  <si>
    <t>আমি আগামীকালে বাগানে ফুল চারা উঠিয়ে রেখে থাকবো</t>
  </si>
  <si>
    <t>আলু দিয়ে হোক মাংস দিয়ে হোক বিরিয়ানি সব সময়ই চ্যাম্পিয়ন হবে</t>
  </si>
  <si>
    <t>তোমার মুখে হাসি দেখব আমার কাছে সব থেকে বড় আনন্দের হবে চল আমরা সেলিব্রেট করব</t>
  </si>
  <si>
    <t>নতুন চাকরির দায়িত্ব গ্রহণ করার পর আমি কঠোর পরিশ্রম করব যাতে প্রতিষ্ঠানটির উন্নতি হবে</t>
  </si>
  <si>
    <t>তিনি আগামীকালে টেনিস খেলতে যাবেন টেনিস কোর্টে</t>
  </si>
  <si>
    <t>আপনি নির্বাচিত হয়েছেন এই কথাটা শুনে আজ মনে হবে জগৎ জয় করে ফেলেব</t>
  </si>
  <si>
    <t>যদি সুখ গুলোকে ধরে রাখা সম্ভব না হয় তাহলে কখনোই দুঃখ থেকে নিজেকে রক্ষা করা যাবেনা</t>
  </si>
  <si>
    <t>তুমি আগামী মাসে সাইকেল চালানো শিখবে</t>
  </si>
  <si>
    <t>আগামীকাল আমি একটি নতুন স্পোর্টস একাডেমিতে যোগ দেব এবং আমার শারীরিক সক্ষমতা বৃদ্ধি পাবে</t>
  </si>
  <si>
    <t>ফুটবল ম্যাচ দেখে হৃদয় কতটা প্রসন্ন হবে তা বর্ণনা করা সম্ভব হবে না</t>
  </si>
  <si>
    <t>পরবর্তী বছরে আমি আরও অনেক বই পড়ব যাতে আমার জ্ঞান বৃদ্ধি পায়</t>
  </si>
  <si>
    <t>বিমানের টিকিট হাতে থাকবে মনটা উড়ে উড়ে থাকবে</t>
  </si>
  <si>
    <t>ডায়াপার বদলানো দুধ খাওয়ানো এখন আর নতুন কিছু না হবে সব আনন্দে করবো তোমার জন্য</t>
  </si>
  <si>
    <t>আগামী মাসে আমি একটি নতুন ফটোগ্রাফি কোর্সে যোগ দেব এবং আমার ফটোগ্রাফি দক্ষতা বৃদ্ধি পাবে</t>
  </si>
  <si>
    <t>স্কুলের বিজ্ঞান মেলা নতুন কিছু শেখার আগ্রহ থাকবে</t>
  </si>
  <si>
    <t>আমি আগামী বছর একটি পুনর্ব্যবহারযোগ্য শক্তি উৎস তৈরি করব যা পরিবেশের উপর আমাদের নির্ভরতা কমাতে সাহায্য করবে</t>
  </si>
  <si>
    <t>চিন্তা আনন্দের উৎস হবে বই পড়ার সময়ে মনের আলো বাজাবে প্রিয় কথা মনের উৎসাহ নতুন জ্ঞান সব একসাথে আনন্দের মাছরায় রূপ নেবে</t>
  </si>
  <si>
    <t>চিত্রকর্ম মাধ্যমে মানুষের মন নতুন আনন্দের সঙ্গে পূর্ণ হবে এবং তাদের জীবন উজ্জ্বল হবে</t>
  </si>
  <si>
    <t>অফিসিয়ালি একজন বস হবো এই নতুন নেতৃত্বের ভূমিকা নেওয়ার জন্য এবং পরিবর্তন আনতে উত্তেজিত হবো</t>
  </si>
  <si>
    <t>আমি আগামীকালে সাহায্যের জন্য ক্রিকেট ক্লাবে যাবো</t>
  </si>
  <si>
    <t>বিটিএসের ফ্যানদের আর্মি বলা হবে ফ্যানরা অনলাইনে একে অপরের সাথে যোগাযোগ করবে গান নিয়ে আলোচনা করবে অভিজ্ঞতা শেয়ার করবে এবং মজবুত বন্ধন গড়ে তুলবে এই সাথিত্ব এবং আগ্রহের অনুভূতি অনেকের মধ্যে আনন্দ জাগাবে</t>
  </si>
  <si>
    <t>সে নিজের পরিকল্পনার অগ্রগতি নিরীক্ষণ করবে যখন সে তার লক্ষ্যের কাছাকাছি পৌঁছে যাবে</t>
  </si>
  <si>
    <t>আগামীকাল আমি একটি গুরুত্বপূর্ণ পরীক্ষায় অংশগ্রহণ করব যাতে আমার ভবিষ্যৎ আরও উজ্জ্বল হয়</t>
  </si>
  <si>
    <t>হাসির প্রতি মুহূর্তেই মানুষের মন উদ্দীপনা পাবে কমেডি জীবনের উদ্দীপনা হয়ে থাকবে</t>
  </si>
  <si>
    <t>আমি আগামী সপ্তাহে নতুন রান্নার রেসিপি চেষ্টা করবো</t>
  </si>
  <si>
    <t>তারা আগামীকাল একটি নতুন টেক স্টার্টআপ লঞ্চ করবে যেখানে তারা উদ্ভাবনী প্রযুক্তি নিয়ে কাজ করবে</t>
  </si>
  <si>
    <t>আমরা সাধারণত সকালে চায়ের জন্য আগামী দিনে এখানে থাকতে থাকব</t>
  </si>
  <si>
    <t>এই চাকরি আমার ক্যারিয়ারের একটা নতুন অধ্যায়ের সূচনা হবে উত্তেজনা আর উদ্দীপ্তে ভরপুর থাকবে</t>
  </si>
  <si>
    <t>আমি আগামী বছরে একটি নতুন ফিটনেস প্রোগ্রাম শুরু করব যা আমার শারীরিক ও মানসিক স্বাস্থ্যের জন্য উপকারী হবে</t>
  </si>
  <si>
    <t>বই পড়ার মাধ্যমে মানুষের মন সুন্দর স্বপ্নের সাথে ভরে উঠে এবং তাদের মনে নতুন আনন্দ সৃষ্টি হবে</t>
  </si>
  <si>
    <t>সে আগামী মাসে একটি নতুন দেশে ভ্রমণ করবে এবং সেখানকার সংস্কৃতি ও ভাষা সম্পর্কে জানতে চেষ্টা করবে</t>
  </si>
  <si>
    <t>জীবনে এমন একটি অভিজ্ঞতা অত্যন্ত মূল্যবান হবে</t>
  </si>
  <si>
    <t>তারা তাদের প্রয়োজনীয় উপাদান সংগ্রহ করে রাখবে যখন তাদের প্রকল্প সম্পূর্ণ হয়ে যাবে</t>
  </si>
  <si>
    <t>আজ থেকে স্বপ্নপূরণের যাত্রা শুরু করব ব্যবসার সাফল্যে আপনাদের সবার ভালোবাসা চাইব</t>
  </si>
  <si>
    <t>বিদেশের গল্প থেকে শুরু হওয়া আড্ডা রাতের পরেও শেষ হবে না</t>
  </si>
  <si>
    <t>নতুন বছরে আমরা বাড়ির রেনোভেশন করব যাতে আরো আরামদায়ক হয়</t>
  </si>
  <si>
    <t>পরবর্তী মাসে আমি বিশ্বের প্রায় সব দেশ ঘুরে আসব</t>
  </si>
  <si>
    <t>বড় পর্দায় জ্বলজ্বল আলো গর্জনধ্বনি প্রথম সিনেমা হলের অভিজ্ঞতা অবিস্মরণীয় হবে</t>
  </si>
  <si>
    <t>নতুন গমের ভাত পাটালি মাছের চচ্চড়ি শীতের সকালের সেরা জুটি হবে</t>
  </si>
  <si>
    <t>আমার ভাইয়েরাই তো এখন স্বাবলম্বী হয়ে যাবে</t>
  </si>
  <si>
    <t>জীবন এতটা সুন্দর হবে তুমি তা কখনোই ভাবতে পারবেনা ছোট্ট মণি</t>
  </si>
  <si>
    <t>নিখুঁত ছবি না ভালো লাগা মুহূর্তটাই ক্যামেরায় ধরা হবে</t>
  </si>
  <si>
    <t>সালাত শেষে মনটা অন্যরকম শান্ত হবে</t>
  </si>
  <si>
    <t>সে নির্দিষ্ট সময়ে এসব কাজ সম্পন্ন করে থাকবে যখন তিনি প্রশিক্ষণ শেষ করে ফেলবেন</t>
  </si>
  <si>
    <t>তারা আগামীকালে নতুন মোবাইল গেম ডাউনলোড করবেন</t>
  </si>
  <si>
    <t>আগামীকালের অধিবেশনের সুন্দর কিছু মূহুর্ত থাকবে</t>
  </si>
  <si>
    <t>কোরিয়ান অভিনেতা ও অভিনেত্রীদের দুর্দান্ত অভিনয় দক্ষতা চরিত্রের মধ্যে এমনভাবে ঢুকে যাবে যে মনে হবে যেন গল্পটি সত্যিই ঘটবে</t>
  </si>
  <si>
    <t>আমার একটি ছোট্ট বিড়াল থাকবে এটি সঙ্গে আমি হাসবো আমি খেলবো আমি শান্তি সন্তুষ্টি পাবো এটি যেন আমার সাথে সব সময় থাকবে</t>
  </si>
  <si>
    <t>ফুটবল ম্যাচে আমি সত্যিই সব চিন্তা ভুলে যাব</t>
  </si>
  <si>
    <t>কঠিন সময় পার করে আসবো কিন্তু আগামীকাল সব ঠিক হয়ে যাবে ধন্যবাদ সবার উৎসাহের জন্য</t>
  </si>
  <si>
    <t>তুমি কি আমার সঙ্গে আমার স্পেশাল দিনে আসতে থাকবে</t>
  </si>
  <si>
    <t>আমার দিদি আজ তুমি নতুন জীবনের রানী হবে সব সময় সুখে থাকবে আর মাঝে মাঝে ছোট বোনের কথা মনে রাখবে</t>
  </si>
  <si>
    <t>বন্ধুত্বের সঙ্গে থাকা হবে আমার জীবনের একটি অপরিসীম অভিজ্ঞতা</t>
  </si>
  <si>
    <t>তারা আগামীকাল একটি বিশেষ প্রযুক্তি প্রদর্শনীতে যোগদান করবে যেখানে তারা তাদের নতুন উদ্ভাবন প্রদর্শন করবে</t>
  </si>
  <si>
    <t>তারা আমাদের প্রতিটি প্রযুক্তিতে কাজ করতে থাকবে</t>
  </si>
  <si>
    <t>আমি আর গরম না অনুভব করা পর্যন্ত ঘুমাবো</t>
  </si>
  <si>
    <t>সূর্য ডুবের আলোয় পুরানো গান গাইবো অতীতের স্মৃতি আর সন্ধ্যের সৌন্দর্য মিশে এক মধুর মুহূর্ত হবে</t>
  </si>
  <si>
    <t>সে আগামী বছর উন্নত মানের প্রযুক্তি নিয়ে একটি বড় প্রজেক্টে কাজ করবে</t>
  </si>
  <si>
    <t>আমি আগামীকাল উন্নত মানের চিকিৎসা যন্ত্রপাতি নিয়ে একটি গবেষণা শুরু করব</t>
  </si>
  <si>
    <t>ফরাসী ভাষায় কথোপকথন শেখার সুযোগ পাবো আইফেল টাওয়ারের নিচে ফরাসী কফি খেতে ইচ্ছে হবে</t>
  </si>
  <si>
    <t>স্বপ্নকুরি নামের স্বপ্নের ব্যবসা শুরু হবে এই পথে সব সময় সঙ্গে থাকবো</t>
  </si>
  <si>
    <t>হাসির দৃষ্টিকোণ পৃথিবীকে আনন্দের জগতে প্রবেশ করাবে</t>
  </si>
  <si>
    <t>আমি আগামী বছরে নতুন প্রশিক্ষণ কোর্স গুলি সম্পন্ন করব যা আমার পেশাদার উন্নতির জন্য সাহায্য করবে</t>
  </si>
  <si>
    <t>সে আগামী সপ্তাহে একটি নতুন ক্যামেরা কিনবে</t>
  </si>
  <si>
    <t>একটি নাটকের মনোমুগ্ধকর দৃশ্যধারণ সুন্দর লোকেশন নির্বাচন ও চোখ জুড়ানো কস্টিউম ডিজাইন দর্শকদের মুগ্ধ করবে</t>
  </si>
  <si>
    <t>ভবিষ্যতে আমি একটি বড় কোম্পানিতে চাকরি পাব</t>
  </si>
  <si>
    <t>তারা এখন আমাদের প্রশিক্ষণ ক্লাসে অংশগ্রহণ করে থাকবে।</t>
  </si>
  <si>
    <t>আগামীকালে আমি বাজারে যাবো যাতে মুয়া কিনতে পারব</t>
  </si>
  <si>
    <t>প্রেমের চিহ্ন লেখক আলমাস হোসেন এই বইটি পড়ে মন আনন্দের সমৃদ্ধির স্নানে প্রবেশ করবে লেখকের বিবরণ মনের আনন্দের ছবি বাজাবে প্রিয় চিহ্নে মনের আনন্দে সমৃদ্ধি সৃষ্টি হবে</t>
  </si>
  <si>
    <t>ভ্রমণের সাথে আনন্দের অনুভূতি প্রাচীন পাহাড়ি পথে চলা সমুদ্রের তীরে সাঁতার এমনকি জঙ্গলের ঘাসের মাঝে হাঁটা ভ্রমণে আমরা অবশ্যই খুঁজে পাব সুখের মুখ</t>
  </si>
  <si>
    <t>ক্লাস বাতিলের খবর শুনে মনে হবে যেন পাখিরা মত খোলা আকাশে উড়ব</t>
  </si>
  <si>
    <t>সৎ ভাবে টাকা উপার্জন করবেন এতে কোন দুঃখ থাকবে না হোক না সেটা ভ্যান চালিয়ে বা রাস্তায় চা বিক্রি করে</t>
  </si>
  <si>
    <t>আমি শিক্ষায় কৃত্রিম বুদ্ধিমত্তার ব্যবহার বাড়ানোর পক্ষে সমর্থন দেব</t>
  </si>
  <si>
    <t>পুডিং তৈরি করতে আমি প্রতিবারের মতো উৎসাহী থাকবো এটি না শুধু আমার পরিচিতির স্বাদ তৈরি করবে বরং আমার মনে আনন্দ ও খুশি এনে দেবে</t>
  </si>
  <si>
    <t>মিষ্টি দইয়ের মিষ্টতা মন ভালো লাগার একটা গ্যারান্টী থাকবে</t>
  </si>
  <si>
    <t>আমরা আগামী মাসে সমস্ত দরপত্র সম্পূর্ণ করে থাকবো যখন সমস্ত আবশ্যিক তথ্য সংগ্রহ হয়ে যাবে</t>
  </si>
  <si>
    <t>আল্লাহ মানুষের জীবন থেকে সব সমস্যা গুলো একবারে দূর করে দিবেন এবং কতই না ভালো হবে সবার জন্য।</t>
  </si>
  <si>
    <t>আমি আমার জীবনে প্রথম বাড়ি কিনব</t>
  </si>
  <si>
    <t>তুমি আগামীকাল একটি নতুন পোশাক কিনবে</t>
  </si>
  <si>
    <t>ছোট্ট মানুষটিকে দেখে মনে হবে জীবনে আর কিছু লাগবে না</t>
  </si>
  <si>
    <t>তারা আগামী বছরে উন্নত মানের তথ্য প্রযুক্তি নিয়ে একটি আন্তর্জাতিক প্রদর্শনী করবে</t>
  </si>
  <si>
    <t>এই উপহারের সাথে পাঠাবো তোমার জন্য অনেক শুভেচ্ছা</t>
  </si>
  <si>
    <t>অনলাইনে এমন একটা ফ্রি কোর্স পেতে যাচ্ছি নতুন কিছু শিখতে পারবো ভেবেই আনন্দ হবে</t>
  </si>
  <si>
    <t>বন্ধুদের সঙ্গে থাকা হবে আমার জীবনের সবচেয়ে অমূল্য অভিজ্ঞতা</t>
  </si>
  <si>
    <t>আমি আগামীকাল উন্নত মানের রোবোটিক প্রযুক্তি নিয়ে একটি গবেষণা কর্মশালা করব</t>
  </si>
  <si>
    <t>আমরা আগামী সপ্তাহে নতুন আর্ট এক্সিবিশনে যোগ দেওয়ার জন্য প্রস্তুতি নিয়ে থাকব</t>
  </si>
  <si>
    <t>এক ফোঁটা শিশিরের মধ্যে প্রতিফলিত পুরো সকাল হবে</t>
  </si>
  <si>
    <t>আপনার ছবিগুলো আপনার হবে আপনার অন্তর্দৃষ্টি অনুসরণ করবেন</t>
  </si>
  <si>
    <t>মা তুমি সেরা প্রমোশন পাওয়ায় আবারও সেই কথাটা মনে পড়বে</t>
  </si>
  <si>
    <t>আমি আগামী বছর একটি মানসিক স্বাস্থ্য সচেতনতা অভিযান চালাব যা মানুষকে মানসিক স্বাস্থ্যের সমস্যা সম্পর্কে খোলাখুলি কথা বলতে উৎসাহিত করবে</t>
  </si>
  <si>
    <t>কনক এর ব্যবসা ছোট হতে পারে কিন্তু স্বপ্ন বড় হবে সব থেকে বেশি শুভেচ্ছা জানাবো</t>
  </si>
  <si>
    <t>সে আগামী মাসে একটি নতুন ব্যবসা শুরু করবে</t>
  </si>
  <si>
    <t>ছোট্ট হাত ছোট্ট পা নিয়ে আসবে অসীম আনন্দ স্বাগতম</t>
  </si>
  <si>
    <t>শিক্ষকের সাথে কখনো খারাপ ব্যবহার করবেন না একজন শিক্ষকই আপনার ভবিষ্যত উজ্জ্বল করতে পারবেন</t>
  </si>
  <si>
    <t>নতুন বছরে পুরোনো অসুখ বিদায় হবে আসবে সুস্থ জীবন শুভ নববর্ষ</t>
  </si>
  <si>
    <t>সে আগামী মাসে একটি আন্তর্জাতিক ভাষা প্রতিযোগিতায় অংশগ্রহণ করবে এবং তার নতুন শিখা ভাষা প্রদর্শন করবে</t>
  </si>
  <si>
    <t>ব্যাটসম্যানদের দাপট দেখে মনে হবে রানের বন্যা চলবে</t>
  </si>
  <si>
    <t>আগামী মাসে আমি একটি নতুন শখ শিখতে শুরু করব</t>
  </si>
  <si>
    <t>স্বপ্ন দেখছিলাম একদিন বাবা হবো আজ সেই স্বপ্ন পূরণ হবে আমার ছেলে এর আগমনে</t>
  </si>
  <si>
    <t>কী রে থেকে শুরু হওয়া কথার ধারা কখনো শেষ হবে না</t>
  </si>
  <si>
    <t>ছোট্ট হাত দুটো আমার হাতে জড়িয়ে ধরবে মনে হবে পৃথিবীর সব শক্তি পেয়ে যাবে।</t>
  </si>
  <si>
    <t>বছরের পর বছর আরো মজবুত হবে তোমাদের বন্ধন শুভ বিবাহবার্ষিকী শুভ ও ইয়ামিন</t>
  </si>
  <si>
    <t>পরবর্তী বছর আমি আমার নিজের ব্যবসা শুরু করব যেখানে নতুন নতুন পণ্য তৈরি করব</t>
  </si>
  <si>
    <t>পুরি আর আলুভাজি বৃষ্টির দিনে রাস্তার খাবারের আনন্দ হবে</t>
  </si>
  <si>
    <t>প্রতিটি সালাতই নতুন শুরুর সুযোগ আল্লাহর রহমত লাভের আশায় নামাজ পড়ব</t>
  </si>
  <si>
    <t>মায়ের সিঁদুর শিশুদের আনন্দধ্বনি এই দৃশ্যই মুগ্ধ করে দিবে মন শুভ দুর্গাপূজা</t>
  </si>
  <si>
    <t>সে আগামী বছর একটি বৈজ্ঞানিক গবেষণায় অংশগ্রহণ করবে যেখানে নতুন প্রাপ্ত তথ্য নিয়ে একটি নিবন্ধ লিখবে</t>
  </si>
  <si>
    <t>ক্যামেরা হাতে নেবেন চারপাশটা দেখবেন সৌন্দর্য লুকিয়ে থাকবে সবখানে শুধু দেখার দৃষ্টি রাখবেন</t>
  </si>
  <si>
    <t>জয়া এর পদোন্নতির খবরে পড়শীর ছেলেদের আবার ঈর্ষা করার পালা হবে</t>
  </si>
  <si>
    <t>গানের মাধ্যমে অনুপ্রেরণা পাওয়া মন খারাপ লাগলে বা হতাশ হলে প্রিয় গান শুনে নতুন করে উদ্যমে জাগবো</t>
  </si>
  <si>
    <t>আমার জীবন বন্ধুত্ব একটি নতুন রং পাবে যা ভেবে মন ভাল হবে</t>
  </si>
  <si>
    <t>জীবনে অনেক পরিশ্রম করতে হবে গাধার মতো পরিশ্রম করলে হবে না বুদ্ধি খাটিয়ে কাজ করতে হবে</t>
  </si>
  <si>
    <t>তারা আগামীকাল একটি নতুন কম্পিউটার কিনবে</t>
  </si>
  <si>
    <t>তারা আগামী বছরে উন্নত মানের চিকিৎসা সেবা নিয়ে একটি বড় প্রদর্শনী করবে</t>
  </si>
  <si>
    <t>ভবিষ্যতে আমি একটি সুখী পরিবার গড়ে তুলব</t>
  </si>
  <si>
    <t>ব্যায়ামের মাধ্যমে আত্মবিশ্বাস ও আনন্দ বৃদ্ধি পাবে সুস্থ মানুষ আনন্দের দিকে মুখ তোলবে</t>
  </si>
  <si>
    <t>একদিন আমিও হয়তো আকাশের তারাদের মতো উজ্জ্বল হবো</t>
  </si>
  <si>
    <t>প্রথম সিনেমা হলের অভিজ্ঞতা এতটাই সুন্দর হবে যে এখনও সেই ছবির গান গুনগুন করবো</t>
  </si>
  <si>
    <t>তুমি কি আমাদের সঙ্গে বাসা থেকে বের হতে থাকবে</t>
  </si>
  <si>
    <t>আকাশের মতোই আমাদের স্বপ্নেরও কোনো সীমা থাকবে না</t>
  </si>
  <si>
    <t>ভবিষ্যতে আমি একটি আন্তর্জাতিক সংস্থায় কাজ করব যেখানে আমি বিশ্বের বিভিন্ন দেশের মানুষদের সাথে কাজ করব</t>
  </si>
  <si>
    <t>রঙিন চিত্র মধুর সঙ্গীত মজার নৃত্য শিল্পের মাধ্যমে আমরা সুখের অভিজ্ঞতা অর্জন করবো চিত্রের রঙের মাধুর্য সঙ্গীতের মাধুর্য আর নৃত্যের চলনের মাধুর্য সবই আনন্দের আলো আমাদের মনে জাগাবে শিল্পের ভাবনায় আমরা সত্যিই খুশি থাকবো</t>
  </si>
  <si>
    <t>তারা সম্পূর্ণ পরিকল্পনা করে নিয়েছিল যখন তারা নতুন ব্যবসা চালু করবে</t>
  </si>
  <si>
    <t>এই ছবি দেখার পরে বন্ধুদের সাথে আড্ডা দিতে ইচ্ছে করবে</t>
  </si>
  <si>
    <t>আমি পরবর্তী সপ্তাহে ঢাকায় থাকতে থাকব</t>
  </si>
  <si>
    <t>আমরা আগামী বছর একটি বৃহত্তর কারখানা স্থাপন করব যা আমাদের উৎপাদন ক্ষমতা দ্বিগুণ করবে</t>
  </si>
  <si>
    <t>আমি একটি জল সংরক্ষণ প্রোগ্রাম তৈরি করব যা জলের অপচয় কমাতে সাহায্য করবে</t>
  </si>
  <si>
    <t>ইন্ডিয়া পাকিস্তান ম্যাচ থেকে বাংলাদেশ শ্রীলঙ্কা ম্যাচ একটু বেশি জমে উঠবে</t>
  </si>
  <si>
    <t>তারা আগামী মাসে একটি আন্তর্জাতিক প্রতিযোগিতায় অংশগ্রহণ করবে যা তাদের প্রতিভার মূল্যায়ন করবে</t>
  </si>
  <si>
    <t>তিনি আগামী বছরে একটি নতুন স্টার্টআপ শুরু করবেন যা প্রযুক্তির ক্ষেত্রে বিপ্লব ঘটাবে</t>
  </si>
  <si>
    <t>তারা আগামীকালে বাগানে একটি প্রতিরোধশীল ক্যাম্পাসে ফুল বোনার আয়োজন করতে যাব</t>
  </si>
  <si>
    <t>আমরা আগামী সপ্তাহে সমস্ত কাজ সম্পন্ন করে থাকবো যখন আমরা আমাদের প্রকল্পের সম্পন্নতা পর্যন্ত পরিশ্রম করবো</t>
  </si>
  <si>
    <t>আমরা প্রয়োজনীয় সমস্ত ব্যবসায়িক প্রস্তুতি করে আগামী সপ্তাহের জন্য প্রস্তুত থাকবো</t>
  </si>
  <si>
    <t>যারা গান গাওয়ার অভ্যাস করবেন তাদের জন্য রাতের বেলা সাধনা চর্চার নিখুত সময় হবে নিজের গানের কৌশল বিকাশে কাজ করতে পারলে এতে আনন্দ বোধ করবেন তারা</t>
  </si>
  <si>
    <t>পরবর্তী বছরে আমরা একটি বৈজ্ঞানিক মেলার আয়োজন করব যেখানে নতুন নতুন উদ্ভাবন প্রদর্শিত হবে</t>
  </si>
  <si>
    <t>সে প্রকল্প সম্পন্ন করে রাখবে যখন সে আগামী মাসে গ্রাহকদের সাথে যোগাযোগ করবে</t>
  </si>
  <si>
    <t>পাতায় সম্মিলিত আনন্দের মধ্যে উচ্চ মাধুর্য ছড়াবে</t>
  </si>
  <si>
    <t>আমাদের গল্পের শেষ পাতা থাকবে না শুধু অধ্যায় বদল হবে শুভ বিবাহবার্ষিকী প্রিয়</t>
  </si>
  <si>
    <t>বন্ধুর সঙ্গে থাকা আত্মীয়তা সবচেয়ে সুখী অনুভূতির একটি হবে</t>
  </si>
  <si>
    <t>ভবিষ্যতে আমি একজন শিক্ষক হব যেখানে আমি অন্যদের জ্ঞান দান করতে পারব</t>
  </si>
  <si>
    <t>ফোনের নতুন অপারেটিং সিস্টেম আপডেটটা দারুণ হবে অনেক সুন্দর ফিচার আসবে</t>
  </si>
  <si>
    <t>ভবিষ্যতে আমি একটি বড় হোটেল স্থাপন করব যেখানে অনেক পর্যটক আসবে</t>
  </si>
  <si>
    <t>বিদেশ থেকে বাড়িতে আসবো পুরো পরিবার একসাথে এই খুশি অবর্ণনীয় হবে</t>
  </si>
  <si>
    <t>গ্রামের রাস্তায় হাঁটবো খোলা আকাশ সবুজ মাঠ আর গাছের ছায়ায় ঢাকা পথ মনের সব চিন্তা দূর করবে</t>
  </si>
  <si>
    <t>আমি আগামী বছর একটি অনলাইন শিক্ষা প্ল্যাটফর্ম তৈরি করব যা গ্রামীণ এলাকার শিক্ষার্থীদের জন্য শিক্ষাকে আরও অ্যাক্সেসযোগ্য করে তুলবে</t>
  </si>
  <si>
    <t>আমরা সমস্ত প্রয়োজনীয় সুযোগ সুযোগ সংগ্রহ করে থাকবো যখন প্রকল্পের সম্পন্নতা পর্যন্ত পরিশ্রম করে যাবো</t>
  </si>
  <si>
    <t>এর বীরত্বের গল্প আগামীকালও আমাদের অনুপ্রেরণা হবে</t>
  </si>
  <si>
    <t>আগামী প্রজন্মের কাছে একটি বড় ইতিহাস হয়ে থাকবে সেই মুভি</t>
  </si>
  <si>
    <t>পরবর্তী বছরে আমি একটি নতুন ভাষা শিখব যা আমার কর্মজীবনে সহায়ক হবে</t>
  </si>
  <si>
    <t>আমি আগামী মাসে একটি সাহিত্য সম্মেলনে অংশগ্রহণ করবো যেখানে আমার নতুন বইয়ের প্রাক প্রকাশনা আয়োজন হবে</t>
  </si>
  <si>
    <t>আগামীকাল আমি একটি নতুন রান্নার ক্লাসে যোগ দেব যাতে আমি নতুন নতুন রেসিপি শিখতে পারি</t>
  </si>
  <si>
    <t>তারা আগামী সপ্তাহে একটি নতুন শিক্ষামূলক প্রোগ্রাম শুরু করবে যা শিক্ষার্থীদের জন্য অত্যন্ত লাভজনক হবে</t>
  </si>
  <si>
    <t>তুমি আগামী মাসে একটি নতুন শিক্ষাবর্ষ শুরু করবে যেখানে নতুন বিষয় ও পাঠ্যসূচি পরিচিত হবে</t>
  </si>
  <si>
    <t>গানের মাধ্যমে স্মৃতি রোমন্থন হবে পুরোনো গান শুনলে অতীতের সুখ দুঃখের স্মৃতি মনে পড়বে মিশ্র অনুভূতি জাগবে</t>
  </si>
  <si>
    <t>তুমি আগামীকালে একটি নতুন ভাষা শেখা শুরু করবে</t>
  </si>
  <si>
    <t>সে আগামী মাসে একটি বড় ধরনের ক্রীড়া প্রতিযোগিতায় অংশগ্রহণ করবে যেখানে তার দলের বিজয় নিশ্চিত করার চেষ্টা করবে</t>
  </si>
  <si>
    <t>সে তার স্কুলের সমস্ত পাঠগুলি পড়ে রাখবে যখন সে পরীক্ষা দেওয়ার জন্য উপযুক্ত প্রস্তুতি নিবে</t>
  </si>
  <si>
    <t>ভবিষ্যতে আমি একটি বড় গবেষণা প্রকল্পে কাজ করব যা আমাদের দেশের উন্নতিতে সাহায্য করবে</t>
  </si>
  <si>
    <t>কেমন লাগবে এই সংগঠনের নতুন ওয়েবসাইট</t>
  </si>
  <si>
    <t>ভবিষ্যতে আমি একটি দাতব্য প্রতিষ্ঠান স্থাপন করব যা দারিদ্র্য দূরীকরণে কাজ করবে</t>
  </si>
  <si>
    <t>তারা চ্যালেঞ্জ মোকাবিলা করতে সক্ষম হবে কারণ তাদের কাছে প্রয়োজনীয় দক্ষতা ও জ্ঞান থাকবে</t>
  </si>
  <si>
    <t>এই প্রথম বেতন তোমাকে আরো স্বাবলম্বী করে তুলবে আর সেটাই আমার কাছে সবচেয়ে বেশি গুরুত্বপূর্ণ হবে</t>
  </si>
  <si>
    <t>তারা আগামী মাসে একটি নতুন স্পোর্টস টিমে যোগ দেবে</t>
  </si>
  <si>
    <t>ভালোই লাগবে একসময় গিটার ধরতেই পারতাম না এখন মুটামুটি কিছু গান বাজাতে পারবো</t>
  </si>
  <si>
    <t>পাখি কখনো গাছের ডাল থেকে পরে যাবে না কারণ সে ডালের উপর নয় নিজের পাখার উপর বিশ্বাসী হবে তাই অন্যের চাইতে নিজের উপর বেশি বিশ্বাস রাখবেন</t>
  </si>
  <si>
    <t>নিজের মধ্যে শক্তি খুঁজবো সালাতের মাধ্যমে আল্লাহর সাথে যোগাযোগ করবো</t>
  </si>
  <si>
    <t>আমরা আগামীকাল থেকে নতুন প্রকল্পে কাজ শুরু করতে থাকব</t>
  </si>
  <si>
    <t>চাটপটে চাটনির সাথে পাকোড়া বৃষ্টির দিনের সেরা স্ন্যাক্স হবে</t>
  </si>
  <si>
    <t>স্বপ্ন পূরণের পথে এই ছোট্ট সাফল্যে এতো খুশি হবে তারা জীবনে আরো অনেক কিছু অর্জন করতে হবে</t>
  </si>
  <si>
    <t>খেজুরের গুড়ের শরবত গরমের দিনে শরীর ঠান্ডা রাখবে আর স্বাদও দারুণ হবে</t>
  </si>
  <si>
    <t>আমি আগামীকাল নতুন ড্রেস কিনব</t>
  </si>
  <si>
    <t>গর্বিত স্ত্রী হবো আমার স্বামী যা করে দেখাবেন এতে তার প্রতি ভালোবাসা আরো বেশি বৃদ্ধি পাবে</t>
  </si>
  <si>
    <t>চাকরির খোঁজে ছটফোঁটা এতদিন আজকে অবশেষে সফল হবো ধন্যবাদ ঈশ্বর</t>
  </si>
  <si>
    <t>দেখ এত কষ্ট করে পড়াশোনা করেছিস তারই তো ফল পাবি</t>
  </si>
  <si>
    <t>বন্ধু বাড়ি ফিরবে পুরোনো আড্ডার গল্প করে আবার পুরনো দিনের মতো খুনশুটে হয়ে কাটাবো বেশ কিছুদিন</t>
  </si>
  <si>
    <t>তারা আমার নতুন উদ্যোগে আমাদের সহায়তা করতে থাকবে</t>
  </si>
  <si>
    <t>আগামীকাল বাজারে আমাদের কোম্পানির শেয়ারের মূল্য সবচেয়ে বেশি হবে এটি খুবই ভালো খবর</t>
  </si>
  <si>
    <t>ক্লাসে ঘুমিয়ে পড়া কিন্তু বন্ধুরা জাগিয়ে দেবে স্কুল জীবনের মজা হবে</t>
  </si>
  <si>
    <t>পুরান ঢাকার হাজীর বিরিয়ানির কোনো তুলনা হবে না</t>
  </si>
  <si>
    <t>প্রাচীন গাছের ছায়ায় বসে মনে হবে যেন অতীতের কথা শোনতে পাব</t>
  </si>
  <si>
    <t>ভবিষ্যতে আমি আমার নিজস্ব কোম্পানি শুরু করব যেখানে আমি আমার স্বপ্ন পূরণ করতে পারব</t>
  </si>
  <si>
    <t>তারা আমাদের প্রযুক্তিতে মাস্টারি করতে থাকবে</t>
  </si>
  <si>
    <t>এতো বছর পর এখনো এই ছবির গল্পটা মনে থাকবে</t>
  </si>
  <si>
    <t>সাঁতার কাটার পর ঠান্ডা ঝরনা স্নান ক্লান্তি দূর করবে এবং শরীর মন চাঙ্গা লাগবে</t>
  </si>
  <si>
    <t>এই ম্যাচটা ইতিহাস হয়ে থাকবে নিশ্চই</t>
  </si>
  <si>
    <t>আমার ব্যবসা ছোট হতে পারে কিন্তু স্বপ্ন কিন্তু বড় হবে এর সঙ্গেই থাকবেন</t>
  </si>
  <si>
    <t>টিচারের প্রশ্নের উত্তর না জানা কিন্তু বন্ধুর সাহায্য করে স্কুল জীবনের গল্প হয়ে থাকবে</t>
  </si>
  <si>
    <t>তুমি আগামী সপ্তাহে একটি গুরুত্বপূর্ণ মিটিংয়ে যোগদান করবে যেখানে তুমি তোমার নতুন প্রজেক্ট সম্পর্কে উপস্থাপনা করবে</t>
  </si>
  <si>
    <t>তোমরা আগামীকাল উন্নত মানের পানি সংরক্ষণ প্রযুক্তি নিয়ে একটি সেমিনারে অংশ নেবে</t>
  </si>
  <si>
    <t>এত সুন্দর উপহার পেয়ে নিজেকে সত্যিই ভাগ্যবান মনে হবে</t>
  </si>
  <si>
    <t>সুখী জীবনের জন্য ইতিবাচক চিন্তাভাবনা প্রয়োজন হবে</t>
  </si>
  <si>
    <t>আমি আগামীকাল একটি নতুন বই কিনব</t>
  </si>
  <si>
    <t>রকেটে টাকা নিবো</t>
  </si>
  <si>
    <t>দলগুলি সাহায্য চাইবে</t>
  </si>
  <si>
    <t>লোন অনুমোদন হবে</t>
  </si>
  <si>
    <t>হোম লোন পাব</t>
  </si>
  <si>
    <t>সফটওয়্যার ব্যবহার করব</t>
  </si>
  <si>
    <t>আনন্দময় ভ্রমণ হবে</t>
  </si>
  <si>
    <t>ওয়েবসাইট বিশ্লেষণ করব</t>
  </si>
  <si>
    <t>ক্যাচ হবে ক্রিকেটে</t>
  </si>
  <si>
    <t>গোল মারবে ফুটবলে</t>
  </si>
  <si>
    <t>কাস্টিং শুরু হবে</t>
  </si>
  <si>
    <t>ভাল প্রশংসা পাব</t>
  </si>
  <si>
    <t>তারা স্কিং করবে</t>
  </si>
  <si>
    <t>প্রজেক্ট ম্যানেজ করবে</t>
  </si>
  <si>
    <t>অ্যাক্সেস প্রদান হবে</t>
  </si>
  <si>
    <t>ব্যাডমিন্টন ম্যাচ হবে</t>
  </si>
  <si>
    <t>উইনডোস জনপ্রিয় হবে</t>
  </si>
  <si>
    <t>রাজনীতির বিকাশ হবে</t>
  </si>
  <si>
    <t>ব্যবহার করব স্মার্টওয়্যাচ</t>
  </si>
  <si>
    <t>খেলাধুলায় শরীরচর্চা হবে</t>
  </si>
  <si>
    <t>স্বয়ংক্রিয়তা বাড়বে</t>
  </si>
  <si>
    <t>পোশাক মূল্য বাড়বে</t>
  </si>
  <si>
    <t>স্কোর মারবে খেলোয়াড়</t>
  </si>
  <si>
    <t>ফুটবল খেলবে টিম</t>
  </si>
  <si>
    <t>একাউন্ট খুলিয়া থাকব</t>
  </si>
  <si>
    <t>বন্ধুদের সাথে ঘুরব</t>
  </si>
  <si>
    <t>একাউন্ট আপডেট করবো</t>
  </si>
  <si>
    <t>গণনা করিয়া থাকব</t>
  </si>
  <si>
    <t>রাগ বাজাবে তোমার</t>
  </si>
  <si>
    <t>টেনিস ম্যাচ শুরু হবে</t>
  </si>
  <si>
    <t>তুমি মালাইকোপ্তা খাবে</t>
  </si>
  <si>
    <t>অ্যালগরিদম চেঞ্জ হবে</t>
  </si>
  <si>
    <t>খাদ্য উপযোগী হবে</t>
  </si>
  <si>
    <t>ইন্টারনেট চালু করব</t>
  </si>
  <si>
    <t>মানুষেরা মিছিল করবে</t>
  </si>
  <si>
    <t>পথশিশুদের সাহায্য করবে</t>
  </si>
  <si>
    <t>সে বই লিখবে</t>
  </si>
  <si>
    <t>জাভা প্রোগ্রামার হবে</t>
  </si>
  <si>
    <t>গবেষণায় শ্রম দিব</t>
  </si>
  <si>
    <t>গীত শোনবে সে</t>
  </si>
  <si>
    <t>তাজমহল দেখতে চাইব</t>
  </si>
  <si>
    <t>ইন্টারনেট ব্যবহার করবো</t>
  </si>
  <si>
    <t>ডেভেলপমেন্ট স্টার্ট হবে</t>
  </si>
  <si>
    <t>আমি আলাস্কা যাব</t>
  </si>
  <si>
    <t>ব্যাংকে যোগাযোগ করবো</t>
  </si>
  <si>
    <t>ব্যাংক স্থায়ী হবে</t>
  </si>
  <si>
    <t>টাকা দিয়ে দিবো তোমাকে।</t>
  </si>
  <si>
    <t>টাকা জমা করতে হবে।</t>
  </si>
  <si>
    <t>টাকা জমিয়ে নতুন ফোন কিনব।</t>
  </si>
  <si>
    <t>ক্যামেরায় ছবি তুলব</t>
  </si>
  <si>
    <t>মাইনুল গদ্য পড়বেন</t>
  </si>
  <si>
    <t>আমরা গবেষণা করিব</t>
  </si>
  <si>
    <t>তুমি পিঠা খাবে</t>
  </si>
  <si>
    <t>সেমিস্টার এনরোল করব</t>
  </si>
  <si>
    <t>শীতকালীন ভ্রমণ করিব</t>
  </si>
  <si>
    <t>অরণ্য সুন্দর হবে</t>
  </si>
  <si>
    <t>শিক্ষাসফরে যাইতে থাকব</t>
  </si>
  <si>
    <t>গুগল ইউটিউব কিনবে</t>
  </si>
  <si>
    <t>পরিচয়পত্র আধুনিক হবে</t>
  </si>
  <si>
    <t>সফটওয়্যার বানিয়ে থাকব</t>
  </si>
  <si>
    <t>ডাউনলোড করতে চাইব</t>
  </si>
  <si>
    <t>আপনি স্প্যাগেটি খাবেন</t>
  </si>
  <si>
    <t>নতুন কিছু জানাব</t>
  </si>
  <si>
    <t>খেলা দেখে থাকবে</t>
  </si>
  <si>
    <t>ডাটা কনফিগ হবে</t>
  </si>
  <si>
    <t>ফুটবল খেলেতে থাকবে</t>
  </si>
  <si>
    <t>অডিও বার্তা পাঠাব</t>
  </si>
  <si>
    <t>জিপিএস ব্যবহার করবো</t>
  </si>
  <si>
    <t>জীবনকে সহজে করিব</t>
  </si>
  <si>
    <t>ডিজাইন করিয়া থাকব</t>
  </si>
  <si>
    <t>তুমি মিষ্টি খাবে</t>
  </si>
  <si>
    <t>মহাকাশে রকেট যাবে</t>
  </si>
  <si>
    <t>আমরা সবজি খাব</t>
  </si>
  <si>
    <t>গোল্ডেন বক্স হবে</t>
  </si>
  <si>
    <t>সেট আপ করবেন</t>
  </si>
  <si>
    <t>চন্দ্রযান ভারতের হবে</t>
  </si>
  <si>
    <t>আনন্দ অনুষ্ঠান হবে</t>
  </si>
  <si>
    <t>বাংলায় ব্লগ লেখব</t>
  </si>
  <si>
    <t>সিগন্যাল প্রাপ্ত হবে</t>
  </si>
  <si>
    <t>আরবি পড়াতে থাকবে</t>
  </si>
  <si>
    <t>এনরোল করতে থাকবো</t>
  </si>
  <si>
    <t>দর্শক স্থানসংগ্রহ করবে</t>
  </si>
  <si>
    <t>হকি টিম জিতবে</t>
  </si>
  <si>
    <t>পিঠা উৎসব হবে</t>
  </si>
  <si>
    <t>প্রোডাক্ট সেল বাড়বে</t>
  </si>
  <si>
    <t>ব্লগ পড়তে থাকব</t>
  </si>
  <si>
    <t>সহজেই ইমেইল পাঠাব</t>
  </si>
  <si>
    <t>বইমেলায় যাইতে থাকব</t>
  </si>
  <si>
    <t>খেলাধুলায় অংশগ্রহণ করব</t>
  </si>
  <si>
    <t>আলাস্কা যাইতে থাকব</t>
  </si>
  <si>
    <t>তোমরা সংগীত গাইবে</t>
  </si>
  <si>
    <t>ব্যাংক খোলা হবে</t>
  </si>
  <si>
    <t>কেফেটেরিয়ায় যাইয়া থাকব</t>
  </si>
  <si>
    <t>ব্যাডমিন্টন শেষ হবে</t>
  </si>
  <si>
    <t>ইসলামিক জীবন গড়িব</t>
  </si>
  <si>
    <t>রম্য বিক্রি হবে</t>
  </si>
  <si>
    <t>সমুদ্রের ঝিনুক খুঁজব</t>
  </si>
  <si>
    <t>নিয়মিত খেলা দেখিব</t>
  </si>
  <si>
    <t>রাজনীতি প্রচার হবে</t>
  </si>
  <si>
    <t>কলেজে ভর্তি হব</t>
  </si>
  <si>
    <t>গেম খেলে থাকবে</t>
  </si>
  <si>
    <t>ভ্রমণ পছন্দ করবো</t>
  </si>
  <si>
    <t>বই সংগ্রহ করব</t>
  </si>
  <si>
    <t>মিটিংয়ে করে থাকব</t>
  </si>
  <si>
    <t>সিনেমা হবে জনপ্রিয়</t>
  </si>
  <si>
    <t>ভ্রমণ ভালো লাগবে</t>
  </si>
  <si>
    <t>আমরা আনন্দ পাবো</t>
  </si>
  <si>
    <t>প্রশিক্ষণ করতে থাকব</t>
  </si>
  <si>
    <t>যোগাযোগ চালিয়ে যাবে</t>
  </si>
  <si>
    <t>প্যাকেজ লিস্ট করব</t>
  </si>
  <si>
    <t>স্কাইরাইড করিয়া থাকব</t>
  </si>
  <si>
    <t>আপনি রোস্ট খাবেন</t>
  </si>
  <si>
    <t>পাথ ডিস্কাভারি হবে</t>
  </si>
  <si>
    <t>স্মার্টটিভি ব্যবহার করবো</t>
  </si>
  <si>
    <t>স্মার্টটিভি কিনে আনব।</t>
  </si>
  <si>
    <t>গোলকিপার নির্বাচন হবে</t>
  </si>
  <si>
    <t>কষ্ট করতে থাকবে</t>
  </si>
  <si>
    <t>ভালো বন্ধু খুজিব</t>
  </si>
  <si>
    <t>ডিজাইন করবে ডেভেলপার</t>
  </si>
  <si>
    <t>স্কোর করবে খেলোয়াড়</t>
  </si>
  <si>
    <t>অনলাইনে কোর্স করব</t>
  </si>
  <si>
    <t>ইন্টারনেট ব্যাবহার করবো</t>
  </si>
  <si>
    <t>রম ব্যবহার করবো</t>
  </si>
  <si>
    <t>অনলাইনে আসক্ত হবনা</t>
  </si>
  <si>
    <t>মাছ কিনতে যাব</t>
  </si>
  <si>
    <t>রাজনীতি করিয়া থাকিব</t>
  </si>
  <si>
    <t>জনপ্রিয় হয়ে থাকবে</t>
  </si>
  <si>
    <t>সে টেনিস খেলবে</t>
  </si>
  <si>
    <t>সুগন্ধ ছড়াইতে থাকব</t>
  </si>
  <si>
    <t>এপ্লিকেশন লঞ্চ হবে</t>
  </si>
  <si>
    <t>মোবাইল কিনে দিব</t>
  </si>
  <si>
    <t>প্রটোকল বৃদ্ধি পাবে</t>
  </si>
  <si>
    <t>সন্ধান করিয়া থাকবে</t>
  </si>
  <si>
    <t>অপারেটিং করতে থাকবো</t>
  </si>
  <si>
    <t>আমি বই পড়িব</t>
  </si>
  <si>
    <t>একাউন্ট টাকা পাঠাব</t>
  </si>
  <si>
    <t>ব্যাংকসেবা প্রদান করবে</t>
  </si>
  <si>
    <t>শক্তি জোগাতে থাকবে</t>
  </si>
  <si>
    <t>পাসবুক অনুযায়ী করবো</t>
  </si>
  <si>
    <t>আইপ্যাড ব্যবহার করাবো</t>
  </si>
  <si>
    <t>সময়মত খাবার খাব</t>
  </si>
  <si>
    <t>রাজনীতির বিতর্ক হবে</t>
  </si>
  <si>
    <t>রাজনীতির বিতর্ক হইতে থাকবে</t>
  </si>
  <si>
    <t>রাজনীতির বিতর্ক হইয়া থাকবে</t>
  </si>
  <si>
    <t>রাজনীতির বিতর্কে অংশগ্রহণ করব</t>
  </si>
  <si>
    <t>সমস্যার সমাধান হবে</t>
  </si>
  <si>
    <t>ডিজাইন করব ওয়েবসাইট</t>
  </si>
  <si>
    <t>নগদে কাজ করবো</t>
  </si>
  <si>
    <t>সংগ্রহ করতে থাকব</t>
  </si>
  <si>
    <t>গ্যাজেট কিনতে যাব</t>
  </si>
  <si>
    <t>অভিনয় শুরু হবে</t>
  </si>
  <si>
    <t>সহজেই ইমেইল লিখব</t>
  </si>
  <si>
    <t>সন্ধান করিতে থাকবে</t>
  </si>
  <si>
    <t>স্পিকার ব্যবহার করবো</t>
  </si>
  <si>
    <t>ডিজাইন প্যাটার্ন চলবে</t>
  </si>
  <si>
    <t>মোবাইল ব্যাংকিং করবো</t>
  </si>
  <si>
    <t>সেন্টমার্টিন ঘুরতে যাব</t>
  </si>
  <si>
    <t>মেমরিকার্ড ব্যবহার করবো</t>
  </si>
  <si>
    <t>মেমরিকার্ড ক্রয় করবো</t>
  </si>
  <si>
    <t>অনুষ্ঠান হইতে থাকবে</t>
  </si>
  <si>
    <t>খাদ্যের গুনাগুন বাড়বে</t>
  </si>
  <si>
    <t>নেক্সসে লেনদেন করবো</t>
  </si>
  <si>
    <t>গান শিখবে তোমরা</t>
  </si>
  <si>
    <t>পরিবর্তন প্রয়োগ করবেন</t>
  </si>
  <si>
    <t>সৌন্দর্য আনন্দ দিবে</t>
  </si>
  <si>
    <t>একাউন্টে চাকরি করব</t>
  </si>
  <si>
    <t>শিক্ষামুলক ভ্রমণ হবে</t>
  </si>
  <si>
    <t>উদ্যোগে সংযুক্ত হব</t>
  </si>
  <si>
    <t>সিনেমা পরিচালনা হবে</t>
  </si>
  <si>
    <t>কেফেটেরিয়ায় যাইতে থাকব</t>
  </si>
  <si>
    <t>আমরা পান খাব</t>
  </si>
  <si>
    <t>জীবন গড়িতে থাকব</t>
  </si>
  <si>
    <t>জীবনে সুবিধা নিব</t>
  </si>
  <si>
    <t>গান পরিবেশন হবে</t>
  </si>
  <si>
    <t>রাশিয়া উন্নত হবে</t>
  </si>
  <si>
    <t>আমরা মাছ কিনব</t>
  </si>
  <si>
    <t>ক্রেডিট কার্ড হবে</t>
  </si>
  <si>
    <t>আমরা বৃষ্টি দেখব</t>
  </si>
  <si>
    <t>ওয়েবক্যাম ব্যবহার করবো</t>
  </si>
  <si>
    <t>টাকা উত্তোলন করবো</t>
  </si>
  <si>
    <t>ভ্রমণের ইচ্ছা হবে</t>
  </si>
  <si>
    <t>পরিকল্পনা করিয়া থাকবে</t>
  </si>
  <si>
    <t>জটিল গণণা করব</t>
  </si>
  <si>
    <t>ফায়ারওয়াল ইনস্টল করবেন</t>
  </si>
  <si>
    <t>হিসাব স্টেটমেন্ট করবো</t>
  </si>
  <si>
    <t>সুর বাজাবে ও</t>
  </si>
  <si>
    <t>ভ্রমণে সুখী হবো</t>
  </si>
  <si>
    <t>কোড কনফিগার করবে</t>
  </si>
  <si>
    <t>খেলাধুলায় করিয়া থাকবে</t>
  </si>
  <si>
    <t>ছেলেমেয়ারা খেলতে থাকবে</t>
  </si>
  <si>
    <t>আটোমেশন বৃদ্ধি পাবে</t>
  </si>
  <si>
    <t>ফাইল অপেন হবে</t>
  </si>
  <si>
    <t>কলায় আয়রন থাকবে</t>
  </si>
  <si>
    <t>সবসময় ঘুরে বেড়াব</t>
  </si>
  <si>
    <t>কোড লিখবে ডেভেলপার</t>
  </si>
  <si>
    <t>ডাটাবেজ শিখিয়া থাকব</t>
  </si>
  <si>
    <t>ব্যাংক হিসাব নিবে</t>
  </si>
  <si>
    <t>তাল বাজাবে সে</t>
  </si>
  <si>
    <t>কার্ড পরিবর্তন করব</t>
  </si>
  <si>
    <t>নতুন ইনভেস্টমেন্ট হবে</t>
  </si>
  <si>
    <t>তথ্য পাঠিয়ে থাকব</t>
  </si>
  <si>
    <t>উপন্যাস পড়িয়া থাকব</t>
  </si>
  <si>
    <t>বই লিখতে থাকবে</t>
  </si>
  <si>
    <t>টেনিস খেলবে খেলোয়াড়</t>
  </si>
  <si>
    <t>সার্ভার ব্যবহার করবো</t>
  </si>
  <si>
    <t>ইন্টারনেট ব্যবহার করাবো</t>
  </si>
  <si>
    <t>ভ্রমণে স্মৃতিশক্তি বাড়বে</t>
  </si>
  <si>
    <t>শর্করা খেতে হবে</t>
  </si>
  <si>
    <t>মেমোরি অপ্টিমাইজ করবেন</t>
  </si>
  <si>
    <t>কবিতা লিখিয়া থাকবে</t>
  </si>
  <si>
    <t>হকি ম্যাচ হবে</t>
  </si>
  <si>
    <t>ব্যাংক স্থায়ী হবেনা</t>
  </si>
  <si>
    <t>ব্যাংক যাচাই করব</t>
  </si>
  <si>
    <t>পিঠা উৎসবে যাব</t>
  </si>
  <si>
    <t>টেস্ট করবেন</t>
  </si>
  <si>
    <t>ফুটবল খেলিয়া থাকবে</t>
  </si>
  <si>
    <t>ক্যাশফ্লো পর্যালোচনা করবে</t>
  </si>
  <si>
    <t>একাউন্টে টাকা রাখবনা</t>
  </si>
  <si>
    <t>আমি পাসবুক দেখবো</t>
  </si>
  <si>
    <t>বই কিনিতে থাকব</t>
  </si>
  <si>
    <t>গান শোনবে আমি</t>
  </si>
  <si>
    <t>আমরা বার্গার কিনব</t>
  </si>
  <si>
    <t>রাজনীতি পছন্দ করব</t>
  </si>
  <si>
    <t>ব্যাকরণে সন্ধি পড়িব</t>
  </si>
  <si>
    <t>অভিনয় স্কুল হবে</t>
  </si>
  <si>
    <t>স্ট্রাইক করবে খেলোয়াড়</t>
  </si>
  <si>
    <t>রোবট ব্যবহার করবো</t>
  </si>
  <si>
    <t>নতুন কম্পিউটার কিনব</t>
  </si>
  <si>
    <t>বানিজ্যিক ব্যবসা বাড়বে</t>
  </si>
  <si>
    <t>স্ট্রেটেজিক পরিকল্পনা করবে</t>
  </si>
  <si>
    <t>বিনিয়োগ করবেন সঠিকভাবে</t>
  </si>
  <si>
    <t>সিনেমায় অভিনেতা নাচবে</t>
  </si>
  <si>
    <t>ক্রেডিটকার্ড অনুমোদন হবে</t>
  </si>
  <si>
    <t>আমরা হালিম খাব</t>
  </si>
  <si>
    <t>আমরা হালিম রান্না করব</t>
  </si>
  <si>
    <t>সে চকোলেট দিবেন</t>
  </si>
  <si>
    <t>চেক দিতে থাকবেন</t>
  </si>
  <si>
    <t>খাদ্য প্রানশক্তি জোগাবে</t>
  </si>
  <si>
    <t>প্রোগ্রাম ডেবাগ হবে</t>
  </si>
  <si>
    <t>টাকা উত্তোলন করবনা</t>
  </si>
  <si>
    <t>আমি রেইনফরেস্ট যাব</t>
  </si>
  <si>
    <t>জীবনের গল্প বলব</t>
  </si>
  <si>
    <t>নির্মাণ শুরু হবে</t>
  </si>
  <si>
    <t>ইন্টারনেট সংযোগ হবে</t>
  </si>
  <si>
    <t>শীতবস্ত্র বিতরণ করব</t>
  </si>
  <si>
    <t>লোকেরা স্বনিযুক্ত হবে</t>
  </si>
  <si>
    <t>খাবারের দাম বাড়বে</t>
  </si>
  <si>
    <t>টেনিস খেলিয়া থাকবে</t>
  </si>
  <si>
    <t>পরিস্থিতি চেক করবেন</t>
  </si>
  <si>
    <t>সুর বাজাবে তোমার</t>
  </si>
  <si>
    <t>স্মার্টফোন ব্যবহার করবো</t>
  </si>
  <si>
    <t>গান গাইবে তোমার</t>
  </si>
  <si>
    <t>প্রযুক্তি আবিষ্কার করব</t>
  </si>
  <si>
    <t>নিয়মিত হাদীস পড়িব</t>
  </si>
  <si>
    <t>তায়েফ হবে মরুভূমি</t>
  </si>
  <si>
    <t>তাল শোনবে আমি</t>
  </si>
  <si>
    <t>উপায় হবে কঠিন</t>
  </si>
  <si>
    <t>ডেভেলপমেন্ট চেঞ্জ হবে</t>
  </si>
  <si>
    <t>টেকনোলজি খোজতে চাইব</t>
  </si>
  <si>
    <t>কলেজের হোস্টেলে থাকব</t>
  </si>
  <si>
    <t>বটিম নিরাপদ হবেনা</t>
  </si>
  <si>
    <t>টেলিভিশন ব্যবহার করবো</t>
  </si>
  <si>
    <t>ডেস্কটপ ব্যবহার করবো</t>
  </si>
  <si>
    <t>ডেস্কটপ বিক্রি করবো</t>
  </si>
  <si>
    <t>সমুদ্রের তীরে ঘুরব</t>
  </si>
  <si>
    <t>সারিবদ্ধ হয়ে ঘুরবো</t>
  </si>
  <si>
    <t>ক্রিকেট খেলবে খেলোয়াড়</t>
  </si>
  <si>
    <t>ব্যাংকিং করতে থাকব</t>
  </si>
  <si>
    <t>ছেলেমেয়ারা টেনিস খেলবে</t>
  </si>
  <si>
    <t>রাজনীতির পথে চলব</t>
  </si>
  <si>
    <t>সময়ের অপচয় হবে</t>
  </si>
  <si>
    <t>চাকরি করতে থাকিব</t>
  </si>
  <si>
    <t>ভ্রমণেই মুক্তি পাব</t>
  </si>
  <si>
    <t>আইনের প্রস্তুতি চলবে</t>
  </si>
  <si>
    <t>আইনের প্রস্তুতি নিবে</t>
  </si>
  <si>
    <t>আইনের প্রস্তুতি নিতে হবেনা</t>
  </si>
  <si>
    <t>ফুল পছন্দ করব</t>
  </si>
  <si>
    <t>সে হবে প্রোগ্রামার</t>
  </si>
  <si>
    <t>তারা কাব্য লিখবে</t>
  </si>
  <si>
    <t>ব্লকেচেইন কোর্স করব</t>
  </si>
  <si>
    <t>ডেভেলপমেন্ট ফিনিশ হবে</t>
  </si>
  <si>
    <t>শিক্ষাসফরে যাইয়া থাকব</t>
  </si>
  <si>
    <t>স্যাটেলাইট ব্যয়বহুল হবে</t>
  </si>
  <si>
    <t>ইয়াহুর জনপ্রিয়তা হবে</t>
  </si>
  <si>
    <t>ইবুক ব্যবহার করবো</t>
  </si>
  <si>
    <t>কলেজ কেফেটেরিয়ায় খাব</t>
  </si>
  <si>
    <t>অডিট করিয়া থাকব</t>
  </si>
  <si>
    <t>আইনের প্রস্তুতি নেওয়া হবে</t>
  </si>
  <si>
    <t>নেটওয়ার্কিং কাজ শেখাবো</t>
  </si>
  <si>
    <t>একাউন্ট খুলতে থাকব</t>
  </si>
  <si>
    <t>একাউন্টে টাকা জমা করিয়া থাকব</t>
  </si>
  <si>
    <t>কবিতা পড়িয়া থাকবে</t>
  </si>
  <si>
    <t>বনে পাখি দেখব</t>
  </si>
  <si>
    <t>অবস্থান করিয়া থাকব</t>
  </si>
  <si>
    <t>দাম্মাম হবে দর্শনীয়</t>
  </si>
  <si>
    <t>বাস্কেটবল খেলবে প্লেয়ার</t>
  </si>
  <si>
    <t>আবৃত্তি করিয়া থাকবে</t>
  </si>
  <si>
    <t>ব্লকচেইন জনপ্রিয় হবে</t>
  </si>
  <si>
    <t>দল আলোচনা করবে</t>
  </si>
  <si>
    <t>সকলের ভালোবাসা থাকবে</t>
  </si>
  <si>
    <t>প্রযুক্তির বিকাশ চলবে</t>
  </si>
  <si>
    <t>সে চাটপাটা খাবে</t>
  </si>
  <si>
    <t>কর্মদক্ষতা বাড়াতে হবে</t>
  </si>
  <si>
    <t>ব্যাংক হিসাব দিবে</t>
  </si>
  <si>
    <t>জিপিএস চালু করবো</t>
  </si>
  <si>
    <t>ইনোভেশন চালু হবে</t>
  </si>
  <si>
    <t>লোন বৃদ্ধি করবে</t>
  </si>
  <si>
    <t>স্কাইরাইড করতে থাকব</t>
  </si>
  <si>
    <t>ভ্রমণে শান্তি পাবো</t>
  </si>
  <si>
    <t>লোন চাওয়া হবেনা</t>
  </si>
  <si>
    <t>ডাটা প্রেরণ হবে</t>
  </si>
  <si>
    <t>ব্যাংকে লোন বাড়বে</t>
  </si>
  <si>
    <t>এড্রেস সেভ করবেন</t>
  </si>
  <si>
    <t>আইওএস ব্যবহার করব</t>
  </si>
  <si>
    <t>জিপিএস দরকার হবে</t>
  </si>
  <si>
    <t>সে মিল্কশেক পাবে</t>
  </si>
  <si>
    <t>টেলিভিশনে সংবাদ দেখব</t>
  </si>
  <si>
    <t>বার্তা বিনিময় করব</t>
  </si>
  <si>
    <t>ল্যাপটপ হ্যাক করব</t>
  </si>
  <si>
    <t>আকাশ দেখতে থাকব</t>
  </si>
  <si>
    <t>রাজনৈতিক আলোচনা হবে</t>
  </si>
  <si>
    <t>ভ্রমণ করিতে থকব</t>
  </si>
  <si>
    <t>আপনি খিচুড়ি খাবেন</t>
  </si>
  <si>
    <t>একাউন্ট ডিলিট করব</t>
  </si>
  <si>
    <t>ইমেজ স্ক্যান করবেন</t>
  </si>
  <si>
    <t>ট্যাব ব্যবহার করবো</t>
  </si>
  <si>
    <t>খাদ্য ক্ষয়পূরণ হবে</t>
  </si>
  <si>
    <t>বাটন চাপাবে মানুষ</t>
  </si>
  <si>
    <t>কাশ্মীর গিয়ে থাকব</t>
  </si>
  <si>
    <t>জ্ঞানে অগ্রসর হব</t>
  </si>
  <si>
    <t>অর্থ রিটার্ন পাবে</t>
  </si>
  <si>
    <t>ডিজিটালে হবে ঝামেলা</t>
  </si>
  <si>
    <t>এপ্লিকেশন ইনস্টল করিব</t>
  </si>
  <si>
    <t>স্মার্টফোন ব্যবহার করাবো</t>
  </si>
  <si>
    <t>প্রযুক্তির দুর্লভ হবে</t>
  </si>
  <si>
    <t>উত্তোলন সুবিধা হবে</t>
  </si>
  <si>
    <t>একাউন্ট ব্যালেন্স কমবে</t>
  </si>
  <si>
    <t>সরকার নির্বাচন করব</t>
  </si>
  <si>
    <t>রাগ পাবে তোমার</t>
  </si>
  <si>
    <t>রেইনফরেস্ট গিয়ে থাকব</t>
  </si>
  <si>
    <t>আমি বিনোদন পাব</t>
  </si>
  <si>
    <t>মক্কায় যাইতে থাকবো</t>
  </si>
  <si>
    <t>বাঘ দেখতে থাকব</t>
  </si>
  <si>
    <t>সংসদ আয়োজন হবে</t>
  </si>
  <si>
    <t>আমরা ডাল ভাত খাব</t>
  </si>
  <si>
    <t>দেশান্তর হয়ে যাবো</t>
  </si>
  <si>
    <t>ইতিহাস হবে সমৃদ্ধ</t>
  </si>
  <si>
    <t>খাদ্য শক্তি জোগাবে</t>
  </si>
  <si>
    <t>টাকা যাবে উপায়ে</t>
  </si>
  <si>
    <t>সংগীত শিখবে সে</t>
  </si>
  <si>
    <t>ঢেউ স্নিগ্ধতা ছড়াবে</t>
  </si>
  <si>
    <t>গল্প লেখা হবে</t>
  </si>
  <si>
    <t>আইসক্রিম সার্ভ করবে</t>
  </si>
  <si>
    <t>মসজিদে যেয়ে থাকব</t>
  </si>
  <si>
    <t>অভিজ্ঞতা হইতে থাকবে</t>
  </si>
  <si>
    <t>পড়লেখা আনন্দের থাকবে</t>
  </si>
  <si>
    <t>ধারণা উন্নত করবে</t>
  </si>
  <si>
    <t>তারা টাকা পাঠাবে</t>
  </si>
  <si>
    <t>ইন্টারফেস ডিজাইন হবে</t>
  </si>
  <si>
    <t>আপনি পাস্তা বানাবেন</t>
  </si>
  <si>
    <t>রাজনীতি আগ্রহী হব</t>
  </si>
  <si>
    <t>প্রযুক্তির নিয়ে ভাবব</t>
  </si>
  <si>
    <t>চ্যাটজিপিটি ব্যবহার করব</t>
  </si>
  <si>
    <t>ভ্রমণেই মুক্তি মিলবে</t>
  </si>
  <si>
    <t>ক্যামেরা ব্যবহার করবো</t>
  </si>
  <si>
    <t>সংযোজন করিয়া থাকব</t>
  </si>
  <si>
    <t>আমি মক্কায় যাবো</t>
  </si>
  <si>
    <t>প্রচার চালু হবে</t>
  </si>
  <si>
    <t>তখন ভ্রমণ হবে</t>
  </si>
  <si>
    <t>প্রযুক্তির শিখতে যাব</t>
  </si>
  <si>
    <t>তিনি সুপারি খাবে</t>
  </si>
  <si>
    <t>তিনি সুপারি দিয়ে পান খাবেন</t>
  </si>
  <si>
    <t>কষ্ট করিয়া থাকবে</t>
  </si>
  <si>
    <t>ড্রোন ব্যবহার করবো</t>
  </si>
  <si>
    <t>শিক্ষার মান কমবে</t>
  </si>
  <si>
    <t>ফাইল সেভ হবে</t>
  </si>
  <si>
    <t>দরকারি ফাইল সেভ করতে হবে</t>
  </si>
  <si>
    <t>লোন সুবিধা পাব</t>
  </si>
  <si>
    <t>একাউন্টে টাকা রাখব</t>
  </si>
  <si>
    <t>ডেভেলপমেন্ট লোড হবে</t>
  </si>
  <si>
    <t>নিয়মিত ভিডিও দিব</t>
  </si>
  <si>
    <t>অ্যাপস ব্যবহার করব</t>
  </si>
  <si>
    <t>সিনেমা পুনঃপ্রকাশ হবে</t>
  </si>
  <si>
    <t>ভালো লাগতে থাকবে</t>
  </si>
  <si>
    <t>মানি রিসিট দিবো</t>
  </si>
  <si>
    <t>ইন্টারনেটে যোগাযোগ হবে</t>
  </si>
  <si>
    <t>ব্যাপারিক সম্মেলন হবে</t>
  </si>
  <si>
    <t>কার্ড ডেলিভারি করব</t>
  </si>
  <si>
    <t>জোয়ার আসতে থাকবে</t>
  </si>
  <si>
    <t>রানার রেস হবে</t>
  </si>
  <si>
    <t>সাইট ডিজাইন করবে</t>
  </si>
  <si>
    <t>নাবিকেরা জাহাজ চালাবে</t>
  </si>
  <si>
    <t>ল্যাপটপ ব্যবহার করব</t>
  </si>
  <si>
    <t>আন্তর্জাতিক স্বীকৃত হবে</t>
  </si>
  <si>
    <t>ডাটা রিমুভ করবেন</t>
  </si>
  <si>
    <t>নাগরিকের আশা বাড়বে</t>
  </si>
  <si>
    <t>জীবন আলোকিত করব</t>
  </si>
  <si>
    <t>টেস্ট কেস বানাবে</t>
  </si>
  <si>
    <t>জীবন গড়িয়া থাকব</t>
  </si>
  <si>
    <t>দলগুলি মন্নত পাবে</t>
  </si>
  <si>
    <t>ওয়েবসাইট হোস্টিং করবে</t>
  </si>
  <si>
    <t>তাজা ফল খাবেন</t>
  </si>
  <si>
    <t>প্যাটার্ন পরিবর্তন হবে</t>
  </si>
  <si>
    <t>মানুষেরা সংগঠন করবে</t>
  </si>
  <si>
    <t>সে বই পড়বে</t>
  </si>
  <si>
    <t>সে হবে ভোজনরসিক</t>
  </si>
  <si>
    <t>ডিজিটাল পড়ুয়ালে পড়ব</t>
  </si>
  <si>
    <t>সার্ভার চালু হবে</t>
  </si>
  <si>
    <t>পরকাল নিয়ে ভাবিব</t>
  </si>
  <si>
    <t>সমুদ্র ভ্রমণ করবে</t>
  </si>
  <si>
    <t>প্রোগ্রামিং করে থাকব</t>
  </si>
  <si>
    <t>ব্লগ করিয়া থাকবে</t>
  </si>
  <si>
    <t>ব্যাংকে যাইতে থাকবে</t>
  </si>
  <si>
    <t>বনে বাঘ দেখব</t>
  </si>
  <si>
    <t>পাহাড়ের চূড়া ভালবাসব</t>
  </si>
  <si>
    <t>গান বাজাবে সে</t>
  </si>
  <si>
    <t>একাউন্ট সৃষ্টি করব</t>
  </si>
  <si>
    <t>ওয়েবক্যাম ব্যবহার করিব</t>
  </si>
  <si>
    <t>পেপার পড়তে থাকবে</t>
  </si>
  <si>
    <t>সময়ের সাথে চলব</t>
  </si>
  <si>
    <t>ড্রিবল করবে প্লেয়ার</t>
  </si>
  <si>
    <t>টাকায় বাড়ি কিনব</t>
  </si>
  <si>
    <t>শাহজাহান তাজমহল বানাব</t>
  </si>
  <si>
    <t>ল্যাংগুয়েজ জানতে হবে</t>
  </si>
  <si>
    <t>ওয়েবসাইট তৈরি করব</t>
  </si>
  <si>
    <t>কোরআন তেলওয়াত শুনব</t>
  </si>
  <si>
    <t>রাজনৈতিক আলোচনা করব</t>
  </si>
  <si>
    <t>রাজনৈতিক আলোচনা করতে সভায় যাব</t>
  </si>
  <si>
    <t>আপনি লাচ্ছা খাবেন</t>
  </si>
  <si>
    <t>আপনি লাচ্ছা খেতে রেস্টুরেন্টে যাবেন।</t>
  </si>
  <si>
    <t>ব্যাংক যোগ্যতা দেখবে</t>
  </si>
  <si>
    <t>তাজমহলে যাইতে থাকব</t>
  </si>
  <si>
    <t>তিনি রান্না চিংড়ি করবেন</t>
  </si>
  <si>
    <t>তিনি চিংড়ি চাষ করবেন</t>
  </si>
  <si>
    <t>সিকিউর চেক হবে</t>
  </si>
  <si>
    <t>সমুদ্র দেখিয়া থাকব</t>
  </si>
  <si>
    <t>শরীরচর্চার প্রশিক্ষণ নিব</t>
  </si>
  <si>
    <t>সিক্যুর কোডিং শিখবে</t>
  </si>
  <si>
    <t>কেফেটেরিয়ায় খাইতে থাকব</t>
  </si>
  <si>
    <t>ভ্রমণে উৎসাহী হবো</t>
  </si>
  <si>
    <t>ব্যাডমিন্টন খেলবে টিম</t>
  </si>
  <si>
    <t>ওজন হবে কম</t>
  </si>
  <si>
    <t>সুখী হতে থাকবো</t>
  </si>
  <si>
    <t>ব্লুটোথ ব্যবহার করবো</t>
  </si>
  <si>
    <t>লিনাক্স অপারেটিং করবো</t>
  </si>
  <si>
    <t>প্রযুক্তির অকল্যাণ থাকবে</t>
  </si>
  <si>
    <t>তিনি মিষ্টি খাবেন</t>
  </si>
  <si>
    <t>তিনি মিষ্টি খেতে রেস্টুরেন্টে যাবেন</t>
  </si>
  <si>
    <t>বেকড চিকেন খাবে</t>
  </si>
  <si>
    <t>হাইটেকপার্ক ডিজাইন হবে</t>
  </si>
  <si>
    <t>অবসরে শান্তি পাইব</t>
  </si>
  <si>
    <t>নতুন রাজ্য হবে</t>
  </si>
  <si>
    <t>সিকিউরিটি আপডেট হবে</t>
  </si>
  <si>
    <t>মোটর সরবরাহ হবে</t>
  </si>
  <si>
    <t>কোড রিভিউ হবে</t>
  </si>
  <si>
    <t>মনোভাব পরিবর্তন হবে</t>
  </si>
  <si>
    <t>ফাইল লিখিয়া থাকব</t>
  </si>
  <si>
    <t>স্কুলে খেলিয়া থাকব</t>
  </si>
  <si>
    <t>প্রযুক্তির প্রয়োজনীয়তা থাকবে</t>
  </si>
  <si>
    <t>একাউন্ট বন্ধ করব</t>
  </si>
  <si>
    <t>মোবাইল ব্যবহার করাবো</t>
  </si>
  <si>
    <t>তথ্য খুজে থাকব</t>
  </si>
  <si>
    <t>কলেজ পর্যবেক্ষণ করব</t>
  </si>
  <si>
    <t>রানিং স্টার্ট হবে</t>
  </si>
  <si>
    <t>ব্যাংক লোন দিবে</t>
  </si>
  <si>
    <t>গান গেয়ে থাকব</t>
  </si>
  <si>
    <t>প্রোগ্রামিং করতে থাকব</t>
  </si>
  <si>
    <t>নতুন ল্যাপটপ কিনব</t>
  </si>
  <si>
    <t>তুমি নোট লিখবে</t>
  </si>
  <si>
    <t>আরবি পড়িয়া থাকবে</t>
  </si>
  <si>
    <t>সেমিস্টার এনরোল করবো</t>
  </si>
  <si>
    <t>ব্যবসা করতে চাইব</t>
  </si>
  <si>
    <t>মন্ত্রণালয় তৈরি হবে</t>
  </si>
  <si>
    <t>ভ্রমণ অনুপ্রাণিত হবো</t>
  </si>
  <si>
    <t>মিটিংয়ে যোগদান করব</t>
  </si>
  <si>
    <t>সে কফি পাবে</t>
  </si>
  <si>
    <t>নতুন বিক্রেতা আসবে</t>
  </si>
  <si>
    <t>পরিবর্তন আসিয়া থাকবে</t>
  </si>
  <si>
    <t>যাকাত প্রদান করিব</t>
  </si>
  <si>
    <t>কলেজ কেফেটেরিয়ায় যাব</t>
  </si>
  <si>
    <t>সরকার সাহায্য করবে</t>
  </si>
  <si>
    <t>রেডিওর ব্যবহার হবে</t>
  </si>
  <si>
    <t>পড়ালেখায় মনোযোগ দিব</t>
  </si>
  <si>
    <t>ব্যবসা শুরু করবে</t>
  </si>
  <si>
    <t>প্রিন্টার ব্যবহার করবো</t>
  </si>
  <si>
    <t>ঘুরে বেড়াতে থাকবে</t>
  </si>
  <si>
    <t>পোস্ট করতে থাকব</t>
  </si>
  <si>
    <t>কোড চেক করবে</t>
  </si>
  <si>
    <t>কলেজে খেলেতে থাকবে</t>
  </si>
  <si>
    <t>তাল শিখবে তোমরা</t>
  </si>
  <si>
    <t>কাব্য লিখিয়া থাকবে</t>
  </si>
  <si>
    <t>প্রোগ্রাম টেস্ট করবে</t>
  </si>
  <si>
    <t>তুমি হটডগ খাবে</t>
  </si>
  <si>
    <t>ফ্লপিডিস্ক ব্যবহার করবো</t>
  </si>
  <si>
    <t>সরকার সমর্থন চাইবে</t>
  </si>
  <si>
    <t>সামাজিক আলোচনা করব</t>
  </si>
  <si>
    <t>ক্যারিয়ারে সফল হব</t>
  </si>
  <si>
    <t>স্মৃতিশক্তি বাড়তে থাকবে</t>
  </si>
  <si>
    <t>সংবাদ প্রচার করব</t>
  </si>
  <si>
    <t>চেকবই পরীক্ষা করবো</t>
  </si>
  <si>
    <t>রেইনফরেস্ট যাইতে থাকব</t>
  </si>
  <si>
    <t>সে পেপার পড়বে</t>
  </si>
  <si>
    <t>বইমেলায় ঘুরতে যাব</t>
  </si>
  <si>
    <t>ব্যাংক গ্রাহক আসবে</t>
  </si>
  <si>
    <t>রাইবোজোম কম হবে</t>
  </si>
  <si>
    <t>বিদ্যা প্রয়োজন হবে</t>
  </si>
  <si>
    <t>শোক ভুলিয়া থাকব</t>
  </si>
  <si>
    <t>সার্কাস হবে রাজনীতিতে</t>
  </si>
  <si>
    <t>কিবোর্ডটি ব্যাবহার করবো</t>
  </si>
  <si>
    <t>তারা যাবে বাসে</t>
  </si>
  <si>
    <t>বিকাশে হবে সমস্যা</t>
  </si>
  <si>
    <t>নিয়মিত কোরআন পড়ব</t>
  </si>
  <si>
    <t>পরিবর্তন এসে থাকবে</t>
  </si>
  <si>
    <t>গুগলে সব থাকবে</t>
  </si>
  <si>
    <t>তুমি কাবাব খাব</t>
  </si>
  <si>
    <t>প্রোগ্রামিং শিখবেন বাচ্চা</t>
  </si>
  <si>
    <t>জীবনে সুবিধা চাইব</t>
  </si>
  <si>
    <t>দর্শক আসবে অনেক</t>
  </si>
  <si>
    <t>রম্য অভিজ্ঞতা হবে</t>
  </si>
  <si>
    <t>রাহাত ব্যাংকিং করবে</t>
  </si>
  <si>
    <t>ব্লগ লেখতে থাকব</t>
  </si>
  <si>
    <t>সমস্যা সমাধান হবে</t>
  </si>
  <si>
    <t>ইন্টারনেট বিল দিব</t>
  </si>
  <si>
    <t>অনলাইনে শপিং করব</t>
  </si>
  <si>
    <t>সিস্টেম ইন্টেগ্রেট হবে</t>
  </si>
  <si>
    <t>টেসলা হবে জায়ান্ট</t>
  </si>
  <si>
    <t>বইমেলায় ঘুরতে থাকব</t>
  </si>
  <si>
    <t>ব্যাংক গ্রাহক বাড়বে</t>
  </si>
  <si>
    <t>সফলতার সন্ধান করব</t>
  </si>
  <si>
    <t>ব্যাংকে পরিদর্শন করব</t>
  </si>
  <si>
    <t>ইমেইল করতে পাঠাবো</t>
  </si>
  <si>
    <t>টেকনোলজি প্রয়োগ করবে</t>
  </si>
  <si>
    <t>কাশ্মীর দেখতে যাব</t>
  </si>
  <si>
    <t>বাজারে বাড়বে ভেজাল</t>
  </si>
  <si>
    <t>প্রকল্পে বিনিয়োগ করব</t>
  </si>
  <si>
    <t>কম্পিউটার গেম খেলব</t>
  </si>
  <si>
    <t>সার্ভারটি ব্যবহার করবো</t>
  </si>
  <si>
    <t>ব্যাংক সেবা দিবে</t>
  </si>
  <si>
    <t>ভ্রমণে আত্মবিশ্বাস বাড়বে</t>
  </si>
  <si>
    <t>ভ্রমণে পরম আনন্দ খুজে পাবেন নিশ্চয়ই</t>
  </si>
  <si>
    <t>বনের সৌন্দর্য দেখব</t>
  </si>
  <si>
    <t>সিনেমা বাজারে আসবে</t>
  </si>
  <si>
    <t>সফটওয়্যার ট্রায়াল করব</t>
  </si>
  <si>
    <t>কাব্য লিখতে থাকবে</t>
  </si>
  <si>
    <t>আমি গল্প পড়ব</t>
  </si>
  <si>
    <t>অনুষ্ঠান হইয়া থাকবে</t>
  </si>
  <si>
    <t>আমি তাজমহলে যাব</t>
  </si>
  <si>
    <t>রাওটার ব্যবহার করবো</t>
  </si>
  <si>
    <t>হেডফোন ব্যবহার করবো</t>
  </si>
  <si>
    <t>হেডফোন ব্যবহার করবো সবার সাথে কথা বলার জন্য</t>
  </si>
  <si>
    <t>ভ্রমণ সময়সাপেক্ষ হবে</t>
  </si>
  <si>
    <t>ফিল্ড হকি চলবে</t>
  </si>
  <si>
    <t>এপ্লিকেশন অপ্টিমাইজ হবে</t>
  </si>
  <si>
    <t>পিপীলিকা ব্যবহার করব</t>
  </si>
  <si>
    <t>সিনেমা পরিচালক হব</t>
  </si>
  <si>
    <t>ভ্রমণের পরিকল্পনা করব</t>
  </si>
  <si>
    <t>সংযোজন করতে থাকব</t>
  </si>
  <si>
    <t>জিপিএস চালু থাকবে</t>
  </si>
  <si>
    <t>ইরিডার ব্যবহার করবো</t>
  </si>
  <si>
    <t>স্টাইল সিট করবে</t>
  </si>
  <si>
    <t>ডেভেলপমেন্ট টাস্ক হবে</t>
  </si>
  <si>
    <t>পর্যবেক্ষণ করিয়া থাকব</t>
  </si>
  <si>
    <t>রোবোট ব্যবহার হবে</t>
  </si>
  <si>
    <t>একাউন্ট জরিমানা হবে</t>
  </si>
  <si>
    <t>লোন আবেদন করব</t>
  </si>
  <si>
    <t>বাজারে ইনভেস্ট করবে</t>
  </si>
  <si>
    <t>তাল পাবে তোমার</t>
  </si>
  <si>
    <t>অনুভূতি প্রকাশ করব</t>
  </si>
  <si>
    <t>ক্রিকেট দেখিয়া থাকব</t>
  </si>
  <si>
    <t>তিনি কবিতা পড়বে</t>
  </si>
  <si>
    <t>শেখা শুরু করব</t>
  </si>
  <si>
    <t>ট্রেলার বের হবে</t>
  </si>
  <si>
    <t>গীত পাবে সে</t>
  </si>
  <si>
    <t>টাচপ্যাড ব্যবহার করবো</t>
  </si>
  <si>
    <t>ডাটা স্টোর হবে</t>
  </si>
  <si>
    <t>প্রতিযোগিতা বাড়বে</t>
  </si>
  <si>
    <t>আমরা দোই খাব</t>
  </si>
  <si>
    <t>রাহাত ভ্রমণ করবে</t>
  </si>
  <si>
    <t>চলচ্চিত্র চলবে শনিবার</t>
  </si>
  <si>
    <t>বার্তা পাঠাতে থাকব</t>
  </si>
  <si>
    <t>চকোলেট কিনে খাব</t>
  </si>
  <si>
    <t>প্রধানমন্ত্রী আলোচনা করবেন</t>
  </si>
  <si>
    <t>প্রধানমন্ত্রী সিনেটে আলোচনা করবেন</t>
  </si>
  <si>
    <t>প্রধানমন্ত্রী আলোচনায় বসতে চাইবেন</t>
  </si>
  <si>
    <t>প্রধানমন্ত্রী আলোচনার জন্য মন্ত্রীসভার বৈঠক ঘোষনা করবেন</t>
  </si>
  <si>
    <t>নেটওয়ার্ক বাড়বে</t>
  </si>
  <si>
    <t>ডিপ্লয় করবে সিস্টেম</t>
  </si>
  <si>
    <t>সংগঠনে কাজ করব</t>
  </si>
  <si>
    <t>কেফেটেরিয়ায় খেয়ে থাকব</t>
  </si>
  <si>
    <t>রাজনৈতিক যোগাযোগ বাড়াবে</t>
  </si>
  <si>
    <t>শক্তি জুগিয়ে থাকবে</t>
  </si>
  <si>
    <t>প্রোগ্রাম রান করবে</t>
  </si>
  <si>
    <t>ডায়ানামিক প্রোগ্রাম শিখিয়া থাকব</t>
  </si>
  <si>
    <t>নেতা বাদ দেবে</t>
  </si>
  <si>
    <t>আমরা বিজ্ঞান পড়ব</t>
  </si>
  <si>
    <t>সে ডিনার করবে</t>
  </si>
  <si>
    <t>ইনপুট ভেরিফাই হবে</t>
  </si>
  <si>
    <t>সে চটপটি খাবে</t>
  </si>
  <si>
    <t>অনলাইনে পেশাক কিনিব</t>
  </si>
  <si>
    <t>মনের শান্তি পাব</t>
  </si>
  <si>
    <t>সফটওয়্যার ডিপ্লয় করব</t>
  </si>
  <si>
    <t>ভ্রমণেই মুক্তি হবে</t>
  </si>
  <si>
    <t>ধ্বনি গাইবে তোমরা</t>
  </si>
  <si>
    <t>মনোবল কমতে থাকবে</t>
  </si>
  <si>
    <t>শিক্ষার মান বাড়বে</t>
  </si>
  <si>
    <t>ওয়াইফাই ব্যবহার করাবো</t>
  </si>
  <si>
    <t>জরুরি কল দিবো</t>
  </si>
  <si>
    <t>প্রতিবেদন তৈরি হবে</t>
  </si>
  <si>
    <t>মোবাইল একাউন্ট খুলব</t>
  </si>
  <si>
    <t>বনে বাঘ থাকবে</t>
  </si>
  <si>
    <t>ভারত ঘুরতে যাবো</t>
  </si>
  <si>
    <t>ই পাসপোর্ট হবে নিরাপদ</t>
  </si>
  <si>
    <t>ভ্রমণ তারা যাবে</t>
  </si>
  <si>
    <t>তাল পাবে আমি</t>
  </si>
  <si>
    <t>কোড ইনস্পেক্ট হবে</t>
  </si>
  <si>
    <t>সে লোন নিবে</t>
  </si>
  <si>
    <t>ভিডিও ভার্তা পাঠাইব</t>
  </si>
  <si>
    <t>শোক ভুলে থাকব</t>
  </si>
  <si>
    <t>হাদীস পড়িয়া থাকব</t>
  </si>
  <si>
    <t>খবর পড়ব সবসময়</t>
  </si>
  <si>
    <t>শেখার চেষ্টা করব</t>
  </si>
  <si>
    <t>টাকা পাঠাইতে থাকব</t>
  </si>
  <si>
    <t>সে কফি বানাবে</t>
  </si>
  <si>
    <t>লোনের আবেদন করবো</t>
  </si>
  <si>
    <t>আমি কাশ্মীর যাব</t>
  </si>
  <si>
    <t>ডেভেলপমেন্ট চালু হবে</t>
  </si>
  <si>
    <t>ডেভেলপমেন্ট চালু করার জন্য কাজ চলতে থাকবে</t>
  </si>
  <si>
    <t>রাগ গাইবে আমি</t>
  </si>
  <si>
    <t>শেয়ার করতে পারব</t>
  </si>
  <si>
    <t>ট্রাই দিবে প্লেয়ার</t>
  </si>
  <si>
    <t>তারা ভ্রমণ করবে</t>
  </si>
  <si>
    <t>আমরা কেক বানাব</t>
  </si>
  <si>
    <t>খাবারের অভাব হবে</t>
  </si>
  <si>
    <t>খাবারের অভাবে দুর্ভীক্ষ দেখা দিবে</t>
  </si>
  <si>
    <t>মাড়কেটে স্টক বাড়বে</t>
  </si>
  <si>
    <t>রেডিও ব্যবহার করাবো</t>
  </si>
  <si>
    <t>ধ্বনি পাবে সে</t>
  </si>
  <si>
    <t>সে সাইকেল চালাবে</t>
  </si>
  <si>
    <t>ডেভেলপ হবে সফটওয়্যার</t>
  </si>
  <si>
    <t>এখন টেকনোলজি বাড়বে</t>
  </si>
  <si>
    <t>রাইড করবে সাইকেলে</t>
  </si>
  <si>
    <t>কলেজ কেফেটেরিয়ায় ঘুরব</t>
  </si>
  <si>
    <t>সংবাদ সম্মেলন হবে</t>
  </si>
  <si>
    <t>গ্যাজেট পছন্দ করব</t>
  </si>
  <si>
    <t>আমি সমর্থন করব</t>
  </si>
  <si>
    <t>টাকা বিনিময় হবে</t>
  </si>
  <si>
    <t>তারা বই পড়বে</t>
  </si>
  <si>
    <t>তারা বই সংগ্রহ করিতে যাবে</t>
  </si>
  <si>
    <t>বাস্কেটবল ম্যাচ হবে</t>
  </si>
  <si>
    <t>মাঝিরা নৌকায় থাকবে</t>
  </si>
  <si>
    <t>মানুষেরা রাজনীতি করবে</t>
  </si>
  <si>
    <t>আমরা ফল কিনব</t>
  </si>
  <si>
    <t>ক্ষুধার্তকে অন্ন দিবো</t>
  </si>
  <si>
    <t>জিপিএস চালু হইবে</t>
  </si>
  <si>
    <t>গল্প পড়তে থাকব</t>
  </si>
  <si>
    <t>ব্যালেন্স চেক করবো</t>
  </si>
  <si>
    <t>গুগল ব্রাউজ করব</t>
  </si>
  <si>
    <t>স্ট্রাটেজি নির্ধারণ করবে</t>
  </si>
  <si>
    <t>রাউটার সেট হবে</t>
  </si>
  <si>
    <t>ক্রিকেট দেখতে থাকব</t>
  </si>
  <si>
    <t>সহায়তা পাবে মানুষ</t>
  </si>
  <si>
    <t>দলগুলি মিটিং হবে</t>
  </si>
  <si>
    <t>একাউন্ট খুলতে আসবো</t>
  </si>
  <si>
    <t>ডাটা অ্যানালাইজ হবে</t>
  </si>
  <si>
    <t>তিনি চাল কিনবেন</t>
  </si>
  <si>
    <t>ব্যাংকে গিয়ে থাকব</t>
  </si>
  <si>
    <t>ফিল্ম বিশ্লেষণ হবে</t>
  </si>
  <si>
    <t>লিনাক্স অপারেটিং করাবো</t>
  </si>
  <si>
    <t>সুন্দরবনে মধু থাকবে</t>
  </si>
  <si>
    <t>অবসরে কবিতা লিখিব</t>
  </si>
  <si>
    <t>মসজিদে যাইতে থাকব</t>
  </si>
  <si>
    <t>সবাই স্কুলে যাবে</t>
  </si>
  <si>
    <t>গল্প পড়তে থাকবে</t>
  </si>
  <si>
    <t>ছাত্ররা ফুটবল খেলবে</t>
  </si>
  <si>
    <t>জোয়ার আসিয়া থাকবে</t>
  </si>
  <si>
    <t>তিনি আম খাবে</t>
  </si>
  <si>
    <t>টেস্ট স্ক্রিপ্ট লিখবে</t>
  </si>
  <si>
    <t>তাল পাবে সে</t>
  </si>
  <si>
    <t>সুর লিখবে তোমরা</t>
  </si>
  <si>
    <t>ব্লগ করতে থাকবে</t>
  </si>
  <si>
    <t>রাজনীতির বিতর্ক চলবে</t>
  </si>
  <si>
    <t>প্রোগ্রাম ডিপ্লয় হবে</t>
  </si>
  <si>
    <t>প্রযুক্তি হবে বিশ্লেষণমূলক</t>
  </si>
  <si>
    <t>কিবোর্ড ব্যবহার করবো</t>
  </si>
  <si>
    <t>ওয়ারলেস কিবোর্ড কিনতে যাব</t>
  </si>
  <si>
    <t>কিবোর্ড ছাড়া কাজ হবেনা</t>
  </si>
  <si>
    <t>কিবোর্ড ব্যবহার করা শিখতে হবে</t>
  </si>
  <si>
    <t>কিবোর্ড ব্যবহার করে কাজ সহজ করব</t>
  </si>
  <si>
    <t>বিনিয়োগ হবে সুরক্ষিতভাবে</t>
  </si>
  <si>
    <t>বাজার উন্নতি দেখবে</t>
  </si>
  <si>
    <t>ম্যাক এড্রেস লাগবে</t>
  </si>
  <si>
    <t>তারা যেতে থাকবে</t>
  </si>
  <si>
    <t>বিকাশে টাকা দিবে</t>
  </si>
  <si>
    <t>মিডিয়ায় আনন্দ পাব</t>
  </si>
  <si>
    <t>আকাশ ভ্রমণ করবে</t>
  </si>
  <si>
    <t>রিমোট ব্যবহার করবো</t>
  </si>
  <si>
    <t>দেশের বাইরে যাবো</t>
  </si>
  <si>
    <t>পন্য হবে ভালো</t>
  </si>
  <si>
    <t>রাগ শিখবে আমি</t>
  </si>
  <si>
    <t>টাকা পাঠানো হবে</t>
  </si>
  <si>
    <t>অবসরে খেলাধুলা করিব</t>
  </si>
  <si>
    <t>প্রশংসা পেতে হবে</t>
  </si>
  <si>
    <t>আমরা গবেষণা করবো</t>
  </si>
  <si>
    <t>গেম ডাউনলোড করবেন</t>
  </si>
  <si>
    <t>প্রোটোটাইপ তৈরি হবে</t>
  </si>
  <si>
    <t>তাজমহল দেখিয়া থাকবে</t>
  </si>
  <si>
    <t>গেম খেলতে থাকবে</t>
  </si>
  <si>
    <t>শিক্ষার্থীরা কবিতা পড়বে</t>
  </si>
  <si>
    <t>রোগ নির্ণয় হবে</t>
  </si>
  <si>
    <t>মহাকাশে রকেট পাঠাবে</t>
  </si>
  <si>
    <t>ট্রেন্ড ফলো হবে</t>
  </si>
  <si>
    <t>পেপালে টাকা দিবো</t>
  </si>
  <si>
    <t>আমি কবিতা পড়ব</t>
  </si>
  <si>
    <t>হার্ডওয়্যার আপগ্রেড করব</t>
  </si>
  <si>
    <t>তিনি স্যুপ খাবে</t>
  </si>
  <si>
    <t>ফাইল লিখতে থাকব</t>
  </si>
  <si>
    <t>সেন্সর ব্যবহার হবে</t>
  </si>
  <si>
    <t>প্যান ব্যবহার করবো</t>
  </si>
  <si>
    <t>প্যান ব্যবহার করে অনলাইন ক্লাস নিব</t>
  </si>
  <si>
    <t>ই লাইব্রেরির সেবা নিবো</t>
  </si>
  <si>
    <t>ঔষধ নিয়ে থাকব</t>
  </si>
  <si>
    <t>রিসার্চ করবে বিশেষজ্ঞ</t>
  </si>
  <si>
    <t>বাগ ফিক্স করবে</t>
  </si>
  <si>
    <t>টেস্ট রান করবে</t>
  </si>
  <si>
    <t>কার্ডে প্রদান করব</t>
  </si>
  <si>
    <t>স্কোর হবে ক্রিকেটে</t>
  </si>
  <si>
    <t>ঘুরে বেড়িয়ে থাকবে</t>
  </si>
  <si>
    <t>পোর্টফোলিও তৈরি করব</t>
  </si>
  <si>
    <t>সংগঠনে যুক্ত হব</t>
  </si>
  <si>
    <t>ওয়েবসাইট বানিয়ে থাকব</t>
  </si>
  <si>
    <t>ব্যাংক সার্ভিস নিব</t>
  </si>
  <si>
    <t>আরবি শিক্ষা দিব</t>
  </si>
  <si>
    <t>এপলফোন ব্যবহার করাবো</t>
  </si>
  <si>
    <t>টেনিস খেলতে থাকবে</t>
  </si>
  <si>
    <t>সারিবদ্ধ হয়ে হাটব</t>
  </si>
  <si>
    <t>আইটি প্রশিক্ষণ নিব</t>
  </si>
  <si>
    <t>কোড রিফ্রেশ করবে</t>
  </si>
  <si>
    <t>সিস্টেম বানাবে প্রোগ্রামার</t>
  </si>
  <si>
    <t>টেলিভিশন ব্যবহার করাবো</t>
  </si>
  <si>
    <t>জীবনের পরিপূর্ণতা পাবে</t>
  </si>
  <si>
    <t>সংগীত লিখবে সে</t>
  </si>
  <si>
    <t>টার্গেট হবে স্কোর</t>
  </si>
  <si>
    <t>পিসি রিসেট করবেন</t>
  </si>
  <si>
    <t>টাকা উপার্জন করিব</t>
  </si>
  <si>
    <t>মাকে প্রাধান্য দিব</t>
  </si>
  <si>
    <t>হিমালয় দেখতে যাব</t>
  </si>
  <si>
    <t>রাজনৈতিক আলোচনা চলবে</t>
  </si>
  <si>
    <t>বিকাশে গ্রহণ করবো</t>
  </si>
  <si>
    <t>ইন্টারনেটে তথ্য পাঠাব</t>
  </si>
  <si>
    <t>টাকা উত্তোলন করিব</t>
  </si>
  <si>
    <t>অডিট করতে থাকব</t>
  </si>
  <si>
    <t>সার্কাস চলবে রাজনীতিতে</t>
  </si>
  <si>
    <t>ই লাইব্রেরি তে দেখবো</t>
  </si>
  <si>
    <t>প্রোগ্রাম ডিজাইন করবে</t>
  </si>
  <si>
    <t>প্রয়োজনীয় খাবার কিনবো</t>
  </si>
  <si>
    <t>সবাই খেলা দেখবে</t>
  </si>
  <si>
    <t>পোস্ট করে থাকব</t>
  </si>
  <si>
    <t>চীন হবে ঐতিহাসিক</t>
  </si>
  <si>
    <t>মসজিদে হেটে যাব</t>
  </si>
  <si>
    <t>সিস্টেম রিবুট হবে</t>
  </si>
  <si>
    <t>সুরক্ষামূলক খাবার খাব</t>
  </si>
  <si>
    <t>সুরক্ষামূলক খাবার খেয়ে সুস্থ থাকবেন অনেক দিন</t>
  </si>
  <si>
    <t>কোড বাগ ফিক্স হবে</t>
  </si>
  <si>
    <t>কোরআন শুনতে থাকবে</t>
  </si>
  <si>
    <t>মিডিয়ায় সময় কাটাব</t>
  </si>
  <si>
    <t>লিনাক্সে সহজ হবে</t>
  </si>
  <si>
    <t>অবস্থান করিতে থাকব</t>
  </si>
  <si>
    <t>সংসদ সভা চলবে</t>
  </si>
  <si>
    <t>ব্যাডমিন্টন খেলবে প্লেয়ার</t>
  </si>
  <si>
    <t>সাইজ হবে ছোট</t>
  </si>
  <si>
    <t>প্রযুক্তিতে দক্ষ হব</t>
  </si>
  <si>
    <t>লাইব্রেরি রিমুভ হবে</t>
  </si>
  <si>
    <t>সমর্থন প্রকাট হবে</t>
  </si>
  <si>
    <t>গদ্য পড়িয়া থাকবে</t>
  </si>
  <si>
    <t>জ্ঞানে আলোকিত হব</t>
  </si>
  <si>
    <t>কাশ্মীর যাইতে থাকবে</t>
  </si>
  <si>
    <t>সামগ্রিক বিকাশ হবে</t>
  </si>
  <si>
    <t>শিক্ষা সমৃদ্ধি দিবে</t>
  </si>
  <si>
    <t>দর্শক প্রেম করবে</t>
  </si>
  <si>
    <t>সনেট কঠিন লাগবে</t>
  </si>
  <si>
    <t>অ্যাপস আপডেট হবে</t>
  </si>
  <si>
    <t>কোড বিল্ড হবে</t>
  </si>
  <si>
    <t>ডাটা ব্যাকআপ হবে</t>
  </si>
  <si>
    <t>ধ্বনি বাজাবে তোমার</t>
  </si>
  <si>
    <t>সিনেমা মুক্তি পেতে চলবে</t>
  </si>
  <si>
    <t>সমুদ্র হবে বিশাল</t>
  </si>
  <si>
    <t>সিলেটে চাবাগান দেখব</t>
  </si>
  <si>
    <t>কোডিং চালাবে টিম</t>
  </si>
  <si>
    <t>রচনা স্ক্রিপ্ট হবে</t>
  </si>
  <si>
    <t>সে মাছ কিনবে</t>
  </si>
  <si>
    <t>রাজনৈতিক আলোচনা করবেন</t>
  </si>
  <si>
    <t>শিক্ষার মান বাড়াব</t>
  </si>
  <si>
    <t>নগদ হবে নির্ভরযোগ্য</t>
  </si>
  <si>
    <t>টেনিস ম্যাচ হবে</t>
  </si>
  <si>
    <t>টেনিস ম্যাচ খেলতে লন্ডন যেতে হবে</t>
  </si>
  <si>
    <t>ক্রিকেট খেলব প্রতিদিন</t>
  </si>
  <si>
    <t>আনন্দ পাইতে থাকিবো</t>
  </si>
  <si>
    <t>শীতকালে কষ্ট করব</t>
  </si>
  <si>
    <t>সালাত আদায় করিব</t>
  </si>
  <si>
    <t>পছন্দ করিতে থাকব</t>
  </si>
  <si>
    <t>সিকিউরিটি স্ক্যান হবে</t>
  </si>
  <si>
    <t>খেলাধুলায় করিতে থাকবে</t>
  </si>
  <si>
    <t>রানার স্টার্ট হবে</t>
  </si>
  <si>
    <t>ধ্বনি বাজাবে সে</t>
  </si>
  <si>
    <t>পরকাল ভাবতে থাকবে</t>
  </si>
  <si>
    <t>খেলাধুলা করিয়া থাকব</t>
  </si>
  <si>
    <t>ডাক্তারের পরামর্শ নিব</t>
  </si>
  <si>
    <t>গদ্য পড়তে থাকবে</t>
  </si>
  <si>
    <t>কলেজ অবস্থান করব</t>
  </si>
  <si>
    <t>ঘুরতে যেয়ে থাকব</t>
  </si>
  <si>
    <t>নিজেকে সংযোজন করব</t>
  </si>
  <si>
    <t>তাজা সবজি খাব</t>
  </si>
  <si>
    <t>ক্রিকেট শুরু হবে</t>
  </si>
  <si>
    <t>সিনেমায় প্রেম হবে</t>
  </si>
  <si>
    <t>প্রোডাক্ট লঞ্চ হবে</t>
  </si>
  <si>
    <t>ছেলেমেয়ারা খেলিয়া থাকবে</t>
  </si>
  <si>
    <t>প্রোগ্রাম রেফাক্টর হবে</t>
  </si>
  <si>
    <t>সুর বাজাবে আমি</t>
  </si>
  <si>
    <t>বন্ধু খুজিয়া থাকব</t>
  </si>
  <si>
    <t>পাইথন কোড লিখবে</t>
  </si>
  <si>
    <t>স্কুলে ফুটবল খেলব</t>
  </si>
  <si>
    <t>নতুন কিছু শেখাব</t>
  </si>
  <si>
    <t>নতুন শিখতে পারব</t>
  </si>
  <si>
    <t>সুইচের ব্যবহার হবে</t>
  </si>
  <si>
    <t>রাউটার সংলগ্ন করবেন</t>
  </si>
  <si>
    <t>হোস্টেলে থাকতে থাকব</t>
  </si>
  <si>
    <t>কলেজে খেলিয়া থাকবে</t>
  </si>
  <si>
    <t>রাগ শোনবে তোমরা</t>
  </si>
  <si>
    <t>ভ্রমন শুরু করবো</t>
  </si>
  <si>
    <t>গেম শুরু হবে</t>
  </si>
  <si>
    <t>কলেজে ছাত্ররা খেলবে</t>
  </si>
  <si>
    <t>ফুটবল ম্যাচ চলবে</t>
  </si>
  <si>
    <t>কোড ডিপ্লয় হবে</t>
  </si>
  <si>
    <t>লেপটপ কনফিগার করব</t>
  </si>
  <si>
    <t>প্রচার শুরু হবে</t>
  </si>
  <si>
    <t>সিনেমাটি রিলিজ হবে</t>
  </si>
  <si>
    <t>অভিনয় প্রতিযোগিতা হবে</t>
  </si>
  <si>
    <t>স্মাটটেলিফোন ব্যবহার করবো</t>
  </si>
  <si>
    <t>স্মাটটেলিফোন ব্যবহার করতে জানতে হবে</t>
  </si>
  <si>
    <t>তিনি সালাদ খাবেন</t>
  </si>
  <si>
    <t>বার্তা পাঠাব প্রতিদিন</t>
  </si>
  <si>
    <t>মার্কেট অনুসন্ধান হবে</t>
  </si>
  <si>
    <t>গ্রাহক প্রাপ্তি হবে</t>
  </si>
  <si>
    <t>নতুন কিছু পড়াব</t>
  </si>
  <si>
    <t>ব্যাংক সার্ভিস দিবেনা</t>
  </si>
  <si>
    <t>পর্যবেক্ষণ করিতে থাকব</t>
  </si>
  <si>
    <t>খেলাধুলা করিতে থাকব</t>
  </si>
  <si>
    <t>ক্লাউড সেবা শুরু হবে</t>
  </si>
  <si>
    <t>আলোর মুখ দেখব</t>
  </si>
  <si>
    <t>কম্পিউটার ব্যবহার করবো</t>
  </si>
  <si>
    <t>কম্পিউটার ব্যবহার করে কাজ দ্রুত করতে হবে</t>
  </si>
  <si>
    <t>বাস্কেটবল প্লে হবে</t>
  </si>
  <si>
    <t>বিনোদনের আনন্দ খুজব</t>
  </si>
  <si>
    <t>অভিনয় প্রদর্শন হবে</t>
  </si>
  <si>
    <t>বিরুদ্ধে কথা বলবেন</t>
  </si>
  <si>
    <t>বিরুদ্ধে কথা বলবেন ত জেলে যাবেন</t>
  </si>
  <si>
    <t>কোরআন পড়িয়া থাকবে</t>
  </si>
  <si>
    <t>কোড রিসার্চ হবে</t>
  </si>
  <si>
    <t>প্রযুক্তির প্রকারভেদ হবে</t>
  </si>
  <si>
    <t>ডাটাবেজ শিখতে থাকব</t>
  </si>
  <si>
    <t>মিল্কশেক তৈরী করব</t>
  </si>
  <si>
    <t>সানিয়া বেডমিন্টন খেলবে</t>
  </si>
  <si>
    <t>প্রতিযোগিতা শুরু হবে</t>
  </si>
  <si>
    <t>তুমি কাবাব বানাবে</t>
  </si>
  <si>
    <t>ব্যাংক সুবিধা দিবে</t>
  </si>
  <si>
    <t>রানিং করবে এথলিট</t>
  </si>
  <si>
    <t>সুর শোনবে তোমরা</t>
  </si>
  <si>
    <t>একাউন্ট সঠিক করব</t>
  </si>
  <si>
    <t>কার্যকরী ভোট চাইব</t>
  </si>
  <si>
    <t>আপনি স্যুপ খাবেন</t>
  </si>
  <si>
    <t>স্যাটেলাইটে তথ্য পাব</t>
  </si>
  <si>
    <t>কর্মচারীদের মান বাড়বে</t>
  </si>
  <si>
    <t>গবেষণা প্রকাশ করব</t>
  </si>
  <si>
    <t>নতুন ক্যামেরা কিনিব</t>
  </si>
  <si>
    <t>বেডমিন্টন খেলিয়া থাকবে</t>
  </si>
  <si>
    <t>একাউন্ট সৃষ্টি করবো</t>
  </si>
  <si>
    <t>ফিল্ড হকি খেলবে</t>
  </si>
  <si>
    <t>সরকার গঠন হবে</t>
  </si>
  <si>
    <t>সিনেমা ভালো চলবে</t>
  </si>
  <si>
    <t>ক্রিকেট স্ট্রাইক হবে</t>
  </si>
  <si>
    <t>আগ্রহ প্রকাশ করব</t>
  </si>
  <si>
    <t>এপলফোন ব্যবহার করবো</t>
  </si>
  <si>
    <t>ভ্রমণ হবে সুখময়</t>
  </si>
  <si>
    <t>ফাংশন ইমপ্লিমেন্ট হবে</t>
  </si>
  <si>
    <t>হ্যাকারা বাড়তে থাকবে</t>
  </si>
  <si>
    <t>মিটিং করতে থাকব</t>
  </si>
  <si>
    <t>ক্যারিয়ারে ভালো করব</t>
  </si>
  <si>
    <t>ছাত্ররা হাডুডু খেলবে</t>
  </si>
  <si>
    <t>আর্থিক সম্পদ বাড়বে</t>
  </si>
  <si>
    <t>ভ্রমণে মনোবল বাড়বে</t>
  </si>
  <si>
    <t>অনলাইন কোর্স করব</t>
  </si>
  <si>
    <t>তাল গাইবে আমি</t>
  </si>
  <si>
    <t>পন্য হবে খারাপ</t>
  </si>
  <si>
    <t>শিক্ষা সফরে যাব</t>
  </si>
  <si>
    <t>জিপিএস সেবা নিব</t>
  </si>
  <si>
    <t>গণনা করতে থাকব</t>
  </si>
  <si>
    <t>টেম্পলেট বদল হবে</t>
  </si>
  <si>
    <t>হজ্ব যাইতে থাকব</t>
  </si>
  <si>
    <t>দলের আলোচনা চলবে</t>
  </si>
  <si>
    <t>আউটসোর্সিং সেক্টর বাড়বে</t>
  </si>
  <si>
    <t>বাজারে সমবায় হবে</t>
  </si>
  <si>
    <t>আত্মবিশ্বাস বাড়তে থাকবে</t>
  </si>
  <si>
    <t>মনোবল বাড়তে থাকবে</t>
  </si>
  <si>
    <t>মোবাইল মার্কেটিং করবে</t>
  </si>
  <si>
    <t>তারা সুখী হবো</t>
  </si>
  <si>
    <t>সে বার্গার কিনবে</t>
  </si>
  <si>
    <t>সে বার্গার কিনবে এবং মজা করে খাবে</t>
  </si>
  <si>
    <t>হুক শো দিবে</t>
  </si>
  <si>
    <t>তিনি সমুদ্রে যাবেন</t>
  </si>
  <si>
    <t>শিক্ষা দান করব</t>
  </si>
  <si>
    <t>ভ্রমণ করিয়া থকব</t>
  </si>
  <si>
    <t>গীত লিখবে সে</t>
  </si>
  <si>
    <t>স্টেটমেন্ট প্রিন্ট করব</t>
  </si>
  <si>
    <t>আইফোন দামী হবে</t>
  </si>
  <si>
    <t>ডিভাইস কানেক্ট হবে</t>
  </si>
  <si>
    <t>আয়োডিনের অভাব হবে</t>
  </si>
  <si>
    <t>টুর্নামেন্ট হইয়া থাকবে</t>
  </si>
  <si>
    <t>আমরা ফিস খাব</t>
  </si>
  <si>
    <t>নান খাবেন মজা করে</t>
  </si>
  <si>
    <t>খাবার পরিবেশন হবে</t>
  </si>
  <si>
    <t>হ্যাকারদের সংখ্যা বাড়বে</t>
  </si>
  <si>
    <t>যোগাযোগ করতে থাকব</t>
  </si>
  <si>
    <t>আমি ফল কিনব</t>
  </si>
  <si>
    <t>আমি সমর্থন চাইব</t>
  </si>
  <si>
    <t>গল্প পড়িয়া থাকব</t>
  </si>
  <si>
    <t>টাকা জমিয়ে থাকব</t>
  </si>
  <si>
    <t>মোবাইলে গল্প শুনব</t>
  </si>
  <si>
    <t>খবর সম্প্রচার হবে</t>
  </si>
  <si>
    <t>ব্যাংকে মিটিং করব</t>
  </si>
  <si>
    <t>গল্প বলিয়া থাকব</t>
  </si>
  <si>
    <t>হাদীস পড়িতে থাকব</t>
  </si>
  <si>
    <t>সিনেমা সফল হবে</t>
  </si>
  <si>
    <t>মিটিংয়ে অংশ নিব</t>
  </si>
  <si>
    <t>ই বুকে বই পড়বো</t>
  </si>
  <si>
    <t>ভ্রমণের স্মৃতিশক্তি বাড়বে</t>
  </si>
  <si>
    <t>লাইব্রেরি ইনস্টল হবে</t>
  </si>
  <si>
    <t>লাইব্রেরি ইনস্টল করে কাজ শুরু করব</t>
  </si>
  <si>
    <t>ব্যাংক হিসাব লিখবো</t>
  </si>
  <si>
    <t>শান্তি পাইয়া থাকব</t>
  </si>
  <si>
    <t>তুমি জুস নিবে</t>
  </si>
  <si>
    <t>সংরক্ষণ করবেন</t>
  </si>
  <si>
    <t>টুলস ব্যবহার হবে</t>
  </si>
  <si>
    <t>প্যাকেজ ইনস্টল হবে</t>
  </si>
  <si>
    <t>প্যাকেজ ইনস্টল করে আমাকে জানাবেন</t>
  </si>
  <si>
    <t>উন্নতি দেখতে পাব</t>
  </si>
  <si>
    <t>বিনিময় করতে থাকব</t>
  </si>
  <si>
    <t>মিউজিক রিলিজ হবে</t>
  </si>
  <si>
    <t>শিক্ষার আশ্রয় নিব</t>
  </si>
  <si>
    <t>খেলা দেখতে থাকবে</t>
  </si>
  <si>
    <t>সুর পাবে তোমার</t>
  </si>
  <si>
    <t>মিষ্টি দোই খাব</t>
  </si>
  <si>
    <t>রকেট পাঠিয়ে থাকবে</t>
  </si>
  <si>
    <t>মধুর ধ্বনিতে গাইবে গান</t>
  </si>
  <si>
    <t>সার্ভার কানেক্ট হবে</t>
  </si>
  <si>
    <t>ভ্রমণ উপভোগ করবো</t>
  </si>
  <si>
    <t>অফিসে টপোলজি লাগাবো</t>
  </si>
  <si>
    <t>শরীরচর্চা হইয়া থাকবে</t>
  </si>
  <si>
    <t>ভালো অভ্যাস হবে</t>
  </si>
  <si>
    <t>পাড়ি দিতে থাকব</t>
  </si>
  <si>
    <t>ইউকিপিডিয়া তথ্য পাব</t>
  </si>
  <si>
    <t>মানবতার অঙ্গীকার করব</t>
  </si>
  <si>
    <t>কবিতা পড়তে থাকব</t>
  </si>
  <si>
    <t>লাইব্রেরি আপডেট হবে</t>
  </si>
  <si>
    <t>খাবার কিনতে হবে</t>
  </si>
  <si>
    <t>পিজা অর্ডার করবেন</t>
  </si>
  <si>
    <t>সৎ পরামর্শ চাইব</t>
  </si>
  <si>
    <t>সিনেমা বন্ধ হবে</t>
  </si>
  <si>
    <t>জীবন কাটিয়া থাকবে</t>
  </si>
  <si>
    <t>সুর শিখবে সে</t>
  </si>
  <si>
    <t>প্রধানমন্ত্রীর বৈঠক চলবে</t>
  </si>
  <si>
    <t>অবসরে গান গাইব</t>
  </si>
  <si>
    <t>প্রধানমন্ত্রী পরামর্শ দিবেন</t>
  </si>
  <si>
    <t>দান করিয়া থাকব</t>
  </si>
  <si>
    <t>মক্কা হবে উন্নত</t>
  </si>
  <si>
    <t>সরকার সুবিধা দিবে</t>
  </si>
  <si>
    <t>উন্নতি করতে চাইব</t>
  </si>
  <si>
    <t>পরকাল ভাবিয়া থাকবে</t>
  </si>
  <si>
    <t>মেমোরি লোড করবেন</t>
  </si>
  <si>
    <t>প্রোগ্রামিং স্টাইল চেঞ্জ হবে</t>
  </si>
  <si>
    <t>এক্সেলের ভালো শিখব</t>
  </si>
  <si>
    <t>বাজারে বিক্রয় বাড়বে</t>
  </si>
  <si>
    <t>সংগীত পাবে তোমার</t>
  </si>
  <si>
    <t>মার্কেট পরিচালনা করবে</t>
  </si>
  <si>
    <t>রাগ শিখবে সে</t>
  </si>
  <si>
    <t>সংগীত বাজাবে সে</t>
  </si>
  <si>
    <t>সুন্দরবনে বাঘ থাকবে</t>
  </si>
  <si>
    <t>গান উপভোগ করিব</t>
  </si>
  <si>
    <t>রাগ বাজাবে আমি</t>
  </si>
  <si>
    <t>সংগীত গাইবে তোমরা</t>
  </si>
  <si>
    <t>একাউন্ট প্রমাণ দিব</t>
  </si>
  <si>
    <t>দলগুলি আলোচনা চলবে</t>
  </si>
  <si>
    <t>সেভিংস একাউন্ট খুলব</t>
  </si>
  <si>
    <t>যাকাত দিয়ে থাকবে</t>
  </si>
  <si>
    <t>আমি স্কাইরাইড করব</t>
  </si>
  <si>
    <t>ব্যবসা শিখতে থাকব</t>
  </si>
  <si>
    <t>ফুটবল ভালবাসতে থাকব</t>
  </si>
  <si>
    <t>প্রতিষ্ঠান প্রণয়ন হবে</t>
  </si>
  <si>
    <t>পথশিশুদের শিক্ষা দিব</t>
  </si>
  <si>
    <t>আলোচনা করবে জনগণ</t>
  </si>
  <si>
    <t>ইন্টেলিজেন্স বৃদ্ধি পাবে</t>
  </si>
  <si>
    <t>আকাশ দেখিয়া থাকব</t>
  </si>
  <si>
    <t>প্রজেক্ট ডেলিভারি হবে</t>
  </si>
  <si>
    <t>এপ ব্যাবহার করবো</t>
  </si>
  <si>
    <t>খবর পড়তে থাকব</t>
  </si>
  <si>
    <t>এলাচ ওজন কমাবে</t>
  </si>
  <si>
    <t>প্রযুক্তির ব্যাবহার হবে</t>
  </si>
  <si>
    <t>ওয়েবসাইট বানিয়ে থাকবে</t>
  </si>
  <si>
    <t>সাজেকে পাহাড় থাকবে</t>
  </si>
  <si>
    <t>আইপ্যাড ব্যবহার করবো</t>
  </si>
  <si>
    <t>ডেভেলপমেন্ট চেক হবে</t>
  </si>
  <si>
    <t>ব্যাংকিং সুবিধা দিবে</t>
  </si>
  <si>
    <t>সিকিউরিটি টেস্ট হবে</t>
  </si>
  <si>
    <t>ব্যাংকিং সুবিধা হবে</t>
  </si>
  <si>
    <t>ব্যাংকসে বিনিয়োগ করবো</t>
  </si>
  <si>
    <t>টাকা পাঠাবো উপায়ে</t>
  </si>
  <si>
    <t>সে ওয়েবসাইট বানাবে</t>
  </si>
  <si>
    <t>জোয়ার আসবে সমুদ্রে</t>
  </si>
  <si>
    <t>জোক্স পড়তে থাকব</t>
  </si>
  <si>
    <t>বিভিন্ন ব্লগ পড়িব</t>
  </si>
  <si>
    <t>সিনেমা নির্দেশনা হবে</t>
  </si>
  <si>
    <t>ফুটবল টুর্নামেন্ট হবে</t>
  </si>
  <si>
    <t>নেটওয়ার্ক ম্যানেজ হবে</t>
  </si>
  <si>
    <t>ভ্রমণে আনন্দ খুজব</t>
  </si>
  <si>
    <t>লোন নিয়ে থাকব</t>
  </si>
  <si>
    <t>ক্রেডিট কার্ড নিবো</t>
  </si>
  <si>
    <t>তুমি ব্যাংকে যাবে</t>
  </si>
  <si>
    <t>আপনি চা পাবেন</t>
  </si>
  <si>
    <t>গীত বাজাবে আমি</t>
  </si>
  <si>
    <t>সমুদ্র ভ্রমণ ভালোবাসব</t>
  </si>
  <si>
    <t>প্রধানমন্ত্রী পরামর্শ করবেন</t>
  </si>
  <si>
    <t>আমি সমর্থন পাব</t>
  </si>
  <si>
    <t>সেটিং পরিবর্তন হবে</t>
  </si>
  <si>
    <t>ডেভেলপমেন্ট চেক করবে</t>
  </si>
  <si>
    <t>রকেট ব্যায়বহুল হবে</t>
  </si>
  <si>
    <t>অবসরে ঘুরতে যাব</t>
  </si>
  <si>
    <t>রাউটার কানেক্ট হবে</t>
  </si>
  <si>
    <t>লোন অনুমোদন নিব</t>
  </si>
  <si>
    <t>সংগ্রহ করা হবে</t>
  </si>
  <si>
    <t>স্কোর পরীক্ষা করবো</t>
  </si>
  <si>
    <t>পার্টনার নির্বাচন করবে</t>
  </si>
  <si>
    <t>দান করিতে থাকব</t>
  </si>
  <si>
    <t>খাদ্য ক্ষয়পূরণ করবে</t>
  </si>
  <si>
    <t>ই বুক ব্যবহার করবো</t>
  </si>
  <si>
    <t>অভিজ্ঞতা হয়ে থাকবে</t>
  </si>
  <si>
    <t>দলের সংগঠন চলবে</t>
  </si>
  <si>
    <t>কার্যকরী ভোট দিব</t>
  </si>
  <si>
    <t>কিওক্রাডাং হবে সুন্দর</t>
  </si>
  <si>
    <t>সবাই ব্যাংকে যাবে</t>
  </si>
  <si>
    <t>সে টেকনেশিয়ান হবে</t>
  </si>
  <si>
    <t>বই কিনিয়া থাকব</t>
  </si>
  <si>
    <t>স্কিং করতে থাকবে</t>
  </si>
  <si>
    <t>ফিল্ম নামকরণ হবে</t>
  </si>
  <si>
    <t>চাকরি করিয়া থাকিব</t>
  </si>
  <si>
    <t>প্রোগ্রামিং জনপ্রিয় হবে</t>
  </si>
  <si>
    <t>মার্কেটিং প্ল্যান তৈরি করবে</t>
  </si>
  <si>
    <t>কবিতা পড়িয়া থাকব</t>
  </si>
  <si>
    <t>টাকা পাঠিয়ে থাকব</t>
  </si>
  <si>
    <t>প্রকৃতি প্রেমিক হব</t>
  </si>
  <si>
    <t>আমরা প্যাস্তা খাব</t>
  </si>
  <si>
    <t>ইঞ্জিনিয়ার তৈরি হবে</t>
  </si>
  <si>
    <t>গীত শোনবে তোমরা</t>
  </si>
  <si>
    <t>অনুপ্রাণিত হইতে থাকবো</t>
  </si>
  <si>
    <t>ভ্রমণ হবে ব্যয়বহুল</t>
  </si>
  <si>
    <t>পরীক্ষা দিতে থাকব</t>
  </si>
  <si>
    <t>ম্যাচ জিতবে টিম</t>
  </si>
  <si>
    <t>বিনোদনের হবে প্রযুক্তি</t>
  </si>
  <si>
    <t>আমি দার্জিলিং যাবো</t>
  </si>
  <si>
    <t>ইমেইল পড়তে পারবো</t>
  </si>
  <si>
    <t>সরকার সমর্থন দিবে</t>
  </si>
  <si>
    <t>নিউ প্রোজেক্ট হবে</t>
  </si>
  <si>
    <t>বিকশে প্রতারণা হবে</t>
  </si>
  <si>
    <t>ওয়াইফাই ব্যবহার করবো</t>
  </si>
  <si>
    <t>উদ্যোগে প্রবর্তন করব</t>
  </si>
  <si>
    <t>ইন্টারনেট ডিসকানেক্ট হবে</t>
  </si>
  <si>
    <t>লোন হ্রাস পাবে</t>
  </si>
  <si>
    <t>ব্যবসা করতে থাকব</t>
  </si>
  <si>
    <t>আপনি পাস্তা কিনবেন</t>
  </si>
  <si>
    <t>আবৃত্তি করতে থাকবে</t>
  </si>
  <si>
    <t>মতামত প্রদান করব</t>
  </si>
  <si>
    <t>সার্ভিস দিতে থাকবে</t>
  </si>
  <si>
    <t>ব্যাংক সাপোর্ট দিবেনা</t>
  </si>
  <si>
    <t>কোড মার্জ হবে</t>
  </si>
  <si>
    <t>সার্ভিস দিয়ে থাকবে</t>
  </si>
  <si>
    <t>পড়ালেখায় করিয়া থাকব</t>
  </si>
  <si>
    <t>সংগীত শোনবে সে</t>
  </si>
  <si>
    <t>স্ট্রাকচার পরিবর্তন হবে</t>
  </si>
  <si>
    <t>তিব্বত ঘুড়তে যাবো</t>
  </si>
  <si>
    <t>লোজিক ডেভেলপ হবে</t>
  </si>
  <si>
    <t>ধ্বনি পাবে তোমার</t>
  </si>
  <si>
    <t>বাকেড পোটেটো খাবে</t>
  </si>
  <si>
    <t>ব্যাংকিং করিয়া থাকব</t>
  </si>
  <si>
    <t>ডাটাবেজে তথ্য থাকবে</t>
  </si>
  <si>
    <t>আইসক্রিম অর্ডার করব</t>
  </si>
  <si>
    <t>গোল হবে ফুটবলে</t>
  </si>
  <si>
    <t>যাকাত দিতে থাকবে</t>
  </si>
  <si>
    <t>আইওটি ব্যবহার করবো</t>
  </si>
  <si>
    <t>মরুভূমি ঘুরতে যাবো</t>
  </si>
  <si>
    <t>গীত গাইবে তুমি</t>
  </si>
  <si>
    <t>নেক্সাস ব্যাবহার করবো</t>
  </si>
  <si>
    <t>লেপটপ ব্যবহার করটা শিখতে হবে</t>
  </si>
  <si>
    <t>লেপটপ ব্যবহার করবো</t>
  </si>
  <si>
    <t>শরীরচর্চা হইতে থাকবে</t>
  </si>
  <si>
    <t>একটি কোর্স করব</t>
  </si>
  <si>
    <t>সিকিউরিটি চেক করবে</t>
  </si>
  <si>
    <t>ব্যাংক সার্ভিস থাকবে</t>
  </si>
  <si>
    <t>গান উপভোগ করব</t>
  </si>
  <si>
    <t>সভায় বিতর্ক চলবে</t>
  </si>
  <si>
    <t>বিবিধ খবর ছড়াবে</t>
  </si>
  <si>
    <t>একাউন্ট হোল্ডার হবো</t>
  </si>
  <si>
    <t>একাউন্টে টাকা থাকবেনা</t>
  </si>
  <si>
    <t>সে জুসি খাবার খাবেন</t>
  </si>
  <si>
    <t>সে জুস দিয়ে ডিনার করবে</t>
  </si>
  <si>
    <t>দাম হবে বেশি</t>
  </si>
  <si>
    <t>একাউন্ট খুলে আসব</t>
  </si>
  <si>
    <t>শোক প্রকাশ করব</t>
  </si>
  <si>
    <t>প্রোগ্রামিং জানা হবে</t>
  </si>
  <si>
    <t>আমি মদিনায় যাবো</t>
  </si>
  <si>
    <t>স্কুলে খেলিতে থাকব</t>
  </si>
  <si>
    <t>টাকা জমা করব</t>
  </si>
  <si>
    <t>টাকা জমা করে নতুন বাড়ি কিনব</t>
  </si>
  <si>
    <t>হিসাব প্রবন্ধন করবেন</t>
  </si>
  <si>
    <t>আমি আলাপ করব</t>
  </si>
  <si>
    <t>পরিকল্পনা করতে থাকব</t>
  </si>
  <si>
    <t>ব্যাংকে হিসাব হবে</t>
  </si>
  <si>
    <t>কেফেটেরিয়ায় ঘুরিয়া থাকব</t>
  </si>
  <si>
    <t>সাইবার সচেতনতা বাড়বে</t>
  </si>
  <si>
    <t>পদ্মার ইলিশ খাব</t>
  </si>
  <si>
    <t>তথ্য পাঠাতে থাকব</t>
  </si>
  <si>
    <t>তারা অভিনয় শিখবে</t>
  </si>
  <si>
    <t>ফোন হবে দামি</t>
  </si>
  <si>
    <t>আলোচনা হবে জনগণ</t>
  </si>
  <si>
    <t>স্যাটেলাইট সংযোজিত হবে</t>
  </si>
  <si>
    <t>হোস্টেলে থাকিয়া যাব</t>
  </si>
  <si>
    <t>আমি সমুদ্রস্নান করব</t>
  </si>
  <si>
    <t>অনলাইন সেমিনার হবে</t>
  </si>
  <si>
    <t>আলোচনা বৃদ্ধির হবে</t>
  </si>
  <si>
    <t>কোড কম্পাইল হবে</t>
  </si>
  <si>
    <t>আইনের প্রস্তুতি নিতে হবে</t>
  </si>
  <si>
    <t>প্রস্তুতি নেওয়া হবে</t>
  </si>
  <si>
    <t>সংগ্রহ করিয়া থাকব</t>
  </si>
  <si>
    <t>কোরআন শুনিয়া থাকবে</t>
  </si>
  <si>
    <t>সিনেমা শুরু হবে</t>
  </si>
  <si>
    <t>গ্লুকোজ হবে পরিপেষক</t>
  </si>
  <si>
    <t>স্প্রিন্ট দিবে রানার</t>
  </si>
  <si>
    <t>উপত্যকায় হবে রাস্তা</t>
  </si>
  <si>
    <t>রাউটার সেট করব</t>
  </si>
  <si>
    <t>মোবাইল ব্যবহার করবো</t>
  </si>
  <si>
    <t>সার্ভার কনফিগ করবে</t>
  </si>
  <si>
    <t>ভাল্লুক দেখতে থাকবো</t>
  </si>
  <si>
    <t>অংকে ভালো হবো</t>
  </si>
  <si>
    <t>জীবন কাটতে থাকবে</t>
  </si>
  <si>
    <t>ভ্রমণে পরিবর্তন আসবে</t>
  </si>
  <si>
    <t>সংগীত শুরু হবে</t>
  </si>
  <si>
    <t>স্ট্রাইক হবে বোলার</t>
  </si>
  <si>
    <t>অনলাইন বিপণি দেখব</t>
  </si>
  <si>
    <t>ডাটা মাইগ্রেট হবে</t>
  </si>
  <si>
    <t>সিকিউরিটি যুক্ত হবে</t>
  </si>
  <si>
    <t>ব্লকেচেইন দক্ষ হব</t>
  </si>
  <si>
    <t>তিনি সুপ বানাবে</t>
  </si>
  <si>
    <t>ফুল সুগন্ধ ছড়াবে</t>
  </si>
  <si>
    <t>সালাত পড়তে থাকব</t>
  </si>
  <si>
    <t>মানুষেরা মিলিত হবে</t>
  </si>
  <si>
    <t>সুরক্ষা উন্নত হবে</t>
  </si>
  <si>
    <t>রাজনীতির সহযোগিতা করব</t>
  </si>
  <si>
    <t>আমি ভ্রমণ করব</t>
  </si>
  <si>
    <t>ব্যবসা পরিচালনা করব</t>
  </si>
  <si>
    <t>সে পরিব্রাজক হবে</t>
  </si>
  <si>
    <t>এমাজন হবে ব্রাজিলে</t>
  </si>
  <si>
    <t>সিনেমাটি সবাই দেখবেন</t>
  </si>
  <si>
    <t>ক্রয় শুরু হবে</t>
  </si>
  <si>
    <t>কোড রিস্টার্ট হবে</t>
  </si>
  <si>
    <t>কর্মচারীদের কাজ বাড়বে</t>
  </si>
  <si>
    <t>জীবনকে সহজ করব</t>
  </si>
  <si>
    <t>নতুন সফটওয়ার বিল্ড করবেন</t>
  </si>
  <si>
    <t>সে হবে পেটুক</t>
  </si>
  <si>
    <t>অনুসন্ধান করতে থাকব</t>
  </si>
  <si>
    <t>প্রোগ্রাম মোডিফাই হবে</t>
  </si>
  <si>
    <t>মানবসেবায় নিযুক্ত হব</t>
  </si>
  <si>
    <t>সফটওয়্যার চেক করব</t>
  </si>
  <si>
    <t>গুগলে সব খুজব</t>
  </si>
  <si>
    <t>মাছ ফ্রাই করবে</t>
  </si>
  <si>
    <t>ডিজিটাল হয়ে থাকবে</t>
  </si>
  <si>
    <t>রেডিও ব্যবহার করবো</t>
  </si>
  <si>
    <t>ভ্রমণ ব্যয়বহুল হবে</t>
  </si>
  <si>
    <t>গুগলে অনুসন্ধান করিব</t>
  </si>
  <si>
    <t>প্রদর্শন বাড়বে</t>
  </si>
  <si>
    <t>ব্যাংক হিসাব খুলবো</t>
  </si>
  <si>
    <t>ফিল্ম দেখবে সে</t>
  </si>
  <si>
    <t>ব্যান্ডউইথ বাড়বে</t>
  </si>
  <si>
    <t>লোন চাওয়া হবে</t>
  </si>
  <si>
    <t>ব্যাংকে চাকরি করব</t>
  </si>
  <si>
    <t>মানুষ বাদ দিবে</t>
  </si>
  <si>
    <t>তাজা আম খাবে</t>
  </si>
  <si>
    <t>রকেটে গ্রহণ করব</t>
  </si>
  <si>
    <t>গেম খোলা হব</t>
  </si>
  <si>
    <t>মারাত্মক ম্যাচ হবে</t>
  </si>
  <si>
    <t>স্ট্রিমিং শুরু হবে</t>
  </si>
  <si>
    <t>ভ্রমণে অভিজ্ঞতা হবে</t>
  </si>
  <si>
    <t>ইনপুট টেস্ট হবে</t>
  </si>
  <si>
    <t>তিনি চিপস খাবে</t>
  </si>
  <si>
    <t>পাড়ি দিয়ে থাকব</t>
  </si>
  <si>
    <t>বিরুদ্ধে কথা চলবে</t>
  </si>
  <si>
    <t>শিক্ষকরা পরিশ্রম করবে</t>
  </si>
  <si>
    <t>মেকানিজম চালু হবে</t>
  </si>
  <si>
    <t>মোবাইলে গেম খেলবো</t>
  </si>
  <si>
    <t>ব্লকেচেইন প্রশিক্ষণ নিব</t>
  </si>
  <si>
    <t>ইন্টারনেট ব্যবসা শিখব</t>
  </si>
  <si>
    <t>ইন্টারনেটে খবর পড়ব</t>
  </si>
  <si>
    <t>ব্যাংক সাপোর্ট দিবে</t>
  </si>
  <si>
    <t>মিটিং করিয়া থাকব</t>
  </si>
  <si>
    <t>পিৎজা পছন্দ করব</t>
  </si>
  <si>
    <t>জিপিএস ব্যাবহার করবো</t>
  </si>
  <si>
    <t>বিনিয়োগ করুন সঠিকভাবে</t>
  </si>
  <si>
    <t>ডাটাবেজ কোর্স করব</t>
  </si>
  <si>
    <t>জাতীয় খেলা হবে</t>
  </si>
  <si>
    <t>প্রশংসা অর্জন করব</t>
  </si>
  <si>
    <t>আমি পরিব্রাজক হবো</t>
  </si>
  <si>
    <t>ডেভেলপমেন্ট ফেস্ট চলবে</t>
  </si>
  <si>
    <t>মডিউল ইনস্টল হবে</t>
  </si>
  <si>
    <t>সুজলা সুফলা হবে বাংলাদেশ</t>
  </si>
  <si>
    <t>আমি আউটসোর্সিং করব</t>
  </si>
  <si>
    <t>গবেষণা প্রস্তুত করিব</t>
  </si>
  <si>
    <t>চেক দিয়ে থাকবেন</t>
  </si>
  <si>
    <t>মার্কেট প্রস্তুত হবে</t>
  </si>
  <si>
    <t>সে আইসক্রিম আনবে</t>
  </si>
  <si>
    <t>আইপি পরিবর্তন হবে</t>
  </si>
  <si>
    <t>প্রযুক্তি আপডেট হবে</t>
  </si>
  <si>
    <t>স্প্রিন্ট হবে রানার</t>
  </si>
  <si>
    <t>কোড ইনপুট হবে</t>
  </si>
  <si>
    <t>সংগীত শোনতে থাকব</t>
  </si>
  <si>
    <t>জনপ্রিয় হইতে থাকবে</t>
  </si>
  <si>
    <t>ইমেইল কি পাঠাবো</t>
  </si>
  <si>
    <t>শান্তি পাইতে থাকব</t>
  </si>
  <si>
    <t>টুইটার পোস্ট করব</t>
  </si>
  <si>
    <t>টাকা জমা নিব</t>
  </si>
  <si>
    <t>কোড কনফিগ হবে</t>
  </si>
  <si>
    <t>কনফিগারেশন পরিবর্তন হবে</t>
  </si>
  <si>
    <t>কোর্স করতে থাকব</t>
  </si>
  <si>
    <t>সিনেমা হস্তান্তর হবে</t>
  </si>
  <si>
    <t>সিনেমা প্রকাশিত হবে</t>
  </si>
  <si>
    <t>প্রধানমন্ত্রীর বৈঠক হবে</t>
  </si>
  <si>
    <t>ব্যাংক হিসাব চাইবে</t>
  </si>
  <si>
    <t>বিরুদ্ধে কথা হবে</t>
  </si>
  <si>
    <t>ভাল ব্যবহার করব</t>
  </si>
  <si>
    <t>তথ্য খুজতে থাকব</t>
  </si>
  <si>
    <t>আমি প্রোগ্রামিং করব</t>
  </si>
  <si>
    <t>সে কম্পিউটারে কিনবে</t>
  </si>
  <si>
    <t>সে কোরআন পড়বে</t>
  </si>
  <si>
    <t>বিনিয়োগ করতে থাকব</t>
  </si>
  <si>
    <t>কোরআন পড়িতে থাকবে</t>
  </si>
  <si>
    <t>প্রধানমন্ত্রীর বৈঠক করবেন</t>
  </si>
  <si>
    <t>ডিজাইন টেম্পলেট বানাবে</t>
  </si>
  <si>
    <t>পোর্টফোলিও আপডেট করব</t>
  </si>
  <si>
    <t>জবে যোগদান করব</t>
  </si>
  <si>
    <t>আপনি মাংস খাবেন</t>
  </si>
  <si>
    <t>সে ব্লগ করবে</t>
  </si>
  <si>
    <t>শরীরচর্চা করিয়া থাকবে</t>
  </si>
  <si>
    <t>ডাটাবেজ ডিজাইন করব</t>
  </si>
  <si>
    <t>ক্যামেরা কিনতে চাইব</t>
  </si>
  <si>
    <t>তুমি মালাইকোপ্তা বানাবে</t>
  </si>
  <si>
    <t>ডাটা এনক্রিপ্ট হবে</t>
  </si>
  <si>
    <t>ইবুক অর্ডার করবো</t>
  </si>
  <si>
    <t>চাল কিনা হবে</t>
  </si>
  <si>
    <t>সংযোগ অনুমোদন হবে</t>
  </si>
  <si>
    <t>আলাপ করিয়া থাকব</t>
  </si>
  <si>
    <t>বায়োমেডিক বিকাশ হবে</t>
  </si>
  <si>
    <t>টুর্নামেন্ট হইতে থাকবে</t>
  </si>
  <si>
    <t>বিভিন্ন ভিডিও দেখব</t>
  </si>
  <si>
    <t>বই লিখিয়া থাকবে</t>
  </si>
  <si>
    <t>টাকা গণনা করব</t>
  </si>
  <si>
    <t>লোন বৃদ্ধি হবে</t>
  </si>
  <si>
    <t>কম্পিউটারের ক্লাস করব</t>
  </si>
  <si>
    <t>নেটওয়ার্কিং কাজ শিখব</t>
  </si>
  <si>
    <t>লোন প্রদান হবে</t>
  </si>
  <si>
    <t>তিনি বিস্কুট খাবেন</t>
  </si>
  <si>
    <t>প্রযুক্তির জ্ঞান থাকবে</t>
  </si>
  <si>
    <t>আলাপ করতে থাকব</t>
  </si>
  <si>
    <t>নায়ক চলচ্চিত্রে আসবে</t>
  </si>
  <si>
    <t>কম্পিউটার পুরস্কার পাবো</t>
  </si>
  <si>
    <t>নেটওয়ার্কিং কাজ করাবো</t>
  </si>
  <si>
    <t>চিকেন স্যুপ খাবে</t>
  </si>
  <si>
    <t>বোন পড়াশোনা করবে</t>
  </si>
  <si>
    <t>এখন ওয়েবসাইট চাবো</t>
  </si>
  <si>
    <t>তুমি কেনাকাটা করবে</t>
  </si>
  <si>
    <t>ব্রোকারেজ চালু হবে</t>
  </si>
  <si>
    <t>বাংলাদেশ ডিজিটাল হবে</t>
  </si>
  <si>
    <t>সময় নষ্ট করবনা</t>
  </si>
  <si>
    <t>ভালো লেগে থাকবে</t>
  </si>
  <si>
    <t>পছন্দ করতে থাকবো</t>
  </si>
  <si>
    <t>গান গাইতে থাকব</t>
  </si>
  <si>
    <t>রোবোট বিক্রি হবে</t>
  </si>
  <si>
    <t>ব্রান্ডিং শুরু হবে</t>
  </si>
  <si>
    <t>উপভোগ করতে থাকবো</t>
  </si>
  <si>
    <t>সালাত পড়িয়া থাকব</t>
  </si>
  <si>
    <t>আপনি ডেসার্ট নিবেন</t>
  </si>
  <si>
    <t>নেপালে যাব আমি</t>
  </si>
  <si>
    <t>গ্রামে হবে ফসল</t>
  </si>
  <si>
    <t>রাজনীতি করিতে থাকিব</t>
  </si>
  <si>
    <t>প্রতিষ্ঠান উদ্বোধন হবে</t>
  </si>
  <si>
    <t>চিকেন রোল খাব</t>
  </si>
  <si>
    <t>ধর্মীয় অনুষ্ঠানে যাব</t>
  </si>
  <si>
    <t>বইমেলায় বই কিনব</t>
  </si>
  <si>
    <t>কাঞ্চনজঙ্ঘায় বরফ থাকবে</t>
  </si>
  <si>
    <t>ওয়েবসাইট বানাতে থাকব</t>
  </si>
  <si>
    <t>পড়ালেখায় করতে থাকব</t>
  </si>
  <si>
    <t>ক্রিকেট পছন্দ করিব</t>
  </si>
  <si>
    <t>সাঁতার খেলবে টিম</t>
  </si>
  <si>
    <t>স্মার্টটিভি কিনতে চাইব</t>
  </si>
  <si>
    <t>শিক্ষার্থীরা গল্প পড়বে</t>
  </si>
  <si>
    <t>স্মার্টওয়াচ ব্যবহার করবো</t>
  </si>
  <si>
    <t>হাডুডু খেলিয়া থাকবে</t>
  </si>
  <si>
    <t>ধ্বনি শোনবে তুমি</t>
  </si>
  <si>
    <t>আয়নের অভাব থাকবে</t>
  </si>
  <si>
    <t>সংবাদ পাঠ করব</t>
  </si>
  <si>
    <t>একাউন্ট বিনিময় করব</t>
  </si>
  <si>
    <t>ঘুরতে যাইতে থাকব</t>
  </si>
  <si>
    <t>ডাটা স্টোর করবেন</t>
  </si>
  <si>
    <t>সরকার গঠন করব</t>
  </si>
  <si>
    <t>সিনেমা প্রতিযোগিতা হবে</t>
  </si>
  <si>
    <t>স্মার্টওয়াচ ব্যাবহা করবো</t>
  </si>
  <si>
    <t>সে হবে ভ্রমণকারী</t>
  </si>
  <si>
    <t>সবসময় ফুটবল ভালবাসব</t>
  </si>
  <si>
    <t>ব্যাংকে যেতে হবে</t>
  </si>
  <si>
    <t>বাংলাদেশ নদীমাতৃক হবে</t>
  </si>
  <si>
    <t>গোল মারবে টিম</t>
  </si>
  <si>
    <t>জেলেরা মাছ বেচিবে</t>
  </si>
  <si>
    <t>টাকা তুলতে থাকব</t>
  </si>
  <si>
    <t>গল্প পড়িয়া থাকবে</t>
  </si>
  <si>
    <t>জেলেরা মাছ ধরবে</t>
  </si>
  <si>
    <t>আলোচনা চলবে জনগণের</t>
  </si>
  <si>
    <t>সমুদ্র দেখতে থাকব</t>
  </si>
  <si>
    <t>গবেষণা হবে ব্যয়বহুল</t>
  </si>
  <si>
    <t>রাগ লিখবে আমি</t>
  </si>
  <si>
    <t>একাউন্ট আপডেট করব</t>
  </si>
  <si>
    <t>পাহাড়ে যাব আমি</t>
  </si>
  <si>
    <t>অনলাইন ক্লাস নিব</t>
  </si>
  <si>
    <t>আমি উপন্যাস পড়ব</t>
  </si>
  <si>
    <t>প্রতিযোগিতা অ্যাওয়ার্ড হবে</t>
  </si>
  <si>
    <t>কার্যকরী ভোট নিব</t>
  </si>
  <si>
    <t>লিনাক্স অপারেটিং শেখাবো</t>
  </si>
  <si>
    <t>টাকা উত্তোলন হবে</t>
  </si>
  <si>
    <t>ক্রেডিট ব্যবহার করবো</t>
  </si>
  <si>
    <t>ডিজাইন করতে থাকব</t>
  </si>
  <si>
    <t>ক্যারিয়ারে এগিয়ে যাব</t>
  </si>
  <si>
    <t>শিক্ষার্থীরা পড়তে থাকবে</t>
  </si>
  <si>
    <t>সুগন্ধ ছড়িয়ে থাকবে</t>
  </si>
  <si>
    <t>রফতানি বৃদ্ধি পাবে</t>
  </si>
  <si>
    <t>টাকা আয় করিব</t>
  </si>
  <si>
    <t>ফুটবল ভালবাসিয়া থাকব</t>
  </si>
  <si>
    <t>কবিতা লিখিতে থাকবে</t>
  </si>
  <si>
    <t>তারা আবেদন করবে</t>
  </si>
  <si>
    <t>ডিজাইন টুল শিখব</t>
  </si>
  <si>
    <t>রাজনৈতিক আলোচনা করতে চলে হবে</t>
  </si>
  <si>
    <t>একাউন্ট চেক করবো</t>
  </si>
  <si>
    <t>রম্য স্কৃতি হবে</t>
  </si>
  <si>
    <t>সুর পাবে আমি</t>
  </si>
  <si>
    <t>বিনিময় করিয়া থাকব</t>
  </si>
  <si>
    <t>নিয়মিত শরীরচর্চা করবে</t>
  </si>
  <si>
    <t>হাব ব্যবহার করাবো</t>
  </si>
  <si>
    <t>আপনি ডেসার্ট খাবেন</t>
  </si>
  <si>
    <t>কাস্টমার সার্ভিস বাড়বে</t>
  </si>
  <si>
    <t>আইল্যান্ড ভ্রমণ করব</t>
  </si>
  <si>
    <t>টেবিল সাজানো হবে</t>
  </si>
  <si>
    <t>চেক প্রদান করবেন</t>
  </si>
  <si>
    <t>কুমিল্লার রসমালাই খাব</t>
  </si>
  <si>
    <t>তারা ঘুরতে থাকবে</t>
  </si>
  <si>
    <t>সুরক্ষামূলক ঔষধ নিব</t>
  </si>
  <si>
    <t>কোড কমিট হবে</t>
  </si>
  <si>
    <t>গ্রিল্ড চিকেন খাবেন</t>
  </si>
  <si>
    <t>তুমি টোস্ট খাবে</t>
  </si>
  <si>
    <t>রিমোট ব্যবহার করব</t>
  </si>
  <si>
    <t>পরিকল্পনা করিয়া থাকব</t>
  </si>
  <si>
    <t>নগদ হবে নিরাপদ</t>
  </si>
  <si>
    <t>তুমি রোল কিনবে</t>
  </si>
  <si>
    <t>আমরা আইসক্রিম খাব</t>
  </si>
  <si>
    <t>ছাত্রজীবনে কষ্ট করব</t>
  </si>
  <si>
    <t>ডেভেলপমেন্ট প্ল্যান করবে</t>
  </si>
  <si>
    <t>সংগীত শিখবে তোমরা</t>
  </si>
  <si>
    <t>অনলাইনে জোক্স পড়ব</t>
  </si>
  <si>
    <t>রাজনীতির বিতর্ক করবে</t>
  </si>
  <si>
    <t>সফ্টওয়্যার আপডেট হবে</t>
  </si>
  <si>
    <t>গরীবকে দান করিব</t>
  </si>
  <si>
    <t>সফটওয়্যার ডাউনলোড করিব</t>
  </si>
  <si>
    <t>কেফেটেরিয়ায় ঘুরিতে থাকব</t>
  </si>
  <si>
    <t>রানার দৌড়াতে থাকবে</t>
  </si>
  <si>
    <t>বন্ধু খুজিতে থাকব</t>
  </si>
  <si>
    <t>সৎ পরামর্শ চেয়ে থাকব</t>
  </si>
  <si>
    <t>সিস্টেম টেস্ট করবে</t>
  </si>
  <si>
    <t>রকেট ভ্রমণ করব</t>
  </si>
  <si>
    <t>আইন পাস হবে</t>
  </si>
  <si>
    <t>অনুভূতি শেয়ার করব</t>
  </si>
  <si>
    <t>মন্ত্রী পরিবর্তন হবে</t>
  </si>
  <si>
    <t>নাবিকেরা জাহাজ কিনবে</t>
  </si>
  <si>
    <t>বিতর্ক সমাপ্ত হবে</t>
  </si>
  <si>
    <t>স্বয়ংক্রিয় হবে আরও</t>
  </si>
  <si>
    <t>গেম সেট হবে</t>
  </si>
  <si>
    <t>পরিবারে যোগাযোগ করব</t>
  </si>
  <si>
    <t>বিনিয়োগ করলেন সঠিকভাবে</t>
  </si>
  <si>
    <t>রচনা লেখা হবে</t>
  </si>
  <si>
    <t>সে সংখ্যা শিখবে</t>
  </si>
  <si>
    <t>ভ্রমণে আনন্দ পাবো</t>
  </si>
  <si>
    <t>লোন গ্রহণ হইবে</t>
  </si>
  <si>
    <t>ঐতিহাসিক আলোচনা চলবে</t>
  </si>
  <si>
    <t>ব্যাংক পরীক্ষা দিব</t>
  </si>
  <si>
    <t>গল্প বলিতে থাকব</t>
  </si>
  <si>
    <t>লাভ বৃদ্ধি পাবে</t>
  </si>
  <si>
    <t>হজ্ব করতে যাব</t>
  </si>
  <si>
    <t>ফাইল সেভ করব</t>
  </si>
  <si>
    <t>কাঠে আগুন জ্বলবে</t>
  </si>
  <si>
    <t>উপন্যাস পড়তে থাকব</t>
  </si>
  <si>
    <t>পছন্দ করিয়া থাকব</t>
  </si>
  <si>
    <t>ইন্টারনেট ইমেইল পড়বো</t>
  </si>
  <si>
    <t>মেশিনলার্নিং ব্যবহার হবে</t>
  </si>
  <si>
    <t>সমুদ্রস্নান করতে থাকব</t>
  </si>
  <si>
    <t>কার্ড ব্যবহার করব</t>
  </si>
  <si>
    <t>দলগুলি প্রতিস্থাপন করবে</t>
  </si>
  <si>
    <t>প্রয়োজনীয় খাবার খাবো</t>
  </si>
  <si>
    <t>সে গেম খেলবে</t>
  </si>
  <si>
    <t>কর্মচারীদের বেতন বাড়বে</t>
  </si>
  <si>
    <t>কোড টেস্ট করবে</t>
  </si>
  <si>
    <t>প্রস্তুতি নিতে হবে</t>
  </si>
  <si>
    <t>মানুষ যাবে মঙ্গলে</t>
  </si>
  <si>
    <t>তুমি চকোলেট কিনবে</t>
  </si>
  <si>
    <t>মেকানিক্যাল কাজ হবে</t>
  </si>
  <si>
    <t>কফি অর্ডার করব</t>
  </si>
  <si>
    <t>ডাটা সিংক হবে</t>
  </si>
  <si>
    <t>লোন বর্জন করব</t>
  </si>
  <si>
    <t>সিকিউরিটি বৃদ্ধি পাবে</t>
  </si>
  <si>
    <t>উদ্যোগে পরিবর্তন আনব</t>
  </si>
  <si>
    <t>ব্যালেন্স জমাতে থাকব</t>
  </si>
  <si>
    <t>ওজন কমাতে থাকবে</t>
  </si>
  <si>
    <t>ফাইল শেয়ার হবে</t>
  </si>
  <si>
    <t>বিদ্যার দ্বার খুলব</t>
  </si>
  <si>
    <t>ধ্বনি লিখবে আমি</t>
  </si>
  <si>
    <t>বেশি ইন্টারনেট চালাব</t>
  </si>
  <si>
    <t>পরীক্ষা দিয়ে থাকব</t>
  </si>
  <si>
    <t>তাজমহল দেখতে থাকবে</t>
  </si>
  <si>
    <t>ডাল ভাত খাব</t>
  </si>
  <si>
    <t>তাজমহলে গিয়ে থাকব</t>
  </si>
  <si>
    <t>হজ্ব করিয়া থাকব</t>
  </si>
  <si>
    <t>সিস্টেম অপ্টিমাইজ হবে</t>
  </si>
  <si>
    <t>সৎ পরামর্শ চাইতে থাকব</t>
  </si>
  <si>
    <t>টিএসসিতে যেতে হবে</t>
  </si>
  <si>
    <t>আমরা পাস্ত্রি খাব</t>
  </si>
  <si>
    <t>ভ্রমণে প্রজ্ঞা বাড়বে</t>
  </si>
  <si>
    <t>আমরা চকলেট কিনব</t>
  </si>
  <si>
    <t>ব্যাংকিং কাজ করব</t>
  </si>
  <si>
    <t>কোড ইন্টেগ্রেট হবে</t>
  </si>
  <si>
    <t>হাব ব্যবহার করবো</t>
  </si>
  <si>
    <t>চকোলেট মিল্ক খাব</t>
  </si>
  <si>
    <t>গোলকিপার বল আটকাবে</t>
  </si>
  <si>
    <t>সংগীত শোনবেন তোমরা</t>
  </si>
  <si>
    <t>সমুদ্র পাড়ি দিব</t>
  </si>
  <si>
    <t>সুর শিখবে তোমরা</t>
  </si>
  <si>
    <t>টেকনোলজি খোজতে থাকব</t>
  </si>
  <si>
    <t>গ্রাফিক্স কোর্স করব</t>
  </si>
  <si>
    <t>কর্মচারীরা হবে দক্ষ</t>
  </si>
  <si>
    <t>বেডমিন্টন খেলতে থাকবে</t>
  </si>
  <si>
    <t>পথিকদের খাবার দিব</t>
  </si>
  <si>
    <t>টাকা পাঠাবো ব্যাংকে</t>
  </si>
  <si>
    <t>কর্মদক্ষতা বাড়তে থাকবে</t>
  </si>
  <si>
    <t>সমুদ্র অভিযানে যাব</t>
  </si>
  <si>
    <t>সরকার প্রকল্প দিবে</t>
  </si>
  <si>
    <t>রকেটে টাকা পাঠাবো</t>
  </si>
  <si>
    <t>তারা কাজ শিখবে</t>
  </si>
  <si>
    <t>আলাস্কা গিয়ে থাকব</t>
  </si>
  <si>
    <t>শরীরচর্চা করিতে থাকবে</t>
  </si>
  <si>
    <t>ব্যাংকসেবা গ্রহণ করবো</t>
  </si>
  <si>
    <t>হাডুডু খেলতে থাকবে</t>
  </si>
  <si>
    <t>ছাত্রাবাসে জীবন কাটবে</t>
  </si>
  <si>
    <t>কলেজেের ক্লাস শুরু হবে</t>
  </si>
  <si>
    <t>প্রতিষ্ঠানে ভাল অবদান রাখব</t>
  </si>
  <si>
    <t>সবুজ ঘাস বাড়বে খুব</t>
  </si>
  <si>
    <t>কাকতালীয় মানুষের শীত বাড়বে</t>
  </si>
  <si>
    <t>কোড রিভিউ হবে প্রয়োজনীয়</t>
  </si>
  <si>
    <t>ড্রামা পড়তে থাকবো আমি</t>
  </si>
  <si>
    <t>সরকার দক্ষতা প্রমাণ করবে</t>
  </si>
  <si>
    <t>উন্নয়ন হবে প্রযুক্তির সাথে</t>
  </si>
  <si>
    <t>অর্থনৈতিক সমীক্ষা হবে গবেষণায়</t>
  </si>
  <si>
    <t>তুমি বিজ্ঞানে গবেষণা করবে</t>
  </si>
  <si>
    <t>নতুন ব্রাঞ্চ উপস্থাপন করব</t>
  </si>
  <si>
    <t>আমরা ঐতিহাসিক খাদ্য খাবো</t>
  </si>
  <si>
    <t>নতুন পণ্য তৈরি করব</t>
  </si>
  <si>
    <t>ডোমেইন এর দাম বাড়বে</t>
  </si>
  <si>
    <t>সে নতুন ঋণ নিবে</t>
  </si>
  <si>
    <t>উদ্ভিদ দেখতে সুন্দর হবে</t>
  </si>
  <si>
    <t>কিবোর্ড চালনায় দক্ষ হবে</t>
  </si>
  <si>
    <t>গরমে ফুল সুস্থ থাকবে</t>
  </si>
  <si>
    <t>নতুন বিপণি প্রদান করব</t>
  </si>
  <si>
    <t>লেখক হিসেবে পুরস্কৃত হবে</t>
  </si>
  <si>
    <t>বায়োইনফরম্যাটিক্স এক্সপান্ড করতে হবে</t>
  </si>
  <si>
    <t>আমরা বিপণি প্রবর্তন করব</t>
  </si>
  <si>
    <t>তুমি ব্যাংকিং কার্ড পাবে</t>
  </si>
  <si>
    <t>পোকা দমন হবে কর্মক্ষেত্রে</t>
  </si>
  <si>
    <t>ডেভেলপারদের মধ্যে পরিচালনা হবে</t>
  </si>
  <si>
    <t>তীরে মানুষ বাড়ি বানাবে</t>
  </si>
  <si>
    <t>তুমি দুধ চা খাবে</t>
  </si>
  <si>
    <t>তুমি অনলাইন লার্নিং করবে</t>
  </si>
  <si>
    <t>সে ব্লগিং প্ল্যাটফর্ম বানাবে</t>
  </si>
  <si>
    <t>নতুন এপ্লিকেশন ডেভেলপ করবে</t>
  </si>
  <si>
    <t>এপ্লিকেশনে বাগ দেখা দিবে</t>
  </si>
  <si>
    <t>হাসপাতালে নতুন কর্মী আসবে</t>
  </si>
  <si>
    <t>তুমি মজার বরফি বানাবে</t>
  </si>
  <si>
    <t>তুমি পুলে সাঁতার করবে</t>
  </si>
  <si>
    <t>ব্যবসা বৃদ্ধি পাবে আগামীকাল</t>
  </si>
  <si>
    <t>তাদের সাইকেল চালাতে থাকবে</t>
  </si>
  <si>
    <t>বাণিজ্যিক ব্যাংকে আবেদন করবে</t>
  </si>
  <si>
    <t>আমি রেস্টুরেন্টে আসবো বিকেলবেলায়</t>
  </si>
  <si>
    <t>তারা উন্নত মার্কেট গড়বে</t>
  </si>
  <si>
    <t>তারা নিয়মিত সার্ভার দেখবে</t>
  </si>
  <si>
    <t>আমাদের বিপণি বাড়বে ভালোভাবে</t>
  </si>
  <si>
    <t>উন্নত বাজার সংস্কৃতি বানাবে</t>
  </si>
  <si>
    <t>তোমরা সবাই সাঁতার কাটবে</t>
  </si>
  <si>
    <t>সে শিক্ষা প্রণোদনা পাবে</t>
  </si>
  <si>
    <t>পুকুরে জেলে মাছ ধরবে</t>
  </si>
  <si>
    <t>ডেভিড কার্ডের আবেদন করবে</t>
  </si>
  <si>
    <t>চিকিৎসা সহায়ক হবে রোবোট</t>
  </si>
  <si>
    <t>তুমি ভবিষ্যতে ক্যাম্পাসে থাকবে</t>
  </si>
  <si>
    <t>তুমি অর্থনীতি সম্মেলনে যাবা</t>
  </si>
  <si>
    <t>তুমি উচ্চশিক্ষার প্রস্তাবনা দিবে</t>
  </si>
  <si>
    <t>বাগানে ফলের আবাদ হবে</t>
  </si>
  <si>
    <t>ডাটা বিশ্লেষণ উন্নত হবে</t>
  </si>
  <si>
    <t>টাকা পাঠাতে হবে বিকাশে</t>
  </si>
  <si>
    <t>কুঞ্জ বাগানে পাখি আসবে</t>
  </si>
  <si>
    <t>সে কাল দাবা খেলবে</t>
  </si>
  <si>
    <t>আমরা ইউনিভার্সাল রোবট বানাবো</t>
  </si>
  <si>
    <t>তুমি বোর্ডে ছবিটি আঁকবে</t>
  </si>
  <si>
    <t>লাইটারেচার ক্যারিয়ার গড়তে চাইব</t>
  </si>
  <si>
    <t>নতুন বিপণি তৈরি করব</t>
  </si>
  <si>
    <t>শিক্ষা ক্ষেত্রে উন্নতি হবে</t>
  </si>
  <si>
    <t>টিচার ট্রেনিং কোর্সটি করবে</t>
  </si>
  <si>
    <t>রোগীর প্রেসক্রাইব ঔষধ নেবে</t>
  </si>
  <si>
    <t>ডাক্তার নতুন ট্রিটমেন্ট দিবেন</t>
  </si>
  <si>
    <t>সমুদ্রে মেঘময় হবে আজ</t>
  </si>
  <si>
    <t>তাদের অর্থনীতি উন্নত হবে</t>
  </si>
  <si>
    <t>প্রজেক্টটি দলগত কাজ হবে</t>
  </si>
  <si>
    <t>তুমি কোড রিভাইট করবে</t>
  </si>
  <si>
    <t>সে ফ্রেমওয়ার্ক তৈরি করবে</t>
  </si>
  <si>
    <t>নতুন টিকা উপকারী হবে</t>
  </si>
  <si>
    <t>সি প্রোগ্রামিং শিখতে হবে</t>
  </si>
  <si>
    <t>সকল ছাত্রছাত্রী ক্যাম্পাসে পড়বে</t>
  </si>
  <si>
    <t>গবেষণা কাজ হবে পুর্বকথনে</t>
  </si>
  <si>
    <t>শীতে পানি হবে বরফ</t>
  </si>
  <si>
    <t>মেশিনলার্নিং প্রকল্পে যোগদান করব</t>
  </si>
  <si>
    <t>সমুদ্র কিনারে বসে থাকবেন</t>
  </si>
  <si>
    <t>এই ভ্রমণটি বিপজ্জনক হবে</t>
  </si>
  <si>
    <t>তুমি ব্যাংকের গোল্ডকার্ড পাবে</t>
  </si>
  <si>
    <t>রোবটিক সহায়ক চিকিৎসা হবে</t>
  </si>
  <si>
    <t>ফসলে পরিচর্যা করতে হবে</t>
  </si>
  <si>
    <t>বিশেষজ্ঞ আলোচনা করবেন নতুন উদ্দীপনায়</t>
  </si>
  <si>
    <t>বিশেষজ্ঞ আলোচনা করতে সভা ডাকবেন</t>
  </si>
  <si>
    <t>মুভিটি সবাইকে অনুপ্রানিত করবে</t>
  </si>
  <si>
    <t>সে প্রাচীন মন্দিরটি দেখবে</t>
  </si>
  <si>
    <t>কোড বাগ রিপোর্ট করতে হবে</t>
  </si>
  <si>
    <t>ছাত্রছাত্রীরা পুরাতন গল্প পড়বে</t>
  </si>
  <si>
    <t>তারা সাহিত্যিক স্থানে যাবে</t>
  </si>
  <si>
    <t>সংস্কৃতি অর্থনীতিতে ভূমিকা রাখবে</t>
  </si>
  <si>
    <t>তারা সকলে ঘুরতে যাবে</t>
  </si>
  <si>
    <t>বার্ষিক ক্রীড়া প্রতিযোগিতায় যাবে</t>
  </si>
  <si>
    <t>পর্যবেক্ষণে পরিস্থিতি উন্নত হবে</t>
  </si>
  <si>
    <t>নতুন প্রকল্প শুরু করব</t>
  </si>
  <si>
    <t>অনেক বৃষ্টি হবে রাতে</t>
  </si>
  <si>
    <t>সে আগামীকাল সার্ফিং করবে</t>
  </si>
  <si>
    <t>পাসপোর্টের আবেদন অনলাইনে করবে</t>
  </si>
  <si>
    <t>তিন ঘণ্টা অপেক্ষা করব</t>
  </si>
  <si>
    <t>আপাতকালে শস্য উৎপাদন বাড়বে</t>
  </si>
  <si>
    <t>মেনু দেখতে বলতে হবে</t>
  </si>
  <si>
    <t>নোটের মাধ্যমে কথা হবে</t>
  </si>
  <si>
    <t>সাহায্য প্রদান করবে রোবোট</t>
  </si>
  <si>
    <t>সাহায্যের জন্য রোবট কিনতে হবে</t>
  </si>
  <si>
    <t>সে ফিক্সড ডিপসিট করবে</t>
  </si>
  <si>
    <t>বাণিজ্যিক প্রকৌশল বাড়বে আগামীতে</t>
  </si>
  <si>
    <t>বিশেষ তৈরি করতে হবে</t>
  </si>
  <si>
    <t>জাহাজ সমুদ্রে ভেসে বেড়াবে</t>
  </si>
  <si>
    <t>সীমান্তে তান্ডব বাড়বে আগামীকাল</t>
  </si>
  <si>
    <t>আবার্ষিক ফুলদের প্রদর্শন হবে</t>
  </si>
  <si>
    <t>গবেষণা হবে প্রযুক্তির অংশ</t>
  </si>
  <si>
    <t>মাটির উপাদান তৈরি হবে</t>
  </si>
  <si>
    <t>বায়োমেট্রিকস প্রযুক্তি ব্যবহার হবে</t>
  </si>
  <si>
    <t>মিষ্টি সুর সবাইকে হাসাবে</t>
  </si>
  <si>
    <t>শত্রুদের সামরিক প্রস্তুতি চলবে</t>
  </si>
  <si>
    <t>মোহানার তীরে বাড়ি বানাবে</t>
  </si>
  <si>
    <t>বীরত্বে উৎসাহ বাড়বে আগামীতে</t>
  </si>
  <si>
    <t>প্রযুক্তির ব্যবহার হবে ব্যয়বহুল</t>
  </si>
  <si>
    <t>সাইবার সিকিউরিটি বৃদ্ধি পাবে</t>
  </si>
  <si>
    <t>হাসবে সবাই একই সাথে</t>
  </si>
  <si>
    <t>আমি ভুল সংশোধনে কাজ করবো</t>
  </si>
  <si>
    <t>আমি তোমার সাথে সংগঠনে কাজ করবো</t>
  </si>
  <si>
    <t>তুমি ফাইলটি রিড করবে</t>
  </si>
  <si>
    <t>মাটি উর্বর হবে বাগানে</t>
  </si>
  <si>
    <t>বইমেলায় আমার বই আসবে</t>
  </si>
  <si>
    <t>আমি অর্থনীতির বই পড়বো</t>
  </si>
  <si>
    <t>তুমি ক্যাম্পাসে ফুটবল খেলবে</t>
  </si>
  <si>
    <t>আপনারা হাসপাতালে নতুন যাবেন</t>
  </si>
  <si>
    <t>এক্সেলে লেখালেখি সহজ হবে</t>
  </si>
  <si>
    <t>আমরা ক্যাম্পাসটি ভ্রমণ করবো</t>
  </si>
  <si>
    <t>শীতে হাত হবে ঠান্ডা</t>
  </si>
  <si>
    <t>তারা দীর্ঘক্ষণ সাঁতার কাটবে</t>
  </si>
  <si>
    <t>তুমি মেনু দেখতে চলবে</t>
  </si>
  <si>
    <t>কম্পিউটার ভাইরাস ছড়িয়ে পরবে</t>
  </si>
  <si>
    <t>তুমি বাঙালি চা খাবে</t>
  </si>
  <si>
    <t>পিডিএফ বানাবো পিডিএফ এক্সপার্টে</t>
  </si>
  <si>
    <t>আমরা বই মেলায় যাবো</t>
  </si>
  <si>
    <t>রোবটিক প্রযুক্তি বাড়বে আগামীকাল</t>
  </si>
  <si>
    <t>বাজাতে হবে নতুন সুর</t>
  </si>
  <si>
    <t>রেস্টুরেন্টে আমি উপস্থিত হব</t>
  </si>
  <si>
    <t>নতুন ব্যাংক ইনভেস্টমেন্ট করবে</t>
  </si>
  <si>
    <t>চিকিৎসা সহযোগিতা হবে প্রধান</t>
  </si>
  <si>
    <t>একটি সুন্দর হোটেলে থাকব</t>
  </si>
  <si>
    <t>ভালোভাবে পাওয়ার পয়েন্ট শিখবে</t>
  </si>
  <si>
    <t>সরকারি বাজার প্রবৃদ্ধি পাবে</t>
  </si>
  <si>
    <t>আমরা নতুন গ্রাহক হবে</t>
  </si>
  <si>
    <t>সেবা সহায়তা করবে রোবোট</t>
  </si>
  <si>
    <t>ফুল বিক্রি করতে চাইব</t>
  </si>
  <si>
    <t>ফেসবুক এ একাউন্ট খুলবো</t>
  </si>
  <si>
    <t>রাতে জাঙ্গলে থাকতে যাব</t>
  </si>
  <si>
    <t>ব্যাংক দেউলিয়া হয়ে যাবে</t>
  </si>
  <si>
    <t>ভোট হবে এখন ইভিএমে</t>
  </si>
  <si>
    <t>সে নতুন হার্ডওয়্যার বানাবে</t>
  </si>
  <si>
    <t>আমরা নতুন প্রকল্প চালাব</t>
  </si>
  <si>
    <t>সৈন্যদের পুরোপুরি আত্মসমর্পণ হবে</t>
  </si>
  <si>
    <t>ব্যাংক হোম লোন নিবে</t>
  </si>
  <si>
    <t>তুমি ব্যাংক ইনভেস্টমেন্ট করবে</t>
  </si>
  <si>
    <t>আমরা নতুন সহযোগিতা নিব</t>
  </si>
  <si>
    <t>সবাই সমুদ্রে সাঁতার কাটবে</t>
  </si>
  <si>
    <t>সুর বজায় থাকবে সবসময়</t>
  </si>
  <si>
    <t>তুমি হিমালয় দেখতে যাবে</t>
  </si>
  <si>
    <t>বার্তা হবে গানের ভাষায়</t>
  </si>
  <si>
    <t>গরমে আমি বৃষ্টি চাইব</t>
  </si>
  <si>
    <t>রেস্টুরেন্টে আসবো পরের সপ্তাহে</t>
  </si>
  <si>
    <t>নতুন কিছু ইনভেনশনস করবে</t>
  </si>
  <si>
    <t>তুমি আসবে প্রকাশনা ক্যাম্পাসে</t>
  </si>
  <si>
    <t>উন্নত অর্থনীতি প্রজাতি বানাবে</t>
  </si>
  <si>
    <t>মহাকাশ গবেষণা করবে রোবোট</t>
  </si>
  <si>
    <t>নির্বাচনে জনমত জোগাবে প্রার্থী</t>
  </si>
  <si>
    <t>মোবাইল প্রযুক্তি বৃদ্ধি হবে</t>
  </si>
  <si>
    <t>আমরা উন্নত অর্থনীতি পাবো</t>
  </si>
  <si>
    <t>ফুলদের মিলন হবে আসন্নে</t>
  </si>
  <si>
    <t>ডাটা বিশ্লেষণ হবে আরও</t>
  </si>
  <si>
    <t>ডাটাবেজে ডাটা জমা হবে</t>
  </si>
  <si>
    <t>রোবোট সহায়তা করবে চিকিৎসায়</t>
  </si>
  <si>
    <t>আমরা একসাথে মিছিল করব</t>
  </si>
  <si>
    <t>তাদের অর্থনীতি ভালো থাকবে</t>
  </si>
  <si>
    <t>আমি সারারাত প্রোগ্রামিং করব</t>
  </si>
  <si>
    <t>পরিস্থিতি সহায় করবে রোবোট</t>
  </si>
  <si>
    <t>তারা কোড অপ্টিমাইজ করবে</t>
  </si>
  <si>
    <t>যাতায়াত পরিকল্পনা করবে রোবোট</t>
  </si>
  <si>
    <t>আমি পরীক্ষায় উত্কৃষ্ট হবো</t>
  </si>
  <si>
    <t>আমাদের উপন্যাস পড়তে হবে</t>
  </si>
  <si>
    <t>আমরা উপস্থান দিবো সভায়</t>
  </si>
  <si>
    <t>সোর্সকোড গুলো খাতায় লিখবে</t>
  </si>
  <si>
    <t>তাদের অর্থনৈতিক সাহায্য লাগবে</t>
  </si>
  <si>
    <t>সুর করবে সবাই মিলে</t>
  </si>
  <si>
    <t>ছুটিতে জাদুঘর বন্ধ থাকবে</t>
  </si>
  <si>
    <t>কোডিংতে নতুন প্রগতি হবে</t>
  </si>
  <si>
    <t>কোডিংতে নতুন নতুন সংযোজন হবে</t>
  </si>
  <si>
    <t>কোডিংতে নতুন ছাত্রদের আগ্রহ বাড়াতে হবে</t>
  </si>
  <si>
    <t>সিনেমার রিভিউ লিখতে হবে</t>
  </si>
  <si>
    <t>সময়ে সবাই উন্নতি করবে</t>
  </si>
  <si>
    <t>আত্মীয়েরা সুইমিং পুলে যাব</t>
  </si>
  <si>
    <t>এই এপ্লিকেশনটি ইন্সটল হবে</t>
  </si>
  <si>
    <t>বরফে মেঘ ঢাকা হবে</t>
  </si>
  <si>
    <t>কৃষি সংশ্লেষণ বাড়বে আগামীতে</t>
  </si>
  <si>
    <t>কীটনাশক দেয়া হবে মাটিতে</t>
  </si>
  <si>
    <t>আবহাওয়াবিদ বলবে বৃষ্টি হবে</t>
  </si>
  <si>
    <t>পরিস্থিতি বিপদ তৈরী করবে</t>
  </si>
  <si>
    <t>আমরা আগামীকাল হাইকিং করবো</t>
  </si>
  <si>
    <t>আমরা শীঘ্রই ক্যাম্পাসে আসবো</t>
  </si>
  <si>
    <t>তোমার পড়াশোনা হবে ক্যাম্পাসে</t>
  </si>
  <si>
    <t>আমরা নতুন ভাষা শেখবো</t>
  </si>
  <si>
    <t>ইলেকট্রনিকস ডিভাইসের চাহিদা বাড়বেই</t>
  </si>
  <si>
    <t>বরফে রাত হবে ধুপ</t>
  </si>
  <si>
    <t>নীতিগুলি প্রযুক্তি নির্ধারণ করবে</t>
  </si>
  <si>
    <t>মাউস এর অনেক ধরণ আসবে</t>
  </si>
  <si>
    <t>সাহিত্যি নির্মাণ করতে হবে</t>
  </si>
  <si>
    <t>ফল ঝরবে বৃষ্টির পরে</t>
  </si>
  <si>
    <t>সে হোটেল বুক করবে</t>
  </si>
  <si>
    <t>যুদ্ধে জয় আসবে বিজয়ীর</t>
  </si>
  <si>
    <t>আইওএস ব্যাবহার করতে হবে</t>
  </si>
  <si>
    <t>ডাটা মাইনিং বিষয়টি শিখব</t>
  </si>
  <si>
    <t>সে সাইবারস্পেস এক্সপ্লোর করবে</t>
  </si>
  <si>
    <t>ক্রমান্বয়ে হ্যাকিং প্রবণতা বাড়বে</t>
  </si>
  <si>
    <t>আমি কোল্ড কফি নিব</t>
  </si>
  <si>
    <t>পার্টি হবে প্রচারণার জন্য</t>
  </si>
  <si>
    <t>তাদের ক্রেডিট কার্ড পাবে</t>
  </si>
  <si>
    <t>স্কাইফে কথা বলতে পারবে</t>
  </si>
  <si>
    <t>আত্মনির্ভর অর্জন হবে দেশে</t>
  </si>
  <si>
    <t>প্রযুক্তির উদ্দেশ্য হবে জনকল্যাণমুখী</t>
  </si>
  <si>
    <t>সৈন্য শক্তি বাড়বে ভবিষ্যতে</t>
  </si>
  <si>
    <t>তারা রিসার্চ গ্রুপ বানাবে</t>
  </si>
  <si>
    <t>সমুদ্রপারে ঝাউবন দেখতে পাবেন</t>
  </si>
  <si>
    <t>বাসের টিকিট অনলাইনে কাটবো</t>
  </si>
  <si>
    <t>সফটওয়্যারটির কোডিং প্রয়োজন হবে</t>
  </si>
  <si>
    <t>আমার বাগ পরিচালনা করবে</t>
  </si>
  <si>
    <t>সমুদ্রে নৌকা ভ্রমণ করবে</t>
  </si>
  <si>
    <t>আমরা রাতের আকাশ দেখবো</t>
  </si>
  <si>
    <t>প্রযুক্তি উন্নতি হবে দ্রুত</t>
  </si>
  <si>
    <t>রমজানে ইসলামিক গান বাজবে</t>
  </si>
  <si>
    <t>বাণিজ্যিক পরিব্যপ্তি হবে অত্যন্ত</t>
  </si>
  <si>
    <t>বাগানে পুকুর নির্মাণ হবে</t>
  </si>
  <si>
    <t>সে ভুতের গল্প শেখবে</t>
  </si>
  <si>
    <t>টেস্টিং ভুল সংশোধন করবে</t>
  </si>
  <si>
    <t>ডেভসি প্লাসপ্লাসে প্রোগ্রামিং করবে</t>
  </si>
  <si>
    <t>বিশ্ববিদ্যালয়ে ছাত্র যোগদান করবে</t>
  </si>
  <si>
    <t>ডাটাবেইজে অনেক তথ্য থাকবে</t>
  </si>
  <si>
    <t>বিপ্লব তৈরি হবে আগামীতে</t>
  </si>
  <si>
    <t>সকল বাচ্চারা সাঁতার কাটবে</t>
  </si>
  <si>
    <t>বরফে মিষ্টি হবে বৃষ্টি</t>
  </si>
  <si>
    <t>নতুন জেনেটিক চিকিৎসা হবে</t>
  </si>
  <si>
    <t>সে প্রজেক্টটি ম্যানেজ করবে</t>
  </si>
  <si>
    <t>সবাই হাঁটবে সুরের মাধ্যমে</t>
  </si>
  <si>
    <t>একটি এপিআই ইনটিগ্রেট করব</t>
  </si>
  <si>
    <t>তুমি হোলোগ্রাম ডিজাইন করবে</t>
  </si>
  <si>
    <t>আমি নারকেল পুডিং বানাব</t>
  </si>
  <si>
    <t>কোম্পানিটি মোবাইল লঞ্চ করবে</t>
  </si>
  <si>
    <t>তুমি আগামীকাল স্কেটিং করবে</t>
  </si>
  <si>
    <t>উন্নত বাজার বিশ্লেষণ করবে</t>
  </si>
  <si>
    <t>কোকিল বলবে বৃষ্টি হবে</t>
  </si>
  <si>
    <t>আমি শীঘ্রই সুখবর দিবো</t>
  </si>
  <si>
    <t>নিরাপত্তা প্রকোষ্ঠ বৃদ্ধি হবে</t>
  </si>
  <si>
    <t>নিরাপত্তা প্রকোষ্ঠ বৃদ্ধি করতে প্রশিক্ষণ লাগবে</t>
  </si>
  <si>
    <t>নতুন শিক্ষক নিয়োগ করবে</t>
  </si>
  <si>
    <t>আমি নতুন ব্যাংক খোলবো</t>
  </si>
  <si>
    <t>সে অর্থনীতি উন্নতি করবে</t>
  </si>
  <si>
    <t>প্রতিরক্ষা তৈরি থাকবে উচ্চমানে</t>
  </si>
  <si>
    <t>আমি বই লেখতে থাকবো</t>
  </si>
  <si>
    <t>বায়োইনফরম্যাটিক্স প্রযুক্তি অনুষ্ঠান হবে</t>
  </si>
  <si>
    <t>রবি গান গাইবে সবসময়</t>
  </si>
  <si>
    <t>সীমান্তে তান্ডব কমবে আগামীকালে</t>
  </si>
  <si>
    <t>একটি ইন্টারফেস ডিজাইন করব</t>
  </si>
  <si>
    <t>শীঘ্রই নতুন ভবন হবে</t>
  </si>
  <si>
    <t>নতুন চিকিৎসা উন্নত হবে</t>
  </si>
  <si>
    <t>আমি উদ্ভিদ পরিচালনা করবো</t>
  </si>
  <si>
    <t>আমরা সংগঠন তৈরী করব</t>
  </si>
  <si>
    <t>চা খেতে হবে খোকার</t>
  </si>
  <si>
    <t>আমরা সমীক্ষা করব আগে</t>
  </si>
  <si>
    <t>আমি আমার কোম্পানি বাড়াবো</t>
  </si>
  <si>
    <t>টেকনোলজি হবে মানুষের গোলাম</t>
  </si>
  <si>
    <t>পরিস্থিতি শীঘ্রই বোধ করবে</t>
  </si>
  <si>
    <t>তুমি সাইবার সিকিউরিটি শেখবে</t>
  </si>
  <si>
    <t>আমি নতুন দেশে যাব</t>
  </si>
  <si>
    <t>বই পড়ার অভ্যস করব</t>
  </si>
  <si>
    <t>বইমেলায় কবিতার বই কিনব</t>
  </si>
  <si>
    <t>তুমি আসবে উপস্থিত হতে</t>
  </si>
  <si>
    <t>অনেক দূর সাঁতার কাটবে</t>
  </si>
  <si>
    <t>দর্শনীয় স্থানগুলোতে যেতে হবে</t>
  </si>
  <si>
    <t>শীতে বাগ পরিস্কার করবে</t>
  </si>
  <si>
    <t>তারা আসবে গবেষণা করতে</t>
  </si>
  <si>
    <t>মেশিন লার্নিং শিখতে হবে</t>
  </si>
  <si>
    <t>আমি ক্যাম্পাসে প্রকৌশল পড়বো</t>
  </si>
  <si>
    <t>ভবিষ্যতের ধারণা দিবে রোবোট</t>
  </si>
  <si>
    <t>যুদ্ধে অর্থনৈতিক সমস্যা হবে</t>
  </si>
  <si>
    <t>বরফের প্রাচীর তৈরি হবে</t>
  </si>
  <si>
    <t>বাজারে অর্থনীতি বৃদ্ধি পাবে</t>
  </si>
  <si>
    <t>মুকুল মন্তব্য করবেন প্রজাতন্ত্রে</t>
  </si>
  <si>
    <t>তারা টিভিতে খেলা দেখবে</t>
  </si>
  <si>
    <t>বিশ্ব সম্মেলন আয়োজন হবে</t>
  </si>
  <si>
    <t>আমি ভবিষ্যতে চিকিৎসক হব</t>
  </si>
  <si>
    <t>সে জিপিএস দেখে যাবে</t>
  </si>
  <si>
    <t>সে অনলাইনে আসক্ত হবে</t>
  </si>
  <si>
    <t>প্রধানমন্ত্রী সভা করবেন</t>
  </si>
  <si>
    <t>কালকে স্টেডিয়ামে খেলা হবে</t>
  </si>
  <si>
    <t>টেসলা দামী প্রতিষ্ঠান হবে</t>
  </si>
  <si>
    <t>ব্যাংক ম্যানেজার যুক্ত হবে</t>
  </si>
  <si>
    <t>তিনি ফল কিনতে যাবেন</t>
  </si>
  <si>
    <t>ট্রেনে ভ্রমণ উপভোগ করব</t>
  </si>
  <si>
    <t>ব্যাংক সম্পত্তি জব্দ করবে</t>
  </si>
  <si>
    <t>সহজ ঋণ পাবে উদ্যোক্তা</t>
  </si>
  <si>
    <t>ভাইরাসজনিত রোগ মুক্তি হবে</t>
  </si>
  <si>
    <t>নতুন দাম নির্ধারণ হবে</t>
  </si>
  <si>
    <t>ছুটিতে ব্যাংক বন্ধ থাকবে</t>
  </si>
  <si>
    <t>পোশাক উৎপাদন বাড়বে অনেক</t>
  </si>
  <si>
    <t>বাণিজ্যিক ক্ষেত্র বাড়বে দ্রুত</t>
  </si>
  <si>
    <t>আমরা ফাংশনটি টেস্ট করবো</t>
  </si>
  <si>
    <t>দলবদ্ধ হয়ে পাহাড়ে চড়বে</t>
  </si>
  <si>
    <t>তীরে অপেক্ষা করতে থাকব</t>
  </si>
  <si>
    <t>নতুন অর্থনৈতিক প্রকল্প নিবে</t>
  </si>
  <si>
    <t>টাইপ রাইটার বিলুপ্ত হবে</t>
  </si>
  <si>
    <t>উপস্থিত বক্তৃতায় অংশ নিবে</t>
  </si>
  <si>
    <t>তীরে বসে সমুদ্র দেখব</t>
  </si>
  <si>
    <t>সে অর্থনৈতিক প্রতিবেদন লেখবে</t>
  </si>
  <si>
    <t>টেসলার নতুন গাড়ি আসবে</t>
  </si>
  <si>
    <t>ক্লাসিক কবিতা রচনা করব</t>
  </si>
  <si>
    <t>ব্যাংকিং খাতে উন্নয়ন হবে</t>
  </si>
  <si>
    <t>সাইবার স্পোর্টসে অংশগ্রহণ করবে</t>
  </si>
  <si>
    <t>তুমি আগামীকাল ফুটবল খেলবে</t>
  </si>
  <si>
    <t>তুমি কোডিং ক্যাম্পে যাবে</t>
  </si>
  <si>
    <t>শোনা যাবে ক্লাসিক সুর</t>
  </si>
  <si>
    <t>তারা ডিপ্লোয়মেন্ট পরিচালনা করবে</t>
  </si>
  <si>
    <t>অপারেশন হবে আগামী সপ্তাহে</t>
  </si>
  <si>
    <t>প্রবেশ পথে চেকিং হবে</t>
  </si>
  <si>
    <t>সবাই ইন্টারনেটে অনুসন্ধান করবে</t>
  </si>
  <si>
    <t>আমি সমুদ্র যাত্রা করবো</t>
  </si>
  <si>
    <t>আমি সমুদ্র যাত্রার জন্য প্রস্তুতি নিতে হবে</t>
  </si>
  <si>
    <t>আমি মুনাফা লাভ করবো</t>
  </si>
  <si>
    <t>শীতে শিক্ষাসফর করব আমরা</t>
  </si>
  <si>
    <t>তারা সবাই সাঁতার কাটবে</t>
  </si>
  <si>
    <t>তাদের প্রকল্প হবে ক্যাম্পাসে</t>
  </si>
  <si>
    <t>রেস্টুরেন্টে বার্থডে আয়োজন হবে</t>
  </si>
  <si>
    <t>বিনিয়োগে উন্নতি হবে দ্রুত</t>
  </si>
  <si>
    <t>ফল মোষ্টক হবে বাগানে</t>
  </si>
  <si>
    <t>আমরা পণ্য বাজারে দিব</t>
  </si>
  <si>
    <t>সূর্যাস্তে দেখতে সমুদ্রে যাব</t>
  </si>
  <si>
    <t>আমরা উদ্যানে ঘুরতে যাব</t>
  </si>
  <si>
    <t>টেকনোলজি ট্রেন্ড অনুসরণ করব</t>
  </si>
  <si>
    <t>আমরা উপস্থাপনা করব উৎসবে</t>
  </si>
  <si>
    <t>কালকে স্কুল বন্ধ থাকবে</t>
  </si>
  <si>
    <t>নতুন পণ্য উত্পাদন করব</t>
  </si>
  <si>
    <t>রাজনীতিক বিষয়বস্তু চর্চা হবে</t>
  </si>
  <si>
    <t>বাজার প্রসার বৃদ্ধি পাবে</t>
  </si>
  <si>
    <t>আমরা নতুন ফাংশন বাড়াব</t>
  </si>
  <si>
    <t>উন্নত অর্থনৈতিক প্রজন্ম বানাবে</t>
  </si>
  <si>
    <t>সে পুলে সাঁতার কাটবে</t>
  </si>
  <si>
    <t>ইংরেজি ছবির গল্প লেখব</t>
  </si>
  <si>
    <t>ডাটা সায়েন্স ভালোভাবে শিখবে</t>
  </si>
  <si>
    <t>রেস্টুরেন্টে ব্যাচেলর পার্টি করব</t>
  </si>
  <si>
    <t>তুমি ভবিষ্যতে সংস্কৃতি শিখবে</t>
  </si>
  <si>
    <t>তারা বাজারে বই কিনবে</t>
  </si>
  <si>
    <t>শিল্পে কাজ করবে রোবোট</t>
  </si>
  <si>
    <t>ফসল ফুটাবে কৃষকের মুখে হাসি</t>
  </si>
  <si>
    <t>ফসলের পরিস্থিতি ভালো করতে যত্ন নিতে হবে</t>
  </si>
  <si>
    <t>ফসলের পরিস্থিতি ভালো হবে</t>
  </si>
  <si>
    <t>ফসলের পরিস্থিতি ভালো হলে অর্থ উপার্জন হবে</t>
  </si>
  <si>
    <t>প্রযুক্তির পুনরুত্থানে প্রবৃদ্ধি হবে</t>
  </si>
  <si>
    <t>আমরা একটি ডিবাগ করবো</t>
  </si>
  <si>
    <t>জলদস্যু প্রস্তুতি নিবে সমুদ্রে</t>
  </si>
  <si>
    <t>চাকুরী সহায় করবে রোবোট</t>
  </si>
  <si>
    <t>তারা ঝর্ণায় স্নান করবে</t>
  </si>
  <si>
    <t>বিদ্যালয়ের জন্য ওয়েবসাইট লাগবে</t>
  </si>
  <si>
    <t>একবার ইন্টারনেট বিপর্যয় হবে</t>
  </si>
  <si>
    <t>গবেষণা কমিটি গঠন হবে</t>
  </si>
  <si>
    <t>নির্বাচনে জনপ্রিয়তা অর্জন হবে</t>
  </si>
  <si>
    <t>তারা আগামীকাল হকি খেলবে</t>
  </si>
  <si>
    <t>মোবাইল ব্যাংকিং শুরু করবে</t>
  </si>
  <si>
    <t>জাতীয় চলচিত্র পুরষ্কার পাবে</t>
  </si>
  <si>
    <t>নতুন প্রযুক্তি অনুসন্ধান করব</t>
  </si>
  <si>
    <t>নতুন প্রযুক্তি সন্ধান করতে হবে</t>
  </si>
  <si>
    <t>পরীক্ষা দিয়ে রেজাল্ট পাব</t>
  </si>
  <si>
    <t>সে নতুন ফ্রেমওয়ার্ক শেখাবে</t>
  </si>
  <si>
    <t>সমুদ্রে নীল ঢেউ দেখব</t>
  </si>
  <si>
    <t>সে একটি কলম কিনবে</t>
  </si>
  <si>
    <t>নির্বাচনে সমর্থন থাকবে সকলের</t>
  </si>
  <si>
    <t>তুমি গান লিখবে নতুন</t>
  </si>
  <si>
    <t>যুদ্ধশক্তি বৃদ্ধি পাবে একাধিক</t>
  </si>
  <si>
    <t>উপন্যাস পড়বো আমি সবসময়</t>
  </si>
  <si>
    <t>রোবটিক প্রস্তুতি নেয়া হবে</t>
  </si>
  <si>
    <t>যাতায়াত সহায় করবে রোবোট</t>
  </si>
  <si>
    <t>আমি আমার বাগ সাজবো</t>
  </si>
  <si>
    <t>অর্থনৈতিক সমৃদ্ধি বাড়বে আগামীকাল</t>
  </si>
  <si>
    <t>সি প্রোগ্রামিং সবাই পারবে</t>
  </si>
  <si>
    <t>রাজনীতিক সম্মিলনে আলোচনা হবে</t>
  </si>
  <si>
    <t>আমরা নতুন বিপণি প্রদান করব</t>
  </si>
  <si>
    <t>গবেষণা কাজ হবে এখন</t>
  </si>
  <si>
    <t>স্বাস্থ্যকর্মীরা সেবা সহায়তা করবে</t>
  </si>
  <si>
    <t>নতুন ক্যাম্পাস লাইব্রেরি হবে</t>
  </si>
  <si>
    <t>আমরা নতুন বিফবার্গার খাব</t>
  </si>
  <si>
    <t>রেস্টুরেন্টে খেয়ে ছাদে যাব</t>
  </si>
  <si>
    <t>শিক্ষা প্রণালী সমৃদ্ধি হবে</t>
  </si>
  <si>
    <t>শীতে খেলাধুলা হবে বেশি</t>
  </si>
  <si>
    <t>পরিস্থিতি শীঘ্রই নির্ধারণ করবে</t>
  </si>
  <si>
    <t>শীতে মিষ্টি আবহাওয়া পাব</t>
  </si>
  <si>
    <t>বাবুর্চি রেস্টুরেন্টে খাবার বানাবে</t>
  </si>
  <si>
    <t>আগামীকাল বাণিজ্যিক প্রতিষ্ঠানে যাবো</t>
  </si>
  <si>
    <t>নতুন প্রবন্ধ লেখবে গবেষণায়</t>
  </si>
  <si>
    <t>বিগ ডেটা ব্যবহার হবে</t>
  </si>
  <si>
    <t>বাস্তবায়নে ভালো পরিস্থিতি হবে</t>
  </si>
  <si>
    <t>ঔষধ প্রস্তুতি করবে গবেষণায়</t>
  </si>
  <si>
    <t>বরফে ঢাকবে নীল আকাশ</t>
  </si>
  <si>
    <t>হাসপাতালে নতুন সুবিধা থাকবে</t>
  </si>
  <si>
    <t>সরকারি ছুটিতে ক্লাস হবেনা</t>
  </si>
  <si>
    <t>ঐতিহাসিক স্থান দেখতে যাবো</t>
  </si>
  <si>
    <t>মেনুতে অনেক খাবার থাকবে</t>
  </si>
  <si>
    <t>দেশে জনসংখ্যা বাড়তে থাকবে</t>
  </si>
  <si>
    <t>সফটওয়্যার টেস্টিং কোর্স করব</t>
  </si>
  <si>
    <t>রেস্টুরেন্টে খাবারের আয়োজন হবে</t>
  </si>
  <si>
    <t>সোশ্যাল মিডিয়া এনালাইটিক্স দেখব</t>
  </si>
  <si>
    <t>সোশ্যাল মিডিয়া সবার জন্য বন্ধ করে দেয়া হবে</t>
  </si>
  <si>
    <t>সে গেইমিং ল্যাপটপ খুঁজবে</t>
  </si>
  <si>
    <t>চিকিৎসক পূর্ণ সতর্কতা নেবে</t>
  </si>
  <si>
    <t>কোনও অসুস্থতা সমাধান হবে</t>
  </si>
  <si>
    <t>তারা সুপারহিট চলচ্চিত্র দেখবে</t>
  </si>
  <si>
    <t>উইনডোস একাই দিতে পারবে</t>
  </si>
  <si>
    <t>শীতে ঝরে যাবে পাতা</t>
  </si>
  <si>
    <t>আবাদ হবে নতুন ফসল</t>
  </si>
  <si>
    <t>মৌন সমুদ্র শীতল হবে</t>
  </si>
  <si>
    <t>আমরা নতুন উৎপাদন করব</t>
  </si>
  <si>
    <t>আমরা নতুন উৎপাদনে সময় দিব</t>
  </si>
  <si>
    <t>তুমি অ্যাথলেটিকস চ্যাম্পিয়নশিপ দেখবে</t>
  </si>
  <si>
    <t>আমি একমাস ধরে পড়ব</t>
  </si>
  <si>
    <t>রেইলসেবা এপে টিকিট কাটবো</t>
  </si>
  <si>
    <t>সৈন্য সংখ্যা বৃদ্ধি পাবে</t>
  </si>
  <si>
    <t>উন্নত বাজারের পোস্টার দেখবে</t>
  </si>
  <si>
    <t>মেশিন লার্নিং আলোচনা হবে</t>
  </si>
  <si>
    <t>তাদের অর্থনীতি বৃদ্ধি পাবে</t>
  </si>
  <si>
    <t>বইমেলায় কবিতার বই খুঁজব</t>
  </si>
  <si>
    <t>প্রোগ্রামীং কোর্স শিখানো হবে</t>
  </si>
  <si>
    <t>শীতে হতে থাকবে বরফবৃষ্টি</t>
  </si>
  <si>
    <t>পোকা সহায়ক হবে কৃষক</t>
  </si>
  <si>
    <t>শিক্ষা প্রাধিকৃত হবে দ্রুত</t>
  </si>
  <si>
    <t>অর্থনীতির প্রজেক্ট চালিয়ে যাবো</t>
  </si>
  <si>
    <t>নতুন দেশ ভ্রমণ করবো</t>
  </si>
  <si>
    <t>মোবাইল অ্যাপ ডেভেলপ করব</t>
  </si>
  <si>
    <t>মুভির টিকিটের দাম বাড়বে</t>
  </si>
  <si>
    <t>আমার বইয়ের লাইব্রেরী থাকবে</t>
  </si>
  <si>
    <t>ভবিষ্যতে রোবোট শিক্ষা দিবে</t>
  </si>
  <si>
    <t>ভবিষ্যতে রোবোটিক্স শিক্ষা দিতে হবে সবাইকে</t>
  </si>
  <si>
    <t>সে প্রযুক্তি শিখবে দ্রুত</t>
  </si>
  <si>
    <t>পরিস্থিতি শীঘ্রই সনাক্ত হবে</t>
  </si>
  <si>
    <t>প্রোগ্রামিং চিন্তাশক্তি বৃদ্ধি করবে</t>
  </si>
  <si>
    <t>ফসলে সহায়ক প্রয়োজন হবে</t>
  </si>
  <si>
    <t>তুমি হোলোগ্রাফিক ডিজাইন করবে</t>
  </si>
  <si>
    <t>মানুষ এখন রোবট বানাবে</t>
  </si>
  <si>
    <t>আমরা মৌসুমে সাঁতার কাটব</t>
  </si>
  <si>
    <t>হাসপাতাল সর্বদা প্রস্তুত থাকবে</t>
  </si>
  <si>
    <t>আপনি স্যুপ কিনে খাবেন</t>
  </si>
  <si>
    <t>নতুন বাজার উৎপাদন হবে</t>
  </si>
  <si>
    <t>তুমি উদ্বোধনে অংশ নিবে</t>
  </si>
  <si>
    <t>নিরাপত্তা বাড়াতে তৈরি থাকবে</t>
  </si>
  <si>
    <t>আমরা আসব সাঁতার কাটতে</t>
  </si>
  <si>
    <t>তীরে মাছ ধরবে লোক</t>
  </si>
  <si>
    <t>পরিচালনা সিস্টেম আপগ্রেড হবে</t>
  </si>
  <si>
    <t>তোমরা তাড়াতাড়ি সাঁতার শিখবে</t>
  </si>
  <si>
    <t>শিক্ষা প্রণোদনা প্রচুর থাকবে</t>
  </si>
  <si>
    <t>পূর্বাচলে উন্নতি হবে প্রকল্পে</t>
  </si>
  <si>
    <t>ছাত্ররা পাইথনে প্রোগ্রামিং করবে</t>
  </si>
  <si>
    <t>গবেষণা কমিটি কাজ করবে</t>
  </si>
  <si>
    <t>সে আগামীকাল সাইক্লিং করবে</t>
  </si>
  <si>
    <t>তারা আইস হকি খেলবে</t>
  </si>
  <si>
    <t>আমরা স্কাই ডাইভিং করবো</t>
  </si>
  <si>
    <t>সে সমুুদ্র সৈকতে নামবে</t>
  </si>
  <si>
    <t>নতুন চিকিৎসা সফটওয়্যার আসবে</t>
  </si>
  <si>
    <t>তুমি অ্যাপ্লিকেশন লঞ্চ করবে</t>
  </si>
  <si>
    <t>বরফে ঢাকা হবে পাহাড়</t>
  </si>
  <si>
    <t>একজন নতুন শিক্ষক নিবে</t>
  </si>
  <si>
    <t>উন্নত অর্থনীতির শিক্ষা নিবে</t>
  </si>
  <si>
    <t>পুকুরে মাছ চাষ হবে</t>
  </si>
  <si>
    <t>নতুন পার্টনারশিপ গঠন করব</t>
  </si>
  <si>
    <t>তুমি আগামীকাল গল্ফ খেলবে</t>
  </si>
  <si>
    <t>গবেষণা প্রকল্প সফল হবে</t>
  </si>
  <si>
    <t>তুমি রেস্টিরেন্টে স্যান্ডউইচ বানাবে</t>
  </si>
  <si>
    <t>কাল ম্যারাথনে অংশ নিবে</t>
  </si>
  <si>
    <t>গিটহাবে আরও প্রোজেক্ট হবে</t>
  </si>
  <si>
    <t>শত্রুদের বিধ্বংসে কার্যকরী হবে</t>
  </si>
  <si>
    <t>কুলি জমি বাড়াবে কৃষক</t>
  </si>
  <si>
    <t>তুমি বায়োমেট্রিক প্রয়োগ করবে</t>
  </si>
  <si>
    <t>তুমি প্রজেক্টটি প্রস্তুত করবে</t>
  </si>
  <si>
    <t>নতুন ডাটাবেজ তৈরি করবে</t>
  </si>
  <si>
    <t>তুমি ক্যাম্পাসে আলোচনা করবে</t>
  </si>
  <si>
    <t>কবিতার মত জীবন হবে</t>
  </si>
  <si>
    <t>রোবোট সহায়ক হবে শিক্ষার্থীদের</t>
  </si>
  <si>
    <t>সে সেইভিং একাউন্ট খোলবে</t>
  </si>
  <si>
    <t>বৃদ্ধি পাবে বাজার ভালোভাবে</t>
  </si>
  <si>
    <t>সে কম্পিউটার চালিয়ে থাকবে</t>
  </si>
  <si>
    <t>পোকা আক্রমণ করবে ফসলে</t>
  </si>
  <si>
    <t>নতুন পদক্ষেপ গ্রহণ হবে</t>
  </si>
  <si>
    <t>তুমি মেনু পড়ে দেখবে</t>
  </si>
  <si>
    <t>স্মার্ট কন্ট্র্যাক্ট ডেভেলপমেন্ট হবে</t>
  </si>
  <si>
    <t>আমাদের প্রকল্প হবে ক্যাম্পাসে</t>
  </si>
  <si>
    <t>রোগী ভালোভাবে চিকিৎসা পাবে</t>
  </si>
  <si>
    <t>রোগীর অবস্থা ভালো হবে</t>
  </si>
  <si>
    <t>স্মার্ট হোম ব্যবহার করবে</t>
  </si>
  <si>
    <t>গ্রামীণ ব্যাংকে আবেদন করবে</t>
  </si>
  <si>
    <t>রোগী শীঘ্রই সুস্থ হবে</t>
  </si>
  <si>
    <t>অনেক সার্চইঞ্জিন বানানো হবে</t>
  </si>
  <si>
    <t>সুরের মাধ্যমে ভাষা হবে</t>
  </si>
  <si>
    <t>ডাক্তার চিকিৎসা সহায় করবেন</t>
  </si>
  <si>
    <t>ফুল বৃদ্ধি পাবে আসন্নে</t>
  </si>
  <si>
    <t>আমরা সভায় আলোচনা করব</t>
  </si>
  <si>
    <t>তিনি পাকা কাঠাল খাবেন</t>
  </si>
  <si>
    <t>নতুন বিনিয়োগ হবে দ্রুত</t>
  </si>
  <si>
    <t>বড় মাল্টিপ্লাগ দরকার পরবে</t>
  </si>
  <si>
    <t>আলোচনা হবে পরবর্তী সভায়</t>
  </si>
  <si>
    <t>ব্লকচেইন শিখতে লাগবে কোডিং</t>
  </si>
  <si>
    <t>আমরা পোস্টার তৈরি করবো</t>
  </si>
  <si>
    <t>দুর্জয় মোহানা চাঁদনী হবে</t>
  </si>
  <si>
    <t>সে রহস্যজনক দ্বীপে যাবে</t>
  </si>
  <si>
    <t>নতুন বিপণি প্রবর্তন করব</t>
  </si>
  <si>
    <t>কোডিং করব সমস্ত দিন</t>
  </si>
  <si>
    <t>ফোটা পাতা ভিজে পড়বে</t>
  </si>
  <si>
    <t>আবহাওয়া থাকবে আরও শীতময়</t>
  </si>
  <si>
    <t>নতুন খাদ্য চেষ্টা করব</t>
  </si>
  <si>
    <t>বীচে হোটেল বুক করবে</t>
  </si>
  <si>
    <t>তুমি হ্যাকিং তত্ত্ব শিখবে</t>
  </si>
  <si>
    <t>নার্স ঔষধ দিবে সকালে</t>
  </si>
  <si>
    <t>লাইব্রেরিটি একটি আপডেট পাবে</t>
  </si>
  <si>
    <t>প্রোগ্রামিং ভাষা ইনভেন্ট হবে</t>
  </si>
  <si>
    <t>সে আগামীকাল টুর্নামেন্ট জিতবে</t>
  </si>
  <si>
    <t>একটি টেকনিক্যাল ডকুমেন্ট লেখব</t>
  </si>
  <si>
    <t>চলচিত্রের সেটে সবাই থাকবে</t>
  </si>
  <si>
    <t>কম্পিউটার সমস্যা সমাধান করব</t>
  </si>
  <si>
    <t>সমুদ্রের তীরে বৃষ্টি হবে</t>
  </si>
  <si>
    <t>ক্রিকেট টুর্নামেন্টে অংশ নিবে</t>
  </si>
  <si>
    <t>রাজনীতিক সম্মিলন আয়োজন হবে</t>
  </si>
  <si>
    <t>বৃষ্টিতে ফসল নষ্ট হবে</t>
  </si>
  <si>
    <t>বার্ষিক পরীক্ষা আয়োজন হবে</t>
  </si>
  <si>
    <t>আমরা একটি স্ক্রিপ্ট চালাবো</t>
  </si>
  <si>
    <t>আমরা শিক্ষকের কাছে থাকব</t>
  </si>
  <si>
    <t>সুর বজায় রাখতে হবে</t>
  </si>
  <si>
    <t>মিলনে গান আসবে সবার</t>
  </si>
  <si>
    <t>তাদের গবেষণা করবে ক্যাম্পাসে</t>
  </si>
  <si>
    <t>উৎপাদন হবে অত্যন্ত প্রোফেশনালি</t>
  </si>
  <si>
    <t>সে ডাটা ভ্যালিডেট করবে</t>
  </si>
  <si>
    <t>ইংরেজি উপন্যাস রচনা করবো</t>
  </si>
  <si>
    <t>দরিদ্রদের জন্য ঋণ দিবে</t>
  </si>
  <si>
    <t>পিপীলিকাকে আরো আপডেট করবে</t>
  </si>
  <si>
    <t>জনগণ সংঘাতে প্রভাবিত হবে</t>
  </si>
  <si>
    <t>বইমেলায় লেখকের উপস্থাপন চলবে</t>
  </si>
  <si>
    <t>সমুদ্রে পানি থাকবে অনেক</t>
  </si>
  <si>
    <t>আমরা নতুন বিপণি খুলব</t>
  </si>
  <si>
    <t>পরিস্থিতি নির্ধারণ করবে রোবোট</t>
  </si>
  <si>
    <t>পরিস্থিতি নির্ধারণ করতে সরকারকে কাজ করতে হবে</t>
  </si>
  <si>
    <t>একদিন আমি অপরাধিনি পড়বো</t>
  </si>
  <si>
    <t>তুমি প্রকৌশলিক হবে ভবিষ্যতে</t>
  </si>
  <si>
    <t>আপনি দোকানে চিজবার্গার খাবেন</t>
  </si>
  <si>
    <t>বিজ্ঞান গবেষনা করবে রোবোট</t>
  </si>
  <si>
    <t>আমরা ক্যাম্পাসে মিছিল করব</t>
  </si>
  <si>
    <t>আগামীকাল মার্কেটের পরিস্থিতি দেখবে</t>
  </si>
  <si>
    <t>তুমি ভবিষ্যতে শিক্ষক হবে</t>
  </si>
  <si>
    <t>সমুদ্রপারে মায়াবী বৃষ্টি পড়বে</t>
  </si>
  <si>
    <t>ট্র্যাকিংএ শুকনো খাবার নিবে</t>
  </si>
  <si>
    <t>জলময় নীল সাগর দেখব</t>
  </si>
  <si>
    <t>ব্যবসা সহজ হবে আগামীতে</t>
  </si>
  <si>
    <t>রোবটিক উৎপাদন বাড়বে দ্রুত</t>
  </si>
  <si>
    <t>গবেষণা প্রক্রিয়া চলতে থাকবে</t>
  </si>
  <si>
    <t>সফটওয়্যার ডেভেলপ হবে পর্যাপ্তভাবে</t>
  </si>
  <si>
    <t>শিক্ষকছাত্র সংস্কৃতি বজায় থাকবে</t>
  </si>
  <si>
    <t>তুমি আগামীকাল অর্থনীতি পড়বে</t>
  </si>
  <si>
    <t>তাদের বক্সিং ম্যাচ হবে</t>
  </si>
  <si>
    <t>ভাষা হবে অনেক সুমধুর</t>
  </si>
  <si>
    <t>বাণিজ্যিক উন্নতি হবে প্রচুর</t>
  </si>
  <si>
    <t>সে মার্শাল আর্ট শিখবে</t>
  </si>
  <si>
    <t>আমরা ট্রেন ভ্রমণ করব</t>
  </si>
  <si>
    <t>ক্লাসিক বাঙালি লিটেরেচার পড়বো</t>
  </si>
  <si>
    <t>আমরা বাগান পরিচর্যা করব</t>
  </si>
  <si>
    <t>শান্তি সম্পর্কে আলোচনা হবে</t>
  </si>
  <si>
    <t>রোগীকে সঠিক পরামর্শ দেবে</t>
  </si>
  <si>
    <t>প্রযুক্তি শিক্ষায় পরিবর্তন আনবে</t>
  </si>
  <si>
    <t>বিভিন্ন প্রোজেক্ট শোকেস হবে</t>
  </si>
  <si>
    <t>বরফে ঢাকা হবে গাড়ি</t>
  </si>
  <si>
    <t>রোবোটিক্স বিশ্বে প্রবণতা বাড়বে</t>
  </si>
  <si>
    <t>সে ড্রামা মুভি দেখবে</t>
  </si>
  <si>
    <t>আমরা প্রকৌশল পড়তে যাব</t>
  </si>
  <si>
    <t>ফসলে পানির প্রয়োজন হবে</t>
  </si>
  <si>
    <t>আমরা ভর্তি পরীক্ষা দেবো</t>
  </si>
  <si>
    <t>তারা সাইকেলে যাত্রা করবে</t>
  </si>
  <si>
    <t>আমরা একসাথে সংগঠন করব</t>
  </si>
  <si>
    <t>পুকুরে তারা সাঁতরে শিখবে</t>
  </si>
  <si>
    <t>সে নতুন রাজধানীতে যাবে</t>
  </si>
  <si>
    <t>সমস্যা সমাধানের দক্ষতা বাড়বে</t>
  </si>
  <si>
    <t>বরফে ঢাকা হবে চট্রগ্রাম</t>
  </si>
  <si>
    <t>সবুজ শরৎ হবে বরফে</t>
  </si>
  <si>
    <t>উন্নত অর্থনীতির সংস্কৃতি বানাবে</t>
  </si>
  <si>
    <t>আফিম তৈরি হবে বাগানে</t>
  </si>
  <si>
    <t>সমুদ্রের নীল ঢেউ দেখব</t>
  </si>
  <si>
    <t>নতুন চিকিৎসা প্রস্তুত হবে</t>
  </si>
  <si>
    <t>বরফে ঢাকা হবে স্কুল</t>
  </si>
  <si>
    <t>শীঘ্রই হৃদরোগ প্রতিরোধ হবে</t>
  </si>
  <si>
    <t>তুমি প্রোগ্রামিং ভাষা শেখাবে</t>
  </si>
  <si>
    <t>একটি ওয়েবসাইট ডিজাইন করব</t>
  </si>
  <si>
    <t>অর্থনীতি মডেল তৈরি করবো</t>
  </si>
  <si>
    <t>শীতকালে নতুন গ্যাজেট আসবে</t>
  </si>
  <si>
    <t>সফটওয়্যার টেস্টিং করতে হবে</t>
  </si>
  <si>
    <t>ডিজাইন প্রযুক্তি প্রগতিশীল হবে</t>
  </si>
  <si>
    <t>বরফে ঢাকা হবে বিমান</t>
  </si>
  <si>
    <t>আমরা নতুন বিপণি খোলব</t>
  </si>
  <si>
    <t>আমরা নতুন বিপণিতে মানুষ স্বাগত জানাব</t>
  </si>
  <si>
    <t>আমরা নতুন বিপণিতে নতুন পণ্য নিব</t>
  </si>
  <si>
    <t>নতুন চিকিৎসা পদ্ধতি আসবে</t>
  </si>
  <si>
    <t>নতুন আবিষ্কার হবে নৈতিক</t>
  </si>
  <si>
    <t>আমরা চিকেন সুপ বানাব</t>
  </si>
  <si>
    <t>রোবটে অনেক ফিচার থাকবে</t>
  </si>
  <si>
    <t>বিশেষ আয়োজনে রেস্টুরেন্টে আসবো</t>
  </si>
  <si>
    <t>সে পাহাড়ের ছবি তুলবে</t>
  </si>
  <si>
    <t>বাণিজ্যিক নতুন আবির্ভাব হবে</t>
  </si>
  <si>
    <t>সমুদ্রে পাহাড় তৈরি হবে</t>
  </si>
  <si>
    <t>তুমি রোবোটিক্স ক্লাস নিবে</t>
  </si>
  <si>
    <t>গবেষণা ক্ষেত্রে প্রবৃদ্ধি হবে</t>
  </si>
  <si>
    <t>নতুন প্রস্তুতি হবে গবেষণায়</t>
  </si>
  <si>
    <t>যুদ্ধভিত্তিক মুভি পরিচালনা করবে</t>
  </si>
  <si>
    <t>বৈজ্ঞানিক প্রগতি দেখা যাবে</t>
  </si>
  <si>
    <t>সৈন্য প্রতিষ্ঠিত হবে প্রবলভাবে</t>
  </si>
  <si>
    <t>ক্লাসিক লিটেরেচার পড়বেন সবাই</t>
  </si>
  <si>
    <t>সেটি কোডিং ক্যাম্প হবে</t>
  </si>
  <si>
    <t>পুকুরে সাতার কাটবে ছেলেমেয়েরা</t>
  </si>
  <si>
    <t>বাজার মূল্যের ধ্বস হবে</t>
  </si>
  <si>
    <t>তুমি অর্থনীতির পরিচালক হবে</t>
  </si>
  <si>
    <t>অনলাইন ব্যাংকিং নিরাপদ হবে</t>
  </si>
  <si>
    <t>স্পেশাল ডিজার্ট বনাতে হবে</t>
  </si>
  <si>
    <t>ফুল বিক্রি করতে যাব</t>
  </si>
  <si>
    <t>কাল নতুন ব্যাট কিনবে</t>
  </si>
  <si>
    <t>ডেভেলপমেন্টে আমি চোখ রাখব</t>
  </si>
  <si>
    <t>সবজি চাষ করবে কৃষক</t>
  </si>
  <si>
    <t>রাস্তা বরফে ঢাকা হবে</t>
  </si>
  <si>
    <t>ইংরেজি প্রবন্ধ পড়ব আমরা</t>
  </si>
  <si>
    <t>যানবাহনে সহায়তা করবে রোবোট</t>
  </si>
  <si>
    <t>ডাক্তার রোগীর হালচাল জানবেন</t>
  </si>
  <si>
    <t>তারা জঙ্গলে হাইকিং করবে</t>
  </si>
  <si>
    <t>মোবাইল সফটওয়্যার আপডেট হবে</t>
  </si>
  <si>
    <t>আমি ফ্রাইড রাইস বানাব</t>
  </si>
  <si>
    <t>তুমি নতুন বিষয় শিখবে</t>
  </si>
  <si>
    <t>সমুদ্রগুলি চলবে নিজের ছন্দে</t>
  </si>
  <si>
    <t>কোড কমেন্ট করতে হবে</t>
  </si>
  <si>
    <t>এসেই পড়বো শেকসপিয়ার নাটক</t>
  </si>
  <si>
    <t>পীচের পরিস্থিতি পর্যবেক্ষণ করবে</t>
  </si>
  <si>
    <t>আমরা স্মার্টফোন ব্যবহার করবো</t>
  </si>
  <si>
    <t>সার প্রদান করা হবে</t>
  </si>
  <si>
    <t>ফিকশন বই পড়বেন তিনি</t>
  </si>
  <si>
    <t>বৃষ্টির পরে হেঁটে বেড়াবো</t>
  </si>
  <si>
    <t>কোড বেসেড চিকিৎসা হবে</t>
  </si>
  <si>
    <t>ইউরোপে বরফ পড়তেই থাকবে</t>
  </si>
  <si>
    <t>সে কম্পিউটার ওপেন করবে</t>
  </si>
  <si>
    <t>আমরা বিশেষভাবে দেখা করব</t>
  </si>
  <si>
    <t>উন্নত প্রযুক্তি অনুপ্রয়োগ করবে</t>
  </si>
  <si>
    <t>আনলাইনে কেনাকাটা সহজ হবে</t>
  </si>
  <si>
    <t>আমরা ক্যাম্পাসে উত্সব করব</t>
  </si>
  <si>
    <t>মৃদু বাতাস বয়ে আসবে</t>
  </si>
  <si>
    <t>তুমি অধ্যায়টি রিডিং পড়বে</t>
  </si>
  <si>
    <t>সে আগামীকাল টেনিস খেলবে</t>
  </si>
  <si>
    <t>ভবিষ্যতে রোবোট নির্মাণ হবে</t>
  </si>
  <si>
    <t>তথ্য সাংগ্রহ হবে সুবিধাসহকারে</t>
  </si>
  <si>
    <t>নকশা ডিজাইনে পরিবর্তন হবে</t>
  </si>
  <si>
    <t>যুদ্ধ প্রস্তুতি শিখানো হবে</t>
  </si>
  <si>
    <t>ইয়াহু ব্যাবহার করবো না</t>
  </si>
  <si>
    <t>নতুন প্রচার শুরু করব</t>
  </si>
  <si>
    <t>আসবো বইমেলায় পুস্তক খুঁজতে</t>
  </si>
  <si>
    <t>টেকনোলজি বৃদ্ধি পাবে অত্যন্ত</t>
  </si>
  <si>
    <t>সে সুদ পরিশোধ করবে</t>
  </si>
  <si>
    <t>আমি ভালোভাবে সাঁতার কাটব</t>
  </si>
  <si>
    <t>প্রযুক্তিগত উন্নত অর্থনীতি দেখবে</t>
  </si>
  <si>
    <t>আমার বইয়ের সংগ্রহ থাকবে</t>
  </si>
  <si>
    <t>প্রোগ্রামিং কমিউনিটিতে অংশগ্রহণ করব</t>
  </si>
  <si>
    <t>সে বাগ রিপোর্ট করবে</t>
  </si>
  <si>
    <t>তুমি রোবট তৈরি করবে</t>
  </si>
  <si>
    <t>অর্থনীতি স্থিতি উন্নত হবে</t>
  </si>
  <si>
    <t>সাহিত্যিক হতে চাইব আমি</t>
  </si>
  <si>
    <t>ডালি তৈরি হবে ফুলের</t>
  </si>
  <si>
    <t>নতুন ফ্রেমওয়ার্কে কাজ শেখাব</t>
  </si>
  <si>
    <t>জীবাণুর বিরুদ্ধে উন্নতি হবে</t>
  </si>
  <si>
    <t>সমুদ্রে মোহনা অমনিবাসন হবে</t>
  </si>
  <si>
    <t>তুমি নদীতে সাঁতার দেখবে</t>
  </si>
  <si>
    <t>প্রোগ্রামিং প্রতিযোগীতায় অংশগ্রহণ করব</t>
  </si>
  <si>
    <t>নতুন কম্পিউটার আবিষ্কার হবে</t>
  </si>
  <si>
    <t>ক্ষমতাশালী ভ্যাকসিন প্রস্তুত হবে</t>
  </si>
  <si>
    <t>রাতে জাঙ্গলে থাকতে চাইব</t>
  </si>
  <si>
    <t>বিপদে জনগণ সমৃদ্ধি হবে</t>
  </si>
  <si>
    <t>সবার অর্থনীতিতে অবদান লাগবে</t>
  </si>
  <si>
    <t>তোমরা জলে সাঁতার কাটবে</t>
  </si>
  <si>
    <t>শিক্ষা প্রকল্প তৈরি করবে</t>
  </si>
  <si>
    <t>আমরা আসবো ক্যাম্পাসের অনুষ্ঠানে</t>
  </si>
  <si>
    <t>নতুন পদক্ষেপ হবে উত্তম</t>
  </si>
  <si>
    <t>বাগানে ফল চাষ হবে</t>
  </si>
  <si>
    <t>তারা নতুন প্রকল্প বানাবে</t>
  </si>
  <si>
    <t>সাহিত্যিক পথে এগিয়ে যাবে</t>
  </si>
  <si>
    <t>প্রজেক্টটি প্রদর্শন করতে পারবে</t>
  </si>
  <si>
    <t>আমরা পার্কে ঘুরতে যাবো</t>
  </si>
  <si>
    <t>সমুদ্রে মাছ প্রবেশ করবে</t>
  </si>
  <si>
    <t>আমি টাকা জমা দেবো</t>
  </si>
  <si>
    <t>বরফে ঢাকা হবে বিশ্ব</t>
  </si>
  <si>
    <t>শীতে সবাই মেলায় যাব</t>
  </si>
  <si>
    <t>প্রোগ্রামাররা নতুন ল্যাঙ্গুয়েজ শিখবে</t>
  </si>
  <si>
    <t>রেস্টুরেন্ট বাড়িতে জনপ্রিয় হবে</t>
  </si>
  <si>
    <t>তোমার প্রোজেক্ট হবে সফল</t>
  </si>
  <si>
    <t>আমরা নাস্তায় নুডলস খাব</t>
  </si>
  <si>
    <t>রোগী চিকিৎসার যোগ্য হবে</t>
  </si>
  <si>
    <t>সকলে শিক্ষার দিকে আসবে</t>
  </si>
  <si>
    <t>চিকিৎসক সকল তথ্য পাবে</t>
  </si>
  <si>
    <t>তিনি ফলের বাগান সাজাবেন</t>
  </si>
  <si>
    <t>বাগানে বৃষ্টি পড়বে খুব</t>
  </si>
  <si>
    <t>সে নতুন গ্যাজেট কিনবে</t>
  </si>
  <si>
    <t>বৈশিষ্ট্যযুক্ত সফটওয়্যার উন্নত হবে</t>
  </si>
  <si>
    <t>বিতর্কিত বাজার হবে প্রচুর</t>
  </si>
  <si>
    <t>আমরা জনপ্রিয় কোড লেখব</t>
  </si>
  <si>
    <t>তারা একসাথে ক্যাম্পিং করবে</t>
  </si>
  <si>
    <t>সে ডিজাইন ট্যাবলেট নিবে</t>
  </si>
  <si>
    <t>নতুন ফ্রেমওয়ার্কে ডেভেলপমেন্ট করব</t>
  </si>
  <si>
    <t>হাসপাতাল সফলভাবে চিকিৎসা করবে</t>
  </si>
  <si>
    <t>বৈশিষ্ট্য আপগ্রেড হবে পরশু</t>
  </si>
  <si>
    <t>আমরা আগামীকাল ব্যাডমিন্টন খেলবো</t>
  </si>
  <si>
    <t>আমি মেশিন লার্নিং শিখবো</t>
  </si>
  <si>
    <t>ইংরেজি কবিতা শেখবো আমি</t>
  </si>
  <si>
    <t>মুভিটি কালকে মুক্তি পাবে</t>
  </si>
  <si>
    <t>ব্যাংকহল্ডিং কোম্পানির শেয়ার কিনবে</t>
  </si>
  <si>
    <t>গবেষণার তথ্য সাংগ্রহ হবে</t>
  </si>
  <si>
    <t>গুগল প্রতিদিন আপডেট হবে</t>
  </si>
  <si>
    <t>রোগীর সঠিক চিকিৎসা হবে</t>
  </si>
  <si>
    <t>ইংরেজি বই কিনতে যাবো</t>
  </si>
  <si>
    <t>ম্যাপ দেখে গন্তব্যে যাবে</t>
  </si>
  <si>
    <t>শত্রু নেতৃত্ব হবে প্রধান</t>
  </si>
  <si>
    <t>বৃষ্টির পর ফল হবে</t>
  </si>
  <si>
    <t>আমি টেবিল সাজাবো ফুলে</t>
  </si>
  <si>
    <t>বাজেটে ধারাবাহিক বৃদ্ধি হবে</t>
  </si>
  <si>
    <t>সাইবার সিকিউরিটি বাড়ানো হবে</t>
  </si>
  <si>
    <t>ঠান্ডা আবেগ বাধবে সবকিছু</t>
  </si>
  <si>
    <t>চিকিৎসক সঠিক নির্দেশনা দেবেন</t>
  </si>
  <si>
    <t>কোডিং দিয়ে সব পারবে</t>
  </si>
  <si>
    <t>নতুন সহযোগিতা শুরু করব</t>
  </si>
  <si>
    <t>স্যামসাং বড় প্রতিষ্ঠান হবে</t>
  </si>
  <si>
    <t>প্রযুক্তির উন্নতি হবে প্রবল</t>
  </si>
  <si>
    <t>বাণিজ্যিক ক্ষেত্র উন্নতি পাবে</t>
  </si>
  <si>
    <t>আমরা বিশ্বকাপ সমর্থন করব</t>
  </si>
  <si>
    <t>আমাদের সেবা উন্নত করবে</t>
  </si>
  <si>
    <t>সমুদ্রে মাঝি নৌকা ছাড়াবে</t>
  </si>
  <si>
    <t>রাষ্ট্রপতি দেশবাসীদের প্রশিক্ষণ দেবেন</t>
  </si>
  <si>
    <t>তুমি আগামীকাল বিশ্বকাপ দেখবে</t>
  </si>
  <si>
    <t>সে বাঙালি রান্না করবে</t>
  </si>
  <si>
    <t>নতুন ঔষধ উদ্ভাবন হবে</t>
  </si>
  <si>
    <t>রেস্টুরেন্টে খেতে প্রস্তুতি নিব</t>
  </si>
  <si>
    <t>সাঁতার প্রশিক্ষণ গ্রহণ করব</t>
  </si>
  <si>
    <t>অনলাইন ব্যাংকিং জনপ্রিয় হবে</t>
  </si>
  <si>
    <t>আমি বাগান সাজাবো কাল</t>
  </si>
  <si>
    <t>আমরা আগামীকাল সাঁতার কাটব</t>
  </si>
  <si>
    <t>আমাদের উদ্দীপনা ক্যাম্পাসে হবে</t>
  </si>
  <si>
    <t>আবহাওয়া ভয়াবহ হবে সমুদ্রে</t>
  </si>
  <si>
    <t>সকল বাচ্চা খেলনা দেখবে</t>
  </si>
  <si>
    <t>কম্পিউটার প্রযুক্তি বৃদ্ধি হবে</t>
  </si>
  <si>
    <t>অসময়ে নতুন বস্ত্র পরবে</t>
  </si>
  <si>
    <t>আপনি চিকেন মমো খাবেন</t>
  </si>
  <si>
    <t>অনলাইন ক্লাসে সুবিধা হবে</t>
  </si>
  <si>
    <t>তুমি নতুন ভাষা শিখবে</t>
  </si>
  <si>
    <t>ছন্দময় নৃত্য পরিবেশন করবে</t>
  </si>
  <si>
    <t>পার্শ্ব অভিনেতার কাজ করবে</t>
  </si>
  <si>
    <t>কাল প্রোজেক্টরে মুভি দেখাবে</t>
  </si>
  <si>
    <t>সকল কর্মকর্তা উপস্থিত থাকবে</t>
  </si>
  <si>
    <t>তুমি একটি পাহাড়ে যাবে</t>
  </si>
  <si>
    <t>কোডটি ফাইলে সংরক্ষণ হবে</t>
  </si>
  <si>
    <t>আর্থিক সমৃদ্ধি হবে দ্রুত</t>
  </si>
  <si>
    <t>তারা নতুন সাংস্কৃতিক জানবে</t>
  </si>
  <si>
    <t>সোসাইটি ডিজিটাল পরিবর্তন হবে</t>
  </si>
  <si>
    <t>কাল বিশ্বকাপের উদ্বোধনী হবে</t>
  </si>
  <si>
    <t>অপরাধ নিয়ন্ত্রণ করতে হবে</t>
  </si>
  <si>
    <t>পৌষ মাসে ফল হবে</t>
  </si>
  <si>
    <t>সমাজে সহানুভূতি বাড়বে আগামীকালে</t>
  </si>
  <si>
    <t>তারা ম্যাচের টিকিট কিনবে</t>
  </si>
  <si>
    <t>শহরে মানববন্ধন হবে আগামীকাল</t>
  </si>
  <si>
    <t>ভবিষ্যতে বিপদ সহায় করবে</t>
  </si>
  <si>
    <t>বিচারপতি ন্যায় বিচার করবেন</t>
  </si>
  <si>
    <t>গবেষণা পরীক্ষণ হবে সতর্কভাবে</t>
  </si>
  <si>
    <t>আমি কোড লিখতে শেখবো</t>
  </si>
  <si>
    <t>তুমি ভবিষ্যতে লেখক হবে</t>
  </si>
  <si>
    <t>তুমি ব্যাংক একাউন্ট খুলবে</t>
  </si>
  <si>
    <t>স্বাস্থ্যকর্মীরা সঠিক চিকিৎসা করবে</t>
  </si>
  <si>
    <t>প্রযুক্তি দৃষ্টিভঙ্গিতে পরিবর্তন আনবে</t>
  </si>
  <si>
    <t>সে দ্বীপে ঘুরতে যাবে</t>
  </si>
  <si>
    <t>তারা ক্যামেরা ব্যবহার করবে</t>
  </si>
  <si>
    <t>তোমরা মহানগরে ঘুরতে যাবে</t>
  </si>
  <si>
    <t>বিশ্ববিদ্যালয়ে শিক্ষা অনুষ্ঠান হবে</t>
  </si>
  <si>
    <t>যাতায়াতে সহায় করবে রোবোট</t>
  </si>
  <si>
    <t>উদ্যোগে বৃদ্ধি হবে প্রকারভিত্তিক</t>
  </si>
  <si>
    <t>কোডিং কৌশল অগ্রসর হবে</t>
  </si>
  <si>
    <t>ডাক্তারের সাথে কথা বলবে</t>
  </si>
  <si>
    <t>বিজ্ঞান প্রযুক্তি উন্নত হবে</t>
  </si>
  <si>
    <t>তুমি অর্থনীতির প্রজেক্টে যাবে</t>
  </si>
  <si>
    <t>সোসাইটি ডিজিটালাইজেশনে অগ্রসর হবে</t>
  </si>
  <si>
    <t>জীবাণুর বিরুদ্ধে প্রস্তুতি হবে</t>
  </si>
  <si>
    <t>বৃষ্টির পর স্নিগ্ধ আবহাওয়া থাকবে</t>
  </si>
  <si>
    <t>বৃষ্টির পর সবাই সস্তুি পাবে</t>
  </si>
  <si>
    <t>বৃষ্টির দিনে রেস্টুরেন্টে বসবো</t>
  </si>
  <si>
    <t>কম্পিউটারে দক্ষ হতে হবে</t>
  </si>
  <si>
    <t>সমুদ্রকে ছেড়ে যাবে বাতাস</t>
  </si>
  <si>
    <t>বইমেলায় কবিদের দেখা পাব</t>
  </si>
  <si>
    <t>সে বাঙালি মিষ্টি খাবে</t>
  </si>
  <si>
    <t>আমি ভ্যাম্পায়ার লিটেরেচার পরবো</t>
  </si>
  <si>
    <t>সরকার অর্থনীতির উন্নয়ন করবে</t>
  </si>
  <si>
    <t>মন্তব্য দ্বারা কাজ করবেন</t>
  </si>
  <si>
    <t>তুমি প্রজেক্টটি ম্যানেজ করবে</t>
  </si>
  <si>
    <t>তুমি হাঁড়িতে খাদ্য রাখবে</t>
  </si>
  <si>
    <t>আমি ফলের জুস বানাব</t>
  </si>
  <si>
    <t>প্রযুক্তিগত বাণিজ্যিক ক্ষমতা পড়বে</t>
  </si>
  <si>
    <t>বিজ্ঞান মেলা অনুষ্ঠিত হবে</t>
  </si>
  <si>
    <t>নতুন পদক্ষেপ হবে সমৃদ্ধিতে</t>
  </si>
  <si>
    <t>হৃদয় দেখবে ভাষার সুর</t>
  </si>
  <si>
    <t>নিয়মিত সার্ভার ডাউন করবে</t>
  </si>
  <si>
    <t>ডেভেলপার সফটওয়্যার টেস্টিং করবে</t>
  </si>
  <si>
    <t>কারখানার নিজস্ব সফটওয়্যার লাগবে</t>
  </si>
  <si>
    <t>বাজারে ক্রয়বিক্রয় বাড়বে ধারাবাহিকভাবে</t>
  </si>
  <si>
    <t>শীতে গরম চা পাব</t>
  </si>
  <si>
    <t>তীরে শান্তিপূর্ণ হবে সমুদ্র</t>
  </si>
  <si>
    <t>গান বাজতে হবে সর্বদা</t>
  </si>
  <si>
    <t>রেস্টুরেন্টে আলোচনা করতে বসব</t>
  </si>
  <si>
    <t>সবাই সকালে হাসপাতালে যাবে</t>
  </si>
  <si>
    <t>পাহাড়ে হাইকিং করতে যাব</t>
  </si>
  <si>
    <t>একটি ফ্রেমওয়ার্ক ব্যবহার করব</t>
  </si>
  <si>
    <t>আমরা রেস্টুরেন্টে খেতে আসব</t>
  </si>
  <si>
    <t>বিশ্ববিদ্যালয় শিক্ষক সম্মিলিত হবে</t>
  </si>
  <si>
    <t>সকল ভাইবোনেরা সাঁতার খেলবে</t>
  </si>
  <si>
    <t>ব্যাংকিং অ্যাপ ব্যবহার করবে</t>
  </si>
  <si>
    <t>একাউন্ট সেবায় বৈশিষ্ট্য থাকবে</t>
  </si>
  <si>
    <t>সবুজ গাছপালায় বরফ পড়বে</t>
  </si>
  <si>
    <t>রোগী হাসপাতালে চিকিৎসা নিবে</t>
  </si>
  <si>
    <t>ক্লাস শেষ করে খাব</t>
  </si>
  <si>
    <t>বৃষ্টির পরে রোদ উঠবে</t>
  </si>
  <si>
    <t>সে নতুুন বিমা করবে</t>
  </si>
  <si>
    <t>স্বল্প সময়ে কাজ করবে রোবট</t>
  </si>
  <si>
    <t>প্রোগ্রামিং শিখা আবশ্যিক হবে</t>
  </si>
  <si>
    <t>তারা পার্কে ঘুরতে থাকবে</t>
  </si>
  <si>
    <t>পাখির মেলায় যাব শনিবারে</t>
  </si>
  <si>
    <t>সুস্বাস্থ্য খাবার খাবে তারা</t>
  </si>
  <si>
    <t>শীতে প্রতি বছর বরফ পড়বে</t>
  </si>
  <si>
    <t>শীতে প্রতিবছর সবজি চাষ করব</t>
  </si>
  <si>
    <t>তুমি চকোলেট ডিজার্ট খাবে</t>
  </si>
  <si>
    <t>সমুদ্র নীলজল দেখতে যাব</t>
  </si>
  <si>
    <t>তার ঋণ শোধ অসম্ভব</t>
  </si>
  <si>
    <t>রোগের পূর্ববর্তী চিকিৎসা আসবে</t>
  </si>
  <si>
    <t>বৃষ্টির জল সংগ্রহ হবে</t>
  </si>
  <si>
    <t>পোকা হবে ফসলের মাঠে</t>
  </si>
  <si>
    <t>সবাই শিখবে সুরে বাজানো</t>
  </si>
  <si>
    <t>সকল খোকা সাঁতার খেলবে</t>
  </si>
  <si>
    <t>আমরা বিকেলে রেস্টুরেন্ট যাব</t>
  </si>
  <si>
    <t>বৃষ্টির দিনে যাব সৈকতে</t>
  </si>
  <si>
    <t>অর্থনৈতিক প্রতিষ্ঠান স্থাপন করবো</t>
  </si>
  <si>
    <t>শীঘ্রই উদ্বোধন হবে ক্যাম্পাসে</t>
  </si>
  <si>
    <t>সে ড্রোন বানানো শিখবে</t>
  </si>
  <si>
    <t>স্বাস্থ্য পরীক্ষা হবে সকালে</t>
  </si>
  <si>
    <t>চিকিৎসক রোগীর চিকিৎসা করবে</t>
  </si>
  <si>
    <t>আমি চিকেন সালাদ খাব</t>
  </si>
  <si>
    <t>বিশেষ খাবার অর্ডার করবো</t>
  </si>
  <si>
    <t>শিশুশিল্পী হিসেবে তাকে নিবে</t>
  </si>
  <si>
    <t>শেখবো সবাই রোমান্টিক লিটেরেচার</t>
  </si>
  <si>
    <t>বিশেষ খাদ্য তৈরি করবে</t>
  </si>
  <si>
    <t>প্রবন্ধ প্রকাশ হবে সহজে</t>
  </si>
  <si>
    <t>কীটনাশক ছড়ানো হবে মাটিতে</t>
  </si>
  <si>
    <t>আমরা নতুন পণ্য আনব</t>
  </si>
  <si>
    <t>পিসিতে সারাদিন গেম খেলবো</t>
  </si>
  <si>
    <t>বাণিজ্যিক উন্নতি হবে দ্রুত</t>
  </si>
  <si>
    <t>আমরা প্রজুক্তি মেলায় যাবো</t>
  </si>
  <si>
    <t>আগাছা উৎপাদন হবে বাগানে</t>
  </si>
  <si>
    <t>অগ্রবর্তী বিজ্ঞান উন্নত হবে</t>
  </si>
  <si>
    <t>একটি এক্সটেনশন ডেভেলপ করবে</t>
  </si>
  <si>
    <t>তুমি উপাধিটি অর্জন করবে</t>
  </si>
  <si>
    <t>তাদের হোম অটোমেশন হবে</t>
  </si>
  <si>
    <t>সকল অফিস আধুনিকায়ন হবে</t>
  </si>
  <si>
    <t>স্ক্রিপ্টিং ভাষা ব্যবহার হবে</t>
  </si>
  <si>
    <t>তিনমাস ধরে গেমিং খেলব</t>
  </si>
  <si>
    <t>বেতন ব্যাংকে ট্র্যান্সফার হবে</t>
  </si>
  <si>
    <t>সেবা প্রদান করবে রোবোট</t>
  </si>
  <si>
    <t>অনুষ্ঠানে সিনেমা দেখানো হবে</t>
  </si>
  <si>
    <t>বাণিজ্যিক বিনিয়োগ বাড়বে অত্যন্ত</t>
  </si>
  <si>
    <t>বই পড়া শেষ হইবে</t>
  </si>
  <si>
    <t>রিসার্চ পেপার প্রকাশ করবে</t>
  </si>
  <si>
    <t>রচনা প্রতিযোগিতায় অংশগ্রহণ করবে</t>
  </si>
  <si>
    <t>উন্নত বাজারের প্রস্তুতি নিবে</t>
  </si>
  <si>
    <t>তথ্য বিশ্লেষণ হবে চমৎকার</t>
  </si>
  <si>
    <t>সে ইউনিভার্সাল রিমোট বানাবে</t>
  </si>
  <si>
    <t>আমি অর্থনীতি সেমিনারে যাবে</t>
  </si>
  <si>
    <t>তথ্য সাংগ্রহ হবে সহজেই</t>
  </si>
  <si>
    <t>আবৃত্তিতে সে প্রথম হবে</t>
  </si>
  <si>
    <t>তুমি বুঝতে চেষ্টা করবে</t>
  </si>
  <si>
    <t>তারা সাইন্টিফিক রিসার্চ করবে</t>
  </si>
  <si>
    <t>বইমেলায় এসে বই কিনবে</t>
  </si>
  <si>
    <t>ওয়েবসাইটের জন্য ডোমেইন লাগবে</t>
  </si>
  <si>
    <t>রাষ্ট্রপতির সঙ্গে আলোচনা হবে</t>
  </si>
  <si>
    <t>বায়োমেট্রিক কার্ড ব্যবহার করবে</t>
  </si>
  <si>
    <t>ডাক্তার আমাকে দেখবে কাল</t>
  </si>
  <si>
    <t>ডাক্তার ঔষধ প্রেসক্রাইব করবে</t>
  </si>
  <si>
    <t>তথ্য প্রকাশ করব পত্রিকায়</t>
  </si>
  <si>
    <t>প্রস্তুতি নেবে অপারেশনের জন্য</t>
  </si>
  <si>
    <t>চিকিৎসা উপাদান তৈরি হবে</t>
  </si>
  <si>
    <t>মেশিন লার্নিং দক্ষতা বাড়বে</t>
  </si>
  <si>
    <t>তুমি ট্রেকিং করতে যাবে</t>
  </si>
  <si>
    <t>কোর্সটি কমপ্লিট করতে হবে</t>
  </si>
  <si>
    <t>গুগল এক্সেলে কাজ করবে</t>
  </si>
  <si>
    <t>বায়োইনফরম্যাটিক্স বিশেষজ্ঞ বাড়ানো হবে</t>
  </si>
  <si>
    <t>তুমি টেস্ট ম্যাচ দেখবে</t>
  </si>
  <si>
    <t>কোভিড ভ্যাকসিন উন্নত হবে</t>
  </si>
  <si>
    <t>তথ্য সংগ্রহ করবে গবেষণা</t>
  </si>
  <si>
    <t>আইটি স্টার্টআপ শুরু করবো</t>
  </si>
  <si>
    <t>আমি আইসক্রিম তৈরি করব</t>
  </si>
  <si>
    <t>উন্নত বাজার আসবে আগামীতে</t>
  </si>
  <si>
    <t>একটি প্রাচীন দরবার দেখবে</t>
  </si>
  <si>
    <t>আমি তোমার সাথে আসিব</t>
  </si>
  <si>
    <t>সফটওয়্যার ইনজিনিয়ারিং কোর্স করবে</t>
  </si>
  <si>
    <t>আমরা ফিস বারবিকিউ করব</t>
  </si>
  <si>
    <t>সে ব্যাংক চেক পাবে</t>
  </si>
  <si>
    <t>গানে গলা মেলবে সবাই</t>
  </si>
  <si>
    <t>স্বাস্থ্য সুরক্ষা দিবে রোবোট</t>
  </si>
  <si>
    <t>মার্কেট কনফারেন্সে অংশ নিবা</t>
  </si>
  <si>
    <t>আমি বিশ্রাম নিব হোটেলে</t>
  </si>
  <si>
    <t>বাজার মূল্য বৃদ্ধি পেয়ে থাকবে</t>
  </si>
  <si>
    <t>চ্যাটজিপিটি দিয়ে সমাধান করবে</t>
  </si>
  <si>
    <t>গরমে বরফে ঘুরে বেড়াব</t>
  </si>
  <si>
    <t>প্রযুক্তি উন্নতি পাবে প্রচুর</t>
  </si>
  <si>
    <t>বিদেশি নিয়োগ বাড়বে আগামীকাল</t>
  </si>
  <si>
    <t>বস্ত্রের মাধ্যমে কষ্ট কমবে</t>
  </si>
  <si>
    <t>ক্লাউড কম্পিউটিং সেবা নিবে</t>
  </si>
  <si>
    <t>আমরা প্রযুক্তির উন্নয়ন করবো</t>
  </si>
  <si>
    <t>নদীর সঙ্গে মিশবে সমুদ্র</t>
  </si>
  <si>
    <t>প্রজেক্ট সম্পন্ন করা হবে</t>
  </si>
  <si>
    <t>আমি ফুল বিক্রি করবো</t>
  </si>
  <si>
    <t>ওয়েবসাইট ডিজাইন সম্পন্ন হইবে</t>
  </si>
  <si>
    <t>সে বাজারে ব্যবসা করবে</t>
  </si>
  <si>
    <t>তুমি চিকেন কাবাব খাবে</t>
  </si>
  <si>
    <t>গবেষণা প্রক্রিয়া হবে তাৎপর্যে</t>
  </si>
  <si>
    <t>তারা আসবে রেস্টুরেন্টে খেতে</t>
  </si>
  <si>
    <t>আমরা প্রকল্প শুরু করব</t>
  </si>
  <si>
    <t>গবেষণার কাজ শুরু করবে</t>
  </si>
  <si>
    <t>তিনি ট্রেকিং করবেন হিমালয়ে</t>
  </si>
  <si>
    <t>নতুন অর্থনেতিক ব্যবস্থা আসবে</t>
  </si>
  <si>
    <t>বিশেষ রেস্টুরেন্ট প্যার্টি হবে</t>
  </si>
  <si>
    <t>আমরা আমের বোরাক বানাব</t>
  </si>
  <si>
    <t>সবুজ শাখা বেড়ে আসবে</t>
  </si>
  <si>
    <t>জাতীয় নিরাপত্তা সংরক্ষণ করবে</t>
  </si>
  <si>
    <t>নিউরোলজিতে নতুন উন্নতি হবে</t>
  </si>
  <si>
    <t>সাইবারসিকিউরিটি গুরুত্বপূর্ণ বিষয় হবে</t>
  </si>
  <si>
    <t>রোগী ভালো হবে শীঘ্রই</t>
  </si>
  <si>
    <t>নিরাপত্তা প্রযুক্তি নিবে অগ্রগতি</t>
  </si>
  <si>
    <t>আমরা নতুন ব্রাঞ্চ খুলব</t>
  </si>
  <si>
    <t>সূর্যাস্তে সমুদ্র রঙিন হবে</t>
  </si>
  <si>
    <t>চিকিৎসক ঔষধ পরিচিত করবে</t>
  </si>
  <si>
    <t>আমি শহরে ঘুরে আসব</t>
  </si>
  <si>
    <t>এই প্রোজেক্ট শীঘ্রই শুরু হবে</t>
  </si>
  <si>
    <t>আমরা ফুটবল খেলতে যাব</t>
  </si>
  <si>
    <t>হসপিটালে হেলথকেয়ার সুবিধা বাড়বে</t>
  </si>
  <si>
    <t>আত্মরক্ষার জন্য সজ্জিত হবে</t>
  </si>
  <si>
    <t>আমরা পার্কে খেলা দেখব</t>
  </si>
  <si>
    <t>কোডব্লক্সে প্রোগামিং শিখতে হবে</t>
  </si>
  <si>
    <t>অ্যাপ্লিকেশন ডেভেলপমেন্ট প্রস্তুতি হবে</t>
  </si>
  <si>
    <t>ফুলদের রং বেড়ে যাবে</t>
  </si>
  <si>
    <t>নতুন রঙ দেখাবে সুর</t>
  </si>
  <si>
    <t>সে ক্যাম্পিং ট্রিপ যাবে</t>
  </si>
  <si>
    <t>বৃষ্টির পরে বাগ সাজাবো</t>
  </si>
  <si>
    <t>আমরা একটি ডিপ্লয়মেন্ট করবো</t>
  </si>
  <si>
    <t>আমরা ল্যাব এক্সপেরিমেন্ট করবো</t>
  </si>
  <si>
    <t>তারা স্কুবা ডাইভিং করবে</t>
  </si>
  <si>
    <t>রেস্টুরেন্টে স্পেশাল ডিজার্ট খাব</t>
  </si>
  <si>
    <t>নতুন পোকা বিকিরণ হবে</t>
  </si>
  <si>
    <t>শিক্ষা বিষয়ক প্রবৃদ্ধি আনবে</t>
  </si>
  <si>
    <t>উদ্যোক্তারা জনপ্রিয় হবে আগামীতে</t>
  </si>
  <si>
    <t>নতুন মার্গিন প্রাপ্ত করব</t>
  </si>
  <si>
    <t>রকেট অনেক ব্যয়বহুল হবে</t>
  </si>
  <si>
    <t>তুমি আগামীকাল বক্সিং করবে</t>
  </si>
  <si>
    <t>বড় সফরে যাব ছুটিতে</t>
  </si>
  <si>
    <t>সমুদ্রে নৌকা প্রবেশ করবে</t>
  </si>
  <si>
    <t>যুদ্ধশক্তি বৃদ্ধি পাবে প্রতিবছর</t>
  </si>
  <si>
    <t>যুদ্ধশক্তি বাড়তে দেয়া যাবেনা</t>
  </si>
  <si>
    <t>গান শুনব আমরা সবাই</t>
  </si>
  <si>
    <t>মাউসে আরো ফিচার আসবে</t>
  </si>
  <si>
    <t>আমরা নতুন প্রকল্প নিব</t>
  </si>
  <si>
    <t>আমি ফল বাগান করব</t>
  </si>
  <si>
    <t>রেস্টুরেন্টে তোমাকে নিয়ে আসব</t>
  </si>
  <si>
    <t>ওয়েবসাইটের কারণে খরচ বাড়বে</t>
  </si>
  <si>
    <t>সে সৈকতে ঘুরতে যাবে</t>
  </si>
  <si>
    <t>রেস্টুরেন্টে আমি খাবো খাবার</t>
  </si>
  <si>
    <t>তুমি অনলাইন কোর্স করবে</t>
  </si>
  <si>
    <t>সংবিধান সম্পর্কে আলোচনা হবে</t>
  </si>
  <si>
    <t>সীমান্তে তীব্রতা বাড়তে থাকবে</t>
  </si>
  <si>
    <t>তথ্য বিশ্লেষণ হবে মেধাসম্পন্নভাবে</t>
  </si>
  <si>
    <t>আমি সিনেমাটিক অভিজ্ঞতা পাবো</t>
  </si>
  <si>
    <t>হৃদরোগ প্রতিরোধ করতে হবে</t>
  </si>
  <si>
    <t>হৃদরোগ প্রতিষেধক কিনতে হবে</t>
  </si>
  <si>
    <t>মেডিক্যাল রিসার্চ প্রস্তুতি হবে</t>
  </si>
  <si>
    <t>মেডিক্যাল রিসার্চের কাজ করব</t>
  </si>
  <si>
    <t>রেস্টুরেন্টে তাদের দেখা হবে</t>
  </si>
  <si>
    <t>আমরা বিতর্ক সমাধান করব</t>
  </si>
  <si>
    <t>উনি কোরআন পড়বেন রাতে</t>
  </si>
  <si>
    <t>তার চেক দরকার হবে</t>
  </si>
  <si>
    <t>সফটওয়্যার ডেভেলপ ভালোভাবে শিখবে</t>
  </si>
  <si>
    <t>নতুন টেকনোলজি অনুসন্ধান করব</t>
  </si>
  <si>
    <t>আমি নতুন বীজ কিনবো</t>
  </si>
  <si>
    <t>বুক ক্লাব শুরু করবো</t>
  </si>
  <si>
    <t>ডিজাইনে নতুন উন্নতি হবে</t>
  </si>
  <si>
    <t>সে বায়োমেট্রিক ব্যবহার করবে</t>
  </si>
  <si>
    <t>ধান কাটা হবে এখন</t>
  </si>
  <si>
    <t>রেস্টুরেন্টে বসবো খাওযার জন্য</t>
  </si>
  <si>
    <t>আগামীকাল নিউ একোনমি শেখবো</t>
  </si>
  <si>
    <t>তুই ইউটিউব চ্যানেল খোলবে</t>
  </si>
  <si>
    <t>রাতে পড়ব প্রস্তুতির জন্য</t>
  </si>
  <si>
    <t>আমি কবিতার ধারণা নিব</t>
  </si>
  <si>
    <t>প্রতিযোগীতার মান বৃদ্ধি করব</t>
  </si>
  <si>
    <t>সাংবিদানিক নীতি প্রচুর হবে</t>
  </si>
  <si>
    <t>মাধ্যমিক বন্ধুবান্ধব অনেক হবে</t>
  </si>
  <si>
    <t>সে মোটরসাইকেল রেসিং দেখবে</t>
  </si>
  <si>
    <t>তিনি শিক্ষক হবেন ক্যাম্পাসে</t>
  </si>
  <si>
    <t>পেপালে টাকা পাঠাবো দ্রুত</t>
  </si>
  <si>
    <t>গেমটি ডেভেলপার ডেভেলপ করবে</t>
  </si>
  <si>
    <t>নতুন পাঠ্যধারা চালু হইবে</t>
  </si>
  <si>
    <t>তারা দল বেঁধে খেলবে</t>
  </si>
  <si>
    <t>মুভিটিি অস্কারে মনোনীত হবে</t>
  </si>
  <si>
    <t>রোবট স্বাস্থ্যের যত্ন নিবে</t>
  </si>
  <si>
    <t>জীবাণুর বিরুদ্ধে প্রতিরোধ বাড়বে</t>
  </si>
  <si>
    <t>পরিস্থিতি বিপর্যয় ঘটাবে রোবোট</t>
  </si>
  <si>
    <t>গুগল হবে সেরা সার্চইঞ্জিন</t>
  </si>
  <si>
    <t>তুমি প্রতিদিন এক্সারসাইস করবে</t>
  </si>
  <si>
    <t>জনগণ সৈন্যের পাশে থাকবে</t>
  </si>
  <si>
    <t>জনগণ বিক্ষুব্ধ মিছিল শুরু করবে</t>
  </si>
  <si>
    <t>অর্থনীতি চলবে উন্নতিশীল দিকে</t>
  </si>
  <si>
    <t>তুমি কোল্ড কফি কিনবে</t>
  </si>
  <si>
    <t>টেস্টিং সফটওয়্যার কোয়ালিটি বাড়াবে</t>
  </si>
  <si>
    <t>ভবিষ্যতে সম্পর্ক গড়বে রোবোট</t>
  </si>
  <si>
    <t>নতুন ভিন্নধরণে বিপণি করব</t>
  </si>
  <si>
    <t>তুমি গতবছরে উচ্চশিক্ষা করবে</t>
  </si>
  <si>
    <t>সে দক্ষ প্রোগ্রামার হবে</t>
  </si>
  <si>
    <t>আমি সাফারি করব জাঙ্গলে</t>
  </si>
  <si>
    <t>রেস্টুরেন্ট সহায়ক হবে রোবোট</t>
  </si>
  <si>
    <t>পাইথনে প্রজেক্ট গুলো বানাবে</t>
  </si>
  <si>
    <t>মুভির গানগুলো জনপ্রিয় হবে</t>
  </si>
  <si>
    <t>খোকা মাঠে খেলতে যাবে</t>
  </si>
  <si>
    <t>শীঘ্রই মানবসেবা করবে রোবোট</t>
  </si>
  <si>
    <t>তিনি ফল কেটে রাখবেন</t>
  </si>
  <si>
    <t>সার্ফিং শিখতে শুরু করবে</t>
  </si>
  <si>
    <t>বাগানে বৃষ্টি হবে পরে</t>
  </si>
  <si>
    <t>তারা নতুন মাঠ বানাবে</t>
  </si>
  <si>
    <t>নতুন ফ্রেমওয়ার্কে কাজ করব</t>
  </si>
  <si>
    <t>কম্পিউটার সফটওয়্যার উন্নত হবে</t>
  </si>
  <si>
    <t>আমি আসবো লেখকের সাথে</t>
  </si>
  <si>
    <t>তুমি নতুন চেকবুক নিবে</t>
  </si>
  <si>
    <t>তারা সেমিনার আয়োজন করবে</t>
  </si>
  <si>
    <t>আমি উত্সবে গান গাইব</t>
  </si>
  <si>
    <t>বইমেলায় বই কিনতে চাইব</t>
  </si>
  <si>
    <t>নতুন বাজারে প্রবেশ করব</t>
  </si>
  <si>
    <t>তুমি ভবিষ্যতে প্রকৌশলিক হবে</t>
  </si>
  <si>
    <t>ব্যাংকে কাল ভিড় থাকবে</t>
  </si>
  <si>
    <t>অটোমেশন সিস্টেম স্থাপনা করব</t>
  </si>
  <si>
    <t>বরফমেঘে ঢাকা হবে আকাশ</t>
  </si>
  <si>
    <t>তাদের খেলার ট্রেনিং হবে</t>
  </si>
  <si>
    <t>সে সমুদ্র বিচে থাকবে</t>
  </si>
  <si>
    <t>সাফারি পার্ক ভ্রমণে যাবো</t>
  </si>
  <si>
    <t>বই আপনাকে বদলে দিবে</t>
  </si>
  <si>
    <t>বইমেলায় আমার প্রকাশনা থাকবে</t>
  </si>
  <si>
    <t>তুমি ম্যাথ ক্লাস নিবে</t>
  </si>
  <si>
    <t>ফল বিকিরণ হবে আগে</t>
  </si>
  <si>
    <t>তাদের অর্থনীতিতে পূর্বাধিকার হবে</t>
  </si>
  <si>
    <t>ওয়ার্কফ্লো অপটিমাইজেশন হবে</t>
  </si>
  <si>
    <t>নতুন পদক্ষেপ হবে গবেষণায়</t>
  </si>
  <si>
    <t>আপনি চকলেট বিস্কুট খাবেন</t>
  </si>
  <si>
    <t>শীতে চারপাশ হবে ঠান্ডা</t>
  </si>
  <si>
    <t>রোগী স্বাস্থ্যকর্মীর সাথে থাকবে</t>
  </si>
  <si>
    <t>অনেক পুষ্প ফুটবে গাছে</t>
  </si>
  <si>
    <t>ইংরেজি গল্প শেখবে তারা</t>
  </si>
  <si>
    <t>নতুন উইন্ডোস রিলিজ হবে</t>
  </si>
  <si>
    <t>শান্তির আশা কমবে পৃথিবীতে</t>
  </si>
  <si>
    <t>শীতে মানুষ কষ্ট পাবে</t>
  </si>
  <si>
    <t>রেস্টুরেন্টে খাবার প্রদর্শন করব</t>
  </si>
  <si>
    <t>এটি নতুন কোর্স হবে</t>
  </si>
  <si>
    <t>আমরা উত্তরণ অনুষ্ঠিত করব</t>
  </si>
  <si>
    <t>বইমেলায় লেখকের সমাবেশ হবে</t>
  </si>
  <si>
    <t>তথ্য মন্তব্য করবে সবাই</t>
  </si>
  <si>
    <t>তুমি ব্যাংকিং টেকনোলজি শিখবে</t>
  </si>
  <si>
    <t>ইংরেজি উপন্যাস পড়তে থাকবো</t>
  </si>
  <si>
    <t>নাগরিকদের অধিকার বাড়াতে হবে</t>
  </si>
  <si>
    <t>জনগণ সহযোগিতা করবে প্রতিরোধে</t>
  </si>
  <si>
    <t>জলময় হয়ে উঠবে সমুদ্রে</t>
  </si>
  <si>
    <t>তারা দীর্ঘকালিন ভ্রমণ করবে</t>
  </si>
  <si>
    <t>উইকিপিডিয়ায় অনেক তথ্য থাকবে</t>
  </si>
  <si>
    <t>শীঘ্রই আসবো খাওয়ার জন্য</t>
  </si>
  <si>
    <t>তারা ট্রেনে বসে যাবেন</t>
  </si>
  <si>
    <t>লিটেরেচার বই পড়বো আমি</t>
  </si>
  <si>
    <t>নতুন করে নিয়োগ করব</t>
  </si>
  <si>
    <t>আমি নতুন ফুল কিনবো</t>
  </si>
  <si>
    <t>গাড়িতে করে ঘুরতে যাব</t>
  </si>
  <si>
    <t>নতুন বিনিয়োগ হবে আগামীকাল</t>
  </si>
  <si>
    <t>বাজেট বাড়বে প্রয়োজনীয় প্রকারে</t>
  </si>
  <si>
    <t>সবাই মিলে মুভি বানাবে</t>
  </si>
  <si>
    <t>আমি ট্যুরগাইডের সাথে থাকব</t>
  </si>
  <si>
    <t>রক্ষার জন্য তৈরি থাকবে</t>
  </si>
  <si>
    <t>রক্ষার জন্য আইনি উদ্যোগ নিব</t>
  </si>
  <si>
    <t>বৃষ্টির পরে ফলন হবে</t>
  </si>
  <si>
    <t>সে চকোলেট তৈরি করবে</t>
  </si>
  <si>
    <t>আমরা ট্রেনে বসে খাব</t>
  </si>
  <si>
    <t>ভিসা কার্ড ব্যাবহার করবে</t>
  </si>
  <si>
    <t>সৈন্য অভিযান চালাবে সীমান্তে</t>
  </si>
  <si>
    <t>তুমি হোটেলে বুকিং করবে</t>
  </si>
  <si>
    <t>আমি নতুন বই পড়বো</t>
  </si>
  <si>
    <t>নতুন প্রযুক্তি আবিষ্কার হবে</t>
  </si>
  <si>
    <t>টিম সবসময়ই কাজ করবে</t>
  </si>
  <si>
    <t>তুমি ভবিষ্যতে গাইড হবে</t>
  </si>
  <si>
    <t>ব্যাকএন্ড ফ্রেমওয়ার্ক ব্যবহার করব</t>
  </si>
  <si>
    <t>শিক্ষা সম্মেলন আয়োজন করব</t>
  </si>
  <si>
    <t>ইংরেজি শায়রি পড়বেন তিনি</t>
  </si>
  <si>
    <t>বরফের দেশ ঘুরতে যাব</t>
  </si>
  <si>
    <t>উপন্যাসে মেজর পড়তে চাইব</t>
  </si>
  <si>
    <t>নতুন বিপণি বিকাশ করব</t>
  </si>
  <si>
    <t>মৌন সমুদ্র দেখতে যাব</t>
  </si>
  <si>
    <t>তুমি একটি উপন্যাস লিখবে</t>
  </si>
  <si>
    <t>মাসিক কিস্তিতে টাকা দিবে</t>
  </si>
  <si>
    <t>আটোমেটেড হোম ব্যবহার করবে</t>
  </si>
  <si>
    <t>রোবোট বিপদ নির্ধারণ করবে</t>
  </si>
  <si>
    <t>সে টাকা ডিপসিট করবে</t>
  </si>
  <si>
    <t>হৃদয়ে বাজবে সুরের ধ্বনি</t>
  </si>
  <si>
    <t>আগামী বছর আউটসোর্সিং বাড়বে</t>
  </si>
  <si>
    <t>বৃষ্টির পরে বাগে থাকবো</t>
  </si>
  <si>
    <t>সে তার সাইভিংস ভাঙ্গবে</t>
  </si>
  <si>
    <t>টুইটার ব্যাবহার করবো না</t>
  </si>
  <si>
    <t>সেনা যুদ্ধের প্রস্তুতি নিতে থাকবে</t>
  </si>
  <si>
    <t>ব্যাংক সেবাটি বন্ধ হবে</t>
  </si>
  <si>
    <t>প্রচন্ড হাওয়ায় ঘূর্ণিঝড় আসবে</t>
  </si>
  <si>
    <t>ব্যাংকিং এপ্লিকেশন ইনস্টল করবে</t>
  </si>
  <si>
    <t>তাকে খলনায়ক চরিত্রে পাবে</t>
  </si>
  <si>
    <t>সৈন্য সত্তার প্রদর্শন করবে</t>
  </si>
  <si>
    <t>বন্ধুরা সাঁতার খেলতে যাবে</t>
  </si>
  <si>
    <t>বৃষ্টির পরে ধূসর হবে</t>
  </si>
  <si>
    <t>অসুরক্ষিত অঞ্চলে রহস্যজনক হবে</t>
  </si>
  <si>
    <t>আমি আগামীকাল বলিং করবো</t>
  </si>
  <si>
    <t>সুস্থ হতে পরীক্ষা লাগবে</t>
  </si>
  <si>
    <t>মাস্টার্স করা হবে পরে</t>
  </si>
  <si>
    <t>হিট হবে নতুন সুর</t>
  </si>
  <si>
    <t>প্রোগ্রামটি এক্সেকিউটেবল তৈরি করবে</t>
  </si>
  <si>
    <t>বৃষ্টি হলে খেলা হবেনা</t>
  </si>
  <si>
    <t>আমি এপ ডেভেলপ করবো</t>
  </si>
  <si>
    <t>প্রতিষ্ঠানে প্রধান হবেন মহিলা</t>
  </si>
  <si>
    <t>তারা বাস্কেটবলের দল বানাবে</t>
  </si>
  <si>
    <t>সফটওয়্যার টেস্টিং শিখানো হবে</t>
  </si>
  <si>
    <t>বৃহত্তর ইংরেজি লিটারেচার পড়ব</t>
  </si>
  <si>
    <t>রোগীর নির্দিষ্ট বিধি থাকবে</t>
  </si>
  <si>
    <t>আলাপন করবে গানে গানে</t>
  </si>
  <si>
    <t>শীতে দেশ হবে ঠান্ডা</t>
  </si>
  <si>
    <t>প্রতিদিন জল দিবে বাগে</t>
  </si>
  <si>
    <t>সে পানি কিনে খাবে</t>
  </si>
  <si>
    <t>রেস্টুরেন্টে বসে সময় কাটাব</t>
  </si>
  <si>
    <t>ডাটা সাইন্সে পাইথন লাগবে</t>
  </si>
  <si>
    <t>প্রবন্ধ তৈরি হবে আদর্শে</t>
  </si>
  <si>
    <t>বায়োহ্যাকিং তত্ত্ব অধ্যয়ন করবে</t>
  </si>
  <si>
    <t>সমুদ্রে সুর্যাস্ত হবে রঙিন</t>
  </si>
  <si>
    <t>বিশেষ ডিজার্ট অর্ডার করবো</t>
  </si>
  <si>
    <t>মূল্যবান প্রকল্পে বিনিয়োগ হবে</t>
  </si>
  <si>
    <t>সীমান্তে অত্যন্ত রাহাজানি বাড়বে</t>
  </si>
  <si>
    <t>কোড বেস ডিজাইন করবে</t>
  </si>
  <si>
    <t>নতুন আইন আসবে সম্প্রতি</t>
  </si>
  <si>
    <t>রাতে রেস্টুরেন্টে খেতে আসব</t>
  </si>
  <si>
    <t>তীরে বসে দেখব সমুদ্র</t>
  </si>
  <si>
    <t>তারা কম্পিউটারে দক্ষ হবে</t>
  </si>
  <si>
    <t>যুদ্ধে থমকে গেলে চলবেনা</t>
  </si>
  <si>
    <t>তারা ব্লকচেইন তত্ত্ব বুঝবে</t>
  </si>
  <si>
    <t>সে স্পোর্টস সু কিনবে</t>
  </si>
  <si>
    <t>বাজার পরিস্থিতি ভালো হবে</t>
  </si>
  <si>
    <t>রিসার্চ তথ্য বিশ্লেষণ করবে</t>
  </si>
  <si>
    <t>আমি আকাশে চাঁদ দেখব</t>
  </si>
  <si>
    <t>জীবনী নিয়ে প্রবন্ধ লিখব</t>
  </si>
  <si>
    <t>তার পাসপোর্ট রিনিউ করবে</t>
  </si>
  <si>
    <t>আমি আগামীকাল ক্রিকেট খেলবো</t>
  </si>
  <si>
    <t>বাণিজ্যিক পরিব্যাপ্ত হবে আগামীতে</t>
  </si>
  <si>
    <t>আধুনিক রোবট সার্জারি করবে</t>
  </si>
  <si>
    <t>সাঁতার প্রশিক্ষণ নিব আমি</t>
  </si>
  <si>
    <t>টেনিস খেলতে পার্টনার লাগবে</t>
  </si>
  <si>
    <t>জুই প্রতিদিন সাঁতার কাটবে</t>
  </si>
  <si>
    <t>তুমি পুকুরে মাছ ধরবে</t>
  </si>
  <si>
    <t>স্ক্রিপটিং সুন্দর করতে হবে</t>
  </si>
  <si>
    <t>আমি নেটওয়ার্ক পরীক্ষা দিব</t>
  </si>
  <si>
    <t>চিকিৎসা উপাদান পরীক্ষণ হবে</t>
  </si>
  <si>
    <t>খাবার টোকেনস পড়বে সবাই</t>
  </si>
  <si>
    <t>তুমি হার্ডওয়্যার প্রোটোটাইপ বানাবে</t>
  </si>
  <si>
    <t>কোড রিভিউয়ে সময় দিব</t>
  </si>
  <si>
    <t>আমি ফুটবল ম্যাচ দেখবো</t>
  </si>
  <si>
    <t>সে বাঙালি দই খাবে</t>
  </si>
  <si>
    <t>বিকাশের প্রযুক্তি অনেক উন্নত হবে</t>
  </si>
  <si>
    <t>উপাদান তৈরি হবে যথাসম্ভাবে</t>
  </si>
  <si>
    <t>তাদের সাথে কম্পাস থাকবে</t>
  </si>
  <si>
    <t>নতুন প্রবন্ধ প্রকাশ হবে</t>
  </si>
  <si>
    <t>লেখক হিসেব পুরস্কৃত হবেন</t>
  </si>
  <si>
    <t>রোগীর প্রতি সহানুভূতি থাকবে</t>
  </si>
  <si>
    <t>জাহাজ সবসময় চলবে সমুদ্রে</t>
  </si>
  <si>
    <t>শস্য বোনা হবে বাগানে</t>
  </si>
  <si>
    <t>আমরা নতুন পাস্তা বানাব</t>
  </si>
  <si>
    <t>অনলাইনে ক্লাস নেওয়া হবে</t>
  </si>
  <si>
    <t>তারা ব্যাংক বিজ্ঞাপন বানাবে</t>
  </si>
  <si>
    <t>তোমার মেনু চেক করবো</t>
  </si>
  <si>
    <t>আত্মনিবৃত্তি ক্রমান্বয়ে বাড়তে থাকবে</t>
  </si>
  <si>
    <t>চিকিৎসক নির্ধারণ করবে চিকিৎসা</t>
  </si>
  <si>
    <t>সে কম্পিউটারে দক্ষ হবে</t>
  </si>
  <si>
    <t>বসবে সবাই গানের আসরে</t>
  </si>
  <si>
    <t>সে বাসার কাজগুলো করবে</t>
  </si>
  <si>
    <t>পোশাকশিল্প অর্থনীতিতে ভূমিকা রাখবে</t>
  </si>
  <si>
    <t>ইংরেজি গল্প লেখতে হবে</t>
  </si>
  <si>
    <t>তারা ক্যাম্পফায়ার তৈরি করবে</t>
  </si>
  <si>
    <t>ট্রেন্ড অনুসরণে সময় কাটাব</t>
  </si>
  <si>
    <t>তিনি বিশ্ববিদ্যালয়ে সাঁতার শেখাবেন</t>
  </si>
  <si>
    <t>সমুদ্রে উত্তাল ঢেউ উঠবে</t>
  </si>
  <si>
    <t>দেশটির আবহাওয়া খারাপ থাকবে</t>
  </si>
  <si>
    <t>বৃষ্টি পড়বে সমুদ্রেতীরে সবসময়</t>
  </si>
  <si>
    <t>রক্ষা করতে প্রস্তুতি নিব</t>
  </si>
  <si>
    <t>রেস্টুরেন্টে তাদের মেনু দেখাবো</t>
  </si>
  <si>
    <t>শীতে গরম চা খাব</t>
  </si>
  <si>
    <t>স্মার্ট বায়োমেট্রিক ইনপুট দিবে</t>
  </si>
  <si>
    <t>নতুন প্রকল্পে নিয়োগ দেব</t>
  </si>
  <si>
    <t>সাইবার ক্রাইম প্রতিরোধ হবে</t>
  </si>
  <si>
    <t>সমৃদ্ধি দেশে হবে শীঘ্রই</t>
  </si>
  <si>
    <t>শিক্ষা ব্যবস্থা সুধারিত হবে</t>
  </si>
  <si>
    <t>ফসলে রোগ হবে সাধারণভাবে</t>
  </si>
  <si>
    <t>আমরা একটি জাদুঘর দেখবো</t>
  </si>
  <si>
    <t>টেসলার স্যাটেলাইট মংগলে যাবে</t>
  </si>
  <si>
    <t>সবাই গান গাইতে বসবে</t>
  </si>
  <si>
    <t>ভিউ ভাইরাস নিয়ন্ত্রণে আসবে</t>
  </si>
  <si>
    <t>শিক্ষক ছাত্রছাত্রীদের পাঠ দিবে</t>
  </si>
  <si>
    <t>রাতের পূর্বেই তাঁবু লাগাবে</t>
  </si>
  <si>
    <t>বন্ধুবান্ধবী মিলবে একই সুরে</t>
  </si>
  <si>
    <t>ব্লকচেইন ব্যবহার কঠিন হবে</t>
  </si>
  <si>
    <t>উন্নত বাজার নীতি বানাবে</t>
  </si>
  <si>
    <t>বাজবে সুর অনেক ভাষায়</t>
  </si>
  <si>
    <t>সাউন্ড বক্সের দাম বাড়বে</t>
  </si>
  <si>
    <t>কাস্টমার সার্ভিস বৃদ্ধি পাবে</t>
  </si>
  <si>
    <t>তোমরা ছুটিতে ফুটবল খেলবে</t>
  </si>
  <si>
    <t>অসময়ে সাহিত্য পড়বে সবাই</t>
  </si>
  <si>
    <t>একটি পার্কে হেটে থাকব</t>
  </si>
  <si>
    <t>শীতে খেতে হবে গরু</t>
  </si>
  <si>
    <t>সাইবার সুরক্ষা উন্নত হবে</t>
  </si>
  <si>
    <t>তিনি দারুচিনি ব্যবহার করবেন</t>
  </si>
  <si>
    <t>উপাদান তৈরি হবে উৎকর্ষতায়</t>
  </si>
  <si>
    <t>সবুজ পাতা জড়াবে শীতে</t>
  </si>
  <si>
    <t>ব্যাংকটি এটিএম সেবা দিবে</t>
  </si>
  <si>
    <t>উন্নত বাণিজ্যিক ক্ষমতা পাবে</t>
  </si>
  <si>
    <t>তুমি ডাটা সাইন্স শিখবে</t>
  </si>
  <si>
    <t>প্রজাতন্ত্র বজায় থাকবে চিরকাল</t>
  </si>
  <si>
    <t>মেলোডি হবে ভাষা আমাদের</t>
  </si>
  <si>
    <t>বৃষ্টিতে বড় হবে গাছ</t>
  </si>
  <si>
    <t>স্কুল থেকে ফুটবল দিবে</t>
  </si>
  <si>
    <t>ভুতের গল্প লেখতে চাইব</t>
  </si>
  <si>
    <t>ফল পোকা আক্রমণ বাড়বে</t>
  </si>
  <si>
    <t>সীমান্তে যুদ্ধ প্রকোপ বাড়বে</t>
  </si>
  <si>
    <t>সকল ভাষার লিটারেচার পড়ব</t>
  </si>
  <si>
    <t>তুমি অর্থনৈতিক নিবন্ধ লেখবা</t>
  </si>
  <si>
    <t>তুমি প্রজেক্টে মনোনিবেশ করবে</t>
  </si>
  <si>
    <t>আমরা রাতে গাড়িতে যাব</t>
  </si>
  <si>
    <t>বই পড়ার নেশা হবে</t>
  </si>
  <si>
    <t>রেস্টুরেন্টে দুজেনর খাওয়া হবে</t>
  </si>
  <si>
    <t>সকালে চিকিৎসক রোগী দেখবেন</t>
  </si>
  <si>
    <t>নতুন বাজার আবিষ্কার করব</t>
  </si>
  <si>
    <t>আমি কোডিং মনযোগী হবো</t>
  </si>
  <si>
    <t>বাজার মূল্য বৃদ্ধি পাবে</t>
  </si>
  <si>
    <t>এই প্রোজেক্ট হবে বড়</t>
  </si>
  <si>
    <t>তারা নিয়মিত প্রোগ্রামিং করবে</t>
  </si>
  <si>
    <t>বাজারে উন্নতি হবে শীঘ্রই</t>
  </si>
  <si>
    <t>এক্সেল ডকুমেন্টস তৈরী করব</t>
  </si>
  <si>
    <t>যুদ্ধ শোকহীন হবেনা কখনোই</t>
  </si>
  <si>
    <t>বিপণি উপাদান বিক্রি করব</t>
  </si>
  <si>
    <t>বোর্ড পরীক্ষা দেওয়া হবে</t>
  </si>
  <si>
    <t>যুদ্ধ পরিস্থিতি সৃষ্টি হবে</t>
  </si>
  <si>
    <t>সাংসদদের মধ্যে বিতর্ক হবে</t>
  </si>
  <si>
    <t>আমি ভবিষ্যতে বিজ্ঞানী হব</t>
  </si>
  <si>
    <t>পরিচালনা হবে যৌথ প্রয়াসে</t>
  </si>
  <si>
    <t>তিনি নদীতে সাঁতার কাটবেন</t>
  </si>
  <si>
    <t>শিক্ষায় নতুন কোর্স আসবে</t>
  </si>
  <si>
    <t>আমি নতুন পুষ্প আনবো</t>
  </si>
  <si>
    <t>তোমরা আসবে বইমেলায় ক্যাম্পাসে</t>
  </si>
  <si>
    <t>তারা ক্যাম্পাসে পড়াশোনা করবে</t>
  </si>
  <si>
    <t>আধুনিক সুরে নাচতে হবে</t>
  </si>
  <si>
    <t>শস্যর উৎপাদন বৃদ্ধি পাবে</t>
  </si>
  <si>
    <t>আমাজনের পণ্য ভালো হবে</t>
  </si>
  <si>
    <t>তাদের উত্তরণ করবে ক্যাম্পাসে</t>
  </si>
  <si>
    <t>আমি নতুন উদ্ভিদ লাগাবো</t>
  </si>
  <si>
    <t>ব্যাংকিং সেবা শুরু করবে</t>
  </si>
  <si>
    <t>নতুন পন্য বাজারে আসবে</t>
  </si>
  <si>
    <t>প্রযুক্তির কল্যাণেই কাজ হবে</t>
  </si>
  <si>
    <t>সমুদ্রে সাদা পাখি উড়বে</t>
  </si>
  <si>
    <t>অর্থনীতি নিয়ে প্রশ্ন করবে</t>
  </si>
  <si>
    <t>প্রযুক্তি নির্ভরশীলতা মুক্ত হবে</t>
  </si>
  <si>
    <t>সরকার বিজ্ঞানে বৃদ্ধি করবে</t>
  </si>
  <si>
    <t>রোবটিক্স প্রযুক্তির বিকাশ হবে</t>
  </si>
  <si>
    <t>মেইন সার্ভারে সমস্যা হবে</t>
  </si>
  <si>
    <t>অর্থনৈতিক পরিস্থিতির রিপোর্ট লেখবো</t>
  </si>
  <si>
    <t>বৈশিষ্ট্য আপগ্রেড হবে গতসপ্তাহে</t>
  </si>
  <si>
    <t>ড্রাইভিং লাইসেন্স পাবে অনলাইনে</t>
  </si>
  <si>
    <t>রেস্টুরেন্টে এসে চা পাবো</t>
  </si>
  <si>
    <t>সে ক্রীড়া প্রতিবেদন লিখবে</t>
  </si>
  <si>
    <t>রোগীদের দেখার জন্য আসবেন</t>
  </si>
  <si>
    <t>হৃদয় পোষণ চিকিৎসা হবে</t>
  </si>
  <si>
    <t>তারা অর্থনীতি পরিচালনা করবে</t>
  </si>
  <si>
    <t>আফিম চাষ হবে তারমধ্যে</t>
  </si>
  <si>
    <t>তিনি বই পড়বেন প্রতিদিন</t>
  </si>
  <si>
    <t>বিভিন্ন রেসিপি প্রয়োগ করবে</t>
  </si>
  <si>
    <t>ওয়েব ডেভেলপমেন্ট জনপ্রিয় হবে</t>
  </si>
  <si>
    <t>নীল জলে নৌকা ভাসবে</t>
  </si>
  <si>
    <t>বাংলা সাহিত্য সমৃদ্ধ হবে</t>
  </si>
  <si>
    <t>সুরে ভাষা বদলে যাবে</t>
  </si>
  <si>
    <t>মেয়েদের দল এগিয়ে থাকবে</t>
  </si>
  <si>
    <t>টেকনোলজিতে অনেক পরিবর্তন হবে</t>
  </si>
  <si>
    <t>বিশ্ববিদ্যালয়ে লিটারেচার পড়তে যাব</t>
  </si>
  <si>
    <t>ইলেকট্রনিকস নিয়ে গবেষণা হবে</t>
  </si>
  <si>
    <t>সে বৃষ্টির জলে নাচবে</t>
  </si>
  <si>
    <t>চিকিৎসার জন্য সহায়তা করবে</t>
  </si>
  <si>
    <t>তারা আজকে ওয়েবসাইট বানাবে</t>
  </si>
  <si>
    <t>সৈন্যদল তীব্র প্রতিশোধ নিবে</t>
  </si>
  <si>
    <t>রোগীর জন্য টেস্ট হবে</t>
  </si>
  <si>
    <t>আমরা নতুন প্রজেক্ট চালাব</t>
  </si>
  <si>
    <t>নতুন ঔষধ পরীক্ষা করবেন</t>
  </si>
  <si>
    <t>সে শিক্ষককে সাহায্য করবে</t>
  </si>
  <si>
    <t>তুমি একটি স্কোলারশিপ পাবে</t>
  </si>
  <si>
    <t>গবেষণা প্রক্রিয়া হবে পর্যাপ্ত</t>
  </si>
  <si>
    <t>সবাই একসাথে গাইতে বসবে</t>
  </si>
  <si>
    <t>নতুন রোগ পরীক্ষণ করবে</t>
  </si>
  <si>
    <t>মানসিক স্থিরতা প্রাপ্ত হবে</t>
  </si>
  <si>
    <t>শীতে বড় হবে ফুল</t>
  </si>
  <si>
    <t>তাদের ক্যাম্পাসে উৎসবে আসবে</t>
  </si>
  <si>
    <t>রোবট শিক্ষার্থীদের সাহায্য করবে</t>
  </si>
  <si>
    <t>এবার শীতে বরফবৃষ্টি হবে</t>
  </si>
  <si>
    <t>ডাক্তার রোগীর প্রেসক্রিপশন লিখবেন</t>
  </si>
  <si>
    <t>তারা বই পড়বে সকালে</t>
  </si>
  <si>
    <t>ইংরেজি বাংলা কবিতা শেখবেন</t>
  </si>
  <si>
    <t>প্রতিরক্ষা তৈরি থাকবে প্রধানত</t>
  </si>
  <si>
    <t>ন্যানো টেকনলোজির ব্যাবহার বাড়বে</t>
  </si>
  <si>
    <t>সবাই রোমান্টিক উপন্যাস পড়বে</t>
  </si>
  <si>
    <t>এখানে বসবে ব্যাচলর পার্টি</t>
  </si>
  <si>
    <t>বিপদে জড়িত হবে জনগণ</t>
  </si>
  <si>
    <t>আপনি বাঙালি খাবার খাবেন</t>
  </si>
  <si>
    <t>বরফে ঢাকা হবে চারপাশ</t>
  </si>
  <si>
    <t>পরিস্থিতি সনাক্ত করবে রোবোট</t>
  </si>
  <si>
    <t>ছাত্রছাত্রীরা পোস্টার প্রদর্শনী করবে</t>
  </si>
  <si>
    <t>অপোজিশন থাকবে আসল ভূমিকায়</t>
  </si>
  <si>
    <t>শীতে চুল শুকিয়ে যাবে</t>
  </si>
  <si>
    <t>নীতিগুলি পুনরায় মূল্যায়ন করবে</t>
  </si>
  <si>
    <t>তারা এপ্লিকেশনটি ডেভেলপ করবে</t>
  </si>
  <si>
    <t>তুমরা চকোলেট মিল্ক খাবে</t>
  </si>
  <si>
    <t>বিশেষজ্ঞ সভায় আলোচনা করবে</t>
  </si>
  <si>
    <t>হাসির গল্প বলতে থাকবে</t>
  </si>
  <si>
    <t>তুমি প্রাচীন রাজবাড়ি দেখবে</t>
  </si>
  <si>
    <t>তিনি থাই ফুড খাবে</t>
  </si>
  <si>
    <t>রেডিওতে ম্যাচের খবর বলবে</t>
  </si>
  <si>
    <t>তুমি ফিশ কাচ্চি খাবে</t>
  </si>
  <si>
    <t>বাগানে পুষ্প আবাদ হবে</t>
  </si>
  <si>
    <t>নতুন নতুন সফটওয়্যার আসবে</t>
  </si>
  <si>
    <t>সামরিক শক্তি বাড়াতে হবে</t>
  </si>
  <si>
    <t>তারা ভূগোল বই পাবে</t>
  </si>
  <si>
    <t>শীতে রোজ গোসল করবে</t>
  </si>
  <si>
    <t>রোবটটি নতুন কোড শিখবে</t>
  </si>
  <si>
    <t>কাল তার চেকবুক লাগবে</t>
  </si>
  <si>
    <t>হ্যারি পটার পড়বেন তারা</t>
  </si>
  <si>
    <t>সে রানিং করতে বলবে</t>
  </si>
  <si>
    <t>সাহিত্যিক আলোচনা করতে যাবো</t>
  </si>
  <si>
    <t>বিশ্বযুদ্ধ দৃষ্টান্ত হয়ে থাকবে</t>
  </si>
  <si>
    <t>অনলাইন ব্যাংকিং সাবধানে করবে</t>
  </si>
  <si>
    <t>নতুন প্রযুক্তি অগ্রগতি করবে</t>
  </si>
  <si>
    <t>বৃদ্ধি পাবে রোবটিক কাজ</t>
  </si>
  <si>
    <t>অসংখ্য কবিতা রচনা করব</t>
  </si>
  <si>
    <t>সাইবার সিকিউরিটি শিখতে হবে</t>
  </si>
  <si>
    <t>টেস্ট হবে আগামী সপ্তাহে</t>
  </si>
  <si>
    <t>সমৃদ্ধি হবে সর্বাত্মক উপায়ে</t>
  </si>
  <si>
    <t>লিনাক্সে অপারেটিং কঠিন হবে</t>
  </si>
  <si>
    <t>নতুন নতুন আইডিয়া আসবে</t>
  </si>
  <si>
    <t>ইংরেজি সাহিত্য পড়ব আমি</t>
  </si>
  <si>
    <t>তাদের ভবিষ্যতে সাংবাদিক হবে</t>
  </si>
  <si>
    <t>সকল শিক্ষার্থীরা সাঁতার কাটবে</t>
  </si>
  <si>
    <t>টিভিতে মুভি দেখানো হবে</t>
  </si>
  <si>
    <t>তীরে মানুষ বিশ্রাম নিবে</t>
  </si>
  <si>
    <t>রাষ্ট্রদূত আইন সম্পাদনা করবেন</t>
  </si>
  <si>
    <t>আমি ফিটনেস ক্লাসে যাবো</t>
  </si>
  <si>
    <t>চারুকারু ক্লাসে উপস্থিত থাকবে</t>
  </si>
  <si>
    <t>তুমি স্টুডেন্ট একাউন্ট খুলবে</t>
  </si>
  <si>
    <t>নতুন গেম ডেভেলপ করবো</t>
  </si>
  <si>
    <t>তীরে বসে থাকব কিছুক্ষণ</t>
  </si>
  <si>
    <t>লাইটারেচার কোর্স করতে হবে</t>
  </si>
  <si>
    <t>ডিজাইন প্যাটার্ন ইমপ্লিমেন্ট করবে</t>
  </si>
  <si>
    <t>আমি অর্থনীতি কনসালটেন্সি দিবো</t>
  </si>
  <si>
    <t>জাভা দিয়ে ওয়েবসাইট বানাবো</t>
  </si>
  <si>
    <t>এআই ভারী কাজ করবে</t>
  </si>
  <si>
    <t>আমরা উদ্বোধনে যাব ক্যাম্পাসে</t>
  </si>
  <si>
    <t>আমরা গাড়িতে ঘুরে বেড়াব</t>
  </si>
  <si>
    <t>ইউনিফর্ম পরা বাধ্যতামূলক হবে</t>
  </si>
  <si>
    <t>শীতে অনেক ফুল ফুটবে</t>
  </si>
  <si>
    <t>রোবোট শিক্ষা দিবে ভবিষ্যতে</t>
  </si>
  <si>
    <t>সে ব্যাংক শাখা খুলবে</t>
  </si>
  <si>
    <t>আমরা সংগীত উৎসবে থাকব</t>
  </si>
  <si>
    <t>নতুন গান বাজাবে কমল</t>
  </si>
  <si>
    <t>আধুনিক প্রস্তুতি চলবে কৃষিতে</t>
  </si>
  <si>
    <t>আমি টেবিল বুক করব</t>
  </si>
  <si>
    <t>ডিজাইন প্যাটার্ন অনুসরণ করব</t>
  </si>
  <si>
    <t>সফটওয়্যার টেস্টিং বাস্তবায়ন হবে</t>
  </si>
  <si>
    <t>বায়োমেট্রিক পরীক্ষণ চালিয়ে যাবে</t>
  </si>
  <si>
    <t>এটি নতুন লাইব্রেরি হবে</t>
  </si>
  <si>
    <t>উন্নত বাজার বিনিময়ে থাকবে</t>
  </si>
  <si>
    <t>ধমকা হাওয়ায় বৃষ্টি পড়বে</t>
  </si>
  <si>
    <t>সব জলপ্রপাতে বরফ জমবে</t>
  </si>
  <si>
    <t>কারখানায় রোবট কাজ করবে</t>
  </si>
  <si>
    <t>বৃষ্টির সুর মন মাতাবে</t>
  </si>
  <si>
    <t>শিক্ষায় বাড়বে প্রযুক্তির ব্যাবহার</t>
  </si>
  <si>
    <t>শিক্ষা উন্ময়ন হবে দ্রুত</t>
  </si>
  <si>
    <t>ট্রেনে বসে শহর দেখব</t>
  </si>
  <si>
    <t>আসল মুনাফা যোগ করবে</t>
  </si>
  <si>
    <t>বইমেলায় অনেক বই পাব</t>
  </si>
  <si>
    <t>শীতকালে পাহাড় ভ্রমণে যাব</t>
  </si>
  <si>
    <t>স্বাস্থ্যকর খাবার অর্ডার হবে</t>
  </si>
  <si>
    <t>সে আইআর ব্যবহার করবে</t>
  </si>
  <si>
    <t>ঠান্ডা বাতাস চলবে অধিক</t>
  </si>
  <si>
    <t>তুমি হট ডগ খাবে</t>
  </si>
  <si>
    <t>ব্যবসা করা সহজ হবে</t>
  </si>
  <si>
    <t>রোগী আবার এসে যাবে</t>
  </si>
  <si>
    <t>তারা নতুন ক্লাসরুমে যাবে</t>
  </si>
  <si>
    <t>গান বাজতে শুরু হবে</t>
  </si>
  <si>
    <t>আমরা দুপুরে সাঁতার কাটব</t>
  </si>
  <si>
    <t>তুমি পিজা অর্ডার করবে</t>
  </si>
  <si>
    <t>বিশ্বব্যাংক তাদের লিস্ট দিবে</t>
  </si>
  <si>
    <t>পরীক্ষা আয়োজন হবে সফলভাবে</t>
  </si>
  <si>
    <t>খাতাগুলো গুছিয়ে ব্যাগে রাখবে</t>
  </si>
  <si>
    <t>প্রোগ্রামিং ভাষার উত্থান হবে</t>
  </si>
  <si>
    <t>ভার্চুয়াল রিয়ালিটি তৈরি করবে</t>
  </si>
  <si>
    <t>নতুন আইডিয়া প্রদান হবে</t>
  </si>
  <si>
    <t>সে একদিন ক্রিকেটার হবে</t>
  </si>
  <si>
    <t>তারা প্রযুক্তির বিষয়ে জানবে</t>
  </si>
  <si>
    <t>ফুলের সংগ্রহ বড় হবে</t>
  </si>
  <si>
    <t>তীরে খাদ্য বিক্রয় হবে</t>
  </si>
  <si>
    <t>কুসুমকাননে শীতল হবে সমুদ্র</t>
  </si>
  <si>
    <t>যুদ্ধ আগামী মাসে চলবে</t>
  </si>
  <si>
    <t>কোড ব্যাকআপ নিতে হবে</t>
  </si>
  <si>
    <t>বক্স অফিসে সফল হবে</t>
  </si>
  <si>
    <t>তুমি আইসক্রিম কম খাবে</t>
  </si>
  <si>
    <t>ফুডপান্ডায় খাবার অর্ডার করবো</t>
  </si>
  <si>
    <t>আমি ওয়াটার স্পোর্টসে যাবো</t>
  </si>
  <si>
    <t>প্রোগ্রামিং ক্যারিয়ার এগিয়ে যাবে</t>
  </si>
  <si>
    <t>ফসলে সহায়ক প্রয়োজন হবে</t>
  </si>
  <si>
    <t>অনেক ধরনের মোবাইল থাকবে</t>
  </si>
  <si>
    <t>স্মার্ট টেকনোলজি ব্যবহার করবে</t>
  </si>
  <si>
    <t>অতীতে পড়তে হবে তাদের</t>
  </si>
  <si>
    <t>সে এটিএম কার্ড নিবে</t>
  </si>
  <si>
    <t>বরফে ঢাকা হবে মহাকাশ</t>
  </si>
  <si>
    <t>তীরে শয়িত হবে সমুদ্রে</t>
  </si>
  <si>
    <t>রোবট সহায়তা করবে গৃহকর্মে</t>
  </si>
  <si>
    <t>আমি প্রযুক্তি শেখতে থাকব</t>
  </si>
  <si>
    <t>অপারেশন সফলভাবে সম্পন্ন হবে</t>
  </si>
  <si>
    <t>চিকিৎসক নতুন পদক্ষেপ নেবে</t>
  </si>
  <si>
    <t>কোডিং টেকনোলজি উত্থান হবে</t>
  </si>
  <si>
    <t>চিকিৎসায় সবাই সুস্থ হবে</t>
  </si>
  <si>
    <t>শিল্প সেক্টর উন্নত হবে</t>
  </si>
  <si>
    <t>ডাটা সাইন্টিস্টের ডিমান্ড হবে</t>
  </si>
  <si>
    <t>সাইবারনেটিক্সে উন্নতি হবে শীঘ্রই</t>
  </si>
  <si>
    <t>তুমি ক্রীড়া সংবাদ পড়বে</t>
  </si>
  <si>
    <t>নতুন নীতি ঘোষণা করবে</t>
  </si>
  <si>
    <t>তাদের অসাধারণ অভিনয় দেখবো</t>
  </si>
  <si>
    <t>ভবিষ্যতে ইংরেজি গল্প লিখব</t>
  </si>
  <si>
    <t>বরফে হাটতে যেতে হবে</t>
  </si>
  <si>
    <t>সহায়করা সবসময় রোগীকে দেখবে</t>
  </si>
  <si>
    <t>বরফে ঢাকা হবে সাগর</t>
  </si>
  <si>
    <t>এই রোগের উপকারে আসবে</t>
  </si>
  <si>
    <t>আমরা টেস্ট কেস লেখব</t>
  </si>
  <si>
    <t>আমি অর্থনৈতিক সাক্ষাৎকার দেখবো</t>
  </si>
  <si>
    <t>ফল উৎপাদন প্রশিক্ষণ হবে</t>
  </si>
  <si>
    <t>জঙ্গলে বিষাক্ত সাপ থাকবে</t>
  </si>
  <si>
    <t>তুমি সব বই পড়বে</t>
  </si>
  <si>
    <t>ক্যান্সারে নতুন চিকিৎসা হবে</t>
  </si>
  <si>
    <t>শীতে গাছ শুকিয়ে যাবে</t>
  </si>
  <si>
    <t>তুমি অবস্থান করবে ক্যাম্পাসে</t>
  </si>
  <si>
    <t>রেস্টুরেন্টে আমরা ক্যাটারিং করবো</t>
  </si>
  <si>
    <t>সে ফুটবল শেকেল খাবে</t>
  </si>
  <si>
    <t>তারা খেলার জার্সি কিনবে</t>
  </si>
  <si>
    <t>যুদ্ধ প্রস্তুতির নিবে সবাই</t>
  </si>
  <si>
    <t>আমি গবেষক হব ভবিষ্যতে</t>
  </si>
  <si>
    <t>ইংরেজি উপন্যাস লেখতে চাইব</t>
  </si>
  <si>
    <t>আমি নতুন গাছ লাগাবো</t>
  </si>
  <si>
    <t>নৈতিকতা বিষয়ে প্রস্তুতি করবে</t>
  </si>
  <si>
    <t>ফসল পরিচর্যা করবে কৃষক</t>
  </si>
  <si>
    <t>রেস্টুরেন্টে খাওয়া ভালো হবেনা</t>
  </si>
  <si>
    <t>তুমি ক্যাম্পাসে চলবে একলা</t>
  </si>
  <si>
    <t>সিকিউরিটি টুল ব্যবহার করব</t>
  </si>
  <si>
    <t>বিমানের টিকিট অনলাইনে কাটবে</t>
  </si>
  <si>
    <t>মুভির গল্পকাহিনি সবাইকে কাঁদাবে</t>
  </si>
  <si>
    <t>আপনার ভোটে বদলাবে সরকার</t>
  </si>
  <si>
    <t>শস্যে রোগ প্রতিরোধ হবে</t>
  </si>
  <si>
    <t>পরীক্ষা আয়োজন হবে অভ্যন্তরীণে</t>
  </si>
  <si>
    <t>স্পেশাল খাদ্য তৈরি করবো</t>
  </si>
  <si>
    <t>প্রোগ্রামে ভুল সংশোধন করব</t>
  </si>
  <si>
    <t>প্রসারে স্বাভাবিক হবে বাজার</t>
  </si>
  <si>
    <t>মুখে আসবে সুরের গল্প</t>
  </si>
  <si>
    <t>মুভির শুটিং শুরু হবে</t>
  </si>
  <si>
    <t>আমরা প্রতিযোগীতার আয়োজন করব</t>
  </si>
  <si>
    <t>আমি একটি দরবার ঘুরব</t>
  </si>
  <si>
    <t>সকাল থেকে প্রযুক্তি শিখবে</t>
  </si>
  <si>
    <t>বীজ বপন করবে চাষী</t>
  </si>
  <si>
    <t>তুমরা ফলের জুস পাবে</t>
  </si>
  <si>
    <t>তারা প্রাচীন শহর দেখবে</t>
  </si>
  <si>
    <t>আমি কোড রিভিউ করবো</t>
  </si>
  <si>
    <t>টেকনোলজি ব্যবহার করব শিক্ষায়</t>
  </si>
  <si>
    <t>চিকিৎসায় হেলথকেয়ার সুবিধা বাড়বে</t>
  </si>
  <si>
    <t>জলপ্রপাতে বরফ ঘেরা পড়বে</t>
  </si>
  <si>
    <t>বাগানে ফল উৎপাদন হবে</t>
  </si>
  <si>
    <t>সে নতুন বিদ্যালয়ে যাবে</t>
  </si>
  <si>
    <t>বাংলাদেশের ক্রিকেট ম্যাচ চলতে থাকবে এখন</t>
  </si>
  <si>
    <t>সে তাজমহল ভ্রমণ করতে চলবে</t>
  </si>
  <si>
    <t>শিক্ষা আমাদের চরিত্র গঠন করবে</t>
  </si>
  <si>
    <t>আমি নতুন ইন্টারনেট ব্যবহার করে থাকব</t>
  </si>
  <si>
    <t>আমি নতুন ইন্টারনেট সংযোগ নিব</t>
  </si>
  <si>
    <t>সময়ের মধ্যে সরকার গঠন করব</t>
  </si>
  <si>
    <t>সরকার বার্ষিক উৎপাদনে উন্নতি চাইতে থাকবে</t>
  </si>
  <si>
    <t>সাহায্যের মাধ্যমে আগ্রহ প্রদর্শন করাবে</t>
  </si>
  <si>
    <t>এই ব্যাংকে বিভিন্ন প্সার্ভিস পেতে থাকবো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</si>
</sst>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1"/>
      <color rgb="FF000000"/>
      <name val="Calibri"/>
    </font>
    <font>
      <sz val="10"/>
      <color theme="1"/>
      <name val="Arial"/>
      <scheme val="minor"/>
    </font>
    <font>
      <sz val="11"/>
      <color rgb="FF000000"/>
      <name val="Calibri"/>
    </font>
    <font>
      <sz val="11"/>
      <color theme="1"/>
      <name val="Calibri"/>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2" fillId="0" borderId="0" xfId="0" applyFont="1"/>
    <xf numFmtId="0" fontId="3" fillId="0" borderId="0" xfId="0" applyFont="1"/>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3501"/>
  <sheetViews>
    <sheetView tabSelected="1" workbookViewId="0"/>
  </sheetViews>
  <sheetFormatPr defaultColWidth="12.5703125" defaultRowHeight="15.75" customHeight="1" x14ac:dyDescent="0.2"/>
  <cols>
    <col min="1" max="1" width="97.140625" customWidth="1"/>
    <col min="3" max="3" width="55.5703125" customWidth="1"/>
  </cols>
  <sheetData>
    <row r="1" spans="1:3" ht="15" x14ac:dyDescent="0.25">
      <c r="A1" s="1" t="s">
        <v>0</v>
      </c>
      <c r="B1" s="1" t="s">
        <v>1</v>
      </c>
      <c r="C1" s="2" t="s">
        <v>2</v>
      </c>
    </row>
    <row r="2" spans="1:3" ht="15" x14ac:dyDescent="0.25">
      <c r="A2" s="3" t="s">
        <v>3</v>
      </c>
      <c r="B2" s="3" t="s">
        <v>4</v>
      </c>
      <c r="C2" s="2" t="str">
        <f ca="1">IFERROR(__xludf.DUMMYFUNCTION("GOOGLETRANSLATE(A2,""bn"",""en"")"),"Poverty is not a disgrace but it is terribly inconvenient")</f>
        <v>Poverty is not a disgrace but it is terribly inconvenient</v>
      </c>
    </row>
    <row r="3" spans="1:3" ht="15" x14ac:dyDescent="0.25">
      <c r="A3" s="3" t="s">
        <v>5</v>
      </c>
      <c r="B3" s="3" t="s">
        <v>4</v>
      </c>
      <c r="C3" s="2" t="str">
        <f ca="1">IFERROR(__xludf.DUMMYFUNCTION("GOOGLETRANSLATE(A3,""bn"",""en"")"),"A small grudge may one day create a big distance")</f>
        <v>A small grudge may one day create a big distance</v>
      </c>
    </row>
    <row r="4" spans="1:3" ht="15" x14ac:dyDescent="0.25">
      <c r="A4" s="3" t="s">
        <v>6</v>
      </c>
      <c r="B4" s="3" t="s">
        <v>4</v>
      </c>
      <c r="C4" s="2" t="str">
        <f ca="1">IFERROR(__xludf.DUMMYFUNCTION("GOOGLETRANSLATE(A4,""bn"",""en"")"),"It's like I'm actually connected with Smriti's brother")</f>
        <v>It's like I'm actually connected with Smriti's brother</v>
      </c>
    </row>
    <row r="5" spans="1:3" ht="15" x14ac:dyDescent="0.25">
      <c r="A5" s="3" t="s">
        <v>7</v>
      </c>
      <c r="B5" s="3" t="s">
        <v>4</v>
      </c>
      <c r="C5" s="2" t="str">
        <f ca="1">IFERROR(__xludf.DUMMYFUNCTION("GOOGLETRANSLATE(A5,""bn"",""en"")"),"For lack of family, I travel alone, helpless and ruined in the expedition")</f>
        <v>For lack of family, I travel alone, helpless and ruined in the expedition</v>
      </c>
    </row>
    <row r="6" spans="1:3" ht="15" x14ac:dyDescent="0.25">
      <c r="A6" s="3" t="s">
        <v>8</v>
      </c>
      <c r="B6" s="3" t="s">
        <v>4</v>
      </c>
      <c r="C6" s="2" t="str">
        <f ca="1">IFERROR(__xludf.DUMMYFUNCTION("GOOGLETRANSLATE(A6,""bn"",""en"")"),"I have been very busy with studies and work, but sometimes I wish I could drop everything and run to my mother. I miss home a lot lately.")</f>
        <v>I have been very busy with studies and work, but sometimes I wish I could drop everything and run to my mother. I miss home a lot lately.</v>
      </c>
    </row>
    <row r="7" spans="1:3" ht="15" x14ac:dyDescent="0.25">
      <c r="A7" s="3" t="s">
        <v>9</v>
      </c>
      <c r="B7" s="3" t="s">
        <v>4</v>
      </c>
      <c r="C7" s="2" t="str">
        <f ca="1">IFERROR(__xludf.DUMMYFUNCTION("GOOGLETRANSLATE(A7,""bn"",""en"")"),"Poisonous eyes are looking at the culture of Bengal")</f>
        <v>Poisonous eyes are looking at the culture of Bengal</v>
      </c>
    </row>
    <row r="8" spans="1:3" ht="15" x14ac:dyDescent="0.25">
      <c r="A8" s="3" t="s">
        <v>10</v>
      </c>
      <c r="B8" s="3" t="s">
        <v>4</v>
      </c>
      <c r="C8" s="2" t="str">
        <f ca="1">IFERROR(__xludf.DUMMYFUNCTION("GOOGLETRANSLATE(A8,""bn"",""en"")"),"Not all wishes are fulfilled and some imperfections have to be lived with")</f>
        <v>Not all wishes are fulfilled and some imperfections have to be lived with</v>
      </c>
    </row>
    <row r="9" spans="1:3" ht="15" x14ac:dyDescent="0.25">
      <c r="A9" s="3" t="s">
        <v>11</v>
      </c>
      <c r="B9" s="3" t="s">
        <v>4</v>
      </c>
      <c r="C9" s="2" t="str">
        <f ca="1">IFERROR(__xludf.DUMMYFUNCTION("GOOGLETRANSLATE(A9,""bn"",""en"")"),"Poverty is the worst form of violence")</f>
        <v>Poverty is the worst form of violence</v>
      </c>
    </row>
    <row r="10" spans="1:3" ht="15" x14ac:dyDescent="0.25">
      <c r="A10" s="3" t="s">
        <v>12</v>
      </c>
      <c r="B10" s="3" t="s">
        <v>4</v>
      </c>
      <c r="C10" s="2" t="str">
        <f ca="1">IFERROR(__xludf.DUMMYFUNCTION("GOOGLETRANSLATE(A10,""bn"",""en"")"),"When it comes to spending time on entertainment, there are bigger mistakes to be made")</f>
        <v>When it comes to spending time on entertainment, there are bigger mistakes to be made</v>
      </c>
    </row>
    <row r="11" spans="1:3" ht="15" x14ac:dyDescent="0.25">
      <c r="A11" s="3" t="s">
        <v>13</v>
      </c>
      <c r="B11" s="3" t="s">
        <v>4</v>
      </c>
      <c r="C11" s="2" t="str">
        <f ca="1">IFERROR(__xludf.DUMMYFUNCTION("GOOGLETRANSLATE(A11,""bn"",""en"")"),"It is better to remove the person from your life who makes you cry so many times than to wipe your tears again and again")</f>
        <v>It is better to remove the person from your life who makes you cry so many times than to wipe your tears again and again</v>
      </c>
    </row>
    <row r="12" spans="1:3" ht="15" x14ac:dyDescent="0.25">
      <c r="A12" s="3" t="s">
        <v>14</v>
      </c>
      <c r="B12" s="3" t="s">
        <v>4</v>
      </c>
      <c r="C12" s="2" t="str">
        <f ca="1">IFERROR(__xludf.DUMMYFUNCTION("GOOGLETRANSLATE(A12,""bn"",""en"")"),"Those who laugh the most in the daylight cry the most in the night")</f>
        <v>Those who laugh the most in the daylight cry the most in the night</v>
      </c>
    </row>
    <row r="13" spans="1:3" ht="15" x14ac:dyDescent="0.25">
      <c r="A13" s="3" t="s">
        <v>15</v>
      </c>
      <c r="B13" s="3" t="s">
        <v>4</v>
      </c>
      <c r="C13" s="2" t="str">
        <f ca="1">IFERROR(__xludf.DUMMYFUNCTION("GOOGLETRANSLATE(A13,""bn"",""en"")"),"When life gives you a cold, cool it down")</f>
        <v>When life gives you a cold, cool it down</v>
      </c>
    </row>
    <row r="14" spans="1:3" ht="15" x14ac:dyDescent="0.25">
      <c r="A14" s="3" t="s">
        <v>16</v>
      </c>
      <c r="B14" s="3" t="s">
        <v>4</v>
      </c>
      <c r="C14" s="2" t="str">
        <f ca="1">IFERROR(__xludf.DUMMYFUNCTION("GOOGLETRANSLATE(A14,""bn"",""en"")"),"Faith and breath are so precious that once lost they never come back")</f>
        <v>Faith and breath are so precious that once lost they never come back</v>
      </c>
    </row>
    <row r="15" spans="1:3" ht="15" x14ac:dyDescent="0.25">
      <c r="A15" s="3" t="s">
        <v>17</v>
      </c>
      <c r="B15" s="3" t="s">
        <v>4</v>
      </c>
      <c r="C15" s="2" t="str">
        <f ca="1">IFERROR(__xludf.DUMMYFUNCTION("GOOGLETRANSLATE(A15,""bn"",""en"")"),"Today's generation kids are busy with mobile only")</f>
        <v>Today's generation kids are busy with mobile only</v>
      </c>
    </row>
    <row r="16" spans="1:3" ht="15" x14ac:dyDescent="0.25">
      <c r="A16" s="3" t="s">
        <v>18</v>
      </c>
      <c r="B16" s="3" t="s">
        <v>4</v>
      </c>
      <c r="C16" s="2" t="str">
        <f ca="1">IFERROR(__xludf.DUMMYFUNCTION("GOOGLETRANSLATE(A16,""bn"",""en"")"),"If a relationship for a long time creates bad instability in the mind, then it should be understood that the person in that relationship is not adequate")</f>
        <v>If a relationship for a long time creates bad instability in the mind, then it should be understood that the person in that relationship is not adequate</v>
      </c>
    </row>
    <row r="17" spans="1:3" ht="15" x14ac:dyDescent="0.25">
      <c r="A17" s="3" t="s">
        <v>19</v>
      </c>
      <c r="B17" s="3" t="s">
        <v>4</v>
      </c>
      <c r="C17" s="2" t="str">
        <f ca="1">IFERROR(__xludf.DUMMYFUNCTION("GOOGLETRANSLATE(A17,""bn"",""en"")"),"Love does not change, people change")</f>
        <v>Love does not change, people change</v>
      </c>
    </row>
    <row r="18" spans="1:3" ht="15" x14ac:dyDescent="0.25">
      <c r="A18" s="3" t="s">
        <v>20</v>
      </c>
      <c r="B18" s="3" t="s">
        <v>4</v>
      </c>
      <c r="C18" s="2" t="str">
        <f ca="1">IFERROR(__xludf.DUMMYFUNCTION("GOOGLETRANSLATE(A18,""bn"",""en"")"),"Loneliness has become my companion, only a storm of turmoil in my mind")</f>
        <v>Loneliness has become my companion, only a storm of turmoil in my mind</v>
      </c>
    </row>
    <row r="19" spans="1:3" ht="15" x14ac:dyDescent="0.25">
      <c r="A19" s="3" t="s">
        <v>21</v>
      </c>
      <c r="B19" s="3" t="s">
        <v>4</v>
      </c>
      <c r="C19" s="2" t="str">
        <f ca="1">IFERROR(__xludf.DUMMYFUNCTION("GOOGLETRANSLATE(A19,""bn"",""en"")"),"Now I can't bring myself to catch all the beautiful moments of the movie")</f>
        <v>Now I can't bring myself to catch all the beautiful moments of the movie</v>
      </c>
    </row>
    <row r="20" spans="1:3" ht="15" x14ac:dyDescent="0.25">
      <c r="A20" s="3" t="s">
        <v>22</v>
      </c>
      <c r="B20" s="3" t="s">
        <v>4</v>
      </c>
      <c r="C20" s="2" t="str">
        <f ca="1">IFERROR(__xludf.DUMMYFUNCTION("GOOGLETRANSLATE(A20,""bn"",""en"")"),"Eating a spoonful of sugar reduces the medicine")</f>
        <v>Eating a spoonful of sugar reduces the medicine</v>
      </c>
    </row>
    <row r="21" spans="1:3" ht="15" x14ac:dyDescent="0.25">
      <c r="A21" s="3" t="s">
        <v>23</v>
      </c>
      <c r="B21" s="3" t="s">
        <v>4</v>
      </c>
      <c r="C21" s="2" t="str">
        <f ca="1">IFERROR(__xludf.DUMMYFUNCTION("GOOGLETRANSLATE(A21,""bn"",""en"")"),"Success means overcoming one failure after another without losing your motivation")</f>
        <v>Success means overcoming one failure after another without losing your motivation</v>
      </c>
    </row>
    <row r="22" spans="1:3" ht="15" x14ac:dyDescent="0.25">
      <c r="A22" s="3" t="s">
        <v>24</v>
      </c>
      <c r="B22" s="3" t="s">
        <v>4</v>
      </c>
      <c r="C22" s="2" t="str">
        <f ca="1">IFERROR(__xludf.DUMMYFUNCTION("GOOGLETRANSLATE(A22,""bn"",""en"")"),"My life is in darkness due to lack of family")</f>
        <v>My life is in darkness due to lack of family</v>
      </c>
    </row>
    <row r="23" spans="1:3" ht="15" x14ac:dyDescent="0.25">
      <c r="A23" s="3" t="s">
        <v>25</v>
      </c>
      <c r="B23" s="3" t="s">
        <v>4</v>
      </c>
      <c r="C23" s="2" t="str">
        <f ca="1">IFERROR(__xludf.DUMMYFUNCTION("GOOGLETRANSLATE(A23,""bn"",""en"")"),"How many people travel constantly in life, each person leaves with different memories")</f>
        <v>How many people travel constantly in life, each person leaves with different memories</v>
      </c>
    </row>
    <row r="24" spans="1:3" ht="15" x14ac:dyDescent="0.25">
      <c r="A24" s="3" t="s">
        <v>26</v>
      </c>
      <c r="B24" s="3" t="s">
        <v>4</v>
      </c>
      <c r="C24" s="2" t="str">
        <f ca="1">IFERROR(__xludf.DUMMYFUNCTION("GOOGLETRANSLATE(A24,""bn"",""en"")"),"Nations fight to change maps but poverty wars fight to change maps")</f>
        <v>Nations fight to change maps but poverty wars fight to change maps</v>
      </c>
    </row>
    <row r="25" spans="1:3" ht="15" x14ac:dyDescent="0.25">
      <c r="A25" s="3" t="s">
        <v>27</v>
      </c>
      <c r="B25" s="3" t="s">
        <v>4</v>
      </c>
      <c r="C25" s="2" t="str">
        <f ca="1">IFERROR(__xludf.DUMMYFUNCTION("GOOGLETRANSLATE(A25,""bn"",""en"")"),"It is wrong to refuse to face the truth")</f>
        <v>It is wrong to refuse to face the truth</v>
      </c>
    </row>
    <row r="26" spans="1:3" ht="15" x14ac:dyDescent="0.25">
      <c r="A26" s="3" t="s">
        <v>28</v>
      </c>
      <c r="B26" s="3" t="s">
        <v>4</v>
      </c>
      <c r="C26" s="2" t="str">
        <f ca="1">IFERROR(__xludf.DUMMYFUNCTION("GOOGLETRANSLATE(A26,""bn"",""en"")"),"There is a distinct feeling of loneliness with no hope of anyone coming back and no fear of leaving")</f>
        <v>There is a distinct feeling of loneliness with no hope of anyone coming back and no fear of leaving</v>
      </c>
    </row>
    <row r="27" spans="1:3" ht="15" x14ac:dyDescent="0.25">
      <c r="A27" s="3" t="s">
        <v>29</v>
      </c>
      <c r="B27" s="3" t="s">
        <v>4</v>
      </c>
      <c r="C27" s="2" t="str">
        <f ca="1">IFERROR(__xludf.DUMMYFUNCTION("GOOGLETRANSLATE(A27,""bn"",""en"")"),"Sleep is a wonderful thing, if it comes, it forgets everything and if it doesn't, it reminds everything")</f>
        <v>Sleep is a wonderful thing, if it comes, it forgets everything and if it doesn't, it reminds everything</v>
      </c>
    </row>
    <row r="28" spans="1:3" ht="15" x14ac:dyDescent="0.25">
      <c r="A28" s="3" t="s">
        <v>30</v>
      </c>
      <c r="B28" s="3" t="s">
        <v>4</v>
      </c>
      <c r="C28" s="2" t="str">
        <f ca="1">IFERROR(__xludf.DUMMYFUNCTION("GOOGLETRANSLATE(A28,""bn"",""en"")"),"Spotify Music Player was similar to YouTube Music Player")</f>
        <v>Spotify Music Player was similar to YouTube Music Player</v>
      </c>
    </row>
    <row r="29" spans="1:3" ht="15" x14ac:dyDescent="0.25">
      <c r="A29" s="3" t="s">
        <v>31</v>
      </c>
      <c r="B29" s="3" t="s">
        <v>4</v>
      </c>
      <c r="C29" s="2" t="str">
        <f ca="1">IFERROR(__xludf.DUMMYFUNCTION("GOOGLETRANSLATE(A29,""bn"",""en"")"),"Time is lost in my hands I can never take time for myself")</f>
        <v>Time is lost in my hands I can never take time for myself</v>
      </c>
    </row>
    <row r="30" spans="1:3" ht="15" x14ac:dyDescent="0.25">
      <c r="A30" s="3" t="s">
        <v>32</v>
      </c>
      <c r="B30" s="3" t="s">
        <v>4</v>
      </c>
      <c r="C30" s="2" t="str">
        <f ca="1">IFERROR(__xludf.DUMMYFUNCTION("GOOGLETRANSLATE(A30,""bn"",""en"")"),"Even though I tried, I couldn't do well in a quiz. I feel very disappointed. I feel like I failed")</f>
        <v>Even though I tried, I couldn't do well in a quiz. I feel very disappointed. I feel like I failed</v>
      </c>
    </row>
    <row r="31" spans="1:3" ht="15" x14ac:dyDescent="0.25">
      <c r="A31" s="3" t="s">
        <v>33</v>
      </c>
      <c r="B31" s="3" t="s">
        <v>4</v>
      </c>
      <c r="C31" s="2" t="str">
        <f ca="1">IFERROR(__xludf.DUMMYFUNCTION("GOOGLETRANSLATE(A31,""bn"",""en"")"),"Very worried about career uncertainty and professional problems")</f>
        <v>Very worried about career uncertainty and professional problems</v>
      </c>
    </row>
    <row r="32" spans="1:3" ht="15" x14ac:dyDescent="0.25">
      <c r="A32" s="3" t="s">
        <v>34</v>
      </c>
      <c r="B32" s="3" t="s">
        <v>4</v>
      </c>
      <c r="C32" s="2" t="str">
        <f ca="1">IFERROR(__xludf.DUMMYFUNCTION("GOOGLETRANSLATE(A32,""bn"",""en"")"),"Economic problems protesting over time only depress hearts like Hemanta")</f>
        <v>Economic problems protesting over time only depress hearts like Hemanta</v>
      </c>
    </row>
    <row r="33" spans="1:3" ht="15" x14ac:dyDescent="0.25">
      <c r="A33" s="3" t="s">
        <v>35</v>
      </c>
      <c r="B33" s="3" t="s">
        <v>4</v>
      </c>
      <c r="C33" s="2" t="str">
        <f ca="1">IFERROR(__xludf.DUMMYFUNCTION("GOOGLETRANSLATE(A33,""bn"",""en"")"),"If love brings the best feeling in the world")</f>
        <v>If love brings the best feeling in the world</v>
      </c>
    </row>
    <row r="34" spans="1:3" ht="15" x14ac:dyDescent="0.25">
      <c r="A34" s="3" t="s">
        <v>36</v>
      </c>
      <c r="B34" s="3" t="s">
        <v>4</v>
      </c>
      <c r="C34" s="2" t="str">
        <f ca="1">IFERROR(__xludf.DUMMYFUNCTION("GOOGLETRANSLATE(A34,""bn"",""en"")"),"Fear of regret is greater than failure")</f>
        <v>Fear of regret is greater than failure</v>
      </c>
    </row>
    <row r="35" spans="1:3" ht="15" x14ac:dyDescent="0.25">
      <c r="A35" s="3" t="s">
        <v>37</v>
      </c>
      <c r="B35" s="3" t="s">
        <v>4</v>
      </c>
      <c r="C35" s="2" t="str">
        <f ca="1">IFERROR(__xludf.DUMMYFUNCTION("GOOGLETRANSLATE(A35,""bn"",""en"")"),"A good relationship, a good idea, a good book – these three things can change a person's life")</f>
        <v>A good relationship, a good idea, a good book – these three things can change a person's life</v>
      </c>
    </row>
    <row r="36" spans="1:3" ht="15" x14ac:dyDescent="0.25">
      <c r="A36" s="3" t="s">
        <v>38</v>
      </c>
      <c r="B36" s="3" t="s">
        <v>4</v>
      </c>
      <c r="C36" s="2" t="str">
        <f ca="1">IFERROR(__xludf.DUMMYFUNCTION("GOOGLETRANSLATE(A36,""bn"",""en"")"),"I have realized in every step of life that no one is for anyone but late I realized that I have to walk alone")</f>
        <v>I have realized in every step of life that no one is for anyone but late I realized that I have to walk alone</v>
      </c>
    </row>
    <row r="37" spans="1:3" ht="15" x14ac:dyDescent="0.25">
      <c r="A37" s="3" t="s">
        <v>39</v>
      </c>
      <c r="B37" s="3" t="s">
        <v>4</v>
      </c>
      <c r="C37" s="2" t="str">
        <f ca="1">IFERROR(__xludf.DUMMYFUNCTION("GOOGLETRANSLATE(A37,""bn"",""en"")"),"Our worst enemy is ignorance poverty and the unconscious cruelty of our commercial society")</f>
        <v>Our worst enemy is ignorance poverty and the unconscious cruelty of our commercial society</v>
      </c>
    </row>
    <row r="38" spans="1:3" ht="15" x14ac:dyDescent="0.25">
      <c r="A38" s="3" t="s">
        <v>40</v>
      </c>
      <c r="B38" s="3" t="s">
        <v>4</v>
      </c>
      <c r="C38" s="2" t="str">
        <f ca="1">IFERROR(__xludf.DUMMYFUNCTION("GOOGLETRANSLATE(A38,""bn"",""en"")"),"Happiness is felt because there is sorrow")</f>
        <v>Happiness is felt because there is sorrow</v>
      </c>
    </row>
    <row r="39" spans="1:3" ht="15" x14ac:dyDescent="0.25">
      <c r="A39" s="3" t="s">
        <v>41</v>
      </c>
      <c r="B39" s="3" t="s">
        <v>4</v>
      </c>
      <c r="C39" s="2" t="str">
        <f ca="1">IFERROR(__xludf.DUMMYFUNCTION("GOOGLETRANSLATE(A39,""bn"",""en"")"),"He who does not know my mind does not need to know my life")</f>
        <v>He who does not know my mind does not need to know my life</v>
      </c>
    </row>
    <row r="40" spans="1:3" ht="15" x14ac:dyDescent="0.25">
      <c r="A40" s="3" t="s">
        <v>42</v>
      </c>
      <c r="B40" s="3" t="s">
        <v>4</v>
      </c>
      <c r="C40" s="2" t="str">
        <f ca="1">IFERROR(__xludf.DUMMYFUNCTION("GOOGLETRANSLATE(A40,""bn"",""en"")"),"A love relationship turns into a nameless relationship one day")</f>
        <v>A love relationship turns into a nameless relationship one day</v>
      </c>
    </row>
    <row r="41" spans="1:3" ht="15" x14ac:dyDescent="0.25">
      <c r="A41" s="3" t="s">
        <v>43</v>
      </c>
      <c r="B41" s="3" t="s">
        <v>4</v>
      </c>
      <c r="C41" s="2" t="str">
        <f ca="1">IFERROR(__xludf.DUMMYFUNCTION("GOOGLETRANSLATE(A41,""bn"",""en"")"),"Conflict between good and bad hinders future progress")</f>
        <v>Conflict between good and bad hinders future progress</v>
      </c>
    </row>
    <row r="42" spans="1:3" ht="15" x14ac:dyDescent="0.25">
      <c r="A42" s="3" t="s">
        <v>44</v>
      </c>
      <c r="B42" s="3" t="s">
        <v>4</v>
      </c>
      <c r="C42" s="2" t="str">
        <f ca="1">IFERROR(__xludf.DUMMYFUNCTION("GOOGLETRANSLATE(A42,""bn"",""en"")"),"Today, the last income of the family, my job is also going away")</f>
        <v>Today, the last income of the family, my job is also going away</v>
      </c>
    </row>
    <row r="43" spans="1:3" ht="15" x14ac:dyDescent="0.25">
      <c r="A43" s="3" t="s">
        <v>45</v>
      </c>
      <c r="B43" s="3" t="s">
        <v>4</v>
      </c>
      <c r="C43" s="2" t="str">
        <f ca="1">IFERROR(__xludf.DUMMYFUNCTION("GOOGLETRANSLATE(A43,""bn"",""en"")"),"Leaders do not gain people's trust unless they use force")</f>
        <v>Leaders do not gain people's trust unless they use force</v>
      </c>
    </row>
    <row r="44" spans="1:3" ht="15" x14ac:dyDescent="0.25">
      <c r="A44" s="3" t="s">
        <v>46</v>
      </c>
      <c r="B44" s="3" t="s">
        <v>4</v>
      </c>
      <c r="C44" s="2" t="str">
        <f ca="1">IFERROR(__xludf.DUMMYFUNCTION("GOOGLETRANSLATE(A44,""bn"",""en"")"),"Behind the smiling face hides the story of unknown suffering")</f>
        <v>Behind the smiling face hides the story of unknown suffering</v>
      </c>
    </row>
    <row r="45" spans="1:3" ht="15" x14ac:dyDescent="0.25">
      <c r="A45" s="3" t="s">
        <v>47</v>
      </c>
      <c r="B45" s="3" t="s">
        <v>4</v>
      </c>
      <c r="C45" s="2" t="str">
        <f ca="1">IFERROR(__xludf.DUMMYFUNCTION("GOOGLETRANSLATE(A45,""bn"",""en"")"),"Age increases, life span shortens, length of smile shortens, relationships die, memories are built, this is called life")</f>
        <v>Age increases, life span shortens, length of smile shortens, relationships die, memories are built, this is called life</v>
      </c>
    </row>
    <row r="46" spans="1:3" ht="15" x14ac:dyDescent="0.25">
      <c r="A46" s="3" t="s">
        <v>48</v>
      </c>
      <c r="B46" s="3" t="s">
        <v>4</v>
      </c>
      <c r="C46" s="2" t="str">
        <f ca="1">IFERROR(__xludf.DUMMYFUNCTION("GOOGLETRANSLATE(A46,""bn"",""en"")"),"Some time alone is good but not for life")</f>
        <v>Some time alone is good but not for life</v>
      </c>
    </row>
    <row r="47" spans="1:3" ht="15" x14ac:dyDescent="0.25">
      <c r="A47" s="3" t="s">
        <v>49</v>
      </c>
      <c r="B47" s="3" t="s">
        <v>4</v>
      </c>
      <c r="C47" s="2" t="str">
        <f ca="1">IFERROR(__xludf.DUMMYFUNCTION("GOOGLETRANSLATE(A47,""bn"",""en"")"),"I feel very hurt against the tradition and culture of this society")</f>
        <v>I feel very hurt against the tradition and culture of this society</v>
      </c>
    </row>
    <row r="48" spans="1:3" ht="15" x14ac:dyDescent="0.25">
      <c r="A48" s="3" t="s">
        <v>50</v>
      </c>
      <c r="B48" s="3" t="s">
        <v>4</v>
      </c>
      <c r="C48" s="2" t="str">
        <f ca="1">IFERROR(__xludf.DUMMYFUNCTION("GOOGLETRANSLATE(A48,""bn"",""en"")"),"After losing the path of truth, my mind can't ask for anything now")</f>
        <v>After losing the path of truth, my mind can't ask for anything now</v>
      </c>
    </row>
    <row r="49" spans="1:3" ht="15" x14ac:dyDescent="0.25">
      <c r="A49" s="3" t="s">
        <v>51</v>
      </c>
      <c r="B49" s="3" t="s">
        <v>4</v>
      </c>
      <c r="C49" s="2" t="str">
        <f ca="1">IFERROR(__xludf.DUMMYFUNCTION("GOOGLETRANSLATE(A49,""bn"",""en"")"),"Achieving financial success requires hard work every day but sadly no one wants to work hard")</f>
        <v>Achieving financial success requires hard work every day but sadly no one wants to work hard</v>
      </c>
    </row>
    <row r="50" spans="1:3" ht="15" x14ac:dyDescent="0.25">
      <c r="A50" s="3" t="s">
        <v>52</v>
      </c>
      <c r="B50" s="3" t="s">
        <v>4</v>
      </c>
      <c r="C50" s="2" t="str">
        <f ca="1">IFERROR(__xludf.DUMMYFUNCTION("GOOGLETRANSLATE(A50,""bn"",""en"")"),"No one understands boys whose dreams are wet with tears")</f>
        <v>No one understands boys whose dreams are wet with tears</v>
      </c>
    </row>
    <row r="51" spans="1:3" ht="15" x14ac:dyDescent="0.25">
      <c r="A51" s="3" t="s">
        <v>53</v>
      </c>
      <c r="B51" s="3" t="s">
        <v>4</v>
      </c>
      <c r="C51" s="2" t="str">
        <f ca="1">IFERROR(__xludf.DUMMYFUNCTION("GOOGLETRANSLATE(A51,""bn"",""en"")"),"I really find myself in the drama's sad story but I don't find my mind playing")</f>
        <v>I really find myself in the drama's sad story but I don't find my mind playing</v>
      </c>
    </row>
    <row r="52" spans="1:3" ht="15" x14ac:dyDescent="0.25">
      <c r="A52" s="3" t="s">
        <v>54</v>
      </c>
      <c r="B52" s="3" t="s">
        <v>4</v>
      </c>
      <c r="C52" s="2" t="str">
        <f ca="1">IFERROR(__xludf.DUMMYFUNCTION("GOOGLETRANSLATE(A52,""bn"",""en"")"),"To take the darkness with entertainment, one must carry the light of the mind")</f>
        <v>To take the darkness with entertainment, one must carry the light of the mind</v>
      </c>
    </row>
    <row r="53" spans="1:3" ht="15" x14ac:dyDescent="0.25">
      <c r="A53" s="3" t="s">
        <v>55</v>
      </c>
      <c r="B53" s="3" t="s">
        <v>4</v>
      </c>
      <c r="C53" s="2" t="str">
        <f ca="1">IFERROR(__xludf.DUMMYFUNCTION("GOOGLETRANSLATE(A53,""bn"",""en"")"),"I didn't try to understand you, I just went quietly in my own way")</f>
        <v>I didn't try to understand you, I just went quietly in my own way</v>
      </c>
    </row>
    <row r="54" spans="1:3" ht="15" x14ac:dyDescent="0.25">
      <c r="A54" s="3" t="s">
        <v>56</v>
      </c>
      <c r="B54" s="3" t="s">
        <v>4</v>
      </c>
      <c r="C54" s="2" t="str">
        <f ca="1">IFERROR(__xludf.DUMMYFUNCTION("GOOGLETRANSLATE(A54,""bn"",""en"")"),"Purnima is eligible for the National Film Award")</f>
        <v>Purnima is eligible for the National Film Award</v>
      </c>
    </row>
    <row r="55" spans="1:3" ht="15" x14ac:dyDescent="0.25">
      <c r="A55" s="3" t="s">
        <v>57</v>
      </c>
      <c r="B55" s="3" t="s">
        <v>4</v>
      </c>
      <c r="C55" s="2" t="str">
        <f ca="1">IFERROR(__xludf.DUMMYFUNCTION("GOOGLETRANSLATE(A55,""bn"",""en"")"),"I think it is much more important to understand the person you love than to always say I love you")</f>
        <v>I think it is much more important to understand the person you love than to always say I love you</v>
      </c>
    </row>
    <row r="56" spans="1:3" ht="15" x14ac:dyDescent="0.25">
      <c r="A56" s="3" t="s">
        <v>58</v>
      </c>
      <c r="B56" s="3" t="s">
        <v>4</v>
      </c>
      <c r="C56" s="2" t="str">
        <f ca="1">IFERROR(__xludf.DUMMYFUNCTION("GOOGLETRANSLATE(A56,""bn"",""en"")"),"The Gospel forever takes away our right to discriminate between the deserving and the undeserving poor")</f>
        <v>The Gospel forever takes away our right to discriminate between the deserving and the undeserving poor</v>
      </c>
    </row>
    <row r="57" spans="1:3" ht="15" x14ac:dyDescent="0.25">
      <c r="A57" s="3" t="s">
        <v>59</v>
      </c>
      <c r="B57" s="3" t="s">
        <v>4</v>
      </c>
      <c r="C57" s="2" t="str">
        <f ca="1">IFERROR(__xludf.DUMMYFUNCTION("GOOGLETRANSLATE(A57,""bn"",""en"")"),"Many times I find myself at a loss in front of the family")</f>
        <v>Many times I find myself at a loss in front of the family</v>
      </c>
    </row>
    <row r="58" spans="1:3" ht="15" x14ac:dyDescent="0.25">
      <c r="A58" s="3" t="s">
        <v>60</v>
      </c>
      <c r="B58" s="3" t="s">
        <v>4</v>
      </c>
      <c r="C58" s="2" t="str">
        <f ca="1">IFERROR(__xludf.DUMMYFUNCTION("GOOGLETRANSLATE(A58,""bn"",""en"")"),"If there is no fear in love, the juice is not intense")</f>
        <v>If there is no fear in love, the juice is not intense</v>
      </c>
    </row>
    <row r="59" spans="1:3" ht="15" x14ac:dyDescent="0.25">
      <c r="A59" s="3" t="s">
        <v>61</v>
      </c>
      <c r="B59" s="3" t="s">
        <v>4</v>
      </c>
      <c r="C59" s="2" t="str">
        <f ca="1">IFERROR(__xludf.DUMMYFUNCTION("GOOGLETRANSLATE(A59,""bn"",""en"")"),"Notice that where your contributions are high, your reputation is high")</f>
        <v>Notice that where your contributions are high, your reputation is high</v>
      </c>
    </row>
    <row r="60" spans="1:3" ht="15" x14ac:dyDescent="0.25">
      <c r="A60" s="3" t="s">
        <v>62</v>
      </c>
      <c r="B60" s="3" t="s">
        <v>4</v>
      </c>
      <c r="C60" s="2" t="str">
        <f ca="1">IFERROR(__xludf.DUMMYFUNCTION("GOOGLETRANSLATE(A60,""bn"",""en"")"),"I immediately get lost in the constant confusion of family")</f>
        <v>I immediately get lost in the constant confusion of family</v>
      </c>
    </row>
    <row r="61" spans="1:3" ht="15" x14ac:dyDescent="0.25">
      <c r="A61" s="3" t="s">
        <v>63</v>
      </c>
      <c r="B61" s="3" t="s">
        <v>4</v>
      </c>
      <c r="C61" s="2" t="str">
        <f ca="1">IFERROR(__xludf.DUMMYFUNCTION("GOOGLETRANSLATE(A61,""bn"",""en"")"),"You cannot make others happy by being unhappy yourself")</f>
        <v>You cannot make others happy by being unhappy yourself</v>
      </c>
    </row>
    <row r="62" spans="1:3" ht="15" x14ac:dyDescent="0.25">
      <c r="A62" s="3" t="s">
        <v>64</v>
      </c>
      <c r="B62" s="3" t="s">
        <v>4</v>
      </c>
      <c r="C62" s="2" t="str">
        <f ca="1">IFERROR(__xludf.DUMMYFUNCTION("GOOGLETRANSLATE(A62,""bn"",""en"")"),"We are dreaming of better times")</f>
        <v>We are dreaming of better times</v>
      </c>
    </row>
    <row r="63" spans="1:3" ht="15" x14ac:dyDescent="0.25">
      <c r="A63" s="3" t="s">
        <v>65</v>
      </c>
      <c r="B63" s="3" t="s">
        <v>4</v>
      </c>
      <c r="C63" s="2" t="str">
        <f ca="1">IFERROR(__xludf.DUMMYFUNCTION("GOOGLETRANSLATE(A63,""bn"",""en"")"),"Although it is hard to accept, Tamim Iqbal is no longer fit for modern cricket")</f>
        <v>Although it is hard to accept, Tamim Iqbal is no longer fit for modern cricket</v>
      </c>
    </row>
    <row r="64" spans="1:3" ht="15" x14ac:dyDescent="0.25">
      <c r="A64" s="3" t="s">
        <v>66</v>
      </c>
      <c r="B64" s="3" t="s">
        <v>4</v>
      </c>
      <c r="C64" s="2" t="str">
        <f ca="1">IFERROR(__xludf.DUMMYFUNCTION("GOOGLETRANSLATE(A64,""bn"",""en"")"),"I am not satisfied with the moral ideals of this society")</f>
        <v>I am not satisfied with the moral ideals of this society</v>
      </c>
    </row>
    <row r="65" spans="1:3" ht="15" x14ac:dyDescent="0.25">
      <c r="A65" s="3" t="s">
        <v>67</v>
      </c>
      <c r="B65" s="3" t="s">
        <v>4</v>
      </c>
      <c r="C65" s="2" t="str">
        <f ca="1">IFERROR(__xludf.DUMMYFUNCTION("GOOGLETRANSLATE(A65,""bn"",""en"")"),"The main way to avoid internal illness in the world is to create your own world in the mind")</f>
        <v>The main way to avoid internal illness in the world is to create your own world in the mind</v>
      </c>
    </row>
    <row r="66" spans="1:3" ht="15" x14ac:dyDescent="0.25">
      <c r="A66" s="3" t="s">
        <v>68</v>
      </c>
      <c r="B66" s="3" t="s">
        <v>4</v>
      </c>
      <c r="C66" s="2" t="str">
        <f ca="1">IFERROR(__xludf.DUMMYFUNCTION("GOOGLETRANSLATE(A66,""bn"",""en"")"),"You cannot become a good person by studying alone")</f>
        <v>You cannot become a good person by studying alone</v>
      </c>
    </row>
    <row r="67" spans="1:3" ht="15" x14ac:dyDescent="0.25">
      <c r="A67" s="3" t="s">
        <v>69</v>
      </c>
      <c r="B67" s="3" t="s">
        <v>4</v>
      </c>
      <c r="C67" s="2" t="str">
        <f ca="1">IFERROR(__xludf.DUMMYFUNCTION("GOOGLETRANSLATE(A67,""bn"",""en"")"),"Death frees us from the ills of modern life")</f>
        <v>Death frees us from the ills of modern life</v>
      </c>
    </row>
    <row r="68" spans="1:3" ht="15" x14ac:dyDescent="0.25">
      <c r="A68" s="3" t="s">
        <v>70</v>
      </c>
      <c r="B68" s="3" t="s">
        <v>4</v>
      </c>
      <c r="C68" s="2" t="str">
        <f ca="1">IFERROR(__xludf.DUMMYFUNCTION("GOOGLETRANSLATE(A68,""bn"",""en"")"),"Depression is color blind and constantly tells you how colorful the world is")</f>
        <v>Depression is color blind and constantly tells you how colorful the world is</v>
      </c>
    </row>
    <row r="69" spans="1:3" ht="15" x14ac:dyDescent="0.25">
      <c r="A69" s="3" t="s">
        <v>71</v>
      </c>
      <c r="B69" s="3" t="s">
        <v>4</v>
      </c>
      <c r="C69" s="2" t="str">
        <f ca="1">IFERROR(__xludf.DUMMYFUNCTION("GOOGLETRANSLATE(A69,""bn"",""en"")"),"In the alarming time of war only fear is spreading in the minds of people")</f>
        <v>In the alarming time of war only fear is spreading in the minds of people</v>
      </c>
    </row>
    <row r="70" spans="1:3" ht="15" x14ac:dyDescent="0.25">
      <c r="A70" s="3" t="s">
        <v>72</v>
      </c>
      <c r="B70" s="3" t="s">
        <v>4</v>
      </c>
      <c r="C70" s="2" t="str">
        <f ca="1">IFERROR(__xludf.DUMMYFUNCTION("GOOGLETRANSLATE(A70,""bn"",""en"")"),"Taking turns with the light of culture, making a golden moon in the dark is running in the chariot of darkness")</f>
        <v>Taking turns with the light of culture, making a golden moon in the dark is running in the chariot of darkness</v>
      </c>
    </row>
    <row r="71" spans="1:3" ht="15" x14ac:dyDescent="0.25">
      <c r="A71" s="3" t="s">
        <v>73</v>
      </c>
      <c r="B71" s="3" t="s">
        <v>4</v>
      </c>
      <c r="C71" s="2" t="str">
        <f ca="1">IFERROR(__xludf.DUMMYFUNCTION("GOOGLETRANSLATE(A71,""bn"",""en"")"),"Sick people need to understand the culture of suffering")</f>
        <v>Sick people need to understand the culture of suffering</v>
      </c>
    </row>
    <row r="72" spans="1:3" ht="15" x14ac:dyDescent="0.25">
      <c r="A72" s="3" t="s">
        <v>74</v>
      </c>
      <c r="B72" s="3" t="s">
        <v>4</v>
      </c>
      <c r="C72" s="2" t="str">
        <f ca="1">IFERROR(__xludf.DUMMYFUNCTION("GOOGLETRANSLATE(A72,""bn"",""en"")"),"Loneliness is imposed on you by others and it makes you feel empty")</f>
        <v>Loneliness is imposed on you by others and it makes you feel empty</v>
      </c>
    </row>
    <row r="73" spans="1:3" ht="15" x14ac:dyDescent="0.25">
      <c r="A73" s="3" t="s">
        <v>75</v>
      </c>
      <c r="B73" s="3" t="s">
        <v>4</v>
      </c>
      <c r="C73" s="2" t="str">
        <f ca="1">IFERROR(__xludf.DUMMYFUNCTION("GOOGLETRANSLATE(A73,""bn"",""en"")"),"If you are in trouble or suffering or in need go to the poor people")</f>
        <v>If you are in trouble or suffering or in need go to the poor people</v>
      </c>
    </row>
    <row r="74" spans="1:3" ht="15" x14ac:dyDescent="0.25">
      <c r="A74" s="3" t="s">
        <v>76</v>
      </c>
      <c r="B74" s="3" t="s">
        <v>4</v>
      </c>
      <c r="C74" s="2" t="str">
        <f ca="1">IFERROR(__xludf.DUMMYFUNCTION("GOOGLETRANSLATE(A74,""bn"",""en"")"),"There is an unknown fire burning inside the mind")</f>
        <v>There is an unknown fire burning inside the mind</v>
      </c>
    </row>
    <row r="75" spans="1:3" ht="15" x14ac:dyDescent="0.25">
      <c r="A75" s="3" t="s">
        <v>77</v>
      </c>
      <c r="B75" s="3" t="s">
        <v>4</v>
      </c>
      <c r="C75" s="2" t="str">
        <f ca="1">IFERROR(__xludf.DUMMYFUNCTION("GOOGLETRANSLATE(A75,""bn"",""en"")"),"The only way to overcome pain is to go through it")</f>
        <v>The only way to overcome pain is to go through it</v>
      </c>
    </row>
    <row r="76" spans="1:3" ht="15" x14ac:dyDescent="0.25">
      <c r="A76" s="3" t="s">
        <v>78</v>
      </c>
      <c r="B76" s="3" t="s">
        <v>4</v>
      </c>
      <c r="C76" s="2" t="str">
        <f ca="1">IFERROR(__xludf.DUMMYFUNCTION("GOOGLETRANSLATE(A76,""bn"",""en"")"),"Finding it harder to save money than earning it, I can't keep myself from spending money anyway")</f>
        <v>Finding it harder to save money than earning it, I can't keep myself from spending money anyway</v>
      </c>
    </row>
    <row r="77" spans="1:3" ht="15" x14ac:dyDescent="0.25">
      <c r="A77" s="3" t="s">
        <v>79</v>
      </c>
      <c r="B77" s="3" t="s">
        <v>4</v>
      </c>
      <c r="C77" s="2" t="str">
        <f ca="1">IFERROR(__xludf.DUMMYFUNCTION("GOOGLETRANSLATE(A77,""bn"",""en"")"),"In the color of war, many longings in my mind are lost in unknown lands")</f>
        <v>In the color of war, many longings in my mind are lost in unknown lands</v>
      </c>
    </row>
    <row r="78" spans="1:3" ht="15" x14ac:dyDescent="0.25">
      <c r="A78" s="3" t="s">
        <v>80</v>
      </c>
      <c r="B78" s="3" t="s">
        <v>4</v>
      </c>
      <c r="C78" s="2" t="str">
        <f ca="1">IFERROR(__xludf.DUMMYFUNCTION("GOOGLETRANSLATE(A78,""bn"",""en"")"),"In the darkness of the late night, the heart is breaking again and again with a sigh of pain")</f>
        <v>In the darkness of the late night, the heart is breaking again and again with a sigh of pain</v>
      </c>
    </row>
    <row r="79" spans="1:3" ht="15" x14ac:dyDescent="0.25">
      <c r="A79" s="3" t="s">
        <v>81</v>
      </c>
      <c r="B79" s="3" t="s">
        <v>4</v>
      </c>
      <c r="C79" s="2" t="str">
        <f ca="1">IFERROR(__xludf.DUMMYFUNCTION("GOOGLETRANSLATE(A79,""bn"",""en"")"),"I'm learning day by day that I can't handle myself before breaking down under the weight of pain")</f>
        <v>I'm learning day by day that I can't handle myself before breaking down under the weight of pain</v>
      </c>
    </row>
    <row r="80" spans="1:3" ht="15" x14ac:dyDescent="0.25">
      <c r="A80" s="3" t="s">
        <v>82</v>
      </c>
      <c r="B80" s="3" t="s">
        <v>4</v>
      </c>
      <c r="C80" s="2" t="str">
        <f ca="1">IFERROR(__xludf.DUMMYFUNCTION("GOOGLETRANSLATE(A80,""bn"",""en"")"),"Even if a parent suffers from their child, they never scold them, they do not wish their child harm")</f>
        <v>Even if a parent suffers from their child, they never scold them, they do not wish their child harm</v>
      </c>
    </row>
    <row r="81" spans="1:3" ht="15" x14ac:dyDescent="0.25">
      <c r="A81" s="3" t="s">
        <v>83</v>
      </c>
      <c r="B81" s="3" t="s">
        <v>4</v>
      </c>
      <c r="C81" s="2" t="str">
        <f ca="1">IFERROR(__xludf.DUMMYFUNCTION("GOOGLETRANSLATE(A81,""bn"",""en"")"),"Laughter after watching the movie has now become sadness in my heart")</f>
        <v>Laughter after watching the movie has now become sadness in my heart</v>
      </c>
    </row>
    <row r="82" spans="1:3" ht="15" x14ac:dyDescent="0.25">
      <c r="A82" s="3" t="s">
        <v>84</v>
      </c>
      <c r="B82" s="3" t="s">
        <v>4</v>
      </c>
      <c r="C82" s="2" t="str">
        <f ca="1">IFERROR(__xludf.DUMMYFUNCTION("GOOGLETRANSLATE(A82,""bn"",""en"")"),"The world is talking about the power of money")</f>
        <v>The world is talking about the power of money</v>
      </c>
    </row>
    <row r="83" spans="1:3" ht="15" x14ac:dyDescent="0.25">
      <c r="A83" s="3" t="s">
        <v>85</v>
      </c>
      <c r="B83" s="3" t="s">
        <v>4</v>
      </c>
      <c r="C83" s="2" t="str">
        <f ca="1">IFERROR(__xludf.DUMMYFUNCTION("GOOGLETRANSLATE(A83,""bn"",""en"")"),"I don't have the courage to stand in front of you with my broken heart, I don't even have the right to ask for your love, I just want to tell you from afar to be okay")</f>
        <v>I don't have the courage to stand in front of you with my broken heart, I don't even have the right to ask for your love, I just want to tell you from afar to be okay</v>
      </c>
    </row>
    <row r="84" spans="1:3" ht="15" x14ac:dyDescent="0.25">
      <c r="A84" s="3" t="s">
        <v>86</v>
      </c>
      <c r="B84" s="3" t="s">
        <v>4</v>
      </c>
      <c r="C84" s="2" t="str">
        <f ca="1">IFERROR(__xludf.DUMMYFUNCTION("GOOGLETRANSLATE(A84,""bn"",""en"")"),"To love is to live in the hope of living To give oneself to the one who gives hope")</f>
        <v>To love is to live in the hope of living To give oneself to the one who gives hope</v>
      </c>
    </row>
    <row r="85" spans="1:3" ht="15" x14ac:dyDescent="0.25">
      <c r="A85" s="3" t="s">
        <v>87</v>
      </c>
      <c r="B85" s="3" t="s">
        <v>4</v>
      </c>
      <c r="C85" s="2" t="str">
        <f ca="1">IFERROR(__xludf.DUMMYFUNCTION("GOOGLETRANSLATE(A85,""bn"",""en"")"),"How some stories will end can be understood in the middle of the story")</f>
        <v>How some stories will end can be understood in the middle of the story</v>
      </c>
    </row>
    <row r="86" spans="1:3" ht="15" x14ac:dyDescent="0.25">
      <c r="A86" s="3" t="s">
        <v>88</v>
      </c>
      <c r="B86" s="3" t="s">
        <v>4</v>
      </c>
      <c r="C86" s="2" t="str">
        <f ca="1">IFERROR(__xludf.DUMMYFUNCTION("GOOGLETRANSLATE(A86,""bn"",""en"")"),"Just as love starts suddenly without knowing anything, it also ends suddenly one day without knowing anything")</f>
        <v>Just as love starts suddenly without knowing anything, it also ends suddenly one day without knowing anything</v>
      </c>
    </row>
    <row r="87" spans="1:3" ht="15" x14ac:dyDescent="0.25">
      <c r="A87" s="3" t="s">
        <v>89</v>
      </c>
      <c r="B87" s="3" t="s">
        <v>4</v>
      </c>
      <c r="C87" s="2" t="str">
        <f ca="1">IFERROR(__xludf.DUMMYFUNCTION("GOOGLETRANSLATE(A87,""bn"",""en"")"),"There are some imperfections that have not been met and none have been mine")</f>
        <v>There are some imperfections that have not been met and none have been mine</v>
      </c>
    </row>
    <row r="88" spans="1:3" ht="15" x14ac:dyDescent="0.25">
      <c r="A88" s="3" t="s">
        <v>90</v>
      </c>
      <c r="B88" s="3" t="s">
        <v>4</v>
      </c>
      <c r="C88" s="2" t="str">
        <f ca="1">IFERROR(__xludf.DUMMYFUNCTION("GOOGLETRANSLATE(A88,""bn"",""en"")"),"After feeling the need for tolerance and equality towards people, another dark flash appears in the human heart")</f>
        <v>After feeling the need for tolerance and equality towards people, another dark flash appears in the human heart</v>
      </c>
    </row>
    <row r="89" spans="1:3" ht="15" x14ac:dyDescent="0.25">
      <c r="A89" s="3" t="s">
        <v>91</v>
      </c>
      <c r="B89" s="3" t="s">
        <v>4</v>
      </c>
      <c r="C89" s="2" t="str">
        <f ca="1">IFERROR(__xludf.DUMMYFUNCTION("GOOGLETRANSLATE(A89,""bn"",""en"")"),"A true love relationship never ends no matter how far away it is")</f>
        <v>A true love relationship never ends no matter how far away it is</v>
      </c>
    </row>
    <row r="90" spans="1:3" ht="15" x14ac:dyDescent="0.25">
      <c r="A90" s="3" t="s">
        <v>92</v>
      </c>
      <c r="B90" s="3" t="s">
        <v>4</v>
      </c>
      <c r="C90" s="2" t="str">
        <f ca="1">IFERROR(__xludf.DUMMYFUNCTION("GOOGLETRANSLATE(A90,""bn"",""en"")"),"Never make a bad friend because he can ruin not only your life but also that of your family")</f>
        <v>Never make a bad friend because he can ruin not only your life but also that of your family</v>
      </c>
    </row>
    <row r="91" spans="1:3" ht="15" x14ac:dyDescent="0.25">
      <c r="A91" s="3" t="s">
        <v>93</v>
      </c>
      <c r="B91" s="3" t="s">
        <v>4</v>
      </c>
      <c r="C91" s="2" t="str">
        <f ca="1">IFERROR(__xludf.DUMMYFUNCTION("GOOGLETRANSLATE(A91,""bn"",""en"")"),"The principle of every relationship is that you never let the person you love be alone especially when you are staying there")</f>
        <v>The principle of every relationship is that you never let the person you love be alone especially when you are staying there</v>
      </c>
    </row>
    <row r="92" spans="1:3" ht="15" x14ac:dyDescent="0.25">
      <c r="A92" s="3" t="s">
        <v>94</v>
      </c>
      <c r="B92" s="3" t="s">
        <v>4</v>
      </c>
      <c r="C92" s="2" t="str">
        <f ca="1">IFERROR(__xludf.DUMMYFUNCTION("GOOGLETRANSLATE(A92,""bn"",""en"")"),"I'm smiling at the end of the picture but that smile is still helpless in my mind")</f>
        <v>I'm smiling at the end of the picture but that smile is still helpless in my mind</v>
      </c>
    </row>
    <row r="93" spans="1:3" ht="15" x14ac:dyDescent="0.25">
      <c r="A93" s="3" t="s">
        <v>95</v>
      </c>
      <c r="B93" s="3" t="s">
        <v>4</v>
      </c>
      <c r="C93" s="2" t="str">
        <f ca="1">IFERROR(__xludf.DUMMYFUNCTION("GOOGLETRANSLATE(A93,""bn"",""en"")"),"I feel like a family member")</f>
        <v>I feel like a family member</v>
      </c>
    </row>
    <row r="94" spans="1:3" ht="15" x14ac:dyDescent="0.25">
      <c r="A94" s="3" t="s">
        <v>96</v>
      </c>
      <c r="B94" s="3" t="s">
        <v>4</v>
      </c>
      <c r="C94" s="2" t="str">
        <f ca="1">IFERROR(__xludf.DUMMYFUNCTION("GOOGLETRANSLATE(A94,""bn"",""en"")"),"I was talking with the phone close to my ear and suddenly my hand fell on the ground and the screen cracked")</f>
        <v>I was talking with the phone close to my ear and suddenly my hand fell on the ground and the screen cracked</v>
      </c>
    </row>
    <row r="95" spans="1:3" ht="15" x14ac:dyDescent="0.25">
      <c r="A95" s="3" t="s">
        <v>97</v>
      </c>
      <c r="B95" s="3" t="s">
        <v>4</v>
      </c>
      <c r="C95" s="2" t="str">
        <f ca="1">IFERROR(__xludf.DUMMYFUNCTION("GOOGLETRANSLATE(A95,""bn"",""en"")"),"In the dream of war, my memories of a strange country changed into an unknown world")</f>
        <v>In the dream of war, my memories of a strange country changed into an unknown world</v>
      </c>
    </row>
    <row r="96" spans="1:3" ht="15" x14ac:dyDescent="0.25">
      <c r="A96" s="3" t="s">
        <v>98</v>
      </c>
      <c r="B96" s="3" t="s">
        <v>4</v>
      </c>
      <c r="C96" s="2" t="str">
        <f ca="1">IFERROR(__xludf.DUMMYFUNCTION("GOOGLETRANSLATE(A96,""bn"",""en"")"),"You're playing with me, it's too scary for me")</f>
        <v>You're playing with me, it's too scary for me</v>
      </c>
    </row>
    <row r="97" spans="1:3" ht="15" x14ac:dyDescent="0.25">
      <c r="A97" s="3" t="s">
        <v>99</v>
      </c>
      <c r="B97" s="3" t="s">
        <v>4</v>
      </c>
      <c r="C97" s="2" t="str">
        <f ca="1">IFERROR(__xludf.DUMMYFUNCTION("GOOGLETRANSLATE(A97,""bn"",""en"")"),"My silence is another sound of pain in my life")</f>
        <v>My silence is another sound of pain in my life</v>
      </c>
    </row>
    <row r="98" spans="1:3" ht="15" x14ac:dyDescent="0.25">
      <c r="A98" s="3" t="s">
        <v>100</v>
      </c>
      <c r="B98" s="3" t="s">
        <v>4</v>
      </c>
      <c r="C98" s="2" t="str">
        <f ca="1">IFERROR(__xludf.DUMMYFUNCTION("GOOGLETRANSLATE(A98,""bn"",""en"")"),"Before making any promise to someone, one should always understand the meaning of the word")</f>
        <v>Before making any promise to someone, one should always understand the meaning of the word</v>
      </c>
    </row>
    <row r="99" spans="1:3" ht="15" x14ac:dyDescent="0.25">
      <c r="A99" s="3" t="s">
        <v>101</v>
      </c>
      <c r="B99" s="3" t="s">
        <v>4</v>
      </c>
      <c r="C99" s="2" t="str">
        <f ca="1">IFERROR(__xludf.DUMMYFUNCTION("GOOGLETRANSLATE(A99,""bn"",""en"")"),"Rather than living with memories, I want to live with dreams")</f>
        <v>Rather than living with memories, I want to live with dreams</v>
      </c>
    </row>
    <row r="100" spans="1:3" ht="15" x14ac:dyDescent="0.25">
      <c r="A100" s="3" t="s">
        <v>102</v>
      </c>
      <c r="B100" s="3" t="s">
        <v>4</v>
      </c>
      <c r="C100" s="2" t="str">
        <f ca="1">IFERROR(__xludf.DUMMYFUNCTION("GOOGLETRANSLATE(A100,""bn"",""en"")"),"The light of culture does not reach the darkness of death")</f>
        <v>The light of culture does not reach the darkness of death</v>
      </c>
    </row>
    <row r="101" spans="1:3" ht="15" x14ac:dyDescent="0.25">
      <c r="A101" s="3" t="s">
        <v>103</v>
      </c>
      <c r="B101" s="3" t="s">
        <v>4</v>
      </c>
      <c r="C101" s="2" t="str">
        <f ca="1">IFERROR(__xludf.DUMMYFUNCTION("GOOGLETRANSLATE(A101,""bn"",""en"")"),"People get so much love and care from their mother-in-law but alas I don't have this in my own destiny")</f>
        <v>People get so much love and care from their mother-in-law but alas I don't have this in my own destiny</v>
      </c>
    </row>
    <row r="102" spans="1:3" ht="15" x14ac:dyDescent="0.25">
      <c r="A102" s="3" t="s">
        <v>104</v>
      </c>
      <c r="B102" s="3" t="s">
        <v>4</v>
      </c>
      <c r="C102" s="2" t="str">
        <f ca="1">IFERROR(__xludf.DUMMYFUNCTION("GOOGLETRANSLATE(A102,""bn"",""en"")"),"Going abroad for higher education is very difficult")</f>
        <v>Going abroad for higher education is very difficult</v>
      </c>
    </row>
    <row r="103" spans="1:3" ht="15" x14ac:dyDescent="0.25">
      <c r="A103" s="3" t="s">
        <v>105</v>
      </c>
      <c r="B103" s="3" t="s">
        <v>4</v>
      </c>
      <c r="C103" s="2" t="str">
        <f ca="1">IFERROR(__xludf.DUMMYFUNCTION("GOOGLETRANSLATE(A103,""bn"",""en"")"),"Illness reduces man to his elemental state, a cloaca where chemical processes continue involuntary senseless dominance")</f>
        <v>Illness reduces man to his elemental state, a cloaca where chemical processes continue involuntary senseless dominance</v>
      </c>
    </row>
    <row r="104" spans="1:3" ht="15" x14ac:dyDescent="0.25">
      <c r="A104" s="3" t="s">
        <v>106</v>
      </c>
      <c r="B104" s="3" t="s">
        <v>4</v>
      </c>
      <c r="C104" s="2" t="str">
        <f ca="1">IFERROR(__xludf.DUMMYFUNCTION("GOOGLETRANSLATE(A104,""bn"",""en"")"),"Who else understands so much love? Thanks friends for giving such a special gift")</f>
        <v>Who else understands so much love? Thanks friends for giving such a special gift</v>
      </c>
    </row>
    <row r="105" spans="1:3" ht="15" x14ac:dyDescent="0.25">
      <c r="A105" s="3" t="s">
        <v>107</v>
      </c>
      <c r="B105" s="3" t="s">
        <v>4</v>
      </c>
      <c r="C105" s="2" t="str">
        <f ca="1">IFERROR(__xludf.DUMMYFUNCTION("GOOGLETRANSLATE(A105,""bn"",""en"")"),"At the end of the day, everyone wants to sit down and talk with the whole family, but due to everyone's busy schedule, this almost never happens")</f>
        <v>At the end of the day, everyone wants to sit down and talk with the whole family, but due to everyone's busy schedule, this almost never happens</v>
      </c>
    </row>
    <row r="106" spans="1:3" ht="15" x14ac:dyDescent="0.25">
      <c r="A106" s="3" t="s">
        <v>108</v>
      </c>
      <c r="B106" s="3" t="s">
        <v>4</v>
      </c>
      <c r="C106" s="2" t="str">
        <f ca="1">IFERROR(__xludf.DUMMYFUNCTION("GOOGLETRANSLATE(A106,""bn"",""en"")"),"Some say friendship is great, some say love is great, but the person who maintains the relationship is the greatest")</f>
        <v>Some say friendship is great, some say love is great, but the person who maintains the relationship is the greatest</v>
      </c>
    </row>
    <row r="107" spans="1:3" ht="15" x14ac:dyDescent="0.25">
      <c r="A107" s="3" t="s">
        <v>109</v>
      </c>
      <c r="B107" s="3" t="s">
        <v>4</v>
      </c>
      <c r="C107" s="2" t="str">
        <f ca="1">IFERROR(__xludf.DUMMYFUNCTION("GOOGLETRANSLATE(A107,""bn"",""en"")"),"I can't even speak the truth because I myself am guilty in the face of the truth")</f>
        <v>I can't even speak the truth because I myself am guilty in the face of the truth</v>
      </c>
    </row>
    <row r="108" spans="1:3" ht="15" x14ac:dyDescent="0.25">
      <c r="A108" s="3" t="s">
        <v>110</v>
      </c>
      <c r="B108" s="3" t="s">
        <v>4</v>
      </c>
      <c r="C108" s="2" t="str">
        <f ca="1">IFERROR(__xludf.DUMMYFUNCTION("GOOGLETRANSLATE(A108,""bn"",""en"")"),"Debts do not put an end to fire and disease because they can rise again.")</f>
        <v>Debts do not put an end to fire and disease because they can rise again.</v>
      </c>
    </row>
    <row r="109" spans="1:3" ht="15" x14ac:dyDescent="0.25">
      <c r="A109" s="3" t="s">
        <v>111</v>
      </c>
      <c r="B109" s="3" t="s">
        <v>4</v>
      </c>
      <c r="C109" s="2" t="str">
        <f ca="1">IFERROR(__xludf.DUMMYFUNCTION("GOOGLETRANSLATE(A109,""bn"",""en"")"),"Suffering is in the silent darkness")</f>
        <v>Suffering is in the silent darkness</v>
      </c>
    </row>
    <row r="110" spans="1:3" ht="15" x14ac:dyDescent="0.25">
      <c r="A110" s="3" t="s">
        <v>112</v>
      </c>
      <c r="B110" s="3" t="s">
        <v>4</v>
      </c>
      <c r="C110" s="2" t="str">
        <f ca="1">IFERROR(__xludf.DUMMYFUNCTION("GOOGLETRANSLATE(A110,""bn"",""en"")"),"Midnight cries and teary eyes never lie")</f>
        <v>Midnight cries and teary eyes never lie</v>
      </c>
    </row>
    <row r="111" spans="1:3" ht="15" x14ac:dyDescent="0.25">
      <c r="A111" s="3" t="s">
        <v>113</v>
      </c>
      <c r="B111" s="3" t="s">
        <v>4</v>
      </c>
      <c r="C111" s="2" t="str">
        <f ca="1">IFERROR(__xludf.DUMMYFUNCTION("GOOGLETRANSLATE(A111,""bn"",""en"")"),"You can't get educated by reading only academic books, you have to read more social books around it")</f>
        <v>You can't get educated by reading only academic books, you have to read more social books around it</v>
      </c>
    </row>
    <row r="112" spans="1:3" ht="15" x14ac:dyDescent="0.25">
      <c r="A112" s="3" t="s">
        <v>114</v>
      </c>
      <c r="B112" s="3" t="s">
        <v>4</v>
      </c>
      <c r="C112" s="2" t="str">
        <f ca="1">IFERROR(__xludf.DUMMYFUNCTION("GOOGLETRANSLATE(A112,""bn"",""en"")"),"True and false are mixed in the stories of movies, just like in my life")</f>
        <v>True and false are mixed in the stories of movies, just like in my life</v>
      </c>
    </row>
    <row r="113" spans="1:3" ht="15" x14ac:dyDescent="0.25">
      <c r="A113" s="3" t="s">
        <v>115</v>
      </c>
      <c r="B113" s="3" t="s">
        <v>4</v>
      </c>
      <c r="C113" s="2" t="str">
        <f ca="1">IFERROR(__xludf.DUMMYFUNCTION("GOOGLETRANSLATE(A113,""bn"",""en"")"),"When a man loves a woman, he can do anything for her except love her")</f>
        <v>When a man loves a woman, he can do anything for her except love her</v>
      </c>
    </row>
    <row r="114" spans="1:3" ht="15" x14ac:dyDescent="0.25">
      <c r="A114" s="3" t="s">
        <v>116</v>
      </c>
      <c r="B114" s="3" t="s">
        <v>4</v>
      </c>
      <c r="C114" s="2" t="str">
        <f ca="1">IFERROR(__xludf.DUMMYFUNCTION("GOOGLETRANSLATE(A114,""bn"",""en"")"),"Learned to be alone Learned to suffer Learned to live without need")</f>
        <v>Learned to be alone Learned to suffer Learned to live without need</v>
      </c>
    </row>
    <row r="115" spans="1:3" ht="15" x14ac:dyDescent="0.25">
      <c r="A115" s="3" t="s">
        <v>117</v>
      </c>
      <c r="B115" s="3" t="s">
        <v>4</v>
      </c>
      <c r="C115" s="2" t="str">
        <f ca="1">IFERROR(__xludf.DUMMYFUNCTION("GOOGLETRANSLATE(A115,""bn"",""en"")"),"The world is talking about Tucker's house")</f>
        <v>The world is talking about Tucker's house</v>
      </c>
    </row>
    <row r="116" spans="1:3" ht="15" x14ac:dyDescent="0.25">
      <c r="A116" s="3" t="s">
        <v>118</v>
      </c>
      <c r="B116" s="3" t="s">
        <v>4</v>
      </c>
      <c r="C116" s="2" t="str">
        <f ca="1">IFERROR(__xludf.DUMMYFUNCTION("GOOGLETRANSLATE(A116,""bn"",""en"")"),"It hurts when some people think of educational institutions as business")</f>
        <v>It hurts when some people think of educational institutions as business</v>
      </c>
    </row>
    <row r="117" spans="1:3" ht="15" x14ac:dyDescent="0.25">
      <c r="A117" s="3" t="s">
        <v>119</v>
      </c>
      <c r="B117" s="3" t="s">
        <v>4</v>
      </c>
      <c r="C117" s="2" t="str">
        <f ca="1">IFERROR(__xludf.DUMMYFUNCTION("GOOGLETRANSLATE(A117,""bn"",""en"")"),"Bad breath song to the tune of culture")</f>
        <v>Bad breath song to the tune of culture</v>
      </c>
    </row>
    <row r="118" spans="1:3" ht="15" x14ac:dyDescent="0.25">
      <c r="A118" s="3" t="s">
        <v>120</v>
      </c>
      <c r="B118" s="3" t="s">
        <v>4</v>
      </c>
      <c r="C118" s="2" t="str">
        <f ca="1">IFERROR(__xludf.DUMMYFUNCTION("GOOGLETRANSLATE(A118,""bn"",""en"")"),"I have lost myself in order to organize my career")</f>
        <v>I have lost myself in order to organize my career</v>
      </c>
    </row>
    <row r="119" spans="1:3" ht="15" x14ac:dyDescent="0.25">
      <c r="A119" s="3" t="s">
        <v>121</v>
      </c>
      <c r="B119" s="3" t="s">
        <v>4</v>
      </c>
      <c r="C119" s="2" t="str">
        <f ca="1">IFERROR(__xludf.DUMMYFUNCTION("GOOGLETRANSLATE(A119,""bn"",""en"")"),"Everyone gets the most love from their maternal grandmother. It never happened in my life. My maternal grandmother died before I was born.")</f>
        <v>Everyone gets the most love from their maternal grandmother. It never happened in my life. My maternal grandmother died before I was born.</v>
      </c>
    </row>
    <row r="120" spans="1:3" ht="15" x14ac:dyDescent="0.25">
      <c r="A120" s="3" t="s">
        <v>122</v>
      </c>
      <c r="B120" s="3" t="s">
        <v>4</v>
      </c>
      <c r="C120" s="2" t="str">
        <f ca="1">IFERROR(__xludf.DUMMYFUNCTION("GOOGLETRANSLATE(A120,""bn"",""en"")"),"The waves of the sea come back again and again, but once they take, they never give back.")</f>
        <v>The waves of the sea come back again and again, but once they take, they never give back.</v>
      </c>
    </row>
    <row r="121" spans="1:3" ht="15" x14ac:dyDescent="0.25">
      <c r="A121" s="3" t="s">
        <v>123</v>
      </c>
      <c r="B121" s="3" t="s">
        <v>4</v>
      </c>
      <c r="C121" s="2" t="str">
        <f ca="1">IFERROR(__xludf.DUMMYFUNCTION("GOOGLETRANSLATE(A121,""bn"",""en"")"),"History is written by the rich and therefore the poor are blamed for everything")</f>
        <v>History is written by the rich and therefore the poor are blamed for everything</v>
      </c>
    </row>
    <row r="122" spans="1:3" ht="15" x14ac:dyDescent="0.25">
      <c r="A122" s="3" t="s">
        <v>124</v>
      </c>
      <c r="B122" s="3" t="s">
        <v>4</v>
      </c>
      <c r="C122" s="2" t="str">
        <f ca="1">IFERROR(__xludf.DUMMYFUNCTION("GOOGLETRANSLATE(A122,""bn"",""en"")"),"Mustafiz was hit on the head by a ball during practice")</f>
        <v>Mustafiz was hit on the head by a ball during practice</v>
      </c>
    </row>
    <row r="123" spans="1:3" ht="15" x14ac:dyDescent="0.25">
      <c r="A123" s="3" t="s">
        <v>125</v>
      </c>
      <c r="B123" s="3" t="s">
        <v>4</v>
      </c>
      <c r="C123" s="2" t="str">
        <f ca="1">IFERROR(__xludf.DUMMYFUNCTION("GOOGLETRANSLATE(A123,""bn"",""en"")"),"The middle class can't afford it")</f>
        <v>The middle class can't afford it</v>
      </c>
    </row>
    <row r="124" spans="1:3" ht="15" x14ac:dyDescent="0.25">
      <c r="A124" s="3" t="s">
        <v>126</v>
      </c>
      <c r="B124" s="3" t="s">
        <v>4</v>
      </c>
      <c r="C124" s="2" t="str">
        <f ca="1">IFERROR(__xludf.DUMMYFUNCTION("GOOGLETRANSLATE(A124,""bn"",""en"")"),"The impact of war is etched in the mind")</f>
        <v>The impact of war is etched in the mind</v>
      </c>
    </row>
    <row r="125" spans="1:3" ht="15" x14ac:dyDescent="0.25">
      <c r="A125" s="3" t="s">
        <v>127</v>
      </c>
      <c r="B125" s="3" t="s">
        <v>4</v>
      </c>
      <c r="C125" s="2" t="str">
        <f ca="1">IFERROR(__xludf.DUMMYFUNCTION("GOOGLETRANSLATE(A125,""bn"",""en"")"),"Relationships should be such that there is a sense of closeness even from a distance")</f>
        <v>Relationships should be such that there is a sense of closeness even from a distance</v>
      </c>
    </row>
    <row r="126" spans="1:3" ht="15" x14ac:dyDescent="0.25">
      <c r="A126" s="3" t="s">
        <v>128</v>
      </c>
      <c r="B126" s="3" t="s">
        <v>4</v>
      </c>
      <c r="C126" s="2" t="str">
        <f ca="1">IFERROR(__xludf.DUMMYFUNCTION("GOOGLETRANSLATE(A126,""bn"",""en"")"),"If I forget, I will be disappointed")</f>
        <v>If I forget, I will be disappointed</v>
      </c>
    </row>
    <row r="127" spans="1:3" ht="15" x14ac:dyDescent="0.25">
      <c r="A127" s="3" t="s">
        <v>129</v>
      </c>
      <c r="B127" s="3" t="s">
        <v>4</v>
      </c>
      <c r="C127" s="2" t="str">
        <f ca="1">IFERROR(__xludf.DUMMYFUNCTION("GOOGLETRANSLATE(A127,""bn"",""en"")"),"Time is neglected to pay the love price of hanging bird of entertainment")</f>
        <v>Time is neglected to pay the love price of hanging bird of entertainment</v>
      </c>
    </row>
    <row r="128" spans="1:3" ht="15" x14ac:dyDescent="0.25">
      <c r="A128" s="3" t="s">
        <v>130</v>
      </c>
      <c r="B128" s="3" t="s">
        <v>4</v>
      </c>
      <c r="C128" s="2" t="str">
        <f ca="1">IFERROR(__xludf.DUMMYFUNCTION("GOOGLETRANSLATE(A128,""bn"",""en"")"),"Loneliness has taught me many things about this world but I still don't understand the person who made me lonely")</f>
        <v>Loneliness has taught me many things about this world but I still don't understand the person who made me lonely</v>
      </c>
    </row>
    <row r="129" spans="1:3" ht="15" x14ac:dyDescent="0.25">
      <c r="A129" s="3" t="s">
        <v>131</v>
      </c>
      <c r="B129" s="3" t="s">
        <v>4</v>
      </c>
      <c r="C129" s="2" t="str">
        <f ca="1">IFERROR(__xludf.DUMMYFUNCTION("GOOGLETRANSLATE(A129,""bn"",""en"")"),"Mother's love is the most selfless relationship in the world")</f>
        <v>Mother's love is the most selfless relationship in the world</v>
      </c>
    </row>
    <row r="130" spans="1:3" ht="15" x14ac:dyDescent="0.25">
      <c r="A130" s="3" t="s">
        <v>132</v>
      </c>
      <c r="B130" s="3" t="s">
        <v>4</v>
      </c>
      <c r="C130" s="2" t="str">
        <f ca="1">IFERROR(__xludf.DUMMYFUNCTION("GOOGLETRANSLATE(A130,""bn"",""en"")"),"The pain of losing a loved one is more painful than the pain of money")</f>
        <v>The pain of losing a loved one is more painful than the pain of money</v>
      </c>
    </row>
    <row r="131" spans="1:3" ht="15" x14ac:dyDescent="0.25">
      <c r="A131" s="3" t="s">
        <v>133</v>
      </c>
      <c r="B131" s="3" t="s">
        <v>4</v>
      </c>
      <c r="C131" s="2" t="str">
        <f ca="1">IFERROR(__xludf.DUMMYFUNCTION("GOOGLETRANSLATE(A131,""bn"",""en"")"),"Tears are a language that the mouth can never express and the heart can never carry")</f>
        <v>Tears are a language that the mouth can never express and the heart can never carry</v>
      </c>
    </row>
    <row r="132" spans="1:3" ht="15" x14ac:dyDescent="0.25">
      <c r="A132" s="3" t="s">
        <v>134</v>
      </c>
      <c r="B132" s="3" t="s">
        <v>4</v>
      </c>
      <c r="C132" s="2" t="str">
        <f ca="1">IFERROR(__xludf.DUMMYFUNCTION("GOOGLETRANSLATE(A132,""bn"",""en"")"),"No punishment was ever more severe than a hard heart")</f>
        <v>No punishment was ever more severe than a hard heart</v>
      </c>
    </row>
    <row r="133" spans="1:3" ht="15" x14ac:dyDescent="0.25">
      <c r="A133" s="3" t="s">
        <v>135</v>
      </c>
      <c r="B133" s="3" t="s">
        <v>4</v>
      </c>
      <c r="C133" s="2" t="str">
        <f ca="1">IFERROR(__xludf.DUMMYFUNCTION("GOOGLETRANSLATE(A133,""bn"",""en"")"),"You have to learn to be a good person not only by studying")</f>
        <v>You have to learn to be a good person not only by studying</v>
      </c>
    </row>
    <row r="134" spans="1:3" ht="15" x14ac:dyDescent="0.25">
      <c r="A134" s="3" t="s">
        <v>136</v>
      </c>
      <c r="B134" s="3" t="s">
        <v>4</v>
      </c>
      <c r="C134" s="2" t="str">
        <f ca="1">IFERROR(__xludf.DUMMYFUNCTION("GOOGLETRANSLATE(A134,""bn"",""en"")"),"The current status of Gulal shares is not promising")</f>
        <v>The current status of Gulal shares is not promising</v>
      </c>
    </row>
    <row r="135" spans="1:3" ht="15" x14ac:dyDescent="0.25">
      <c r="A135" s="3" t="s">
        <v>137</v>
      </c>
      <c r="B135" s="3" t="s">
        <v>4</v>
      </c>
      <c r="C135" s="2" t="str">
        <f ca="1">IFERROR(__xludf.DUMMYFUNCTION("GOOGLETRANSLATE(A135,""bn"",""en"")"),"They Harvard academia like the poor but don't like the smell of the poor")</f>
        <v>They Harvard academia like the poor but don't like the smell of the poor</v>
      </c>
    </row>
    <row r="136" spans="1:3" ht="15" x14ac:dyDescent="0.25">
      <c r="A136" s="3" t="s">
        <v>138</v>
      </c>
      <c r="B136" s="3" t="s">
        <v>4</v>
      </c>
      <c r="C136" s="2" t="str">
        <f ca="1">IFERROR(__xludf.DUMMYFUNCTION("GOOGLETRANSLATE(A136,""bn"",""en"")"),"In a difficult situation, I go to create weather web app by connecting an EPI, later it appears that while opening an account for the API, I typed my mail address incorrectly, for which the app does not work.")</f>
        <v>In a difficult situation, I go to create weather web app by connecting an EPI, later it appears that while opening an account for the API, I typed my mail address incorrectly, for which the app does not work.</v>
      </c>
    </row>
    <row r="137" spans="1:3" ht="15" x14ac:dyDescent="0.25">
      <c r="A137" s="3" t="s">
        <v>139</v>
      </c>
      <c r="B137" s="3" t="s">
        <v>4</v>
      </c>
      <c r="C137" s="2" t="str">
        <f ca="1">IFERROR(__xludf.DUMMYFUNCTION("GOOGLETRANSLATE(A137,""bn"",""en"")"),"A broken heart also beats for a lifetime whether it is in someone's memory or someone's complaint")</f>
        <v>A broken heart also beats for a lifetime whether it is in someone's memory or someone's complaint</v>
      </c>
    </row>
    <row r="138" spans="1:3" ht="15" x14ac:dyDescent="0.25">
      <c r="A138" s="3" t="s">
        <v>140</v>
      </c>
      <c r="B138" s="3" t="s">
        <v>4</v>
      </c>
      <c r="C138" s="2" t="str">
        <f ca="1">IFERROR(__xludf.DUMMYFUNCTION("GOOGLETRANSLATE(A138,""bn"",""en"")"),"All dreams are washed away by sighs of pain in the darkness of late night")</f>
        <v>All dreams are washed away by sighs of pain in the darkness of late night</v>
      </c>
    </row>
    <row r="139" spans="1:3" ht="15" x14ac:dyDescent="0.25">
      <c r="A139" s="3" t="s">
        <v>141</v>
      </c>
      <c r="B139" s="3" t="s">
        <v>4</v>
      </c>
      <c r="C139" s="2" t="str">
        <f ca="1">IFERROR(__xludf.DUMMYFUNCTION("GOOGLETRANSLATE(A139,""bn"",""en"")"),"We succumb to some poverty")</f>
        <v>We succumb to some poverty</v>
      </c>
    </row>
    <row r="140" spans="1:3" ht="15" x14ac:dyDescent="0.25">
      <c r="A140" s="3" t="s">
        <v>142</v>
      </c>
      <c r="B140" s="3" t="s">
        <v>4</v>
      </c>
      <c r="C140" s="2" t="str">
        <f ca="1">IFERROR(__xludf.DUMMYFUNCTION("GOOGLETRANSLATE(A140,""bn"",""en"")"),"The drama's sad boundaries have grown beyond my own boundaries")</f>
        <v>The drama's sad boundaries have grown beyond my own boundaries</v>
      </c>
    </row>
    <row r="141" spans="1:3" ht="15" x14ac:dyDescent="0.25">
      <c r="A141" s="3" t="s">
        <v>143</v>
      </c>
      <c r="B141" s="3" t="s">
        <v>4</v>
      </c>
      <c r="C141" s="2" t="str">
        <f ca="1">IFERROR(__xludf.DUMMYFUNCTION("GOOGLETRANSLATE(A141,""bn"",""en"")"),"A beautiful relationship is built through the sincere efforts and love of people")</f>
        <v>A beautiful relationship is built through the sincere efforts and love of people</v>
      </c>
    </row>
    <row r="142" spans="1:3" ht="15" x14ac:dyDescent="0.25">
      <c r="A142" s="3" t="s">
        <v>144</v>
      </c>
      <c r="B142" s="3" t="s">
        <v>4</v>
      </c>
      <c r="C142" s="2" t="str">
        <f ca="1">IFERROR(__xludf.DUMMYFUNCTION("GOOGLETRANSLATE(A142,""bn"",""en"")"),"Being sick is incredibly difficult")</f>
        <v>Being sick is incredibly difficult</v>
      </c>
    </row>
    <row r="143" spans="1:3" ht="15" x14ac:dyDescent="0.25">
      <c r="A143" s="3" t="s">
        <v>145</v>
      </c>
      <c r="B143" s="3" t="s">
        <v>4</v>
      </c>
      <c r="C143" s="2" t="str">
        <f ca="1">IFERROR(__xludf.DUMMYFUNCTION("GOOGLETRANSLATE(A143,""bn"",""en"")"),"Some journeys bring not joy but boredom")</f>
        <v>Some journeys bring not joy but boredom</v>
      </c>
    </row>
    <row r="144" spans="1:3" ht="15" x14ac:dyDescent="0.25">
      <c r="A144" s="3" t="s">
        <v>146</v>
      </c>
      <c r="B144" s="3" t="s">
        <v>4</v>
      </c>
      <c r="C144" s="2" t="str">
        <f ca="1">IFERROR(__xludf.DUMMYFUNCTION("GOOGLETRANSLATE(A144,""bn"",""en"")"),"People's dreams and hopes are floating in the fire of war")</f>
        <v>People's dreams and hopes are floating in the fire of war</v>
      </c>
    </row>
    <row r="145" spans="1:3" ht="15" x14ac:dyDescent="0.25">
      <c r="A145" s="3" t="s">
        <v>147</v>
      </c>
      <c r="B145" s="3" t="s">
        <v>4</v>
      </c>
      <c r="C145" s="2" t="str">
        <f ca="1">IFERROR(__xludf.DUMMYFUNCTION("GOOGLETRANSLATE(A145,""bn"",""en"")"),"You walked away from me without any reason so please don't try to come back with any excuse")</f>
        <v>You walked away from me without any reason so please don't try to come back with any excuse</v>
      </c>
    </row>
    <row r="146" spans="1:3" ht="15" x14ac:dyDescent="0.25">
      <c r="A146" s="3" t="s">
        <v>148</v>
      </c>
      <c r="B146" s="3" t="s">
        <v>4</v>
      </c>
      <c r="C146" s="2" t="str">
        <f ca="1">IFERROR(__xludf.DUMMYFUNCTION("GOOGLETRANSLATE(A146,""bn"",""en"")"),"If it is possible to erase all pain with tears")</f>
        <v>If it is possible to erase all pain with tears</v>
      </c>
    </row>
    <row r="147" spans="1:3" ht="15" x14ac:dyDescent="0.25">
      <c r="A147" s="3" t="s">
        <v>149</v>
      </c>
      <c r="B147" s="3" t="s">
        <v>4</v>
      </c>
      <c r="C147" s="2" t="str">
        <f ca="1">IFERROR(__xludf.DUMMYFUNCTION("GOOGLETRANSLATE(A147,""bn"",""en"")"),"At the sound of war, all memories come to my mind like dreams of death")</f>
        <v>At the sound of war, all memories come to my mind like dreams of death</v>
      </c>
    </row>
    <row r="148" spans="1:3" ht="15" x14ac:dyDescent="0.25">
      <c r="A148" s="3" t="s">
        <v>150</v>
      </c>
      <c r="B148" s="3" t="s">
        <v>4</v>
      </c>
      <c r="C148" s="2" t="str">
        <f ca="1">IFERROR(__xludf.DUMMYFUNCTION("GOOGLETRANSLATE(A148,""bn"",""en"")"),"Pain makes you stronger tears make you braver")</f>
        <v>Pain makes you stronger tears make you braver</v>
      </c>
    </row>
    <row r="149" spans="1:3" ht="15" x14ac:dyDescent="0.25">
      <c r="A149" s="3" t="s">
        <v>151</v>
      </c>
      <c r="B149" s="3" t="s">
        <v>4</v>
      </c>
      <c r="C149" s="2" t="str">
        <f ca="1">IFERROR(__xludf.DUMMYFUNCTION("GOOGLETRANSLATE(A149,""bn"",""en"")"),"Forgetting in silence is an insult to culture")</f>
        <v>Forgetting in silence is an insult to culture</v>
      </c>
    </row>
    <row r="150" spans="1:3" ht="15" x14ac:dyDescent="0.25">
      <c r="A150" s="3" t="s">
        <v>152</v>
      </c>
      <c r="B150" s="3" t="s">
        <v>4</v>
      </c>
      <c r="C150" s="2" t="str">
        <f ca="1">IFERROR(__xludf.DUMMYFUNCTION("GOOGLETRANSLATE(A150,""bn"",""en"")"),"The price of mobile data is increasing day by day, I don't understand why the government does not take any action in this regard")</f>
        <v>The price of mobile data is increasing day by day, I don't understand why the government does not take any action in this regard</v>
      </c>
    </row>
    <row r="151" spans="1:3" ht="15" x14ac:dyDescent="0.25">
      <c r="A151" s="3" t="s">
        <v>153</v>
      </c>
      <c r="B151" s="3" t="s">
        <v>4</v>
      </c>
      <c r="C151" s="2" t="str">
        <f ca="1">IFERROR(__xludf.DUMMYFUNCTION("GOOGLETRANSLATE(A151,""bn"",""en"")"),"Man understands the world when he walks alone")</f>
        <v>Man understands the world when he walks alone</v>
      </c>
    </row>
    <row r="152" spans="1:3" ht="15" x14ac:dyDescent="0.25">
      <c r="A152" s="3" t="s">
        <v>154</v>
      </c>
      <c r="B152" s="3" t="s">
        <v>4</v>
      </c>
      <c r="C152" s="2" t="str">
        <f ca="1">IFERROR(__xludf.DUMMYFUNCTION("GOOGLETRANSLATE(A152,""bn"",""en"")"),"Hate is like blind love")</f>
        <v>Hate is like blind love</v>
      </c>
    </row>
    <row r="153" spans="1:3" ht="15" x14ac:dyDescent="0.25">
      <c r="A153" s="3" t="s">
        <v>155</v>
      </c>
      <c r="B153" s="3" t="s">
        <v>4</v>
      </c>
      <c r="C153" s="2" t="str">
        <f ca="1">IFERROR(__xludf.DUMMYFUNCTION("GOOGLETRANSLATE(A153,""bn"",""en"")"),"Every leaf that burns the tree of terror breaks our nectar")</f>
        <v>Every leaf that burns the tree of terror breaks our nectar</v>
      </c>
    </row>
    <row r="154" spans="1:3" ht="15" x14ac:dyDescent="0.25">
      <c r="A154" s="3" t="s">
        <v>156</v>
      </c>
      <c r="B154" s="3" t="s">
        <v>4</v>
      </c>
      <c r="C154" s="2" t="str">
        <f ca="1">IFERROR(__xludf.DUMMYFUNCTION("GOOGLETRANSLATE(A154,""bn"",""en"")"),"I feel in the deep sea of ​​ancient history")</f>
        <v>I feel in the deep sea of ​​ancient history</v>
      </c>
    </row>
    <row r="155" spans="1:3" ht="15" x14ac:dyDescent="0.25">
      <c r="A155" s="3" t="s">
        <v>157</v>
      </c>
      <c r="B155" s="3" t="s">
        <v>4</v>
      </c>
      <c r="C155" s="2" t="str">
        <f ca="1">IFERROR(__xludf.DUMMYFUNCTION("GOOGLETRANSLATE(A155,""bn"",""en"")"),"I can't find any value in studying for so many days, it seems that all the vain life is meaningless")</f>
        <v>I can't find any value in studying for so many days, it seems that all the vain life is meaningless</v>
      </c>
    </row>
    <row r="156" spans="1:3" ht="15" x14ac:dyDescent="0.25">
      <c r="A156" s="3" t="s">
        <v>158</v>
      </c>
      <c r="B156" s="3" t="s">
        <v>4</v>
      </c>
      <c r="C156" s="2" t="str">
        <f ca="1">IFERROR(__xludf.DUMMYFUNCTION("GOOGLETRANSLATE(A156,""bn"",""en"")"),"Drama hours have become a staple of my life")</f>
        <v>Drama hours have become a staple of my life</v>
      </c>
    </row>
    <row r="157" spans="1:3" ht="15" x14ac:dyDescent="0.25">
      <c r="A157" s="3" t="s">
        <v>159</v>
      </c>
      <c r="B157" s="3" t="s">
        <v>4</v>
      </c>
      <c r="C157" s="2" t="str">
        <f ca="1">IFERROR(__xludf.DUMMYFUNCTION("GOOGLETRANSLATE(A157,""bn"",""en"")"),"In this city, you only have your own shadow")</f>
        <v>In this city, you only have your own shadow</v>
      </c>
    </row>
    <row r="158" spans="1:3" ht="15" x14ac:dyDescent="0.25">
      <c r="A158" s="3" t="s">
        <v>160</v>
      </c>
      <c r="B158" s="3" t="s">
        <v>4</v>
      </c>
      <c r="C158" s="2" t="str">
        <f ca="1">IFERROR(__xludf.DUMMYFUNCTION("GOOGLETRANSLATE(A158,""bn"",""en"")"),"Some think that luxury is not the opposite of poverty, but that it is the opposite of vulgarity")</f>
        <v>Some think that luxury is not the opposite of poverty, but that it is the opposite of vulgarity</v>
      </c>
    </row>
    <row r="159" spans="1:3" ht="15" x14ac:dyDescent="0.25">
      <c r="A159" s="3" t="s">
        <v>161</v>
      </c>
      <c r="B159" s="3" t="s">
        <v>4</v>
      </c>
      <c r="C159" s="2" t="str">
        <f ca="1">IFERROR(__xludf.DUMMYFUNCTION("GOOGLETRANSLATE(A159,""bn"",""en"")"),"Language is not needed to understand importance unemployment is enough")</f>
        <v>Language is not needed to understand importance unemployment is enough</v>
      </c>
    </row>
    <row r="160" spans="1:3" ht="15" x14ac:dyDescent="0.25">
      <c r="A160" s="3" t="s">
        <v>162</v>
      </c>
      <c r="B160" s="3" t="s">
        <v>4</v>
      </c>
      <c r="C160" s="2" t="str">
        <f ca="1">IFERROR(__xludf.DUMMYFUNCTION("GOOGLETRANSLATE(A160,""bn"",""en"")"),"We are very different from the human heart but not equal it just can't be seen")</f>
        <v>We are very different from the human heart but not equal it just can't be seen</v>
      </c>
    </row>
    <row r="161" spans="1:3" ht="15" x14ac:dyDescent="0.25">
      <c r="A161" s="3" t="s">
        <v>163</v>
      </c>
      <c r="B161" s="3" t="s">
        <v>4</v>
      </c>
      <c r="C161" s="2" t="str">
        <f ca="1">IFERROR(__xludf.DUMMYFUNCTION("GOOGLETRANSLATE(A161,""bn"",""en"")"),"If you are near, who understands, but if you are lost, everyone looks for you")</f>
        <v>If you are near, who understands, but if you are lost, everyone looks for you</v>
      </c>
    </row>
    <row r="162" spans="1:3" ht="15" x14ac:dyDescent="0.25">
      <c r="A162" s="3" t="s">
        <v>164</v>
      </c>
      <c r="B162" s="3" t="s">
        <v>4</v>
      </c>
      <c r="C162" s="2" t="str">
        <f ca="1">IFERROR(__xludf.DUMMYFUNCTION("GOOGLETRANSLATE(A162,""bn"",""en"")"),"Improvement is not achieved by talking about improvement")</f>
        <v>Improvement is not achieved by talking about improvement</v>
      </c>
    </row>
    <row r="163" spans="1:3" ht="15" x14ac:dyDescent="0.25">
      <c r="A163" s="3" t="s">
        <v>165</v>
      </c>
      <c r="B163" s="3" t="s">
        <v>4</v>
      </c>
      <c r="C163" s="2" t="str">
        <f ca="1">IFERROR(__xludf.DUMMYFUNCTION("GOOGLETRANSLATE(A163,""bn"",""en"")"),"Weep in the light of lost history")</f>
        <v>Weep in the light of lost history</v>
      </c>
    </row>
    <row r="164" spans="1:3" ht="15" x14ac:dyDescent="0.25">
      <c r="A164" s="3" t="s">
        <v>166</v>
      </c>
      <c r="B164" s="3" t="s">
        <v>4</v>
      </c>
      <c r="C164" s="2" t="str">
        <f ca="1">IFERROR(__xludf.DUMMYFUNCTION("GOOGLETRANSLATE(A164,""bn"",""en"")"),"In dreams of war the forgotten magic of my unknown loved ones is erased from my mind")</f>
        <v>In dreams of war the forgotten magic of my unknown loved ones is erased from my mind</v>
      </c>
    </row>
    <row r="165" spans="1:3" ht="15" x14ac:dyDescent="0.25">
      <c r="A165" s="3" t="s">
        <v>167</v>
      </c>
      <c r="B165" s="3" t="s">
        <v>4</v>
      </c>
      <c r="C165" s="2" t="str">
        <f ca="1">IFERROR(__xludf.DUMMYFUNCTION("GOOGLETRANSLATE(A165,""bn"",""en"")"),"As long as you have money in your pocket, everyone is with you, if you don't have money, no one")</f>
        <v>As long as you have money in your pocket, everyone is with you, if you don't have money, no one</v>
      </c>
    </row>
    <row r="166" spans="1:3" ht="15" x14ac:dyDescent="0.25">
      <c r="A166" s="3" t="s">
        <v>168</v>
      </c>
      <c r="B166" s="3" t="s">
        <v>4</v>
      </c>
      <c r="C166" s="2" t="str">
        <f ca="1">IFERROR(__xludf.DUMMYFUNCTION("GOOGLETRANSLATE(A166,""bn"",""en"")"),"Because to the poor, books are not diversions, books are weapons of siege")</f>
        <v>Because to the poor, books are not diversions, books are weapons of siege</v>
      </c>
    </row>
    <row r="167" spans="1:3" ht="15" x14ac:dyDescent="0.25">
      <c r="A167" s="3" t="s">
        <v>169</v>
      </c>
      <c r="B167" s="3" t="s">
        <v>4</v>
      </c>
      <c r="C167" s="2" t="str">
        <f ca="1">IFERROR(__xludf.DUMMYFUNCTION("GOOGLETRANSLATE(A167,""bn"",""en"")"),"I didn't give up to luck, I just lost to faith")</f>
        <v>I didn't give up to luck, I just lost to faith</v>
      </c>
    </row>
    <row r="168" spans="1:3" ht="15" x14ac:dyDescent="0.25">
      <c r="A168" s="3" t="s">
        <v>170</v>
      </c>
      <c r="B168" s="3" t="s">
        <v>4</v>
      </c>
      <c r="C168" s="2" t="str">
        <f ca="1">IFERROR(__xludf.DUMMYFUNCTION("GOOGLETRANSLATE(A168,""bn"",""en"")"),"Poverty is the result of poor choices not poor luck")</f>
        <v>Poverty is the result of poor choices not poor luck</v>
      </c>
    </row>
    <row r="169" spans="1:3" ht="15" x14ac:dyDescent="0.25">
      <c r="A169" s="3" t="s">
        <v>171</v>
      </c>
      <c r="B169" s="3" t="s">
        <v>4</v>
      </c>
      <c r="C169" s="2" t="str">
        <f ca="1">IFERROR(__xludf.DUMMYFUNCTION("GOOGLETRANSLATE(A169,""bn"",""en"")"),"Such a statement cannot be expected from a politician")</f>
        <v>Such a statement cannot be expected from a politician</v>
      </c>
    </row>
    <row r="170" spans="1:3" ht="15" x14ac:dyDescent="0.25">
      <c r="A170" s="3" t="s">
        <v>172</v>
      </c>
      <c r="B170" s="3" t="s">
        <v>4</v>
      </c>
      <c r="C170" s="2" t="str">
        <f ca="1">IFERROR(__xludf.DUMMYFUNCTION("GOOGLETRANSLATE(A170,""bn"",""en"")"),"I don't want to bother anyone with my problems so I always pretend to be fine")</f>
        <v>I don't want to bother anyone with my problems so I always pretend to be fine</v>
      </c>
    </row>
    <row r="171" spans="1:3" ht="15" x14ac:dyDescent="0.25">
      <c r="A171" s="3" t="s">
        <v>173</v>
      </c>
      <c r="B171" s="3" t="s">
        <v>4</v>
      </c>
      <c r="C171" s="2" t="str">
        <f ca="1">IFERROR(__xludf.DUMMYFUNCTION("GOOGLETRANSLATE(A171,""bn"",""en"")"),"Once consciousness and sound are killed, people no longer understand the meaning of freedom, which is the trend of current politics")</f>
        <v>Once consciousness and sound are killed, people no longer understand the meaning of freedom, which is the trend of current politics</v>
      </c>
    </row>
    <row r="172" spans="1:3" ht="15" x14ac:dyDescent="0.25">
      <c r="A172" s="3" t="s">
        <v>174</v>
      </c>
      <c r="B172" s="3" t="s">
        <v>4</v>
      </c>
      <c r="C172" s="2" t="str">
        <f ca="1">IFERROR(__xludf.DUMMYFUNCTION("GOOGLETRANSLATE(A172,""bn"",""en"")"),"There is more joy in giving love than receiving love")</f>
        <v>There is more joy in giving love than receiving love</v>
      </c>
    </row>
    <row r="173" spans="1:3" ht="15" x14ac:dyDescent="0.25">
      <c r="A173" s="3" t="s">
        <v>175</v>
      </c>
      <c r="B173" s="3" t="s">
        <v>4</v>
      </c>
      <c r="C173" s="2" t="str">
        <f ca="1">IFERROR(__xludf.DUMMYFUNCTION("GOOGLETRANSLATE(A173,""bn"",""en"")"),"Reading a favorite book brings us so much sadness that we cannot handle")</f>
        <v>Reading a favorite book brings us so much sadness that we cannot handle</v>
      </c>
    </row>
    <row r="174" spans="1:3" ht="15" x14ac:dyDescent="0.25">
      <c r="A174" s="3" t="s">
        <v>176</v>
      </c>
      <c r="B174" s="3" t="s">
        <v>4</v>
      </c>
      <c r="C174" s="2" t="str">
        <f ca="1">IFERROR(__xludf.DUMMYFUNCTION("GOOGLETRANSLATE(A174,""bn"",""en"")"),"It is very difficult to think of the dreams I saw with you alone today")</f>
        <v>It is very difficult to think of the dreams I saw with you alone today</v>
      </c>
    </row>
    <row r="175" spans="1:3" ht="15" x14ac:dyDescent="0.25">
      <c r="A175" s="3" t="s">
        <v>177</v>
      </c>
      <c r="B175" s="3" t="s">
        <v>4</v>
      </c>
      <c r="C175" s="2" t="str">
        <f ca="1">IFERROR(__xludf.DUMMYFUNCTION("GOOGLETRANSLATE(A175,""bn"",""en"")"),"Loneliness and the feeling of being unwanted are the worst poverty")</f>
        <v>Loneliness and the feeling of being unwanted are the worst poverty</v>
      </c>
    </row>
    <row r="176" spans="1:3" ht="15" x14ac:dyDescent="0.25">
      <c r="A176" s="3" t="s">
        <v>178</v>
      </c>
      <c r="B176" s="3" t="s">
        <v>4</v>
      </c>
      <c r="C176" s="2" t="str">
        <f ca="1">IFERROR(__xludf.DUMMYFUNCTION("GOOGLETRANSLATE(A176,""bn"",""en"")"),"The story of the movie is like the story of my life which I feel dark inside when it ends")</f>
        <v>The story of the movie is like the story of my life which I feel dark inside when it ends</v>
      </c>
    </row>
    <row r="177" spans="1:3" ht="15" x14ac:dyDescent="0.25">
      <c r="A177" s="3" t="s">
        <v>179</v>
      </c>
      <c r="B177" s="3" t="s">
        <v>4</v>
      </c>
      <c r="C177" s="2" t="str">
        <f ca="1">IFERROR(__xludf.DUMMYFUNCTION("GOOGLETRANSLATE(A177,""bn"",""en"")"),"The poor love life as passionately as the rich, perhaps with more effort to cling to it")</f>
        <v>The poor love life as passionately as the rich, perhaps with more effort to cling to it</v>
      </c>
    </row>
    <row r="178" spans="1:3" ht="15" x14ac:dyDescent="0.25">
      <c r="A178" s="3" t="s">
        <v>180</v>
      </c>
      <c r="B178" s="3" t="s">
        <v>4</v>
      </c>
      <c r="C178" s="2" t="str">
        <f ca="1">IFERROR(__xludf.DUMMYFUNCTION("GOOGLETRANSLATE(A178,""bn"",""en"")"),"Only people who depend on luck cannot prosper in life")</f>
        <v>Only people who depend on luck cannot prosper in life</v>
      </c>
    </row>
    <row r="179" spans="1:3" ht="15" x14ac:dyDescent="0.25">
      <c r="A179" s="3" t="s">
        <v>181</v>
      </c>
      <c r="B179" s="3" t="s">
        <v>4</v>
      </c>
      <c r="C179" s="2" t="str">
        <f ca="1">IFERROR(__xludf.DUMMYFUNCTION("GOOGLETRANSLATE(A179,""bn"",""en"")"),"On the way to the city of war speed, the memories of my strange country brought tears to my eyes")</f>
        <v>On the way to the city of war speed, the memories of my strange country brought tears to my eyes</v>
      </c>
    </row>
    <row r="180" spans="1:3" ht="15" x14ac:dyDescent="0.25">
      <c r="A180" s="3" t="s">
        <v>182</v>
      </c>
      <c r="B180" s="3" t="s">
        <v>4</v>
      </c>
      <c r="C180" s="2" t="str">
        <f ca="1">IFERROR(__xludf.DUMMYFUNCTION("GOOGLETRANSLATE(A180,""bn"",""en"")"),"Sick people have sick thoughts")</f>
        <v>Sick people have sick thoughts</v>
      </c>
    </row>
    <row r="181" spans="1:3" ht="15" x14ac:dyDescent="0.25">
      <c r="A181" s="3" t="s">
        <v>183</v>
      </c>
      <c r="B181" s="3" t="s">
        <v>4</v>
      </c>
      <c r="C181" s="2" t="str">
        <f ca="1">IFERROR(__xludf.DUMMYFUNCTION("GOOGLETRANSLATE(A181,""bn"",""en"")"),"It looks like the body is improving but actually there is no improvement")</f>
        <v>It looks like the body is improving but actually there is no improvement</v>
      </c>
    </row>
    <row r="182" spans="1:3" ht="15" x14ac:dyDescent="0.25">
      <c r="A182" s="3" t="s">
        <v>184</v>
      </c>
      <c r="B182" s="3" t="s">
        <v>4</v>
      </c>
      <c r="C182" s="2" t="str">
        <f ca="1">IFERROR(__xludf.DUMMYFUNCTION("GOOGLETRANSLATE(A182,""bn"",""en"")"),"Having no one else is a stranger in my life that I cannot accept")</f>
        <v>Having no one else is a stranger in my life that I cannot accept</v>
      </c>
    </row>
    <row r="183" spans="1:3" ht="15" x14ac:dyDescent="0.25">
      <c r="A183" s="3" t="s">
        <v>185</v>
      </c>
      <c r="B183" s="3" t="s">
        <v>4</v>
      </c>
      <c r="C183" s="2" t="str">
        <f ca="1">IFERROR(__xludf.DUMMYFUNCTION("GOOGLETRANSLATE(A183,""bn"",""en"")"),"A mobile is like a glass of water, it depends on you what you do with it")</f>
        <v>A mobile is like a glass of water, it depends on you what you do with it</v>
      </c>
    </row>
    <row r="184" spans="1:3" ht="15" x14ac:dyDescent="0.25">
      <c r="A184" s="3" t="s">
        <v>186</v>
      </c>
      <c r="B184" s="3" t="s">
        <v>4</v>
      </c>
      <c r="C184" s="2" t="str">
        <f ca="1">IFERROR(__xludf.DUMMYFUNCTION("GOOGLETRANSLATE(A184,""bn"",""en"")"),"After telling a lie, a darkness sat in my mind")</f>
        <v>After telling a lie, a darkness sat in my mind</v>
      </c>
    </row>
    <row r="185" spans="1:3" ht="15" x14ac:dyDescent="0.25">
      <c r="A185" s="3" t="s">
        <v>187</v>
      </c>
      <c r="B185" s="3" t="s">
        <v>4</v>
      </c>
      <c r="C185" s="2" t="str">
        <f ca="1">IFERROR(__xludf.DUMMYFUNCTION("GOOGLETRANSLATE(A185,""bn"",""en"")"),"Extreme poverty is not only a condition of unsatisfied material needs it is often accompanied by a deteriorating state of powerlessness")</f>
        <v>Extreme poverty is not only a condition of unsatisfied material needs it is often accompanied by a deteriorating state of powerlessness</v>
      </c>
    </row>
    <row r="186" spans="1:3" ht="15" x14ac:dyDescent="0.25">
      <c r="A186" s="3" t="s">
        <v>188</v>
      </c>
      <c r="B186" s="3" t="s">
        <v>4</v>
      </c>
      <c r="C186" s="2" t="str">
        <f ca="1">IFERROR(__xludf.DUMMYFUNCTION("GOOGLETRANSLATE(A186,""bn"",""en"")"),"Aamir wants to win near the river and wants to know if he has any regrets")</f>
        <v>Aamir wants to win near the river and wants to know if he has any regrets</v>
      </c>
    </row>
    <row r="187" spans="1:3" ht="15" x14ac:dyDescent="0.25">
      <c r="A187" s="3" t="s">
        <v>189</v>
      </c>
      <c r="B187" s="3" t="s">
        <v>4</v>
      </c>
      <c r="C187" s="2" t="str">
        <f ca="1">IFERROR(__xludf.DUMMYFUNCTION("GOOGLETRANSLATE(A187,""bn"",""en"")"),"Social media is stealing attention")</f>
        <v>Social media is stealing attention</v>
      </c>
    </row>
    <row r="188" spans="1:3" ht="15" x14ac:dyDescent="0.25">
      <c r="A188" s="3" t="s">
        <v>190</v>
      </c>
      <c r="B188" s="3" t="s">
        <v>4</v>
      </c>
      <c r="C188" s="2" t="str">
        <f ca="1">IFERROR(__xludf.DUMMYFUNCTION("GOOGLETRANSLATE(A188,""bn"",""en"")"),"The peace and cooperation of humanity has been lost in war")</f>
        <v>The peace and cooperation of humanity has been lost in war</v>
      </c>
    </row>
    <row r="189" spans="1:3" ht="15" x14ac:dyDescent="0.25">
      <c r="A189" s="3" t="s">
        <v>191</v>
      </c>
      <c r="B189" s="3" t="s">
        <v>4</v>
      </c>
      <c r="C189" s="2" t="str">
        <f ca="1">IFERROR(__xludf.DUMMYFUNCTION("GOOGLETRANSLATE(A189,""bn"",""en"")"),"The true form of Bengal is the true picture, may these pictures live forever")</f>
        <v>The true form of Bengal is the true picture, may these pictures live forever</v>
      </c>
    </row>
    <row r="190" spans="1:3" ht="15" x14ac:dyDescent="0.25">
      <c r="A190" s="3" t="s">
        <v>192</v>
      </c>
      <c r="B190" s="3" t="s">
        <v>4</v>
      </c>
      <c r="C190" s="2" t="str">
        <f ca="1">IFERROR(__xludf.DUMMYFUNCTION("GOOGLETRANSLATE(A190,""bn"",""en"")"),"Thus searching for the causes of poverty is entering an intellectual dead end because there is no cause of poverty only causes of prosperity.")</f>
        <v>Thus searching for the causes of poverty is entering an intellectual dead end because there is no cause of poverty only causes of prosperity.</v>
      </c>
    </row>
    <row r="191" spans="1:3" ht="15" x14ac:dyDescent="0.25">
      <c r="A191" s="3" t="s">
        <v>193</v>
      </c>
      <c r="B191" s="3" t="s">
        <v>4</v>
      </c>
      <c r="C191" s="2" t="str">
        <f ca="1">IFERROR(__xludf.DUMMYFUNCTION("GOOGLETRANSLATE(A191,""bn"",""en"")"),"Circumstances have robbed this face of a smile")</f>
        <v>Circumstances have robbed this face of a smile</v>
      </c>
    </row>
    <row r="192" spans="1:3" ht="15" x14ac:dyDescent="0.25">
      <c r="A192" s="3" t="s">
        <v>194</v>
      </c>
      <c r="B192" s="3" t="s">
        <v>4</v>
      </c>
      <c r="C192" s="2" t="str">
        <f ca="1">IFERROR(__xludf.DUMMYFUNCTION("GOOGLETRANSLATE(A192,""bn"",""en"")"),"Live everyday for those who look for them even from afar")</f>
        <v>Live everyday for those who look for them even from afar</v>
      </c>
    </row>
    <row r="193" spans="1:3" ht="15" x14ac:dyDescent="0.25">
      <c r="A193" s="3" t="s">
        <v>195</v>
      </c>
      <c r="B193" s="3" t="s">
        <v>4</v>
      </c>
      <c r="C193" s="2" t="str">
        <f ca="1">IFERROR(__xludf.DUMMYFUNCTION("GOOGLETRANSLATE(A193,""bn"",""en"")"),"The dream of fulfilling my dream is terrible because of the lack of family")</f>
        <v>The dream of fulfilling my dream is terrible because of the lack of family</v>
      </c>
    </row>
    <row r="194" spans="1:3" ht="15" x14ac:dyDescent="0.25">
      <c r="A194" s="3" t="s">
        <v>196</v>
      </c>
      <c r="B194" s="3" t="s">
        <v>4</v>
      </c>
      <c r="C194" s="2" t="str">
        <f ca="1">IFERROR(__xludf.DUMMYFUNCTION("GOOGLETRANSLATE(A194,""bn"",""en"")"),"Keeping a face never shows the sadness of the mind Entertainment has no open secrets")</f>
        <v>Keeping a face never shows the sadness of the mind Entertainment has no open secrets</v>
      </c>
    </row>
    <row r="195" spans="1:3" ht="15" x14ac:dyDescent="0.25">
      <c r="A195" s="3" t="s">
        <v>197</v>
      </c>
      <c r="B195" s="3" t="s">
        <v>4</v>
      </c>
      <c r="C195" s="2" t="str">
        <f ca="1">IFERROR(__xludf.DUMMYFUNCTION("GOOGLETRANSLATE(A195,""bn"",""en"")"),"A soul's wealth is measured by how little it can feel its poverty")</f>
        <v>A soul's wealth is measured by how little it can feel its poverty</v>
      </c>
    </row>
    <row r="196" spans="1:3" ht="15" x14ac:dyDescent="0.25">
      <c r="A196" s="3" t="s">
        <v>198</v>
      </c>
      <c r="B196" s="3" t="s">
        <v>4</v>
      </c>
      <c r="C196" s="2" t="str">
        <f ca="1">IFERROR(__xludf.DUMMYFUNCTION("GOOGLETRANSLATE(A196,""bn"",""en"")"),"A false love story published on Facebook that loses its youth in lazy depictions")</f>
        <v>A false love story published on Facebook that loses its youth in lazy depictions</v>
      </c>
    </row>
    <row r="197" spans="1:3" ht="15" x14ac:dyDescent="0.25">
      <c r="A197" s="3" t="s">
        <v>199</v>
      </c>
      <c r="B197" s="3" t="s">
        <v>4</v>
      </c>
      <c r="C197" s="2" t="str">
        <f ca="1">IFERROR(__xludf.DUMMYFUNCTION("GOOGLETRANSLATE(A197,""bn"",""en"")"),"I am insulted by your love for doing something so unbearable")</f>
        <v>I am insulted by your love for doing something so unbearable</v>
      </c>
    </row>
    <row r="198" spans="1:3" ht="15" x14ac:dyDescent="0.25">
      <c r="A198" s="3" t="s">
        <v>200</v>
      </c>
      <c r="B198" s="3" t="s">
        <v>4</v>
      </c>
      <c r="C198" s="2" t="str">
        <f ca="1">IFERROR(__xludf.DUMMYFUNCTION("GOOGLETRANSLATE(A198,""bn"",""en"")"),"Politicians play on people's beliefs that change over time")</f>
        <v>Politicians play on people's beliefs that change over time</v>
      </c>
    </row>
    <row r="199" spans="1:3" ht="15" x14ac:dyDescent="0.25">
      <c r="A199" s="3" t="s">
        <v>201</v>
      </c>
      <c r="B199" s="3" t="s">
        <v>4</v>
      </c>
      <c r="C199" s="2" t="str">
        <f ca="1">IFERROR(__xludf.DUMMYFUNCTION("GOOGLETRANSLATE(A199,""bn"",""en"")"),"I want to cry when I remember the past")</f>
        <v>I want to cry when I remember the past</v>
      </c>
    </row>
    <row r="200" spans="1:3" ht="15" x14ac:dyDescent="0.25">
      <c r="A200" s="3" t="s">
        <v>202</v>
      </c>
      <c r="B200" s="3" t="s">
        <v>4</v>
      </c>
      <c r="C200" s="2" t="str">
        <f ca="1">IFERROR(__xludf.DUMMYFUNCTION("GOOGLETRANSLATE(A200,""bn"",""en"")"),"I never thought in my life how difficult it would be to study computer science before admission")</f>
        <v>I never thought in my life how difficult it would be to study computer science before admission</v>
      </c>
    </row>
    <row r="201" spans="1:3" ht="15" x14ac:dyDescent="0.25">
      <c r="A201" s="3" t="s">
        <v>203</v>
      </c>
      <c r="B201" s="3" t="s">
        <v>4</v>
      </c>
      <c r="C201" s="2" t="str">
        <f ca="1">IFERROR(__xludf.DUMMYFUNCTION("GOOGLETRANSLATE(A201,""bn"",""en"")"),"At the end of the day, the family that is the best for the money can not be with that family today")</f>
        <v>At the end of the day, the family that is the best for the money can not be with that family today</v>
      </c>
    </row>
    <row r="202" spans="1:3" ht="15" x14ac:dyDescent="0.25">
      <c r="A202" s="3" t="s">
        <v>204</v>
      </c>
      <c r="B202" s="3" t="s">
        <v>4</v>
      </c>
      <c r="C202" s="2" t="str">
        <f ca="1">IFERROR(__xludf.DUMMYFUNCTION("GOOGLETRANSLATE(A202,""bn"",""en"")"),"Being alone always makes people stronger and braver")</f>
        <v>Being alone always makes people stronger and braver</v>
      </c>
    </row>
    <row r="203" spans="1:3" ht="15" x14ac:dyDescent="0.25">
      <c r="A203" s="3" t="s">
        <v>205</v>
      </c>
      <c r="B203" s="3" t="s">
        <v>4</v>
      </c>
      <c r="C203" s="2" t="str">
        <f ca="1">IFERROR(__xludf.DUMMYFUNCTION("GOOGLETRANSLATE(A203,""bn"",""en"")"),"I have experienced some hardships in my life that have taken away my life and kept me alive")</f>
        <v>I have experienced some hardships in my life that have taken away my life and kept me alive</v>
      </c>
    </row>
    <row r="204" spans="1:3" ht="15" x14ac:dyDescent="0.25">
      <c r="A204" s="3" t="s">
        <v>206</v>
      </c>
      <c r="B204" s="3" t="s">
        <v>4</v>
      </c>
      <c r="C204" s="2" t="str">
        <f ca="1">IFERROR(__xludf.DUMMYFUNCTION("GOOGLETRANSLATE(A204,""bn"",""en"")"),"In the room of memory, the ancient trembles, showing my sorrow")</f>
        <v>In the room of memory, the ancient trembles, showing my sorrow</v>
      </c>
    </row>
    <row r="205" spans="1:3" ht="15" x14ac:dyDescent="0.25">
      <c r="A205" s="3" t="s">
        <v>207</v>
      </c>
      <c r="B205" s="3" t="s">
        <v>4</v>
      </c>
      <c r="C205" s="2" t="str">
        <f ca="1">IFERROR(__xludf.DUMMYFUNCTION("GOOGLETRANSLATE(A205,""bn"",""en"")"),"They are very selfish who change loved ones out of necessity")</f>
        <v>They are very selfish who change loved ones out of necessity</v>
      </c>
    </row>
    <row r="206" spans="1:3" ht="15" x14ac:dyDescent="0.25">
      <c r="A206" s="3" t="s">
        <v>208</v>
      </c>
      <c r="B206" s="3" t="s">
        <v>4</v>
      </c>
      <c r="C206" s="2" t="str">
        <f ca="1">IFERROR(__xludf.DUMMYFUNCTION("GOOGLETRANSLATE(A206,""bn"",""en"")"),"To tell the truth, many kinds of troubles are entering me")</f>
        <v>To tell the truth, many kinds of troubles are entering me</v>
      </c>
    </row>
    <row r="207" spans="1:3" ht="15" x14ac:dyDescent="0.25">
      <c r="A207" s="3" t="s">
        <v>209</v>
      </c>
      <c r="B207" s="3" t="s">
        <v>4</v>
      </c>
      <c r="C207" s="2" t="str">
        <f ca="1">IFERROR(__xludf.DUMMYFUNCTION("GOOGLETRANSLATE(A207,""bn"",""en"")"),"You are coming with me don't face danger stay careful")</f>
        <v>You are coming with me don't face danger stay careful</v>
      </c>
    </row>
    <row r="208" spans="1:3" ht="15" x14ac:dyDescent="0.25">
      <c r="A208" s="3" t="s">
        <v>210</v>
      </c>
      <c r="B208" s="3" t="s">
        <v>4</v>
      </c>
      <c r="C208" s="2" t="str">
        <f ca="1">IFERROR(__xludf.DUMMYFUNCTION("GOOGLETRANSLATE(A208,""bn"",""en"")"),"Loneliness is felt when loved ones are by your side")</f>
        <v>Loneliness is felt when loved ones are by your side</v>
      </c>
    </row>
    <row r="209" spans="1:3" ht="15" x14ac:dyDescent="0.25">
      <c r="A209" s="3" t="s">
        <v>211</v>
      </c>
      <c r="B209" s="3" t="s">
        <v>4</v>
      </c>
      <c r="C209" s="2" t="str">
        <f ca="1">IFERROR(__xludf.DUMMYFUNCTION("GOOGLETRANSLATE(A209,""bn"",""en"")"),"Politicians cannot find a solution to a problem or make it go away")</f>
        <v>Politicians cannot find a solution to a problem or make it go away</v>
      </c>
    </row>
    <row r="210" spans="1:3" ht="15" x14ac:dyDescent="0.25">
      <c r="A210" s="3" t="s">
        <v>212</v>
      </c>
      <c r="B210" s="3" t="s">
        <v>4</v>
      </c>
      <c r="C210" s="2" t="str">
        <f ca="1">IFERROR(__xludf.DUMMYFUNCTION("GOOGLETRANSLATE(A210,""bn"",""en"")"),"Love has a wonderful character, may be incomplete but never ends")</f>
        <v>Love has a wonderful character, may be incomplete but never ends</v>
      </c>
    </row>
    <row r="211" spans="1:3" ht="15" x14ac:dyDescent="0.25">
      <c r="A211" s="3" t="s">
        <v>213</v>
      </c>
      <c r="B211" s="3" t="s">
        <v>4</v>
      </c>
      <c r="C211" s="2" t="str">
        <f ca="1">IFERROR(__xludf.DUMMYFUNCTION("GOOGLETRANSLATE(A211,""bn"",""en"")"),"Dreaming is very easy but realizing the reality is very difficult")</f>
        <v>Dreaming is very easy but realizing the reality is very difficult</v>
      </c>
    </row>
    <row r="212" spans="1:3" ht="15" x14ac:dyDescent="0.25">
      <c r="A212" s="3" t="s">
        <v>214</v>
      </c>
      <c r="B212" s="3" t="s">
        <v>4</v>
      </c>
      <c r="C212" s="2" t="str">
        <f ca="1">IFERROR(__xludf.DUMMYFUNCTION("GOOGLETRANSLATE(A212,""bn"",""en"")"),"In untruthfulness and unfaithfulness we cannot present the basis of the relationship because it creates instability in the relationship and lack of trust")</f>
        <v>In untruthfulness and unfaithfulness we cannot present the basis of the relationship because it creates instability in the relationship and lack of trust</v>
      </c>
    </row>
    <row r="213" spans="1:3" ht="15" x14ac:dyDescent="0.25">
      <c r="A213" s="3" t="s">
        <v>215</v>
      </c>
      <c r="B213" s="3" t="s">
        <v>4</v>
      </c>
      <c r="C213" s="2" t="str">
        <f ca="1">IFERROR(__xludf.DUMMYFUNCTION("GOOGLETRANSLATE(A213,""bn"",""en"")"),"The most poetic thing in the world is not to be sick")</f>
        <v>The most poetic thing in the world is not to be sick</v>
      </c>
    </row>
    <row r="214" spans="1:3" ht="15" x14ac:dyDescent="0.25">
      <c r="A214" s="3" t="s">
        <v>216</v>
      </c>
      <c r="B214" s="3" t="s">
        <v>4</v>
      </c>
      <c r="C214" s="2" t="str">
        <f ca="1">IFERROR(__xludf.DUMMYFUNCTION("GOOGLETRANSLATE(A214,""bn"",""en"")"),"I find my sorrow in the light of lost time")</f>
        <v>I find my sorrow in the light of lost time</v>
      </c>
    </row>
    <row r="215" spans="1:3" ht="15" x14ac:dyDescent="0.25">
      <c r="A215" s="3" t="s">
        <v>217</v>
      </c>
      <c r="B215" s="3" t="s">
        <v>4</v>
      </c>
      <c r="C215" s="2" t="str">
        <f ca="1">IFERROR(__xludf.DUMMYFUNCTION("GOOGLETRANSLATE(A215,""bn"",""en"")"),"People's affection and sympathy are lost in the way of friendship in war")</f>
        <v>People's affection and sympathy are lost in the way of friendship in war</v>
      </c>
    </row>
    <row r="216" spans="1:3" ht="15" x14ac:dyDescent="0.25">
      <c r="A216" s="3" t="s">
        <v>218</v>
      </c>
      <c r="B216" s="3" t="s">
        <v>4</v>
      </c>
      <c r="C216" s="2" t="str">
        <f ca="1">IFERROR(__xludf.DUMMYFUNCTION("GOOGLETRANSLATE(A216,""bn"",""en"")"),"When I see the person I love with someone else, my heart breaks")</f>
        <v>When I see the person I love with someone else, my heart breaks</v>
      </c>
    </row>
    <row r="217" spans="1:3" ht="15" x14ac:dyDescent="0.25">
      <c r="A217" s="3" t="s">
        <v>219</v>
      </c>
      <c r="B217" s="3" t="s">
        <v>4</v>
      </c>
      <c r="C217" s="2" t="str">
        <f ca="1">IFERROR(__xludf.DUMMYFUNCTION("GOOGLETRANSLATE(A217,""bn"",""en"")"),"It's hard to live life hiding heartache")</f>
        <v>It's hard to live life hiding heartache</v>
      </c>
    </row>
    <row r="218" spans="1:3" ht="15" x14ac:dyDescent="0.25">
      <c r="A218" s="3" t="s">
        <v>220</v>
      </c>
      <c r="B218" s="3" t="s">
        <v>4</v>
      </c>
      <c r="C218" s="2" t="str">
        <f ca="1">IFERROR(__xludf.DUMMYFUNCTION("GOOGLETRANSLATE(A218,""bn"",""en"")"),"No matter how tough outside, boys have a soft heart inside")</f>
        <v>No matter how tough outside, boys have a soft heart inside</v>
      </c>
    </row>
    <row r="219" spans="1:3" ht="15" x14ac:dyDescent="0.25">
      <c r="A219" s="3" t="s">
        <v>221</v>
      </c>
      <c r="B219" s="3" t="s">
        <v>4</v>
      </c>
      <c r="C219" s="2" t="str">
        <f ca="1">IFERROR(__xludf.DUMMYFUNCTION("GOOGLETRANSLATE(A219,""bn"",""en"")"),"Being honest in life and career is very difficult")</f>
        <v>Being honest in life and career is very difficult</v>
      </c>
    </row>
    <row r="220" spans="1:3" ht="15" x14ac:dyDescent="0.25">
      <c r="A220" s="3" t="s">
        <v>222</v>
      </c>
      <c r="B220" s="3" t="s">
        <v>4</v>
      </c>
      <c r="C220" s="2" t="str">
        <f ca="1">IFERROR(__xludf.DUMMYFUNCTION("GOOGLETRANSLATE(A220,""bn"",""en"")"),"The story of the movie never becomes like the story of my life")</f>
        <v>The story of the movie never becomes like the story of my life</v>
      </c>
    </row>
    <row r="221" spans="1:3" ht="15" x14ac:dyDescent="0.25">
      <c r="A221" s="3" t="s">
        <v>223</v>
      </c>
      <c r="B221" s="3" t="s">
        <v>4</v>
      </c>
      <c r="C221" s="2" t="str">
        <f ca="1">IFERROR(__xludf.DUMMYFUNCTION("GOOGLETRANSLATE(A221,""bn"",""en"")"),"Temporality is not a claim but a road that does not lead me to my own time")</f>
        <v>Temporality is not a claim but a road that does not lead me to my own time</v>
      </c>
    </row>
    <row r="222" spans="1:3" ht="15" x14ac:dyDescent="0.25">
      <c r="A222" s="3" t="s">
        <v>224</v>
      </c>
      <c r="B222" s="3" t="s">
        <v>4</v>
      </c>
      <c r="C222" s="2" t="str">
        <f ca="1">IFERROR(__xludf.DUMMYFUNCTION("GOOGLETRANSLATE(A222,""bn"",""en"")"),"Neymar is one of the best footballers of all time but it's sad that he wasted his talent to lead a reckless life.")</f>
        <v>Neymar is one of the best footballers of all time but it's sad that he wasted his talent to lead a reckless life.</v>
      </c>
    </row>
    <row r="223" spans="1:3" ht="15" x14ac:dyDescent="0.25">
      <c r="A223" s="3" t="s">
        <v>225</v>
      </c>
      <c r="B223" s="3" t="s">
        <v>4</v>
      </c>
      <c r="C223" s="2" t="str">
        <f ca="1">IFERROR(__xludf.DUMMYFUNCTION("GOOGLETRANSLATE(A223,""bn"",""en"")"),"The role of culture in reshaping ensures leadership")</f>
        <v>The role of culture in reshaping ensures leadership</v>
      </c>
    </row>
    <row r="224" spans="1:3" ht="15" x14ac:dyDescent="0.25">
      <c r="A224" s="3" t="s">
        <v>226</v>
      </c>
      <c r="B224" s="3" t="s">
        <v>4</v>
      </c>
      <c r="C224" s="2" t="str">
        <f ca="1">IFERROR(__xludf.DUMMYFUNCTION("GOOGLETRANSLATE(A224,""bn"",""en"")"),"All the flowers of life's happiness have been burnt to the ground in the war")</f>
        <v>All the flowers of life's happiness have been burnt to the ground in the war</v>
      </c>
    </row>
    <row r="225" spans="1:3" ht="15" x14ac:dyDescent="0.25">
      <c r="A225" s="3" t="s">
        <v>227</v>
      </c>
      <c r="B225" s="3" t="s">
        <v>4</v>
      </c>
      <c r="C225" s="2" t="str">
        <f ca="1">IFERROR(__xludf.DUMMYFUNCTION("GOOGLETRANSLATE(A225,""bn"",""en"")"),"The lack of respect and compassion in my family affects me at times")</f>
        <v>The lack of respect and compassion in my family affects me at times</v>
      </c>
    </row>
    <row r="226" spans="1:3" ht="15" x14ac:dyDescent="0.25">
      <c r="A226" s="3" t="s">
        <v>228</v>
      </c>
      <c r="B226" s="3" t="s">
        <v>4</v>
      </c>
      <c r="C226" s="2" t="str">
        <f ca="1">IFERROR(__xludf.DUMMYFUNCTION("GOOGLETRANSLATE(A226,""bn"",""en"")"),"Only I know the pain of being alone even in a crowd")</f>
        <v>Only I know the pain of being alone even in a crowd</v>
      </c>
    </row>
    <row r="227" spans="1:3" ht="15" x14ac:dyDescent="0.25">
      <c r="A227" s="3" t="s">
        <v>229</v>
      </c>
      <c r="B227" s="3" t="s">
        <v>4</v>
      </c>
      <c r="C227" s="2" t="str">
        <f ca="1">IFERROR(__xludf.DUMMYFUNCTION("GOOGLETRANSLATE(A227,""bn"",""en"")"),"It is true that global wealth is growing exponentially but inequality is also increasing and new poverty is emerging")</f>
        <v>It is true that global wealth is growing exponentially but inequality is also increasing and new poverty is emerging</v>
      </c>
    </row>
    <row r="228" spans="1:3" ht="15" x14ac:dyDescent="0.25">
      <c r="A228" s="3" t="s">
        <v>230</v>
      </c>
      <c r="B228" s="3" t="s">
        <v>4</v>
      </c>
      <c r="C228" s="2" t="str">
        <f ca="1">IFERROR(__xludf.DUMMYFUNCTION("GOOGLETRANSLATE(A228,""bn"",""en"")"),"Brothers from the same mother's womb, but one cannot understand that one has achieved great success and the other is ruining his life due to bad company")</f>
        <v>Brothers from the same mother's womb, but one cannot understand that one has achieved great success and the other is ruining his life due to bad company</v>
      </c>
    </row>
    <row r="229" spans="1:3" ht="15" x14ac:dyDescent="0.25">
      <c r="A229" s="3" t="s">
        <v>231</v>
      </c>
      <c r="B229" s="3" t="s">
        <v>4</v>
      </c>
      <c r="C229" s="2" t="str">
        <f ca="1">IFERROR(__xludf.DUMMYFUNCTION("GOOGLETRANSLATE(A229,""bn"",""en"")"),"In today's society I can't find anything inside this social media alone")</f>
        <v>In today's society I can't find anything inside this social media alone</v>
      </c>
    </row>
    <row r="230" spans="1:3" ht="15" x14ac:dyDescent="0.25">
      <c r="A230" s="3" t="s">
        <v>232</v>
      </c>
      <c r="B230" s="3" t="s">
        <v>4</v>
      </c>
      <c r="C230" s="2" t="str">
        <f ca="1">IFERROR(__xludf.DUMMYFUNCTION("GOOGLETRANSLATE(A230,""bn"",""en"")"),"If you want to love someone, love your career and not any girl because a girl's mother doesn't question whether you love her, she questions what you do.")</f>
        <v>If you want to love someone, love your career and not any girl because a girl's mother doesn't question whether you love her, she questions what you do.</v>
      </c>
    </row>
    <row r="231" spans="1:3" ht="15" x14ac:dyDescent="0.25">
      <c r="A231" s="3" t="s">
        <v>233</v>
      </c>
      <c r="B231" s="3" t="s">
        <v>4</v>
      </c>
      <c r="C231" s="2" t="str">
        <f ca="1">IFERROR(__xludf.DUMMYFUNCTION("GOOGLETRANSLATE(A231,""bn"",""en"")"),"You can't find a friend like a school friend anywhere and a varsity friend is never a friend, everyone is a classmate")</f>
        <v>You can't find a friend like a school friend anywhere and a varsity friend is never a friend, everyone is a classmate</v>
      </c>
    </row>
    <row r="232" spans="1:3" ht="15" x14ac:dyDescent="0.25">
      <c r="A232" s="3" t="s">
        <v>234</v>
      </c>
      <c r="B232" s="3" t="s">
        <v>4</v>
      </c>
      <c r="C232" s="2" t="str">
        <f ca="1">IFERROR(__xludf.DUMMYFUNCTION("GOOGLETRANSLATE(A232,""bn"",""en"")"),"Those who easily adopt everyone are the ones who suffer the most in the world")</f>
        <v>Those who easily adopt everyone are the ones who suffer the most in the world</v>
      </c>
    </row>
    <row r="233" spans="1:3" ht="15" x14ac:dyDescent="0.25">
      <c r="A233" s="3" t="s">
        <v>235</v>
      </c>
      <c r="B233" s="3" t="s">
        <v>4</v>
      </c>
      <c r="C233" s="2" t="str">
        <f ca="1">IFERROR(__xludf.DUMMYFUNCTION("GOOGLETRANSLATE(A233,""bn"",""en"")"),"Only love can ignite any relationship")</f>
        <v>Only love can ignite any relationship</v>
      </c>
    </row>
    <row r="234" spans="1:3" ht="15" x14ac:dyDescent="0.25">
      <c r="A234" s="3" t="s">
        <v>236</v>
      </c>
      <c r="B234" s="3" t="s">
        <v>4</v>
      </c>
      <c r="C234" s="2" t="str">
        <f ca="1">IFERROR(__xludf.DUMMYFUNCTION("GOOGLETRANSLATE(A234,""bn"",""en"")"),"I am broken hearted by the pain of being alone and I have no refuge from anyone")</f>
        <v>I am broken hearted by the pain of being alone and I have no refuge from anyone</v>
      </c>
    </row>
    <row r="235" spans="1:3" ht="15" x14ac:dyDescent="0.25">
      <c r="A235" s="3" t="s">
        <v>237</v>
      </c>
      <c r="B235" s="3" t="s">
        <v>4</v>
      </c>
      <c r="C235" s="2" t="str">
        <f ca="1">IFERROR(__xludf.DUMMYFUNCTION("GOOGLETRANSLATE(A235,""bn"",""en"")"),"In addition to education, everyone should also acquire religious knowledge")</f>
        <v>In addition to education, everyone should also acquire religious knowledge</v>
      </c>
    </row>
    <row r="236" spans="1:3" ht="15" x14ac:dyDescent="0.25">
      <c r="A236" s="3" t="s">
        <v>238</v>
      </c>
      <c r="B236" s="3" t="s">
        <v>4</v>
      </c>
      <c r="C236" s="2" t="str">
        <f ca="1">IFERROR(__xludf.DUMMYFUNCTION("GOOGLETRANSLATE(A236,""bn"",""en"")"),"The silent fantasy world of beauty revealed on Instagram is where youth is losing confidence")</f>
        <v>The silent fantasy world of beauty revealed on Instagram is where youth is losing confidence</v>
      </c>
    </row>
    <row r="237" spans="1:3" ht="15" x14ac:dyDescent="0.25">
      <c r="A237" s="3" t="s">
        <v>239</v>
      </c>
      <c r="B237" s="3" t="s">
        <v>4</v>
      </c>
      <c r="C237" s="2" t="str">
        <f ca="1">IFERROR(__xludf.DUMMYFUNCTION("GOOGLETRANSLATE(A237,""bn"",""en"")"),"Of all the absurd assumptions of humanity upon humanity, the warmest of the warm and the well-off do not surpass most of the criticisms made upon the habits of the poor.")</f>
        <v>Of all the absurd assumptions of humanity upon humanity, the warmest of the warm and the well-off do not surpass most of the criticisms made upon the habits of the poor.</v>
      </c>
    </row>
    <row r="238" spans="1:3" ht="15" x14ac:dyDescent="0.25">
      <c r="A238" s="3" t="s">
        <v>240</v>
      </c>
      <c r="B238" s="3" t="s">
        <v>4</v>
      </c>
      <c r="C238" s="2" t="str">
        <f ca="1">IFERROR(__xludf.DUMMYFUNCTION("GOOGLETRANSLATE(A238,""bn"",""en"")"),"This time I want to start a journey to a limitless destination")</f>
        <v>This time I want to start a journey to a limitless destination</v>
      </c>
    </row>
    <row r="239" spans="1:3" ht="15" x14ac:dyDescent="0.25">
      <c r="A239" s="3" t="s">
        <v>241</v>
      </c>
      <c r="B239" s="3" t="s">
        <v>4</v>
      </c>
      <c r="C239" s="2" t="str">
        <f ca="1">IFERROR(__xludf.DUMMYFUNCTION("GOOGLETRANSLATE(A239,""bn"",""en"")"),"Sometimes it seems that life has no purpose without a purpose")</f>
        <v>Sometimes it seems that life has no purpose without a purpose</v>
      </c>
    </row>
    <row r="240" spans="1:3" ht="15" x14ac:dyDescent="0.25">
      <c r="A240" s="3" t="s">
        <v>242</v>
      </c>
      <c r="B240" s="3" t="s">
        <v>4</v>
      </c>
      <c r="C240" s="2" t="str">
        <f ca="1">IFERROR(__xludf.DUMMYFUNCTION("GOOGLETRANSLATE(A240,""bn"",""en"")"),"The importance of any relationship increases only when people can love themselves")</f>
        <v>The importance of any relationship increases only when people can love themselves</v>
      </c>
    </row>
    <row r="241" spans="1:3" ht="15" x14ac:dyDescent="0.25">
      <c r="A241" s="3" t="s">
        <v>243</v>
      </c>
      <c r="B241" s="3" t="s">
        <v>4</v>
      </c>
      <c r="C241" s="2" t="str">
        <f ca="1">IFERROR(__xludf.DUMMYFUNCTION("GOOGLETRANSLATE(A241,""bn"",""en"")"),"With love and care, flowers can bloom even in the desert")</f>
        <v>With love and care, flowers can bloom even in the desert</v>
      </c>
    </row>
    <row r="242" spans="1:3" ht="15" x14ac:dyDescent="0.25">
      <c r="A242" s="3" t="s">
        <v>244</v>
      </c>
      <c r="B242" s="3" t="s">
        <v>4</v>
      </c>
      <c r="C242" s="2" t="str">
        <f ca="1">IFERROR(__xludf.DUMMYFUNCTION("GOOGLETRANSLATE(A242,""bn"",""en"")"),"How does it feel when a client doesn't give a rating review after working so hard")</f>
        <v>How does it feel when a client doesn't give a rating review after working so hard</v>
      </c>
    </row>
    <row r="243" spans="1:3" ht="15" x14ac:dyDescent="0.25">
      <c r="A243" s="3" t="s">
        <v>245</v>
      </c>
      <c r="B243" s="3" t="s">
        <v>4</v>
      </c>
      <c r="C243" s="2" t="str">
        <f ca="1">IFERROR(__xludf.DUMMYFUNCTION("GOOGLETRANSLATE(A243,""bn"",""en"")"),"The light of hope is hidden in the darkness of Bengali culture")</f>
        <v>The light of hope is hidden in the darkness of Bengali culture</v>
      </c>
    </row>
    <row r="244" spans="1:3" ht="15" x14ac:dyDescent="0.25">
      <c r="A244" s="3" t="s">
        <v>246</v>
      </c>
      <c r="B244" s="3" t="s">
        <v>4</v>
      </c>
      <c r="C244" s="2" t="str">
        <f ca="1">IFERROR(__xludf.DUMMYFUNCTION("GOOGLETRANSLATE(A244,""bn"",""en"")"),"A relationship is made by two people but that relationship can be broken by one person")</f>
        <v>A relationship is made by two people but that relationship can be broken by one person</v>
      </c>
    </row>
    <row r="245" spans="1:3" ht="15" x14ac:dyDescent="0.25">
      <c r="A245" s="3" t="s">
        <v>247</v>
      </c>
      <c r="B245" s="3" t="s">
        <v>4</v>
      </c>
      <c r="C245" s="2" t="str">
        <f ca="1">IFERROR(__xludf.DUMMYFUNCTION("GOOGLETRANSLATE(A245,""bn"",""en"")"),"The night reminds me of my wounds")</f>
        <v>The night reminds me of my wounds</v>
      </c>
    </row>
    <row r="246" spans="1:3" ht="15" x14ac:dyDescent="0.25">
      <c r="A246" s="3" t="s">
        <v>248</v>
      </c>
      <c r="B246" s="3" t="s">
        <v>4</v>
      </c>
      <c r="C246" s="2" t="str">
        <f ca="1">IFERROR(__xludf.DUMMYFUNCTION("GOOGLETRANSLATE(A246,""bn"",""en"")"),"In war, love and cooperation are lost on opposite sides")</f>
        <v>In war, love and cooperation are lost on opposite sides</v>
      </c>
    </row>
    <row r="247" spans="1:3" ht="15" x14ac:dyDescent="0.25">
      <c r="A247" s="3" t="s">
        <v>249</v>
      </c>
      <c r="B247" s="3" t="s">
        <v>4</v>
      </c>
      <c r="C247" s="2" t="str">
        <f ca="1">IFERROR(__xludf.DUMMYFUNCTION("GOOGLETRANSLATE(A247,""bn"",""en"")"),"Failure is the harbinger of success")</f>
        <v>Failure is the harbinger of success</v>
      </c>
    </row>
    <row r="248" spans="1:3" ht="15" x14ac:dyDescent="0.25">
      <c r="A248" s="3" t="s">
        <v>250</v>
      </c>
      <c r="B248" s="3" t="s">
        <v>4</v>
      </c>
      <c r="C248" s="2" t="str">
        <f ca="1">IFERROR(__xludf.DUMMYFUNCTION("GOOGLETRANSLATE(A248,""bn"",""en"")"),"I don't understand what's happening in life, but I can't fix anything even after trying so much")</f>
        <v>I don't understand what's happening in life, but I can't fix anything even after trying so much</v>
      </c>
    </row>
    <row r="249" spans="1:3" ht="15" x14ac:dyDescent="0.25">
      <c r="A249" s="3" t="s">
        <v>251</v>
      </c>
      <c r="B249" s="3" t="s">
        <v>4</v>
      </c>
      <c r="C249" s="2" t="str">
        <f ca="1">IFERROR(__xludf.DUMMYFUNCTION("GOOGLETRANSLATE(A249,""bn"",""en"")"),"Just listening to the song, the mind trembles as well as becomes a prisoner of sorrow")</f>
        <v>Just listening to the song, the mind trembles as well as becomes a prisoner of sorrow</v>
      </c>
    </row>
    <row r="250" spans="1:3" ht="15" x14ac:dyDescent="0.25">
      <c r="A250" s="3" t="s">
        <v>252</v>
      </c>
      <c r="B250" s="3" t="s">
        <v>4</v>
      </c>
      <c r="C250" s="2" t="str">
        <f ca="1">IFERROR(__xludf.DUMMYFUNCTION("GOOGLETRANSLATE(A250,""bn"",""en"")"),"All of us should stand by those who are deprived in the society and there is no one to help them")</f>
        <v>All of us should stand by those who are deprived in the society and there is no one to help them</v>
      </c>
    </row>
    <row r="251" spans="1:3" ht="15" x14ac:dyDescent="0.25">
      <c r="A251" s="3" t="s">
        <v>253</v>
      </c>
      <c r="B251" s="3" t="s">
        <v>4</v>
      </c>
      <c r="C251" s="2" t="str">
        <f ca="1">IFERROR(__xludf.DUMMYFUNCTION("GOOGLETRANSLATE(A251,""bn"",""en"")"),"The hardest thing in the world is to make honest friends")</f>
        <v>The hardest thing in the world is to make honest friends</v>
      </c>
    </row>
    <row r="252" spans="1:3" ht="15" x14ac:dyDescent="0.25">
      <c r="A252" s="3" t="s">
        <v>254</v>
      </c>
      <c r="B252" s="3" t="s">
        <v>4</v>
      </c>
      <c r="C252" s="2" t="str">
        <f ca="1">IFERROR(__xludf.DUMMYFUNCTION("GOOGLETRANSLATE(A252,""bn"",""en"")"),"The only direction a sick person faces is forward and upward")</f>
        <v>The only direction a sick person faces is forward and upward</v>
      </c>
    </row>
    <row r="253" spans="1:3" ht="15" x14ac:dyDescent="0.25">
      <c r="A253" s="3" t="s">
        <v>255</v>
      </c>
      <c r="B253" s="3" t="s">
        <v>4</v>
      </c>
      <c r="C253" s="2" t="str">
        <f ca="1">IFERROR(__xludf.DUMMYFUNCTION("GOOGLETRANSLATE(A253,""bn"",""en"")"),"There is a strength that arises from illness and weakness")</f>
        <v>There is a strength that arises from illness and weakness</v>
      </c>
    </row>
    <row r="254" spans="1:3" ht="15" x14ac:dyDescent="0.25">
      <c r="A254" s="3" t="s">
        <v>256</v>
      </c>
      <c r="B254" s="3" t="s">
        <v>4</v>
      </c>
      <c r="C254" s="2" t="str">
        <f ca="1">IFERROR(__xludf.DUMMYFUNCTION("GOOGLETRANSLATE(A254,""bn"",""en"")"),"I always feel a sense of annoyance in the family")</f>
        <v>I always feel a sense of annoyance in the family</v>
      </c>
    </row>
    <row r="255" spans="1:3" ht="15" x14ac:dyDescent="0.25">
      <c r="A255" s="3" t="s">
        <v>257</v>
      </c>
      <c r="B255" s="3" t="s">
        <v>4</v>
      </c>
      <c r="C255" s="2" t="str">
        <f ca="1">IFERROR(__xludf.DUMMYFUNCTION("GOOGLETRANSLATE(A255,""bn"",""en"")"),"People in third world countries are not living in poverty they are living the way nature taught us to live and put us all to shame.")</f>
        <v>People in third world countries are not living in poverty they are living the way nature taught us to live and put us all to shame.</v>
      </c>
    </row>
    <row r="256" spans="1:3" ht="15" x14ac:dyDescent="0.25">
      <c r="A256" s="3" t="s">
        <v>258</v>
      </c>
      <c r="B256" s="3" t="s">
        <v>4</v>
      </c>
      <c r="C256" s="2" t="str">
        <f ca="1">IFERROR(__xludf.DUMMYFUNCTION("GOOGLETRANSLATE(A256,""bn"",""en"")"),"BNP is repeatedly talking about agitation but is unable to do anything")</f>
        <v>BNP is repeatedly talking about agitation but is unable to do anything</v>
      </c>
    </row>
    <row r="257" spans="1:3" ht="15" x14ac:dyDescent="0.25">
      <c r="A257" s="3" t="s">
        <v>259</v>
      </c>
      <c r="B257" s="3" t="s">
        <v>4</v>
      </c>
      <c r="C257" s="2" t="str">
        <f ca="1">IFERROR(__xludf.DUMMYFUNCTION("GOOGLETRANSLATE(A257,""bn"",""en"")"),"In this city of bricks and stones, I die every day and try to survive")</f>
        <v>In this city of bricks and stones, I die every day and try to survive</v>
      </c>
    </row>
    <row r="258" spans="1:3" ht="15" x14ac:dyDescent="0.25">
      <c r="A258" s="3" t="s">
        <v>260</v>
      </c>
      <c r="B258" s="3" t="s">
        <v>4</v>
      </c>
      <c r="C258" s="2" t="str">
        <f ca="1">IFERROR(__xludf.DUMMYFUNCTION("GOOGLETRANSLATE(A258,""bn"",""en"")"),"Not everyone's journey is auspicious")</f>
        <v>Not everyone's journey is auspicious</v>
      </c>
    </row>
    <row r="259" spans="1:3" ht="15" x14ac:dyDescent="0.25">
      <c r="A259" s="3" t="s">
        <v>261</v>
      </c>
      <c r="B259" s="3" t="s">
        <v>4</v>
      </c>
      <c r="C259" s="2" t="str">
        <f ca="1">IFERROR(__xludf.DUMMYFUNCTION("GOOGLETRANSLATE(A259,""bn"",""en"")"),"I can't even raise my voice, I can't express my thoughts in my mouth, I'm feeling dumb")</f>
        <v>I can't even raise my voice, I can't express my thoughts in my mouth, I'm feeling dumb</v>
      </c>
    </row>
    <row r="260" spans="1:3" ht="15" x14ac:dyDescent="0.25">
      <c r="A260" s="3" t="s">
        <v>262</v>
      </c>
      <c r="B260" s="3" t="s">
        <v>4</v>
      </c>
      <c r="C260" s="2" t="str">
        <f ca="1">IFERROR(__xludf.DUMMYFUNCTION("GOOGLETRANSLATE(A260,""bn"",""en"")"),"Parents are the closest people to us but we give them a lot of trouble without knowing it")</f>
        <v>Parents are the closest people to us but we give them a lot of trouble without knowing it</v>
      </c>
    </row>
    <row r="261" spans="1:3" ht="15" x14ac:dyDescent="0.25">
      <c r="A261" s="3" t="s">
        <v>263</v>
      </c>
      <c r="B261" s="3" t="s">
        <v>4</v>
      </c>
      <c r="C261" s="2" t="str">
        <f ca="1">IFERROR(__xludf.DUMMYFUNCTION("GOOGLETRANSLATE(A261,""bn"",""en"")"),"A youth lost in the lazy dream world of social media is never safe in the web of false hope")</f>
        <v>A youth lost in the lazy dream world of social media is never safe in the web of false hope</v>
      </c>
    </row>
    <row r="262" spans="1:3" ht="15" x14ac:dyDescent="0.25">
      <c r="A262" s="3" t="s">
        <v>264</v>
      </c>
      <c r="B262" s="3" t="s">
        <v>4</v>
      </c>
      <c r="C262" s="2" t="str">
        <f ca="1">IFERROR(__xludf.DUMMYFUNCTION("GOOGLETRANSLATE(A262,""bn"",""en"")"),"Memories of my ghost country in the color of murder are endless like dreams of the dead")</f>
        <v>Memories of my ghost country in the color of murder are endless like dreams of the dead</v>
      </c>
    </row>
    <row r="263" spans="1:3" ht="15" x14ac:dyDescent="0.25">
      <c r="A263" s="3" t="s">
        <v>265</v>
      </c>
      <c r="B263" s="3" t="s">
        <v>4</v>
      </c>
      <c r="C263" s="2" t="str">
        <f ca="1">IFERROR(__xludf.DUMMYFUNCTION("GOOGLETRANSLATE(A263,""bn"",""en"")"),"If a relationship is built on trust and confidence, then that relationship will last forever despite a thousand adversities")</f>
        <v>If a relationship is built on trust and confidence, then that relationship will last forever despite a thousand adversities</v>
      </c>
    </row>
    <row r="264" spans="1:3" ht="15" x14ac:dyDescent="0.25">
      <c r="A264" s="3" t="s">
        <v>266</v>
      </c>
      <c r="B264" s="3" t="s">
        <v>4</v>
      </c>
      <c r="C264" s="2" t="str">
        <f ca="1">IFERROR(__xludf.DUMMYFUNCTION("GOOGLETRANSLATE(A264,""bn"",""en"")"),"If there is no fear in love, the juice is not intense")</f>
        <v>If there is no fear in love, the juice is not intense</v>
      </c>
    </row>
    <row r="265" spans="1:3" ht="15" x14ac:dyDescent="0.25">
      <c r="A265" s="3" t="s">
        <v>267</v>
      </c>
      <c r="B265" s="3" t="s">
        <v>4</v>
      </c>
      <c r="C265" s="2" t="str">
        <f ca="1">IFERROR(__xludf.DUMMYFUNCTION("GOOGLETRANSLATE(A265,""bn"",""en"")"),"I am still living with the pain")</f>
        <v>I am still living with the pain</v>
      </c>
    </row>
    <row r="266" spans="1:3" ht="15" x14ac:dyDescent="0.25">
      <c r="A266" s="3" t="s">
        <v>268</v>
      </c>
      <c r="B266" s="3" t="s">
        <v>4</v>
      </c>
      <c r="C266" s="2" t="str">
        <f ca="1">IFERROR(__xludf.DUMMYFUNCTION("GOOGLETRANSLATE(A266,""bn"",""en"")"),"While reading books we come to a temporary position where we cannot solve our own problems")</f>
        <v>While reading books we come to a temporary position where we cannot solve our own problems</v>
      </c>
    </row>
    <row r="267" spans="1:3" ht="15" x14ac:dyDescent="0.25">
      <c r="A267" s="3" t="s">
        <v>269</v>
      </c>
      <c r="B267" s="3" t="s">
        <v>4</v>
      </c>
      <c r="C267" s="2" t="str">
        <f ca="1">IFERROR(__xludf.DUMMYFUNCTION("GOOGLETRANSLATE(A267,""bn"",""en"")"),"The joys of love are momentary but the sad moments of love last a lifetime")</f>
        <v>The joys of love are momentary but the sad moments of love last a lifetime</v>
      </c>
    </row>
    <row r="268" spans="1:3" ht="15" x14ac:dyDescent="0.25">
      <c r="A268" s="3" t="s">
        <v>270</v>
      </c>
      <c r="B268" s="3" t="s">
        <v>4</v>
      </c>
      <c r="C268" s="2" t="str">
        <f ca="1">IFERROR(__xludf.DUMMYFUNCTION("GOOGLETRANSLATE(A268,""bn"",""en"")"),"I don't dislike being alone because I don't want to be one of the crowd")</f>
        <v>I don't dislike being alone because I don't want to be one of the crowd</v>
      </c>
    </row>
    <row r="269" spans="1:3" ht="15" x14ac:dyDescent="0.25">
      <c r="A269" s="3" t="s">
        <v>271</v>
      </c>
      <c r="B269" s="3" t="s">
        <v>4</v>
      </c>
      <c r="C269" s="2" t="str">
        <f ca="1">IFERROR(__xludf.DUMMYFUNCTION("GOOGLETRANSLATE(A269,""bn"",""en"")"),"Don't waste time waking up at night and seeing the light of dawn")</f>
        <v>Don't waste time waking up at night and seeing the light of dawn</v>
      </c>
    </row>
    <row r="270" spans="1:3" ht="15" x14ac:dyDescent="0.25">
      <c r="A270" s="3" t="s">
        <v>272</v>
      </c>
      <c r="B270" s="3" t="s">
        <v>4</v>
      </c>
      <c r="C270" s="2" t="str">
        <f ca="1">IFERROR(__xludf.DUMMYFUNCTION("GOOGLETRANSLATE(A270,""bn"",""en"")"),"Poverty is the thief of dreams")</f>
        <v>Poverty is the thief of dreams</v>
      </c>
    </row>
    <row r="271" spans="1:3" ht="15" x14ac:dyDescent="0.25">
      <c r="A271" s="3" t="s">
        <v>273</v>
      </c>
      <c r="B271" s="3" t="s">
        <v>4</v>
      </c>
      <c r="C271" s="2" t="str">
        <f ca="1">IFERROR(__xludf.DUMMYFUNCTION("GOOGLETRANSLATE(A271,""bn"",""en"")"),"Feelings of the unintelligible past are the annoyances of my happiness")</f>
        <v>Feelings of the unintelligible past are the annoyances of my happiness</v>
      </c>
    </row>
    <row r="272" spans="1:3" ht="15" x14ac:dyDescent="0.25">
      <c r="A272" s="3" t="s">
        <v>274</v>
      </c>
      <c r="B272" s="3" t="s">
        <v>4</v>
      </c>
      <c r="C272" s="2" t="str">
        <f ca="1">IFERROR(__xludf.DUMMYFUNCTION("GOOGLETRANSLATE(A272,""bn"",""en"")"),"Actually man never fails he just gives up at some point")</f>
        <v>Actually man never fails he just gives up at some point</v>
      </c>
    </row>
    <row r="273" spans="1:3" ht="15" x14ac:dyDescent="0.25">
      <c r="A273" s="3" t="s">
        <v>275</v>
      </c>
      <c r="B273" s="3" t="s">
        <v>4</v>
      </c>
      <c r="C273" s="2" t="str">
        <f ca="1">IFERROR(__xludf.DUMMYFUNCTION("GOOGLETRANSLATE(A273,""bn"",""en"")"),"How many tears, how much loss, how much space there is in the hearts of people who are wounded for no reason")</f>
        <v>How many tears, how much loss, how much space there is in the hearts of people who are wounded for no reason</v>
      </c>
    </row>
    <row r="274" spans="1:3" ht="15" x14ac:dyDescent="0.25">
      <c r="A274" s="3" t="s">
        <v>276</v>
      </c>
      <c r="B274" s="3" t="s">
        <v>4</v>
      </c>
      <c r="C274" s="2" t="str">
        <f ca="1">IFERROR(__xludf.DUMMYFUNCTION("GOOGLETRANSLATE(A274,""bn"",""en"")"),"Dreaming is easy but realizing reality is difficult")</f>
        <v>Dreaming is easy but realizing reality is difficult</v>
      </c>
    </row>
    <row r="275" spans="1:3" ht="15" x14ac:dyDescent="0.25">
      <c r="A275" s="3" t="s">
        <v>277</v>
      </c>
      <c r="B275" s="3" t="s">
        <v>4</v>
      </c>
      <c r="C275" s="2" t="str">
        <f ca="1">IFERROR(__xludf.DUMMYFUNCTION("GOOGLETRANSLATE(A275,""bn"",""en"")"),"Oh, I love him so well that I have no feelings of hatred for him")</f>
        <v>Oh, I love him so well that I have no feelings of hatred for him</v>
      </c>
    </row>
    <row r="276" spans="1:3" ht="15" x14ac:dyDescent="0.25">
      <c r="A276" s="3" t="s">
        <v>278</v>
      </c>
      <c r="B276" s="3" t="s">
        <v>4</v>
      </c>
      <c r="C276" s="2" t="str">
        <f ca="1">IFERROR(__xludf.DUMMYFUNCTION("GOOGLETRANSLATE(A276,""bn"",""en"")"),"Busy cities today are rife with disease")</f>
        <v>Busy cities today are rife with disease</v>
      </c>
    </row>
    <row r="277" spans="1:3" ht="15" x14ac:dyDescent="0.25">
      <c r="A277" s="3" t="s">
        <v>279</v>
      </c>
      <c r="B277" s="3" t="s">
        <v>4</v>
      </c>
      <c r="C277" s="2" t="str">
        <f ca="1">IFERROR(__xludf.DUMMYFUNCTION("GOOGLETRANSLATE(A277,""bn"",""en"")"),"Surviving among everyone is easy but understanding alone is a very difficult task")</f>
        <v>Surviving among everyone is easy but understanding alone is a very difficult task</v>
      </c>
    </row>
    <row r="278" spans="1:3" ht="15" x14ac:dyDescent="0.25">
      <c r="A278" s="3" t="s">
        <v>280</v>
      </c>
      <c r="B278" s="3" t="s">
        <v>4</v>
      </c>
      <c r="C278" s="2" t="str">
        <f ca="1">IFERROR(__xludf.DUMMYFUNCTION("GOOGLETRANSLATE(A278,""bn"",""en"")"),"A smile may not reveal everything but it can hide a lot")</f>
        <v>A smile may not reveal everything but it can hide a lot</v>
      </c>
    </row>
    <row r="279" spans="1:3" ht="15" x14ac:dyDescent="0.25">
      <c r="A279" s="3" t="s">
        <v>281</v>
      </c>
      <c r="B279" s="3" t="s">
        <v>4</v>
      </c>
      <c r="C279" s="2" t="str">
        <f ca="1">IFERROR(__xludf.DUMMYFUNCTION("GOOGLETRANSLATE(A279,""bn"",""en"")"),"When mother goes somewhere, the whole house feels empty without her, then you can understand what mother is")</f>
        <v>When mother goes somewhere, the whole house feels empty without her, then you can understand what mother is</v>
      </c>
    </row>
    <row r="280" spans="1:3" ht="15" x14ac:dyDescent="0.25">
      <c r="A280" s="3" t="s">
        <v>282</v>
      </c>
      <c r="B280" s="3" t="s">
        <v>4</v>
      </c>
      <c r="C280" s="2" t="str">
        <f ca="1">IFERROR(__xludf.DUMMYFUNCTION("GOOGLETRANSLATE(A280,""bn"",""en"")"),"I found myself in the main character of the movie but not in my heart")</f>
        <v>I found myself in the main character of the movie but not in my heart</v>
      </c>
    </row>
    <row r="281" spans="1:3" ht="15" x14ac:dyDescent="0.25">
      <c r="A281" s="3" t="s">
        <v>283</v>
      </c>
      <c r="B281" s="3" t="s">
        <v>4</v>
      </c>
      <c r="C281" s="2" t="str">
        <f ca="1">IFERROR(__xludf.DUMMYFUNCTION("GOOGLETRANSLATE(A281,""bn"",""en"")"),"Turning illness into a catalyst for growth and self-care")</f>
        <v>Turning illness into a catalyst for growth and self-care</v>
      </c>
    </row>
    <row r="282" spans="1:3" ht="15" x14ac:dyDescent="0.25">
      <c r="A282" s="3" t="s">
        <v>284</v>
      </c>
      <c r="B282" s="3" t="s">
        <v>4</v>
      </c>
      <c r="C282" s="2" t="str">
        <f ca="1">IFERROR(__xludf.DUMMYFUNCTION("GOOGLETRANSLATE(A282,""bn"",""en"")"),"Fear of losing you")</f>
        <v>Fear of losing you</v>
      </c>
    </row>
    <row r="283" spans="1:3" ht="15" x14ac:dyDescent="0.25">
      <c r="A283" s="3" t="s">
        <v>285</v>
      </c>
      <c r="B283" s="3" t="s">
        <v>4</v>
      </c>
      <c r="C283" s="2" t="str">
        <f ca="1">IFERROR(__xludf.DUMMYFUNCTION("GOOGLETRANSLATE(A283,""bn"",""en"")"),"The mind cries in the silence of the late night")</f>
        <v>The mind cries in the silence of the late night</v>
      </c>
    </row>
    <row r="284" spans="1:3" ht="15" x14ac:dyDescent="0.25">
      <c r="A284" s="3" t="s">
        <v>286</v>
      </c>
      <c r="B284" s="3" t="s">
        <v>4</v>
      </c>
      <c r="C284" s="2" t="str">
        <f ca="1">IFERROR(__xludf.DUMMYFUNCTION("GOOGLETRANSLATE(A284,""bn"",""en"")"),"The story of the movie is like the story of my life which I read in darkness when it ends")</f>
        <v>The story of the movie is like the story of my life which I read in darkness when it ends</v>
      </c>
    </row>
    <row r="285" spans="1:3" ht="15" x14ac:dyDescent="0.25">
      <c r="A285" s="3" t="s">
        <v>287</v>
      </c>
      <c r="B285" s="3" t="s">
        <v>4</v>
      </c>
      <c r="C285" s="2" t="str">
        <f ca="1">IFERROR(__xludf.DUMMYFUNCTION("GOOGLETRANSLATE(A285,""bn"",""en"")"),"My heart is a lonely wanderer seeking solace in the wilderness of life")</f>
        <v>My heart is a lonely wanderer seeking solace in the wilderness of life</v>
      </c>
    </row>
    <row r="286" spans="1:3" ht="15" x14ac:dyDescent="0.25">
      <c r="A286" s="3" t="s">
        <v>288</v>
      </c>
      <c r="B286" s="3" t="s">
        <v>4</v>
      </c>
      <c r="C286" s="2" t="str">
        <f ca="1">IFERROR(__xludf.DUMMYFUNCTION("GOOGLETRANSLATE(A286,""bn"",""en"")"),"We are alert for war signals")</f>
        <v>We are alert for war signals</v>
      </c>
    </row>
    <row r="287" spans="1:3" ht="15" x14ac:dyDescent="0.25">
      <c r="A287" s="3" t="s">
        <v>289</v>
      </c>
      <c r="B287" s="3" t="s">
        <v>4</v>
      </c>
      <c r="C287" s="2" t="str">
        <f ca="1">IFERROR(__xludf.DUMMYFUNCTION("GOOGLETRANSLATE(A287,""bn"",""en"")"),"The economic situation of the country is sad recently")</f>
        <v>The economic situation of the country is sad recently</v>
      </c>
    </row>
    <row r="288" spans="1:3" ht="15" x14ac:dyDescent="0.25">
      <c r="A288" s="3" t="s">
        <v>290</v>
      </c>
      <c r="B288" s="3" t="s">
        <v>4</v>
      </c>
      <c r="C288" s="2" t="str">
        <f ca="1">IFERROR(__xludf.DUMMYFUNCTION("GOOGLETRANSLATE(A288,""bn"",""en"")"),"There is no point in talking about democracy in this country")</f>
        <v>There is no point in talking about democracy in this country</v>
      </c>
    </row>
    <row r="289" spans="1:3" ht="15" x14ac:dyDescent="0.25">
      <c r="A289" s="3" t="s">
        <v>291</v>
      </c>
      <c r="B289" s="3" t="s">
        <v>4</v>
      </c>
      <c r="C289" s="2" t="str">
        <f ca="1">IFERROR(__xludf.DUMMYFUNCTION("GOOGLETRANSLATE(A289,""bn"",""en"")"),"What can I do with so many certificates if I don't have my own humanity")</f>
        <v>What can I do with so many certificates if I don't have my own humanity</v>
      </c>
    </row>
    <row r="290" spans="1:3" ht="15" x14ac:dyDescent="0.25">
      <c r="A290" s="3" t="s">
        <v>292</v>
      </c>
      <c r="B290" s="3" t="s">
        <v>4</v>
      </c>
      <c r="C290" s="2" t="str">
        <f ca="1">IFERROR(__xludf.DUMMYFUNCTION("GOOGLETRANSLATE(A290,""bn"",""en"")"),"I don't understand how to pay the university tuition fees in this bad family situation")</f>
        <v>I don't understand how to pay the university tuition fees in this bad family situation</v>
      </c>
    </row>
    <row r="291" spans="1:3" ht="15" x14ac:dyDescent="0.25">
      <c r="A291" s="3" t="s">
        <v>293</v>
      </c>
      <c r="B291" s="3" t="s">
        <v>4</v>
      </c>
      <c r="C291" s="2" t="str">
        <f ca="1">IFERROR(__xludf.DUMMYFUNCTION("GOOGLETRANSLATE(A291,""bn"",""en"")"),"Even after being so big, I still can't take the responsibility of my parents, what could be more insulting than this")</f>
        <v>Even after being so big, I still can't take the responsibility of my parents, what could be more insulting than this</v>
      </c>
    </row>
    <row r="292" spans="1:3" ht="15" x14ac:dyDescent="0.25">
      <c r="A292" s="3" t="s">
        <v>294</v>
      </c>
      <c r="B292" s="3" t="s">
        <v>4</v>
      </c>
      <c r="C292" s="2" t="str">
        <f ca="1">IFERROR(__xludf.DUMMYFUNCTION("GOOGLETRANSLATE(A292,""bn"",""en"")"),"Clean politics is important for the development of society but where is it?")</f>
        <v>Clean politics is important for the development of society but where is it?</v>
      </c>
    </row>
    <row r="293" spans="1:3" ht="15" x14ac:dyDescent="0.25">
      <c r="A293" s="3" t="s">
        <v>295</v>
      </c>
      <c r="B293" s="3" t="s">
        <v>4</v>
      </c>
      <c r="C293" s="2" t="str">
        <f ca="1">IFERROR(__xludf.DUMMYFUNCTION("GOOGLETRANSLATE(A293,""bn"",""en"")"),"When I'm stuck in the trap of loneliness, it seems like the world is just my enemy")</f>
        <v>When I'm stuck in the trap of loneliness, it seems like the world is just my enemy</v>
      </c>
    </row>
    <row r="294" spans="1:3" ht="15" x14ac:dyDescent="0.25">
      <c r="A294" s="3" t="s">
        <v>296</v>
      </c>
      <c r="B294" s="3" t="s">
        <v>4</v>
      </c>
      <c r="C294" s="2" t="str">
        <f ca="1">IFERROR(__xludf.DUMMYFUNCTION("GOOGLETRANSLATE(A294,""bn"",""en"")"),"Even though Mona Lisa is one of Leonardo da Vinci's greatest creations, many are disappointed because many do not understand its true meaning.")</f>
        <v>Even though Mona Lisa is one of Leonardo da Vinci's greatest creations, many are disappointed because many do not understand its true meaning.</v>
      </c>
    </row>
    <row r="295" spans="1:3" ht="15" x14ac:dyDescent="0.25">
      <c r="A295" s="3" t="s">
        <v>297</v>
      </c>
      <c r="B295" s="3" t="s">
        <v>4</v>
      </c>
      <c r="C295" s="2" t="str">
        <f ca="1">IFERROR(__xludf.DUMMYFUNCTION("GOOGLETRANSLATE(A295,""bn"",""en"")"),"Why do you lie in a belief of existence?")</f>
        <v>Why do you lie in a belief of existence?</v>
      </c>
    </row>
    <row r="296" spans="1:3" ht="15" x14ac:dyDescent="0.25">
      <c r="A296" s="3" t="s">
        <v>298</v>
      </c>
      <c r="B296" s="3" t="s">
        <v>4</v>
      </c>
      <c r="C296" s="2" t="str">
        <f ca="1">IFERROR(__xludf.DUMMYFUNCTION("GOOGLETRANSLATE(A296,""bn"",""en"")"),"Wars are started by the rich and the poor die as a result")</f>
        <v>Wars are started by the rich and the poor die as a result</v>
      </c>
    </row>
    <row r="297" spans="1:3" ht="15" x14ac:dyDescent="0.25">
      <c r="A297" s="3" t="s">
        <v>299</v>
      </c>
      <c r="B297" s="3" t="s">
        <v>4</v>
      </c>
      <c r="C297" s="2" t="str">
        <f ca="1">IFERROR(__xludf.DUMMYFUNCTION("GOOGLETRANSLATE(A297,""bn"",""en"")"),"Humanity has been lost in the darkness of war")</f>
        <v>Humanity has been lost in the darkness of war</v>
      </c>
    </row>
    <row r="298" spans="1:3" ht="15" x14ac:dyDescent="0.25">
      <c r="A298" s="3" t="s">
        <v>300</v>
      </c>
      <c r="B298" s="3" t="s">
        <v>4</v>
      </c>
      <c r="C298" s="2" t="str">
        <f ca="1">IFERROR(__xludf.DUMMYFUNCTION("GOOGLETRANSLATE(A298,""bn"",""en"")"),"Many people don't go out of the house, they don't miss everyone, not everyone should have a good relationship with their neighbours")</f>
        <v>Many people don't go out of the house, they don't miss everyone, not everyone should have a good relationship with their neighbours</v>
      </c>
    </row>
    <row r="299" spans="1:3" ht="15" x14ac:dyDescent="0.25">
      <c r="A299" s="3" t="s">
        <v>301</v>
      </c>
      <c r="B299" s="3" t="s">
        <v>4</v>
      </c>
      <c r="C299" s="2" t="str">
        <f ca="1">IFERROR(__xludf.DUMMYFUNCTION("GOOGLETRANSLATE(A299,""bn"",""en"")"),"I embraced the sick life with a smile")</f>
        <v>I embraced the sick life with a smile</v>
      </c>
    </row>
    <row r="300" spans="1:3" ht="15" x14ac:dyDescent="0.25">
      <c r="A300" s="3" t="s">
        <v>302</v>
      </c>
      <c r="B300" s="3" t="s">
        <v>4</v>
      </c>
      <c r="C300" s="2" t="str">
        <f ca="1">IFERROR(__xludf.DUMMYFUNCTION("GOOGLETRANSLATE(A300,""bn"",""en"")"),"I gasped while climbing the stairs, it seems that the condition of the body is not the same as before")</f>
        <v>I gasped while climbing the stairs, it seems that the condition of the body is not the same as before</v>
      </c>
    </row>
    <row r="301" spans="1:3" ht="15" x14ac:dyDescent="0.25">
      <c r="A301" s="3" t="s">
        <v>303</v>
      </c>
      <c r="B301" s="3" t="s">
        <v>4</v>
      </c>
      <c r="C301" s="2" t="str">
        <f ca="1">IFERROR(__xludf.DUMMYFUNCTION("GOOGLETRANSLATE(A301,""bn"",""en"")"),"A wife of turmoil can somehow be a companion of peace in the midst of war")</f>
        <v>A wife of turmoil can somehow be a companion of peace in the midst of war</v>
      </c>
    </row>
    <row r="302" spans="1:3" ht="15" x14ac:dyDescent="0.25">
      <c r="A302" s="3" t="s">
        <v>304</v>
      </c>
      <c r="B302" s="3" t="s">
        <v>4</v>
      </c>
      <c r="C302" s="2" t="str">
        <f ca="1">IFERROR(__xludf.DUMMYFUNCTION("GOOGLETRANSLATE(A302,""bn"",""en"")"),"The deep obscene part of time I am familiar with in my heart")</f>
        <v>The deep obscene part of time I am familiar with in my heart</v>
      </c>
    </row>
    <row r="303" spans="1:3" ht="15" x14ac:dyDescent="0.25">
      <c r="A303" s="3" t="s">
        <v>305</v>
      </c>
      <c r="B303" s="3" t="s">
        <v>4</v>
      </c>
      <c r="C303" s="2" t="str">
        <f ca="1">IFERROR(__xludf.DUMMYFUNCTION("GOOGLETRANSLATE(A303,""bn"",""en"")"),"There are times in life when we have nothing to say")</f>
        <v>There are times in life when we have nothing to say</v>
      </c>
    </row>
    <row r="304" spans="1:3" ht="15" x14ac:dyDescent="0.25">
      <c r="A304" s="3" t="s">
        <v>306</v>
      </c>
      <c r="B304" s="3" t="s">
        <v>4</v>
      </c>
      <c r="C304" s="2" t="str">
        <f ca="1">IFERROR(__xludf.DUMMYFUNCTION("GOOGLETRANSLATE(A304,""bn"",""en"")"),"The concept of war damage is humanity's end-of-life search and torture")</f>
        <v>The concept of war damage is humanity's end-of-life search and torture</v>
      </c>
    </row>
    <row r="305" spans="1:3" ht="15" x14ac:dyDescent="0.25">
      <c r="A305" s="3" t="s">
        <v>307</v>
      </c>
      <c r="B305" s="3" t="s">
        <v>4</v>
      </c>
      <c r="C305" s="2" t="str">
        <f ca="1">IFERROR(__xludf.DUMMYFUNCTION("GOOGLETRANSLATE(A305,""bn"",""en"")"),"Selfishness lurks everywhere in the world")</f>
        <v>Selfishness lurks everywhere in the world</v>
      </c>
    </row>
    <row r="306" spans="1:3" ht="15" x14ac:dyDescent="0.25">
      <c r="A306" s="3" t="s">
        <v>308</v>
      </c>
      <c r="B306" s="3" t="s">
        <v>4</v>
      </c>
      <c r="C306" s="2" t="str">
        <f ca="1">IFERROR(__xludf.DUMMYFUNCTION("GOOGLETRANSLATE(A306,""bn"",""en"")"),"Searching for the colors of life on social media but it only brings unrest")</f>
        <v>Searching for the colors of life on social media but it only brings unrest</v>
      </c>
    </row>
    <row r="307" spans="1:3" ht="15" x14ac:dyDescent="0.25">
      <c r="A307" s="3" t="s">
        <v>309</v>
      </c>
      <c r="B307" s="3" t="s">
        <v>4</v>
      </c>
      <c r="C307" s="2" t="str">
        <f ca="1">IFERROR(__xludf.DUMMYFUNCTION("GOOGLETRANSLATE(A307,""bn"",""en"")"),"Health has no value until sickness comes")</f>
        <v>Health has no value until sickness comes</v>
      </c>
    </row>
    <row r="308" spans="1:3" ht="15" x14ac:dyDescent="0.25">
      <c r="A308" s="3" t="s">
        <v>310</v>
      </c>
      <c r="B308" s="3" t="s">
        <v>4</v>
      </c>
      <c r="C308" s="2" t="str">
        <f ca="1">IFERROR(__xludf.DUMMYFUNCTION("GOOGLETRANSLATE(A308,""bn"",""en"")"),"Some people have hidden stories of loneliness that never come out")</f>
        <v>Some people have hidden stories of loneliness that never come out</v>
      </c>
    </row>
    <row r="309" spans="1:3" ht="15" x14ac:dyDescent="0.25">
      <c r="A309" s="3" t="s">
        <v>311</v>
      </c>
      <c r="B309" s="3" t="s">
        <v>4</v>
      </c>
      <c r="C309" s="2" t="str">
        <f ca="1">IFERROR(__xludf.DUMMYFUNCTION("GOOGLETRANSLATE(A309,""bn"",""en"")"),"My only regret is the sweet memories of the old days")</f>
        <v>My only regret is the sweet memories of the old days</v>
      </c>
    </row>
    <row r="310" spans="1:3" ht="15" x14ac:dyDescent="0.25">
      <c r="A310" s="3" t="s">
        <v>312</v>
      </c>
      <c r="B310" s="3" t="s">
        <v>4</v>
      </c>
      <c r="C310" s="2" t="str">
        <f ca="1">IFERROR(__xludf.DUMMYFUNCTION("GOOGLETRANSLATE(A310,""bn"",""en"")"),"The debate about different people behind color is still going on in our minds that tolerance and equality have no value")</f>
        <v>The debate about different people behind color is still going on in our minds that tolerance and equality have no value</v>
      </c>
    </row>
    <row r="311" spans="1:3" ht="15" x14ac:dyDescent="0.25">
      <c r="A311" s="3" t="s">
        <v>313</v>
      </c>
      <c r="B311" s="3" t="s">
        <v>4</v>
      </c>
      <c r="C311" s="2" t="str">
        <f ca="1">IFERROR(__xludf.DUMMYFUNCTION("GOOGLETRANSLATE(A311,""bn"",""en"")"),"Faith in politics is an agreement that has no truth, only feelings")</f>
        <v>Faith in politics is an agreement that has no truth, only feelings</v>
      </c>
    </row>
    <row r="312" spans="1:3" ht="15" x14ac:dyDescent="0.25">
      <c r="A312" s="3" t="s">
        <v>314</v>
      </c>
      <c r="B312" s="3" t="s">
        <v>4</v>
      </c>
      <c r="C312" s="2" t="str">
        <f ca="1">IFERROR(__xludf.DUMMYFUNCTION("GOOGLETRANSLATE(A312,""bn"",""en"")"),"Being loved by people also requires financial ability. People without money are never loved by anyone")</f>
        <v>Being loved by people also requires financial ability. People without money are never loved by anyone</v>
      </c>
    </row>
    <row r="313" spans="1:3" ht="15" x14ac:dyDescent="0.25">
      <c r="A313" s="3" t="s">
        <v>315</v>
      </c>
      <c r="B313" s="3" t="s">
        <v>4</v>
      </c>
      <c r="C313" s="2" t="str">
        <f ca="1">IFERROR(__xludf.DUMMYFUNCTION("GOOGLETRANSLATE(A313,""bn"",""en"")"),"The fire of adharma has fallen from the mourning eyes of Bengali culture")</f>
        <v>The fire of adharma has fallen from the mourning eyes of Bengali culture</v>
      </c>
    </row>
    <row r="314" spans="1:3" ht="15" x14ac:dyDescent="0.25">
      <c r="A314" s="3" t="s">
        <v>316</v>
      </c>
      <c r="B314" s="3" t="s">
        <v>4</v>
      </c>
      <c r="C314" s="2" t="str">
        <f ca="1">IFERROR(__xludf.DUMMYFUNCTION("GOOGLETRANSLATE(A314,""bn"",""en"")"),"I really found myself in the sad story of the drama and I am suffering")</f>
        <v>I really found myself in the sad story of the drama and I am suffering</v>
      </c>
    </row>
    <row r="315" spans="1:3" ht="15" x14ac:dyDescent="0.25">
      <c r="A315" s="3" t="s">
        <v>317</v>
      </c>
      <c r="B315" s="3" t="s">
        <v>4</v>
      </c>
      <c r="C315" s="2" t="str">
        <f ca="1">IFERROR(__xludf.DUMMYFUNCTION("GOOGLETRANSLATE(A315,""bn"",""en"")"),"Wherever you have extreme poverty and no national health insurance, you see severe limitations to market-based healthcare")</f>
        <v>Wherever you have extreme poverty and no national health insurance, you see severe limitations to market-based healthcare</v>
      </c>
    </row>
    <row r="316" spans="1:3" ht="15" x14ac:dyDescent="0.25">
      <c r="A316" s="3" t="s">
        <v>318</v>
      </c>
      <c r="B316" s="3" t="s">
        <v>4</v>
      </c>
      <c r="C316" s="2" t="str">
        <f ca="1">IFERROR(__xludf.DUMMYFUNCTION("GOOGLETRANSLATE(A316,""bn"",""en"")"),"Exams ahead and work and going through a full busy time")</f>
        <v>Exams ahead and work and going through a full busy time</v>
      </c>
    </row>
    <row r="317" spans="1:3" ht="15" x14ac:dyDescent="0.25">
      <c r="A317" s="3" t="s">
        <v>319</v>
      </c>
      <c r="B317" s="3" t="s">
        <v>4</v>
      </c>
      <c r="C317" s="2" t="str">
        <f ca="1">IFERROR(__xludf.DUMMYFUNCTION("GOOGLETRANSLATE(A317,""bn"",""en"")"),"Finding mistakes and lies in power games is never easy")</f>
        <v>Finding mistakes and lies in power games is never easy</v>
      </c>
    </row>
    <row r="318" spans="1:3" ht="15" x14ac:dyDescent="0.25">
      <c r="A318" s="3" t="s">
        <v>320</v>
      </c>
      <c r="B318" s="3" t="s">
        <v>4</v>
      </c>
      <c r="C318" s="2" t="str">
        <f ca="1">IFERROR(__xludf.DUMMYFUNCTION("GOOGLETRANSLATE(A318,""bn"",""en"")"),"Love is hard to find and easy to lose")</f>
        <v>Love is hard to find and easy to lose</v>
      </c>
    </row>
    <row r="319" spans="1:3" ht="15" x14ac:dyDescent="0.25">
      <c r="A319" s="3" t="s">
        <v>321</v>
      </c>
      <c r="B319" s="3" t="s">
        <v>4</v>
      </c>
      <c r="C319" s="2" t="str">
        <f ca="1">IFERROR(__xludf.DUMMYFUNCTION("GOOGLETRANSLATE(A319,""bn"",""en"")"),"Now I am thinking to buy an iPad with the money from work but due to some problems I could not")</f>
        <v>Now I am thinking to buy an iPad with the money from work but due to some problems I could not</v>
      </c>
    </row>
    <row r="320" spans="1:3" ht="15" x14ac:dyDescent="0.25">
      <c r="A320" s="3" t="s">
        <v>322</v>
      </c>
      <c r="B320" s="3" t="s">
        <v>4</v>
      </c>
      <c r="C320" s="2" t="str">
        <f ca="1">IFERROR(__xludf.DUMMYFUNCTION("GOOGLETRANSLATE(A320,""bn"",""en"")"),"At first glance, love burns everything without any electricity")</f>
        <v>At first glance, love burns everything without any electricity</v>
      </c>
    </row>
    <row r="321" spans="1:3" ht="15" x14ac:dyDescent="0.25">
      <c r="A321" s="3" t="s">
        <v>323</v>
      </c>
      <c r="B321" s="3" t="s">
        <v>4</v>
      </c>
      <c r="C321" s="2" t="str">
        <f ca="1">IFERROR(__xludf.DUMMYFUNCTION("GOOGLETRANSLATE(A321,""bn"",""en"")"),"If you take care of your health then illness cannot endanger you")</f>
        <v>If you take care of your health then illness cannot endanger you</v>
      </c>
    </row>
    <row r="322" spans="1:3" ht="15" x14ac:dyDescent="0.25">
      <c r="A322" s="3" t="s">
        <v>324</v>
      </c>
      <c r="B322" s="3" t="s">
        <v>4</v>
      </c>
      <c r="C322" s="2" t="str">
        <f ca="1">IFERROR(__xludf.DUMMYFUNCTION("GOOGLETRANSLATE(A322,""bn"",""en"")"),"From the day I learned to walk away from my father's hand, I realized that reality is more difficult than imagination")</f>
        <v>From the day I learned to walk away from my father's hand, I realized that reality is more difficult than imagination</v>
      </c>
    </row>
    <row r="323" spans="1:3" ht="15" x14ac:dyDescent="0.25">
      <c r="A323" s="3" t="s">
        <v>325</v>
      </c>
      <c r="B323" s="3" t="s">
        <v>4</v>
      </c>
      <c r="C323" s="2" t="str">
        <f ca="1">IFERROR(__xludf.DUMMYFUNCTION("GOOGLETRANSLATE(A323,""bn"",""en"")"),"The false statements published on Twitter hurt the dreams of youth")</f>
        <v>The false statements published on Twitter hurt the dreams of youth</v>
      </c>
    </row>
    <row r="324" spans="1:3" ht="15" x14ac:dyDescent="0.25">
      <c r="A324" s="3" t="s">
        <v>326</v>
      </c>
      <c r="B324" s="3" t="s">
        <v>4</v>
      </c>
      <c r="C324" s="2" t="str">
        <f ca="1">IFERROR(__xludf.DUMMYFUNCTION("GOOGLETRANSLATE(A324,""bn"",""en"")"),"The real responsibility of finding the truth better than lying is painful")</f>
        <v>The real responsibility of finding the truth better than lying is painful</v>
      </c>
    </row>
    <row r="325" spans="1:3" ht="15" x14ac:dyDescent="0.25">
      <c r="A325" s="3" t="s">
        <v>327</v>
      </c>
      <c r="B325" s="3" t="s">
        <v>4</v>
      </c>
      <c r="C325" s="2" t="str">
        <f ca="1">IFERROR(__xludf.DUMMYFUNCTION("GOOGLETRANSLATE(A325,""bn"",""en"")"),"Tears are words the mouth can't say the heart can't bear")</f>
        <v>Tears are words the mouth can't say the heart can't bear</v>
      </c>
    </row>
    <row r="326" spans="1:3" ht="15" x14ac:dyDescent="0.25">
      <c r="A326" s="3" t="s">
        <v>328</v>
      </c>
      <c r="B326" s="3" t="s">
        <v>4</v>
      </c>
      <c r="C326" s="2" t="str">
        <f ca="1">IFERROR(__xludf.DUMMYFUNCTION("GOOGLETRANSLATE(A326,""bn"",""en"")"),"For those who do not understand the value of tears, it is better not to shed tears")</f>
        <v>For those who do not understand the value of tears, it is better not to shed tears</v>
      </c>
    </row>
    <row r="327" spans="1:3" ht="15" x14ac:dyDescent="0.25">
      <c r="A327" s="3" t="s">
        <v>329</v>
      </c>
      <c r="B327" s="3" t="s">
        <v>4</v>
      </c>
      <c r="C327" s="2" t="str">
        <f ca="1">IFERROR(__xludf.DUMMYFUNCTION("GOOGLETRANSLATE(A327,""bn"",""en"")"),"Sadness does not last forever, it just flies away with the wings of time")</f>
        <v>Sadness does not last forever, it just flies away with the wings of time</v>
      </c>
    </row>
    <row r="328" spans="1:3" ht="15" x14ac:dyDescent="0.25">
      <c r="A328" s="3" t="s">
        <v>330</v>
      </c>
      <c r="B328" s="3" t="s">
        <v>4</v>
      </c>
      <c r="C328" s="2" t="str">
        <f ca="1">IFERROR(__xludf.DUMMYFUNCTION("GOOGLETRANSLATE(A328,""bn"",""en"")"),"A situation hidden in a sea of ​​lies in the river of lost youth dreams lost on social media")</f>
        <v>A situation hidden in a sea of ​​lies in the river of lost youth dreams lost on social media</v>
      </c>
    </row>
    <row r="329" spans="1:3" ht="15" x14ac:dyDescent="0.25">
      <c r="A329" s="3" t="s">
        <v>331</v>
      </c>
      <c r="B329" s="3" t="s">
        <v>4</v>
      </c>
      <c r="C329" s="2" t="str">
        <f ca="1">IFERROR(__xludf.DUMMYFUNCTION("GOOGLETRANSLATE(A329,""bn"",""en"")"),"Unfortunately the sense of culture is non-existent")</f>
        <v>Unfortunately the sense of culture is non-existent</v>
      </c>
    </row>
    <row r="330" spans="1:3" ht="15" x14ac:dyDescent="0.25">
      <c r="A330" s="3" t="s">
        <v>332</v>
      </c>
      <c r="B330" s="3" t="s">
        <v>4</v>
      </c>
      <c r="C330" s="2" t="str">
        <f ca="1">IFERROR(__xludf.DUMMYFUNCTION("GOOGLETRANSLATE(A330,""bn"",""en"")"),"The immorality of culture in man is incomprehensibly opposed to life")</f>
        <v>The immorality of culture in man is incomprehensibly opposed to life</v>
      </c>
    </row>
    <row r="331" spans="1:3" ht="15" x14ac:dyDescent="0.25">
      <c r="A331" s="3" t="s">
        <v>333</v>
      </c>
      <c r="B331" s="3" t="s">
        <v>4</v>
      </c>
      <c r="C331" s="2" t="str">
        <f ca="1">IFERROR(__xludf.DUMMYFUNCTION("GOOGLETRANSLATE(A331,""bn"",""en"")"),"I can't make you happy unless you are happy with yourself")</f>
        <v>I can't make you happy unless you are happy with yourself</v>
      </c>
    </row>
    <row r="332" spans="1:3" ht="15" x14ac:dyDescent="0.25">
      <c r="A332" s="3" t="s">
        <v>334</v>
      </c>
      <c r="B332" s="3" t="s">
        <v>4</v>
      </c>
      <c r="C332" s="2" t="str">
        <f ca="1">IFERROR(__xludf.DUMMYFUNCTION("GOOGLETRANSLATE(A332,""bn"",""en"")"),"How beautiful you are in love I am beautiful Your heart is lost in love John is beautiful Don't give me away Your smile is beautiful I love you")</f>
        <v>How beautiful you are in love I am beautiful Your heart is lost in love John is beautiful Don't give me away Your smile is beautiful I love you</v>
      </c>
    </row>
    <row r="333" spans="1:3" ht="15" x14ac:dyDescent="0.25">
      <c r="A333" s="3" t="s">
        <v>335</v>
      </c>
      <c r="B333" s="3" t="s">
        <v>4</v>
      </c>
      <c r="C333" s="2" t="str">
        <f ca="1">IFERROR(__xludf.DUMMYFUNCTION("GOOGLETRANSLATE(A333,""bn"",""en"")"),"Boys who dream can understand the pain of broken dreams")</f>
        <v>Boys who dream can understand the pain of broken dreams</v>
      </c>
    </row>
    <row r="334" spans="1:3" ht="15" x14ac:dyDescent="0.25">
      <c r="A334" s="3" t="s">
        <v>336</v>
      </c>
      <c r="B334" s="3" t="s">
        <v>4</v>
      </c>
      <c r="C334" s="2" t="str">
        <f ca="1">IFERROR(__xludf.DUMMYFUNCTION("GOOGLETRANSLATE(A334,""bn"",""en"")"),"Dreams of survival are only lost in the pages of unexplored memories")</f>
        <v>Dreams of survival are only lost in the pages of unexplored memories</v>
      </c>
    </row>
    <row r="335" spans="1:3" ht="15" x14ac:dyDescent="0.25">
      <c r="A335" s="3" t="s">
        <v>337</v>
      </c>
      <c r="B335" s="3" t="s">
        <v>4</v>
      </c>
      <c r="C335" s="2" t="str">
        <f ca="1">IFERROR(__xludf.DUMMYFUNCTION("GOOGLETRANSLATE(A335,""bn"",""en"")"),"When the sky of expectations collapses, the mind turns gray")</f>
        <v>When the sky of expectations collapses, the mind turns gray</v>
      </c>
    </row>
    <row r="336" spans="1:3" ht="15" x14ac:dyDescent="0.25">
      <c r="A336" s="3" t="s">
        <v>338</v>
      </c>
      <c r="B336" s="3" t="s">
        <v>4</v>
      </c>
      <c r="C336" s="2" t="str">
        <f ca="1">IFERROR(__xludf.DUMMYFUNCTION("GOOGLETRANSLATE(A336,""bn"",""en"")"),"The flow of blue tears fell on the face of the kidnapped culture")</f>
        <v>The flow of blue tears fell on the face of the kidnapped culture</v>
      </c>
    </row>
    <row r="337" spans="1:3" ht="15" x14ac:dyDescent="0.25">
      <c r="A337" s="3" t="s">
        <v>339</v>
      </c>
      <c r="B337" s="3" t="s">
        <v>4</v>
      </c>
      <c r="C337" s="2" t="str">
        <f ca="1">IFERROR(__xludf.DUMMYFUNCTION("GOOGLETRANSLATE(A337,""bn"",""en"")"),"What you are doing is not good")</f>
        <v>What you are doing is not good</v>
      </c>
    </row>
    <row r="338" spans="1:3" ht="15" x14ac:dyDescent="0.25">
      <c r="A338" s="3" t="s">
        <v>340</v>
      </c>
      <c r="B338" s="3" t="s">
        <v>4</v>
      </c>
      <c r="C338" s="2" t="str">
        <f ca="1">IFERROR(__xludf.DUMMYFUNCTION("GOOGLETRANSLATE(A338,""bn"",""en"")"),"I find myself in the characters of the drama but not my heart's sorrow")</f>
        <v>I find myself in the characters of the drama but not my heart's sorrow</v>
      </c>
    </row>
    <row r="339" spans="1:3" ht="15" x14ac:dyDescent="0.25">
      <c r="A339" s="3" t="s">
        <v>341</v>
      </c>
      <c r="B339" s="3" t="s">
        <v>4</v>
      </c>
      <c r="C339" s="2" t="str">
        <f ca="1">IFERROR(__xludf.DUMMYFUNCTION("GOOGLETRANSLATE(A339,""bn"",""en"")"),"The more serious a person is, the more angry he is, but he also has more love")</f>
        <v>The more serious a person is, the more angry he is, but he also has more love</v>
      </c>
    </row>
    <row r="340" spans="1:3" ht="15" x14ac:dyDescent="0.25">
      <c r="A340" s="3" t="s">
        <v>342</v>
      </c>
      <c r="B340" s="3" t="s">
        <v>4</v>
      </c>
      <c r="C340" s="2" t="str">
        <f ca="1">IFERROR(__xludf.DUMMYFUNCTION("GOOGLETRANSLATE(A340,""bn"",""en"")"),"In order to win the power game, it is necessary to have the support of people's ideals and values")</f>
        <v>In order to win the power game, it is necessary to have the support of people's ideals and values</v>
      </c>
    </row>
    <row r="341" spans="1:3" ht="15" x14ac:dyDescent="0.25">
      <c r="A341" s="3" t="s">
        <v>343</v>
      </c>
      <c r="B341" s="3" t="s">
        <v>4</v>
      </c>
      <c r="C341" s="2" t="str">
        <f ca="1">IFERROR(__xludf.DUMMYFUNCTION("GOOGLETRANSLATE(A341,""bn"",""en"")"),"The light of humanity has reached a much smaller point where we are now somewhat overestimated")</f>
        <v>The light of humanity has reached a much smaller point where we are now somewhat overestimated</v>
      </c>
    </row>
    <row r="342" spans="1:3" ht="15" x14ac:dyDescent="0.25">
      <c r="A342" s="3" t="s">
        <v>344</v>
      </c>
      <c r="B342" s="3" t="s">
        <v>4</v>
      </c>
      <c r="C342" s="2" t="str">
        <f ca="1">IFERROR(__xludf.DUMMYFUNCTION("GOOGLETRANSLATE(A342,""bn"",""en"")"),"How difficult it is to bear the pain of another whom I love")</f>
        <v>How difficult it is to bear the pain of another whom I love</v>
      </c>
    </row>
    <row r="343" spans="1:3" ht="15" x14ac:dyDescent="0.25">
      <c r="A343" s="3" t="s">
        <v>345</v>
      </c>
      <c r="B343" s="3" t="s">
        <v>4</v>
      </c>
      <c r="C343" s="2" t="str">
        <f ca="1">IFERROR(__xludf.DUMMYFUNCTION("GOOGLETRANSLATE(A343,""bn"",""en"")"),"As everything is changing with the passage of time, people's needs are also increasing day by day")</f>
        <v>As everything is changing with the passage of time, people's needs are also increasing day by day</v>
      </c>
    </row>
    <row r="344" spans="1:3" ht="15" x14ac:dyDescent="0.25">
      <c r="A344" s="3" t="s">
        <v>346</v>
      </c>
      <c r="B344" s="3" t="s">
        <v>4</v>
      </c>
      <c r="C344" s="2" t="str">
        <f ca="1">IFERROR(__xludf.DUMMYFUNCTION("GOOGLETRANSLATE(A344,""bn"",""en"")"),"Spring has come but I can't put color in my mind")</f>
        <v>Spring has come but I can't put color in my mind</v>
      </c>
    </row>
    <row r="345" spans="1:3" ht="15" x14ac:dyDescent="0.25">
      <c r="A345" s="3" t="s">
        <v>347</v>
      </c>
      <c r="B345" s="3" t="s">
        <v>4</v>
      </c>
      <c r="C345" s="2" t="str">
        <f ca="1">IFERROR(__xludf.DUMMYFUNCTION("GOOGLETRANSLATE(A345,""bn"",""en"")"),"An old picture may speak a thousand words")</f>
        <v>An old picture may speak a thousand words</v>
      </c>
    </row>
    <row r="346" spans="1:3" ht="15" x14ac:dyDescent="0.25">
      <c r="A346" s="3" t="s">
        <v>348</v>
      </c>
      <c r="B346" s="3" t="s">
        <v>4</v>
      </c>
      <c r="C346" s="2" t="str">
        <f ca="1">IFERROR(__xludf.DUMMYFUNCTION("GOOGLETRANSLATE(A346,""bn"",""en"")"),"Although the leaders are supposed to do good for the people of the country, they are only looking at their own interests")</f>
        <v>Although the leaders are supposed to do good for the people of the country, they are only looking at their own interests</v>
      </c>
    </row>
    <row r="347" spans="1:3" ht="15" x14ac:dyDescent="0.25">
      <c r="A347" s="3" t="s">
        <v>349</v>
      </c>
      <c r="B347" s="3" t="s">
        <v>4</v>
      </c>
      <c r="C347" s="2" t="str">
        <f ca="1">IFERROR(__xludf.DUMMYFUNCTION("GOOGLETRANSLATE(A347,""bn"",""en"")"),"People's hopes and dreams are disappearing in the city of war")</f>
        <v>People's hopes and dreams are disappearing in the city of war</v>
      </c>
    </row>
    <row r="348" spans="1:3" ht="15" x14ac:dyDescent="0.25">
      <c r="A348" s="3" t="s">
        <v>350</v>
      </c>
      <c r="B348" s="3" t="s">
        <v>4</v>
      </c>
      <c r="C348" s="2" t="str">
        <f ca="1">IFERROR(__xludf.DUMMYFUNCTION("GOOGLETRANSLATE(A348,""bn"",""en"")"),"Poverty is the father of revolution and crime")</f>
        <v>Poverty is the father of revolution and crime</v>
      </c>
    </row>
    <row r="349" spans="1:3" ht="15" x14ac:dyDescent="0.25">
      <c r="A349" s="3" t="s">
        <v>351</v>
      </c>
      <c r="B349" s="3" t="s">
        <v>4</v>
      </c>
      <c r="C349" s="2" t="str">
        <f ca="1">IFERROR(__xludf.DUMMYFUNCTION("GOOGLETRANSLATE(A349,""bn"",""en"")"),"The rain of sorrow reaches the heart of culture")</f>
        <v>The rain of sorrow reaches the heart of culture</v>
      </c>
    </row>
    <row r="350" spans="1:3" ht="15" x14ac:dyDescent="0.25">
      <c r="A350" s="3" t="s">
        <v>352</v>
      </c>
      <c r="B350" s="3" t="s">
        <v>4</v>
      </c>
      <c r="C350" s="2" t="str">
        <f ca="1">IFERROR(__xludf.DUMMYFUNCTION("GOOGLETRANSLATE(A350,""bn"",""en"")"),"Your memory comes to my heart in such a way that the tears in my eyes betray me")</f>
        <v>Your memory comes to my heart in such a way that the tears in my eyes betray me</v>
      </c>
    </row>
    <row r="351" spans="1:3" ht="15" x14ac:dyDescent="0.25">
      <c r="A351" s="3" t="s">
        <v>353</v>
      </c>
      <c r="B351" s="3" t="s">
        <v>4</v>
      </c>
      <c r="C351" s="2" t="str">
        <f ca="1">IFERROR(__xludf.DUMMYFUNCTION("GOOGLETRANSLATE(A351,""bn"",""en"")"),"What I earn is less than what I spend and sometimes I feel like I live to pay my debts")</f>
        <v>What I earn is less than what I spend and sometimes I feel like I live to pay my debts</v>
      </c>
    </row>
    <row r="352" spans="1:3" ht="15" x14ac:dyDescent="0.25">
      <c r="A352" s="3" t="s">
        <v>354</v>
      </c>
      <c r="B352" s="3" t="s">
        <v>4</v>
      </c>
      <c r="C352" s="2" t="str">
        <f ca="1">IFERROR(__xludf.DUMMYFUNCTION("GOOGLETRANSLATE(A352,""bn"",""en"")"),"The real cause of hunger is the inability of the poor to access the resources they need to feed themselves")</f>
        <v>The real cause of hunger is the inability of the poor to access the resources they need to feed themselves</v>
      </c>
    </row>
    <row r="353" spans="1:3" ht="15" x14ac:dyDescent="0.25">
      <c r="A353" s="3" t="s">
        <v>355</v>
      </c>
      <c r="B353" s="3" t="s">
        <v>4</v>
      </c>
      <c r="C353" s="2" t="str">
        <f ca="1">IFERROR(__xludf.DUMMYFUNCTION("GOOGLETRANSLATE(A353,""bn"",""en"")"),"One can't become an artist by winning in love and marrying a big force")</f>
        <v>One can't become an artist by winning in love and marrying a big force</v>
      </c>
    </row>
    <row r="354" spans="1:3" ht="15" x14ac:dyDescent="0.25">
      <c r="A354" s="3" t="s">
        <v>356</v>
      </c>
      <c r="B354" s="3" t="s">
        <v>4</v>
      </c>
      <c r="C354" s="2" t="str">
        <f ca="1">IFERROR(__xludf.DUMMYFUNCTION("GOOGLETRANSLATE(A354,""bn"",""en"")"),"The conflict between good and bad hinders the progress of the future")</f>
        <v>The conflict between good and bad hinders the progress of the future</v>
      </c>
    </row>
    <row r="355" spans="1:3" ht="15" x14ac:dyDescent="0.25">
      <c r="A355" s="3" t="s">
        <v>357</v>
      </c>
      <c r="B355" s="3" t="s">
        <v>4</v>
      </c>
      <c r="C355" s="2" t="str">
        <f ca="1">IFERROR(__xludf.DUMMYFUNCTION("GOOGLETRANSLATE(A355,""bn"",""en"")"),"It is very painful to walk the path of truth but it is somewhat comfortable to lie")</f>
        <v>It is very painful to walk the path of truth but it is somewhat comfortable to lie</v>
      </c>
    </row>
    <row r="356" spans="1:3" ht="15" x14ac:dyDescent="0.25">
      <c r="A356" s="3" t="s">
        <v>358</v>
      </c>
      <c r="B356" s="3" t="s">
        <v>4</v>
      </c>
      <c r="C356" s="2" t="str">
        <f ca="1">IFERROR(__xludf.DUMMYFUNCTION("GOOGLETRANSLATE(A356,""bn"",""en"")"),"Don't worry dear I'm not coming back to your acting town")</f>
        <v>Don't worry dear I'm not coming back to your acting town</v>
      </c>
    </row>
    <row r="357" spans="1:3" ht="15" x14ac:dyDescent="0.25">
      <c r="A357" s="3" t="s">
        <v>359</v>
      </c>
      <c r="B357" s="3" t="s">
        <v>4</v>
      </c>
      <c r="C357" s="2" t="str">
        <f ca="1">IFERROR(__xludf.DUMMYFUNCTION("GOOGLETRANSLATE(A357,""bn"",""en"")"),"After classes all day, now the client is messaging again how it feels for work")</f>
        <v>After classes all day, now the client is messaging again how it feels for work</v>
      </c>
    </row>
    <row r="358" spans="1:3" ht="15" x14ac:dyDescent="0.25">
      <c r="A358" s="3" t="s">
        <v>360</v>
      </c>
      <c r="B358" s="3" t="s">
        <v>4</v>
      </c>
      <c r="C358" s="2" t="str">
        <f ca="1">IFERROR(__xludf.DUMMYFUNCTION("GOOGLETRANSLATE(A358,""bn"",""en"")"),"I feel that these social norms and traditions of my society are a great safety net")</f>
        <v>I feel that these social norms and traditions of my society are a great safety net</v>
      </c>
    </row>
    <row r="359" spans="1:3" ht="15" x14ac:dyDescent="0.25">
      <c r="A359" s="3" t="s">
        <v>361</v>
      </c>
      <c r="B359" s="3" t="s">
        <v>4</v>
      </c>
      <c r="C359" s="2" t="str">
        <f ca="1">IFERROR(__xludf.DUMMYFUNCTION("GOOGLETRANSLATE(A359,""bn"",""en"")"),"Resting today so I can buzz with energy tomorrow")</f>
        <v>Resting today so I can buzz with energy tomorrow</v>
      </c>
    </row>
    <row r="360" spans="1:3" ht="15" x14ac:dyDescent="0.25">
      <c r="A360" s="3" t="s">
        <v>362</v>
      </c>
      <c r="B360" s="3" t="s">
        <v>4</v>
      </c>
      <c r="C360" s="2" t="str">
        <f ca="1">IFERROR(__xludf.DUMMYFUNCTION("GOOGLETRANSLATE(A360,""bn"",""en"")"),"Questions in my mind about old times are being answered")</f>
        <v>Questions in my mind about old times are being answered</v>
      </c>
    </row>
    <row r="361" spans="1:3" ht="15" x14ac:dyDescent="0.25">
      <c r="A361" s="3" t="s">
        <v>363</v>
      </c>
      <c r="B361" s="3" t="s">
        <v>4</v>
      </c>
      <c r="C361" s="2" t="str">
        <f ca="1">IFERROR(__xludf.DUMMYFUNCTION("GOOGLETRANSLATE(A361,""bn"",""en"")"),"Every life deserves a certain amount of dignity no matter how poor or damaged the shell it bears")</f>
        <v>Every life deserves a certain amount of dignity no matter how poor or damaged the shell it bears</v>
      </c>
    </row>
    <row r="362" spans="1:3" ht="15" x14ac:dyDescent="0.25">
      <c r="A362" s="3" t="s">
        <v>364</v>
      </c>
      <c r="B362" s="3" t="s">
        <v>4</v>
      </c>
      <c r="C362" s="2" t="str">
        <f ca="1">IFERROR(__xludf.DUMMYFUNCTION("GOOGLETRANSLATE(A362,""bn"",""en"")"),"Educated is not only through intelligence, but also through self-education")</f>
        <v>Educated is not only through intelligence, but also through self-education</v>
      </c>
    </row>
    <row r="363" spans="1:3" ht="15" x14ac:dyDescent="0.25">
      <c r="A363" s="3" t="s">
        <v>365</v>
      </c>
      <c r="B363" s="3" t="s">
        <v>4</v>
      </c>
      <c r="C363" s="2" t="str">
        <f ca="1">IFERROR(__xludf.DUMMYFUNCTION("GOOGLETRANSLATE(A363,""bn"",""en"")"),"How many people have disappeared from life, how many known people have become unknown")</f>
        <v>How many people have disappeared from life, how many known people have become unknown</v>
      </c>
    </row>
    <row r="364" spans="1:3" ht="15" x14ac:dyDescent="0.25">
      <c r="A364" s="3" t="s">
        <v>366</v>
      </c>
      <c r="B364" s="3" t="s">
        <v>4</v>
      </c>
      <c r="C364" s="2" t="str">
        <f ca="1">IFERROR(__xludf.DUMMYFUNCTION("GOOGLETRANSLATE(A364,""bn"",""en"")"),"The play's sad border has matched my own")</f>
        <v>The play's sad border has matched my own</v>
      </c>
    </row>
    <row r="365" spans="1:3" ht="15" x14ac:dyDescent="0.25">
      <c r="A365" s="3" t="s">
        <v>367</v>
      </c>
      <c r="B365" s="3" t="s">
        <v>4</v>
      </c>
      <c r="C365" s="2" t="str">
        <f ca="1">IFERROR(__xludf.DUMMYFUNCTION("GOOGLETRANSLATE(A365,""bn"",""en"")"),"What is the use of blaming someone else when your own fate is bad?")</f>
        <v>What is the use of blaming someone else when your own fate is bad?</v>
      </c>
    </row>
    <row r="366" spans="1:3" ht="15" x14ac:dyDescent="0.25">
      <c r="A366" s="3" t="s">
        <v>368</v>
      </c>
      <c r="B366" s="3" t="s">
        <v>4</v>
      </c>
      <c r="C366" s="2" t="str">
        <f ca="1">IFERROR(__xludf.DUMMYFUNCTION("GOOGLETRANSLATE(A366,""bn"",""en"")"),"Some even lose respect to poverty")</f>
        <v>Some even lose respect to poverty</v>
      </c>
    </row>
    <row r="367" spans="1:3" ht="15" x14ac:dyDescent="0.25">
      <c r="A367" s="3" t="s">
        <v>369</v>
      </c>
      <c r="B367" s="3" t="s">
        <v>4</v>
      </c>
      <c r="C367" s="2" t="str">
        <f ca="1">IFERROR(__xludf.DUMMYFUNCTION("GOOGLETRANSLATE(A367,""bn"",""en"")"),"Every sin counts more")</f>
        <v>Every sin counts more</v>
      </c>
    </row>
    <row r="368" spans="1:3" ht="15" x14ac:dyDescent="0.25">
      <c r="A368" s="3" t="s">
        <v>370</v>
      </c>
      <c r="B368" s="3" t="s">
        <v>4</v>
      </c>
      <c r="C368" s="2" t="str">
        <f ca="1">IFERROR(__xludf.DUMMYFUNCTION("GOOGLETRANSLATE(A368,""bn"",""en"")"),"Love means understanding each other If I don't understand the person I love then this love doesn't seem to have any meaning.")</f>
        <v>Love means understanding each other If I don't understand the person I love then this love doesn't seem to have any meaning.</v>
      </c>
    </row>
    <row r="369" spans="1:3" ht="15" x14ac:dyDescent="0.25">
      <c r="A369" s="3" t="s">
        <v>371</v>
      </c>
      <c r="B369" s="3" t="s">
        <v>4</v>
      </c>
      <c r="C369" s="2" t="str">
        <f ca="1">IFERROR(__xludf.DUMMYFUNCTION("GOOGLETRANSLATE(A369,""bn"",""en"")"),"Every memory of him hits me like a cold wind and freezes me in that moment")</f>
        <v>Every memory of him hits me like a cold wind and freezes me in that moment</v>
      </c>
    </row>
    <row r="370" spans="1:3" ht="15" x14ac:dyDescent="0.25">
      <c r="A370" s="3" t="s">
        <v>372</v>
      </c>
      <c r="B370" s="3" t="s">
        <v>4</v>
      </c>
      <c r="C370" s="2" t="str">
        <f ca="1">IFERROR(__xludf.DUMMYFUNCTION("GOOGLETRANSLATE(A370,""bn"",""en"")"),"Smile is hidden behind a mask of happiness, so many pains, no one understands my pain, only I know the pain of loneliness.")</f>
        <v>Smile is hidden behind a mask of happiness, so many pains, no one understands my pain, only I know the pain of loneliness.</v>
      </c>
    </row>
    <row r="371" spans="1:3" ht="15" x14ac:dyDescent="0.25">
      <c r="A371" s="3" t="s">
        <v>373</v>
      </c>
      <c r="B371" s="3" t="s">
        <v>4</v>
      </c>
      <c r="C371" s="2" t="str">
        <f ca="1">IFERROR(__xludf.DUMMYFUNCTION("GOOGLETRANSLATE(A371,""bn"",""en"")"),"It is important to understand the value of time in work life and not take time for yourself")</f>
        <v>It is important to understand the value of time in work life and not take time for yourself</v>
      </c>
    </row>
    <row r="372" spans="1:3" ht="15" x14ac:dyDescent="0.25">
      <c r="A372" s="3" t="s">
        <v>374</v>
      </c>
      <c r="B372" s="3" t="s">
        <v>4</v>
      </c>
      <c r="C372" s="2" t="str">
        <f ca="1">IFERROR(__xludf.DUMMYFUNCTION("GOOGLETRANSLATE(A372,""bn"",""en"")"),"Although Bangladesh is a developing country, many people still live below the poverty line")</f>
        <v>Although Bangladesh is a developing country, many people still live below the poverty line</v>
      </c>
    </row>
    <row r="373" spans="1:3" ht="15" x14ac:dyDescent="0.25">
      <c r="A373" s="3" t="s">
        <v>375</v>
      </c>
      <c r="B373" s="3" t="s">
        <v>4</v>
      </c>
      <c r="C373" s="2" t="str">
        <f ca="1">IFERROR(__xludf.DUMMYFUNCTION("GOOGLETRANSLATE(A373,""bn"",""en"")"),"How many times have you read the book, now stop bro, buy a new book")</f>
        <v>How many times have you read the book, now stop bro, buy a new book</v>
      </c>
    </row>
    <row r="374" spans="1:3" ht="15" x14ac:dyDescent="0.25">
      <c r="A374" s="3" t="s">
        <v>376</v>
      </c>
      <c r="B374" s="3" t="s">
        <v>4</v>
      </c>
      <c r="C374" s="2" t="str">
        <f ca="1">IFERROR(__xludf.DUMMYFUNCTION("GOOGLETRANSLATE(A374,""bn"",""en"")"),"Love gives people peace but not relief")</f>
        <v>Love gives people peace but not relief</v>
      </c>
    </row>
    <row r="375" spans="1:3" ht="15" x14ac:dyDescent="0.25">
      <c r="A375" s="3" t="s">
        <v>377</v>
      </c>
      <c r="B375" s="3" t="s">
        <v>4</v>
      </c>
      <c r="C375" s="2" t="str">
        <f ca="1">IFERROR(__xludf.DUMMYFUNCTION("GOOGLETRANSLATE(A375,""bn"",""en"")"),"The door of truth is hidden in culture")</f>
        <v>The door of truth is hidden in culture</v>
      </c>
    </row>
    <row r="376" spans="1:3" ht="15" x14ac:dyDescent="0.25">
      <c r="A376" s="3" t="s">
        <v>378</v>
      </c>
      <c r="B376" s="3" t="s">
        <v>4</v>
      </c>
      <c r="C376" s="2" t="str">
        <f ca="1">IFERROR(__xludf.DUMMYFUNCTION("GOOGLETRANSLATE(A376,""bn"",""en"")"),"There is always more misery in the lower classes than there is humanity in the upper classes")</f>
        <v>There is always more misery in the lower classes than there is humanity in the upper classes</v>
      </c>
    </row>
    <row r="377" spans="1:3" ht="15" x14ac:dyDescent="0.25">
      <c r="A377" s="3" t="s">
        <v>379</v>
      </c>
      <c r="B377" s="3" t="s">
        <v>4</v>
      </c>
      <c r="C377" s="2" t="str">
        <f ca="1">IFERROR(__xludf.DUMMYFUNCTION("GOOGLETRANSLATE(A377,""bn"",""en"")"),"With love you can embrace others and make the relationship much deeper")</f>
        <v>With love you can embrace others and make the relationship much deeper</v>
      </c>
    </row>
    <row r="378" spans="1:3" ht="15" x14ac:dyDescent="0.25">
      <c r="A378" s="3" t="s">
        <v>380</v>
      </c>
      <c r="B378" s="3" t="s">
        <v>4</v>
      </c>
      <c r="C378" s="2" t="str">
        <f ca="1">IFERROR(__xludf.DUMMYFUNCTION("GOOGLETRANSLATE(A378,""bn"",""en"")"),"Recovery from illness often feels like starting life over")</f>
        <v>Recovery from illness often feels like starting life over</v>
      </c>
    </row>
    <row r="379" spans="1:3" ht="15" x14ac:dyDescent="0.25">
      <c r="A379" s="3" t="s">
        <v>381</v>
      </c>
      <c r="B379" s="3" t="s">
        <v>4</v>
      </c>
      <c r="C379" s="2" t="str">
        <f ca="1">IFERROR(__xludf.DUMMYFUNCTION("GOOGLETRANSLATE(A379,""bn"",""en"")"),"It is sad that America is supporting Israel's brutality just for its own interests")</f>
        <v>It is sad that America is supporting Israel's brutality just for its own interests</v>
      </c>
    </row>
    <row r="380" spans="1:3" ht="15" x14ac:dyDescent="0.25">
      <c r="A380" s="3" t="s">
        <v>382</v>
      </c>
      <c r="B380" s="3" t="s">
        <v>4</v>
      </c>
      <c r="C380" s="2" t="str">
        <f ca="1">IFERROR(__xludf.DUMMYFUNCTION("GOOGLETRANSLATE(A380,""bn"",""en"")"),"I lose confidence due to lack of family relationships")</f>
        <v>I lose confidence due to lack of family relationships</v>
      </c>
    </row>
    <row r="381" spans="1:3" ht="15" x14ac:dyDescent="0.25">
      <c r="A381" s="3" t="s">
        <v>383</v>
      </c>
      <c r="B381" s="3" t="s">
        <v>4</v>
      </c>
      <c r="C381" s="2" t="str">
        <f ca="1">IFERROR(__xludf.DUMMYFUNCTION("GOOGLETRANSLATE(A381,""bn"",""en"")"),"Every sin is sickness to the soul but virtue is the cause of its health")</f>
        <v>Every sin is sickness to the soul but virtue is the cause of its health</v>
      </c>
    </row>
    <row r="382" spans="1:3" ht="15" x14ac:dyDescent="0.25">
      <c r="A382" s="3" t="s">
        <v>384</v>
      </c>
      <c r="B382" s="3" t="s">
        <v>4</v>
      </c>
      <c r="C382" s="2" t="str">
        <f ca="1">IFERROR(__xludf.DUMMYFUNCTION("GOOGLETRANSLATE(A382,""bn"",""en"")"),"Every day the person we look for may disappear one day")</f>
        <v>Every day the person we look for may disappear one day</v>
      </c>
    </row>
    <row r="383" spans="1:3" ht="15" x14ac:dyDescent="0.25">
      <c r="A383" s="3" t="s">
        <v>385</v>
      </c>
      <c r="B383" s="3" t="s">
        <v>4</v>
      </c>
      <c r="C383" s="2" t="str">
        <f ca="1">IFERROR(__xludf.DUMMYFUNCTION("GOOGLETRANSLATE(A383,""bn"",""en"")"),"Loving someone unconditionally never ends because unconditional love never ends it never ends it only grows.")</f>
        <v>Loving someone unconditionally never ends because unconditional love never ends it never ends it only grows.</v>
      </c>
    </row>
    <row r="384" spans="1:3" ht="15" x14ac:dyDescent="0.25">
      <c r="A384" s="3" t="s">
        <v>386</v>
      </c>
      <c r="B384" s="3" t="s">
        <v>4</v>
      </c>
      <c r="C384" s="2" t="str">
        <f ca="1">IFERROR(__xludf.DUMMYFUNCTION("GOOGLETRANSLATE(A384,""bn"",""en"")"),"Dreaming is easy but reality is just the opposite")</f>
        <v>Dreaming is easy but reality is just the opposite</v>
      </c>
    </row>
    <row r="385" spans="1:3" ht="15" x14ac:dyDescent="0.25">
      <c r="A385" s="3" t="s">
        <v>387</v>
      </c>
      <c r="B385" s="3" t="s">
        <v>4</v>
      </c>
      <c r="C385" s="2" t="str">
        <f ca="1">IFERROR(__xludf.DUMMYFUNCTION("GOOGLETRANSLATE(A385,""bn"",""en"")"),"Loneliness is felt when the loved one breaks the love and leaves")</f>
        <v>Loneliness is felt when the loved one breaks the love and leaves</v>
      </c>
    </row>
    <row r="386" spans="1:3" ht="15" x14ac:dyDescent="0.25">
      <c r="A386" s="3" t="s">
        <v>388</v>
      </c>
      <c r="B386" s="3" t="s">
        <v>4</v>
      </c>
      <c r="C386" s="2" t="str">
        <f ca="1">IFERROR(__xludf.DUMMYFUNCTION("GOOGLETRANSLATE(A386,""bn"",""en"")"),"I cannot find the truth in the colorful picture of life")</f>
        <v>I cannot find the truth in the colorful picture of life</v>
      </c>
    </row>
    <row r="387" spans="1:3" ht="15" x14ac:dyDescent="0.25">
      <c r="A387" s="3" t="s">
        <v>389</v>
      </c>
      <c r="B387" s="3" t="s">
        <v>4</v>
      </c>
      <c r="C387" s="2" t="str">
        <f ca="1">IFERROR(__xludf.DUMMYFUNCTION("GOOGLETRANSLATE(A387,""bn"",""en"")"),"To follow the path of truth is like drowning in the ocean")</f>
        <v>To follow the path of truth is like drowning in the ocean</v>
      </c>
    </row>
    <row r="388" spans="1:3" ht="15" x14ac:dyDescent="0.25">
      <c r="A388" s="3" t="s">
        <v>390</v>
      </c>
      <c r="B388" s="3" t="s">
        <v>4</v>
      </c>
      <c r="C388" s="2" t="str">
        <f ca="1">IFERROR(__xludf.DUMMYFUNCTION("GOOGLETRANSLATE(A388,""bn"",""en"")"),"Sometimes it seems that life has no meaning without a purpose")</f>
        <v>Sometimes it seems that life has no meaning without a purpose</v>
      </c>
    </row>
    <row r="389" spans="1:3" ht="15" x14ac:dyDescent="0.25">
      <c r="A389" s="3" t="s">
        <v>391</v>
      </c>
      <c r="B389" s="3" t="s">
        <v>4</v>
      </c>
      <c r="C389" s="2" t="str">
        <f ca="1">IFERROR(__xludf.DUMMYFUNCTION("GOOGLETRANSLATE(A389,""bn"",""en"")"),"You are changing because of his neglect")</f>
        <v>You are changing because of his neglect</v>
      </c>
    </row>
    <row r="390" spans="1:3" ht="15" x14ac:dyDescent="0.25">
      <c r="A390" s="3" t="s">
        <v>392</v>
      </c>
      <c r="B390" s="3" t="s">
        <v>4</v>
      </c>
      <c r="C390" s="2" t="str">
        <f ca="1">IFERROR(__xludf.DUMMYFUNCTION("GOOGLETRANSLATE(A390,""bn"",""en"")"),"Lost in the path of truth now I'm crashing in front of myself")</f>
        <v>Lost in the path of truth now I'm crashing in front of myself</v>
      </c>
    </row>
    <row r="391" spans="1:3" ht="15" x14ac:dyDescent="0.25">
      <c r="A391" s="3" t="s">
        <v>393</v>
      </c>
      <c r="B391" s="3" t="s">
        <v>4</v>
      </c>
      <c r="C391" s="2" t="str">
        <f ca="1">IFERROR(__xludf.DUMMYFUNCTION("GOOGLETRANSLATE(A391,""bn"",""en"")"),"In the chaos of war, my mind's nourishing water goes into the void")</f>
        <v>In the chaos of war, my mind's nourishing water goes into the void</v>
      </c>
    </row>
    <row r="392" spans="1:3" ht="15" x14ac:dyDescent="0.25">
      <c r="A392" s="3" t="s">
        <v>394</v>
      </c>
      <c r="B392" s="3" t="s">
        <v>4</v>
      </c>
      <c r="C392" s="2" t="str">
        <f ca="1">IFERROR(__xludf.DUMMYFUNCTION("GOOGLETRANSLATE(A392,""bn"",""en"")"),"Today I am going home after a year and due to an accident on the way I am in the hospital for eight days")</f>
        <v>Today I am going home after a year and due to an accident on the way I am in the hospital for eight days</v>
      </c>
    </row>
    <row r="393" spans="1:3" ht="15" x14ac:dyDescent="0.25">
      <c r="A393" s="3" t="s">
        <v>395</v>
      </c>
      <c r="B393" s="3" t="s">
        <v>4</v>
      </c>
      <c r="C393" s="2" t="str">
        <f ca="1">IFERROR(__xludf.DUMMYFUNCTION("GOOGLETRANSLATE(A393,""bn"",""en"")"),"It has become difficult for me to live in this sick society")</f>
        <v>It has become difficult for me to live in this sick society</v>
      </c>
    </row>
    <row r="394" spans="1:3" ht="15" x14ac:dyDescent="0.25">
      <c r="A394" s="3" t="s">
        <v>396</v>
      </c>
      <c r="B394" s="3" t="s">
        <v>4</v>
      </c>
      <c r="C394" s="2" t="str">
        <f ca="1">IFERROR(__xludf.DUMMYFUNCTION("GOOGLETRANSLATE(A394,""bn"",""en"")"),"Too sick to work but not too sick for selfies")</f>
        <v>Too sick to work but not too sick for selfies</v>
      </c>
    </row>
    <row r="395" spans="1:3" ht="15" x14ac:dyDescent="0.25">
      <c r="A395" s="3" t="s">
        <v>397</v>
      </c>
      <c r="B395" s="3" t="s">
        <v>4</v>
      </c>
      <c r="C395" s="2" t="str">
        <f ca="1">IFERROR(__xludf.DUMMYFUNCTION("GOOGLETRANSLATE(A395,""bn"",""en"")"),"The sky of happiness is black as night")</f>
        <v>The sky of happiness is black as night</v>
      </c>
    </row>
    <row r="396" spans="1:3" ht="15" x14ac:dyDescent="0.25">
      <c r="A396" s="3" t="s">
        <v>398</v>
      </c>
      <c r="B396" s="3" t="s">
        <v>4</v>
      </c>
      <c r="C396" s="2" t="str">
        <f ca="1">IFERROR(__xludf.DUMMYFUNCTION("GOOGLETRANSLATE(A396,""bn"",""en"")"),"Failure to calculate what I want and get makes me fail")</f>
        <v>Failure to calculate what I want and get makes me fail</v>
      </c>
    </row>
    <row r="397" spans="1:3" ht="15" x14ac:dyDescent="0.25">
      <c r="A397" s="3" t="s">
        <v>399</v>
      </c>
      <c r="B397" s="3" t="s">
        <v>4</v>
      </c>
      <c r="C397" s="2" t="str">
        <f ca="1">IFERROR(__xludf.DUMMYFUNCTION("GOOGLETRANSLATE(A397,""bn"",""en"")"),"Even when I'm sick and depressed I love life")</f>
        <v>Even when I'm sick and depressed I love life</v>
      </c>
    </row>
    <row r="398" spans="1:3" ht="15" x14ac:dyDescent="0.25">
      <c r="A398" s="3" t="s">
        <v>400</v>
      </c>
      <c r="B398" s="3" t="s">
        <v>4</v>
      </c>
      <c r="C398" s="2" t="str">
        <f ca="1">IFERROR(__xludf.DUMMYFUNCTION("GOOGLETRANSLATE(A398,""bn"",""en"")"),"After reading a favorite book, many unfamiliar fears and neglected mental resistances rush into our minds")</f>
        <v>After reading a favorite book, many unfamiliar fears and neglected mental resistances rush into our minds</v>
      </c>
    </row>
    <row r="399" spans="1:3" ht="15" x14ac:dyDescent="0.25">
      <c r="A399" s="3" t="s">
        <v>401</v>
      </c>
      <c r="B399" s="3" t="s">
        <v>4</v>
      </c>
      <c r="C399" s="2" t="str">
        <f ca="1">IFERROR(__xludf.DUMMYFUNCTION("GOOGLETRANSLATE(A399,""bn"",""en"")"),"No one is taking responsibility for the current fate of the country")</f>
        <v>No one is taking responsibility for the current fate of the country</v>
      </c>
    </row>
    <row r="400" spans="1:3" ht="15" x14ac:dyDescent="0.25">
      <c r="A400" s="3" t="s">
        <v>402</v>
      </c>
      <c r="B400" s="3" t="s">
        <v>4</v>
      </c>
      <c r="C400" s="2" t="str">
        <f ca="1">IFERROR(__xludf.DUMMYFUNCTION("GOOGLETRANSLATE(A400,""bn"",""en"")"),"People in that crowd want to make history of poverty but not if they themselves have to pay for it")</f>
        <v>People in that crowd want to make history of poverty but not if they themselves have to pay for it</v>
      </c>
    </row>
    <row r="401" spans="1:3" ht="15" x14ac:dyDescent="0.25">
      <c r="A401" s="3" t="s">
        <v>403</v>
      </c>
      <c r="B401" s="3" t="s">
        <v>4</v>
      </c>
      <c r="C401" s="2" t="str">
        <f ca="1">IFERROR(__xludf.DUMMYFUNCTION("GOOGLETRANSLATE(A401,""bn"",""en"")"),"Study without wasting time looking at pictures")</f>
        <v>Study without wasting time looking at pictures</v>
      </c>
    </row>
    <row r="402" spans="1:3" ht="15" x14ac:dyDescent="0.25">
      <c r="A402" s="3" t="s">
        <v>404</v>
      </c>
      <c r="B402" s="3" t="s">
        <v>4</v>
      </c>
      <c r="C402" s="2" t="str">
        <f ca="1">IFERROR(__xludf.DUMMYFUNCTION("GOOGLETRANSLATE(A402,""bn"",""en"")"),"This film can change the present society thanks to the director for giving such a beautiful film")</f>
        <v>This film can change the present society thanks to the director for giving such a beautiful film</v>
      </c>
    </row>
    <row r="403" spans="1:3" ht="15" x14ac:dyDescent="0.25">
      <c r="A403" s="3" t="s">
        <v>405</v>
      </c>
      <c r="B403" s="3" t="s">
        <v>4</v>
      </c>
      <c r="C403" s="2" t="str">
        <f ca="1">IFERROR(__xludf.DUMMYFUNCTION("GOOGLETRANSLATE(A403,""bn"",""en"")"),"How many unbearable wars we have faced")</f>
        <v>How many unbearable wars we have faced</v>
      </c>
    </row>
    <row r="404" spans="1:3" ht="15" x14ac:dyDescent="0.25">
      <c r="A404" s="3" t="s">
        <v>406</v>
      </c>
      <c r="B404" s="3" t="s">
        <v>4</v>
      </c>
      <c r="C404" s="2" t="str">
        <f ca="1">IFERROR(__xludf.DUMMYFUNCTION("GOOGLETRANSLATE(A404,""bn"",""en"")"),"The immorality of the rich has become the corruption of the poor")</f>
        <v>The immorality of the rich has become the corruption of the poor</v>
      </c>
    </row>
    <row r="405" spans="1:3" ht="15" x14ac:dyDescent="0.25">
      <c r="A405" s="3" t="s">
        <v>407</v>
      </c>
      <c r="B405" s="3" t="s">
        <v>4</v>
      </c>
      <c r="C405" s="2" t="str">
        <f ca="1">IFERROR(__xludf.DUMMYFUNCTION("GOOGLETRANSLATE(A405,""bn"",""en"")"),"The tired body and the mind falling down at night seem like an endless poem of suffering")</f>
        <v>The tired body and the mind falling down at night seem like an endless poem of suffering</v>
      </c>
    </row>
    <row r="406" spans="1:3" ht="15" x14ac:dyDescent="0.25">
      <c r="A406" s="3" t="s">
        <v>408</v>
      </c>
      <c r="B406" s="3" t="s">
        <v>4</v>
      </c>
      <c r="C406" s="2" t="str">
        <f ca="1">IFERROR(__xludf.DUMMYFUNCTION("GOOGLETRANSLATE(A406,""bn"",""en"")"),"So much work pressure that it is becoming difficult to find some time for yourself")</f>
        <v>So much work pressure that it is becoming difficult to find some time for yourself</v>
      </c>
    </row>
    <row r="407" spans="1:3" ht="15" x14ac:dyDescent="0.25">
      <c r="A407" s="3" t="s">
        <v>409</v>
      </c>
      <c r="B407" s="3" t="s">
        <v>4</v>
      </c>
      <c r="C407" s="2" t="str">
        <f ca="1">IFERROR(__xludf.DUMMYFUNCTION("GOOGLETRANSLATE(A407,""bn"",""en"")"),"The basic beauty of culture has become rosy in the emotion of mourning")</f>
        <v>The basic beauty of culture has become rosy in the emotion of mourning</v>
      </c>
    </row>
    <row r="408" spans="1:3" ht="15" x14ac:dyDescent="0.25">
      <c r="A408" s="3" t="s">
        <v>410</v>
      </c>
      <c r="B408" s="3" t="s">
        <v>4</v>
      </c>
      <c r="C408" s="2" t="str">
        <f ca="1">IFERROR(__xludf.DUMMYFUNCTION("GOOGLETRANSLATE(A408,""bn"",""en"")"),"Alone in the field of the moon, Josna Makha Monta fill my empty empty mind and sing to me.")</f>
        <v>Alone in the field of the moon, Josna Makha Monta fill my empty empty mind and sing to me.</v>
      </c>
    </row>
    <row r="409" spans="1:3" ht="15" x14ac:dyDescent="0.25">
      <c r="A409" s="3" t="s">
        <v>411</v>
      </c>
      <c r="B409" s="3" t="s">
        <v>4</v>
      </c>
      <c r="C409" s="2" t="str">
        <f ca="1">IFERROR(__xludf.DUMMYFUNCTION("GOOGLETRANSLATE(A409,""bn"",""en"")"),"I often forget to spend time looking at friends' photos on social media")</f>
        <v>I often forget to spend time looking at friends' photos on social media</v>
      </c>
    </row>
    <row r="410" spans="1:3" ht="15" x14ac:dyDescent="0.25">
      <c r="A410" s="3" t="s">
        <v>412</v>
      </c>
      <c r="B410" s="3" t="s">
        <v>4</v>
      </c>
      <c r="C410" s="2" t="str">
        <f ca="1">IFERROR(__xludf.DUMMYFUNCTION("GOOGLETRANSLATE(A410,""bn"",""en"")"),"The hardest loneliness is not liking yourself")</f>
        <v>The hardest loneliness is not liking yourself</v>
      </c>
    </row>
    <row r="411" spans="1:3" ht="15" x14ac:dyDescent="0.25">
      <c r="A411" s="3" t="s">
        <v>413</v>
      </c>
      <c r="B411" s="3" t="s">
        <v>4</v>
      </c>
      <c r="C411" s="2" t="str">
        <f ca="1">IFERROR(__xludf.DUMMYFUNCTION("GOOGLETRANSLATE(A411,""bn"",""en"")"),"When you embarrass me in any way, I resent it intensely")</f>
        <v>When you embarrass me in any way, I resent it intensely</v>
      </c>
    </row>
    <row r="412" spans="1:3" ht="15" x14ac:dyDescent="0.25">
      <c r="A412" s="3" t="s">
        <v>414</v>
      </c>
      <c r="B412" s="3" t="s">
        <v>4</v>
      </c>
      <c r="C412" s="2" t="str">
        <f ca="1">IFERROR(__xludf.DUMMYFUNCTION("GOOGLETRANSLATE(A412,""bn"",""en"")"),"You can never be your own person by force")</f>
        <v>You can never be your own person by force</v>
      </c>
    </row>
    <row r="413" spans="1:3" ht="15" x14ac:dyDescent="0.25">
      <c r="A413" s="3" t="s">
        <v>415</v>
      </c>
      <c r="B413" s="3" t="s">
        <v>4</v>
      </c>
      <c r="C413" s="2" t="str">
        <f ca="1">IFERROR(__xludf.DUMMYFUNCTION("GOOGLETRANSLATE(A413,""bn"",""en"")"),"Every person dreams, some dreams come true and some are lost in the darkness of the night")</f>
        <v>Every person dreams, some dreams come true and some are lost in the darkness of the night</v>
      </c>
    </row>
    <row r="414" spans="1:3" ht="15" x14ac:dyDescent="0.25">
      <c r="A414" s="3" t="s">
        <v>416</v>
      </c>
      <c r="B414" s="3" t="s">
        <v>4</v>
      </c>
      <c r="C414" s="2" t="str">
        <f ca="1">IFERROR(__xludf.DUMMYFUNCTION("GOOGLETRANSLATE(A414,""bn"",""en"")"),"I don't know when I lost myself in you I don't know when I lost myself in you")</f>
        <v>I don't know when I lost myself in you I don't know when I lost myself in you</v>
      </c>
    </row>
    <row r="415" spans="1:3" ht="15" x14ac:dyDescent="0.25">
      <c r="A415" s="3" t="s">
        <v>417</v>
      </c>
      <c r="B415" s="3" t="s">
        <v>4</v>
      </c>
      <c r="C415" s="2" t="str">
        <f ca="1">IFERROR(__xludf.DUMMYFUNCTION("GOOGLETRANSLATE(A415,""bn"",""en"")"),"In the color of war all my love is lost like the silence of death")</f>
        <v>In the color of war all my love is lost like the silence of death</v>
      </c>
    </row>
    <row r="416" spans="1:3" ht="15" x14ac:dyDescent="0.25">
      <c r="A416" s="3" t="s">
        <v>418</v>
      </c>
      <c r="B416" s="3" t="s">
        <v>4</v>
      </c>
      <c r="C416" s="2" t="str">
        <f ca="1">IFERROR(__xludf.DUMMYFUNCTION("GOOGLETRANSLATE(A416,""bn"",""en"")"),"People are better off being alone sometimes because then no one can hurt you like that")</f>
        <v>People are better off being alone sometimes because then no one can hurt you like that</v>
      </c>
    </row>
    <row r="417" spans="1:3" ht="15" x14ac:dyDescent="0.25">
      <c r="A417" s="3" t="s">
        <v>419</v>
      </c>
      <c r="B417" s="3" t="s">
        <v>4</v>
      </c>
      <c r="C417" s="2" t="str">
        <f ca="1">IFERROR(__xludf.DUMMYFUNCTION("GOOGLETRANSLATE(A417,""bn"",""en"")"),"Sometimes I feel like I don't feel like myself at all without you")</f>
        <v>Sometimes I feel like I don't feel like myself at all without you</v>
      </c>
    </row>
    <row r="418" spans="1:3" ht="15" x14ac:dyDescent="0.25">
      <c r="A418" s="3" t="s">
        <v>420</v>
      </c>
      <c r="B418" s="3" t="s">
        <v>4</v>
      </c>
      <c r="C418" s="2" t="str">
        <f ca="1">IFERROR(__xludf.DUMMYFUNCTION("GOOGLETRANSLATE(A418,""bn"",""en"")"),"In this city of bricks and stones, I am not dying every day, it is difficult to breathe, but I am trying to survive")</f>
        <v>In this city of bricks and stones, I am not dying every day, it is difficult to breathe, but I am trying to survive</v>
      </c>
    </row>
    <row r="419" spans="1:3" ht="15" x14ac:dyDescent="0.25">
      <c r="A419" s="3" t="s">
        <v>421</v>
      </c>
      <c r="B419" s="3" t="s">
        <v>4</v>
      </c>
      <c r="C419" s="2" t="str">
        <f ca="1">IFERROR(__xludf.DUMMYFUNCTION("GOOGLETRANSLATE(A419,""bn"",""en"")"),"Owners Association treasury is not beneficial")</f>
        <v>Owners Association treasury is not beneficial</v>
      </c>
    </row>
    <row r="420" spans="1:3" ht="15" x14ac:dyDescent="0.25">
      <c r="A420" s="3" t="s">
        <v>422</v>
      </c>
      <c r="B420" s="3" t="s">
        <v>4</v>
      </c>
      <c r="C420" s="2" t="str">
        <f ca="1">IFERROR(__xludf.DUMMYFUNCTION("GOOGLETRANSLATE(A420,""bn"",""en"")"),"I am hopelessly in love with a memory another time an echo from another place")</f>
        <v>I am hopelessly in love with a memory another time an echo from another place</v>
      </c>
    </row>
    <row r="421" spans="1:3" ht="15" x14ac:dyDescent="0.25">
      <c r="A421" s="3" t="s">
        <v>423</v>
      </c>
      <c r="B421" s="3" t="s">
        <v>4</v>
      </c>
      <c r="C421" s="2" t="str">
        <f ca="1">IFERROR(__xludf.DUMMYFUNCTION("GOOGLETRANSLATE(A421,""bn"",""en"")"),"To tell the truth, when you feel lost, everything disappears")</f>
        <v>To tell the truth, when you feel lost, everything disappears</v>
      </c>
    </row>
    <row r="422" spans="1:3" ht="15" x14ac:dyDescent="0.25">
      <c r="A422" s="3" t="s">
        <v>424</v>
      </c>
      <c r="B422" s="3" t="s">
        <v>4</v>
      </c>
      <c r="C422" s="2" t="str">
        <f ca="1">IFERROR(__xludf.DUMMYFUNCTION("GOOGLETRANSLATE(A422,""bn"",""en"")"),"The education system of Bangladesh is deteriorating day by day so much that now the faith is disappearing from education")</f>
        <v>The education system of Bangladesh is deteriorating day by day so much that now the faith is disappearing from education</v>
      </c>
    </row>
    <row r="423" spans="1:3" ht="15" x14ac:dyDescent="0.25">
      <c r="A423" s="3" t="s">
        <v>425</v>
      </c>
      <c r="B423" s="3" t="s">
        <v>4</v>
      </c>
      <c r="C423" s="2" t="str">
        <f ca="1">IFERROR(__xludf.DUMMYFUNCTION("GOOGLETRANSLATE(A423,""bn"",""en"")"),"In the world we live in, there is a lot of focus on equality and tolerance")</f>
        <v>In the world we live in, there is a lot of focus on equality and tolerance</v>
      </c>
    </row>
    <row r="424" spans="1:3" ht="15" x14ac:dyDescent="0.25">
      <c r="A424" s="3" t="s">
        <v>426</v>
      </c>
      <c r="B424" s="3" t="s">
        <v>4</v>
      </c>
      <c r="C424" s="2" t="str">
        <f ca="1">IFERROR(__xludf.DUMMYFUNCTION("GOOGLETRANSLATE(A424,""bn"",""en"")"),"Just as gold does not become strong without a little water, so love does not last long unless it is mixed with respect and devotion.")</f>
        <v>Just as gold does not become strong without a little water, so love does not last long unless it is mixed with respect and devotion.</v>
      </c>
    </row>
    <row r="425" spans="1:3" ht="15" x14ac:dyDescent="0.25">
      <c r="A425" s="3" t="s">
        <v>427</v>
      </c>
      <c r="B425" s="3" t="s">
        <v>4</v>
      </c>
      <c r="C425" s="2" t="str">
        <f ca="1">IFERROR(__xludf.DUMMYFUNCTION("GOOGLETRANSLATE(A425,""bn"",""en"")"),"After lying, my mind is only filled with sadness and resentment")</f>
        <v>After lying, my mind is only filled with sadness and resentment</v>
      </c>
    </row>
    <row r="426" spans="1:3" ht="15" x14ac:dyDescent="0.25">
      <c r="A426" s="3" t="s">
        <v>428</v>
      </c>
      <c r="B426" s="3" t="s">
        <v>4</v>
      </c>
      <c r="C426" s="2" t="str">
        <f ca="1">IFERROR(__xludf.DUMMYFUNCTION("GOOGLETRANSLATE(A426,""bn"",""en"")"),"Being sick feels like being on a roller coaster")</f>
        <v>Being sick feels like being on a roller coaster</v>
      </c>
    </row>
    <row r="427" spans="1:3" ht="15" x14ac:dyDescent="0.25">
      <c r="A427" s="3" t="s">
        <v>429</v>
      </c>
      <c r="B427" s="3" t="s">
        <v>4</v>
      </c>
      <c r="C427" s="2" t="str">
        <f ca="1">IFERROR(__xludf.DUMMYFUNCTION("GOOGLETRANSLATE(A427,""bn"",""en"")"),"Those who laugh the most in the light of day cry the most in the darkness of the night")</f>
        <v>Those who laugh the most in the light of day cry the most in the darkness of the night</v>
      </c>
    </row>
    <row r="428" spans="1:3" ht="15" x14ac:dyDescent="0.25">
      <c r="A428" s="3" t="s">
        <v>430</v>
      </c>
      <c r="B428" s="3" t="s">
        <v>4</v>
      </c>
      <c r="C428" s="2" t="str">
        <f ca="1">IFERROR(__xludf.DUMMYFUNCTION("GOOGLETRANSLATE(A428,""bn"",""en"")"),"Day by day the quality of education in Bangladesh is going down")</f>
        <v>Day by day the quality of education in Bangladesh is going down</v>
      </c>
    </row>
    <row r="429" spans="1:3" ht="15" x14ac:dyDescent="0.25">
      <c r="A429" s="3" t="s">
        <v>431</v>
      </c>
      <c r="B429" s="3" t="s">
        <v>4</v>
      </c>
      <c r="C429" s="2" t="str">
        <f ca="1">IFERROR(__xludf.DUMMYFUNCTION("GOOGLETRANSLATE(A429,""bn"",""en"")"),"No one gives money without interest like father")</f>
        <v>No one gives money without interest like father</v>
      </c>
    </row>
    <row r="430" spans="1:3" ht="15" x14ac:dyDescent="0.25">
      <c r="A430" s="3" t="s">
        <v>432</v>
      </c>
      <c r="B430" s="3" t="s">
        <v>4</v>
      </c>
      <c r="C430" s="2" t="str">
        <f ca="1">IFERROR(__xludf.DUMMYFUNCTION("GOOGLETRANSLATE(A430,""bn"",""en"")"),"The tragedy of the poor is that they can do nothing but sacrifice")</f>
        <v>The tragedy of the poor is that they can do nothing but sacrifice</v>
      </c>
    </row>
    <row r="431" spans="1:3" ht="15" x14ac:dyDescent="0.25">
      <c r="A431" s="3" t="s">
        <v>433</v>
      </c>
      <c r="B431" s="3" t="s">
        <v>4</v>
      </c>
      <c r="C431" s="2" t="str">
        <f ca="1">IFERROR(__xludf.DUMMYFUNCTION("GOOGLETRANSLATE(A431,""bn"",""en"")"),"Do not suffer for a person who does not understand the value of tears")</f>
        <v>Do not suffer for a person who does not understand the value of tears</v>
      </c>
    </row>
    <row r="432" spans="1:3" ht="15" x14ac:dyDescent="0.25">
      <c r="A432" s="3" t="s">
        <v>434</v>
      </c>
      <c r="B432" s="3" t="s">
        <v>4</v>
      </c>
      <c r="C432" s="2" t="str">
        <f ca="1">IFERROR(__xludf.DUMMYFUNCTION("GOOGLETRANSLATE(A432,""bn"",""en"")"),"Every man has his secret sorrows which the world knows not, and often we call a man cold when he is only sad")</f>
        <v>Every man has his secret sorrows which the world knows not, and often we call a man cold when he is only sad</v>
      </c>
    </row>
    <row r="433" spans="1:3" ht="15" x14ac:dyDescent="0.25">
      <c r="A433" s="3" t="s">
        <v>435</v>
      </c>
      <c r="B433" s="3" t="s">
        <v>4</v>
      </c>
      <c r="C433" s="2" t="str">
        <f ca="1">IFERROR(__xludf.DUMMYFUNCTION("GOOGLETRANSLATE(A433,""bn"",""en"")"),"A man only cries when he fights with his mind and loses")</f>
        <v>A man only cries when he fights with his mind and loses</v>
      </c>
    </row>
    <row r="434" spans="1:3" ht="15" x14ac:dyDescent="0.25">
      <c r="A434" s="3" t="s">
        <v>436</v>
      </c>
      <c r="B434" s="3" t="s">
        <v>4</v>
      </c>
      <c r="C434" s="2" t="str">
        <f ca="1">IFERROR(__xludf.DUMMYFUNCTION("GOOGLETRANSLATE(A434,""bn"",""en"")"),"I cannot reconcile with the traditions of this society")</f>
        <v>I cannot reconcile with the traditions of this society</v>
      </c>
    </row>
    <row r="435" spans="1:3" ht="15" x14ac:dyDescent="0.25">
      <c r="A435" s="3" t="s">
        <v>437</v>
      </c>
      <c r="B435" s="3" t="s">
        <v>4</v>
      </c>
      <c r="C435" s="2" t="str">
        <f ca="1">IFERROR(__xludf.DUMMYFUNCTION("GOOGLETRANSLATE(A435,""bn"",""en"")"),"True warriors grow up with pain")</f>
        <v>True warriors grow up with pain</v>
      </c>
    </row>
    <row r="436" spans="1:3" ht="15" x14ac:dyDescent="0.25">
      <c r="A436" s="3" t="s">
        <v>438</v>
      </c>
      <c r="B436" s="3" t="s">
        <v>4</v>
      </c>
      <c r="C436" s="2" t="str">
        <f ca="1">IFERROR(__xludf.DUMMYFUNCTION("GOOGLETRANSLATE(A436,""bn"",""en"")"),"Today most of the students cannot form the career of their choice")</f>
        <v>Today most of the students cannot form the career of their choice</v>
      </c>
    </row>
    <row r="437" spans="1:3" ht="15" x14ac:dyDescent="0.25">
      <c r="A437" s="3" t="s">
        <v>439</v>
      </c>
      <c r="B437" s="3" t="s">
        <v>4</v>
      </c>
      <c r="C437" s="2" t="str">
        <f ca="1">IFERROR(__xludf.DUMMYFUNCTION("GOOGLETRANSLATE(A437,""bn"",""en"")"),"All dreams and desires stop at the fence of society's norms")</f>
        <v>All dreams and desires stop at the fence of society's norms</v>
      </c>
    </row>
    <row r="438" spans="1:3" ht="15" x14ac:dyDescent="0.25">
      <c r="A438" s="3" t="s">
        <v>440</v>
      </c>
      <c r="B438" s="3" t="s">
        <v>4</v>
      </c>
      <c r="C438" s="2" t="str">
        <f ca="1">IFERROR(__xludf.DUMMYFUNCTION("GOOGLETRANSLATE(A438,""bn"",""en"")"),"One of the hardest things in life is letting go of what you thought was real")</f>
        <v>One of the hardest things in life is letting go of what you thought was real</v>
      </c>
    </row>
    <row r="439" spans="1:3" ht="15" x14ac:dyDescent="0.25">
      <c r="A439" s="3" t="s">
        <v>441</v>
      </c>
      <c r="B439" s="3" t="s">
        <v>4</v>
      </c>
      <c r="C439" s="2" t="str">
        <f ca="1">IFERROR(__xludf.DUMMYFUNCTION("GOOGLETRANSLATE(A439,""bn"",""en"")"),"Communality of dangers and problems creates energy loss and tendency")</f>
        <v>Communality of dangers and problems creates energy loss and tendency</v>
      </c>
    </row>
    <row r="440" spans="1:3" ht="15" x14ac:dyDescent="0.25">
      <c r="A440" s="3" t="s">
        <v>442</v>
      </c>
      <c r="B440" s="3" t="s">
        <v>4</v>
      </c>
      <c r="C440" s="2" t="str">
        <f ca="1">IFERROR(__xludf.DUMMYFUNCTION("GOOGLETRANSLATE(A440,""bn"",""en"")"),"It is better to live with dreams than to live with memories")</f>
        <v>It is better to live with dreams than to live with memories</v>
      </c>
    </row>
    <row r="441" spans="1:3" ht="15" x14ac:dyDescent="0.25">
      <c r="A441" s="3" t="s">
        <v>443</v>
      </c>
      <c r="B441" s="3" t="s">
        <v>4</v>
      </c>
      <c r="C441" s="2" t="str">
        <f ca="1">IFERROR(__xludf.DUMMYFUNCTION("GOOGLETRANSLATE(A441,""bn"",""en"")"),"If a person lives in the heart, it is very difficult to remove him from the mind")</f>
        <v>If a person lives in the heart, it is very difficult to remove him from the mind</v>
      </c>
    </row>
    <row r="442" spans="1:3" ht="15" x14ac:dyDescent="0.25">
      <c r="A442" s="3" t="s">
        <v>444</v>
      </c>
      <c r="B442" s="3" t="s">
        <v>4</v>
      </c>
      <c r="C442" s="2" t="str">
        <f ca="1">IFERROR(__xludf.DUMMYFUNCTION("GOOGLETRANSLATE(A442,""bn"",""en"")"),"The sense of war events is deeply disturbing and a source of unrest")</f>
        <v>The sense of war events is deeply disturbing and a source of unrest</v>
      </c>
    </row>
    <row r="443" spans="1:3" ht="15" x14ac:dyDescent="0.25">
      <c r="A443" s="3" t="s">
        <v>445</v>
      </c>
      <c r="B443" s="3" t="s">
        <v>4</v>
      </c>
      <c r="C443" s="2" t="str">
        <f ca="1">IFERROR(__xludf.DUMMYFUNCTION("GOOGLETRANSLATE(A443,""bn"",""en"")"),"Love Love relationship is not only about holding the hand of loved one but also not letting go of his hand in all kinds of adverse situations")</f>
        <v>Love Love relationship is not only about holding the hand of loved one but also not letting go of his hand in all kinds of adverse situations</v>
      </c>
    </row>
    <row r="444" spans="1:3" ht="15" x14ac:dyDescent="0.25">
      <c r="A444" s="3" t="s">
        <v>446</v>
      </c>
      <c r="B444" s="3" t="s">
        <v>4</v>
      </c>
      <c r="C444" s="2" t="str">
        <f ca="1">IFERROR(__xludf.DUMMYFUNCTION("GOOGLETRANSLATE(A444,""bn"",""en"")"),"Do not establish falsehood with falsehood")</f>
        <v>Do not establish falsehood with falsehood</v>
      </c>
    </row>
    <row r="445" spans="1:3" ht="15" x14ac:dyDescent="0.25">
      <c r="A445" s="3" t="s">
        <v>447</v>
      </c>
      <c r="B445" s="3" t="s">
        <v>4</v>
      </c>
      <c r="C445" s="2" t="str">
        <f ca="1">IFERROR(__xludf.DUMMYFUNCTION("GOOGLETRANSLATE(A445,""bn"",""en"")"),"If you accept peace, if you remember it is chaos")</f>
        <v>If you accept peace, if you remember it is chaos</v>
      </c>
    </row>
    <row r="446" spans="1:3" ht="15" x14ac:dyDescent="0.25">
      <c r="A446" s="3" t="s">
        <v>448</v>
      </c>
      <c r="B446" s="3" t="s">
        <v>4</v>
      </c>
      <c r="C446" s="2" t="str">
        <f ca="1">IFERROR(__xludf.DUMMYFUNCTION("GOOGLETRANSLATE(A446,""bn"",""en"")"),"Paulo Dybala has played a lot of games but is unable to be included in the team due to injury")</f>
        <v>Paulo Dybala has played a lot of games but is unable to be included in the team due to injury</v>
      </c>
    </row>
    <row r="447" spans="1:3" ht="15" x14ac:dyDescent="0.25">
      <c r="A447" s="3" t="s">
        <v>449</v>
      </c>
      <c r="B447" s="3" t="s">
        <v>4</v>
      </c>
      <c r="C447" s="2" t="str">
        <f ca="1">IFERROR(__xludf.DUMMYFUNCTION("GOOGLETRANSLATE(A447,""bn"",""en"")"),"There are more people who misunderstand than people who understand in this city")</f>
        <v>There are more people who misunderstand than people who understand in this city</v>
      </c>
    </row>
    <row r="448" spans="1:3" ht="15" x14ac:dyDescent="0.25">
      <c r="A448" s="3" t="s">
        <v>450</v>
      </c>
      <c r="B448" s="3" t="s">
        <v>4</v>
      </c>
      <c r="C448" s="2" t="str">
        <f ca="1">IFERROR(__xludf.DUMMYFUNCTION("GOOGLETRANSLATE(A448,""bn"",""en"")"),"My silence couldn't touch your heart so I didn't try to understand you with words, I just left in silence")</f>
        <v>My silence couldn't touch your heart so I didn't try to understand you with words, I just left in silence</v>
      </c>
    </row>
    <row r="449" spans="1:3" ht="15" x14ac:dyDescent="0.25">
      <c r="A449" s="3" t="s">
        <v>451</v>
      </c>
      <c r="B449" s="3" t="s">
        <v>4</v>
      </c>
      <c r="C449" s="2" t="str">
        <f ca="1">IFERROR(__xludf.DUMMYFUNCTION("GOOGLETRANSLATE(A449,""bn"",""en"")"),"Some of the best people who ever lived were poor like me and if you are a Christian you should not consider poverty a crime.")</f>
        <v>Some of the best people who ever lived were poor like me and if you are a Christian you should not consider poverty a crime.</v>
      </c>
    </row>
    <row r="450" spans="1:3" ht="15" x14ac:dyDescent="0.25">
      <c r="A450" s="3" t="s">
        <v>452</v>
      </c>
      <c r="B450" s="3" t="s">
        <v>4</v>
      </c>
      <c r="C450" s="2" t="str">
        <f ca="1">IFERROR(__xludf.DUMMYFUNCTION("GOOGLETRANSLATE(A450,""bn"",""en"")"),"Of all the aspects of social distress, none is more heartbreaking than unemployment")</f>
        <v>Of all the aspects of social distress, none is more heartbreaking than unemployment</v>
      </c>
    </row>
    <row r="451" spans="1:3" ht="15" x14ac:dyDescent="0.25">
      <c r="A451" s="3" t="s">
        <v>453</v>
      </c>
      <c r="B451" s="3" t="s">
        <v>4</v>
      </c>
      <c r="C451" s="2" t="str">
        <f ca="1">IFERROR(__xludf.DUMMYFUNCTION("GOOGLETRANSLATE(A451,""bn"",""en"")"),"Depression is a mental illness A type of illness that creates turmoil in our mind")</f>
        <v>Depression is a mental illness A type of illness that creates turmoil in our mind</v>
      </c>
    </row>
    <row r="452" spans="1:3" ht="15" x14ac:dyDescent="0.25">
      <c r="A452" s="3" t="s">
        <v>454</v>
      </c>
      <c r="B452" s="3" t="s">
        <v>4</v>
      </c>
      <c r="C452" s="2" t="str">
        <f ca="1">IFERROR(__xludf.DUMMYFUNCTION("GOOGLETRANSLATE(A452,""bn"",""en"")"),"Those who are burning with unemployment every day know the true meaning of life at the end of the day")</f>
        <v>Those who are burning with unemployment every day know the true meaning of life at the end of the day</v>
      </c>
    </row>
    <row r="453" spans="1:3" ht="15" x14ac:dyDescent="0.25">
      <c r="A453" s="3" t="s">
        <v>455</v>
      </c>
      <c r="B453" s="3" t="s">
        <v>4</v>
      </c>
      <c r="C453" s="2" t="str">
        <f ca="1">IFERROR(__xludf.DUMMYFUNCTION("GOOGLETRANSLATE(A453,""bn"",""en"")"),"The light of Bengali culture is walking on the path of darkness")</f>
        <v>The light of Bengali culture is walking on the path of darkness</v>
      </c>
    </row>
    <row r="454" spans="1:3" ht="15" x14ac:dyDescent="0.25">
      <c r="A454" s="3" t="s">
        <v>456</v>
      </c>
      <c r="B454" s="3" t="s">
        <v>4</v>
      </c>
      <c r="C454" s="2" t="str">
        <f ca="1">IFERROR(__xludf.DUMMYFUNCTION("GOOGLETRANSLATE(A454,""bn"",""en"")"),"Love him whose heart is as hard as stone in life")</f>
        <v>Love him whose heart is as hard as stone in life</v>
      </c>
    </row>
    <row r="455" spans="1:3" ht="15" x14ac:dyDescent="0.25">
      <c r="A455" s="3" t="s">
        <v>457</v>
      </c>
      <c r="B455" s="3" t="s">
        <v>4</v>
      </c>
      <c r="C455" s="2" t="str">
        <f ca="1">IFERROR(__xludf.DUMMYFUNCTION("GOOGLETRANSLATE(A455,""bn"",""en"")"),"Let my body live in poverty and let my hands be like the hands of a laborer")</f>
        <v>Let my body live in poverty and let my hands be like the hands of a laborer</v>
      </c>
    </row>
    <row r="456" spans="1:3" ht="15" x14ac:dyDescent="0.25">
      <c r="A456" s="3" t="s">
        <v>458</v>
      </c>
      <c r="B456" s="3" t="s">
        <v>4</v>
      </c>
      <c r="C456" s="2" t="str">
        <f ca="1">IFERROR(__xludf.DUMMYFUNCTION("GOOGLETRANSLATE(A456,""bn"",""en"")"),"Responsibility to bear the burden of family but lack of capacity")</f>
        <v>Responsibility to bear the burden of family but lack of capacity</v>
      </c>
    </row>
    <row r="457" spans="1:3" ht="15" x14ac:dyDescent="0.25">
      <c r="A457" s="3" t="s">
        <v>459</v>
      </c>
      <c r="B457" s="3" t="s">
        <v>4</v>
      </c>
      <c r="C457" s="2" t="str">
        <f ca="1">IFERROR(__xludf.DUMMYFUNCTION("GOOGLETRANSLATE(A457,""bn"",""en"")"),"There is a great war going on in the human heart within the mind that has caught fire with unending rage")</f>
        <v>There is a great war going on in the human heart within the mind that has caught fire with unending rage</v>
      </c>
    </row>
    <row r="458" spans="1:3" ht="15" x14ac:dyDescent="0.25">
      <c r="A458" s="3" t="s">
        <v>460</v>
      </c>
      <c r="B458" s="3" t="s">
        <v>4</v>
      </c>
      <c r="C458" s="2" t="str">
        <f ca="1">IFERROR(__xludf.DUMMYFUNCTION("GOOGLETRANSLATE(A458,""bn"",""en"")"),"Lost in the darkness of the culture of Bengal is the dull eternal light of the people")</f>
        <v>Lost in the darkness of the culture of Bengal is the dull eternal light of the people</v>
      </c>
    </row>
    <row r="459" spans="1:3" ht="15" x14ac:dyDescent="0.25">
      <c r="A459" s="3" t="s">
        <v>461</v>
      </c>
      <c r="B459" s="3" t="s">
        <v>4</v>
      </c>
      <c r="C459" s="2" t="str">
        <f ca="1">IFERROR(__xludf.DUMMYFUNCTION("GOOGLETRANSLATE(A459,""bn"",""en"")"),"If you weren't born with a silver spoon, take any spoon and silver it")</f>
        <v>If you weren't born with a silver spoon, take any spoon and silver it</v>
      </c>
    </row>
    <row r="460" spans="1:3" ht="15" x14ac:dyDescent="0.25">
      <c r="A460" s="3" t="s">
        <v>462</v>
      </c>
      <c r="B460" s="3" t="s">
        <v>4</v>
      </c>
      <c r="C460" s="2" t="str">
        <f ca="1">IFERROR(__xludf.DUMMYFUNCTION("GOOGLETRANSLATE(A460,""bn"",""en"")"),"The financial condition is critical so the amount of debt is increasing day by day")</f>
        <v>The financial condition is critical so the amount of debt is increasing day by day</v>
      </c>
    </row>
    <row r="461" spans="1:3" ht="15" x14ac:dyDescent="0.25">
      <c r="A461" s="3" t="s">
        <v>463</v>
      </c>
      <c r="B461" s="3" t="s">
        <v>4</v>
      </c>
      <c r="C461" s="2" t="str">
        <f ca="1">IFERROR(__xludf.DUMMYFUNCTION("GOOGLETRANSLATE(A461,""bn"",""en"")"),"I love you so much that the way people are treating you really scares me")</f>
        <v>I love you so much that the way people are treating you really scares me</v>
      </c>
    </row>
    <row r="462" spans="1:3" ht="15" x14ac:dyDescent="0.25">
      <c r="A462" s="3" t="s">
        <v>464</v>
      </c>
      <c r="B462" s="3" t="s">
        <v>4</v>
      </c>
      <c r="C462" s="2" t="str">
        <f ca="1">IFERROR(__xludf.DUMMYFUNCTION("GOOGLETRANSLATE(A462,""bn"",""en"")"),"The story of the movie matches the story of my life")</f>
        <v>The story of the movie matches the story of my life</v>
      </c>
    </row>
    <row r="463" spans="1:3" ht="15" x14ac:dyDescent="0.25">
      <c r="A463" s="3" t="s">
        <v>465</v>
      </c>
      <c r="B463" s="3" t="s">
        <v>4</v>
      </c>
      <c r="C463" s="2" t="str">
        <f ca="1">IFERROR(__xludf.DUMMYFUNCTION("GOOGLETRANSLATE(A463,""bn"",""en"")"),"There is more joy in giving love than receiving love")</f>
        <v>There is more joy in giving love than receiving love</v>
      </c>
    </row>
    <row r="464" spans="1:3" ht="15" x14ac:dyDescent="0.25">
      <c r="A464" s="3" t="s">
        <v>466</v>
      </c>
      <c r="B464" s="3" t="s">
        <v>4</v>
      </c>
      <c r="C464" s="2" t="str">
        <f ca="1">IFERROR(__xludf.DUMMYFUNCTION("GOOGLETRANSLATE(A464,""bn"",""en"")"),"The sky of life covered with dark clouds of suffering")</f>
        <v>The sky of life covered with dark clouds of suffering</v>
      </c>
    </row>
    <row r="465" spans="1:3" ht="15" x14ac:dyDescent="0.25">
      <c r="A465" s="3" t="s">
        <v>467</v>
      </c>
      <c r="B465" s="3" t="s">
        <v>4</v>
      </c>
      <c r="C465" s="2" t="str">
        <f ca="1">IFERROR(__xludf.DUMMYFUNCTION("GOOGLETRANSLATE(A465,""bn"",""en"")"),"Technology has made our lives easier but at the same time has made us lazier")</f>
        <v>Technology has made our lives easier but at the same time has made us lazier</v>
      </c>
    </row>
    <row r="466" spans="1:3" ht="15" x14ac:dyDescent="0.25">
      <c r="A466" s="3" t="s">
        <v>468</v>
      </c>
      <c r="B466" s="3" t="s">
        <v>4</v>
      </c>
      <c r="C466" s="2" t="str">
        <f ca="1">IFERROR(__xludf.DUMMYFUNCTION("GOOGLETRANSLATE(A466,""bn"",""en"")"),"Love is not keeping a promise, love is being faithful to someone")</f>
        <v>Love is not keeping a promise, love is being faithful to someone</v>
      </c>
    </row>
    <row r="467" spans="1:3" ht="15" x14ac:dyDescent="0.25">
      <c r="A467" s="3" t="s">
        <v>469</v>
      </c>
      <c r="B467" s="3" t="s">
        <v>4</v>
      </c>
      <c r="C467" s="2" t="str">
        <f ca="1">IFERROR(__xludf.DUMMYFUNCTION("GOOGLETRANSLATE(A467,""bn"",""en"")"),"Only sadness is the color of my culture")</f>
        <v>Only sadness is the color of my culture</v>
      </c>
    </row>
    <row r="468" spans="1:3" ht="15" x14ac:dyDescent="0.25">
      <c r="A468" s="3" t="s">
        <v>470</v>
      </c>
      <c r="B468" s="3" t="s">
        <v>4</v>
      </c>
      <c r="C468" s="2" t="str">
        <f ca="1">IFERROR(__xludf.DUMMYFUNCTION("GOOGLETRANSLATE(A468,""bn"",""en"")"),"Can't take any time for myself without time in work life")</f>
        <v>Can't take any time for myself without time in work life</v>
      </c>
    </row>
    <row r="469" spans="1:3" ht="15" x14ac:dyDescent="0.25">
      <c r="A469" s="3" t="s">
        <v>9</v>
      </c>
      <c r="B469" s="3" t="s">
        <v>4</v>
      </c>
      <c r="C469" s="2" t="str">
        <f ca="1">IFERROR(__xludf.DUMMYFUNCTION("GOOGLETRANSLATE(A469,""bn"",""en"")"),"Poisonous eyes are looking at the culture of Bengal")</f>
        <v>Poisonous eyes are looking at the culture of Bengal</v>
      </c>
    </row>
    <row r="470" spans="1:3" ht="15" x14ac:dyDescent="0.25">
      <c r="A470" s="3" t="s">
        <v>471</v>
      </c>
      <c r="B470" s="3" t="s">
        <v>4</v>
      </c>
      <c r="C470" s="2" t="str">
        <f ca="1">IFERROR(__xludf.DUMMYFUNCTION("GOOGLETRANSLATE(A470,""bn"",""en"")"),"Carrying the burden of suffering in the solitude of late night")</f>
        <v>Carrying the burden of suffering in the solitude of late night</v>
      </c>
    </row>
    <row r="471" spans="1:3" ht="15" x14ac:dyDescent="0.25">
      <c r="A471" s="3" t="s">
        <v>472</v>
      </c>
      <c r="B471" s="3" t="s">
        <v>4</v>
      </c>
      <c r="C471" s="2" t="str">
        <f ca="1">IFERROR(__xludf.DUMMYFUNCTION("GOOGLETRANSLATE(A471,""bn"",""en"")"),"I bought a game with high hopes and while playing I saw that the story is not very good")</f>
        <v>I bought a game with high hopes and while playing I saw that the story is not very good</v>
      </c>
    </row>
    <row r="472" spans="1:3" ht="15" x14ac:dyDescent="0.25">
      <c r="A472" s="3" t="s">
        <v>473</v>
      </c>
      <c r="B472" s="3" t="s">
        <v>4</v>
      </c>
      <c r="C472" s="2" t="str">
        <f ca="1">IFERROR(__xludf.DUMMYFUNCTION("GOOGLETRANSLATE(A472,""bn"",""en"")"),"Only motherless boys know how cruel reality is")</f>
        <v>Only motherless boys know how cruel reality is</v>
      </c>
    </row>
    <row r="473" spans="1:3" ht="15" x14ac:dyDescent="0.25">
      <c r="A473" s="3" t="s">
        <v>474</v>
      </c>
      <c r="B473" s="3" t="s">
        <v>4</v>
      </c>
      <c r="C473" s="2" t="str">
        <f ca="1">IFERROR(__xludf.DUMMYFUNCTION("GOOGLETRANSLATE(A473,""bn"",""en"")"),"What is happening in this country how many more days")</f>
        <v>What is happening in this country how many more days</v>
      </c>
    </row>
    <row r="474" spans="1:3" ht="15" x14ac:dyDescent="0.25">
      <c r="A474" s="3" t="s">
        <v>475</v>
      </c>
      <c r="B474" s="3" t="s">
        <v>4</v>
      </c>
      <c r="C474" s="2" t="str">
        <f ca="1">IFERROR(__xludf.DUMMYFUNCTION("GOOGLETRANSLATE(A474,""bn"",""en"")"),"There is a sense of unhappiness and dissatisfaction in the family")</f>
        <v>There is a sense of unhappiness and dissatisfaction in the family</v>
      </c>
    </row>
    <row r="475" spans="1:3" ht="15" x14ac:dyDescent="0.25">
      <c r="A475" s="3" t="s">
        <v>476</v>
      </c>
      <c r="B475" s="3" t="s">
        <v>4</v>
      </c>
      <c r="C475" s="2" t="str">
        <f ca="1">IFERROR(__xludf.DUMMYFUNCTION("GOOGLETRANSLATE(A475,""bn"",""en"")"),"My mind is just in darkness because of the lack of family")</f>
        <v>My mind is just in darkness because of the lack of family</v>
      </c>
    </row>
    <row r="476" spans="1:3" ht="15" x14ac:dyDescent="0.25">
      <c r="A476" s="3" t="s">
        <v>477</v>
      </c>
      <c r="B476" s="3" t="s">
        <v>4</v>
      </c>
      <c r="C476" s="2" t="str">
        <f ca="1">IFERROR(__xludf.DUMMYFUNCTION("GOOGLETRANSLATE(A476,""bn"",""en"")"),"A whole day's work was wasted and I didn't have time to save for the current to go out")</f>
        <v>A whole day's work was wasted and I didn't have time to save for the current to go out</v>
      </c>
    </row>
    <row r="477" spans="1:3" ht="15" x14ac:dyDescent="0.25">
      <c r="A477" s="3" t="s">
        <v>478</v>
      </c>
      <c r="B477" s="3" t="s">
        <v>4</v>
      </c>
      <c r="C477" s="2" t="str">
        <f ca="1">IFERROR(__xludf.DUMMYFUNCTION("GOOGLETRANSLATE(A477,""bn"",""en"")"),"Better to leave than just get insulted")</f>
        <v>Better to leave than just get insulted</v>
      </c>
    </row>
    <row r="478" spans="1:3" ht="15" x14ac:dyDescent="0.25">
      <c r="A478" s="3" t="s">
        <v>479</v>
      </c>
      <c r="B478" s="3" t="s">
        <v>4</v>
      </c>
      <c r="C478" s="2" t="str">
        <f ca="1">IFERROR(__xludf.DUMMYFUNCTION("GOOGLETRANSLATE(A478,""bn"",""en"")"),"Some people come into our lives who just break faith")</f>
        <v>Some people come into our lives who just break faith</v>
      </c>
    </row>
    <row r="479" spans="1:3" ht="15" x14ac:dyDescent="0.25">
      <c r="A479" s="3" t="s">
        <v>480</v>
      </c>
      <c r="B479" s="3" t="s">
        <v>4</v>
      </c>
      <c r="C479" s="2" t="str">
        <f ca="1">IFERROR(__xludf.DUMMYFUNCTION("GOOGLETRANSLATE(A479,""bn"",""en"")"),"I have noticed that people in the community are very excited about the current situation")</f>
        <v>I have noticed that people in the community are very excited about the current situation</v>
      </c>
    </row>
    <row r="480" spans="1:3" ht="15" x14ac:dyDescent="0.25">
      <c r="A480" s="3" t="s">
        <v>481</v>
      </c>
      <c r="B480" s="3" t="s">
        <v>4</v>
      </c>
      <c r="C480" s="2" t="str">
        <f ca="1">IFERROR(__xludf.DUMMYFUNCTION("GOOGLETRANSLATE(A480,""bn"",""en"")"),"Illness frees the mind to wander and protect at times")</f>
        <v>Illness frees the mind to wander and protect at times</v>
      </c>
    </row>
    <row r="481" spans="1:3" ht="15" x14ac:dyDescent="0.25">
      <c r="A481" s="3" t="s">
        <v>482</v>
      </c>
      <c r="B481" s="3" t="s">
        <v>4</v>
      </c>
      <c r="C481" s="2" t="str">
        <f ca="1">IFERROR(__xludf.DUMMYFUNCTION("GOOGLETRANSLATE(A481,""bn"",""en"")"),"Ego is enough to destroy a relationship")</f>
        <v>Ego is enough to destroy a relationship</v>
      </c>
    </row>
    <row r="482" spans="1:3" ht="15" x14ac:dyDescent="0.25">
      <c r="A482" s="3" t="s">
        <v>483</v>
      </c>
      <c r="B482" s="3" t="s">
        <v>4</v>
      </c>
      <c r="C482" s="2" t="str">
        <f ca="1">IFERROR(__xludf.DUMMYFUNCTION("GOOGLETRANSLATE(A482,""bn"",""en"")"),"You can only buy certificates with money but never acquire skills")</f>
        <v>You can only buy certificates with money but never acquire skills</v>
      </c>
    </row>
    <row r="483" spans="1:3" ht="15" x14ac:dyDescent="0.25">
      <c r="A483" s="3" t="s">
        <v>484</v>
      </c>
      <c r="B483" s="3" t="s">
        <v>4</v>
      </c>
      <c r="C483" s="2" t="str">
        <f ca="1">IFERROR(__xludf.DUMMYFUNCTION("GOOGLETRANSLATE(A483,""bn"",""en"")"),"Everyone has heartache, it just manifests differently")</f>
        <v>Everyone has heartache, it just manifests differently</v>
      </c>
    </row>
    <row r="484" spans="1:3" ht="15" x14ac:dyDescent="0.25">
      <c r="A484" s="3" t="s">
        <v>485</v>
      </c>
      <c r="B484" s="3" t="s">
        <v>4</v>
      </c>
      <c r="C484" s="2" t="str">
        <f ca="1">IFERROR(__xludf.DUMMYFUNCTION("GOOGLETRANSLATE(A484,""bn"",""en"")"),"There is a touch of error in the eye of painted entertainment, no touch of sadness")</f>
        <v>There is a touch of error in the eye of painted entertainment, no touch of sadness</v>
      </c>
    </row>
    <row r="485" spans="1:3" ht="15" x14ac:dyDescent="0.25">
      <c r="A485" s="3" t="s">
        <v>486</v>
      </c>
      <c r="B485" s="3" t="s">
        <v>4</v>
      </c>
      <c r="C485" s="2" t="str">
        <f ca="1">IFERROR(__xludf.DUMMYFUNCTION("GOOGLETRANSLATE(A485,""bn"",""en"")"),"It is sad that David Warner has retired from Test cricket")</f>
        <v>It is sad that David Warner has retired from Test cricket</v>
      </c>
    </row>
    <row r="486" spans="1:3" ht="15" x14ac:dyDescent="0.25">
      <c r="A486" s="3" t="s">
        <v>487</v>
      </c>
      <c r="B486" s="3" t="s">
        <v>4</v>
      </c>
      <c r="C486" s="2" t="str">
        <f ca="1">IFERROR(__xludf.DUMMYFUNCTION("GOOGLETRANSLATE(A486,""bn"",""en"")"),"The night is like an endless poem of suffering, the mind falling on the tired body")</f>
        <v>The night is like an endless poem of suffering, the mind falling on the tired body</v>
      </c>
    </row>
    <row r="487" spans="1:3" ht="15" x14ac:dyDescent="0.25">
      <c r="A487" s="3" t="s">
        <v>488</v>
      </c>
      <c r="B487" s="3" t="s">
        <v>4</v>
      </c>
      <c r="C487" s="2" t="str">
        <f ca="1">IFERROR(__xludf.DUMMYFUNCTION("GOOGLETRANSLATE(A487,""bn"",""en"")"),"My experience in online gaming is ruined by fellow players leaving the game in anger")</f>
        <v>My experience in online gaming is ruined by fellow players leaving the game in anger</v>
      </c>
    </row>
    <row r="488" spans="1:3" ht="15" x14ac:dyDescent="0.25">
      <c r="A488" s="3" t="s">
        <v>489</v>
      </c>
      <c r="B488" s="3" t="s">
        <v>4</v>
      </c>
      <c r="C488" s="2" t="str">
        <f ca="1">IFERROR(__xludf.DUMMYFUNCTION("GOOGLETRANSLATE(A488,""bn"",""en"")"),"Even if everything in the world is a lie, the tears in boys' eyes are never false because girls never shed their precious tears unless they are in great pain.")</f>
        <v>Even if everything in the world is a lie, the tears in boys' eyes are never false because girls never shed their precious tears unless they are in great pain.</v>
      </c>
    </row>
    <row r="489" spans="1:3" ht="15" x14ac:dyDescent="0.25">
      <c r="A489" s="3" t="s">
        <v>490</v>
      </c>
      <c r="B489" s="3" t="s">
        <v>4</v>
      </c>
      <c r="C489" s="2" t="str">
        <f ca="1">IFERROR(__xludf.DUMMYFUNCTION("GOOGLETRANSLATE(A489,""bn"",""en"")"),"Color is not needed to make life colorful, a good relationship is needed")</f>
        <v>Color is not needed to make life colorful, a good relationship is needed</v>
      </c>
    </row>
    <row r="490" spans="1:3" ht="15" x14ac:dyDescent="0.25">
      <c r="A490" s="3" t="s">
        <v>491</v>
      </c>
      <c r="B490" s="3" t="s">
        <v>4</v>
      </c>
      <c r="C490" s="2" t="str">
        <f ca="1">IFERROR(__xludf.DUMMYFUNCTION("GOOGLETRANSLATE(A490,""bn"",""en"")"),"Happiness in life resides only in love")</f>
        <v>Happiness in life resides only in love</v>
      </c>
    </row>
    <row r="491" spans="1:3" ht="15" x14ac:dyDescent="0.25">
      <c r="A491" s="3" t="s">
        <v>492</v>
      </c>
      <c r="B491" s="3" t="s">
        <v>4</v>
      </c>
      <c r="C491" s="2" t="str">
        <f ca="1">IFERROR(__xludf.DUMMYFUNCTION("GOOGLETRANSLATE(A491,""bn"",""en"")"),"There is no such thing as freedom in today's politics Sabi Toshamodi")</f>
        <v>There is no such thing as freedom in today's politics Sabi Toshamodi</v>
      </c>
    </row>
    <row r="492" spans="1:3" ht="15" x14ac:dyDescent="0.25">
      <c r="A492" s="3" t="s">
        <v>493</v>
      </c>
      <c r="B492" s="3" t="s">
        <v>4</v>
      </c>
      <c r="C492" s="2" t="str">
        <f ca="1">IFERROR(__xludf.DUMMYFUNCTION("GOOGLETRANSLATE(A492,""bn"",""en"")"),"People's lives have become hell due to political tension")</f>
        <v>People's lives have become hell due to political tension</v>
      </c>
    </row>
    <row r="493" spans="1:3" ht="15" x14ac:dyDescent="0.25">
      <c r="A493" s="3" t="s">
        <v>494</v>
      </c>
      <c r="B493" s="3" t="s">
        <v>4</v>
      </c>
      <c r="C493" s="2" t="str">
        <f ca="1">IFERROR(__xludf.DUMMYFUNCTION("GOOGLETRANSLATE(A493,""bn"",""en"")"),"Change is necessary to stay well")</f>
        <v>Change is necessary to stay well</v>
      </c>
    </row>
    <row r="494" spans="1:3" ht="15" x14ac:dyDescent="0.25">
      <c r="A494" s="3" t="s">
        <v>495</v>
      </c>
      <c r="B494" s="3" t="s">
        <v>4</v>
      </c>
      <c r="C494" s="2" t="str">
        <f ca="1">IFERROR(__xludf.DUMMYFUNCTION("GOOGLETRANSLATE(A494,""bn"",""en"")"),"It is true that global ownership is absolute but it has also created inequality and created new poverty")</f>
        <v>It is true that global ownership is absolute but it has also created inequality and created new poverty</v>
      </c>
    </row>
    <row r="495" spans="1:3" ht="15" x14ac:dyDescent="0.25">
      <c r="A495" s="3" t="s">
        <v>496</v>
      </c>
      <c r="B495" s="3" t="s">
        <v>4</v>
      </c>
      <c r="C495" s="2" t="str">
        <f ca="1">IFERROR(__xludf.DUMMYFUNCTION("GOOGLETRANSLATE(A495,""bn"",""en"")"),"People only look for physical health not mental health")</f>
        <v>People only look for physical health not mental health</v>
      </c>
    </row>
    <row r="496" spans="1:3" ht="15" x14ac:dyDescent="0.25">
      <c r="A496" s="3" t="s">
        <v>497</v>
      </c>
      <c r="B496" s="3" t="s">
        <v>4</v>
      </c>
      <c r="C496" s="2" t="str">
        <f ca="1">IFERROR(__xludf.DUMMYFUNCTION("GOOGLETRANSLATE(A496,""bn"",""en"")"),"Heart broken by family disaster, many dreams drowned in the sea")</f>
        <v>Heart broken by family disaster, many dreams drowned in the sea</v>
      </c>
    </row>
    <row r="497" spans="1:3" ht="15" x14ac:dyDescent="0.25">
      <c r="A497" s="3" t="s">
        <v>498</v>
      </c>
      <c r="B497" s="3" t="s">
        <v>4</v>
      </c>
      <c r="C497" s="2" t="str">
        <f ca="1">IFERROR(__xludf.DUMMYFUNCTION("GOOGLETRANSLATE(A497,""bn"",""en"")"),"A relationship is not just about being by your side in happiness or sadness, the relationship should be such that even if you are not close, the feeling of being next to each other is as much trust as you had yesterday.")</f>
        <v>A relationship is not just about being by your side in happiness or sadness, the relationship should be such that even if you are not close, the feeling of being next to each other is as much trust as you had yesterday.</v>
      </c>
    </row>
    <row r="498" spans="1:3" ht="15" x14ac:dyDescent="0.25">
      <c r="A498" s="3" t="s">
        <v>499</v>
      </c>
      <c r="B498" s="3" t="s">
        <v>4</v>
      </c>
      <c r="C498" s="2" t="str">
        <f ca="1">IFERROR(__xludf.DUMMYFUNCTION("GOOGLETRANSLATE(A498,""bn"",""en"")"),"I don't want to break down, so I am quietly enduring this burden")</f>
        <v>I don't want to break down, so I am quietly enduring this burden</v>
      </c>
    </row>
    <row r="499" spans="1:3" ht="15" x14ac:dyDescent="0.25">
      <c r="A499" s="3" t="s">
        <v>500</v>
      </c>
      <c r="B499" s="3" t="s">
        <v>4</v>
      </c>
      <c r="C499" s="2" t="str">
        <f ca="1">IFERROR(__xludf.DUMMYFUNCTION("GOOGLETRANSLATE(A499,""bn"",""en"")"),"Some moments, places, names, smells, many old memories are to be remembered")</f>
        <v>Some moments, places, names, smells, many old memories are to be remembered</v>
      </c>
    </row>
    <row r="500" spans="1:3" ht="15" x14ac:dyDescent="0.25">
      <c r="A500" s="3" t="s">
        <v>501</v>
      </c>
      <c r="B500" s="3" t="s">
        <v>4</v>
      </c>
      <c r="C500" s="2" t="str">
        <f ca="1">IFERROR(__xludf.DUMMYFUNCTION("GOOGLETRANSLATE(A500,""bn"",""en"")"),"Uncertain demand to breathe in the folds of Bengali culture")</f>
        <v>Uncertain demand to breathe in the folds of Bengali culture</v>
      </c>
    </row>
    <row r="501" spans="1:3" ht="15" x14ac:dyDescent="0.25">
      <c r="A501" s="3" t="s">
        <v>502</v>
      </c>
      <c r="B501" s="3" t="s">
        <v>4</v>
      </c>
      <c r="C501" s="2" t="str">
        <f ca="1">IFERROR(__xludf.DUMMYFUNCTION("GOOGLETRANSLATE(A501,""bn"",""en"")"),"The right to unimaginable days in the goal of life seems to be nothing now except this right")</f>
        <v>The right to unimaginable days in the goal of life seems to be nothing now except this right</v>
      </c>
    </row>
    <row r="502" spans="1:3" ht="15" x14ac:dyDescent="0.25">
      <c r="A502" s="3" t="s">
        <v>503</v>
      </c>
      <c r="B502" s="3" t="s">
        <v>4</v>
      </c>
      <c r="C502" s="2" t="str">
        <f ca="1">IFERROR(__xludf.DUMMYFUNCTION("GOOGLETRANSLATE(A502,""bn"",""en"")"),"I am no longer related to the traditions and culture of the society")</f>
        <v>I am no longer related to the traditions and culture of the society</v>
      </c>
    </row>
    <row r="503" spans="1:3" ht="15" x14ac:dyDescent="0.25">
      <c r="A503" s="3" t="s">
        <v>504</v>
      </c>
      <c r="B503" s="3" t="s">
        <v>4</v>
      </c>
      <c r="C503" s="2" t="str">
        <f ca="1">IFERROR(__xludf.DUMMYFUNCTION("GOOGLETRANSLATE(A503,""bn"",""en"")"),"I can't help crying")</f>
        <v>I can't help crying</v>
      </c>
    </row>
    <row r="504" spans="1:3" ht="15" x14ac:dyDescent="0.25">
      <c r="A504" s="3" t="s">
        <v>505</v>
      </c>
      <c r="B504" s="3" t="s">
        <v>4</v>
      </c>
      <c r="C504" s="2" t="str">
        <f ca="1">IFERROR(__xludf.DUMMYFUNCTION("GOOGLETRANSLATE(A504,""bn"",""en"")"),"Communication is the cornerstone of a healthy relationship")</f>
        <v>Communication is the cornerstone of a healthy relationship</v>
      </c>
    </row>
    <row r="505" spans="1:3" ht="15" x14ac:dyDescent="0.25">
      <c r="A505" s="3" t="s">
        <v>506</v>
      </c>
      <c r="B505" s="3" t="s">
        <v>4</v>
      </c>
      <c r="C505" s="2" t="str">
        <f ca="1">IFERROR(__xludf.DUMMYFUNCTION("GOOGLETRANSLATE(A505,""bn"",""en"")"),"Mind Mind Bethune Life's Surprising Words Without the motivation of goals, life is really a journey of survival")</f>
        <v>Mind Mind Bethune Life's Surprising Words Without the motivation of goals, life is really a journey of survival</v>
      </c>
    </row>
    <row r="506" spans="1:3" ht="15" x14ac:dyDescent="0.25">
      <c r="A506" s="3" t="s">
        <v>507</v>
      </c>
      <c r="B506" s="3" t="s">
        <v>4</v>
      </c>
      <c r="C506" s="2" t="str">
        <f ca="1">IFERROR(__xludf.DUMMYFUNCTION("GOOGLETRANSLATE(A506,""bn"",""en"")"),"There is no one to be found alone in life and no dearth of loved ones in death")</f>
        <v>There is no one to be found alone in life and no dearth of loved ones in death</v>
      </c>
    </row>
    <row r="507" spans="1:3" ht="15" x14ac:dyDescent="0.25">
      <c r="A507" s="3" t="s">
        <v>508</v>
      </c>
      <c r="B507" s="3" t="s">
        <v>4</v>
      </c>
      <c r="C507" s="2" t="str">
        <f ca="1">IFERROR(__xludf.DUMMYFUNCTION("GOOGLETRANSLATE(A507,""bn"",""en"")"),"No sick person can have a healthy or beautiful view of life")</f>
        <v>No sick person can have a healthy or beautiful view of life</v>
      </c>
    </row>
    <row r="508" spans="1:3" ht="15" x14ac:dyDescent="0.25">
      <c r="A508" s="3" t="s">
        <v>509</v>
      </c>
      <c r="B508" s="3" t="s">
        <v>4</v>
      </c>
      <c r="C508" s="2" t="str">
        <f ca="1">IFERROR(__xludf.DUMMYFUNCTION("GOOGLETRANSLATE(A508,""bn"",""en"")"),"The ending of this movie will turn your head but you should watch this movie for the guaranteed ending")</f>
        <v>The ending of this movie will turn your head but you should watch this movie for the guaranteed ending</v>
      </c>
    </row>
    <row r="509" spans="1:3" ht="15" x14ac:dyDescent="0.25">
      <c r="A509" s="3" t="s">
        <v>510</v>
      </c>
      <c r="B509" s="3" t="s">
        <v>4</v>
      </c>
      <c r="C509" s="2" t="str">
        <f ca="1">IFERROR(__xludf.DUMMYFUNCTION("GOOGLETRANSLATE(A509,""bn"",""en"")"),"Feet are hurting from walking all day")</f>
        <v>Feet are hurting from walking all day</v>
      </c>
    </row>
    <row r="510" spans="1:3" ht="15" x14ac:dyDescent="0.25">
      <c r="A510" s="3" t="s">
        <v>511</v>
      </c>
      <c r="B510" s="3" t="s">
        <v>4</v>
      </c>
      <c r="C510" s="2" t="str">
        <f ca="1">IFERROR(__xludf.DUMMYFUNCTION("GOOGLETRANSLATE(A510,""bn"",""en"")"),"Hunger steals any man")</f>
        <v>Hunger steals any man</v>
      </c>
    </row>
    <row r="511" spans="1:3" ht="15" x14ac:dyDescent="0.25">
      <c r="A511" s="3" t="s">
        <v>512</v>
      </c>
      <c r="B511" s="3" t="s">
        <v>4</v>
      </c>
      <c r="C511" s="2" t="str">
        <f ca="1">IFERROR(__xludf.DUMMYFUNCTION("GOOGLETRANSLATE(A511,""bn"",""en"")"),"He who floats alone in the ocean of suffering can understand the pain of being alone")</f>
        <v>He who floats alone in the ocean of suffering can understand the pain of being alone</v>
      </c>
    </row>
    <row r="512" spans="1:3" ht="15" x14ac:dyDescent="0.25">
      <c r="A512" s="3" t="s">
        <v>513</v>
      </c>
      <c r="B512" s="3" t="s">
        <v>4</v>
      </c>
      <c r="C512" s="2" t="str">
        <f ca="1">IFERROR(__xludf.DUMMYFUNCTION("GOOGLETRANSLATE(A512,""bn"",""en"")"),"I resent certain parts of my country's history")</f>
        <v>I resent certain parts of my country's history</v>
      </c>
    </row>
    <row r="513" spans="1:3" ht="15" x14ac:dyDescent="0.25">
      <c r="A513" s="3" t="s">
        <v>514</v>
      </c>
      <c r="B513" s="3" t="s">
        <v>4</v>
      </c>
      <c r="C513" s="2" t="str">
        <f ca="1">IFERROR(__xludf.DUMMYFUNCTION("GOOGLETRANSLATE(A513,""bn"",""en"")"),"Illnesses can make us behave in the most surprising ways")</f>
        <v>Illnesses can make us behave in the most surprising ways</v>
      </c>
    </row>
    <row r="514" spans="1:3" ht="15" x14ac:dyDescent="0.25">
      <c r="A514" s="3" t="s">
        <v>515</v>
      </c>
      <c r="B514" s="3" t="s">
        <v>4</v>
      </c>
      <c r="C514" s="2" t="str">
        <f ca="1">IFERROR(__xludf.DUMMYFUNCTION("GOOGLETRANSLATE(A514,""bn"",""en"")"),"We are the first generation to eradicate poverty")</f>
        <v>We are the first generation to eradicate poverty</v>
      </c>
    </row>
    <row r="515" spans="1:3" ht="15" x14ac:dyDescent="0.25">
      <c r="A515" s="3" t="s">
        <v>516</v>
      </c>
      <c r="B515" s="3" t="s">
        <v>4</v>
      </c>
      <c r="C515" s="2" t="str">
        <f ca="1">IFERROR(__xludf.DUMMYFUNCTION("GOOGLETRANSLATE(A515,""bn"",""en"")"),"Your pain has burned the soul")</f>
        <v>Your pain has burned the soul</v>
      </c>
    </row>
    <row r="516" spans="1:3" ht="15" x14ac:dyDescent="0.25">
      <c r="A516" s="3" t="s">
        <v>517</v>
      </c>
      <c r="B516" s="3" t="s">
        <v>4</v>
      </c>
      <c r="C516" s="2" t="str">
        <f ca="1">IFERROR(__xludf.DUMMYFUNCTION("GOOGLETRANSLATE(A516,""bn"",""en"")"),"It is very sad to hear the roar of war gunpowder")</f>
        <v>It is very sad to hear the roar of war gunpowder</v>
      </c>
    </row>
    <row r="517" spans="1:3" ht="15" x14ac:dyDescent="0.25">
      <c r="A517" s="3" t="s">
        <v>518</v>
      </c>
      <c r="B517" s="3" t="s">
        <v>4</v>
      </c>
      <c r="C517" s="2" t="str">
        <f ca="1">IFERROR(__xludf.DUMMYFUNCTION("GOOGLETRANSLATE(A517,""bn"",""en"")"),"Illness is a conflict of elements entering the living body")</f>
        <v>Illness is a conflict of elements entering the living body</v>
      </c>
    </row>
    <row r="518" spans="1:3" ht="15" x14ac:dyDescent="0.25">
      <c r="A518" s="3" t="s">
        <v>519</v>
      </c>
      <c r="B518" s="3" t="s">
        <v>4</v>
      </c>
      <c r="C518" s="2" t="str">
        <f ca="1">IFERROR(__xludf.DUMMYFUNCTION("GOOGLETRANSLATE(A518,""bn"",""en"")"),"Fight but never betray and break promises")</f>
        <v>Fight but never betray and break promises</v>
      </c>
    </row>
    <row r="519" spans="1:3" ht="15" x14ac:dyDescent="0.25">
      <c r="A519" s="3" t="s">
        <v>520</v>
      </c>
      <c r="B519" s="3" t="s">
        <v>4</v>
      </c>
      <c r="C519" s="2" t="str">
        <f ca="1">IFERROR(__xludf.DUMMYFUNCTION("GOOGLETRANSLATE(A519,""bn"",""en"")"),"It destroys many things inside, but the tears do not fall from the eyes")</f>
        <v>It destroys many things inside, but the tears do not fall from the eyes</v>
      </c>
    </row>
    <row r="520" spans="1:3" ht="15" x14ac:dyDescent="0.25">
      <c r="A520" s="3" t="s">
        <v>521</v>
      </c>
      <c r="B520" s="3" t="s">
        <v>4</v>
      </c>
      <c r="C520" s="2" t="str">
        <f ca="1">IFERROR(__xludf.DUMMYFUNCTION("GOOGLETRANSLATE(A520,""bn"",""en"")"),"Knowing the country is worth your money")</f>
        <v>Knowing the country is worth your money</v>
      </c>
    </row>
    <row r="521" spans="1:3" ht="15" x14ac:dyDescent="0.25">
      <c r="A521" s="3" t="s">
        <v>522</v>
      </c>
      <c r="B521" s="3" t="s">
        <v>4</v>
      </c>
      <c r="C521" s="2" t="str">
        <f ca="1">IFERROR(__xludf.DUMMYFUNCTION("GOOGLETRANSLATE(A521,""bn"",""en"")"),"In a split of a second, all faith is gone from you, so it's good to go with understanding")</f>
        <v>In a split of a second, all faith is gone from you, so it's good to go with understanding</v>
      </c>
    </row>
    <row r="522" spans="1:3" ht="15" x14ac:dyDescent="0.25">
      <c r="A522" s="3" t="s">
        <v>523</v>
      </c>
      <c r="B522" s="3" t="s">
        <v>4</v>
      </c>
      <c r="C522" s="2" t="str">
        <f ca="1">IFERROR(__xludf.DUMMYFUNCTION("GOOGLETRANSLATE(A522,""bn"",""en"")"),"The laughter seen in the cinema film does not stop")</f>
        <v>The laughter seen in the cinema film does not stop</v>
      </c>
    </row>
    <row r="523" spans="1:3" ht="15" x14ac:dyDescent="0.25">
      <c r="A523" s="3" t="s">
        <v>524</v>
      </c>
      <c r="B523" s="3" t="s">
        <v>4</v>
      </c>
      <c r="C523" s="2" t="str">
        <f ca="1">IFERROR(__xludf.DUMMYFUNCTION("GOOGLETRANSLATE(A523,""bn"",""en"")"),"I have seen others get peace of mind by adapting to the situation, but I only get negligence")</f>
        <v>I have seen others get peace of mind by adapting to the situation, but I only get negligence</v>
      </c>
    </row>
    <row r="524" spans="1:3" ht="15" x14ac:dyDescent="0.25">
      <c r="A524" s="3" t="s">
        <v>525</v>
      </c>
      <c r="B524" s="3" t="s">
        <v>4</v>
      </c>
      <c r="C524" s="2" t="str">
        <f ca="1">IFERROR(__xludf.DUMMYFUNCTION("GOOGLETRANSLATE(A524,""bn"",""en"")"),"After reading a favorite book, it seems that we are not certain of our own path, but that we are located in the middle where the problem lies")</f>
        <v>After reading a favorite book, it seems that we are not certain of our own path, but that we are located in the middle where the problem lies</v>
      </c>
    </row>
    <row r="525" spans="1:3" ht="15" x14ac:dyDescent="0.25">
      <c r="A525" s="3" t="s">
        <v>526</v>
      </c>
      <c r="B525" s="3" t="s">
        <v>4</v>
      </c>
      <c r="C525" s="2" t="str">
        <f ca="1">IFERROR(__xludf.DUMMYFUNCTION("GOOGLETRANSLATE(A525,""bn"",""en"")"),"When the purpose of life is lost, it seems that this life is no longer necessary")</f>
        <v>When the purpose of life is lost, it seems that this life is no longer necessary</v>
      </c>
    </row>
    <row r="526" spans="1:3" ht="15" x14ac:dyDescent="0.25">
      <c r="A526" s="3" t="s">
        <v>527</v>
      </c>
      <c r="B526" s="3" t="s">
        <v>4</v>
      </c>
      <c r="C526" s="2" t="str">
        <f ca="1">IFERROR(__xludf.DUMMYFUNCTION("GOOGLETRANSLATE(A526,""bn"",""en"")"),"I am by the side of everyone in the world but no one is by my side")</f>
        <v>I am by the side of everyone in the world but no one is by my side</v>
      </c>
    </row>
    <row r="527" spans="1:3" ht="15" x14ac:dyDescent="0.25">
      <c r="A527" s="3" t="s">
        <v>528</v>
      </c>
      <c r="B527" s="3" t="s">
        <v>4</v>
      </c>
      <c r="C527" s="2" t="str">
        <f ca="1">IFERROR(__xludf.DUMMYFUNCTION("GOOGLETRANSLATE(A527,""bn"",""en"")"),"I am living with terrible pain dear")</f>
        <v>I am living with terrible pain dear</v>
      </c>
    </row>
    <row r="528" spans="1:3" ht="15" x14ac:dyDescent="0.25">
      <c r="A528" s="3" t="s">
        <v>529</v>
      </c>
      <c r="B528" s="3" t="s">
        <v>4</v>
      </c>
      <c r="C528" s="2" t="str">
        <f ca="1">IFERROR(__xludf.DUMMYFUNCTION("GOOGLETRANSLATE(A528,""bn"",""en"")"),"The bond of friendship is broken today, the heart is very sad")</f>
        <v>The bond of friendship is broken today, the heart is very sad</v>
      </c>
    </row>
    <row r="529" spans="1:3" ht="15" x14ac:dyDescent="0.25">
      <c r="A529" s="3" t="s">
        <v>530</v>
      </c>
      <c r="B529" s="3" t="s">
        <v>4</v>
      </c>
      <c r="C529" s="2" t="str">
        <f ca="1">IFERROR(__xludf.DUMMYFUNCTION("GOOGLETRANSLATE(A529,""bn"",""en"")"),"Darkness is creeping in between the ideals and dreams of the heroes in the game of politics")</f>
        <v>Darkness is creeping in between the ideals and dreams of the heroes in the game of politics</v>
      </c>
    </row>
    <row r="530" spans="1:3" ht="15" x14ac:dyDescent="0.25">
      <c r="A530" s="3" t="s">
        <v>531</v>
      </c>
      <c r="B530" s="3" t="s">
        <v>4</v>
      </c>
      <c r="C530" s="2" t="str">
        <f ca="1">IFERROR(__xludf.DUMMYFUNCTION("GOOGLETRANSLATE(A530,""bn"",""en"")"),"The mind waits for him even knowing that he will not find great strange things")</f>
        <v>The mind waits for him even knowing that he will not find great strange things</v>
      </c>
    </row>
    <row r="531" spans="1:3" ht="15" x14ac:dyDescent="0.25">
      <c r="A531" s="3" t="s">
        <v>532</v>
      </c>
      <c r="B531" s="3" t="s">
        <v>4</v>
      </c>
      <c r="C531" s="2" t="str">
        <f ca="1">IFERROR(__xludf.DUMMYFUNCTION("GOOGLETRANSLATE(A531,""bn"",""en"")"),"I am drawn to the evils of war")</f>
        <v>I am drawn to the evils of war</v>
      </c>
    </row>
    <row r="532" spans="1:3" ht="15" x14ac:dyDescent="0.25">
      <c r="A532" s="3" t="s">
        <v>533</v>
      </c>
      <c r="B532" s="3" t="s">
        <v>4</v>
      </c>
      <c r="C532" s="2" t="str">
        <f ca="1">IFERROR(__xludf.DUMMYFUNCTION("GOOGLETRANSLATE(A532,""bn"",""en"")"),"You never know how strong you are until being strong is your only choice")</f>
        <v>You never know how strong you are until being strong is your only choice</v>
      </c>
    </row>
    <row r="533" spans="1:3" ht="15" x14ac:dyDescent="0.25">
      <c r="A533" s="3" t="s">
        <v>534</v>
      </c>
      <c r="B533" s="3" t="s">
        <v>4</v>
      </c>
      <c r="C533" s="2" t="str">
        <f ca="1">IFERROR(__xludf.DUMMYFUNCTION("GOOGLETRANSLATE(A533,""bn"",""en"")"),"Lost in the power game, faith and republican dreams disappear")</f>
        <v>Lost in the power game, faith and republican dreams disappear</v>
      </c>
    </row>
    <row r="534" spans="1:3" ht="15" x14ac:dyDescent="0.25">
      <c r="A534" s="3" t="s">
        <v>535</v>
      </c>
      <c r="B534" s="3" t="s">
        <v>4</v>
      </c>
      <c r="C534" s="2" t="str">
        <f ca="1">IFERROR(__xludf.DUMMYFUNCTION("GOOGLETRANSLATE(A534,""bn"",""en"")"),"Sometimes the sound of heartbreak wants to be expressed in the sound of tears")</f>
        <v>Sometimes the sound of heartbreak wants to be expressed in the sound of tears</v>
      </c>
    </row>
    <row r="535" spans="1:3" ht="15" x14ac:dyDescent="0.25">
      <c r="A535" s="3" t="s">
        <v>536</v>
      </c>
      <c r="B535" s="3" t="s">
        <v>4</v>
      </c>
      <c r="C535" s="2" t="str">
        <f ca="1">IFERROR(__xludf.DUMMYFUNCTION("GOOGLETRANSLATE(A535,""bn"",""en"")"),"Being alone makes me sick and I never want company")</f>
        <v>Being alone makes me sick and I never want company</v>
      </c>
    </row>
    <row r="536" spans="1:3" ht="15" x14ac:dyDescent="0.25">
      <c r="A536" s="3" t="s">
        <v>537</v>
      </c>
      <c r="B536" s="3" t="s">
        <v>4</v>
      </c>
      <c r="C536" s="2" t="str">
        <f ca="1">IFERROR(__xludf.DUMMYFUNCTION("GOOGLETRANSLATE(A536,""bn"",""en"")"),"If the plight of the poor is caused by our institutions and not by the laws of nature, it is our great sin")</f>
        <v>If the plight of the poor is caused by our institutions and not by the laws of nature, it is our great sin</v>
      </c>
    </row>
    <row r="537" spans="1:3" ht="15" x14ac:dyDescent="0.25">
      <c r="A537" s="3" t="s">
        <v>538</v>
      </c>
      <c r="B537" s="3" t="s">
        <v>4</v>
      </c>
      <c r="C537" s="2" t="str">
        <f ca="1">IFERROR(__xludf.DUMMYFUNCTION("GOOGLETRANSLATE(A537,""bn"",""en"")"),"I became resentful against these ideas and culture of my society")</f>
        <v>I became resentful against these ideas and culture of my society</v>
      </c>
    </row>
    <row r="538" spans="1:3" ht="15" x14ac:dyDescent="0.25">
      <c r="A538" s="3" t="s">
        <v>539</v>
      </c>
      <c r="B538" s="3" t="s">
        <v>4</v>
      </c>
      <c r="C538" s="2" t="str">
        <f ca="1">IFERROR(__xludf.DUMMYFUNCTION("GOOGLETRANSLATE(A538,""bn"",""en"")"),"America can do everything for its own interests")</f>
        <v>America can do everything for its own interests</v>
      </c>
    </row>
    <row r="539" spans="1:3" ht="15" x14ac:dyDescent="0.25">
      <c r="A539" s="3" t="s">
        <v>540</v>
      </c>
      <c r="B539" s="3" t="s">
        <v>4</v>
      </c>
      <c r="C539" s="2" t="str">
        <f ca="1">IFERROR(__xludf.DUMMYFUNCTION("GOOGLETRANSLATE(A539,""bn"",""en"")"),"Just thinking about you late at night hurts")</f>
        <v>Just thinking about you late at night hurts</v>
      </c>
    </row>
    <row r="540" spans="1:3" ht="15" x14ac:dyDescent="0.25">
      <c r="A540" s="3" t="s">
        <v>541</v>
      </c>
      <c r="B540" s="3" t="s">
        <v>4</v>
      </c>
      <c r="C540" s="2" t="str">
        <f ca="1">IFERROR(__xludf.DUMMYFUNCTION("GOOGLETRANSLATE(A540,""bn"",""en"")"),"Truth always wins")</f>
        <v>Truth always wins</v>
      </c>
    </row>
    <row r="541" spans="1:3" ht="15" x14ac:dyDescent="0.25">
      <c r="A541" s="3" t="s">
        <v>542</v>
      </c>
      <c r="B541" s="3" t="s">
        <v>4</v>
      </c>
      <c r="C541" s="2" t="str">
        <f ca="1">IFERROR(__xludf.DUMMYFUNCTION("GOOGLETRANSLATE(A541,""bn"",""en"")"),"As the beginning ends, so does the beginning again, so the end of something is not really the end")</f>
        <v>As the beginning ends, so does the beginning again, so the end of something is not really the end</v>
      </c>
    </row>
    <row r="542" spans="1:3" ht="15" x14ac:dyDescent="0.25">
      <c r="A542" s="3" t="s">
        <v>543</v>
      </c>
      <c r="B542" s="3" t="s">
        <v>4</v>
      </c>
      <c r="C542" s="2" t="str">
        <f ca="1">IFERROR(__xludf.DUMMYFUNCTION("GOOGLETRANSLATE(A542,""bn"",""en"")"),"I'm embracing the sick life")</f>
        <v>I'm embracing the sick life</v>
      </c>
    </row>
    <row r="543" spans="1:3" ht="15" x14ac:dyDescent="0.25">
      <c r="A543" s="3" t="s">
        <v>544</v>
      </c>
      <c r="B543" s="3" t="s">
        <v>4</v>
      </c>
      <c r="C543" s="2" t="str">
        <f ca="1">IFERROR(__xludf.DUMMYFUNCTION("GOOGLETRANSLATE(A543,""bn"",""en"")"),"All pain can be erased by crying")</f>
        <v>All pain can be erased by crying</v>
      </c>
    </row>
    <row r="544" spans="1:3" ht="15" x14ac:dyDescent="0.25">
      <c r="A544" s="3" t="s">
        <v>545</v>
      </c>
      <c r="B544" s="3" t="s">
        <v>4</v>
      </c>
      <c r="C544" s="2" t="str">
        <f ca="1">IFERROR(__xludf.DUMMYFUNCTION("GOOGLETRANSLATE(A544,""bn"",""en"")"),"Dreams lost on the way to war sometimes come to my mind")</f>
        <v>Dreams lost on the way to war sometimes come to my mind</v>
      </c>
    </row>
    <row r="545" spans="1:3" ht="15" x14ac:dyDescent="0.25">
      <c r="A545" s="3" t="s">
        <v>546</v>
      </c>
      <c r="B545" s="3" t="s">
        <v>4</v>
      </c>
      <c r="C545" s="2" t="str">
        <f ca="1">IFERROR(__xludf.DUMMYFUNCTION("GOOGLETRANSLATE(A545,""bn"",""en"")"),"Childhood is an illness, an illness that you grow out of")</f>
        <v>Childhood is an illness, an illness that you grow out of</v>
      </c>
    </row>
    <row r="546" spans="1:3" ht="15" x14ac:dyDescent="0.25">
      <c r="A546" s="3" t="s">
        <v>547</v>
      </c>
      <c r="B546" s="3" t="s">
        <v>4</v>
      </c>
      <c r="C546" s="2" t="str">
        <f ca="1">IFERROR(__xludf.DUMMYFUNCTION("GOOGLETRANSLATE(A546,""bn"",""en"")"),"The friend who he thinks is actually an impostor")</f>
        <v>The friend who he thinks is actually an impostor</v>
      </c>
    </row>
    <row r="547" spans="1:3" ht="15" x14ac:dyDescent="0.25">
      <c r="A547" s="3" t="s">
        <v>548</v>
      </c>
      <c r="B547" s="3" t="s">
        <v>4</v>
      </c>
      <c r="C547" s="2" t="str">
        <f ca="1">IFERROR(__xludf.DUMMYFUNCTION("GOOGLETRANSLATE(A547,""bn"",""en"")"),"Tears are the language that the heart cannot express")</f>
        <v>Tears are the language that the heart cannot express</v>
      </c>
    </row>
    <row r="548" spans="1:3" ht="15" x14ac:dyDescent="0.25">
      <c r="A548" s="3" t="s">
        <v>549</v>
      </c>
      <c r="B548" s="3" t="s">
        <v>4</v>
      </c>
      <c r="C548" s="2" t="str">
        <f ca="1">IFERROR(__xludf.DUMMYFUNCTION("GOOGLETRANSLATE(A548,""bn"",""en"")"),"Some sighs are accumulating in the chest, some tears are stopping, no tears are falling near the eyes")</f>
        <v>Some sighs are accumulating in the chest, some tears are stopping, no tears are falling near the eyes</v>
      </c>
    </row>
    <row r="549" spans="1:3" ht="15" x14ac:dyDescent="0.25">
      <c r="A549" s="3" t="s">
        <v>550</v>
      </c>
      <c r="B549" s="3" t="s">
        <v>4</v>
      </c>
      <c r="C549" s="2" t="str">
        <f ca="1">IFERROR(__xludf.DUMMYFUNCTION("GOOGLETRANSLATE(A549,""bn"",""en"")"),"Sometimes the sound of heartbreak wants to be expressed in the sound of tears")</f>
        <v>Sometimes the sound of heartbreak wants to be expressed in the sound of tears</v>
      </c>
    </row>
    <row r="550" spans="1:3" ht="15" x14ac:dyDescent="0.25">
      <c r="A550" s="3" t="s">
        <v>551</v>
      </c>
      <c r="B550" s="3" t="s">
        <v>4</v>
      </c>
      <c r="C550" s="2" t="str">
        <f ca="1">IFERROR(__xludf.DUMMYFUNCTION("GOOGLETRANSLATE(A550,""bn"",""en"")"),"I can't understand how the price of goods is increasing day by day due to unscrupulous traders.")</f>
        <v>I can't understand how the price of goods is increasing day by day due to unscrupulous traders.</v>
      </c>
    </row>
    <row r="551" spans="1:3" ht="15" x14ac:dyDescent="0.25">
      <c r="A551" s="3" t="s">
        <v>552</v>
      </c>
      <c r="B551" s="3" t="s">
        <v>4</v>
      </c>
      <c r="C551" s="2" t="str">
        <f ca="1">IFERROR(__xludf.DUMMYFUNCTION("GOOGLETRANSLATE(A551,""bn"",""en"")"),"Even after trying so much, I can't see any improvement in the business and I am getting depressed day by day")</f>
        <v>Even after trying so much, I can't see any improvement in the business and I am getting depressed day by day</v>
      </c>
    </row>
    <row r="552" spans="1:3" ht="15" x14ac:dyDescent="0.25">
      <c r="A552" s="3" t="s">
        <v>553</v>
      </c>
      <c r="B552" s="3" t="s">
        <v>4</v>
      </c>
      <c r="C552" s="2" t="str">
        <f ca="1">IFERROR(__xludf.DUMMYFUNCTION("GOOGLETRANSLATE(A552,""bn"",""en"")"),"Sometimes some relationships become such that it is difficult even if you are far away and it is difficult even if you are close")</f>
        <v>Sometimes some relationships become such that it is difficult even if you are far away and it is difficult even if you are close</v>
      </c>
    </row>
    <row r="553" spans="1:3" ht="15" x14ac:dyDescent="0.25">
      <c r="A553" s="3" t="s">
        <v>554</v>
      </c>
      <c r="B553" s="3" t="s">
        <v>4</v>
      </c>
      <c r="C553" s="2" t="str">
        <f ca="1">IFERROR(__xludf.DUMMYFUNCTION("GOOGLETRANSLATE(A553,""bn"",""en"")"),"Our dead society is floating in respect of culture")</f>
        <v>Our dead society is floating in respect of culture</v>
      </c>
    </row>
    <row r="554" spans="1:3" ht="15" x14ac:dyDescent="0.25">
      <c r="A554" s="3" t="s">
        <v>555</v>
      </c>
      <c r="B554" s="3" t="s">
        <v>4</v>
      </c>
      <c r="C554" s="2" t="str">
        <f ca="1">IFERROR(__xludf.DUMMYFUNCTION("GOOGLETRANSLATE(A554,""bn"",""en"")"),"Maybe you can get a lot of things in exchange for money but not the love of your loved ones")</f>
        <v>Maybe you can get a lot of things in exchange for money but not the love of your loved ones</v>
      </c>
    </row>
    <row r="555" spans="1:3" ht="15" x14ac:dyDescent="0.25">
      <c r="A555" s="3" t="s">
        <v>556</v>
      </c>
      <c r="B555" s="3" t="s">
        <v>4</v>
      </c>
      <c r="C555" s="2" t="str">
        <f ca="1">IFERROR(__xludf.DUMMYFUNCTION("GOOGLETRANSLATE(A555,""bn"",""en"")"),"Whenever I feel like I want to spend some time behind skill development, some pressure comes")</f>
        <v>Whenever I feel like I want to spend some time behind skill development, some pressure comes</v>
      </c>
    </row>
    <row r="556" spans="1:3" ht="15" x14ac:dyDescent="0.25">
      <c r="A556" s="3" t="s">
        <v>557</v>
      </c>
      <c r="B556" s="3" t="s">
        <v>4</v>
      </c>
      <c r="C556" s="2" t="str">
        <f ca="1">IFERROR(__xludf.DUMMYFUNCTION("GOOGLETRANSLATE(A556,""bn"",""en"")"),"The story of losing dreams in the unsuccessful alley of the baker, dead love, all dreams are dead")</f>
        <v>The story of losing dreams in the unsuccessful alley of the baker, dead love, all dreams are dead</v>
      </c>
    </row>
    <row r="557" spans="1:3" ht="15" x14ac:dyDescent="0.25">
      <c r="A557" s="3" t="s">
        <v>558</v>
      </c>
      <c r="B557" s="3" t="s">
        <v>4</v>
      </c>
      <c r="C557" s="2" t="str">
        <f ca="1">IFERROR(__xludf.DUMMYFUNCTION("GOOGLETRANSLATE(A557,""bn"",""en"")"),"The drama of love between people is a cultural trauma")</f>
        <v>The drama of love between people is a cultural trauma</v>
      </c>
    </row>
    <row r="558" spans="1:3" ht="15" x14ac:dyDescent="0.25">
      <c r="A558" s="3" t="s">
        <v>559</v>
      </c>
      <c r="B558" s="3" t="s">
        <v>4</v>
      </c>
      <c r="C558" s="2" t="str">
        <f ca="1">IFERROR(__xludf.DUMMYFUNCTION("GOOGLETRANSLATE(A558,""bn"",""en"")"),"I have noticed that madmen are often allowed to mingle freely in both the very poor and the very rich ends of society")</f>
        <v>I have noticed that madmen are often allowed to mingle freely in both the very poor and the very rich ends of society</v>
      </c>
    </row>
    <row r="559" spans="1:3" ht="15" x14ac:dyDescent="0.25">
      <c r="A559" s="3" t="s">
        <v>560</v>
      </c>
      <c r="B559" s="3" t="s">
        <v>4</v>
      </c>
      <c r="C559" s="2" t="str">
        <f ca="1">IFERROR(__xludf.DUMMYFUNCTION("GOOGLETRANSLATE(A559,""bn"",""en"")"),"If necessary, break the relationship but keep the trust")</f>
        <v>If necessary, break the relationship but keep the trust</v>
      </c>
    </row>
    <row r="560" spans="1:3" ht="15" x14ac:dyDescent="0.25">
      <c r="A560" s="3" t="s">
        <v>561</v>
      </c>
      <c r="B560" s="3" t="s">
        <v>4</v>
      </c>
      <c r="C560" s="2" t="str">
        <f ca="1">IFERROR(__xludf.DUMMYFUNCTION("GOOGLETRANSLATE(A560,""bn"",""en"")"),"I have been smoking cigarettes for three days today after a friend's visit")</f>
        <v>I have been smoking cigarettes for three days today after a friend's visit</v>
      </c>
    </row>
    <row r="561" spans="1:3" ht="15" x14ac:dyDescent="0.25">
      <c r="A561" s="3" t="s">
        <v>562</v>
      </c>
      <c r="B561" s="3" t="s">
        <v>4</v>
      </c>
      <c r="C561" s="2" t="str">
        <f ca="1">IFERROR(__xludf.DUMMYFUNCTION("GOOGLETRANSLATE(A561,""bn"",""en"")"),"I never look for the one who is the most beautiful in the world I only look for the one for whom my world is more beautiful Relationship is not what is shown to the people of the world Relationship is what is from the heart")</f>
        <v>I never look for the one who is the most beautiful in the world I only look for the one for whom my world is more beautiful Relationship is not what is shown to the people of the world Relationship is what is from the heart</v>
      </c>
    </row>
    <row r="562" spans="1:3" ht="15" x14ac:dyDescent="0.25">
      <c r="A562" s="3" t="s">
        <v>563</v>
      </c>
      <c r="B562" s="3" t="s">
        <v>4</v>
      </c>
      <c r="C562" s="2" t="str">
        <f ca="1">IFERROR(__xludf.DUMMYFUNCTION("GOOGLETRANSLATE(A562,""bn"",""en"")"),"Disease is a conflict of elements entering the living body")</f>
        <v>Disease is a conflict of elements entering the living body</v>
      </c>
    </row>
    <row r="563" spans="1:3" ht="15" x14ac:dyDescent="0.25">
      <c r="A563" s="3" t="s">
        <v>564</v>
      </c>
      <c r="B563" s="3" t="s">
        <v>4</v>
      </c>
      <c r="C563" s="2" t="str">
        <f ca="1">IFERROR(__xludf.DUMMYFUNCTION("GOOGLETRANSLATE(A563,""bn"",""en"")"),"If the mind is bad for a long time, illness accumulates there")</f>
        <v>If the mind is bad for a long time, illness accumulates there</v>
      </c>
    </row>
    <row r="564" spans="1:3" ht="15" x14ac:dyDescent="0.25">
      <c r="A564" s="3" t="s">
        <v>565</v>
      </c>
      <c r="B564" s="3" t="s">
        <v>4</v>
      </c>
      <c r="C564" s="2" t="str">
        <f ca="1">IFERROR(__xludf.DUMMYFUNCTION("GOOGLETRANSLATE(A564,""bn"",""en"")"),"The trouble is that the silent killer can kill anyone from the inside at any moment")</f>
        <v>The trouble is that the silent killer can kill anyone from the inside at any moment</v>
      </c>
    </row>
    <row r="565" spans="1:3" ht="15" x14ac:dyDescent="0.25">
      <c r="A565" s="3" t="s">
        <v>566</v>
      </c>
      <c r="B565" s="3" t="s">
        <v>4</v>
      </c>
      <c r="C565" s="2" t="str">
        <f ca="1">IFERROR(__xludf.DUMMYFUNCTION("GOOGLETRANSLATE(A565,""bn"",""en"")"),"We are not rich by what we have but by what we can do without")</f>
        <v>We are not rich by what we have but by what we can do without</v>
      </c>
    </row>
    <row r="566" spans="1:3" ht="15" x14ac:dyDescent="0.25">
      <c r="A566" s="3" t="s">
        <v>567</v>
      </c>
      <c r="B566" s="3" t="s">
        <v>4</v>
      </c>
      <c r="C566" s="2" t="str">
        <f ca="1">IFERROR(__xludf.DUMMYFUNCTION("GOOGLETRANSLATE(A566,""bn"",""en"")"),"The moments of laughter seen in the film of the cinema are mixed with sadness in my heart")</f>
        <v>The moments of laughter seen in the film of the cinema are mixed with sadness in my heart</v>
      </c>
    </row>
    <row r="567" spans="1:3" ht="15" x14ac:dyDescent="0.25">
      <c r="A567" s="3" t="s">
        <v>568</v>
      </c>
      <c r="B567" s="3" t="s">
        <v>4</v>
      </c>
      <c r="C567" s="2" t="str">
        <f ca="1">IFERROR(__xludf.DUMMYFUNCTION("GOOGLETRANSLATE(A567,""bn"",""en"")"),"I find it really hard to tell the truth but I can make myself laugh when I lie")</f>
        <v>I find it really hard to tell the truth but I can make myself laugh when I lie</v>
      </c>
    </row>
    <row r="568" spans="1:3" ht="15" x14ac:dyDescent="0.25">
      <c r="A568" s="3" t="s">
        <v>569</v>
      </c>
      <c r="B568" s="3" t="s">
        <v>4</v>
      </c>
      <c r="C568" s="2" t="str">
        <f ca="1">IFERROR(__xludf.DUMMYFUNCTION("GOOGLETRANSLATE(A568,""bn"",""en"")"),"The culture of Bengal demands the invisible sorrow of truth in the beating of death")</f>
        <v>The culture of Bengal demands the invisible sorrow of truth in the beating of death</v>
      </c>
    </row>
    <row r="569" spans="1:3" ht="15" x14ac:dyDescent="0.25">
      <c r="A569" s="3" t="s">
        <v>570</v>
      </c>
      <c r="B569" s="3" t="s">
        <v>4</v>
      </c>
      <c r="C569" s="2" t="str">
        <f ca="1">IFERROR(__xludf.DUMMYFUNCTION("GOOGLETRANSLATE(A569,""bn"",""en"")"),"Love is so difficult that it is difficult to express and it is difficult to forget")</f>
        <v>Love is so difficult that it is difficult to express and it is difficult to forget</v>
      </c>
    </row>
    <row r="570" spans="1:3" ht="15" x14ac:dyDescent="0.25">
      <c r="A570" s="3" t="s">
        <v>571</v>
      </c>
      <c r="B570" s="3" t="s">
        <v>4</v>
      </c>
      <c r="C570" s="2" t="str">
        <f ca="1">IFERROR(__xludf.DUMMYFUNCTION("GOOGLETRANSLATE(A570,""bn"",""en"")"),"There is no complication in my love, complications in your mind you have left me")</f>
        <v>There is no complication in my love, complications in your mind you have left me</v>
      </c>
    </row>
    <row r="571" spans="1:3" ht="15" x14ac:dyDescent="0.25">
      <c r="A571" s="3" t="s">
        <v>572</v>
      </c>
      <c r="B571" s="3" t="s">
        <v>4</v>
      </c>
      <c r="C571" s="2" t="str">
        <f ca="1">IFERROR(__xludf.DUMMYFUNCTION("GOOGLETRANSLATE(A571,""bn"",""en"")"),"Finding ourselves in the light of a broken culture")</f>
        <v>Finding ourselves in the light of a broken culture</v>
      </c>
    </row>
    <row r="572" spans="1:3" ht="15" x14ac:dyDescent="0.25">
      <c r="A572" s="3" t="s">
        <v>573</v>
      </c>
      <c r="B572" s="3" t="s">
        <v>4</v>
      </c>
      <c r="C572" s="2" t="str">
        <f ca="1">IFERROR(__xludf.DUMMYFUNCTION("GOOGLETRANSLATE(A572,""bn"",""en"")"),"The sadness of the past is still busy in the heart for unknown reasons")</f>
        <v>The sadness of the past is still busy in the heart for unknown reasons</v>
      </c>
    </row>
    <row r="573" spans="1:3" ht="15" x14ac:dyDescent="0.25">
      <c r="A573" s="3" t="s">
        <v>574</v>
      </c>
      <c r="B573" s="3" t="s">
        <v>4</v>
      </c>
      <c r="C573" s="2" t="str">
        <f ca="1">IFERROR(__xludf.DUMMYFUNCTION("GOOGLETRANSLATE(A573,""bn"",""en"")"),"The game of political power is a game of corruption where danger and death bring grief and darkness to the city")</f>
        <v>The game of political power is a game of corruption where danger and death bring grief and darkness to the city</v>
      </c>
    </row>
    <row r="574" spans="1:3" ht="15" x14ac:dyDescent="0.25">
      <c r="A574" s="3" t="s">
        <v>575</v>
      </c>
      <c r="B574" s="3" t="s">
        <v>4</v>
      </c>
      <c r="C574" s="2" t="str">
        <f ca="1">IFERROR(__xludf.DUMMYFUNCTION("GOOGLETRANSLATE(A574,""bn"",""en"")"),"Lack of family, fear of the unknown, many things are missing")</f>
        <v>Lack of family, fear of the unknown, many things are missing</v>
      </c>
    </row>
    <row r="575" spans="1:3" ht="15" x14ac:dyDescent="0.25">
      <c r="A575" s="3" t="s">
        <v>576</v>
      </c>
      <c r="B575" s="3" t="s">
        <v>4</v>
      </c>
      <c r="C575" s="2" t="str">
        <f ca="1">IFERROR(__xludf.DUMMYFUNCTION("GOOGLETRANSLATE(A575,""bn"",""en"")"),"The death of Maradona casts a shadow of mourning on the football world")</f>
        <v>The death of Maradona casts a shadow of mourning on the football world</v>
      </c>
    </row>
    <row r="576" spans="1:3" ht="15" x14ac:dyDescent="0.25">
      <c r="A576" s="3" t="s">
        <v>577</v>
      </c>
      <c r="B576" s="3" t="s">
        <v>4</v>
      </c>
      <c r="C576" s="2" t="str">
        <f ca="1">IFERROR(__xludf.DUMMYFUNCTION("GOOGLETRANSLATE(A576,""bn"",""en"")"),"Not too busy that you can't even take my message when you are busy then take my message")</f>
        <v>Not too busy that you can't even take my message when you are busy then take my message</v>
      </c>
    </row>
    <row r="577" spans="1:3" ht="15" x14ac:dyDescent="0.25">
      <c r="A577" s="3" t="s">
        <v>578</v>
      </c>
      <c r="B577" s="3" t="s">
        <v>4</v>
      </c>
      <c r="C577" s="2" t="str">
        <f ca="1">IFERROR(__xludf.DUMMYFUNCTION("GOOGLETRANSLATE(A577,""bn"",""en"")"),"There is a touch of the light of truth hidden in the story of Bengali culture")</f>
        <v>There is a touch of the light of truth hidden in the story of Bengali culture</v>
      </c>
    </row>
    <row r="578" spans="1:3" ht="15" x14ac:dyDescent="0.25">
      <c r="A578" s="3" t="s">
        <v>579</v>
      </c>
      <c r="B578" s="3" t="s">
        <v>4</v>
      </c>
      <c r="C578" s="2" t="str">
        <f ca="1">IFERROR(__xludf.DUMMYFUNCTION("GOOGLETRANSLATE(A578,""bn"",""en"")"),"Heart wounds heal slowly only with patience")</f>
        <v>Heart wounds heal slowly only with patience</v>
      </c>
    </row>
    <row r="579" spans="1:3" ht="15" x14ac:dyDescent="0.25">
      <c r="A579" s="3" t="s">
        <v>580</v>
      </c>
      <c r="B579" s="3" t="s">
        <v>4</v>
      </c>
      <c r="C579" s="2" t="str">
        <f ca="1">IFERROR(__xludf.DUMMYFUNCTION("GOOGLETRANSLATE(A579,""bn"",""en"")"),"People usually behave strangely due to illness")</f>
        <v>People usually behave strangely due to illness</v>
      </c>
    </row>
    <row r="580" spans="1:3" ht="15" x14ac:dyDescent="0.25">
      <c r="A580" s="3" t="s">
        <v>581</v>
      </c>
      <c r="B580" s="3" t="s">
        <v>4</v>
      </c>
      <c r="C580" s="2" t="str">
        <f ca="1">IFERROR(__xludf.DUMMYFUNCTION("GOOGLETRANSLATE(A580,""bn"",""en"")"),"Maya is very strange and doesn't forget to stay well")</f>
        <v>Maya is very strange and doesn't forget to stay well</v>
      </c>
    </row>
    <row r="581" spans="1:3" ht="15" x14ac:dyDescent="0.25">
      <c r="A581" s="3" t="s">
        <v>582</v>
      </c>
      <c r="B581" s="3" t="s">
        <v>4</v>
      </c>
      <c r="C581" s="2" t="str">
        <f ca="1">IFERROR(__xludf.DUMMYFUNCTION("GOOGLETRANSLATE(A581,""bn"",""en"")"),"Invisible wounds are more dangerous than bleeding wounds")</f>
        <v>Invisible wounds are more dangerous than bleeding wounds</v>
      </c>
    </row>
    <row r="582" spans="1:3" ht="15" x14ac:dyDescent="0.25">
      <c r="A582" s="3" t="s">
        <v>583</v>
      </c>
      <c r="B582" s="3" t="s">
        <v>4</v>
      </c>
      <c r="C582" s="2" t="str">
        <f ca="1">IFERROR(__xludf.DUMMYFUNCTION("GOOGLETRANSLATE(A582,""bn"",""en"")"),"Their love is hidden in the sibling relationship and their murderous quality is very sweet")</f>
        <v>Their love is hidden in the sibling relationship and their murderous quality is very sweet</v>
      </c>
    </row>
    <row r="583" spans="1:3" ht="15" x14ac:dyDescent="0.25">
      <c r="A583" s="3" t="s">
        <v>584</v>
      </c>
      <c r="B583" s="3" t="s">
        <v>4</v>
      </c>
      <c r="C583" s="2" t="str">
        <f ca="1">IFERROR(__xludf.DUMMYFUNCTION("GOOGLETRANSLATE(A583,""bn"",""en"")"),"Sometimes you have to be a fighter even when you feel sick")</f>
        <v>Sometimes you have to be a fighter even when you feel sick</v>
      </c>
    </row>
    <row r="584" spans="1:3" ht="15" x14ac:dyDescent="0.25">
      <c r="A584" s="3" t="s">
        <v>585</v>
      </c>
      <c r="B584" s="3" t="s">
        <v>4</v>
      </c>
      <c r="C584" s="2" t="str">
        <f ca="1">IFERROR(__xludf.DUMMYFUNCTION("GOOGLETRANSLATE(A584,""bn"",""en"")"),"Feeling very lonely today and wanting to talk to someone")</f>
        <v>Feeling very lonely today and wanting to talk to someone</v>
      </c>
    </row>
    <row r="585" spans="1:3" ht="15" x14ac:dyDescent="0.25">
      <c r="A585" s="3" t="s">
        <v>586</v>
      </c>
      <c r="B585" s="3" t="s">
        <v>4</v>
      </c>
      <c r="C585" s="2" t="str">
        <f ca="1">IFERROR(__xludf.DUMMYFUNCTION("GOOGLETRANSLATE(A585,""bn"",""en"")"),"The world is so wonderful to think about")</f>
        <v>The world is so wonderful to think about</v>
      </c>
    </row>
    <row r="586" spans="1:3" ht="15" x14ac:dyDescent="0.25">
      <c r="A586" s="3" t="s">
        <v>587</v>
      </c>
      <c r="B586" s="3" t="s">
        <v>4</v>
      </c>
      <c r="C586" s="2" t="str">
        <f ca="1">IFERROR(__xludf.DUMMYFUNCTION("GOOGLETRANSLATE(A586,""bn"",""en"")"),"I am saddened by the destruction of the war, feeling so sad")</f>
        <v>I am saddened by the destruction of the war, feeling so sad</v>
      </c>
    </row>
    <row r="587" spans="1:3" ht="15" x14ac:dyDescent="0.25">
      <c r="A587" s="3" t="s">
        <v>588</v>
      </c>
      <c r="B587" s="3" t="s">
        <v>4</v>
      </c>
      <c r="C587" s="2" t="str">
        <f ca="1">IFERROR(__xludf.DUMMYFUNCTION("GOOGLETRANSLATE(A587,""bn"",""en"")"),"Have you ever wanted to know if I am fine or pretending to be fine?")</f>
        <v>Have you ever wanted to know if I am fine or pretending to be fine?</v>
      </c>
    </row>
    <row r="588" spans="1:3" ht="15" x14ac:dyDescent="0.25">
      <c r="A588" s="3" t="s">
        <v>589</v>
      </c>
      <c r="B588" s="3" t="s">
        <v>4</v>
      </c>
      <c r="C588" s="2" t="str">
        <f ca="1">IFERROR(__xludf.DUMMYFUNCTION("GOOGLETRANSLATE(A588,""bn"",""en"")"),"Some people come in life as blessings and some people come as education")</f>
        <v>Some people come in life as blessings and some people come as education</v>
      </c>
    </row>
    <row r="589" spans="1:3" ht="15" x14ac:dyDescent="0.25">
      <c r="A589" s="3" t="s">
        <v>590</v>
      </c>
      <c r="B589" s="3" t="s">
        <v>4</v>
      </c>
      <c r="C589" s="2" t="str">
        <f ca="1">IFERROR(__xludf.DUMMYFUNCTION("GOOGLETRANSLATE(A589,""bn"",""en"")"),"A real lover is the one who remembers when he hears sad songs")</f>
        <v>A real lover is the one who remembers when he hears sad songs</v>
      </c>
    </row>
    <row r="590" spans="1:3" ht="15" x14ac:dyDescent="0.25">
      <c r="A590" s="3" t="s">
        <v>591</v>
      </c>
      <c r="B590" s="3" t="s">
        <v>4</v>
      </c>
      <c r="C590" s="2" t="str">
        <f ca="1">IFERROR(__xludf.DUMMYFUNCTION("GOOGLETRANSLATE(A590,""bn"",""en"")"),"In our society, there are more people who burn oil than stand by the danger")</f>
        <v>In our society, there are more people who burn oil than stand by the danger</v>
      </c>
    </row>
    <row r="591" spans="1:3" ht="15" x14ac:dyDescent="0.25">
      <c r="A591" s="3" t="s">
        <v>592</v>
      </c>
      <c r="B591" s="3" t="s">
        <v>4</v>
      </c>
      <c r="C591" s="2" t="str">
        <f ca="1">IFERROR(__xludf.DUMMYFUNCTION("GOOGLETRANSLATE(A591,""bn"",""en"")"),"When life gives me sickness I turn it into strength")</f>
        <v>When life gives me sickness I turn it into strength</v>
      </c>
    </row>
    <row r="592" spans="1:3" ht="15" x14ac:dyDescent="0.25">
      <c r="A592" s="3" t="s">
        <v>593</v>
      </c>
      <c r="B592" s="3" t="s">
        <v>4</v>
      </c>
      <c r="C592" s="2" t="str">
        <f ca="1">IFERROR(__xludf.DUMMYFUNCTION("GOOGLETRANSLATE(A592,""bn"",""en"")"),"There is no goal and no hope in this life. It seems that life is not a journey of survival")</f>
        <v>There is no goal and no hope in this life. It seems that life is not a journey of survival</v>
      </c>
    </row>
    <row r="593" spans="1:3" ht="15" x14ac:dyDescent="0.25">
      <c r="A593" s="3" t="s">
        <v>594</v>
      </c>
      <c r="B593" s="3" t="s">
        <v>4</v>
      </c>
      <c r="C593" s="2" t="str">
        <f ca="1">IFERROR(__xludf.DUMMYFUNCTION("GOOGLETRANSLATE(A593,""bn"",""en"")"),"Success or failure is caused more by mental attitude than mental ability")</f>
        <v>Success or failure is caused more by mental attitude than mental ability</v>
      </c>
    </row>
    <row r="594" spans="1:3" ht="15" x14ac:dyDescent="0.25">
      <c r="A594" s="3" t="s">
        <v>595</v>
      </c>
      <c r="B594" s="3" t="s">
        <v>4</v>
      </c>
      <c r="C594" s="2" t="str">
        <f ca="1">IFERROR(__xludf.DUMMYFUNCTION("GOOGLETRANSLATE(A594,""bn"",""en"")"),"Poverty is a great cutter of mortgages")</f>
        <v>Poverty is a great cutter of mortgages</v>
      </c>
    </row>
    <row r="595" spans="1:3" ht="15" x14ac:dyDescent="0.25">
      <c r="A595" s="3" t="s">
        <v>596</v>
      </c>
      <c r="B595" s="3" t="s">
        <v>4</v>
      </c>
      <c r="C595" s="2" t="str">
        <f ca="1">IFERROR(__xludf.DUMMYFUNCTION("GOOGLETRANSLATE(A595,""bn"",""en"")"),"The heart wants to love people but the uncertainty of the future makes us think")</f>
        <v>The heart wants to love people but the uncertainty of the future makes us think</v>
      </c>
    </row>
    <row r="596" spans="1:3" ht="15" x14ac:dyDescent="0.25">
      <c r="A596" s="3" t="s">
        <v>597</v>
      </c>
      <c r="B596" s="3" t="s">
        <v>4</v>
      </c>
      <c r="C596" s="2" t="str">
        <f ca="1">IFERROR(__xludf.DUMMYFUNCTION("GOOGLETRANSLATE(A596,""bn"",""en"")"),"How hard it was not being able to eat mother's cooking")</f>
        <v>How hard it was not being able to eat mother's cooking</v>
      </c>
    </row>
    <row r="597" spans="1:3" ht="15" x14ac:dyDescent="0.25">
      <c r="A597" s="3" t="s">
        <v>598</v>
      </c>
      <c r="B597" s="3" t="s">
        <v>4</v>
      </c>
      <c r="C597" s="2" t="str">
        <f ca="1">IFERROR(__xludf.DUMMYFUNCTION("GOOGLETRANSLATE(A597,""bn"",""en"")"),"Lack of darkness in the light of culture")</f>
        <v>Lack of darkness in the light of culture</v>
      </c>
    </row>
    <row r="598" spans="1:3" ht="15" x14ac:dyDescent="0.25">
      <c r="A598" s="3" t="s">
        <v>599</v>
      </c>
      <c r="B598" s="3" t="s">
        <v>4</v>
      </c>
      <c r="C598" s="2" t="str">
        <f ca="1">IFERROR(__xludf.DUMMYFUNCTION("GOOGLETRANSLATE(A598,""bn"",""en"")"),"Every moment of the night on a pillow wet with tears of pain is unbearable pain")</f>
        <v>Every moment of the night on a pillow wet with tears of pain is unbearable pain</v>
      </c>
    </row>
    <row r="599" spans="1:3" ht="15" x14ac:dyDescent="0.25">
      <c r="A599" s="3" t="s">
        <v>600</v>
      </c>
      <c r="B599" s="3" t="s">
        <v>4</v>
      </c>
      <c r="C599" s="2" t="str">
        <f ca="1">IFERROR(__xludf.DUMMYFUNCTION("GOOGLETRANSLATE(A599,""bn"",""en"")"),"In the story of culture, the light of the causeless death has fallen into ashes")</f>
        <v>In the story of culture, the light of the causeless death has fallen into ashes</v>
      </c>
    </row>
    <row r="600" spans="1:3" ht="15" x14ac:dyDescent="0.25">
      <c r="A600" s="3" t="s">
        <v>601</v>
      </c>
      <c r="B600" s="3" t="s">
        <v>4</v>
      </c>
      <c r="C600" s="2" t="str">
        <f ca="1">IFERROR(__xludf.DUMMYFUNCTION("GOOGLETRANSLATE(A600,""bn"",""en"")"),"Strength does not come from physical ability it comes from an indomitable will")</f>
        <v>Strength does not come from physical ability it comes from an indomitable will</v>
      </c>
    </row>
    <row r="601" spans="1:3" ht="15" x14ac:dyDescent="0.25">
      <c r="A601" s="3" t="s">
        <v>602</v>
      </c>
      <c r="B601" s="3" t="s">
        <v>4</v>
      </c>
      <c r="C601" s="2" t="str">
        <f ca="1">IFERROR(__xludf.DUMMYFUNCTION("GOOGLETRANSLATE(A601,""bn"",""en"")"),"The secret of the mind remained forever, it did not come to the waking mind, it only came to the dream")</f>
        <v>The secret of the mind remained forever, it did not come to the waking mind, it only came to the dream</v>
      </c>
    </row>
    <row r="602" spans="1:3" ht="15" x14ac:dyDescent="0.25">
      <c r="A602" s="3" t="s">
        <v>603</v>
      </c>
      <c r="B602" s="3" t="s">
        <v>4</v>
      </c>
      <c r="C602" s="2" t="str">
        <f ca="1">IFERROR(__xludf.DUMMYFUNCTION("GOOGLETRANSLATE(A602,""bn"",""en"")"),"I never need you")</f>
        <v>I never need you</v>
      </c>
    </row>
    <row r="603" spans="1:3" ht="15" x14ac:dyDescent="0.25">
      <c r="A603" s="3" t="s">
        <v>604</v>
      </c>
      <c r="B603" s="3" t="s">
        <v>4</v>
      </c>
      <c r="C603" s="2" t="str">
        <f ca="1">IFERROR(__xludf.DUMMYFUNCTION("GOOGLETRANSLATE(A603,""bn"",""en"")"),"The joys of love are momentary but the sad moments of love last a lifetime")</f>
        <v>The joys of love are momentary but the sad moments of love last a lifetime</v>
      </c>
    </row>
    <row r="604" spans="1:3" ht="15" x14ac:dyDescent="0.25">
      <c r="A604" s="3" t="s">
        <v>605</v>
      </c>
      <c r="B604" s="3" t="s">
        <v>4</v>
      </c>
      <c r="C604" s="2" t="str">
        <f ca="1">IFERROR(__xludf.DUMMYFUNCTION("GOOGLETRANSLATE(A604,""bn"",""en"")"),"I cannot meet you like a weapon")</f>
        <v>I cannot meet you like a weapon</v>
      </c>
    </row>
    <row r="605" spans="1:3" ht="15" x14ac:dyDescent="0.25">
      <c r="A605" s="3" t="s">
        <v>606</v>
      </c>
      <c r="B605" s="3" t="s">
        <v>4</v>
      </c>
      <c r="C605" s="2" t="str">
        <f ca="1">IFERROR(__xludf.DUMMYFUNCTION("GOOGLETRANSLATE(A605,""bn"",""en"")"),"Thousands of relationships survive depending on this saying that one day it will be alright")</f>
        <v>Thousands of relationships survive depending on this saying that one day it will be alright</v>
      </c>
    </row>
    <row r="606" spans="1:3" ht="15" x14ac:dyDescent="0.25">
      <c r="A606" s="3" t="s">
        <v>607</v>
      </c>
      <c r="B606" s="3" t="s">
        <v>4</v>
      </c>
      <c r="C606" s="2" t="str">
        <f ca="1">IFERROR(__xludf.DUMMYFUNCTION("GOOGLETRANSLATE(A606,""bn"",""en"")"),"Poverty is not lack of character it is lack of cash")</f>
        <v>Poverty is not lack of character it is lack of cash</v>
      </c>
    </row>
    <row r="607" spans="1:3" ht="15" x14ac:dyDescent="0.25">
      <c r="A607" s="3" t="s">
        <v>608</v>
      </c>
      <c r="B607" s="3" t="s">
        <v>4</v>
      </c>
      <c r="C607" s="2" t="str">
        <f ca="1">IFERROR(__xludf.DUMMYFUNCTION("GOOGLETRANSLATE(A607,""bn"",""en"")"),"Lying is very painful but telling the truth is now painful to yourself")</f>
        <v>Lying is very painful but telling the truth is now painful to yourself</v>
      </c>
    </row>
    <row r="608" spans="1:3" ht="15" x14ac:dyDescent="0.25">
      <c r="A608" s="3" t="s">
        <v>609</v>
      </c>
      <c r="B608" s="3" t="s">
        <v>4</v>
      </c>
      <c r="C608" s="2" t="str">
        <f ca="1">IFERROR(__xludf.DUMMYFUNCTION("GOOGLETRANSLATE(A608,""bn"",""en"")"),"Through internet we can be connected with people from any part of the world but how connected with the people next to us")</f>
        <v>Through internet we can be connected with people from any part of the world but how connected with the people next to us</v>
      </c>
    </row>
    <row r="609" spans="1:3" ht="15" x14ac:dyDescent="0.25">
      <c r="A609" s="3" t="s">
        <v>610</v>
      </c>
      <c r="B609" s="3" t="s">
        <v>4</v>
      </c>
      <c r="C609" s="2" t="str">
        <f ca="1">IFERROR(__xludf.DUMMYFUNCTION("GOOGLETRANSLATE(A609,""bn"",""en"")"),"Illness is the biggest flaw of mankind")</f>
        <v>Illness is the biggest flaw of mankind</v>
      </c>
    </row>
    <row r="610" spans="1:3" ht="15" x14ac:dyDescent="0.25">
      <c r="A610" s="3" t="s">
        <v>611</v>
      </c>
      <c r="B610" s="3" t="s">
        <v>4</v>
      </c>
      <c r="C610" s="2" t="str">
        <f ca="1">IFERROR(__xludf.DUMMYFUNCTION("GOOGLETRANSLATE(A610,""bn"",""en"")"),"The current financial condition of the country is critical and the debt is increasing day by day")</f>
        <v>The current financial condition of the country is critical and the debt is increasing day by day</v>
      </c>
    </row>
    <row r="611" spans="1:3" ht="15" x14ac:dyDescent="0.25">
      <c r="A611" s="3" t="s">
        <v>612</v>
      </c>
      <c r="B611" s="3" t="s">
        <v>4</v>
      </c>
      <c r="C611" s="2" t="str">
        <f ca="1">IFERROR(__xludf.DUMMYFUNCTION("GOOGLETRANSLATE(A611,""bn"",""en"")"),"No matter how great a nation is, it is no stronger than its weakest people")</f>
        <v>No matter how great a nation is, it is no stronger than its weakest people</v>
      </c>
    </row>
    <row r="612" spans="1:3" ht="15" x14ac:dyDescent="0.25">
      <c r="A612" s="3" t="s">
        <v>613</v>
      </c>
      <c r="B612" s="3" t="s">
        <v>4</v>
      </c>
      <c r="C612" s="2" t="str">
        <f ca="1">IFERROR(__xludf.DUMMYFUNCTION("GOOGLETRANSLATE(A612,""bn"",""en"")"),"Sick but smiling because of you")</f>
        <v>Sick but smiling because of you</v>
      </c>
    </row>
    <row r="613" spans="1:3" ht="15" x14ac:dyDescent="0.25">
      <c r="A613" s="3" t="s">
        <v>614</v>
      </c>
      <c r="B613" s="3" t="s">
        <v>4</v>
      </c>
      <c r="C613" s="2" t="str">
        <f ca="1">IFERROR(__xludf.DUMMYFUNCTION("GOOGLETRANSLATE(A613,""bn"",""en"")"),"I am no longer in a position to love anyone else because all the love in my heart is empty")</f>
        <v>I am no longer in a position to love anyone else because all the love in my heart is empty</v>
      </c>
    </row>
    <row r="614" spans="1:3" ht="15" x14ac:dyDescent="0.25">
      <c r="A614" s="3" t="s">
        <v>615</v>
      </c>
      <c r="B614" s="3" t="s">
        <v>4</v>
      </c>
      <c r="C614" s="2" t="str">
        <f ca="1">IFERROR(__xludf.DUMMYFUNCTION("GOOGLETRANSLATE(A614,""bn"",""en"")"),"I'm not sick just allergic on Mondays")</f>
        <v>I'm not sick just allergic on Mondays</v>
      </c>
    </row>
    <row r="615" spans="1:3" ht="15" x14ac:dyDescent="0.25">
      <c r="A615" s="3" t="s">
        <v>616</v>
      </c>
      <c r="B615" s="3" t="s">
        <v>4</v>
      </c>
      <c r="C615" s="2" t="str">
        <f ca="1">IFERROR(__xludf.DUMMYFUNCTION("GOOGLETRANSLATE(A615,""bn"",""en"")"),"Failure does not lie down; failure is that which refuses to pass up")</f>
        <v>Failure does not lie down; failure is that which refuses to pass up</v>
      </c>
    </row>
    <row r="616" spans="1:3" ht="15" x14ac:dyDescent="0.25">
      <c r="A616" s="3" t="s">
        <v>617</v>
      </c>
      <c r="B616" s="3" t="s">
        <v>4</v>
      </c>
      <c r="C616" s="2" t="str">
        <f ca="1">IFERROR(__xludf.DUMMYFUNCTION("GOOGLETRANSLATE(A616,""bn"",""en"")"),"Be true and be true to lies")</f>
        <v>Be true and be true to lies</v>
      </c>
    </row>
    <row r="617" spans="1:3" ht="15" x14ac:dyDescent="0.25">
      <c r="A617" s="3" t="s">
        <v>618</v>
      </c>
      <c r="B617" s="3" t="s">
        <v>4</v>
      </c>
      <c r="C617" s="2" t="str">
        <f ca="1">IFERROR(__xludf.DUMMYFUNCTION("GOOGLETRANSLATE(A617,""bn"",""en"")"),"Making friends with bad people")</f>
        <v>Making friends with bad people</v>
      </c>
    </row>
    <row r="618" spans="1:3" ht="15" x14ac:dyDescent="0.25">
      <c r="A618" s="3" t="s">
        <v>619</v>
      </c>
      <c r="B618" s="3" t="s">
        <v>4</v>
      </c>
      <c r="C618" s="2" t="str">
        <f ca="1">IFERROR(__xludf.DUMMYFUNCTION("GOOGLETRANSLATE(A618,""bn"",""en"")"),"I am very good with my failure even with everyone's criticism I am alive")</f>
        <v>I am very good with my failure even with everyone's criticism I am alive</v>
      </c>
    </row>
    <row r="619" spans="1:3" ht="15" x14ac:dyDescent="0.25">
      <c r="A619" s="3" t="s">
        <v>620</v>
      </c>
      <c r="B619" s="3" t="s">
        <v>4</v>
      </c>
      <c r="C619" s="2" t="str">
        <f ca="1">IFERROR(__xludf.DUMMYFUNCTION("GOOGLETRANSLATE(A619,""bn"",""en"")"),"Some moments of pain remind you of the past")</f>
        <v>Some moments of pain remind you of the past</v>
      </c>
    </row>
    <row r="620" spans="1:3" ht="15" x14ac:dyDescent="0.25">
      <c r="A620" s="3" t="s">
        <v>621</v>
      </c>
      <c r="B620" s="3" t="s">
        <v>4</v>
      </c>
      <c r="C620" s="2" t="str">
        <f ca="1">IFERROR(__xludf.DUMMYFUNCTION("GOOGLETRANSLATE(A620,""bn"",""en"")"),"Want to buy nice clothes car house but everything beyond afford")</f>
        <v>Want to buy nice clothes car house but everything beyond afford</v>
      </c>
    </row>
    <row r="621" spans="1:3" ht="15" x14ac:dyDescent="0.25">
      <c r="A621" s="3" t="s">
        <v>622</v>
      </c>
      <c r="B621" s="3" t="s">
        <v>4</v>
      </c>
      <c r="C621" s="2" t="str">
        <f ca="1">IFERROR(__xludf.DUMMYFUNCTION("GOOGLETRANSLATE(A621,""bn"",""en"")"),"I need a job very much but unfortunately I don't have certificate because certificate is more expensive than skill.")</f>
        <v>I need a job very much but unfortunately I don't have certificate because certificate is more expensive than skill.</v>
      </c>
    </row>
    <row r="622" spans="1:3" ht="15" x14ac:dyDescent="0.25">
      <c r="A622" s="3" t="s">
        <v>623</v>
      </c>
      <c r="B622" s="3" t="s">
        <v>4</v>
      </c>
      <c r="C622" s="2" t="str">
        <f ca="1">IFERROR(__xludf.DUMMYFUNCTION("GOOGLETRANSLATE(A622,""bn"",""en"")"),"Unwanted Unloved Uncared for forgotten by all I think it's a far greater hunger Far greater poverty than a man who has nothing to eat")</f>
        <v>Unwanted Unloved Uncared for forgotten by all I think it's a far greater hunger Far greater poverty than a man who has nothing to eat</v>
      </c>
    </row>
    <row r="623" spans="1:3" ht="15" x14ac:dyDescent="0.25">
      <c r="A623" s="3" t="s">
        <v>624</v>
      </c>
      <c r="B623" s="3" t="s">
        <v>4</v>
      </c>
      <c r="C623" s="2" t="str">
        <f ca="1">IFERROR(__xludf.DUMMYFUNCTION("GOOGLETRANSLATE(A623,""bn"",""en"")"),"I can't help but wrap myself in some emotional triumph at the end of the film")</f>
        <v>I can't help but wrap myself in some emotional triumph at the end of the film</v>
      </c>
    </row>
    <row r="624" spans="1:3" ht="15" x14ac:dyDescent="0.25">
      <c r="A624" s="3" t="s">
        <v>625</v>
      </c>
      <c r="B624" s="3" t="s">
        <v>4</v>
      </c>
      <c r="C624" s="2" t="str">
        <f ca="1">IFERROR(__xludf.DUMMYFUNCTION("GOOGLETRANSLATE(A624,""bn"",""en"")"),"Hard work spoils appearance but makes life beautiful")</f>
        <v>Hard work spoils appearance but makes life beautiful</v>
      </c>
    </row>
    <row r="625" spans="1:3" ht="15" x14ac:dyDescent="0.25">
      <c r="A625" s="3" t="s">
        <v>626</v>
      </c>
      <c r="B625" s="3" t="s">
        <v>4</v>
      </c>
      <c r="C625" s="2" t="str">
        <f ca="1">IFERROR(__xludf.DUMMYFUNCTION("GOOGLETRANSLATE(A625,""bn"",""en"")"),"I didn't lose you, I lost myself, I didn't explain to anyone, I explained to myself")</f>
        <v>I didn't lose you, I lost myself, I didn't explain to anyone, I explained to myself</v>
      </c>
    </row>
    <row r="626" spans="1:3" ht="15" x14ac:dyDescent="0.25">
      <c r="A626" s="3" t="s">
        <v>627</v>
      </c>
      <c r="B626" s="3" t="s">
        <v>4</v>
      </c>
      <c r="C626" s="2" t="str">
        <f ca="1">IFERROR(__xludf.DUMMYFUNCTION("GOOGLETRANSLATE(A626,""bn"",""en"")"),"Relationships are beautiful from a distance and don't want to go to anyone")</f>
        <v>Relationships are beautiful from a distance and don't want to go to anyone</v>
      </c>
    </row>
    <row r="627" spans="1:3" ht="15" x14ac:dyDescent="0.25">
      <c r="A627" s="3" t="s">
        <v>628</v>
      </c>
      <c r="B627" s="3" t="s">
        <v>4</v>
      </c>
      <c r="C627" s="2" t="str">
        <f ca="1">IFERROR(__xludf.DUMMYFUNCTION("GOOGLETRANSLATE(A627,""bn"",""en"")"),"Sick days don't define me they refine me")</f>
        <v>Sick days don't define me they refine me</v>
      </c>
    </row>
    <row r="628" spans="1:3" ht="15" x14ac:dyDescent="0.25">
      <c r="A628" s="3" t="s">
        <v>629</v>
      </c>
      <c r="B628" s="3" t="s">
        <v>4</v>
      </c>
      <c r="C628" s="2" t="str">
        <f ca="1">IFERROR(__xludf.DUMMYFUNCTION("GOOGLETRANSLATE(A628,""bn"",""en"")"),"He went away underestimating my love with another")</f>
        <v>He went away underestimating my love with another</v>
      </c>
    </row>
    <row r="629" spans="1:3" ht="15" x14ac:dyDescent="0.25">
      <c r="A629" s="3" t="s">
        <v>630</v>
      </c>
      <c r="B629" s="3" t="s">
        <v>4</v>
      </c>
      <c r="C629" s="2" t="str">
        <f ca="1">IFERROR(__xludf.DUMMYFUNCTION("GOOGLETRANSLATE(A629,""bn"",""en"")"),"Illness is the opposite of freedom it makes everything impossible")</f>
        <v>Illness is the opposite of freedom it makes everything impossible</v>
      </c>
    </row>
    <row r="630" spans="1:3" ht="15" x14ac:dyDescent="0.25">
      <c r="A630" s="3" t="s">
        <v>631</v>
      </c>
      <c r="B630" s="3" t="s">
        <v>4</v>
      </c>
      <c r="C630" s="2" t="str">
        <f ca="1">IFERROR(__xludf.DUMMYFUNCTION("GOOGLETRANSLATE(A630,""bn"",""en"")"),"Pain gives you strength and makes beautiful things happen")</f>
        <v>Pain gives you strength and makes beautiful things happen</v>
      </c>
    </row>
    <row r="631" spans="1:3" ht="15" x14ac:dyDescent="0.25">
      <c r="A631" s="3" t="s">
        <v>632</v>
      </c>
      <c r="B631" s="3" t="s">
        <v>4</v>
      </c>
      <c r="C631" s="2" t="str">
        <f ca="1">IFERROR(__xludf.DUMMYFUNCTION("GOOGLETRANSLATE(A631,""bn"",""en"")"),"Worst experience in freelancing life is working for Indian clients")</f>
        <v>Worst experience in freelancing life is working for Indian clients</v>
      </c>
    </row>
    <row r="632" spans="1:3" ht="15" x14ac:dyDescent="0.25">
      <c r="A632" s="3" t="s">
        <v>633</v>
      </c>
      <c r="B632" s="3" t="s">
        <v>4</v>
      </c>
      <c r="C632" s="2" t="str">
        <f ca="1">IFERROR(__xludf.DUMMYFUNCTION("GOOGLETRANSLATE(A632,""bn"",""en"")"),"Only I can understand the heart that is smiling outside and crying inside")</f>
        <v>Only I can understand the heart that is smiling outside and crying inside</v>
      </c>
    </row>
    <row r="633" spans="1:3" ht="15" x14ac:dyDescent="0.25">
      <c r="A633" s="3" t="s">
        <v>634</v>
      </c>
      <c r="B633" s="3" t="s">
        <v>4</v>
      </c>
      <c r="C633" s="2" t="str">
        <f ca="1">IFERROR(__xludf.DUMMYFUNCTION("GOOGLETRANSLATE(A633,""bn"",""en"")"),"To love something is to want it to live")</f>
        <v>To love something is to want it to live</v>
      </c>
    </row>
    <row r="634" spans="1:3" ht="15" x14ac:dyDescent="0.25">
      <c r="A634" s="3" t="s">
        <v>635</v>
      </c>
      <c r="B634" s="3" t="s">
        <v>4</v>
      </c>
      <c r="C634" s="2" t="str">
        <f ca="1">IFERROR(__xludf.DUMMYFUNCTION("GOOGLETRANSLATE(A634,""bn"",""en"")"),"The boundaries of the play's sadness grow beyond my own boundaries")</f>
        <v>The boundaries of the play's sadness grow beyond my own boundaries</v>
      </c>
    </row>
    <row r="635" spans="1:3" ht="15" x14ac:dyDescent="0.25">
      <c r="A635" s="3" t="s">
        <v>636</v>
      </c>
      <c r="B635" s="3" t="s">
        <v>4</v>
      </c>
      <c r="C635" s="2" t="str">
        <f ca="1">IFERROR(__xludf.DUMMYFUNCTION("GOOGLETRANSLATE(A635,""bn"",""en"")"),"Dear try to understand my emptiness")</f>
        <v>Dear try to understand my emptiness</v>
      </c>
    </row>
    <row r="636" spans="1:3" ht="15" x14ac:dyDescent="0.25">
      <c r="A636" s="3" t="s">
        <v>637</v>
      </c>
      <c r="B636" s="3" t="s">
        <v>4</v>
      </c>
      <c r="C636" s="2" t="str">
        <f ca="1">IFERROR(__xludf.DUMMYFUNCTION("GOOGLETRANSLATE(A636,""bn"",""en"")"),"There is nothing but the memory of the chest or side")</f>
        <v>There is nothing but the memory of the chest or side</v>
      </c>
    </row>
    <row r="637" spans="1:3" ht="15" x14ac:dyDescent="0.25">
      <c r="A637" s="3" t="s">
        <v>638</v>
      </c>
      <c r="B637" s="3" t="s">
        <v>4</v>
      </c>
      <c r="C637" s="2" t="str">
        <f ca="1">IFERROR(__xludf.DUMMYFUNCTION("GOOGLETRANSLATE(A637,""bn"",""en"")"),"I have realized in every walk of life no one is for no one")</f>
        <v>I have realized in every walk of life no one is for no one</v>
      </c>
    </row>
    <row r="638" spans="1:3" ht="15" x14ac:dyDescent="0.25">
      <c r="A638" s="3" t="s">
        <v>639</v>
      </c>
      <c r="B638" s="3" t="s">
        <v>4</v>
      </c>
      <c r="C638" s="2" t="str">
        <f ca="1">IFERROR(__xludf.DUMMYFUNCTION("GOOGLETRANSLATE(A638,""bn"",""en"")"),"I feel very secure with this historical understanding of this society")</f>
        <v>I feel very secure with this historical understanding of this society</v>
      </c>
    </row>
    <row r="639" spans="1:3" ht="15" x14ac:dyDescent="0.25">
      <c r="A639" s="3" t="s">
        <v>640</v>
      </c>
      <c r="B639" s="3" t="s">
        <v>4</v>
      </c>
      <c r="C639" s="2" t="str">
        <f ca="1">IFERROR(__xludf.DUMMYFUNCTION("GOOGLETRANSLATE(A639,""bn"",""en"")"),"There is no peace in my heart for lack of family only darkness and utter sadness against the light")</f>
        <v>There is no peace in my heart for lack of family only darkness and utter sadness against the light</v>
      </c>
    </row>
    <row r="640" spans="1:3" ht="15" x14ac:dyDescent="0.25">
      <c r="A640" s="3" t="s">
        <v>641</v>
      </c>
      <c r="B640" s="3" t="s">
        <v>4</v>
      </c>
      <c r="C640" s="2" t="str">
        <f ca="1">IFERROR(__xludf.DUMMYFUNCTION("GOOGLETRANSLATE(A640,""bn"",""en"")"),"Day by day we see more fraud and highly social animals in the society")</f>
        <v>Day by day we see more fraud and highly social animals in the society</v>
      </c>
    </row>
    <row r="641" spans="1:3" ht="15" x14ac:dyDescent="0.25">
      <c r="A641" s="3" t="s">
        <v>642</v>
      </c>
      <c r="B641" s="3" t="s">
        <v>4</v>
      </c>
      <c r="C641" s="2" t="str">
        <f ca="1">IFERROR(__xludf.DUMMYFUNCTION("GOOGLETRANSLATE(A641,""bn"",""en"")"),"Bengali Culture reports notes on Nishikala end of existence")</f>
        <v>Bengali Culture reports notes on Nishikala end of existence</v>
      </c>
    </row>
    <row r="642" spans="1:3" ht="15" x14ac:dyDescent="0.25">
      <c r="A642" s="3" t="s">
        <v>643</v>
      </c>
      <c r="B642" s="3" t="s">
        <v>4</v>
      </c>
      <c r="C642" s="2" t="str">
        <f ca="1">IFERROR(__xludf.DUMMYFUNCTION("GOOGLETRANSLATE(A642,""bn"",""en"")"),"Realizing the importance of time is one thing I take for granted")</f>
        <v>Realizing the importance of time is one thing I take for granted</v>
      </c>
    </row>
    <row r="643" spans="1:3" ht="15" x14ac:dyDescent="0.25">
      <c r="A643" s="3" t="s">
        <v>644</v>
      </c>
      <c r="B643" s="3" t="s">
        <v>4</v>
      </c>
      <c r="C643" s="2" t="str">
        <f ca="1">IFERROR(__xludf.DUMMYFUNCTION("GOOGLETRANSLATE(A643,""bn"",""en"")"),"I am now so much of a failure that I fear losing more than gaining anything")</f>
        <v>I am now so much of a failure that I fear losing more than gaining anything</v>
      </c>
    </row>
    <row r="644" spans="1:3" ht="15" x14ac:dyDescent="0.25">
      <c r="A644" s="3" t="s">
        <v>645</v>
      </c>
      <c r="B644" s="3" t="s">
        <v>4</v>
      </c>
      <c r="C644" s="2" t="str">
        <f ca="1">IFERROR(__xludf.DUMMYFUNCTION("GOOGLETRANSLATE(A644,""bn"",""en"")"),"If the end of the film does not bring a feeling of sadness, then no film is captured in my mind")</f>
        <v>If the end of the film does not bring a feeling of sadness, then no film is captured in my mind</v>
      </c>
    </row>
    <row r="645" spans="1:3" ht="15" x14ac:dyDescent="0.25">
      <c r="A645" s="3" t="s">
        <v>646</v>
      </c>
      <c r="B645" s="3" t="s">
        <v>4</v>
      </c>
      <c r="C645" s="2" t="str">
        <f ca="1">IFERROR(__xludf.DUMMYFUNCTION("GOOGLETRANSLATE(A645,""bn"",""en"")"),"A sense of culture fades away in memory")</f>
        <v>A sense of culture fades away in memory</v>
      </c>
    </row>
    <row r="646" spans="1:3" ht="15" x14ac:dyDescent="0.25">
      <c r="A646" s="3" t="s">
        <v>647</v>
      </c>
      <c r="B646" s="3" t="s">
        <v>4</v>
      </c>
      <c r="C646" s="2" t="str">
        <f ca="1">IFERROR(__xludf.DUMMYFUNCTION("GOOGLETRANSLATE(A646,""bn"",""en"")"),"If you accept the bad and keep silent, if you say something against the good and bad, you are bad")</f>
        <v>If you accept the bad and keep silent, if you say something against the good and bad, you are bad</v>
      </c>
    </row>
    <row r="647" spans="1:3" ht="15" x14ac:dyDescent="0.25">
      <c r="A647" s="3" t="s">
        <v>648</v>
      </c>
      <c r="B647" s="3" t="s">
        <v>4</v>
      </c>
      <c r="C647" s="2" t="str">
        <f ca="1">IFERROR(__xludf.DUMMYFUNCTION("GOOGLETRANSLATE(A647,""bn"",""en"")"),"Humanity and human compassion are being lost in war")</f>
        <v>Humanity and human compassion are being lost in war</v>
      </c>
    </row>
    <row r="648" spans="1:3" ht="15" x14ac:dyDescent="0.25">
      <c r="A648" s="3" t="s">
        <v>649</v>
      </c>
      <c r="B648" s="3" t="s">
        <v>4</v>
      </c>
      <c r="C648" s="2" t="str">
        <f ca="1">IFERROR(__xludf.DUMMYFUNCTION("GOOGLETRANSLATE(A648,""bn"",""en"")"),"With my family at times it turns between friendship and absolute boredom")</f>
        <v>With my family at times it turns between friendship and absolute boredom</v>
      </c>
    </row>
    <row r="649" spans="1:3" ht="15" x14ac:dyDescent="0.25">
      <c r="A649" s="3" t="s">
        <v>650</v>
      </c>
      <c r="B649" s="3" t="s">
        <v>4</v>
      </c>
      <c r="C649" s="2" t="str">
        <f ca="1">IFERROR(__xludf.DUMMYFUNCTION("GOOGLETRANSLATE(A649,""bn"",""en"")"),"Boys have to say goodbye with a smile even if they leave their loved ones")</f>
        <v>Boys have to say goodbye with a smile even if they leave their loved ones</v>
      </c>
    </row>
    <row r="650" spans="1:3" ht="15" x14ac:dyDescent="0.25">
      <c r="A650" s="3" t="s">
        <v>651</v>
      </c>
      <c r="B650" s="3" t="s">
        <v>4</v>
      </c>
      <c r="C650" s="2" t="str">
        <f ca="1">IFERROR(__xludf.DUMMYFUNCTION("GOOGLETRANSLATE(A650,""bn"",""en"")"),"Even if there is a lower class I am in it even if there is a criminal element I am not free even if there is a soul in its prison")</f>
        <v>Even if there is a lower class I am in it even if there is a criminal element I am not free even if there is a soul in its prison</v>
      </c>
    </row>
    <row r="651" spans="1:3" ht="15" x14ac:dyDescent="0.25">
      <c r="A651" s="3" t="s">
        <v>652</v>
      </c>
      <c r="B651" s="3" t="s">
        <v>4</v>
      </c>
      <c r="C651" s="2" t="str">
        <f ca="1">IFERROR(__xludf.DUMMYFUNCTION("GOOGLETRANSLATE(A651,""bn"",""en"")"),"Lacking family I'm lost in my own way The whole feeling is walking now")</f>
        <v>Lacking family I'm lost in my own way The whole feeling is walking now</v>
      </c>
    </row>
    <row r="652" spans="1:3" ht="15" x14ac:dyDescent="0.25">
      <c r="A652" s="3" t="s">
        <v>653</v>
      </c>
      <c r="B652" s="3" t="s">
        <v>4</v>
      </c>
      <c r="C652" s="2" t="str">
        <f ca="1">IFERROR(__xludf.DUMMYFUNCTION("GOOGLETRANSLATE(A652,""bn"",""en"")"),"I have failed the battle and now despair is leading me to my death")</f>
        <v>I have failed the battle and now despair is leading me to my death</v>
      </c>
    </row>
    <row r="653" spans="1:3" ht="15" x14ac:dyDescent="0.25">
      <c r="A653" s="3" t="s">
        <v>654</v>
      </c>
      <c r="B653" s="3" t="s">
        <v>4</v>
      </c>
      <c r="C653" s="2" t="str">
        <f ca="1">IFERROR(__xludf.DUMMYFUNCTION("GOOGLETRANSLATE(A653,""bn"",""en"")"),"I can't get anyone by calling, when I feel very lonely and want to talk, it is as if the phone in my hand is not working")</f>
        <v>I can't get anyone by calling, when I feel very lonely and want to talk, it is as if the phone in my hand is not working</v>
      </c>
    </row>
    <row r="654" spans="1:3" ht="15" x14ac:dyDescent="0.25">
      <c r="A654" s="3" t="s">
        <v>655</v>
      </c>
      <c r="B654" s="3" t="s">
        <v>4</v>
      </c>
      <c r="C654" s="2" t="str">
        <f ca="1">IFERROR(__xludf.DUMMYFUNCTION("GOOGLETRANSLATE(A654,""bn"",""en"")"),"Today I am tired from work all day")</f>
        <v>Today I am tired from work all day</v>
      </c>
    </row>
    <row r="655" spans="1:3" ht="15" x14ac:dyDescent="0.25">
      <c r="A655" s="3" t="s">
        <v>656</v>
      </c>
      <c r="B655" s="3" t="s">
        <v>4</v>
      </c>
      <c r="C655" s="2" t="str">
        <f ca="1">IFERROR(__xludf.DUMMYFUNCTION("GOOGLETRANSLATE(A655,""bn"",""en"")"),"Loneliness is what people feel when they talk to themselves because no one is there to listen")</f>
        <v>Loneliness is what people feel when they talk to themselves because no one is there to listen</v>
      </c>
    </row>
    <row r="656" spans="1:3" ht="15" x14ac:dyDescent="0.25">
      <c r="A656" s="3" t="s">
        <v>657</v>
      </c>
      <c r="B656" s="3" t="s">
        <v>4</v>
      </c>
      <c r="C656" s="2" t="str">
        <f ca="1">IFERROR(__xludf.DUMMYFUNCTION("GOOGLETRANSLATE(A656,""bn"",""en"")"),"Disappearing through social media is an obstacle faced by the real life of the justice of the dream")</f>
        <v>Disappearing through social media is an obstacle faced by the real life of the justice of the dream</v>
      </c>
    </row>
    <row r="657" spans="1:3" ht="15" x14ac:dyDescent="0.25">
      <c r="A657" s="3" t="s">
        <v>46</v>
      </c>
      <c r="B657" s="3" t="s">
        <v>4</v>
      </c>
      <c r="C657" s="2" t="str">
        <f ca="1">IFERROR(__xludf.DUMMYFUNCTION("GOOGLETRANSLATE(A657,""bn"",""en"")"),"Behind the smiling face hides the story of unknown suffering")</f>
        <v>Behind the smiling face hides the story of unknown suffering</v>
      </c>
    </row>
    <row r="658" spans="1:3" ht="15" x14ac:dyDescent="0.25">
      <c r="A658" s="3" t="s">
        <v>658</v>
      </c>
      <c r="B658" s="3" t="s">
        <v>4</v>
      </c>
      <c r="C658" s="2" t="str">
        <f ca="1">IFERROR(__xludf.DUMMYFUNCTION("GOOGLETRANSLATE(A658,""bn"",""en"")"),"At this stage of life, I realized that no one is my own except my family, father, mother, brother and sister")</f>
        <v>At this stage of life, I realized that no one is my own except my family, father, mother, brother and sister</v>
      </c>
    </row>
    <row r="659" spans="1:3" ht="15" x14ac:dyDescent="0.25">
      <c r="A659" s="3" t="s">
        <v>659</v>
      </c>
      <c r="B659" s="3" t="s">
        <v>4</v>
      </c>
      <c r="C659" s="2" t="str">
        <f ca="1">IFERROR(__xludf.DUMMYFUNCTION("GOOGLETRANSLATE(A659,""bn"",""en"")"),"Even if the acquaintance is for a short time, the memories will last a lifetime")</f>
        <v>Even if the acquaintance is for a short time, the memories will last a lifetime</v>
      </c>
    </row>
    <row r="660" spans="1:3" ht="15" x14ac:dyDescent="0.25">
      <c r="A660" s="3" t="s">
        <v>660</v>
      </c>
      <c r="B660" s="3" t="s">
        <v>4</v>
      </c>
      <c r="C660" s="2" t="str">
        <f ca="1">IFERROR(__xludf.DUMMYFUNCTION("GOOGLETRANSLATE(A660,""bn"",""en"")"),"I feel the intention to block the name of my Indian culture with this religion")</f>
        <v>I feel the intention to block the name of my Indian culture with this religion</v>
      </c>
    </row>
    <row r="661" spans="1:3" ht="15" x14ac:dyDescent="0.25">
      <c r="A661" s="3" t="s">
        <v>661</v>
      </c>
      <c r="B661" s="3" t="s">
        <v>4</v>
      </c>
      <c r="C661" s="2" t="str">
        <f ca="1">IFERROR(__xludf.DUMMYFUNCTION("GOOGLETRANSLATE(A661,""bn"",""en"")"),"The joy of having is momentary but the pain of not having is lifelong")</f>
        <v>The joy of having is momentary but the pain of not having is lifelong</v>
      </c>
    </row>
    <row r="662" spans="1:3" ht="15" x14ac:dyDescent="0.25">
      <c r="A662" s="3" t="s">
        <v>662</v>
      </c>
      <c r="B662" s="3" t="s">
        <v>4</v>
      </c>
      <c r="C662" s="2" t="str">
        <f ca="1">IFERROR(__xludf.DUMMYFUNCTION("GOOGLETRANSLATE(A662,""bn"",""en"")"),"I am so tired, I come back home and see that there is no electricity and nothing can be done")</f>
        <v>I am so tired, I come back home and see that there is no electricity and nothing can be done</v>
      </c>
    </row>
    <row r="663" spans="1:3" ht="15" x14ac:dyDescent="0.25">
      <c r="A663" s="3" t="s">
        <v>663</v>
      </c>
      <c r="B663" s="3" t="s">
        <v>4</v>
      </c>
      <c r="C663" s="2" t="str">
        <f ca="1">IFERROR(__xludf.DUMMYFUNCTION("GOOGLETRANSLATE(A663,""bn"",""en"")"),"The older we get the more we learn to get used to being alone")</f>
        <v>The older we get the more we learn to get used to being alone</v>
      </c>
    </row>
    <row r="664" spans="1:3" ht="15" x14ac:dyDescent="0.25">
      <c r="A664" s="3" t="s">
        <v>664</v>
      </c>
      <c r="B664" s="3" t="s">
        <v>4</v>
      </c>
      <c r="C664" s="2" t="str">
        <f ca="1">IFERROR(__xludf.DUMMYFUNCTION("GOOGLETRANSLATE(A664,""bn"",""en"")"),"No matter how expensive food you eat in the world, nothing is better than mother's cooking")</f>
        <v>No matter how expensive food you eat in the world, nothing is better than mother's cooking</v>
      </c>
    </row>
    <row r="665" spans="1:3" ht="15" x14ac:dyDescent="0.25">
      <c r="A665" s="3" t="s">
        <v>665</v>
      </c>
      <c r="B665" s="3" t="s">
        <v>4</v>
      </c>
      <c r="C665" s="2" t="str">
        <f ca="1">IFERROR(__xludf.DUMMYFUNCTION("GOOGLETRANSLATE(A665,""bn"",""en"")"),"The poverty-stricken man makes the same mistake about the rich man")</f>
        <v>The poverty-stricken man makes the same mistake about the rich man</v>
      </c>
    </row>
    <row r="666" spans="1:3" ht="15" x14ac:dyDescent="0.25">
      <c r="A666" s="3" t="s">
        <v>666</v>
      </c>
      <c r="B666" s="3" t="s">
        <v>4</v>
      </c>
      <c r="C666" s="2" t="str">
        <f ca="1">IFERROR(__xludf.DUMMYFUNCTION("GOOGLETRANSLATE(A666,""bn"",""en"")"),"But never mind what happens if we don't follow the path of war but follow the path of peace")</f>
        <v>But never mind what happens if we don't follow the path of war but follow the path of peace</v>
      </c>
    </row>
    <row r="667" spans="1:3" ht="15" x14ac:dyDescent="0.25">
      <c r="A667" s="3" t="s">
        <v>667</v>
      </c>
      <c r="B667" s="3" t="s">
        <v>4</v>
      </c>
      <c r="C667" s="2" t="str">
        <f ca="1">IFERROR(__xludf.DUMMYFUNCTION("GOOGLETRANSLATE(A667,""bn"",""en"")"),"Love is a long process for some and short for some but the pain is equal for both")</f>
        <v>Love is a long process for some and short for some but the pain is equal for both</v>
      </c>
    </row>
    <row r="668" spans="1:3" ht="15" x14ac:dyDescent="0.25">
      <c r="A668" s="3" t="s">
        <v>668</v>
      </c>
      <c r="B668" s="3" t="s">
        <v>4</v>
      </c>
      <c r="C668" s="2" t="str">
        <f ca="1">IFERROR(__xludf.DUMMYFUNCTION("GOOGLETRANSLATE(A668,""bn"",""en"")"),"Being loved by people also requires financial ability. People without money are never loved by anyone")</f>
        <v>Being loved by people also requires financial ability. People without money are never loved by anyone</v>
      </c>
    </row>
    <row r="669" spans="1:3" ht="15" x14ac:dyDescent="0.25">
      <c r="A669" s="3" t="s">
        <v>669</v>
      </c>
      <c r="B669" s="3" t="s">
        <v>4</v>
      </c>
      <c r="C669" s="2" t="str">
        <f ca="1">IFERROR(__xludf.DUMMYFUNCTION("GOOGLETRANSLATE(A669,""bn"",""en"")"),"There are three relationships in the world that can change a country or nation are parents and teachers")</f>
        <v>There are three relationships in the world that can change a country or nation are parents and teachers</v>
      </c>
    </row>
    <row r="670" spans="1:3" ht="15" x14ac:dyDescent="0.25">
      <c r="A670" s="3" t="s">
        <v>670</v>
      </c>
      <c r="B670" s="3" t="s">
        <v>4</v>
      </c>
      <c r="C670" s="2" t="str">
        <f ca="1">IFERROR(__xludf.DUMMYFUNCTION("GOOGLETRANSLATE(A670,""bn"",""en"")"),"I save all my love only for you but my love is worthless to you")</f>
        <v>I save all my love only for you but my love is worthless to you</v>
      </c>
    </row>
    <row r="671" spans="1:3" ht="15" x14ac:dyDescent="0.25">
      <c r="A671" s="3" t="s">
        <v>671</v>
      </c>
      <c r="B671" s="3" t="s">
        <v>4</v>
      </c>
      <c r="C671" s="2" t="str">
        <f ca="1">IFERROR(__xludf.DUMMYFUNCTION("GOOGLETRANSLATE(A671,""bn"",""en"")"),"I can't even raise my voice, I can't express my thoughts in my mouth, I'm feeling dumb")</f>
        <v>I can't even raise my voice, I can't express my thoughts in my mouth, I'm feeling dumb</v>
      </c>
    </row>
    <row r="672" spans="1:3" ht="15" x14ac:dyDescent="0.25">
      <c r="A672" s="3" t="s">
        <v>672</v>
      </c>
      <c r="B672" s="3" t="s">
        <v>4</v>
      </c>
      <c r="C672" s="2" t="str">
        <f ca="1">IFERROR(__xludf.DUMMYFUNCTION("GOOGLETRANSLATE(A672,""bn"",""en"")"),"No one can imagine the pain that lies deep in the heart")</f>
        <v>No one can imagine the pain that lies deep in the heart</v>
      </c>
    </row>
    <row r="673" spans="1:3" ht="15" x14ac:dyDescent="0.25">
      <c r="A673" s="3" t="s">
        <v>673</v>
      </c>
      <c r="B673" s="3" t="s">
        <v>4</v>
      </c>
      <c r="C673" s="2" t="str">
        <f ca="1">IFERROR(__xludf.DUMMYFUNCTION("GOOGLETRANSLATE(A673,""bn"",""en"")"),"Every adversity, every failure, every pain carries with it the seed of an equal or greater success")</f>
        <v>Every adversity, every failure, every pain carries with it the seed of an equal or greater success</v>
      </c>
    </row>
    <row r="674" spans="1:3" ht="15" x14ac:dyDescent="0.25">
      <c r="A674" s="3" t="s">
        <v>674</v>
      </c>
      <c r="B674" s="3" t="s">
        <v>4</v>
      </c>
      <c r="C674" s="2" t="str">
        <f ca="1">IFERROR(__xludf.DUMMYFUNCTION("GOOGLETRANSLATE(A674,""bn"",""en"")"),"It is very sad for the children who become residents as a result of the war")</f>
        <v>It is very sad for the children who become residents as a result of the war</v>
      </c>
    </row>
    <row r="675" spans="1:3" ht="15" x14ac:dyDescent="0.25">
      <c r="A675" s="3" t="s">
        <v>675</v>
      </c>
      <c r="B675" s="3" t="s">
        <v>4</v>
      </c>
      <c r="C675" s="2" t="str">
        <f ca="1">IFERROR(__xludf.DUMMYFUNCTION("GOOGLETRANSLATE(A675,""bn"",""en"")"),"While reading the book we fall into a lot of sadness and that sadness immediately makes us feel how life is full of crises.")</f>
        <v>While reading the book we fall into a lot of sadness and that sadness immediately makes us feel how life is full of crises.</v>
      </c>
    </row>
    <row r="676" spans="1:3" ht="15" x14ac:dyDescent="0.25">
      <c r="A676" s="3" t="s">
        <v>676</v>
      </c>
      <c r="B676" s="3" t="s">
        <v>4</v>
      </c>
      <c r="C676" s="2" t="str">
        <f ca="1">IFERROR(__xludf.DUMMYFUNCTION("GOOGLETRANSLATE(A676,""bn"",""en"")"),"It is painful for me to forget you")</f>
        <v>It is painful for me to forget you</v>
      </c>
    </row>
    <row r="677" spans="1:3" ht="15" x14ac:dyDescent="0.25">
      <c r="A677" s="3" t="s">
        <v>677</v>
      </c>
      <c r="B677" s="3" t="s">
        <v>4</v>
      </c>
      <c r="C677" s="2" t="str">
        <f ca="1">IFERROR(__xludf.DUMMYFUNCTION("GOOGLETRANSLATE(A677,""bn"",""en"")"),"Only sickness increases by savings")</f>
        <v>Only sickness increases by savings</v>
      </c>
    </row>
    <row r="678" spans="1:3" ht="15" x14ac:dyDescent="0.25">
      <c r="A678" s="3" t="s">
        <v>678</v>
      </c>
      <c r="B678" s="3" t="s">
        <v>4</v>
      </c>
      <c r="C678" s="2" t="str">
        <f ca="1">IFERROR(__xludf.DUMMYFUNCTION("GOOGLETRANSLATE(A678,""bn"",""en"")"),"There is no difference between entertainment and the blue disappearance of childless sorrow")</f>
        <v>There is no difference between entertainment and the blue disappearance of childless sorrow</v>
      </c>
    </row>
    <row r="679" spans="1:3" ht="15" x14ac:dyDescent="0.25">
      <c r="A679" s="3" t="s">
        <v>679</v>
      </c>
      <c r="B679" s="3" t="s">
        <v>4</v>
      </c>
      <c r="C679" s="2" t="str">
        <f ca="1">IFERROR(__xludf.DUMMYFUNCTION("GOOGLETRANSLATE(A679,""bn"",""en"")"),"Time flows like water. In my work life I have to pay attention to know the meaning of the moment")</f>
        <v>Time flows like water. In my work life I have to pay attention to know the meaning of the moment</v>
      </c>
    </row>
    <row r="680" spans="1:3" ht="15" x14ac:dyDescent="0.25">
      <c r="A680" s="3" t="s">
        <v>680</v>
      </c>
      <c r="B680" s="3" t="s">
        <v>4</v>
      </c>
      <c r="C680" s="2" t="str">
        <f ca="1">IFERROR(__xludf.DUMMYFUNCTION("GOOGLETRANSLATE(A680,""bn"",""en"")"),"Lost in the path of truth, my mind is defeated now")</f>
        <v>Lost in the path of truth, my mind is defeated now</v>
      </c>
    </row>
    <row r="681" spans="1:3" ht="15" x14ac:dyDescent="0.25">
      <c r="A681" s="3" t="s">
        <v>681</v>
      </c>
      <c r="B681" s="3" t="s">
        <v>4</v>
      </c>
      <c r="C681" s="2" t="str">
        <f ca="1">IFERROR(__xludf.DUMMYFUNCTION("GOOGLETRANSLATE(A681,""bn"",""en"")"),"The lack of culture is the beginning of the problems faced by people")</f>
        <v>The lack of culture is the beginning of the problems faced by people</v>
      </c>
    </row>
    <row r="682" spans="1:3" ht="15" x14ac:dyDescent="0.25">
      <c r="A682" s="3" t="s">
        <v>682</v>
      </c>
      <c r="B682" s="3" t="s">
        <v>4</v>
      </c>
      <c r="C682" s="2" t="str">
        <f ca="1">IFERROR(__xludf.DUMMYFUNCTION("GOOGLETRANSLATE(A682,""bn"",""en"")"),"Today is another Friday, how long has it been since father, mother and brother sit together and eat mother's cooking")</f>
        <v>Today is another Friday, how long has it been since father, mother and brother sit together and eat mother's cooking</v>
      </c>
    </row>
    <row r="683" spans="1:3" ht="15" x14ac:dyDescent="0.25">
      <c r="A683" s="3" t="s">
        <v>683</v>
      </c>
      <c r="B683" s="3" t="s">
        <v>4</v>
      </c>
      <c r="C683" s="2" t="str">
        <f ca="1">IFERROR(__xludf.DUMMYFUNCTION("GOOGLETRANSLATE(A683,""bn"",""en"")"),"One eye never sees the other, yet when something happens to one eye, the other cannot help but shed tears")</f>
        <v>One eye never sees the other, yet when something happens to one eye, the other cannot help but shed tears</v>
      </c>
    </row>
    <row r="684" spans="1:3" ht="15" x14ac:dyDescent="0.25">
      <c r="A684" s="3" t="s">
        <v>684</v>
      </c>
      <c r="B684" s="3" t="s">
        <v>4</v>
      </c>
      <c r="C684" s="2" t="str">
        <f ca="1">IFERROR(__xludf.DUMMYFUNCTION("GOOGLETRANSLATE(A684,""bn"",""en"")"),"I woke up a little late and had to go out early this morning. I didn't have time to have breakfast. My stomach is rumbling and crying.")</f>
        <v>I woke up a little late and had to go out early this morning. I didn't have time to have breakfast. My stomach is rumbling and crying.</v>
      </c>
    </row>
    <row r="685" spans="1:3" ht="15" x14ac:dyDescent="0.25">
      <c r="A685" s="3" t="s">
        <v>685</v>
      </c>
      <c r="B685" s="3" t="s">
        <v>4</v>
      </c>
      <c r="C685" s="2" t="str">
        <f ca="1">IFERROR(__xludf.DUMMYFUNCTION("GOOGLETRANSLATE(A685,""bn"",""en"")"),"That smile still lingers in my mind")</f>
        <v>That smile still lingers in my mind</v>
      </c>
    </row>
    <row r="686" spans="1:3" ht="15" x14ac:dyDescent="0.25">
      <c r="A686" s="3" t="s">
        <v>686</v>
      </c>
      <c r="B686" s="3" t="s">
        <v>4</v>
      </c>
      <c r="C686" s="2" t="str">
        <f ca="1">IFERROR(__xludf.DUMMYFUNCTION("GOOGLETRANSLATE(A686,""bn"",""en"")"),"In order to maintain good relations with people, it is essential to have understanding and a calm attitude among ourselves")</f>
        <v>In order to maintain good relations with people, it is essential to have understanding and a calm attitude among ourselves</v>
      </c>
    </row>
    <row r="687" spans="1:3" ht="15" x14ac:dyDescent="0.25">
      <c r="A687" s="3" t="s">
        <v>687</v>
      </c>
      <c r="B687" s="3" t="s">
        <v>4</v>
      </c>
      <c r="C687" s="2" t="str">
        <f ca="1">IFERROR(__xludf.DUMMYFUNCTION("GOOGLETRANSLATE(A687,""bn"",""en"")"),"Wear comfortable clothes when sick")</f>
        <v>Wear comfortable clothes when sick</v>
      </c>
    </row>
    <row r="688" spans="1:3" ht="15" x14ac:dyDescent="0.25">
      <c r="A688" s="3" t="s">
        <v>688</v>
      </c>
      <c r="B688" s="3" t="s">
        <v>4</v>
      </c>
      <c r="C688" s="2" t="str">
        <f ca="1">IFERROR(__xludf.DUMMYFUNCTION("GOOGLETRANSLATE(A688,""bn"",""en"")"),"Love should be carefully kept in the chest")</f>
        <v>Love should be carefully kept in the chest</v>
      </c>
    </row>
    <row r="689" spans="1:3" ht="15" x14ac:dyDescent="0.25">
      <c r="A689" s="3" t="s">
        <v>689</v>
      </c>
      <c r="B689" s="3" t="s">
        <v>4</v>
      </c>
      <c r="C689" s="2" t="str">
        <f ca="1">IFERROR(__xludf.DUMMYFUNCTION("GOOGLETRANSLATE(A689,""bn"",""en"")"),"Lost in the path of truth My relationships are ruined")</f>
        <v>Lost in the path of truth My relationships are ruined</v>
      </c>
    </row>
    <row r="690" spans="1:3" ht="15" x14ac:dyDescent="0.25">
      <c r="A690" s="3" t="s">
        <v>690</v>
      </c>
      <c r="B690" s="3" t="s">
        <v>4</v>
      </c>
      <c r="C690" s="2" t="str">
        <f ca="1">IFERROR(__xludf.DUMMYFUNCTION("GOOGLETRANSLATE(A690,""bn"",""en"")"),"We should learn from cradle to grave There is no end to learning")</f>
        <v>We should learn from cradle to grave There is no end to learning</v>
      </c>
    </row>
    <row r="691" spans="1:3" ht="15" x14ac:dyDescent="0.25">
      <c r="A691" s="3" t="s">
        <v>691</v>
      </c>
      <c r="B691" s="3" t="s">
        <v>4</v>
      </c>
      <c r="C691" s="2" t="str">
        <f ca="1">IFERROR(__xludf.DUMMYFUNCTION("GOOGLETRANSLATE(A691,""bn"",""en"")"),"Poverty is not a situation it is an attitude")</f>
        <v>Poverty is not a situation it is an attitude</v>
      </c>
    </row>
    <row r="692" spans="1:3" ht="15" x14ac:dyDescent="0.25">
      <c r="A692" s="3" t="s">
        <v>692</v>
      </c>
      <c r="B692" s="3" t="s">
        <v>4</v>
      </c>
      <c r="C692" s="2" t="str">
        <f ca="1">IFERROR(__xludf.DUMMYFUNCTION("GOOGLETRANSLATE(A692,""bn"",""en"")"),"Sometimes a broken heart can mend the brokenness of something else")</f>
        <v>Sometimes a broken heart can mend the brokenness of something else</v>
      </c>
    </row>
    <row r="693" spans="1:3" ht="15" x14ac:dyDescent="0.25">
      <c r="A693" s="3" t="s">
        <v>693</v>
      </c>
      <c r="B693" s="3" t="s">
        <v>4</v>
      </c>
      <c r="C693" s="2" t="str">
        <f ca="1">IFERROR(__xludf.DUMMYFUNCTION("GOOGLETRANSLATE(A693,""bn"",""en"")"),"Love is giving yourself up for someone else")</f>
        <v>Love is giving yourself up for someone else</v>
      </c>
    </row>
    <row r="694" spans="1:3" ht="15" x14ac:dyDescent="0.25">
      <c r="A694" s="3" t="s">
        <v>694</v>
      </c>
      <c r="B694" s="3" t="s">
        <v>4</v>
      </c>
      <c r="C694" s="2" t="str">
        <f ca="1">IFERROR(__xludf.DUMMYFUNCTION("GOOGLETRANSLATE(A694,""bn"",""en"")"),"The most selfless relationship in the world is between parents and their children")</f>
        <v>The most selfless relationship in the world is between parents and their children</v>
      </c>
    </row>
    <row r="695" spans="1:3" ht="15" x14ac:dyDescent="0.25">
      <c r="A695" s="3" t="s">
        <v>695</v>
      </c>
      <c r="B695" s="3" t="s">
        <v>4</v>
      </c>
      <c r="C695" s="2" t="str">
        <f ca="1">IFERROR(__xludf.DUMMYFUNCTION("GOOGLETRANSLATE(A695,""bn"",""en"")"),"Community and social dialogue are being lost in war")</f>
        <v>Community and social dialogue are being lost in war</v>
      </c>
    </row>
    <row r="696" spans="1:3" ht="15" x14ac:dyDescent="0.25">
      <c r="A696" s="3" t="s">
        <v>696</v>
      </c>
      <c r="B696" s="3" t="s">
        <v>4</v>
      </c>
      <c r="C696" s="2" t="str">
        <f ca="1">IFERROR(__xludf.DUMMYFUNCTION("GOOGLETRANSLATE(A696,""bn"",""en"")"),"The more secret the love, the deeper the love")</f>
        <v>The more secret the love, the deeper the love</v>
      </c>
    </row>
    <row r="697" spans="1:3" ht="15" x14ac:dyDescent="0.25">
      <c r="A697" s="3" t="s">
        <v>697</v>
      </c>
      <c r="B697" s="3" t="s">
        <v>4</v>
      </c>
      <c r="C697" s="2" t="str">
        <f ca="1">IFERROR(__xludf.DUMMYFUNCTION("GOOGLETRANSLATE(A697,""bn"",""en"")"),"We live in a factory town with uncertain economic conditions")</f>
        <v>We live in a factory town with uncertain economic conditions</v>
      </c>
    </row>
    <row r="698" spans="1:3" ht="15" x14ac:dyDescent="0.25">
      <c r="A698" s="3" t="s">
        <v>698</v>
      </c>
      <c r="B698" s="3" t="s">
        <v>4</v>
      </c>
      <c r="C698" s="2" t="str">
        <f ca="1">IFERROR(__xludf.DUMMYFUNCTION("GOOGLETRANSLATE(A698,""bn"",""en"")"),"Tears come from the heart not the brain")</f>
        <v>Tears come from the heart not the brain</v>
      </c>
    </row>
    <row r="699" spans="1:3" ht="15" x14ac:dyDescent="0.25">
      <c r="A699" s="3" t="s">
        <v>699</v>
      </c>
      <c r="B699" s="3" t="s">
        <v>4</v>
      </c>
      <c r="C699" s="2" t="str">
        <f ca="1">IFERROR(__xludf.DUMMYFUNCTION("GOOGLETRANSLATE(A699,""bn"",""en"")"),"A game of political power is a drama where the hero and heroine decide the fate of their opponents according to their love")</f>
        <v>A game of political power is a drama where the hero and heroine decide the fate of their opponents according to their love</v>
      </c>
    </row>
    <row r="700" spans="1:3" ht="15" x14ac:dyDescent="0.25">
      <c r="A700" s="3" t="s">
        <v>700</v>
      </c>
      <c r="B700" s="3" t="s">
        <v>4</v>
      </c>
      <c r="C700" s="2" t="str">
        <f ca="1">IFERROR(__xludf.DUMMYFUNCTION("GOOGLETRANSLATE(A700,""bn"",""en"")"),"There are many problems among people but those problems do not reach the solution rather they are increasing more and more")</f>
        <v>There are many problems among people but those problems do not reach the solution rather they are increasing more and more</v>
      </c>
    </row>
    <row r="701" spans="1:3" ht="15" x14ac:dyDescent="0.25">
      <c r="A701" s="3" t="s">
        <v>701</v>
      </c>
      <c r="B701" s="3" t="s">
        <v>4</v>
      </c>
      <c r="C701" s="2" t="str">
        <f ca="1">IFERROR(__xludf.DUMMYFUNCTION("GOOGLETRANSLATE(A701,""bn"",""en"")"),"Don't feel bad for changing others or feel bad for your own faith")</f>
        <v>Don't feel bad for changing others or feel bad for your own faith</v>
      </c>
    </row>
    <row r="702" spans="1:3" ht="15" x14ac:dyDescent="0.25">
      <c r="A702" s="3" t="s">
        <v>702</v>
      </c>
      <c r="B702" s="3" t="s">
        <v>4</v>
      </c>
      <c r="C702" s="2" t="str">
        <f ca="1">IFERROR(__xludf.DUMMYFUNCTION("GOOGLETRANSLATE(A702,""bn"",""en"")"),"Everyone becomes a poet in love")</f>
        <v>Everyone becomes a poet in love</v>
      </c>
    </row>
    <row r="703" spans="1:3" ht="15" x14ac:dyDescent="0.25">
      <c r="A703" s="3" t="s">
        <v>703</v>
      </c>
      <c r="B703" s="3" t="s">
        <v>4</v>
      </c>
      <c r="C703" s="2" t="str">
        <f ca="1">IFERROR(__xludf.DUMMYFUNCTION("GOOGLETRANSLATE(A703,""bn"",""en"")"),"A poor man is not satisfied with what he has")</f>
        <v>A poor man is not satisfied with what he has</v>
      </c>
    </row>
    <row r="704" spans="1:3" ht="15" x14ac:dyDescent="0.25">
      <c r="A704" s="3" t="s">
        <v>704</v>
      </c>
      <c r="B704" s="3" t="s">
        <v>4</v>
      </c>
      <c r="C704" s="2" t="str">
        <f ca="1">IFERROR(__xludf.DUMMYFUNCTION("GOOGLETRANSLATE(A704,""bn"",""en"")"),"Our culture is broken with great sadness")</f>
        <v>Our culture is broken with great sadness</v>
      </c>
    </row>
    <row r="705" spans="1:3" ht="15" x14ac:dyDescent="0.25">
      <c r="A705" s="3" t="s">
        <v>705</v>
      </c>
      <c r="B705" s="3" t="s">
        <v>4</v>
      </c>
      <c r="C705" s="2" t="str">
        <f ca="1">IFERROR(__xludf.DUMMYFUNCTION("GOOGLETRANSLATE(A705,""bn"",""en"")"),"Respecting a partner's individuality is very important in a relationship")</f>
        <v>Respecting a partner's individuality is very important in a relationship</v>
      </c>
    </row>
    <row r="706" spans="1:3" ht="15" x14ac:dyDescent="0.25">
      <c r="A706" s="3" t="s">
        <v>706</v>
      </c>
      <c r="B706" s="3" t="s">
        <v>4</v>
      </c>
      <c r="C706" s="2" t="str">
        <f ca="1">IFERROR(__xludf.DUMMYFUNCTION("GOOGLETRANSLATE(A706,""bn"",""en"")"),"BTS's music gives fans a way to express their deepest feelings.")</f>
        <v>BTS's music gives fans a way to express their deepest feelings.</v>
      </c>
    </row>
    <row r="707" spans="1:3" ht="15" x14ac:dyDescent="0.25">
      <c r="A707" s="3" t="s">
        <v>707</v>
      </c>
      <c r="B707" s="3" t="s">
        <v>4</v>
      </c>
      <c r="C707" s="2" t="str">
        <f ca="1">IFERROR(__xludf.DUMMYFUNCTION("GOOGLETRANSLATE(A707,""bn"",""en"")"),"The recognition of culture was not due to lack of feeling")</f>
        <v>The recognition of culture was not due to lack of feeling</v>
      </c>
    </row>
    <row r="708" spans="1:3" ht="15" x14ac:dyDescent="0.25">
      <c r="A708" s="3" t="s">
        <v>708</v>
      </c>
      <c r="B708" s="3" t="s">
        <v>4</v>
      </c>
      <c r="C708" s="2" t="str">
        <f ca="1">IFERROR(__xludf.DUMMYFUNCTION("GOOGLETRANSLATE(A708,""bn"",""en"")"),"Two things are very painful one is when the person you love loves you but doesn't tell you and the other is when the person you love doesn't love you and tells you directly.")</f>
        <v>Two things are very painful one is when the person you love loves you but doesn't tell you and the other is when the person you love doesn't love you and tells you directly.</v>
      </c>
    </row>
    <row r="709" spans="1:3" ht="15" x14ac:dyDescent="0.25">
      <c r="A709" s="3" t="s">
        <v>709</v>
      </c>
      <c r="B709" s="3" t="s">
        <v>4</v>
      </c>
      <c r="C709" s="2" t="str">
        <f ca="1">IFERROR(__xludf.DUMMYFUNCTION("GOOGLETRANSLATE(A709,""bn"",""en"")"),"We are sure to drown in the sea of ​​war soon")</f>
        <v>We are sure to drown in the sea of ​​war soon</v>
      </c>
    </row>
    <row r="710" spans="1:3" ht="15" x14ac:dyDescent="0.25">
      <c r="A710" s="3" t="s">
        <v>710</v>
      </c>
      <c r="B710" s="3" t="s">
        <v>4</v>
      </c>
      <c r="C710" s="2" t="str">
        <f ca="1">IFERROR(__xludf.DUMMYFUNCTION("GOOGLETRANSLATE(A710,""bn"",""en"")"),"Talk about pride today, you may not find tomorrow")</f>
        <v>Talk about pride today, you may not find tomorrow</v>
      </c>
    </row>
    <row r="711" spans="1:3" ht="15" x14ac:dyDescent="0.25">
      <c r="A711" s="3" t="s">
        <v>711</v>
      </c>
      <c r="B711" s="3" t="s">
        <v>4</v>
      </c>
      <c r="C711" s="2" t="str">
        <f ca="1">IFERROR(__xludf.DUMMYFUNCTION("GOOGLETRANSLATE(A711,""bn"",""en"")"),"I love everyone with love but in return I get only neglect")</f>
        <v>I love everyone with love but in return I get only neglect</v>
      </c>
    </row>
    <row r="712" spans="1:3" ht="15" x14ac:dyDescent="0.25">
      <c r="A712" s="3" t="s">
        <v>712</v>
      </c>
      <c r="B712" s="3" t="s">
        <v>4</v>
      </c>
      <c r="C712" s="2" t="str">
        <f ca="1">IFERROR(__xludf.DUMMYFUNCTION("GOOGLETRANSLATE(A712,""bn"",""en"")"),"You say I love you and I say I love you")</f>
        <v>You say I love you and I say I love you</v>
      </c>
    </row>
    <row r="713" spans="1:3" ht="15" x14ac:dyDescent="0.25">
      <c r="A713" s="3" t="s">
        <v>713</v>
      </c>
      <c r="B713" s="3" t="s">
        <v>4</v>
      </c>
      <c r="C713" s="2" t="str">
        <f ca="1">IFERROR(__xludf.DUMMYFUNCTION("GOOGLETRANSLATE(A713,""bn"",""en"")"),"No one wants to understand my pain")</f>
        <v>No one wants to understand my pain</v>
      </c>
    </row>
    <row r="714" spans="1:3" ht="15" x14ac:dyDescent="0.25">
      <c r="A714" s="3" t="s">
        <v>714</v>
      </c>
      <c r="B714" s="3" t="s">
        <v>4</v>
      </c>
      <c r="C714" s="2" t="str">
        <f ca="1">IFERROR(__xludf.DUMMYFUNCTION("GOOGLETRANSLATE(A714,""bn"",""en"")"),"My sky is seen beside my land covered with dark clouds at the sound of war")</f>
        <v>My sky is seen beside my land covered with dark clouds at the sound of war</v>
      </c>
    </row>
    <row r="715" spans="1:3" ht="15" x14ac:dyDescent="0.25">
      <c r="A715" s="3" t="s">
        <v>715</v>
      </c>
      <c r="B715" s="3" t="s">
        <v>4</v>
      </c>
      <c r="C715" s="2" t="str">
        <f ca="1">IFERROR(__xludf.DUMMYFUNCTION("GOOGLETRANSLATE(A715,""bn"",""en"")"),"We are all going to grow in the harvest of unhappiness sadness feeling disobedience war")</f>
        <v>We are all going to grow in the harvest of unhappiness sadness feeling disobedience war</v>
      </c>
    </row>
    <row r="716" spans="1:3" ht="15" x14ac:dyDescent="0.25">
      <c r="A716" s="3" t="s">
        <v>716</v>
      </c>
      <c r="B716" s="3" t="s">
        <v>4</v>
      </c>
      <c r="C716" s="2" t="str">
        <f ca="1">IFERROR(__xludf.DUMMYFUNCTION("GOOGLETRANSLATE(A716,""bn"",""en"")"),"Happy are those who can admit their mistakes and correct themselves")</f>
        <v>Happy are those who can admit their mistakes and correct themselves</v>
      </c>
    </row>
    <row r="717" spans="1:3" ht="15" x14ac:dyDescent="0.25">
      <c r="A717" s="3" t="s">
        <v>717</v>
      </c>
      <c r="B717" s="3" t="s">
        <v>4</v>
      </c>
      <c r="C717" s="2" t="str">
        <f ca="1">IFERROR(__xludf.DUMMYFUNCTION("GOOGLETRANSLATE(A717,""bn"",""en"")"),"How much I miss those beautiful days of saving Tiffin money and buying MB to play games")</f>
        <v>How much I miss those beautiful days of saving Tiffin money and buying MB to play games</v>
      </c>
    </row>
    <row r="718" spans="1:3" ht="15" x14ac:dyDescent="0.25">
      <c r="A718" s="3" t="s">
        <v>718</v>
      </c>
      <c r="B718" s="3" t="s">
        <v>4</v>
      </c>
      <c r="C718" s="2" t="str">
        <f ca="1">IFERROR(__xludf.DUMMYFUNCTION("GOOGLETRANSLATE(A718,""bn"",""en"")"),"How long has it been since I did not eat food from my mother's hand")</f>
        <v>How long has it been since I did not eat food from my mother's hand</v>
      </c>
    </row>
    <row r="719" spans="1:3" ht="15" x14ac:dyDescent="0.25">
      <c r="A719" s="3" t="s">
        <v>719</v>
      </c>
      <c r="B719" s="3" t="s">
        <v>4</v>
      </c>
      <c r="C719" s="2" t="str">
        <f ca="1">IFERROR(__xludf.DUMMYFUNCTION("GOOGLETRANSLATE(A719,""bn"",""en"")"),"I feel my mistake")</f>
        <v>I feel my mistake</v>
      </c>
    </row>
    <row r="720" spans="1:3" ht="15" x14ac:dyDescent="0.25">
      <c r="A720" s="3" t="s">
        <v>720</v>
      </c>
      <c r="B720" s="3" t="s">
        <v>4</v>
      </c>
      <c r="C720" s="2" t="str">
        <f ca="1">IFERROR(__xludf.DUMMYFUNCTION("GOOGLETRANSLATE(A720,""bn"",""en"")"),"There is victory and defeat in the game, but the way Bangladesh repeatedly loses at the end is unacceptable")</f>
        <v>There is victory and defeat in the game, but the way Bangladesh repeatedly loses at the end is unacceptable</v>
      </c>
    </row>
    <row r="721" spans="1:3" ht="15" x14ac:dyDescent="0.25">
      <c r="A721" s="3" t="s">
        <v>721</v>
      </c>
      <c r="B721" s="3" t="s">
        <v>4</v>
      </c>
      <c r="C721" s="2" t="str">
        <f ca="1">IFERROR(__xludf.DUMMYFUNCTION("GOOGLETRANSLATE(A721,""bn"",""en"")"),"It looks like two years have passed and the achievement book is still empty")</f>
        <v>It looks like two years have passed and the achievement book is still empty</v>
      </c>
    </row>
    <row r="722" spans="1:3" ht="15" x14ac:dyDescent="0.25">
      <c r="A722" s="3" t="s">
        <v>722</v>
      </c>
      <c r="B722" s="3" t="s">
        <v>4</v>
      </c>
      <c r="C722" s="2" t="str">
        <f ca="1">IFERROR(__xludf.DUMMYFUNCTION("GOOGLETRANSLATE(A722,""bn"",""en"")"),"He doesn't even breathe as often as I think he does")</f>
        <v>He doesn't even breathe as often as I think he does</v>
      </c>
    </row>
    <row r="723" spans="1:3" ht="15" x14ac:dyDescent="0.25">
      <c r="A723" s="3" t="s">
        <v>723</v>
      </c>
      <c r="B723" s="3" t="s">
        <v>4</v>
      </c>
      <c r="C723" s="2" t="str">
        <f ca="1">IFERROR(__xludf.DUMMYFUNCTION("GOOGLETRANSLATE(A723,""bn"",""en"")"),"Finding an honest boss in career is now a matter of luck")</f>
        <v>Finding an honest boss in career is now a matter of luck</v>
      </c>
    </row>
    <row r="724" spans="1:3" ht="15" x14ac:dyDescent="0.25">
      <c r="A724" s="3" t="s">
        <v>724</v>
      </c>
      <c r="B724" s="3" t="s">
        <v>4</v>
      </c>
      <c r="C724" s="2" t="str">
        <f ca="1">IFERROR(__xludf.DUMMYFUNCTION("GOOGLETRANSLATE(A724,""bn"",""en"")"),"Your illness is not your identity, your chemistry is not your character")</f>
        <v>Your illness is not your identity, your chemistry is not your character</v>
      </c>
    </row>
    <row r="725" spans="1:3" ht="15" x14ac:dyDescent="0.25">
      <c r="A725" s="3" t="s">
        <v>725</v>
      </c>
      <c r="B725" s="3" t="s">
        <v>4</v>
      </c>
      <c r="C725" s="2" t="str">
        <f ca="1">IFERROR(__xludf.DUMMYFUNCTION("GOOGLETRANSLATE(A725,""bn"",""en"")"),"Father is getting old and his body is bad now")</f>
        <v>Father is getting old and his body is bad now</v>
      </c>
    </row>
    <row r="726" spans="1:3" ht="15" x14ac:dyDescent="0.25">
      <c r="A726" s="3" t="s">
        <v>726</v>
      </c>
      <c r="B726" s="3" t="s">
        <v>4</v>
      </c>
      <c r="C726" s="2" t="str">
        <f ca="1">IFERROR(__xludf.DUMMYFUNCTION("GOOGLETRANSLATE(A726,""bn"",""en"")"),"Poverty is not only a lack of money but also the inability to realize one's full potential as a human being")</f>
        <v>Poverty is not only a lack of money but also the inability to realize one's full potential as a human being</v>
      </c>
    </row>
    <row r="727" spans="1:3" ht="15" x14ac:dyDescent="0.25">
      <c r="A727" s="3" t="s">
        <v>727</v>
      </c>
      <c r="B727" s="3" t="s">
        <v>4</v>
      </c>
      <c r="C727" s="2" t="str">
        <f ca="1">IFERROR(__xludf.DUMMYFUNCTION("GOOGLETRANSLATE(A727,""bn"",""en"")"),"I can't do the job even after trying so much")</f>
        <v>I can't do the job even after trying so much</v>
      </c>
    </row>
    <row r="728" spans="1:3" ht="15" x14ac:dyDescent="0.25">
      <c r="A728" s="3" t="s">
        <v>728</v>
      </c>
      <c r="B728" s="3" t="s">
        <v>4</v>
      </c>
      <c r="C728" s="2" t="str">
        <f ca="1">IFERROR(__xludf.DUMMYFUNCTION("GOOGLETRANSLATE(A728,""bn"",""en"")"),"There is a storm of pain in my heart, but there is no one near me, I am stuck in the fence of loneliness, there is no light")</f>
        <v>There is a storm of pain in my heart, but there is no one near me, I am stuck in the fence of loneliness, there is no light</v>
      </c>
    </row>
    <row r="729" spans="1:3" ht="15" x14ac:dyDescent="0.25">
      <c r="A729" s="3" t="s">
        <v>729</v>
      </c>
      <c r="B729" s="3" t="s">
        <v>4</v>
      </c>
      <c r="C729" s="2" t="str">
        <f ca="1">IFERROR(__xludf.DUMMYFUNCTION("GOOGLETRANSLATE(A729,""bn"",""en"")"),"After watching the movie, the heart breaks with laughter")</f>
        <v>After watching the movie, the heart breaks with laughter</v>
      </c>
    </row>
    <row r="730" spans="1:3" ht="15" x14ac:dyDescent="0.25">
      <c r="A730" s="3" t="s">
        <v>730</v>
      </c>
      <c r="B730" s="3" t="s">
        <v>4</v>
      </c>
      <c r="C730" s="2" t="str">
        <f ca="1">IFERROR(__xludf.DUMMYFUNCTION("GOOGLETRANSLATE(A730,""bn"",""en"")"),"You are such a sea of ​​false dreams that I dive into every night and lose myself")</f>
        <v>You are such a sea of ​​false dreams that I dive into every night and lose myself</v>
      </c>
    </row>
    <row r="731" spans="1:3" ht="15" x14ac:dyDescent="0.25">
      <c r="A731" s="3" t="s">
        <v>731</v>
      </c>
      <c r="B731" s="3" t="s">
        <v>4</v>
      </c>
      <c r="C731" s="2" t="str">
        <f ca="1">IFERROR(__xludf.DUMMYFUNCTION("GOOGLETRANSLATE(A731,""bn"",""en"")"),"It is true that the uneducated are not unemployed but all the educated are unemployed")</f>
        <v>It is true that the uneducated are not unemployed but all the educated are unemployed</v>
      </c>
    </row>
    <row r="732" spans="1:3" ht="15" x14ac:dyDescent="0.25">
      <c r="A732" s="3" t="s">
        <v>732</v>
      </c>
      <c r="B732" s="3" t="s">
        <v>4</v>
      </c>
      <c r="C732" s="2" t="str">
        <f ca="1">IFERROR(__xludf.DUMMYFUNCTION("GOOGLETRANSLATE(A732,""bn"",""en"")"),"Tears can never be written but tears help to write many things")</f>
        <v>Tears can never be written but tears help to write many things</v>
      </c>
    </row>
    <row r="733" spans="1:3" ht="15" x14ac:dyDescent="0.25">
      <c r="A733" s="3" t="s">
        <v>733</v>
      </c>
      <c r="B733" s="3" t="s">
        <v>4</v>
      </c>
      <c r="C733" s="2" t="str">
        <f ca="1">IFERROR(__xludf.DUMMYFUNCTION("GOOGLETRANSLATE(A733,""bn"",""en"")"),"My family lacks support and love and I don't get it the way others do")</f>
        <v>My family lacks support and love and I don't get it the way others do</v>
      </c>
    </row>
    <row r="734" spans="1:3" ht="15" x14ac:dyDescent="0.25">
      <c r="A734" s="3" t="s">
        <v>734</v>
      </c>
      <c r="B734" s="3" t="s">
        <v>4</v>
      </c>
      <c r="C734" s="2" t="str">
        <f ca="1">IFERROR(__xludf.DUMMYFUNCTION("GOOGLETRANSLATE(A734,""bn"",""en"")"),"Remembrance of unfortunate events in ancient history")</f>
        <v>Remembrance of unfortunate events in ancient history</v>
      </c>
    </row>
    <row r="735" spans="1:3" ht="15" x14ac:dyDescent="0.25">
      <c r="A735" s="3" t="s">
        <v>735</v>
      </c>
      <c r="B735" s="3" t="s">
        <v>4</v>
      </c>
      <c r="C735" s="2" t="str">
        <f ca="1">IFERROR(__xludf.DUMMYFUNCTION("GOOGLETRANSLATE(A735,""bn"",""en"")"),"Any dangerous illness of a family member is one of the reasons for everyone's upset")</f>
        <v>Any dangerous illness of a family member is one of the reasons for everyone's upset</v>
      </c>
    </row>
    <row r="736" spans="1:3" ht="15" x14ac:dyDescent="0.25">
      <c r="A736" s="3" t="s">
        <v>736</v>
      </c>
      <c r="B736" s="3" t="s">
        <v>4</v>
      </c>
      <c r="C736" s="2" t="str">
        <f ca="1">IFERROR(__xludf.DUMMYFUNCTION("GOOGLETRANSLATE(A736,""bn"",""en"")"),"Memories of old events rose in my mind")</f>
        <v>Memories of old events rose in my mind</v>
      </c>
    </row>
    <row r="737" spans="1:3" ht="15" x14ac:dyDescent="0.25">
      <c r="A737" s="3" t="s">
        <v>737</v>
      </c>
      <c r="B737" s="3" t="s">
        <v>4</v>
      </c>
      <c r="C737" s="2" t="str">
        <f ca="1">IFERROR(__xludf.DUMMYFUNCTION("GOOGLETRANSLATE(A737,""bn"",""en"")"),"Love doesn't need time, just a moment is enough")</f>
        <v>Love doesn't need time, just a moment is enough</v>
      </c>
    </row>
    <row r="738" spans="1:3" ht="15" x14ac:dyDescent="0.25">
      <c r="A738" s="3" t="s">
        <v>738</v>
      </c>
      <c r="B738" s="3" t="s">
        <v>4</v>
      </c>
      <c r="C738" s="2" t="str">
        <f ca="1">IFERROR(__xludf.DUMMYFUNCTION("GOOGLETRANSLATE(A738,""bn"",""en"")"),"Love is the second sun of nature")</f>
        <v>Love is the second sun of nature</v>
      </c>
    </row>
    <row r="739" spans="1:3" ht="15" x14ac:dyDescent="0.25">
      <c r="A739" s="3" t="s">
        <v>739</v>
      </c>
      <c r="B739" s="3" t="s">
        <v>4</v>
      </c>
      <c r="C739" s="2" t="str">
        <f ca="1">IFERROR(__xludf.DUMMYFUNCTION("GOOGLETRANSLATE(A739,""bn"",""en"")"),"Don't tear the ties of culture but nurture it")</f>
        <v>Don't tear the ties of culture but nurture it</v>
      </c>
    </row>
    <row r="740" spans="1:3" ht="15" x14ac:dyDescent="0.25">
      <c r="A740" s="3" t="s">
        <v>740</v>
      </c>
      <c r="B740" s="3" t="s">
        <v>4</v>
      </c>
      <c r="C740" s="2" t="str">
        <f ca="1">IFERROR(__xludf.DUMMYFUNCTION("GOOGLETRANSLATE(A740,""bn"",""en"")"),"I remember his end result")</f>
        <v>I remember his end result</v>
      </c>
    </row>
    <row r="741" spans="1:3" ht="15" x14ac:dyDescent="0.25">
      <c r="A741" s="3" t="s">
        <v>741</v>
      </c>
      <c r="B741" s="3" t="s">
        <v>4</v>
      </c>
      <c r="C741" s="2" t="str">
        <f ca="1">IFERROR(__xludf.DUMMYFUNCTION("GOOGLETRANSLATE(A741,""bn"",""en"")"),"Bengal's demand for modernity can be found in any existential culture")</f>
        <v>Bengal's demand for modernity can be found in any existential culture</v>
      </c>
    </row>
    <row r="742" spans="1:3" ht="15" x14ac:dyDescent="0.25">
      <c r="A742" s="3" t="s">
        <v>742</v>
      </c>
      <c r="B742" s="3" t="s">
        <v>4</v>
      </c>
      <c r="C742" s="2" t="str">
        <f ca="1">IFERROR(__xludf.DUMMYFUNCTION("GOOGLETRANSLATE(A742,""bn"",""en"")"),"The children of today's generation are not getting the education that we are learning earlier in school and college")</f>
        <v>The children of today's generation are not getting the education that we are learning earlier in school and college</v>
      </c>
    </row>
    <row r="743" spans="1:3" ht="15" x14ac:dyDescent="0.25">
      <c r="A743" s="3" t="s">
        <v>743</v>
      </c>
      <c r="B743" s="3" t="s">
        <v>4</v>
      </c>
      <c r="C743" s="2" t="str">
        <f ca="1">IFERROR(__xludf.DUMMYFUNCTION("GOOGLETRANSLATE(A743,""bn"",""en"")"),"Every moment a dream is broken, people feel a sea of ​​sorrow")</f>
        <v>Every moment a dream is broken, people feel a sea of ​​sorrow</v>
      </c>
    </row>
    <row r="744" spans="1:3" ht="15" x14ac:dyDescent="0.25">
      <c r="A744" s="3" t="s">
        <v>744</v>
      </c>
      <c r="B744" s="3" t="s">
        <v>4</v>
      </c>
      <c r="C744" s="2" t="str">
        <f ca="1">IFERROR(__xludf.DUMMYFUNCTION("GOOGLETRANSLATE(A744,""bn"",""en"")"),"I am looking for the light of hope to get rid of this pressing pain")</f>
        <v>I am looking for the light of hope to get rid of this pressing pain</v>
      </c>
    </row>
    <row r="745" spans="1:3" ht="15" x14ac:dyDescent="0.25">
      <c r="A745" s="3" t="s">
        <v>745</v>
      </c>
      <c r="B745" s="3" t="s">
        <v>4</v>
      </c>
      <c r="C745" s="2" t="str">
        <f ca="1">IFERROR(__xludf.DUMMYFUNCTION("GOOGLETRANSLATE(A745,""bn"",""en"")"),"What is the use of being so highly educated if you don't have a sense of conscience this education has no value")</f>
        <v>What is the use of being so highly educated if you don't have a sense of conscience this education has no value</v>
      </c>
    </row>
    <row r="746" spans="1:3" ht="15" x14ac:dyDescent="0.25">
      <c r="A746" s="3" t="s">
        <v>746</v>
      </c>
      <c r="B746" s="3" t="s">
        <v>4</v>
      </c>
      <c r="C746" s="2" t="str">
        <f ca="1">IFERROR(__xludf.DUMMYFUNCTION("GOOGLETRANSLATE(A746,""bn"",""en"")"),"There is no such thing as second third fourth fifth love when people fall in love every love is first love")</f>
        <v>There is no such thing as second third fourth fifth love when people fall in love every love is first love</v>
      </c>
    </row>
    <row r="747" spans="1:3" ht="15" x14ac:dyDescent="0.25">
      <c r="A747" s="3" t="s">
        <v>747</v>
      </c>
      <c r="B747" s="3" t="s">
        <v>4</v>
      </c>
      <c r="C747" s="2" t="str">
        <f ca="1">IFERROR(__xludf.DUMMYFUNCTION("GOOGLETRANSLATE(A747,""bn"",""en"")"),"I am now so unemployed that my people are constantly moving away")</f>
        <v>I am now so unemployed that my people are constantly moving away</v>
      </c>
    </row>
    <row r="748" spans="1:3" ht="15" x14ac:dyDescent="0.25">
      <c r="A748" s="3" t="s">
        <v>748</v>
      </c>
      <c r="B748" s="3" t="s">
        <v>4</v>
      </c>
      <c r="C748" s="2" t="str">
        <f ca="1">IFERROR(__xludf.DUMMYFUNCTION("GOOGLETRANSLATE(A748,""bn"",""en"")"),"Thanks to the director for giving such a beautiful movie to the people")</f>
        <v>Thanks to the director for giving such a beautiful movie to the people</v>
      </c>
    </row>
    <row r="749" spans="1:3" ht="15" x14ac:dyDescent="0.25">
      <c r="A749" s="3" t="s">
        <v>749</v>
      </c>
      <c r="B749" s="3" t="s">
        <v>4</v>
      </c>
      <c r="C749" s="2" t="str">
        <f ca="1">IFERROR(__xludf.DUMMYFUNCTION("GOOGLETRANSLATE(A749,""bn"",""en"")"),"Not everyone is lucky enough to spend their childhood happily playing with their grandparents")</f>
        <v>Not everyone is lucky enough to spend their childhood happily playing with their grandparents</v>
      </c>
    </row>
    <row r="750" spans="1:3" ht="15" x14ac:dyDescent="0.25">
      <c r="A750" s="3" t="s">
        <v>750</v>
      </c>
      <c r="B750" s="3" t="s">
        <v>4</v>
      </c>
      <c r="C750" s="2" t="str">
        <f ca="1">IFERROR(__xludf.DUMMYFUNCTION("GOOGLETRANSLATE(A750,""bn"",""en"")"),"It doesn't seem right that someone would get sick and die")</f>
        <v>It doesn't seem right that someone would get sick and die</v>
      </c>
    </row>
    <row r="751" spans="1:3" ht="15" x14ac:dyDescent="0.25">
      <c r="A751" s="3" t="s">
        <v>751</v>
      </c>
      <c r="B751" s="3" t="s">
        <v>4</v>
      </c>
      <c r="C751" s="2" t="str">
        <f ca="1">IFERROR(__xludf.DUMMYFUNCTION("GOOGLETRANSLATE(A751,""bn"",""en"")"),"We seem to be in deep darkness before we can hope to advance on the warpath")</f>
        <v>We seem to be in deep darkness before we can hope to advance on the warpath</v>
      </c>
    </row>
    <row r="752" spans="1:3" ht="15" x14ac:dyDescent="0.25">
      <c r="A752" s="3" t="s">
        <v>752</v>
      </c>
      <c r="B752" s="3" t="s">
        <v>4</v>
      </c>
      <c r="C752" s="2" t="str">
        <f ca="1">IFERROR(__xludf.DUMMYFUNCTION("GOOGLETRANSLATE(A752,""bn"",""en"")"),"Sometimes people are not broken, not shattered, only defeated, sometimes by themselves, sometimes by fate, and sometimes by loved ones.")</f>
        <v>Sometimes people are not broken, not shattered, only defeated, sometimes by themselves, sometimes by fate, and sometimes by loved ones.</v>
      </c>
    </row>
    <row r="753" spans="1:3" ht="15" x14ac:dyDescent="0.25">
      <c r="A753" s="3" t="s">
        <v>753</v>
      </c>
      <c r="B753" s="3" t="s">
        <v>4</v>
      </c>
      <c r="C753" s="2" t="str">
        <f ca="1">IFERROR(__xludf.DUMMYFUNCTION("GOOGLETRANSLATE(A753,""bn"",""en"")"),"The world must be small because satellites and cables are kept in a stupid box in the drawing room. Communication with the whole world is now in the palm of your hand.")</f>
        <v>The world must be small because satellites and cables are kept in a stupid box in the drawing room. Communication with the whole world is now in the palm of your hand.</v>
      </c>
    </row>
    <row r="754" spans="1:3" ht="15" x14ac:dyDescent="0.25">
      <c r="A754" s="3" t="s">
        <v>754</v>
      </c>
      <c r="B754" s="3" t="s">
        <v>4</v>
      </c>
      <c r="C754" s="2" t="str">
        <f ca="1">IFERROR(__xludf.DUMMYFUNCTION("GOOGLETRANSLATE(A754,""bn"",""en"")"),"I had many dreams but the reality is that I am drowning in the abyss of bitter despair, I do not understand which way to go forward")</f>
        <v>I had many dreams but the reality is that I am drowning in the abyss of bitter despair, I do not understand which way to go forward</v>
      </c>
    </row>
    <row r="755" spans="1:3" ht="15" x14ac:dyDescent="0.25">
      <c r="A755" s="3" t="s">
        <v>755</v>
      </c>
      <c r="B755" s="3" t="s">
        <v>4</v>
      </c>
      <c r="C755" s="2" t="str">
        <f ca="1">IFERROR(__xludf.DUMMYFUNCTION("GOOGLETRANSLATE(A755,""bn"",""en"")"),"Struggling to get a good job but losing the competition")</f>
        <v>Struggling to get a good job but losing the competition</v>
      </c>
    </row>
    <row r="756" spans="1:3" ht="15" x14ac:dyDescent="0.25">
      <c r="A756" s="3" t="s">
        <v>756</v>
      </c>
      <c r="B756" s="3" t="s">
        <v>4</v>
      </c>
      <c r="C756" s="2" t="str">
        <f ca="1">IFERROR(__xludf.DUMMYFUNCTION("GOOGLETRANSLATE(A756,""bn"",""en"")"),"Sometimes the happiest people hold the worst pain")</f>
        <v>Sometimes the happiest people hold the worst pain</v>
      </c>
    </row>
    <row r="757" spans="1:3" ht="15" x14ac:dyDescent="0.25">
      <c r="A757" s="3" t="s">
        <v>757</v>
      </c>
      <c r="B757" s="3" t="s">
        <v>4</v>
      </c>
      <c r="C757" s="2" t="str">
        <f ca="1">IFERROR(__xludf.DUMMYFUNCTION("GOOGLETRANSLATE(A757,""bn"",""en"")"),"Dreaming on one side leads to reality on the other")</f>
        <v>Dreaming on one side leads to reality on the other</v>
      </c>
    </row>
    <row r="758" spans="1:3" ht="15" x14ac:dyDescent="0.25">
      <c r="A758" s="3" t="s">
        <v>758</v>
      </c>
      <c r="B758" s="3" t="s">
        <v>4</v>
      </c>
      <c r="C758" s="2" t="str">
        <f ca="1">IFERROR(__xludf.DUMMYFUNCTION("GOOGLETRANSLATE(A758,""bn"",""en"")"),"Waiting where there is no value is just an insult")</f>
        <v>Waiting where there is no value is just an insult</v>
      </c>
    </row>
    <row r="759" spans="1:3" ht="15" x14ac:dyDescent="0.25">
      <c r="A759" s="3" t="s">
        <v>759</v>
      </c>
      <c r="B759" s="3" t="s">
        <v>4</v>
      </c>
      <c r="C759" s="2" t="str">
        <f ca="1">IFERROR(__xludf.DUMMYFUNCTION("GOOGLETRANSLATE(A759,""bn"",""en"")"),"Life is a boring chapter yet you turn the page thinking you are in the next chapter")</f>
        <v>Life is a boring chapter yet you turn the page thinking you are in the next chapter</v>
      </c>
    </row>
    <row r="760" spans="1:3" ht="15" x14ac:dyDescent="0.25">
      <c r="A760" s="3" t="s">
        <v>760</v>
      </c>
      <c r="B760" s="3" t="s">
        <v>4</v>
      </c>
      <c r="C760" s="2" t="str">
        <f ca="1">IFERROR(__xludf.DUMMYFUNCTION("GOOGLETRANSLATE(A760,""bn"",""en"")"),"The growth of trust in politics is to discourage individual mistakes")</f>
        <v>The growth of trust in politics is to discourage individual mistakes</v>
      </c>
    </row>
    <row r="761" spans="1:3" ht="15" x14ac:dyDescent="0.25">
      <c r="A761" s="3" t="s">
        <v>761</v>
      </c>
      <c r="B761" s="3" t="s">
        <v>4</v>
      </c>
      <c r="C761" s="2" t="str">
        <f ca="1">IFERROR(__xludf.DUMMYFUNCTION("GOOGLETRANSLATE(A761,""bn"",""en"")"),"Learning a new programming language is great but after a few days I find something new and I switch back to the one I can't master.")</f>
        <v>Learning a new programming language is great but after a few days I find something new and I switch back to the one I can't master.</v>
      </c>
    </row>
    <row r="762" spans="1:3" ht="15" x14ac:dyDescent="0.25">
      <c r="A762" s="3" t="s">
        <v>762</v>
      </c>
      <c r="B762" s="3" t="s">
        <v>4</v>
      </c>
      <c r="C762" s="2" t="str">
        <f ca="1">IFERROR(__xludf.DUMMYFUNCTION("GOOGLETRANSLATE(A762,""bn"",""en"")"),"In the cage of laughter, friendship has to rest again for no reason")</f>
        <v>In the cage of laughter, friendship has to rest again for no reason</v>
      </c>
    </row>
    <row r="763" spans="1:3" ht="15" x14ac:dyDescent="0.25">
      <c r="A763" s="3" t="s">
        <v>763</v>
      </c>
      <c r="B763" s="3" t="s">
        <v>4</v>
      </c>
      <c r="C763" s="2" t="str">
        <f ca="1">IFERROR(__xludf.DUMMYFUNCTION("GOOGLETRANSLATE(A763,""bn"",""en"")"),"Love and fear cannot mix together")</f>
        <v>Love and fear cannot mix together</v>
      </c>
    </row>
    <row r="764" spans="1:3" ht="15" x14ac:dyDescent="0.25">
      <c r="A764" s="3" t="s">
        <v>764</v>
      </c>
      <c r="B764" s="3" t="s">
        <v>4</v>
      </c>
      <c r="C764" s="2" t="str">
        <f ca="1">IFERROR(__xludf.DUMMYFUNCTION("GOOGLETRANSLATE(A764,""bn"",""en"")"),"Love relationship is very delicate which is built on trust and once that trust is broken it can never be put back together")</f>
        <v>Love relationship is very delicate which is built on trust and once that trust is broken it can never be put back together</v>
      </c>
    </row>
    <row r="765" spans="1:3" ht="15" x14ac:dyDescent="0.25">
      <c r="A765" s="3" t="s">
        <v>765</v>
      </c>
      <c r="B765" s="3" t="s">
        <v>4</v>
      </c>
      <c r="C765" s="2" t="str">
        <f ca="1">IFERROR(__xludf.DUMMYFUNCTION("GOOGLETRANSLATE(A765,""bn"",""en"")"),"You are not with me, what happened you are all over my heart")</f>
        <v>You are not with me, what happened you are all over my heart</v>
      </c>
    </row>
    <row r="766" spans="1:3" ht="15" x14ac:dyDescent="0.25">
      <c r="A766" s="3" t="s">
        <v>766</v>
      </c>
      <c r="B766" s="3" t="s">
        <v>4</v>
      </c>
      <c r="C766" s="2" t="str">
        <f ca="1">IFERROR(__xludf.DUMMYFUNCTION("GOOGLETRANSLATE(A766,""bn"",""en"")"),"I can never forgive you, even if I could, it would be a great injustice to myself to forgive you.")</f>
        <v>I can never forgive you, even if I could, it would be a great injustice to myself to forgive you.</v>
      </c>
    </row>
    <row r="767" spans="1:3" ht="15" x14ac:dyDescent="0.25">
      <c r="A767" s="3" t="s">
        <v>767</v>
      </c>
      <c r="B767" s="3" t="s">
        <v>4</v>
      </c>
      <c r="C767" s="2" t="str">
        <f ca="1">IFERROR(__xludf.DUMMYFUNCTION("GOOGLETRANSLATE(A767,""bn"",""en"")"),"There is no infatuation with love that is unsolicited")</f>
        <v>There is no infatuation with love that is unsolicited</v>
      </c>
    </row>
    <row r="768" spans="1:3" ht="15" x14ac:dyDescent="0.25">
      <c r="A768" s="3" t="s">
        <v>768</v>
      </c>
      <c r="B768" s="3" t="s">
        <v>4</v>
      </c>
      <c r="C768" s="2" t="str">
        <f ca="1">IFERROR(__xludf.DUMMYFUNCTION("GOOGLETRANSLATE(A768,""bn"",""en"")"),"I live in the hope that happiness comes after suffering")</f>
        <v>I live in the hope that happiness comes after suffering</v>
      </c>
    </row>
    <row r="769" spans="1:3" ht="15" x14ac:dyDescent="0.25">
      <c r="A769" s="3" t="s">
        <v>769</v>
      </c>
      <c r="B769" s="3" t="s">
        <v>4</v>
      </c>
      <c r="C769" s="2" t="str">
        <f ca="1">IFERROR(__xludf.DUMMYFUNCTION("GOOGLETRANSLATE(A769,""bn"",""en"")"),"From one who is diseased, sins fall off like leaves from a tree")</f>
        <v>From one who is diseased, sins fall off like leaves from a tree</v>
      </c>
    </row>
    <row r="770" spans="1:3" ht="15" x14ac:dyDescent="0.25">
      <c r="A770" s="3" t="s">
        <v>770</v>
      </c>
      <c r="B770" s="3" t="s">
        <v>4</v>
      </c>
      <c r="C770" s="2" t="str">
        <f ca="1">IFERROR(__xludf.DUMMYFUNCTION("GOOGLETRANSLATE(A770,""bn"",""en"")"),"I am still waiting for you like chatak")</f>
        <v>I am still waiting for you like chatak</v>
      </c>
    </row>
    <row r="771" spans="1:3" ht="15" x14ac:dyDescent="0.25">
      <c r="A771" s="3" t="s">
        <v>771</v>
      </c>
      <c r="B771" s="3" t="s">
        <v>4</v>
      </c>
      <c r="C771" s="2" t="str">
        <f ca="1">IFERROR(__xludf.DUMMYFUNCTION("GOOGLETRANSLATE(A771,""bn"",""en"")"),"The pain of being misunderstood can understand boys who are misunderstood")</f>
        <v>The pain of being misunderstood can understand boys who are misunderstood</v>
      </c>
    </row>
    <row r="772" spans="1:3" ht="15" x14ac:dyDescent="0.25">
      <c r="A772" s="3" t="s">
        <v>772</v>
      </c>
      <c r="B772" s="3" t="s">
        <v>4</v>
      </c>
      <c r="C772" s="2" t="str">
        <f ca="1">IFERROR(__xludf.DUMMYFUNCTION("GOOGLETRANSLATE(A772,""bn"",""en"")"),"We are losing everything through war that saddens our minds")</f>
        <v>We are losing everything through war that saddens our minds</v>
      </c>
    </row>
    <row r="773" spans="1:3" ht="15" x14ac:dyDescent="0.25">
      <c r="A773" s="3" t="s">
        <v>773</v>
      </c>
      <c r="B773" s="3" t="s">
        <v>4</v>
      </c>
      <c r="C773" s="2" t="str">
        <f ca="1">IFERROR(__xludf.DUMMYFUNCTION("GOOGLETRANSLATE(A773,""bn"",""en"")"),"Love is holding someone's picture together in the mind, caring for him, valuing him, protecting his honor, loving him")</f>
        <v>Love is holding someone's picture together in the mind, caring for him, valuing him, protecting his honor, loving him</v>
      </c>
    </row>
    <row r="774" spans="1:3" ht="15" x14ac:dyDescent="0.25">
      <c r="A774" s="3" t="s">
        <v>774</v>
      </c>
      <c r="B774" s="3" t="s">
        <v>4</v>
      </c>
      <c r="C774" s="2" t="str">
        <f ca="1">IFERROR(__xludf.DUMMYFUNCTION("GOOGLETRANSLATE(A774,""bn"",""en"")"),"The friend I believed to be a friend stabbed me in the back today")</f>
        <v>The friend I believed to be a friend stabbed me in the back today</v>
      </c>
    </row>
    <row r="775" spans="1:3" ht="15" x14ac:dyDescent="0.25">
      <c r="A775" s="3" t="s">
        <v>775</v>
      </c>
      <c r="B775" s="3" t="s">
        <v>4</v>
      </c>
      <c r="C775" s="2" t="str">
        <f ca="1">IFERROR(__xludf.DUMMYFUNCTION("GOOGLETRANSLATE(A775,""bn"",""en"")"),"Sleep problems are caused due to work stress and irregular lifestyle")</f>
        <v>Sleep problems are caused due to work stress and irregular lifestyle</v>
      </c>
    </row>
    <row r="776" spans="1:3" ht="15" x14ac:dyDescent="0.25">
      <c r="A776" s="3" t="s">
        <v>776</v>
      </c>
      <c r="B776" s="3" t="s">
        <v>4</v>
      </c>
      <c r="C776" s="2" t="str">
        <f ca="1">IFERROR(__xludf.DUMMYFUNCTION("GOOGLETRANSLATE(A776,""bn"",""en"")"),"If you buy a phone for 100,000 rupees and feel the lack of features in that phone, then where is the value of the money?")</f>
        <v>If you buy a phone for 100,000 rupees and feel the lack of features in that phone, then where is the value of the money?</v>
      </c>
    </row>
    <row r="777" spans="1:3" ht="15" x14ac:dyDescent="0.25">
      <c r="A777" s="3" t="s">
        <v>777</v>
      </c>
      <c r="B777" s="3" t="s">
        <v>4</v>
      </c>
      <c r="C777" s="2" t="str">
        <f ca="1">IFERROR(__xludf.DUMMYFUNCTION("GOOGLETRANSLATE(A777,""bn"",""en"")"),"My life in the family's disaster is only degenerate with lots of thorns and waiting charms")</f>
        <v>My life in the family's disaster is only degenerate with lots of thorns and waiting charms</v>
      </c>
    </row>
    <row r="778" spans="1:3" ht="15" x14ac:dyDescent="0.25">
      <c r="A778" s="3" t="s">
        <v>778</v>
      </c>
      <c r="B778" s="3" t="s">
        <v>4</v>
      </c>
      <c r="C778" s="2" t="str">
        <f ca="1">IFERROR(__xludf.DUMMYFUNCTION("GOOGLETRANSLATE(A778,""bn"",""en"")"),"We Spaniards know a heart ailment that only gold can cure")</f>
        <v>We Spaniards know a heart ailment that only gold can cure</v>
      </c>
    </row>
    <row r="779" spans="1:3" ht="15" x14ac:dyDescent="0.25">
      <c r="A779" s="3" t="s">
        <v>779</v>
      </c>
      <c r="B779" s="3" t="s">
        <v>4</v>
      </c>
      <c r="C779" s="2" t="str">
        <f ca="1">IFERROR(__xludf.DUMMYFUNCTION("GOOGLETRANSLATE(A779,""bn"",""en"")"),"Time flows endlessly like water in my work life I can't take any time for myself")</f>
        <v>Time flows endlessly like water in my work life I can't take any time for myself</v>
      </c>
    </row>
    <row r="780" spans="1:3" ht="15" x14ac:dyDescent="0.25">
      <c r="A780" s="3" t="s">
        <v>780</v>
      </c>
      <c r="B780" s="3" t="s">
        <v>4</v>
      </c>
      <c r="C780" s="2" t="str">
        <f ca="1">IFERROR(__xludf.DUMMYFUNCTION("GOOGLETRANSLATE(A780,""bn"",""en"")"),"Tears do not have any color so if the cause of sadness is different, the same tears fall from the eyes")</f>
        <v>Tears do not have any color so if the cause of sadness is different, the same tears fall from the eyes</v>
      </c>
    </row>
    <row r="781" spans="1:3" ht="15" x14ac:dyDescent="0.25">
      <c r="A781" s="3" t="s">
        <v>781</v>
      </c>
      <c r="B781" s="3" t="s">
        <v>4</v>
      </c>
      <c r="C781" s="2" t="str">
        <f ca="1">IFERROR(__xludf.DUMMYFUNCTION("GOOGLETRANSLATE(A781,""bn"",""en"")"),"The beauty of dreams is hidden in the bosom of a beautiful culture")</f>
        <v>The beauty of dreams is hidden in the bosom of a beautiful culture</v>
      </c>
    </row>
    <row r="782" spans="1:3" ht="15" x14ac:dyDescent="0.25">
      <c r="A782" s="3" t="s">
        <v>782</v>
      </c>
      <c r="B782" s="3" t="s">
        <v>4</v>
      </c>
      <c r="C782" s="2" t="str">
        <f ca="1">IFERROR(__xludf.DUMMYFUNCTION("GOOGLETRANSLATE(A782,""bn"",""en"")"),"Before the problems in the relationship can be resolved, we should first try to replace the truth with the relationship and restore trust")</f>
        <v>Before the problems in the relationship can be resolved, we should first try to replace the truth with the relationship and restore trust</v>
      </c>
    </row>
    <row r="783" spans="1:3" ht="15" x14ac:dyDescent="0.25">
      <c r="A783" s="3" t="s">
        <v>783</v>
      </c>
      <c r="B783" s="3" t="s">
        <v>4</v>
      </c>
      <c r="C783" s="2" t="str">
        <f ca="1">IFERROR(__xludf.DUMMYFUNCTION("GOOGLETRANSLATE(A783,""bn"",""en"")"),"A relationship lasts forever if you are careful to prioritize your commitments and make time for your partner")</f>
        <v>A relationship lasts forever if you are careful to prioritize your commitments and make time for your partner</v>
      </c>
    </row>
    <row r="784" spans="1:3" ht="15" x14ac:dyDescent="0.25">
      <c r="A784" s="3" t="s">
        <v>784</v>
      </c>
      <c r="B784" s="3" t="s">
        <v>4</v>
      </c>
      <c r="C784" s="2" t="str">
        <f ca="1">IFERROR(__xludf.DUMMYFUNCTION("GOOGLETRANSLATE(A784,""bn"",""en"")"),"Today, I have not seen or talked to my friend in that dark grave")</f>
        <v>Today, I have not seen or talked to my friend in that dark grave</v>
      </c>
    </row>
    <row r="785" spans="1:3" ht="15" x14ac:dyDescent="0.25">
      <c r="A785" s="3" t="s">
        <v>785</v>
      </c>
      <c r="B785" s="3" t="s">
        <v>4</v>
      </c>
      <c r="C785" s="2" t="str">
        <f ca="1">IFERROR(__xludf.DUMMYFUNCTION("GOOGLETRANSLATE(A785,""bn"",""en"")"),"The three things I love people hate are poverty sickness and death")</f>
        <v>The three things I love people hate are poverty sickness and death</v>
      </c>
    </row>
    <row r="786" spans="1:3" ht="15" x14ac:dyDescent="0.25">
      <c r="A786" s="3" t="s">
        <v>786</v>
      </c>
      <c r="B786" s="3" t="s">
        <v>4</v>
      </c>
      <c r="C786" s="2" t="str">
        <f ca="1">IFERROR(__xludf.DUMMYFUNCTION("GOOGLETRANSLATE(A786,""bn"",""en"")"),"Memories of war leave a sad imprint on the heart")</f>
        <v>Memories of war leave a sad imprint on the heart</v>
      </c>
    </row>
    <row r="787" spans="1:3" ht="15" x14ac:dyDescent="0.25">
      <c r="A787" s="3" t="s">
        <v>12</v>
      </c>
      <c r="B787" s="3" t="s">
        <v>4</v>
      </c>
      <c r="C787" s="2" t="str">
        <f ca="1">IFERROR(__xludf.DUMMYFUNCTION("GOOGLETRANSLATE(A787,""bn"",""en"")"),"When it comes to spending time on entertainment, there are bigger mistakes to be made")</f>
        <v>When it comes to spending time on entertainment, there are bigger mistakes to be made</v>
      </c>
    </row>
    <row r="788" spans="1:3" ht="15" x14ac:dyDescent="0.25">
      <c r="A788" s="3" t="s">
        <v>787</v>
      </c>
      <c r="B788" s="3" t="s">
        <v>4</v>
      </c>
      <c r="C788" s="2" t="str">
        <f ca="1">IFERROR(__xludf.DUMMYFUNCTION("GOOGLETRANSLATE(A788,""bn"",""en"")"),"He never finds fear")</f>
        <v>He never finds fear</v>
      </c>
    </row>
    <row r="789" spans="1:3" ht="15" x14ac:dyDescent="0.25">
      <c r="A789" s="3" t="s">
        <v>788</v>
      </c>
      <c r="B789" s="3" t="s">
        <v>4</v>
      </c>
      <c r="C789" s="2" t="str">
        <f ca="1">IFERROR(__xludf.DUMMYFUNCTION("GOOGLETRANSLATE(A789,""bn"",""en"")"),"Those who don't have much are squeamish about giving up what little they have left")</f>
        <v>Those who don't have much are squeamish about giving up what little they have left</v>
      </c>
    </row>
    <row r="790" spans="1:3" ht="15" x14ac:dyDescent="0.25">
      <c r="A790" s="3" t="s">
        <v>789</v>
      </c>
      <c r="B790" s="3" t="s">
        <v>4</v>
      </c>
      <c r="C790" s="2" t="str">
        <f ca="1">IFERROR(__xludf.DUMMYFUNCTION("GOOGLETRANSLATE(A790,""bn"",""en"")"),"True love is like a ghost that everyone talks about but only a few see")</f>
        <v>True love is like a ghost that everyone talks about but only a few see</v>
      </c>
    </row>
    <row r="791" spans="1:3" ht="15" x14ac:dyDescent="0.25">
      <c r="A791" s="3" t="s">
        <v>790</v>
      </c>
      <c r="B791" s="3" t="s">
        <v>4</v>
      </c>
      <c r="C791" s="2" t="str">
        <f ca="1">IFERROR(__xludf.DUMMYFUNCTION("GOOGLETRANSLATE(A791,""bn"",""en"")"),"Political power play is a drama where it is better to hide than to tell the truth")</f>
        <v>Political power play is a drama where it is better to hide than to tell the truth</v>
      </c>
    </row>
    <row r="792" spans="1:3" ht="15" x14ac:dyDescent="0.25">
      <c r="A792" s="3" t="s">
        <v>791</v>
      </c>
      <c r="B792" s="3" t="s">
        <v>4</v>
      </c>
      <c r="C792" s="2" t="str">
        <f ca="1">IFERROR(__xludf.DUMMYFUNCTION("GOOGLETRANSLATE(A792,""bn"",""en"")"),"Where tears are the constant companion of pain there are dearest friends who are inseparable from each other")</f>
        <v>Where tears are the constant companion of pain there are dearest friends who are inseparable from each other</v>
      </c>
    </row>
    <row r="793" spans="1:3" ht="15" x14ac:dyDescent="0.25">
      <c r="A793" s="3" t="s">
        <v>792</v>
      </c>
      <c r="B793" s="3" t="s">
        <v>4</v>
      </c>
      <c r="C793" s="2" t="str">
        <f ca="1">IFERROR(__xludf.DUMMYFUNCTION("GOOGLETRANSLATE(A793,""bn"",""en"")"),"Some people leave but that's not the end of your story it's the end of their part in your story")</f>
        <v>Some people leave but that's not the end of your story it's the end of their part in your story</v>
      </c>
    </row>
    <row r="794" spans="1:3" ht="15" x14ac:dyDescent="0.25">
      <c r="A794" s="3" t="s">
        <v>793</v>
      </c>
      <c r="B794" s="3" t="s">
        <v>4</v>
      </c>
      <c r="C794" s="2" t="str">
        <f ca="1">IFERROR(__xludf.DUMMYFUNCTION("GOOGLETRANSLATE(A794,""bn"",""en"")"),"I have no chance in my mind now of being harmed by war")</f>
        <v>I have no chance in my mind now of being harmed by war</v>
      </c>
    </row>
    <row r="795" spans="1:3" ht="15" x14ac:dyDescent="0.25">
      <c r="A795" s="3" t="s">
        <v>794</v>
      </c>
      <c r="B795" s="3" t="s">
        <v>4</v>
      </c>
      <c r="C795" s="2" t="str">
        <f ca="1">IFERROR(__xludf.DUMMYFUNCTION("GOOGLETRANSLATE(A795,""bn"",""en"")"),"Love is perishable like raw vegetables, so it should be carefully kept in the chest")</f>
        <v>Love is perishable like raw vegetables, so it should be carefully kept in the chest</v>
      </c>
    </row>
    <row r="796" spans="1:3" ht="15" x14ac:dyDescent="0.25">
      <c r="A796" s="3" t="s">
        <v>795</v>
      </c>
      <c r="B796" s="3" t="s">
        <v>4</v>
      </c>
      <c r="C796" s="2" t="str">
        <f ca="1">IFERROR(__xludf.DUMMYFUNCTION("GOOGLETRANSLATE(A796,""bn"",""en"")"),"The greatest glory of living is never falling but rising every time we fall")</f>
        <v>The greatest glory of living is never falling but rising every time we fall</v>
      </c>
    </row>
    <row r="797" spans="1:3" ht="15" x14ac:dyDescent="0.25">
      <c r="A797" s="3" t="s">
        <v>796</v>
      </c>
      <c r="B797" s="3" t="s">
        <v>4</v>
      </c>
      <c r="C797" s="2" t="str">
        <f ca="1">IFERROR(__xludf.DUMMYFUNCTION("GOOGLETRANSLATE(A797,""bn"",""en"")"),"How many people know about the national game of Hadudu")</f>
        <v>How many people know about the national game of Hadudu</v>
      </c>
    </row>
    <row r="798" spans="1:3" ht="15" x14ac:dyDescent="0.25">
      <c r="A798" s="3" t="s">
        <v>797</v>
      </c>
      <c r="B798" s="3" t="s">
        <v>4</v>
      </c>
      <c r="C798" s="2" t="str">
        <f ca="1">IFERROR(__xludf.DUMMYFUNCTION("GOOGLETRANSLATE(A798,""bn"",""en"")"),"Currently the education system is very sad")</f>
        <v>Currently the education system is very sad</v>
      </c>
    </row>
    <row r="799" spans="1:3" ht="15" x14ac:dyDescent="0.25">
      <c r="A799" s="3" t="s">
        <v>798</v>
      </c>
      <c r="B799" s="3" t="s">
        <v>4</v>
      </c>
      <c r="C799" s="2" t="str">
        <f ca="1">IFERROR(__xludf.DUMMYFUNCTION("GOOGLETRANSLATE(A799,""bn"",""en"")"),"Many times love ends in the name")</f>
        <v>Many times love ends in the name</v>
      </c>
    </row>
    <row r="800" spans="1:3" ht="15" x14ac:dyDescent="0.25">
      <c r="A800" s="3" t="s">
        <v>799</v>
      </c>
      <c r="B800" s="3" t="s">
        <v>4</v>
      </c>
      <c r="C800" s="2" t="str">
        <f ca="1">IFERROR(__xludf.DUMMYFUNCTION("GOOGLETRANSLATE(A800,""bn"",""en"")"),"Now I remember those good times")</f>
        <v>Now I remember those good times</v>
      </c>
    </row>
    <row r="801" spans="1:3" ht="15" x14ac:dyDescent="0.25">
      <c r="A801" s="3" t="s">
        <v>800</v>
      </c>
      <c r="B801" s="3" t="s">
        <v>4</v>
      </c>
      <c r="C801" s="2" t="str">
        <f ca="1">IFERROR(__xludf.DUMMYFUNCTION("GOOGLETRANSLATE(A801,""bn"",""en"")"),"Finding time for study, work and yourself together is becoming difficult day by day")</f>
        <v>Finding time for study, work and yourself together is becoming difficult day by day</v>
      </c>
    </row>
    <row r="802" spans="1:3" ht="15" x14ac:dyDescent="0.25">
      <c r="A802" s="3" t="s">
        <v>801</v>
      </c>
      <c r="B802" s="3" t="s">
        <v>4</v>
      </c>
      <c r="C802" s="2" t="str">
        <f ca="1">IFERROR(__xludf.DUMMYFUNCTION("GOOGLETRANSLATE(A802,""bn"",""en"")"),"Daily delirium over the sadness of lost time")</f>
        <v>Daily delirium over the sadness of lost time</v>
      </c>
    </row>
    <row r="803" spans="1:3" ht="15" x14ac:dyDescent="0.25">
      <c r="A803" s="3" t="s">
        <v>802</v>
      </c>
      <c r="B803" s="3" t="s">
        <v>4</v>
      </c>
      <c r="C803" s="2" t="str">
        <f ca="1">IFERROR(__xludf.DUMMYFUNCTION("GOOGLETRANSLATE(A803,""bn"",""en"")"),"A sense of instability and confusion is common in the family")</f>
        <v>A sense of instability and confusion is common in the family</v>
      </c>
    </row>
    <row r="804" spans="1:3" ht="15" x14ac:dyDescent="0.25">
      <c r="A804" s="3" t="s">
        <v>803</v>
      </c>
      <c r="B804" s="3" t="s">
        <v>4</v>
      </c>
      <c r="C804" s="2" t="str">
        <f ca="1">IFERROR(__xludf.DUMMYFUNCTION("GOOGLETRANSLATE(A804,""bn"",""en"")"),"The story of Bengali culture is filled with the lost reality of truth")</f>
        <v>The story of Bengali culture is filled with the lost reality of truth</v>
      </c>
    </row>
    <row r="805" spans="1:3" ht="15" x14ac:dyDescent="0.25">
      <c r="A805" s="3" t="s">
        <v>804</v>
      </c>
      <c r="B805" s="3" t="s">
        <v>4</v>
      </c>
      <c r="C805" s="2" t="str">
        <f ca="1">IFERROR(__xludf.DUMMYFUNCTION("GOOGLETRANSLATE(A805,""bn"",""en"")"),"Today we are lost on the path of truth")</f>
        <v>Today we are lost on the path of truth</v>
      </c>
    </row>
    <row r="806" spans="1:3" ht="15" x14ac:dyDescent="0.25">
      <c r="A806" s="3" t="s">
        <v>805</v>
      </c>
      <c r="B806" s="3" t="s">
        <v>4</v>
      </c>
      <c r="C806" s="2" t="str">
        <f ca="1">IFERROR(__xludf.DUMMYFUNCTION("GOOGLETRANSLATE(A806,""bn"",""en"")"),"I lost a lot of things due to lack of family which I want to get back now")</f>
        <v>I lost a lot of things due to lack of family which I want to get back now</v>
      </c>
    </row>
    <row r="807" spans="1:3" ht="15" x14ac:dyDescent="0.25">
      <c r="A807" s="3" t="s">
        <v>806</v>
      </c>
      <c r="B807" s="3" t="s">
        <v>4</v>
      </c>
      <c r="C807" s="2" t="str">
        <f ca="1">IFERROR(__xludf.DUMMYFUNCTION("GOOGLETRANSLATE(A807,""bn"",""en"")"),"Poverty frees them from normal standards of behavior just as money frees people from work")</f>
        <v>Poverty frees them from normal standards of behavior just as money frees people from work</v>
      </c>
    </row>
    <row r="808" spans="1:3" ht="15" x14ac:dyDescent="0.25">
      <c r="A808" s="3" t="s">
        <v>807</v>
      </c>
      <c r="B808" s="3" t="s">
        <v>4</v>
      </c>
      <c r="C808" s="2" t="str">
        <f ca="1">IFERROR(__xludf.DUMMYFUNCTION("GOOGLETRANSLATE(A808,""bn"",""en"")"),"In the deep obscene part of time my grief expands")</f>
        <v>In the deep obscene part of time my grief expands</v>
      </c>
    </row>
    <row r="809" spans="1:3" ht="15" x14ac:dyDescent="0.25">
      <c r="A809" s="3" t="s">
        <v>808</v>
      </c>
      <c r="B809" s="3" t="s">
        <v>4</v>
      </c>
      <c r="C809" s="2" t="str">
        <f ca="1">IFERROR(__xludf.DUMMYFUNCTION("GOOGLETRANSLATE(A809,""bn"",""en"")"),"Some moments, places, names, smells bring back many old memories")</f>
        <v>Some moments, places, names, smells bring back many old memories</v>
      </c>
    </row>
    <row r="810" spans="1:3" ht="15" x14ac:dyDescent="0.25">
      <c r="A810" s="3" t="s">
        <v>809</v>
      </c>
      <c r="B810" s="3" t="s">
        <v>4</v>
      </c>
      <c r="C810" s="2" t="str">
        <f ca="1">IFERROR(__xludf.DUMMYFUNCTION("GOOGLETRANSLATE(A810,""bn"",""en"")"),"Our late night pain is our own and can never be shared with anyone")</f>
        <v>Our late night pain is our own and can never be shared with anyone</v>
      </c>
    </row>
    <row r="811" spans="1:3" ht="15" x14ac:dyDescent="0.25">
      <c r="A811" s="3" t="s">
        <v>810</v>
      </c>
      <c r="B811" s="3" t="s">
        <v>4</v>
      </c>
      <c r="C811" s="2" t="str">
        <f ca="1">IFERROR(__xludf.DUMMYFUNCTION("GOOGLETRANSLATE(A811,""bn"",""en"")"),"It's like I've become a robot, waking up in the morning, going to class, going home, the same routine every day")</f>
        <v>It's like I've become a robot, waking up in the morning, going to class, going home, the same routine every day</v>
      </c>
    </row>
    <row r="812" spans="1:3" ht="15" x14ac:dyDescent="0.25">
      <c r="A812" s="3" t="s">
        <v>811</v>
      </c>
      <c r="B812" s="3" t="s">
        <v>4</v>
      </c>
      <c r="C812" s="2" t="str">
        <f ca="1">IFERROR(__xludf.DUMMYFUNCTION("GOOGLETRANSLATE(A812,""bn"",""en"")"),"People feel lonely because they are more busy building walls than building bridges in relationships")</f>
        <v>People feel lonely because they are more busy building walls than building bridges in relationships</v>
      </c>
    </row>
    <row r="813" spans="1:3" ht="15" x14ac:dyDescent="0.25">
      <c r="A813" s="3" t="s">
        <v>812</v>
      </c>
      <c r="B813" s="3" t="s">
        <v>4</v>
      </c>
      <c r="C813" s="2" t="str">
        <f ca="1">IFERROR(__xludf.DUMMYFUNCTION("GOOGLETRANSLATE(A813,""bn"",""en"")"),"I stopped myself from laughing while watching the movie but the darkness in my mind never ended")</f>
        <v>I stopped myself from laughing while watching the movie but the darkness in my mind never ended</v>
      </c>
    </row>
    <row r="814" spans="1:3" ht="15" x14ac:dyDescent="0.25">
      <c r="A814" s="3" t="s">
        <v>813</v>
      </c>
      <c r="B814" s="3" t="s">
        <v>4</v>
      </c>
      <c r="C814" s="2" t="str">
        <f ca="1">IFERROR(__xludf.DUMMYFUNCTION("GOOGLETRANSLATE(A814,""bn"",""en"")"),"I am so immersed in this illusion of the world that I can't find any way to survive")</f>
        <v>I am so immersed in this illusion of the world that I can't find any way to survive</v>
      </c>
    </row>
    <row r="815" spans="1:3" ht="15" x14ac:dyDescent="0.25">
      <c r="A815" s="3" t="s">
        <v>814</v>
      </c>
      <c r="B815" s="3" t="s">
        <v>4</v>
      </c>
      <c r="C815" s="2" t="str">
        <f ca="1">IFERROR(__xludf.DUMMYFUNCTION("GOOGLETRANSLATE(A815,""bn"",""en"")"),"You may be poor your shoes may break but the mind is a palace")</f>
        <v>You may be poor your shoes may break but the mind is a palace</v>
      </c>
    </row>
    <row r="816" spans="1:3" ht="15" x14ac:dyDescent="0.25">
      <c r="A816" s="3" t="s">
        <v>815</v>
      </c>
      <c r="B816" s="3" t="s">
        <v>4</v>
      </c>
      <c r="C816" s="2" t="str">
        <f ca="1">IFERROR(__xludf.DUMMYFUNCTION("GOOGLETRANSLATE(A816,""bn"",""en"")"),"Love is like a cigarette that starts with fire and ends with ash")</f>
        <v>Love is like a cigarette that starts with fire and ends with ash</v>
      </c>
    </row>
    <row r="817" spans="1:3" ht="15" x14ac:dyDescent="0.25">
      <c r="A817" s="3" t="s">
        <v>816</v>
      </c>
      <c r="B817" s="3" t="s">
        <v>4</v>
      </c>
      <c r="C817" s="2" t="str">
        <f ca="1">IFERROR(__xludf.DUMMYFUNCTION("GOOGLETRANSLATE(A817,""bn"",""en"")"),"By reading books we believe that all the problems go away but it actually fades away with us")</f>
        <v>By reading books we believe that all the problems go away but it actually fades away with us</v>
      </c>
    </row>
    <row r="818" spans="1:3" ht="15" x14ac:dyDescent="0.25">
      <c r="A818" s="3" t="s">
        <v>817</v>
      </c>
      <c r="B818" s="3" t="s">
        <v>4</v>
      </c>
      <c r="C818" s="2" t="str">
        <f ca="1">IFERROR(__xludf.DUMMYFUNCTION("GOOGLETRANSLATE(A818,""bn"",""en"")"),"I remember my mother very much today")</f>
        <v>I remember my mother very much today</v>
      </c>
    </row>
    <row r="819" spans="1:3" ht="15" x14ac:dyDescent="0.25">
      <c r="A819" s="3" t="s">
        <v>818</v>
      </c>
      <c r="B819" s="3" t="s">
        <v>4</v>
      </c>
      <c r="C819" s="2" t="str">
        <f ca="1">IFERROR(__xludf.DUMMYFUNCTION("GOOGLETRANSLATE(A819,""bn"",""en"")"),"I am your likeness as the river gives the estuary")</f>
        <v>I am your likeness as the river gives the estuary</v>
      </c>
    </row>
    <row r="820" spans="1:3" ht="15" x14ac:dyDescent="0.25">
      <c r="A820" s="3" t="s">
        <v>819</v>
      </c>
      <c r="B820" s="3" t="s">
        <v>4</v>
      </c>
      <c r="C820" s="2" t="str">
        <f ca="1">IFERROR(__xludf.DUMMYFUNCTION("GOOGLETRANSLATE(A820,""bn"",""en"")"),"Night comes like before and sleep doesn't come like before")</f>
        <v>Night comes like before and sleep doesn't come like before</v>
      </c>
    </row>
    <row r="821" spans="1:3" ht="15" x14ac:dyDescent="0.25">
      <c r="A821" s="3" t="s">
        <v>820</v>
      </c>
      <c r="B821" s="3" t="s">
        <v>4</v>
      </c>
      <c r="C821" s="2" t="str">
        <f ca="1">IFERROR(__xludf.DUMMYFUNCTION("GOOGLETRANSLATE(A821,""bn"",""en"")"),"Bengal's love situation is being destroyed in anarchy")</f>
        <v>Bengal's love situation is being destroyed in anarchy</v>
      </c>
    </row>
    <row r="822" spans="1:3" ht="15" x14ac:dyDescent="0.25">
      <c r="A822" s="3" t="s">
        <v>821</v>
      </c>
      <c r="B822" s="3" t="s">
        <v>4</v>
      </c>
      <c r="C822" s="2" t="str">
        <f ca="1">IFERROR(__xludf.DUMMYFUNCTION("GOOGLETRANSLATE(A822,""bn"",""en"")"),"Development was done by Gaddafi but he remembers the end result")</f>
        <v>Development was done by Gaddafi but he remembers the end result</v>
      </c>
    </row>
    <row r="823" spans="1:3" ht="15" x14ac:dyDescent="0.25">
      <c r="A823" s="3" t="s">
        <v>822</v>
      </c>
      <c r="B823" s="3" t="s">
        <v>4</v>
      </c>
      <c r="C823" s="2" t="str">
        <f ca="1">IFERROR(__xludf.DUMMYFUNCTION("GOOGLETRANSLATE(A823,""bn"",""en"")"),"Aging and illness bring out the essential characteristics of a human being")</f>
        <v>Aging and illness bring out the essential characteristics of a human being</v>
      </c>
    </row>
    <row r="824" spans="1:3" ht="15" x14ac:dyDescent="0.25">
      <c r="A824" s="3" t="s">
        <v>823</v>
      </c>
      <c r="B824" s="3" t="s">
        <v>4</v>
      </c>
      <c r="C824" s="2" t="str">
        <f ca="1">IFERROR(__xludf.DUMMYFUNCTION("GOOGLETRANSLATE(A824,""bn"",""en"")"),"I accepted the situation and went with a smile while others found peace, but I got only negligence")</f>
        <v>I accepted the situation and went with a smile while others found peace, but I got only negligence</v>
      </c>
    </row>
    <row r="825" spans="1:3" ht="15" x14ac:dyDescent="0.25">
      <c r="A825" s="3" t="s">
        <v>824</v>
      </c>
      <c r="B825" s="3" t="s">
        <v>4</v>
      </c>
      <c r="C825" s="2" t="str">
        <f ca="1">IFERROR(__xludf.DUMMYFUNCTION("GOOGLETRANSLATE(A825,""bn"",""en"")"),"I work all night and don't want to wake up in the morning to go to class")</f>
        <v>I work all night and don't want to wake up in the morning to go to class</v>
      </c>
    </row>
    <row r="826" spans="1:3" ht="15" x14ac:dyDescent="0.25">
      <c r="A826" s="3" t="s">
        <v>825</v>
      </c>
      <c r="B826" s="3" t="s">
        <v>4</v>
      </c>
      <c r="C826" s="2" t="str">
        <f ca="1">IFERROR(__xludf.DUMMYFUNCTION("GOOGLETRANSLATE(A826,""bn"",""en"")"),"We should build our careers with honesty, most of us choose the wrong path")</f>
        <v>We should build our careers with honesty, most of us choose the wrong path</v>
      </c>
    </row>
    <row r="827" spans="1:3" ht="15" x14ac:dyDescent="0.25">
      <c r="A827" s="3" t="s">
        <v>826</v>
      </c>
      <c r="B827" s="3" t="s">
        <v>4</v>
      </c>
      <c r="C827" s="2" t="str">
        <f ca="1">IFERROR(__xludf.DUMMYFUNCTION("GOOGLETRANSLATE(A827,""bn"",""en"")"),"Even if the thought of death comes to mind, it is not brave, but it is easier to die than to live")</f>
        <v>Even if the thought of death comes to mind, it is not brave, but it is easier to die than to live</v>
      </c>
    </row>
    <row r="828" spans="1:3" ht="15" x14ac:dyDescent="0.25">
      <c r="A828" s="3" t="s">
        <v>827</v>
      </c>
      <c r="B828" s="3" t="s">
        <v>4</v>
      </c>
      <c r="C828" s="2" t="str">
        <f ca="1">IFERROR(__xludf.DUMMYFUNCTION("GOOGLETRANSLATE(A828,""bn"",""en"")"),"In fact, no one is yours in the world. People think of you only when they don't have time")</f>
        <v>In fact, no one is yours in the world. People think of you only when they don't have time</v>
      </c>
    </row>
    <row r="829" spans="1:3" ht="15" x14ac:dyDescent="0.25">
      <c r="A829" s="3" t="s">
        <v>828</v>
      </c>
      <c r="B829" s="3" t="s">
        <v>4</v>
      </c>
      <c r="C829" s="2" t="str">
        <f ca="1">IFERROR(__xludf.DUMMYFUNCTION("GOOGLETRANSLATE(A829,""bn"",""en"")"),"Loneliness is beautiful if you can hold it, distance is even more beautiful if you can feel it")</f>
        <v>Loneliness is beautiful if you can hold it, distance is even more beautiful if you can feel it</v>
      </c>
    </row>
    <row r="830" spans="1:3" ht="15" x14ac:dyDescent="0.25">
      <c r="A830" s="3" t="s">
        <v>829</v>
      </c>
      <c r="B830" s="3" t="s">
        <v>4</v>
      </c>
      <c r="C830" s="2" t="str">
        <f ca="1">IFERROR(__xludf.DUMMYFUNCTION("GOOGLETRANSLATE(A830,""bn"",""en"")"),"Day by day the governance of the country is becoming like Oceania in the book")</f>
        <v>Day by day the governance of the country is becoming like Oceania in the book</v>
      </c>
    </row>
    <row r="831" spans="1:3" ht="15" x14ac:dyDescent="0.25">
      <c r="A831" s="3" t="s">
        <v>830</v>
      </c>
      <c r="B831" s="3" t="s">
        <v>4</v>
      </c>
      <c r="C831" s="2" t="str">
        <f ca="1">IFERROR(__xludf.DUMMYFUNCTION("GOOGLETRANSLATE(A831,""bn"",""en"")"),"The responsibility of the family is on the shoulders of the boys, but they cannot tell anyone about their problems")</f>
        <v>The responsibility of the family is on the shoulders of the boys, but they cannot tell anyone about their problems</v>
      </c>
    </row>
    <row r="832" spans="1:3" ht="15" x14ac:dyDescent="0.25">
      <c r="A832" s="3" t="s">
        <v>831</v>
      </c>
      <c r="B832" s="3" t="s">
        <v>4</v>
      </c>
      <c r="C832" s="2" t="str">
        <f ca="1">IFERROR(__xludf.DUMMYFUNCTION("GOOGLETRANSLATE(A832,""bn"",""en"")"),"Eyes with dust and hearts with faith always cry")</f>
        <v>Eyes with dust and hearts with faith always cry</v>
      </c>
    </row>
    <row r="833" spans="1:3" ht="15" x14ac:dyDescent="0.25">
      <c r="A833" s="3" t="s">
        <v>832</v>
      </c>
      <c r="B833" s="3" t="s">
        <v>4</v>
      </c>
      <c r="C833" s="2" t="str">
        <f ca="1">IFERROR(__xludf.DUMMYFUNCTION("GOOGLETRANSLATE(A833,""bn"",""en"")"),"There are some people in life who could not be corrected without meeting them")</f>
        <v>There are some people in life who could not be corrected without meeting them</v>
      </c>
    </row>
    <row r="834" spans="1:3" ht="15" x14ac:dyDescent="0.25">
      <c r="A834" s="3" t="s">
        <v>833</v>
      </c>
      <c r="B834" s="3" t="s">
        <v>4</v>
      </c>
      <c r="C834" s="2" t="str">
        <f ca="1">IFERROR(__xludf.DUMMYFUNCTION("GOOGLETRANSLATE(A834,""bn"",""en"")"),"Without a goal, life becomes meaningless, without hope, the mind is lost")</f>
        <v>Without a goal, life becomes meaningless, without hope, the mind is lost</v>
      </c>
    </row>
    <row r="835" spans="1:3" ht="15" x14ac:dyDescent="0.25">
      <c r="A835" s="3" t="s">
        <v>834</v>
      </c>
      <c r="B835" s="3" t="s">
        <v>4</v>
      </c>
      <c r="C835" s="2" t="str">
        <f ca="1">IFERROR(__xludf.DUMMYFUNCTION("GOOGLETRANSLATE(A835,""bn"",""en"")"),"I lose all joy due to suffering")</f>
        <v>I lose all joy due to suffering</v>
      </c>
    </row>
    <row r="836" spans="1:3" ht="15" x14ac:dyDescent="0.25">
      <c r="A836" s="3" t="s">
        <v>835</v>
      </c>
      <c r="B836" s="3" t="s">
        <v>4</v>
      </c>
      <c r="C836" s="2" t="str">
        <f ca="1">IFERROR(__xludf.DUMMYFUNCTION("GOOGLETRANSLATE(A836,""bn"",""en"")"),"True pain can also give people joy, can give a happy opportunity to be proud of the people of the heart")</f>
        <v>True pain can also give people joy, can give a happy opportunity to be proud of the people of the heart</v>
      </c>
    </row>
    <row r="837" spans="1:3" ht="15" x14ac:dyDescent="0.25">
      <c r="A837" s="3" t="s">
        <v>836</v>
      </c>
      <c r="B837" s="3" t="s">
        <v>4</v>
      </c>
      <c r="C837" s="2" t="str">
        <f ca="1">IFERROR(__xludf.DUMMYFUNCTION("GOOGLETRANSLATE(A837,""bn"",""en"")"),"I have never met anyone in my life who understands me the way I do")</f>
        <v>I have never met anyone in my life who understands me the way I do</v>
      </c>
    </row>
    <row r="838" spans="1:3" ht="15" x14ac:dyDescent="0.25">
      <c r="A838" s="3" t="s">
        <v>837</v>
      </c>
      <c r="B838" s="3" t="s">
        <v>4</v>
      </c>
      <c r="C838" s="2" t="str">
        <f ca="1">IFERROR(__xludf.DUMMYFUNCTION("GOOGLETRANSLATE(A838,""bn"",""en"")"),"Today's games don't have the same fun as those old classic games")</f>
        <v>Today's games don't have the same fun as those old classic games</v>
      </c>
    </row>
    <row r="839" spans="1:3" ht="15" x14ac:dyDescent="0.25">
      <c r="A839" s="3" t="s">
        <v>838</v>
      </c>
      <c r="B839" s="3" t="s">
        <v>4</v>
      </c>
      <c r="C839" s="2" t="str">
        <f ca="1">IFERROR(__xludf.DUMMYFUNCTION("GOOGLETRANSLATE(A839,""bn"",""en"")"),"I don't understand which one should be left with the workload on one hand and the quiz assignment on the other")</f>
        <v>I don't understand which one should be left with the workload on one hand and the quiz assignment on the other</v>
      </c>
    </row>
    <row r="840" spans="1:3" ht="15" x14ac:dyDescent="0.25">
      <c r="A840" s="3" t="s">
        <v>839</v>
      </c>
      <c r="B840" s="3" t="s">
        <v>4</v>
      </c>
      <c r="C840" s="2" t="str">
        <f ca="1">IFERROR(__xludf.DUMMYFUNCTION("GOOGLETRANSLATE(A840,""bn"",""en"")"),"We see in our daily life that insults, torture and violence are not only in words")</f>
        <v>We see in our daily life that insults, torture and violence are not only in words</v>
      </c>
    </row>
    <row r="841" spans="1:3" ht="15" x14ac:dyDescent="0.25">
      <c r="A841" s="3" t="s">
        <v>840</v>
      </c>
      <c r="B841" s="3" t="s">
        <v>4</v>
      </c>
      <c r="C841" s="2" t="str">
        <f ca="1">IFERROR(__xludf.DUMMYFUNCTION("GOOGLETRANSLATE(A841,""bn"",""en"")"),"To feel one's own pain is the proof of being alive; to feel the pain of others is the proof of being human")</f>
        <v>To feel one's own pain is the proof of being alive; to feel the pain of others is the proof of being human</v>
      </c>
    </row>
    <row r="842" spans="1:3" ht="15" x14ac:dyDescent="0.25">
      <c r="A842" s="3" t="s">
        <v>841</v>
      </c>
      <c r="B842" s="3" t="s">
        <v>4</v>
      </c>
      <c r="C842" s="2" t="str">
        <f ca="1">IFERROR(__xludf.DUMMYFUNCTION("GOOGLETRANSLATE(A842,""bn"",""en"")"),"There is a difference between loneliness and loneliness. Solitude is a choice that gives you space and freedom")</f>
        <v>There is a difference between loneliness and loneliness. Solitude is a choice that gives you space and freedom</v>
      </c>
    </row>
    <row r="843" spans="1:3" ht="15" x14ac:dyDescent="0.25">
      <c r="A843" s="3" t="s">
        <v>842</v>
      </c>
      <c r="B843" s="3" t="s">
        <v>4</v>
      </c>
      <c r="C843" s="2" t="str">
        <f ca="1">IFERROR(__xludf.DUMMYFUNCTION("GOOGLETRANSLATE(A843,""bn"",""en"")"),"Hungry bellies, empty pockets and false love teach people many things")</f>
        <v>Hungry bellies, empty pockets and false love teach people many things</v>
      </c>
    </row>
    <row r="844" spans="1:3" ht="15" x14ac:dyDescent="0.25">
      <c r="A844" s="3" t="s">
        <v>843</v>
      </c>
      <c r="B844" s="3" t="s">
        <v>4</v>
      </c>
      <c r="C844" s="2" t="str">
        <f ca="1">IFERROR(__xludf.DUMMYFUNCTION("GOOGLETRANSLATE(A844,""bn"",""en"")"),"Even such a huge sky has trouble. The sky covered with the similitude of vastness is also alone at the end of the day")</f>
        <v>Even such a huge sky has trouble. The sky covered with the similitude of vastness is also alone at the end of the day</v>
      </c>
    </row>
    <row r="845" spans="1:3" ht="15" x14ac:dyDescent="0.25">
      <c r="A845" s="3" t="s">
        <v>844</v>
      </c>
      <c r="B845" s="3" t="s">
        <v>4</v>
      </c>
      <c r="C845" s="2" t="str">
        <f ca="1">IFERROR(__xludf.DUMMYFUNCTION("GOOGLETRANSLATE(A845,""bn"",""en"")"),"Friends after money are like lights and bugs that stay as long as there is light and go away when there is no light")</f>
        <v>Friends after money are like lights and bugs that stay as long as there is light and go away when there is no light</v>
      </c>
    </row>
    <row r="846" spans="1:3" ht="15" x14ac:dyDescent="0.25">
      <c r="A846" s="3" t="s">
        <v>845</v>
      </c>
      <c r="B846" s="3" t="s">
        <v>4</v>
      </c>
      <c r="C846" s="2" t="str">
        <f ca="1">IFERROR(__xludf.DUMMYFUNCTION("GOOGLETRANSLATE(A846,""bn"",""en"")"),"I am drowning in the sea of ​​sorrow in the absence of family only in the unknown path of deterioration")</f>
        <v>I am drowning in the sea of ​​sorrow in the absence of family only in the unknown path of deterioration</v>
      </c>
    </row>
    <row r="847" spans="1:3" ht="15" x14ac:dyDescent="0.25">
      <c r="A847" s="3" t="s">
        <v>846</v>
      </c>
      <c r="B847" s="3" t="s">
        <v>4</v>
      </c>
      <c r="C847" s="2" t="str">
        <f ca="1">IFERROR(__xludf.DUMMYFUNCTION("GOOGLETRANSLATE(A847,""bn"",""en"")"),"I feel sorry for the families who lost their children due to the war")</f>
        <v>I feel sorry for the families who lost their children due to the war</v>
      </c>
    </row>
    <row r="848" spans="1:3" ht="15" x14ac:dyDescent="0.25">
      <c r="A848" s="3" t="s">
        <v>847</v>
      </c>
      <c r="B848" s="3" t="s">
        <v>4</v>
      </c>
      <c r="C848" s="2" t="str">
        <f ca="1">IFERROR(__xludf.DUMMYFUNCTION("GOOGLETRANSLATE(A848,""bn"",""en"")"),"Wake up early to catch the morning light")</f>
        <v>Wake up early to catch the morning light</v>
      </c>
    </row>
    <row r="849" spans="1:3" ht="15" x14ac:dyDescent="0.25">
      <c r="A849" s="3" t="s">
        <v>848</v>
      </c>
      <c r="B849" s="3" t="s">
        <v>4</v>
      </c>
      <c r="C849" s="2" t="str">
        <f ca="1">IFERROR(__xludf.DUMMYFUNCTION("GOOGLETRANSLATE(A849,""bn"",""en"")"),"Childhood is after all the first valuable currency that poverty steals from a child")</f>
        <v>Childhood is after all the first valuable currency that poverty steals from a child</v>
      </c>
    </row>
    <row r="850" spans="1:3" ht="15" x14ac:dyDescent="0.25">
      <c r="A850" s="3" t="s">
        <v>849</v>
      </c>
      <c r="B850" s="3" t="s">
        <v>4</v>
      </c>
      <c r="C850" s="2" t="str">
        <f ca="1">IFERROR(__xludf.DUMMYFUNCTION("GOOGLETRANSLATE(A850,""bn"",""en"")"),"I miss you so much")</f>
        <v>I miss you so much</v>
      </c>
    </row>
    <row r="851" spans="1:3" ht="15" x14ac:dyDescent="0.25">
      <c r="A851" s="3" t="s">
        <v>850</v>
      </c>
      <c r="B851" s="3" t="s">
        <v>4</v>
      </c>
      <c r="C851" s="2" t="str">
        <f ca="1">IFERROR(__xludf.DUMMYFUNCTION("GOOGLETRANSLATE(A851,""bn"",""en"")"),"Politicians often destroy people's confidence and self-esteem")</f>
        <v>Politicians often destroy people's confidence and self-esteem</v>
      </c>
    </row>
    <row r="852" spans="1:3" ht="15" x14ac:dyDescent="0.25">
      <c r="A852" s="3" t="s">
        <v>851</v>
      </c>
      <c r="B852" s="3" t="s">
        <v>4</v>
      </c>
      <c r="C852" s="2" t="str">
        <f ca="1">IFERROR(__xludf.DUMMYFUNCTION("GOOGLETRANSLATE(A852,""bn"",""en"")"),"I contemplate my past in the light of my grief")</f>
        <v>I contemplate my past in the light of my grief</v>
      </c>
    </row>
    <row r="853" spans="1:3" ht="15" x14ac:dyDescent="0.25">
      <c r="A853" s="3" t="s">
        <v>852</v>
      </c>
      <c r="B853" s="3" t="s">
        <v>4</v>
      </c>
      <c r="C853" s="2" t="str">
        <f ca="1">IFERROR(__xludf.DUMMYFUNCTION("GOOGLETRANSLATE(A853,""bn"",""en"")"),"You can live without love in the world, but you can't live without love")</f>
        <v>You can live without love in the world, but you can't live without love</v>
      </c>
    </row>
    <row r="854" spans="1:3" ht="15" x14ac:dyDescent="0.25">
      <c r="A854" s="3" t="s">
        <v>853</v>
      </c>
      <c r="B854" s="3" t="s">
        <v>4</v>
      </c>
      <c r="C854" s="2" t="str">
        <f ca="1">IFERROR(__xludf.DUMMYFUNCTION("GOOGLETRANSLATE(A854,""bn"",""en"")"),"I want to go where feelings and thoughts can't let me down")</f>
        <v>I want to go where feelings and thoughts can't let me down</v>
      </c>
    </row>
    <row r="855" spans="1:3" ht="15" x14ac:dyDescent="0.25">
      <c r="A855" s="3" t="s">
        <v>854</v>
      </c>
      <c r="B855" s="3" t="s">
        <v>4</v>
      </c>
      <c r="C855" s="2" t="str">
        <f ca="1">IFERROR(__xludf.DUMMYFUNCTION("GOOGLETRANSLATE(A855,""bn"",""en"")"),"There is nothing more special than humanity that binds us all together")</f>
        <v>There is nothing more special than humanity that binds us all together</v>
      </c>
    </row>
    <row r="856" spans="1:3" ht="15" x14ac:dyDescent="0.25">
      <c r="A856" s="3" t="s">
        <v>855</v>
      </c>
      <c r="B856" s="3" t="s">
        <v>4</v>
      </c>
      <c r="C856" s="2" t="str">
        <f ca="1">IFERROR(__xludf.DUMMYFUNCTION("GOOGLETRANSLATE(A856,""bn"",""en"")"),"Imbalance between rich and poor is the oldest and most fatal disease of all republics")</f>
        <v>Imbalance between rich and poor is the oldest and most fatal disease of all republics</v>
      </c>
    </row>
    <row r="857" spans="1:3" ht="15" x14ac:dyDescent="0.25">
      <c r="A857" s="3" t="s">
        <v>856</v>
      </c>
      <c r="B857" s="3" t="s">
        <v>4</v>
      </c>
      <c r="C857" s="2" t="str">
        <f ca="1">IFERROR(__xludf.DUMMYFUNCTION("GOOGLETRANSLATE(A857,""bn"",""en"")"),"Failure is a path, it is not a dead end")</f>
        <v>Failure is a path, it is not a dead end</v>
      </c>
    </row>
    <row r="858" spans="1:3" ht="15" x14ac:dyDescent="0.25">
      <c r="A858" s="3" t="s">
        <v>857</v>
      </c>
      <c r="B858" s="3" t="s">
        <v>4</v>
      </c>
      <c r="C858" s="2" t="str">
        <f ca="1">IFERROR(__xludf.DUMMYFUNCTION("GOOGLETRANSLATE(A858,""bn"",""en"")"),"Dreams are borderline because I am middle class in reality")</f>
        <v>Dreams are borderline because I am middle class in reality</v>
      </c>
    </row>
    <row r="859" spans="1:3" ht="15" x14ac:dyDescent="0.25">
      <c r="A859" s="3" t="s">
        <v>858</v>
      </c>
      <c r="B859" s="3" t="s">
        <v>4</v>
      </c>
      <c r="C859" s="2" t="str">
        <f ca="1">IFERROR(__xludf.DUMMYFUNCTION("GOOGLETRANSLATE(A859,""bn"",""en"")"),"It takes love to understand the severity of neglect")</f>
        <v>It takes love to understand the severity of neglect</v>
      </c>
    </row>
    <row r="860" spans="1:3" ht="15" x14ac:dyDescent="0.25">
      <c r="A860" s="3" t="s">
        <v>859</v>
      </c>
      <c r="B860" s="3" t="s">
        <v>4</v>
      </c>
      <c r="C860" s="2" t="str">
        <f ca="1">IFERROR(__xludf.DUMMYFUNCTION("GOOGLETRANSLATE(A860,""bn"",""en"")"),"A heart-wrenching sad story is not a text for entertainment")</f>
        <v>A heart-wrenching sad story is not a text for entertainment</v>
      </c>
    </row>
    <row r="861" spans="1:3" ht="15" x14ac:dyDescent="0.25">
      <c r="A861" s="3" t="s">
        <v>860</v>
      </c>
      <c r="B861" s="3" t="s">
        <v>4</v>
      </c>
      <c r="C861" s="2" t="str">
        <f ca="1">IFERROR(__xludf.DUMMYFUNCTION("GOOGLETRANSLATE(A861,""bn"",""en"")"),"Lack of family my life now just want to find friendship in existence")</f>
        <v>Lack of family my life now just want to find friendship in existence</v>
      </c>
    </row>
    <row r="862" spans="1:3" ht="15" x14ac:dyDescent="0.25">
      <c r="A862" s="3" t="s">
        <v>861</v>
      </c>
      <c r="B862" s="3" t="s">
        <v>4</v>
      </c>
      <c r="C862" s="2" t="str">
        <f ca="1">IFERROR(__xludf.DUMMYFUNCTION("GOOGLETRANSLATE(A862,""bn"",""en"")"),"Marveling within the imagined light of humanity for which we are stunned with great despair")</f>
        <v>Marveling within the imagined light of humanity for which we are stunned with great despair</v>
      </c>
    </row>
    <row r="863" spans="1:3" ht="15" x14ac:dyDescent="0.25">
      <c r="A863" s="3" t="s">
        <v>862</v>
      </c>
      <c r="B863" s="3" t="s">
        <v>4</v>
      </c>
      <c r="C863" s="2" t="str">
        <f ca="1">IFERROR(__xludf.DUMMYFUNCTION("GOOGLETRANSLATE(A863,""bn"",""en"")"),"Never war, only peace")</f>
        <v>Never war, only peace</v>
      </c>
    </row>
    <row r="864" spans="1:3" ht="15" x14ac:dyDescent="0.25">
      <c r="A864" s="3" t="s">
        <v>863</v>
      </c>
      <c r="B864" s="3" t="s">
        <v>4</v>
      </c>
      <c r="C864" s="2" t="str">
        <f ca="1">IFERROR(__xludf.DUMMYFUNCTION("GOOGLETRANSLATE(A864,""bn"",""en"")"),"After lying, my heart feels the exhaustion every day in existence")</f>
        <v>After lying, my heart feels the exhaustion every day in existence</v>
      </c>
    </row>
    <row r="865" spans="1:3" ht="15" x14ac:dyDescent="0.25">
      <c r="A865" s="3" t="s">
        <v>864</v>
      </c>
      <c r="B865" s="3" t="s">
        <v>4</v>
      </c>
      <c r="C865" s="2" t="str">
        <f ca="1">IFERROR(__xludf.DUMMYFUNCTION("GOOGLETRANSLATE(A865,""bn"",""en"")"),"Wanting to participate in social events but not being able to afford it")</f>
        <v>Wanting to participate in social events but not being able to afford it</v>
      </c>
    </row>
    <row r="866" spans="1:3" ht="15" x14ac:dyDescent="0.25">
      <c r="A866" s="3" t="s">
        <v>865</v>
      </c>
      <c r="B866" s="3" t="s">
        <v>4</v>
      </c>
      <c r="C866" s="2" t="str">
        <f ca="1">IFERROR(__xludf.DUMMYFUNCTION("GOOGLETRANSLATE(A866,""bn"",""en"")"),"I am very tired today and I don't want to study and work")</f>
        <v>I am very tired today and I don't want to study and work</v>
      </c>
    </row>
    <row r="867" spans="1:3" ht="15" x14ac:dyDescent="0.25">
      <c r="A867" s="3" t="s">
        <v>866</v>
      </c>
      <c r="B867" s="3" t="s">
        <v>4</v>
      </c>
      <c r="C867" s="2" t="str">
        <f ca="1">IFERROR(__xludf.DUMMYFUNCTION("GOOGLETRANSLATE(A867,""bn"",""en"")"),"I am as much a failure as a failure has no desire to achieve anything")</f>
        <v>I am as much a failure as a failure has no desire to achieve anything</v>
      </c>
    </row>
    <row r="868" spans="1:3" ht="15" x14ac:dyDescent="0.25">
      <c r="A868" s="3" t="s">
        <v>867</v>
      </c>
      <c r="B868" s="3" t="s">
        <v>4</v>
      </c>
      <c r="C868" s="2" t="str">
        <f ca="1">IFERROR(__xludf.DUMMYFUNCTION("GOOGLETRANSLATE(A868,""bn"",""en"")"),"It is a great evil experience for us when untruths and unbelievers show their own preferences about what we believe and expect.")</f>
        <v>It is a great evil experience for us when untruths and unbelievers show their own preferences about what we believe and expect.</v>
      </c>
    </row>
    <row r="869" spans="1:3" ht="15" x14ac:dyDescent="0.25">
      <c r="A869" s="3" t="s">
        <v>868</v>
      </c>
      <c r="B869" s="3" t="s">
        <v>4</v>
      </c>
      <c r="C869" s="2" t="str">
        <f ca="1">IFERROR(__xludf.DUMMYFUNCTION("GOOGLETRANSLATE(A869,""bn"",""en"")"),"Neglect is a deadly weapon that tears apart the hearts of loved ones")</f>
        <v>Neglect is a deadly weapon that tears apart the hearts of loved ones</v>
      </c>
    </row>
    <row r="870" spans="1:3" ht="15" x14ac:dyDescent="0.25">
      <c r="A870" s="3" t="s">
        <v>869</v>
      </c>
      <c r="B870" s="3" t="s">
        <v>4</v>
      </c>
      <c r="C870" s="2" t="str">
        <f ca="1">IFERROR(__xludf.DUMMYFUNCTION("GOOGLETRANSLATE(A870,""bn"",""en"")"),"Where is the end of so many graves every day some heart burns with fire")</f>
        <v>Where is the end of so many graves every day some heart burns with fire</v>
      </c>
    </row>
    <row r="871" spans="1:3" ht="15" x14ac:dyDescent="0.25">
      <c r="A871" s="3" t="s">
        <v>870</v>
      </c>
      <c r="B871" s="3" t="s">
        <v>4</v>
      </c>
      <c r="C871" s="2" t="str">
        <f ca="1">IFERROR(__xludf.DUMMYFUNCTION("GOOGLETRANSLATE(A871,""bn"",""en"")"),"I often feel resentful or dissatisfied with my family")</f>
        <v>I often feel resentful or dissatisfied with my family</v>
      </c>
    </row>
    <row r="872" spans="1:3" ht="15" x14ac:dyDescent="0.25">
      <c r="A872" s="3" t="s">
        <v>871</v>
      </c>
      <c r="B872" s="3" t="s">
        <v>4</v>
      </c>
      <c r="C872" s="2" t="str">
        <f ca="1">IFERROR(__xludf.DUMMYFUNCTION("GOOGLETRANSLATE(A872,""bn"",""en"")"),"A movie so good it is so realistic that not even once it feels like it is actually a movie thanks to the makers")</f>
        <v>A movie so good it is so realistic that not even once it feels like it is actually a movie thanks to the makers</v>
      </c>
    </row>
    <row r="873" spans="1:3" ht="15" x14ac:dyDescent="0.25">
      <c r="A873" s="3" t="s">
        <v>872</v>
      </c>
      <c r="B873" s="3" t="s">
        <v>4</v>
      </c>
      <c r="C873" s="2" t="str">
        <f ca="1">IFERROR(__xludf.DUMMYFUNCTION("GOOGLETRANSLATE(A873,""bn"",""en"")"),"Crying is the way your eyes speak when your mouth can't express how much your heart is broken")</f>
        <v>Crying is the way your eyes speak when your mouth can't express how much your heart is broken</v>
      </c>
    </row>
    <row r="874" spans="1:3" ht="15" x14ac:dyDescent="0.25">
      <c r="A874" s="3" t="s">
        <v>873</v>
      </c>
      <c r="B874" s="3" t="s">
        <v>4</v>
      </c>
      <c r="C874" s="2" t="str">
        <f ca="1">IFERROR(__xludf.DUMMYFUNCTION("GOOGLETRANSLATE(A874,""bn"",""en"")"),"It is possible for people to cherish the culture of Bengal")</f>
        <v>It is possible for people to cherish the culture of Bengal</v>
      </c>
    </row>
    <row r="875" spans="1:3" ht="15" x14ac:dyDescent="0.25">
      <c r="A875" s="3" t="s">
        <v>874</v>
      </c>
      <c r="B875" s="3" t="s">
        <v>4</v>
      </c>
      <c r="C875" s="2" t="str">
        <f ca="1">IFERROR(__xludf.DUMMYFUNCTION("GOOGLETRANSLATE(A875,""bn"",""en"")"),"A fool becomes wise in love and a wise man becomes a fool")</f>
        <v>A fool becomes wise in love and a wise man becomes a fool</v>
      </c>
    </row>
    <row r="876" spans="1:3" ht="15" x14ac:dyDescent="0.25">
      <c r="A876" s="3" t="s">
        <v>875</v>
      </c>
      <c r="B876" s="3" t="s">
        <v>4</v>
      </c>
      <c r="C876" s="2" t="str">
        <f ca="1">IFERROR(__xludf.DUMMYFUNCTION("GOOGLETRANSLATE(A876,""bn"",""en"")"),"Scrolling through Instagram I see how many places everyone is going and here I am with classes and work")</f>
        <v>Scrolling through Instagram I see how many places everyone is going and here I am with classes and work</v>
      </c>
    </row>
    <row r="877" spans="1:3" ht="15" x14ac:dyDescent="0.25">
      <c r="A877" s="3" t="s">
        <v>876</v>
      </c>
      <c r="B877" s="3" t="s">
        <v>4</v>
      </c>
      <c r="C877" s="2" t="str">
        <f ca="1">IFERROR(__xludf.DUMMYFUNCTION("GOOGLETRANSLATE(A877,""bn"",""en"")"),"After our parents, the closest person we respect is our teacher. Unfortunately, many people don't respect teachers now.")</f>
        <v>After our parents, the closest person we respect is our teacher. Unfortunately, many people don't respect teachers now.</v>
      </c>
    </row>
    <row r="878" spans="1:3" ht="15" x14ac:dyDescent="0.25">
      <c r="A878" s="3" t="s">
        <v>877</v>
      </c>
      <c r="B878" s="3" t="s">
        <v>4</v>
      </c>
      <c r="C878" s="2" t="str">
        <f ca="1">IFERROR(__xludf.DUMMYFUNCTION("GOOGLETRANSLATE(A878,""bn"",""en"")"),"Realizing the importance of time is one thing but I do not take it for granted")</f>
        <v>Realizing the importance of time is one thing but I do not take it for granted</v>
      </c>
    </row>
    <row r="879" spans="1:3" ht="15" x14ac:dyDescent="0.25">
      <c r="A879" s="3" t="s">
        <v>878</v>
      </c>
      <c r="B879" s="3" t="s">
        <v>4</v>
      </c>
      <c r="C879" s="2" t="str">
        <f ca="1">IFERROR(__xludf.DUMMYFUNCTION("GOOGLETRANSLATE(A879,""bn"",""en"")"),"When love and trust are lost, they cannot be regained")</f>
        <v>When love and trust are lost, they cannot be regained</v>
      </c>
    </row>
    <row r="880" spans="1:3" ht="15" x14ac:dyDescent="0.25">
      <c r="A880" s="3" t="s">
        <v>879</v>
      </c>
      <c r="B880" s="3" t="s">
        <v>4</v>
      </c>
      <c r="C880" s="2" t="str">
        <f ca="1">IFERROR(__xludf.DUMMYFUNCTION("GOOGLETRANSLATE(A880,""bn"",""en"")"),"No one understands the plight of boys because society tells them to be tough")</f>
        <v>No one understands the plight of boys because society tells them to be tough</v>
      </c>
    </row>
    <row r="881" spans="1:3" ht="15" x14ac:dyDescent="0.25">
      <c r="A881" s="3" t="s">
        <v>880</v>
      </c>
      <c r="B881" s="3" t="s">
        <v>4</v>
      </c>
      <c r="C881" s="2" t="str">
        <f ca="1">IFERROR(__xludf.DUMMYFUNCTION("GOOGLETRANSLATE(A881,""bn"",""en"")"),"The culture of Bengal is floating in the sea of ​​grief crying for breath")</f>
        <v>The culture of Bengal is floating in the sea of ​​grief crying for breath</v>
      </c>
    </row>
    <row r="882" spans="1:3" ht="15" x14ac:dyDescent="0.25">
      <c r="A882" s="3" t="s">
        <v>881</v>
      </c>
      <c r="B882" s="3" t="s">
        <v>4</v>
      </c>
      <c r="C882" s="2" t="str">
        <f ca="1">IFERROR(__xludf.DUMMYFUNCTION("GOOGLETRANSLATE(A882,""bn"",""en"")"),"Never hurt those who are by your side in danger")</f>
        <v>Never hurt those who are by your side in danger</v>
      </c>
    </row>
    <row r="883" spans="1:3" ht="15" x14ac:dyDescent="0.25">
      <c r="A883" s="3" t="s">
        <v>882</v>
      </c>
      <c r="B883" s="3" t="s">
        <v>4</v>
      </c>
      <c r="C883" s="2" t="str">
        <f ca="1">IFERROR(__xludf.DUMMYFUNCTION("GOOGLETRANSLATE(A883,""bn"",""en"")"),"Silence not pain robs some voice")</f>
        <v>Silence not pain robs some voice</v>
      </c>
    </row>
    <row r="884" spans="1:3" ht="15" x14ac:dyDescent="0.25">
      <c r="A884" s="3" t="s">
        <v>883</v>
      </c>
      <c r="B884" s="3" t="s">
        <v>4</v>
      </c>
      <c r="C884" s="2" t="str">
        <f ca="1">IFERROR(__xludf.DUMMYFUNCTION("GOOGLETRANSLATE(A884,""bn"",""en"")"),"Trust starts relationships and lies end relationships")</f>
        <v>Trust starts relationships and lies end relationships</v>
      </c>
    </row>
    <row r="885" spans="1:3" ht="15" x14ac:dyDescent="0.25">
      <c r="A885" s="3" t="s">
        <v>884</v>
      </c>
      <c r="B885" s="3" t="s">
        <v>4</v>
      </c>
      <c r="C885" s="2" t="str">
        <f ca="1">IFERROR(__xludf.DUMMYFUNCTION("GOOGLETRANSLATE(A885,""bn"",""en"")"),"Loneliness is not the absence of people around you but the presence of someone who doesn't understand you")</f>
        <v>Loneliness is not the absence of people around you but the presence of someone who doesn't understand you</v>
      </c>
    </row>
    <row r="886" spans="1:3" ht="15" x14ac:dyDescent="0.25">
      <c r="A886" s="3" t="s">
        <v>885</v>
      </c>
      <c r="B886" s="3" t="s">
        <v>4</v>
      </c>
      <c r="C886" s="2" t="str">
        <f ca="1">IFERROR(__xludf.DUMMYFUNCTION("GOOGLETRANSLATE(A886,""bn"",""en"")"),"Politics and culture are two different things, one is disease and the other is health")</f>
        <v>Politics and culture are two different things, one is disease and the other is health</v>
      </c>
    </row>
    <row r="887" spans="1:3" ht="15" x14ac:dyDescent="0.25">
      <c r="A887" s="3" t="s">
        <v>886</v>
      </c>
      <c r="B887" s="3" t="s">
        <v>4</v>
      </c>
      <c r="C887" s="2" t="str">
        <f ca="1">IFERROR(__xludf.DUMMYFUNCTION("GOOGLETRANSLATE(A887,""bn"",""en"")"),"Let's say according to the current socio-economic expectations of the country")</f>
        <v>Let's say according to the current socio-economic expectations of the country</v>
      </c>
    </row>
    <row r="888" spans="1:3" ht="15" x14ac:dyDescent="0.25">
      <c r="A888" s="3" t="s">
        <v>887</v>
      </c>
      <c r="B888" s="3" t="s">
        <v>4</v>
      </c>
      <c r="C888" s="2" t="str">
        <f ca="1">IFERROR(__xludf.DUMMYFUNCTION("GOOGLETRANSLATE(A888,""bn"",""en"")"),"Behind every word of politicians there is sometimes a hidden lie")</f>
        <v>Behind every word of politicians there is sometimes a hidden lie</v>
      </c>
    </row>
    <row r="889" spans="1:3" ht="15" x14ac:dyDescent="0.25">
      <c r="A889" s="3" t="s">
        <v>888</v>
      </c>
      <c r="B889" s="3" t="s">
        <v>4</v>
      </c>
      <c r="C889" s="2" t="str">
        <f ca="1">IFERROR(__xludf.DUMMYFUNCTION("GOOGLETRANSLATE(A889,""bn"",""en"")"),"Falling leaves know living with memories means maybe I'll fall in your mind with the rhythm of time")</f>
        <v>Falling leaves know living with memories means maybe I'll fall in your mind with the rhythm of time</v>
      </c>
    </row>
    <row r="890" spans="1:3" ht="15" x14ac:dyDescent="0.25">
      <c r="A890" s="3" t="s">
        <v>889</v>
      </c>
      <c r="B890" s="3" t="s">
        <v>4</v>
      </c>
      <c r="C890" s="2" t="str">
        <f ca="1">IFERROR(__xludf.DUMMYFUNCTION("GOOGLETRANSLATE(A890,""bn"",""en"")"),"In the larger stream in which we have fallen in the campaign of humanity, politics has brought sickness to the heart of man by the demands of religion and religion")</f>
        <v>In the larger stream in which we have fallen in the campaign of humanity, politics has brought sickness to the heart of man by the demands of religion and religion</v>
      </c>
    </row>
    <row r="891" spans="1:3" ht="15" x14ac:dyDescent="0.25">
      <c r="A891" s="3" t="s">
        <v>890</v>
      </c>
      <c r="B891" s="3" t="s">
        <v>4</v>
      </c>
      <c r="C891" s="2" t="str">
        <f ca="1">IFERROR(__xludf.DUMMYFUNCTION("GOOGLETRANSLATE(A891,""bn"",""en"")"),"Can the shackles of gloomy culture chase away our freedom?")</f>
        <v>Can the shackles of gloomy culture chase away our freedom?</v>
      </c>
    </row>
    <row r="892" spans="1:3" ht="15" x14ac:dyDescent="0.25">
      <c r="A892" s="3" t="s">
        <v>891</v>
      </c>
      <c r="B892" s="3" t="s">
        <v>4</v>
      </c>
      <c r="C892" s="2" t="str">
        <f ca="1">IFERROR(__xludf.DUMMYFUNCTION("GOOGLETRANSLATE(A892,""bn"",""en"")"),"I have been very busy with studies and work but I miss home a lot lately")</f>
        <v>I have been very busy with studies and work but I miss home a lot lately</v>
      </c>
    </row>
    <row r="893" spans="1:3" ht="15" x14ac:dyDescent="0.25">
      <c r="A893" s="3" t="s">
        <v>892</v>
      </c>
      <c r="B893" s="3" t="s">
        <v>4</v>
      </c>
      <c r="C893" s="2" t="str">
        <f ca="1">IFERROR(__xludf.DUMMYFUNCTION("GOOGLETRANSLATE(A893,""bn"",""en"")"),"I learned the song with so much attention that I can't remember the chords while playing the guitar")</f>
        <v>I learned the song with so much attention that I can't remember the chords while playing the guitar</v>
      </c>
    </row>
    <row r="894" spans="1:3" ht="15" x14ac:dyDescent="0.25">
      <c r="A894" s="3" t="s">
        <v>893</v>
      </c>
      <c r="B894" s="3" t="s">
        <v>4</v>
      </c>
      <c r="C894" s="2" t="str">
        <f ca="1">IFERROR(__xludf.DUMMYFUNCTION("GOOGLETRANSLATE(A894,""bn"",""en"")"),"Loneliness is better than a toxic relationship")</f>
        <v>Loneliness is better than a toxic relationship</v>
      </c>
    </row>
    <row r="895" spans="1:3" ht="15" x14ac:dyDescent="0.25">
      <c r="A895" s="3" t="s">
        <v>894</v>
      </c>
      <c r="B895" s="3" t="s">
        <v>4</v>
      </c>
      <c r="C895" s="2" t="str">
        <f ca="1">IFERROR(__xludf.DUMMYFUNCTION("GOOGLETRANSLATE(A895,""bn"",""en"")"),"The lack of friendship and love in the family gives me a feeling that I am heading towards losing")</f>
        <v>The lack of friendship and love in the family gives me a feeling that I am heading towards losing</v>
      </c>
    </row>
    <row r="896" spans="1:3" ht="15" x14ac:dyDescent="0.25">
      <c r="A896" s="3" t="s">
        <v>895</v>
      </c>
      <c r="B896" s="3" t="s">
        <v>4</v>
      </c>
      <c r="C896" s="2" t="str">
        <f ca="1">IFERROR(__xludf.DUMMYFUNCTION("GOOGLETRANSLATE(A896,""bn"",""en"")"),"Don't know the country, the treasure of consciousness")</f>
        <v>Don't know the country, the treasure of consciousness</v>
      </c>
    </row>
    <row r="897" spans="1:3" ht="15" x14ac:dyDescent="0.25">
      <c r="A897" s="3" t="s">
        <v>896</v>
      </c>
      <c r="B897" s="3" t="s">
        <v>4</v>
      </c>
      <c r="C897" s="2" t="str">
        <f ca="1">IFERROR(__xludf.DUMMYFUNCTION("GOOGLETRANSLATE(A897,""bn"",""en"")"),"After coming to the working life, I understand that the price of oil people is much higher than the hardworking people")</f>
        <v>After coming to the working life, I understand that the price of oil people is much higher than the hardworking people</v>
      </c>
    </row>
    <row r="898" spans="1:3" ht="15" x14ac:dyDescent="0.25">
      <c r="A898" s="3" t="s">
        <v>897</v>
      </c>
      <c r="B898" s="3" t="s">
        <v>4</v>
      </c>
      <c r="C898" s="2" t="str">
        <f ca="1">IFERROR(__xludf.DUMMYFUNCTION("GOOGLETRANSLATE(A898,""bn"",""en"")"),"Being so busy with work that I have no time for myself seems to be living like a monotonous robot")</f>
        <v>Being so busy with work that I have no time for myself seems to be living like a monotonous robot</v>
      </c>
    </row>
    <row r="899" spans="1:3" ht="15" x14ac:dyDescent="0.25">
      <c r="A899" s="3" t="s">
        <v>898</v>
      </c>
      <c r="B899" s="3" t="s">
        <v>4</v>
      </c>
      <c r="C899" s="2" t="str">
        <f ca="1">IFERROR(__xludf.DUMMYFUNCTION("GOOGLETRANSLATE(A899,""bn"",""en"")"),"The story of the drama is like waiting for my life which has brought sorrow at the end")</f>
        <v>The story of the drama is like waiting for my life which has brought sorrow at the end</v>
      </c>
    </row>
    <row r="900" spans="1:3" ht="15" x14ac:dyDescent="0.25">
      <c r="A900" s="3" t="s">
        <v>899</v>
      </c>
      <c r="B900" s="3" t="s">
        <v>4</v>
      </c>
      <c r="C900" s="2" t="str">
        <f ca="1">IFERROR(__xludf.DUMMYFUNCTION("GOOGLETRANSLATE(A900,""bn"",""en"")"),"The ancient pride of the people of Bengal is being banished due to lack of culture")</f>
        <v>The ancient pride of the people of Bengal is being banished due to lack of culture</v>
      </c>
    </row>
    <row r="901" spans="1:3" ht="15" x14ac:dyDescent="0.25">
      <c r="A901" s="3" t="s">
        <v>900</v>
      </c>
      <c r="B901" s="3" t="s">
        <v>4</v>
      </c>
      <c r="C901" s="2" t="str">
        <f ca="1">IFERROR(__xludf.DUMMYFUNCTION("GOOGLETRANSLATE(A901,""bn"",""en"")"),"False statements published on Twitter are losing confidence in the path of truth")</f>
        <v>False statements published on Twitter are losing confidence in the path of truth</v>
      </c>
    </row>
    <row r="902" spans="1:3" ht="15" x14ac:dyDescent="0.25">
      <c r="A902" s="3" t="s">
        <v>901</v>
      </c>
      <c r="B902" s="3" t="s">
        <v>4</v>
      </c>
      <c r="C902" s="2" t="str">
        <f ca="1">IFERROR(__xludf.DUMMYFUNCTION("GOOGLETRANSLATE(A902,""bn"",""en"")"),"Even if the acquaintance is short, the memories left will last a lifetime")</f>
        <v>Even if the acquaintance is short, the memories left will last a lifetime</v>
      </c>
    </row>
    <row r="903" spans="1:3" ht="15" x14ac:dyDescent="0.25">
      <c r="A903" s="3" t="s">
        <v>902</v>
      </c>
      <c r="B903" s="3" t="s">
        <v>4</v>
      </c>
      <c r="C903" s="2" t="str">
        <f ca="1">IFERROR(__xludf.DUMMYFUNCTION("GOOGLETRANSLATE(A903,""bn"",""en"")"),"After losing the path of truth, a darkness rushes in my mind")</f>
        <v>After losing the path of truth, a darkness rushes in my mind</v>
      </c>
    </row>
    <row r="904" spans="1:3" ht="15" x14ac:dyDescent="0.25">
      <c r="A904" s="3" t="s">
        <v>903</v>
      </c>
      <c r="B904" s="3" t="s">
        <v>4</v>
      </c>
      <c r="C904" s="2" t="str">
        <f ca="1">IFERROR(__xludf.DUMMYFUNCTION("GOOGLETRANSLATE(A904,""bn"",""en"")"),"Even if a parent suffers from their child, they never abuse them, they do not wish their child harm")</f>
        <v>Even if a parent suffers from their child, they never abuse them, they do not wish their child harm</v>
      </c>
    </row>
    <row r="905" spans="1:3" ht="15" x14ac:dyDescent="0.25">
      <c r="A905" s="3" t="s">
        <v>904</v>
      </c>
      <c r="B905" s="3" t="s">
        <v>4</v>
      </c>
      <c r="C905" s="2" t="str">
        <f ca="1">IFERROR(__xludf.DUMMYFUNCTION("GOOGLETRANSLATE(A905,""bn"",""en"")"),"Some of life's path is not so difficult to walk alone but if you walk with one person")</f>
        <v>Some of life's path is not so difficult to walk alone but if you walk with one person</v>
      </c>
    </row>
    <row r="906" spans="1:3" ht="15" x14ac:dyDescent="0.25">
      <c r="A906" s="3" t="s">
        <v>905</v>
      </c>
      <c r="B906" s="3" t="s">
        <v>4</v>
      </c>
      <c r="C906" s="2" t="str">
        <f ca="1">IFERROR(__xludf.DUMMYFUNCTION("GOOGLETRANSLATE(A906,""bn"",""en"")"),"My sky is lost with the sound of war along with the light of my sky")</f>
        <v>My sky is lost with the sound of war along with the light of my sky</v>
      </c>
    </row>
    <row r="907" spans="1:3" ht="15" x14ac:dyDescent="0.25">
      <c r="A907" s="3" t="s">
        <v>906</v>
      </c>
      <c r="B907" s="3" t="s">
        <v>4</v>
      </c>
      <c r="C907" s="2" t="str">
        <f ca="1">IFERROR(__xludf.DUMMYFUNCTION("GOOGLETRANSLATE(A907,""bn"",""en"")"),"Where neglect replaces love, life becomes empty and painful")</f>
        <v>Where neglect replaces love, life becomes empty and painful</v>
      </c>
    </row>
    <row r="908" spans="1:3" ht="15" x14ac:dyDescent="0.25">
      <c r="A908" s="3" t="s">
        <v>907</v>
      </c>
      <c r="B908" s="3" t="s">
        <v>4</v>
      </c>
      <c r="C908" s="2" t="str">
        <f ca="1">IFERROR(__xludf.DUMMYFUNCTION("GOOGLETRANSLATE(A908,""bn"",""en"")"),"Youthful dreams lost in the universe of Twitter on the silent side of false hope")</f>
        <v>Youthful dreams lost in the universe of Twitter on the silent side of false hope</v>
      </c>
    </row>
    <row r="909" spans="1:3" ht="15" x14ac:dyDescent="0.25">
      <c r="A909" s="3" t="s">
        <v>908</v>
      </c>
      <c r="B909" s="3" t="s">
        <v>4</v>
      </c>
      <c r="C909" s="2" t="str">
        <f ca="1">IFERROR(__xludf.DUMMYFUNCTION("GOOGLETRANSLATE(A909,""bn"",""en"")"),"If someone doesn't understand the value of your love, don't feel helpless, life is not so trivial")</f>
        <v>If someone doesn't understand the value of your love, don't feel helpless, life is not so trivial</v>
      </c>
    </row>
    <row r="910" spans="1:3" ht="15" x14ac:dyDescent="0.25">
      <c r="A910" s="3" t="s">
        <v>909</v>
      </c>
      <c r="B910" s="3" t="s">
        <v>4</v>
      </c>
      <c r="C910" s="2" t="str">
        <f ca="1">IFERROR(__xludf.DUMMYFUNCTION("GOOGLETRANSLATE(A910,""bn"",""en"")"),"Time found in personal life is lost in my work day")</f>
        <v>Time found in personal life is lost in my work day</v>
      </c>
    </row>
    <row r="911" spans="1:3" ht="15" x14ac:dyDescent="0.25">
      <c r="A911" s="3" t="s">
        <v>910</v>
      </c>
      <c r="B911" s="3" t="s">
        <v>4</v>
      </c>
      <c r="C911" s="2" t="str">
        <f ca="1">IFERROR(__xludf.DUMMYFUNCTION("GOOGLETRANSLATE(A911,""bn"",""en"")"),"There are some things that cannot be said to anyone but must be carried in the chest")</f>
        <v>There are some things that cannot be said to anyone but must be carried in the chest</v>
      </c>
    </row>
    <row r="912" spans="1:3" ht="15" x14ac:dyDescent="0.25">
      <c r="A912" s="3" t="s">
        <v>911</v>
      </c>
      <c r="B912" s="3" t="s">
        <v>4</v>
      </c>
      <c r="C912" s="2" t="str">
        <f ca="1">IFERROR(__xludf.DUMMYFUNCTION("GOOGLETRANSLATE(A912,""bn"",""en"")"),"Both have changed today, one by their own will and the other by compulsion")</f>
        <v>Both have changed today, one by their own will and the other by compulsion</v>
      </c>
    </row>
    <row r="913" spans="1:3" ht="15" x14ac:dyDescent="0.25">
      <c r="A913" s="3" t="s">
        <v>912</v>
      </c>
      <c r="B913" s="3" t="s">
        <v>4</v>
      </c>
      <c r="C913" s="2" t="str">
        <f ca="1">IFERROR(__xludf.DUMMYFUNCTION("GOOGLETRANSLATE(A913,""bn"",""en"")"),"A Friendship of Lost Hope No lie survives the war")</f>
        <v>A Friendship of Lost Hope No lie survives the war</v>
      </c>
    </row>
    <row r="914" spans="1:3" ht="15" x14ac:dyDescent="0.25">
      <c r="A914" s="3" t="s">
        <v>913</v>
      </c>
      <c r="B914" s="3" t="s">
        <v>4</v>
      </c>
      <c r="C914" s="2" t="str">
        <f ca="1">IFERROR(__xludf.DUMMYFUNCTION("GOOGLETRANSLATE(A914,""bn"",""en"")"),"Relationships within families often increase uncertainty and instability")</f>
        <v>Relationships within families often increase uncertainty and instability</v>
      </c>
    </row>
    <row r="915" spans="1:3" ht="15" x14ac:dyDescent="0.25">
      <c r="A915" s="3" t="s">
        <v>914</v>
      </c>
      <c r="B915" s="3" t="s">
        <v>4</v>
      </c>
      <c r="C915" s="2" t="str">
        <f ca="1">IFERROR(__xludf.DUMMYFUNCTION("GOOGLETRANSLATE(A915,""bn"",""en"")"),"Always keep yourself calm")</f>
        <v>Always keep yourself calm</v>
      </c>
    </row>
    <row r="916" spans="1:3" ht="15" x14ac:dyDescent="0.25">
      <c r="A916" s="3" t="s">
        <v>915</v>
      </c>
      <c r="B916" s="3" t="s">
        <v>4</v>
      </c>
      <c r="C916" s="2" t="str">
        <f ca="1">IFERROR(__xludf.DUMMYFUNCTION("GOOGLETRANSLATE(A916,""bn"",""en"")"),"There is no greater punishment than negligence which breaks the human mind")</f>
        <v>There is no greater punishment than negligence which breaks the human mind</v>
      </c>
    </row>
    <row r="917" spans="1:3" ht="15" x14ac:dyDescent="0.25">
      <c r="A917" s="3" t="s">
        <v>916</v>
      </c>
      <c r="B917" s="3" t="s">
        <v>4</v>
      </c>
      <c r="C917" s="2" t="str">
        <f ca="1">IFERROR(__xludf.DUMMYFUNCTION("GOOGLETRANSLATE(A917,""bn"",""en"")"),"Empty Chest Pockets Prisoners Divided Society Upper and Lower Class Work System Irony of Fate Earns Priceless Degree Unemployment")</f>
        <v>Empty Chest Pockets Prisoners Divided Society Upper and Lower Class Work System Irony of Fate Earns Priceless Degree Unemployment</v>
      </c>
    </row>
    <row r="918" spans="1:3" ht="15" x14ac:dyDescent="0.25">
      <c r="A918" s="3" t="s">
        <v>917</v>
      </c>
      <c r="B918" s="3" t="s">
        <v>4</v>
      </c>
      <c r="C918" s="2" t="str">
        <f ca="1">IFERROR(__xludf.DUMMYFUNCTION("GOOGLETRANSLATE(A918,""bn"",""en"")"),"Son says mother I am returning home with new saree son is returning to my home in hearse")</f>
        <v>Son says mother I am returning home with new saree son is returning to my home in hearse</v>
      </c>
    </row>
    <row r="919" spans="1:3" ht="15" x14ac:dyDescent="0.25">
      <c r="A919" s="3" t="s">
        <v>918</v>
      </c>
      <c r="B919" s="3" t="s">
        <v>4</v>
      </c>
      <c r="C919" s="2" t="str">
        <f ca="1">IFERROR(__xludf.DUMMYFUNCTION("GOOGLETRANSLATE(A919,""bn"",""en"")"),"Loneliness can be beautiful but being lonely is a tragedy")</f>
        <v>Loneliness can be beautiful but being lonely is a tragedy</v>
      </c>
    </row>
    <row r="920" spans="1:3" ht="15" x14ac:dyDescent="0.25">
      <c r="A920" s="3" t="s">
        <v>919</v>
      </c>
      <c r="B920" s="3" t="s">
        <v>4</v>
      </c>
      <c r="C920" s="2" t="str">
        <f ca="1">IFERROR(__xludf.DUMMYFUNCTION("GOOGLETRANSLATE(A920,""bn"",""en"")"),"Day by day people's health improves and mine deteriorates")</f>
        <v>Day by day people's health improves and mine deteriorates</v>
      </c>
    </row>
    <row r="921" spans="1:3" ht="15" x14ac:dyDescent="0.25">
      <c r="A921" s="3" t="s">
        <v>920</v>
      </c>
      <c r="B921" s="3" t="s">
        <v>4</v>
      </c>
      <c r="C921" s="2" t="str">
        <f ca="1">IFERROR(__xludf.DUMMYFUNCTION("GOOGLETRANSLATE(A921,""bn"",""en"")"),"Lack of money weakens a person in every way")</f>
        <v>Lack of money weakens a person in every way</v>
      </c>
    </row>
    <row r="922" spans="1:3" ht="15" x14ac:dyDescent="0.25">
      <c r="A922" s="3" t="s">
        <v>921</v>
      </c>
      <c r="B922" s="3" t="s">
        <v>4</v>
      </c>
      <c r="C922" s="2" t="str">
        <f ca="1">IFERROR(__xludf.DUMMYFUNCTION("GOOGLETRANSLATE(A922,""bn"",""en"")"),"I lost myself because my faith in truth was broken")</f>
        <v>I lost myself because my faith in truth was broken</v>
      </c>
    </row>
    <row r="923" spans="1:3" ht="15" x14ac:dyDescent="0.25">
      <c r="A923" s="3" t="s">
        <v>922</v>
      </c>
      <c r="B923" s="3" t="s">
        <v>4</v>
      </c>
      <c r="C923" s="2" t="str">
        <f ca="1">IFERROR(__xludf.DUMMYFUNCTION("GOOGLETRANSLATE(A923,""bn"",""en"")"),"If you fear failure, you don't deserve to succeed")</f>
        <v>If you fear failure, you don't deserve to succeed</v>
      </c>
    </row>
    <row r="924" spans="1:3" ht="15" x14ac:dyDescent="0.25">
      <c r="A924" s="3" t="s">
        <v>923</v>
      </c>
      <c r="B924" s="3" t="s">
        <v>4</v>
      </c>
      <c r="C924" s="2" t="str">
        <f ca="1">IFERROR(__xludf.DUMMYFUNCTION("GOOGLETRANSLATE(A924,""bn"",""en"")"),"Shocked by the irony of fate, I lost interest in life")</f>
        <v>Shocked by the irony of fate, I lost interest in life</v>
      </c>
    </row>
    <row r="925" spans="1:3" ht="15" x14ac:dyDescent="0.25">
      <c r="A925" s="3" t="s">
        <v>924</v>
      </c>
      <c r="B925" s="3" t="s">
        <v>4</v>
      </c>
      <c r="C925" s="2" t="str">
        <f ca="1">IFERROR(__xludf.DUMMYFUNCTION("GOOGLETRANSLATE(A925,""bn"",""en"")"),"The neglect of a loved one is more painful than the neglect of all others")</f>
        <v>The neglect of a loved one is more painful than the neglect of all others</v>
      </c>
    </row>
    <row r="926" spans="1:3" ht="15" x14ac:dyDescent="0.25">
      <c r="A926" s="3" t="s">
        <v>925</v>
      </c>
      <c r="B926" s="3" t="s">
        <v>4</v>
      </c>
      <c r="C926" s="2" t="str">
        <f ca="1">IFERROR(__xludf.DUMMYFUNCTION("GOOGLETRANSLATE(A926,""bn"",""en"")"),"My life is now only in darkness due to lack of family")</f>
        <v>My life is now only in darkness due to lack of family</v>
      </c>
    </row>
    <row r="927" spans="1:3" ht="15" x14ac:dyDescent="0.25">
      <c r="A927" s="3" t="s">
        <v>926</v>
      </c>
      <c r="B927" s="3" t="s">
        <v>4</v>
      </c>
      <c r="C927" s="2" t="str">
        <f ca="1">IFERROR(__xludf.DUMMYFUNCTION("GOOGLETRANSLATE(A927,""bn"",""en"")"),"I couldn't say I love, the pain is still burning in my chest")</f>
        <v>I couldn't say I love, the pain is still burning in my chest</v>
      </c>
    </row>
    <row r="928" spans="1:3" ht="15" x14ac:dyDescent="0.25">
      <c r="A928" s="3" t="s">
        <v>927</v>
      </c>
      <c r="B928" s="3" t="s">
        <v>4</v>
      </c>
      <c r="C928" s="2" t="str">
        <f ca="1">IFERROR(__xludf.DUMMYFUNCTION("GOOGLETRANSLATE(A928,""bn"",""en"")"),"After the events of the war we were created an undeniably dangerous world")</f>
        <v>After the events of the war we were created an undeniably dangerous world</v>
      </c>
    </row>
    <row r="929" spans="1:3" ht="15" x14ac:dyDescent="0.25">
      <c r="A929" s="3" t="s">
        <v>928</v>
      </c>
      <c r="B929" s="3" t="s">
        <v>4</v>
      </c>
      <c r="C929" s="2" t="str">
        <f ca="1">IFERROR(__xludf.DUMMYFUNCTION("GOOGLETRANSLATE(A929,""bn"",""en"")"),"The experience of losing a life in the colors of war is like painting under one")</f>
        <v>The experience of losing a life in the colors of war is like painting under one</v>
      </c>
    </row>
    <row r="930" spans="1:3" ht="15" x14ac:dyDescent="0.25">
      <c r="A930" s="3" t="s">
        <v>929</v>
      </c>
      <c r="B930" s="3" t="s">
        <v>4</v>
      </c>
      <c r="C930" s="2" t="str">
        <f ca="1">IFERROR(__xludf.DUMMYFUNCTION("GOOGLETRANSLATE(A930,""bn"",""en"")"),"If you forget, time slips into darkness")</f>
        <v>If you forget, time slips into darkness</v>
      </c>
    </row>
    <row r="931" spans="1:3" ht="15" x14ac:dyDescent="0.25">
      <c r="A931" s="3" t="s">
        <v>930</v>
      </c>
      <c r="B931" s="3" t="s">
        <v>4</v>
      </c>
      <c r="C931" s="2" t="str">
        <f ca="1">IFERROR(__xludf.DUMMYFUNCTION("GOOGLETRANSLATE(A931,""bn"",""en"")"),"Time is running out while giving quizzes, I can't give time for skill development")</f>
        <v>Time is running out while giving quizzes, I can't give time for skill development</v>
      </c>
    </row>
    <row r="932" spans="1:3" ht="15" x14ac:dyDescent="0.25">
      <c r="A932" s="3" t="s">
        <v>931</v>
      </c>
      <c r="B932" s="3" t="s">
        <v>4</v>
      </c>
      <c r="C932" s="2" t="str">
        <f ca="1">IFERROR(__xludf.DUMMYFUNCTION("GOOGLETRANSLATE(A932,""bn"",""en"")"),"The elder son of the family, Rai, can realize after his father how much his father has suffered for the family throughout his life")</f>
        <v>The elder son of the family, Rai, can realize after his father how much his father has suffered for the family throughout his life</v>
      </c>
    </row>
    <row r="933" spans="1:3" ht="15" x14ac:dyDescent="0.25">
      <c r="A933" s="3" t="s">
        <v>932</v>
      </c>
      <c r="B933" s="3" t="s">
        <v>4</v>
      </c>
      <c r="C933" s="2" t="str">
        <f ca="1">IFERROR(__xludf.DUMMYFUNCTION("GOOGLETRANSLATE(A933,""bn"",""en"")"),"In fact, life is a story without plot, every line of which is very simple to read but equally difficult to understand")</f>
        <v>In fact, life is a story without plot, every line of which is very simple to read but equally difficult to understand</v>
      </c>
    </row>
    <row r="934" spans="1:3" ht="15" x14ac:dyDescent="0.25">
      <c r="A934" s="3" t="s">
        <v>933</v>
      </c>
      <c r="B934" s="3" t="s">
        <v>4</v>
      </c>
      <c r="C934" s="2" t="str">
        <f ca="1">IFERROR(__xludf.DUMMYFUNCTION("GOOGLETRANSLATE(A934,""bn"",""en"")"),"There is no color of amusement floating in the sorrowful juice of the mind")</f>
        <v>There is no color of amusement floating in the sorrowful juice of the mind</v>
      </c>
    </row>
    <row r="935" spans="1:3" ht="15" x14ac:dyDescent="0.25">
      <c r="A935" s="3" t="s">
        <v>934</v>
      </c>
      <c r="B935" s="3" t="s">
        <v>4</v>
      </c>
      <c r="C935" s="2" t="str">
        <f ca="1">IFERROR(__xludf.DUMMYFUNCTION("GOOGLETRANSLATE(A935,""bn"",""en"")"),"He is so busy with work that he doesn't hang out with his friends")</f>
        <v>He is so busy with work that he doesn't hang out with his friends</v>
      </c>
    </row>
    <row r="936" spans="1:3" ht="15" x14ac:dyDescent="0.25">
      <c r="A936" s="3" t="s">
        <v>935</v>
      </c>
      <c r="B936" s="3" t="s">
        <v>4</v>
      </c>
      <c r="C936" s="2" t="str">
        <f ca="1">IFERROR(__xludf.DUMMYFUNCTION("GOOGLETRANSLATE(A936,""bn"",""en"")"),"No matter how much I bought a guitar, I can't even practice and learn because of lack of time to learn")</f>
        <v>No matter how much I bought a guitar, I can't even practice and learn because of lack of time to learn</v>
      </c>
    </row>
    <row r="937" spans="1:3" ht="15" x14ac:dyDescent="0.25">
      <c r="A937" s="3" t="s">
        <v>936</v>
      </c>
      <c r="B937" s="3" t="s">
        <v>4</v>
      </c>
      <c r="C937" s="2" t="str">
        <f ca="1">IFERROR(__xludf.DUMMYFUNCTION("GOOGLETRANSLATE(A937,""bn"",""en"")"),"Although the mind is strong in the habit of being alone, the burden of suffering is heavy on the shoulders")</f>
        <v>Although the mind is strong in the habit of being alone, the burden of suffering is heavy on the shoulders</v>
      </c>
    </row>
    <row r="938" spans="1:3" ht="15" x14ac:dyDescent="0.25">
      <c r="A938" s="3" t="s">
        <v>937</v>
      </c>
      <c r="B938" s="3" t="s">
        <v>4</v>
      </c>
      <c r="C938" s="2" t="str">
        <f ca="1">IFERROR(__xludf.DUMMYFUNCTION("GOOGLETRANSLATE(A938,""bn"",""en"")"),"Love means the tension of the heart. Love means a little pride. The water of the bird. The water of the river. The hope of the heart. Its name is love.")</f>
        <v>Love means the tension of the heart. Love means a little pride. The water of the bird. The water of the river. The hope of the heart. Its name is love.</v>
      </c>
    </row>
    <row r="939" spans="1:3" ht="15" x14ac:dyDescent="0.25">
      <c r="A939" s="3" t="s">
        <v>938</v>
      </c>
      <c r="B939" s="3" t="s">
        <v>4</v>
      </c>
      <c r="C939" s="2" t="str">
        <f ca="1">IFERROR(__xludf.DUMMYFUNCTION("GOOGLETRANSLATE(A939,""bn"",""en"")"),"Some people come into our lives just to break our trust")</f>
        <v>Some people come into our lives just to break our trust</v>
      </c>
    </row>
    <row r="940" spans="1:3" ht="15" x14ac:dyDescent="0.25">
      <c r="A940" s="3" t="s">
        <v>939</v>
      </c>
      <c r="B940" s="3" t="s">
        <v>4</v>
      </c>
      <c r="C940" s="2" t="str">
        <f ca="1">IFERROR(__xludf.DUMMYFUNCTION("GOOGLETRANSLATE(A940,""bn"",""en"")"),"A man thinks that he who talks hard can understand hard things")</f>
        <v>A man thinks that he who talks hard can understand hard things</v>
      </c>
    </row>
    <row r="941" spans="1:3" ht="15" x14ac:dyDescent="0.25">
      <c r="A941" s="3" t="s">
        <v>940</v>
      </c>
      <c r="B941" s="3" t="s">
        <v>4</v>
      </c>
      <c r="C941" s="2" t="str">
        <f ca="1">IFERROR(__xludf.DUMMYFUNCTION("GOOGLETRANSLATE(A941,""bn"",""en"")"),"You have to learn to live with your imagination")</f>
        <v>You have to learn to live with your imagination</v>
      </c>
    </row>
    <row r="942" spans="1:3" ht="15" x14ac:dyDescent="0.25">
      <c r="A942" s="3" t="s">
        <v>941</v>
      </c>
      <c r="B942" s="3" t="s">
        <v>4</v>
      </c>
      <c r="C942" s="2" t="str">
        <f ca="1">IFERROR(__xludf.DUMMYFUNCTION("GOOGLETRANSLATE(A942,""bn"",""en"")"),"The devastation of war is felt only by grief and lack of existence")</f>
        <v>The devastation of war is felt only by grief and lack of existence</v>
      </c>
    </row>
    <row r="943" spans="1:3" ht="15" x14ac:dyDescent="0.25">
      <c r="A943" s="3" t="s">
        <v>942</v>
      </c>
      <c r="B943" s="3" t="s">
        <v>4</v>
      </c>
      <c r="C943" s="2" t="str">
        <f ca="1">IFERROR(__xludf.DUMMYFUNCTION("GOOGLETRANSLATE(A943,""bn"",""en"")"),"The most painful goodbyes are those that are never said and never explained")</f>
        <v>The most painful goodbyes are those that are never said and never explained</v>
      </c>
    </row>
    <row r="944" spans="1:3" ht="15" x14ac:dyDescent="0.25">
      <c r="A944" s="3" t="s">
        <v>943</v>
      </c>
      <c r="B944" s="3" t="s">
        <v>4</v>
      </c>
      <c r="C944" s="2" t="str">
        <f ca="1">IFERROR(__xludf.DUMMYFUNCTION("GOOGLETRANSLATE(A944,""bn"",""en"")"),"Watching movies has changed a lot in my life as it has become a lot of entertainment")</f>
        <v>Watching movies has changed a lot in my life as it has become a lot of entertainment</v>
      </c>
    </row>
    <row r="945" spans="1:3" ht="15" x14ac:dyDescent="0.25">
      <c r="A945" s="3" t="s">
        <v>944</v>
      </c>
      <c r="B945" s="3" t="s">
        <v>4</v>
      </c>
      <c r="C945" s="2" t="str">
        <f ca="1">IFERROR(__xludf.DUMMYFUNCTION("GOOGLETRANSLATE(A945,""bn"",""en"")"),"The culture of Bengal does not reach the light of happiness")</f>
        <v>The culture of Bengal does not reach the light of happiness</v>
      </c>
    </row>
    <row r="946" spans="1:3" ht="15" x14ac:dyDescent="0.25">
      <c r="A946" s="3" t="s">
        <v>945</v>
      </c>
      <c r="B946" s="3" t="s">
        <v>4</v>
      </c>
      <c r="C946" s="2" t="str">
        <f ca="1">IFERROR(__xludf.DUMMYFUNCTION("GOOGLETRANSLATE(A946,""bn"",""en"")"),"Shoulders are broken under the weight of pain, but you have to smile in front of everyone")</f>
        <v>Shoulders are broken under the weight of pain, but you have to smile in front of everyone</v>
      </c>
    </row>
    <row r="947" spans="1:3" ht="15" x14ac:dyDescent="0.25">
      <c r="A947" s="3" t="s">
        <v>946</v>
      </c>
      <c r="B947" s="3" t="s">
        <v>4</v>
      </c>
      <c r="C947" s="2" t="str">
        <f ca="1">IFERROR(__xludf.DUMMYFUNCTION("GOOGLETRANSLATE(A947,""bn"",""en"")"),"As usual in every project that worsens the condition of the poor, the poor are called as beneficiaries")</f>
        <v>As usual in every project that worsens the condition of the poor, the poor are called as beneficiaries</v>
      </c>
    </row>
    <row r="948" spans="1:3" ht="15" x14ac:dyDescent="0.25">
      <c r="A948" s="3" t="s">
        <v>947</v>
      </c>
      <c r="B948" s="3" t="s">
        <v>4</v>
      </c>
      <c r="C948" s="2" t="str">
        <f ca="1">IFERROR(__xludf.DUMMYFUNCTION("GOOGLETRANSLATE(A948,""bn"",""en"")"),"He who controls the present controls the past")</f>
        <v>He who controls the present controls the past</v>
      </c>
    </row>
    <row r="949" spans="1:3" ht="15" x14ac:dyDescent="0.25">
      <c r="A949" s="3" t="s">
        <v>948</v>
      </c>
      <c r="B949" s="3" t="s">
        <v>4</v>
      </c>
      <c r="C949" s="2" t="str">
        <f ca="1">IFERROR(__xludf.DUMMYFUNCTION("GOOGLETRANSLATE(A949,""bn"",""en"")"),"My life is a story of tragedy, unfulfilled dreams and shattered hopes")</f>
        <v>My life is a story of tragedy, unfulfilled dreams and shattered hopes</v>
      </c>
    </row>
    <row r="950" spans="1:3" ht="15" x14ac:dyDescent="0.25">
      <c r="A950" s="3" t="s">
        <v>949</v>
      </c>
      <c r="B950" s="3" t="s">
        <v>4</v>
      </c>
      <c r="C950" s="2" t="str">
        <f ca="1">IFERROR(__xludf.DUMMYFUNCTION("GOOGLETRANSLATE(A950,""bn"",""en"")"),"We engage in war to live in peace")</f>
        <v>We engage in war to live in peace</v>
      </c>
    </row>
    <row r="951" spans="1:3" ht="15" x14ac:dyDescent="0.25">
      <c r="A951" s="3" t="s">
        <v>950</v>
      </c>
      <c r="B951" s="3" t="s">
        <v>4</v>
      </c>
      <c r="C951" s="2" t="str">
        <f ca="1">IFERROR(__xludf.DUMMYFUNCTION("GOOGLETRANSLATE(A951,""bn"",""en"")"),"Quiz questions are very difficult")</f>
        <v>Quiz questions are very difficult</v>
      </c>
    </row>
    <row r="952" spans="1:3" ht="15" x14ac:dyDescent="0.25">
      <c r="A952" s="3" t="s">
        <v>951</v>
      </c>
      <c r="B952" s="3" t="s">
        <v>4</v>
      </c>
      <c r="C952" s="2" t="str">
        <f ca="1">IFERROR(__xludf.DUMMYFUNCTION("GOOGLETRANSLATE(A952,""bn"",""en"")"),"After watching the movie there is only one realization that everyone's favorite Feluda is safe in the hands of the right person thanks to director Sandeep Roy")</f>
        <v>After watching the movie there is only one realization that everyone's favorite Feluda is safe in the hands of the right person thanks to director Sandeep Roy</v>
      </c>
    </row>
    <row r="953" spans="1:3" ht="15" x14ac:dyDescent="0.25">
      <c r="A953" s="3" t="s">
        <v>952</v>
      </c>
      <c r="B953" s="3" t="s">
        <v>4</v>
      </c>
      <c r="C953" s="2" t="str">
        <f ca="1">IFERROR(__xludf.DUMMYFUNCTION("GOOGLETRANSLATE(A953,""bn"",""en"")"),"After reading a favorite book, it seems that we do not find a way of life for ourselves, only rotting in sincere feelings")</f>
        <v>After reading a favorite book, it seems that we do not find a way of life for ourselves, only rotting in sincere feelings</v>
      </c>
    </row>
    <row r="954" spans="1:3" ht="15" x14ac:dyDescent="0.25">
      <c r="A954" s="3" t="s">
        <v>953</v>
      </c>
      <c r="B954" s="3" t="s">
        <v>4</v>
      </c>
      <c r="C954" s="2" t="str">
        <f ca="1">IFERROR(__xludf.DUMMYFUNCTION("GOOGLETRANSLATE(A954,""bn"",""en"")"),"Values ​​are subject to culture")</f>
        <v>Values ​​are subject to culture</v>
      </c>
    </row>
    <row r="955" spans="1:3" ht="15" x14ac:dyDescent="0.25">
      <c r="A955" s="3" t="s">
        <v>954</v>
      </c>
      <c r="B955" s="3" t="s">
        <v>4</v>
      </c>
      <c r="C955" s="2" t="str">
        <f ca="1">IFERROR(__xludf.DUMMYFUNCTION("GOOGLETRANSLATE(A955,""bn"",""en"")"),"Revolution is not a bed of roses Revolution is a struggle between past and future to the death")</f>
        <v>Revolution is not a bed of roses Revolution is a struggle between past and future to the death</v>
      </c>
    </row>
    <row r="956" spans="1:3" ht="15" x14ac:dyDescent="0.25">
      <c r="A956" s="3" t="s">
        <v>11</v>
      </c>
      <c r="B956" s="3" t="s">
        <v>4</v>
      </c>
      <c r="C956" s="2" t="str">
        <f ca="1">IFERROR(__xludf.DUMMYFUNCTION("GOOGLETRANSLATE(A956,""bn"",""en"")"),"Poverty is the worst form of violence")</f>
        <v>Poverty is the worst form of violence</v>
      </c>
    </row>
    <row r="957" spans="1:3" ht="15" x14ac:dyDescent="0.25">
      <c r="A957" s="3" t="s">
        <v>955</v>
      </c>
      <c r="B957" s="3" t="s">
        <v>4</v>
      </c>
      <c r="C957" s="2" t="str">
        <f ca="1">IFERROR(__xludf.DUMMYFUNCTION("GOOGLETRANSLATE(A957,""bn"",""en"")"),"Sometimes I lose myself in the crowd of acquaintances, sometimes I lose my identity in a chaotic storm in my chest, in the colorless pain.")</f>
        <v>Sometimes I lose myself in the crowd of acquaintances, sometimes I lose my identity in a chaotic storm in my chest, in the colorless pain.</v>
      </c>
    </row>
    <row r="958" spans="1:3" ht="15" x14ac:dyDescent="0.25">
      <c r="A958" s="3" t="s">
        <v>956</v>
      </c>
      <c r="B958" s="3" t="s">
        <v>4</v>
      </c>
      <c r="C958" s="2" t="str">
        <f ca="1">IFERROR(__xludf.DUMMYFUNCTION("GOOGLETRANSLATE(A958,""bn"",""en"")"),"If you believe, there is no fear of loss, but if you are in danger, there is no hope")</f>
        <v>If you believe, there is no fear of loss, but if you are in danger, there is no hope</v>
      </c>
    </row>
    <row r="959" spans="1:3" ht="15" x14ac:dyDescent="0.25">
      <c r="A959" s="3" t="s">
        <v>957</v>
      </c>
      <c r="B959" s="3" t="s">
        <v>4</v>
      </c>
      <c r="C959" s="2" t="str">
        <f ca="1">IFERROR(__xludf.DUMMYFUNCTION("GOOGLETRANSLATE(A959,""bn"",""en"")"),"Anarchy makes the beautiful world ugly")</f>
        <v>Anarchy makes the beautiful world ugly</v>
      </c>
    </row>
    <row r="960" spans="1:3" ht="15" x14ac:dyDescent="0.25">
      <c r="A960" s="3" t="s">
        <v>958</v>
      </c>
      <c r="B960" s="3" t="s">
        <v>4</v>
      </c>
      <c r="C960" s="2" t="str">
        <f ca="1">IFERROR(__xludf.DUMMYFUNCTION("GOOGLETRANSLATE(A960,""bn"",""en"")"),"In today's world, more people forget than remember")</f>
        <v>In today's world, more people forget than remember</v>
      </c>
    </row>
    <row r="961" spans="1:3" ht="15" x14ac:dyDescent="0.25">
      <c r="A961" s="3" t="s">
        <v>959</v>
      </c>
      <c r="B961" s="3" t="s">
        <v>4</v>
      </c>
      <c r="C961" s="2" t="str">
        <f ca="1">IFERROR(__xludf.DUMMYFUNCTION("GOOGLETRANSLATE(A961,""bn"",""en"")"),"Every relationship has its own value and dignity, if you give each relationship the respect it deserves, that relationship will never break")</f>
        <v>Every relationship has its own value and dignity, if you give each relationship the respect it deserves, that relationship will never break</v>
      </c>
    </row>
    <row r="962" spans="1:3" ht="15" x14ac:dyDescent="0.25">
      <c r="A962" s="3" t="s">
        <v>960</v>
      </c>
      <c r="B962" s="3" t="s">
        <v>4</v>
      </c>
      <c r="C962" s="2" t="str">
        <f ca="1">IFERROR(__xludf.DUMMYFUNCTION("GOOGLETRANSLATE(A962,""bn"",""en"")"),"you have changed")</f>
        <v>you have changed</v>
      </c>
    </row>
    <row r="963" spans="1:3" ht="15" x14ac:dyDescent="0.25">
      <c r="A963" s="3" t="s">
        <v>961</v>
      </c>
      <c r="B963" s="3" t="s">
        <v>4</v>
      </c>
      <c r="C963" s="2" t="str">
        <f ca="1">IFERROR(__xludf.DUMMYFUNCTION("GOOGLETRANSLATE(A963,""bn"",""en"")"),"It is sad to remember how restless we are to receive war damage")</f>
        <v>It is sad to remember how restless we are to receive war damage</v>
      </c>
    </row>
    <row r="964" spans="1:3" ht="15" x14ac:dyDescent="0.25">
      <c r="A964" s="3" t="s">
        <v>962</v>
      </c>
      <c r="B964" s="3" t="s">
        <v>4</v>
      </c>
      <c r="C964" s="2" t="str">
        <f ca="1">IFERROR(__xludf.DUMMYFUNCTION("GOOGLETRANSLATE(A964,""bn"",""en"")"),"I can't find myself without my own time, which takes up a lot of time in my work life")</f>
        <v>I can't find myself without my own time, which takes up a lot of time in my work life</v>
      </c>
    </row>
    <row r="965" spans="1:3" ht="15" x14ac:dyDescent="0.25">
      <c r="A965" s="3" t="s">
        <v>963</v>
      </c>
      <c r="B965" s="3" t="s">
        <v>4</v>
      </c>
      <c r="C965" s="2" t="str">
        <f ca="1">IFERROR(__xludf.DUMMYFUNCTION("GOOGLETRANSLATE(A965,""bn"",""en"")"),"Flowers of happiness never bloom where seeds of indifference are planted")</f>
        <v>Flowers of happiness never bloom where seeds of indifference are planted</v>
      </c>
    </row>
    <row r="966" spans="1:3" ht="15" x14ac:dyDescent="0.25">
      <c r="A966" s="3" t="s">
        <v>964</v>
      </c>
      <c r="B966" s="3" t="s">
        <v>4</v>
      </c>
      <c r="C966" s="2" t="str">
        <f ca="1">IFERROR(__xludf.DUMMYFUNCTION("GOOGLETRANSLATE(A966,""bn"",""en"")"),"The mind is scattered in the ocean of tears due to the stigma of culture")</f>
        <v>The mind is scattered in the ocean of tears due to the stigma of culture</v>
      </c>
    </row>
    <row r="967" spans="1:3" ht="15" x14ac:dyDescent="0.25">
      <c r="A967" s="3" t="s">
        <v>965</v>
      </c>
      <c r="B967" s="3" t="s">
        <v>4</v>
      </c>
      <c r="C967" s="2" t="str">
        <f ca="1">IFERROR(__xludf.DUMMYFUNCTION("GOOGLETRANSLATE(A967,""bn"",""en"")"),"Just like we read academic books in real life but most people don't read religious books with interest")</f>
        <v>Just like we read academic books in real life but most people don't read religious books with interest</v>
      </c>
    </row>
    <row r="968" spans="1:3" ht="15" x14ac:dyDescent="0.25">
      <c r="A968" s="3" t="s">
        <v>966</v>
      </c>
      <c r="B968" s="3" t="s">
        <v>4</v>
      </c>
      <c r="C968" s="2" t="str">
        <f ca="1">IFERROR(__xludf.DUMMYFUNCTION("GOOGLETRANSLATE(A968,""bn"",""en"")"),"Depression is not only because of love, family thoughts, loneliness, future thoughts also cause depression")</f>
        <v>Depression is not only because of love, family thoughts, loneliness, future thoughts also cause depression</v>
      </c>
    </row>
    <row r="969" spans="1:3" ht="15" x14ac:dyDescent="0.25">
      <c r="A969" s="3" t="s">
        <v>967</v>
      </c>
      <c r="B969" s="3" t="s">
        <v>4</v>
      </c>
      <c r="C969" s="2" t="str">
        <f ca="1">IFERROR(__xludf.DUMMYFUNCTION("GOOGLETRANSLATE(A969,""bn"",""en"")"),"The children of the present generation do not get the education that we are learning in school and college earlier")</f>
        <v>The children of the present generation do not get the education that we are learning in school and college earlier</v>
      </c>
    </row>
    <row r="970" spans="1:3" ht="15" x14ac:dyDescent="0.25">
      <c r="A970" s="3" t="s">
        <v>968</v>
      </c>
      <c r="B970" s="3" t="s">
        <v>4</v>
      </c>
      <c r="C970" s="2" t="str">
        <f ca="1">IFERROR(__xludf.DUMMYFUNCTION("GOOGLETRANSLATE(A970,""bn"",""en"")"),"As the night deepens, the city falls asleep and only wakes up with a lonely mind counting the hours waiting for someone")</f>
        <v>As the night deepens, the city falls asleep and only wakes up with a lonely mind counting the hours waiting for someone</v>
      </c>
    </row>
    <row r="971" spans="1:3" ht="15" x14ac:dyDescent="0.25">
      <c r="A971" s="3" t="s">
        <v>969</v>
      </c>
      <c r="B971" s="3" t="s">
        <v>4</v>
      </c>
      <c r="C971" s="2" t="str">
        <f ca="1">IFERROR(__xludf.DUMMYFUNCTION("GOOGLETRANSLATE(A971,""bn"",""en"")"),"They are very selfish who change loved ones out of necessity")</f>
        <v>They are very selfish who change loved ones out of necessity</v>
      </c>
    </row>
    <row r="972" spans="1:3" ht="15" x14ac:dyDescent="0.25">
      <c r="A972" s="3" t="s">
        <v>970</v>
      </c>
      <c r="B972" s="3" t="s">
        <v>4</v>
      </c>
      <c r="C972" s="2" t="str">
        <f ca="1">IFERROR(__xludf.DUMMYFUNCTION("GOOGLETRANSLATE(A972,""bn"",""en"")"),"Friendship often manifests as love")</f>
        <v>Friendship often manifests as love</v>
      </c>
    </row>
    <row r="973" spans="1:3" ht="15" x14ac:dyDescent="0.25">
      <c r="A973" s="3" t="s">
        <v>971</v>
      </c>
      <c r="B973" s="3" t="s">
        <v>4</v>
      </c>
      <c r="C973" s="2" t="str">
        <f ca="1">IFERROR(__xludf.DUMMYFUNCTION("GOOGLETRANSLATE(A973,""bn"",""en"")"),"The grief and plan of the heroes to take part in the power game is always absent")</f>
        <v>The grief and plan of the heroes to take part in the power game is always absent</v>
      </c>
    </row>
    <row r="974" spans="1:3" ht="15" x14ac:dyDescent="0.25">
      <c r="A974" s="3" t="s">
        <v>972</v>
      </c>
      <c r="B974" s="3" t="s">
        <v>4</v>
      </c>
      <c r="C974" s="2" t="str">
        <f ca="1">IFERROR(__xludf.DUMMYFUNCTION("GOOGLETRANSLATE(A974,""bn"",""en"")"),"People have forgotten the value of their own culture in the midst of culture")</f>
        <v>People have forgotten the value of their own culture in the midst of culture</v>
      </c>
    </row>
    <row r="975" spans="1:3" ht="15" x14ac:dyDescent="0.25">
      <c r="A975" s="3" t="s">
        <v>973</v>
      </c>
      <c r="B975" s="3" t="s">
        <v>4</v>
      </c>
      <c r="C975" s="2" t="str">
        <f ca="1">IFERROR(__xludf.DUMMYFUNCTION("GOOGLETRANSLATE(A975,""bn"",""en"")"),"Seeing the reality, many dreams have to be abandoned")</f>
        <v>Seeing the reality, many dreams have to be abandoned</v>
      </c>
    </row>
    <row r="976" spans="1:3" ht="15" x14ac:dyDescent="0.25">
      <c r="A976" s="3" t="s">
        <v>974</v>
      </c>
      <c r="B976" s="3" t="s">
        <v>4</v>
      </c>
      <c r="C976" s="2" t="str">
        <f ca="1">IFERROR(__xludf.DUMMYFUNCTION("GOOGLETRANSLATE(A976,""bn"",""en"")"),"One day many things may remain unfinished in this finished life")</f>
        <v>One day many things may remain unfinished in this finished life</v>
      </c>
    </row>
    <row r="977" spans="1:3" ht="15" x14ac:dyDescent="0.25">
      <c r="A977" s="3" t="s">
        <v>975</v>
      </c>
      <c r="B977" s="3" t="s">
        <v>4</v>
      </c>
      <c r="C977" s="2" t="str">
        <f ca="1">IFERROR(__xludf.DUMMYFUNCTION("GOOGLETRANSLATE(A977,""bn"",""en"")"),"Sadness is a bad moment")</f>
        <v>Sadness is a bad moment</v>
      </c>
    </row>
    <row r="978" spans="1:3" ht="15" x14ac:dyDescent="0.25">
      <c r="A978" s="3" t="s">
        <v>976</v>
      </c>
      <c r="B978" s="3" t="s">
        <v>4</v>
      </c>
      <c r="C978" s="2" t="str">
        <f ca="1">IFERROR(__xludf.DUMMYFUNCTION("GOOGLETRANSLATE(A978,""bn"",""en"")"),"The tears of the existence of truth are touching the lap of culture")</f>
        <v>The tears of the existence of truth are touching the lap of culture</v>
      </c>
    </row>
    <row r="979" spans="1:3" ht="15" x14ac:dyDescent="0.25">
      <c r="A979" s="3" t="s">
        <v>977</v>
      </c>
      <c r="B979" s="3" t="s">
        <v>4</v>
      </c>
      <c r="C979" s="2" t="str">
        <f ca="1">IFERROR(__xludf.DUMMYFUNCTION("GOOGLETRANSLATE(A979,""bn"",""en"")"),"Always dreaming but facing disappointment in reality")</f>
        <v>Always dreaming but facing disappointment in reality</v>
      </c>
    </row>
    <row r="980" spans="1:3" ht="15" x14ac:dyDescent="0.25">
      <c r="A980" s="3" t="s">
        <v>978</v>
      </c>
      <c r="B980" s="3" t="s">
        <v>4</v>
      </c>
      <c r="C980" s="2" t="str">
        <f ca="1">IFERROR(__xludf.DUMMYFUNCTION("GOOGLETRANSLATE(A980,""bn"",""en"")"),"Money is better than poverty for financial reasons alone")</f>
        <v>Money is better than poverty for financial reasons alone</v>
      </c>
    </row>
    <row r="981" spans="1:3" ht="15" x14ac:dyDescent="0.25">
      <c r="A981" s="3" t="s">
        <v>979</v>
      </c>
      <c r="B981" s="3" t="s">
        <v>4</v>
      </c>
      <c r="C981" s="2" t="str">
        <f ca="1">IFERROR(__xludf.DUMMYFUNCTION("GOOGLETRANSLATE(A981,""bn"",""en"")"),"The cure is not easy")</f>
        <v>The cure is not easy</v>
      </c>
    </row>
    <row r="982" spans="1:3" ht="15" x14ac:dyDescent="0.25">
      <c r="A982" s="3" t="s">
        <v>980</v>
      </c>
      <c r="B982" s="3" t="s">
        <v>4</v>
      </c>
      <c r="C982" s="2" t="str">
        <f ca="1">IFERROR(__xludf.DUMMYFUNCTION("GOOGLETRANSLATE(A982,""bn"",""en"")"),"Reasons for happiness are as easy to explain to others as reasons for sadness are not so easy to explain. Sorrows are private.")</f>
        <v>Reasons for happiness are as easy to explain to others as reasons for sadness are not so easy to explain. Sorrows are private.</v>
      </c>
    </row>
    <row r="983" spans="1:3" ht="15" x14ac:dyDescent="0.25">
      <c r="A983" s="3" t="s">
        <v>981</v>
      </c>
      <c r="B983" s="3" t="s">
        <v>4</v>
      </c>
      <c r="C983" s="2" t="str">
        <f ca="1">IFERROR(__xludf.DUMMYFUNCTION("GOOGLETRANSLATE(A983,""bn"",""en"")"),"The test of our progress is not whether we add more to the abundance of those who have much or whether we provide enough for those who have little.")</f>
        <v>The test of our progress is not whether we add more to the abundance of those who have much or whether we provide enough for those who have little.</v>
      </c>
    </row>
    <row r="984" spans="1:3" ht="15" x14ac:dyDescent="0.25">
      <c r="A984" s="3" t="s">
        <v>982</v>
      </c>
      <c r="B984" s="3" t="s">
        <v>4</v>
      </c>
      <c r="C984" s="2" t="str">
        <f ca="1">IFERROR(__xludf.DUMMYFUNCTION("GOOGLETRANSLATE(A984,""bn"",""en"")"),"In the world of interests, no one belongs to anyone")</f>
        <v>In the world of interests, no one belongs to anyone</v>
      </c>
    </row>
    <row r="985" spans="1:3" ht="15" x14ac:dyDescent="0.25">
      <c r="A985" s="3" t="s">
        <v>983</v>
      </c>
      <c r="B985" s="3" t="s">
        <v>4</v>
      </c>
      <c r="C985" s="2" t="str">
        <f ca="1">IFERROR(__xludf.DUMMYFUNCTION("GOOGLETRANSLATE(A985,""bn"",""en"")"),"I have no cure for this disease except you")</f>
        <v>I have no cure for this disease except you</v>
      </c>
    </row>
    <row r="986" spans="1:3" ht="15" x14ac:dyDescent="0.25">
      <c r="A986" s="3" t="s">
        <v>984</v>
      </c>
      <c r="B986" s="3" t="s">
        <v>4</v>
      </c>
      <c r="C986" s="2" t="str">
        <f ca="1">IFERROR(__xludf.DUMMYFUNCTION("GOOGLETRANSLATE(A986,""bn"",""en"")"),"It is very difficult for me to climb the stairs")</f>
        <v>It is very difficult for me to climb the stairs</v>
      </c>
    </row>
    <row r="987" spans="1:3" ht="15" x14ac:dyDescent="0.25">
      <c r="A987" s="3" t="s">
        <v>985</v>
      </c>
      <c r="B987" s="3" t="s">
        <v>4</v>
      </c>
      <c r="C987" s="2" t="str">
        <f ca="1">IFERROR(__xludf.DUMMYFUNCTION("GOOGLETRANSLATE(A987,""bn"",""en"")"),"You're the poem I think everyday I can't write You're the picture I imagine I can't paint You're the love I want everyday but never get")</f>
        <v>You're the poem I think everyday I can't write You're the picture I imagine I can't paint You're the love I want everyday but never get</v>
      </c>
    </row>
    <row r="988" spans="1:3" ht="15" x14ac:dyDescent="0.25">
      <c r="A988" s="3" t="s">
        <v>986</v>
      </c>
      <c r="B988" s="3" t="s">
        <v>4</v>
      </c>
      <c r="C988" s="2" t="str">
        <f ca="1">IFERROR(__xludf.DUMMYFUNCTION("GOOGLETRANSLATE(A988,""bn"",""en"")"),"I feel so sad all day today")</f>
        <v>I feel so sad all day today</v>
      </c>
    </row>
    <row r="989" spans="1:3" ht="15" x14ac:dyDescent="0.25">
      <c r="A989" s="3" t="s">
        <v>987</v>
      </c>
      <c r="B989" s="3" t="s">
        <v>4</v>
      </c>
      <c r="C989" s="2" t="str">
        <f ca="1">IFERROR(__xludf.DUMMYFUNCTION("GOOGLETRANSLATE(A989,""bn"",""en"")"),"It is sad but true that people in Bangladesh are not able to succeed in freelancing and start freelancing coaching business")</f>
        <v>It is sad but true that people in Bangladesh are not able to succeed in freelancing and start freelancing coaching business</v>
      </c>
    </row>
    <row r="990" spans="1:3" ht="15" x14ac:dyDescent="0.25">
      <c r="A990" s="3" t="s">
        <v>988</v>
      </c>
      <c r="B990" s="3" t="s">
        <v>4</v>
      </c>
      <c r="C990" s="2" t="str">
        <f ca="1">IFERROR(__xludf.DUMMYFUNCTION("GOOGLETRANSLATE(A990,""bn"",""en"")"),"A relationship depends on two things, one is realizing one's similarities and respecting the other's differences.")</f>
        <v>A relationship depends on two things, one is realizing one's similarities and respecting the other's differences.</v>
      </c>
    </row>
    <row r="991" spans="1:3" ht="15" x14ac:dyDescent="0.25">
      <c r="A991" s="3" t="s">
        <v>989</v>
      </c>
      <c r="B991" s="3" t="s">
        <v>4</v>
      </c>
      <c r="C991" s="2" t="str">
        <f ca="1">IFERROR(__xludf.DUMMYFUNCTION("GOOGLETRANSLATE(A991,""bn"",""en"")"),"Death is not only of the body, sometimes death is also of dreams and desires")</f>
        <v>Death is not only of the body, sometimes death is also of dreams and desires</v>
      </c>
    </row>
    <row r="992" spans="1:3" ht="15" x14ac:dyDescent="0.25">
      <c r="A992" s="3" t="s">
        <v>990</v>
      </c>
      <c r="B992" s="3" t="s">
        <v>4</v>
      </c>
      <c r="C992" s="2" t="str">
        <f ca="1">IFERROR(__xludf.DUMMYFUNCTION("GOOGLETRANSLATE(A992,""bn"",""en"")"),"The interdependence of relationships within families is often uncertain")</f>
        <v>The interdependence of relationships within families is often uncertain</v>
      </c>
    </row>
    <row r="993" spans="1:3" ht="15" x14ac:dyDescent="0.25">
      <c r="A993" s="3" t="s">
        <v>12</v>
      </c>
      <c r="B993" s="3" t="s">
        <v>4</v>
      </c>
      <c r="C993" s="2" t="str">
        <f ca="1">IFERROR(__xludf.DUMMYFUNCTION("GOOGLETRANSLATE(A993,""bn"",""en"")"),"When it comes to spending time on entertainment, there are bigger mistakes to be made")</f>
        <v>When it comes to spending time on entertainment, there are bigger mistakes to be made</v>
      </c>
    </row>
    <row r="994" spans="1:3" ht="15" x14ac:dyDescent="0.25">
      <c r="A994" s="3" t="s">
        <v>991</v>
      </c>
      <c r="B994" s="3" t="s">
        <v>4</v>
      </c>
      <c r="C994" s="2" t="str">
        <f ca="1">IFERROR(__xludf.DUMMYFUNCTION("GOOGLETRANSLATE(A994,""bn"",""en"")"),"Unfortunately society is changing instead of politics")</f>
        <v>Unfortunately society is changing instead of politics</v>
      </c>
    </row>
    <row r="995" spans="1:3" ht="15" x14ac:dyDescent="0.25">
      <c r="A995" s="3" t="s">
        <v>992</v>
      </c>
      <c r="B995" s="3" t="s">
        <v>4</v>
      </c>
      <c r="C995" s="2" t="str">
        <f ca="1">IFERROR(__xludf.DUMMYFUNCTION("GOOGLETRANSLATE(A995,""bn"",""en"")"),"Life is beautiful when no one knows about you")</f>
        <v>Life is beautiful when no one knows about you</v>
      </c>
    </row>
    <row r="996" spans="1:3" ht="15" x14ac:dyDescent="0.25">
      <c r="A996" s="3" t="s">
        <v>993</v>
      </c>
      <c r="B996" s="3" t="s">
        <v>4</v>
      </c>
      <c r="C996" s="2" t="str">
        <f ca="1">IFERROR(__xludf.DUMMYFUNCTION("GOOGLETRANSLATE(A996,""bn"",""en"")"),"The story of the film also beats the reality")</f>
        <v>The story of the film also beats the reality</v>
      </c>
    </row>
    <row r="997" spans="1:3" ht="15" x14ac:dyDescent="0.25">
      <c r="A997" s="3" t="s">
        <v>994</v>
      </c>
      <c r="B997" s="3" t="s">
        <v>4</v>
      </c>
      <c r="C997" s="2" t="str">
        <f ca="1">IFERROR(__xludf.DUMMYFUNCTION("GOOGLETRANSLATE(A997,""bn"",""en"")"),"Childhood days spent with school friends")</f>
        <v>Childhood days spent with school friends</v>
      </c>
    </row>
    <row r="998" spans="1:3" ht="15" x14ac:dyDescent="0.25">
      <c r="A998" s="3" t="s">
        <v>995</v>
      </c>
      <c r="B998" s="3" t="s">
        <v>4</v>
      </c>
      <c r="C998" s="2" t="str">
        <f ca="1">IFERROR(__xludf.DUMMYFUNCTION("GOOGLETRANSLATE(A998,""bn"",""en"")"),"Sick but not defeated")</f>
        <v>Sick but not defeated</v>
      </c>
    </row>
    <row r="999" spans="1:3" ht="15" x14ac:dyDescent="0.25">
      <c r="A999" s="3" t="s">
        <v>996</v>
      </c>
      <c r="B999" s="3" t="s">
        <v>4</v>
      </c>
      <c r="C999" s="2" t="str">
        <f ca="1">IFERROR(__xludf.DUMMYFUNCTION("GOOGLETRANSLATE(A999,""bn"",""en"")"),"It is very easy to dream but do not understand the reality")</f>
        <v>It is very easy to dream but do not understand the reality</v>
      </c>
    </row>
    <row r="1000" spans="1:3" ht="15" x14ac:dyDescent="0.25">
      <c r="A1000" s="3" t="s">
        <v>997</v>
      </c>
      <c r="B1000" s="3" t="s">
        <v>4</v>
      </c>
      <c r="C1000" s="2" t="str">
        <f ca="1">IFERROR(__xludf.DUMMYFUNCTION("GOOGLETRANSLATE(A1000,""bn"",""en"")"),"Education is lost the day I saw the poor syllabus with my own eyes")</f>
        <v>Education is lost the day I saw the poor syllabus with my own eyes</v>
      </c>
    </row>
    <row r="1001" spans="1:3" ht="15" x14ac:dyDescent="0.25">
      <c r="A1001" s="3" t="s">
        <v>998</v>
      </c>
      <c r="B1001" s="3" t="s">
        <v>4</v>
      </c>
      <c r="C1001" s="2" t="str">
        <f ca="1">IFERROR(__xludf.DUMMYFUNCTION("GOOGLETRANSLATE(A1001,""bn"",""en"")"),"There are many people who love but there are very few people who understand the mind")</f>
        <v>There are many people who love but there are very few people who understand the mind</v>
      </c>
    </row>
    <row r="1002" spans="1:3" ht="15" x14ac:dyDescent="0.25">
      <c r="A1002" s="3" t="s">
        <v>999</v>
      </c>
      <c r="B1002" s="3" t="s">
        <v>4</v>
      </c>
      <c r="C1002" s="2" t="str">
        <f ca="1">IFERROR(__xludf.DUMMYFUNCTION("GOOGLETRANSLATE(A1002,""bn"",""en"")"),"The relationship between brother and sister is such that even after hundreds of quarrels, love never diminishes")</f>
        <v>The relationship between brother and sister is such that even after hundreds of quarrels, love never diminishes</v>
      </c>
    </row>
    <row r="1003" spans="1:3" ht="15" x14ac:dyDescent="0.25">
      <c r="A1003" s="3" t="s">
        <v>1000</v>
      </c>
      <c r="B1003" s="3" t="s">
        <v>4</v>
      </c>
      <c r="C1003" s="2" t="str">
        <f ca="1">IFERROR(__xludf.DUMMYFUNCTION("GOOGLETRANSLATE(A1003,""bn"",""en"")"),"I only feel negative towards the lucky because I show the less fortunate that they are not less fortunate after all")</f>
        <v>I only feel negative towards the lucky because I show the less fortunate that they are not less fortunate after all</v>
      </c>
    </row>
    <row r="1004" spans="1:3" ht="15" x14ac:dyDescent="0.25">
      <c r="A1004" s="3" t="s">
        <v>1001</v>
      </c>
      <c r="B1004" s="3" t="s">
        <v>4</v>
      </c>
      <c r="C1004" s="2" t="str">
        <f ca="1">IFERROR(__xludf.DUMMYFUNCTION("GOOGLETRANSLATE(A1004,""bn"",""en"")"),"We are responsible for the political transformation of the country")</f>
        <v>We are responsible for the political transformation of the country</v>
      </c>
    </row>
    <row r="1005" spans="1:3" ht="15" x14ac:dyDescent="0.25">
      <c r="A1005" s="3" t="s">
        <v>1002</v>
      </c>
      <c r="B1005" s="3" t="s">
        <v>4</v>
      </c>
      <c r="C1005" s="2" t="str">
        <f ca="1">IFERROR(__xludf.DUMMYFUNCTION("GOOGLETRANSLATE(A1005,""bn"",""en"")"),"Even after so much hard work, it is not possible to live with what has been earned")</f>
        <v>Even after so much hard work, it is not possible to live with what has been earned</v>
      </c>
    </row>
    <row r="1006" spans="1:3" ht="15" x14ac:dyDescent="0.25">
      <c r="A1006" s="3" t="s">
        <v>1003</v>
      </c>
      <c r="B1006" s="3" t="s">
        <v>4</v>
      </c>
      <c r="C1006" s="2" t="str">
        <f ca="1">IFERROR(__xludf.DUMMYFUNCTION("GOOGLETRANSLATE(A1006,""bn"",""en"")"),"Love knows hidden paths")</f>
        <v>Love knows hidden paths</v>
      </c>
    </row>
    <row r="1007" spans="1:3" ht="15" x14ac:dyDescent="0.25">
      <c r="A1007" s="3" t="s">
        <v>1004</v>
      </c>
      <c r="B1007" s="3" t="s">
        <v>4</v>
      </c>
      <c r="C1007" s="2" t="str">
        <f ca="1">IFERROR(__xludf.DUMMYFUNCTION("GOOGLETRANSLATE(A1007,""bn"",""en"")"),"Love lives or survives on trust in each other. In love that lacks trust, there may be no love.")</f>
        <v>Love lives or survives on trust in each other. In love that lacks trust, there may be no love.</v>
      </c>
    </row>
    <row r="1008" spans="1:3" ht="15" x14ac:dyDescent="0.25">
      <c r="A1008" s="3" t="s">
        <v>1005</v>
      </c>
      <c r="B1008" s="3" t="s">
        <v>4</v>
      </c>
      <c r="C1008" s="2" t="str">
        <f ca="1">IFERROR(__xludf.DUMMYFUNCTION("GOOGLETRANSLATE(A1008,""bn"",""en"")"),"I feel extra comfortable in sick day clothes")</f>
        <v>I feel extra comfortable in sick day clothes</v>
      </c>
    </row>
    <row r="1009" spans="1:3" ht="15" x14ac:dyDescent="0.25">
      <c r="A1009" s="3" t="s">
        <v>1006</v>
      </c>
      <c r="B1009" s="3" t="s">
        <v>4</v>
      </c>
      <c r="C1009" s="2" t="str">
        <f ca="1">IFERROR(__xludf.DUMMYFUNCTION("GOOGLETRANSLATE(A1009,""bn"",""en"")"),"It is unfortunate that Rafael Nadal has withdrawn from the Australian Open due to injury")</f>
        <v>It is unfortunate that Rafael Nadal has withdrawn from the Australian Open due to injury</v>
      </c>
    </row>
    <row r="1010" spans="1:3" ht="15" x14ac:dyDescent="0.25">
      <c r="A1010" s="3" t="s">
        <v>1007</v>
      </c>
      <c r="B1010" s="3" t="s">
        <v>4</v>
      </c>
      <c r="C1010" s="2" t="str">
        <f ca="1">IFERROR(__xludf.DUMMYFUNCTION("GOOGLETRANSLATE(A1010,""bn"",""en"")"),"A victim of misunderstanding, I have become unloved by everyone, there is no comfort in the intense fire of pain in my heart")</f>
        <v>A victim of misunderstanding, I have become unloved by everyone, there is no comfort in the intense fire of pain in my heart</v>
      </c>
    </row>
    <row r="1011" spans="1:3" ht="15" x14ac:dyDescent="0.25">
      <c r="A1011" s="3" t="s">
        <v>1008</v>
      </c>
      <c r="B1011" s="3" t="s">
        <v>4</v>
      </c>
      <c r="C1011" s="2" t="str">
        <f ca="1">IFERROR(__xludf.DUMMYFUNCTION("GOOGLETRANSLATE(A1011,""bn"",""en"")"),"Behind every sweet smile there is a bitter sadness that no one can ever see and feel")</f>
        <v>Behind every sweet smile there is a bitter sadness that no one can ever see and feel</v>
      </c>
    </row>
    <row r="1012" spans="1:3" ht="15" x14ac:dyDescent="0.25">
      <c r="A1012" s="3" t="s">
        <v>1009</v>
      </c>
      <c r="B1012" s="3" t="s">
        <v>4</v>
      </c>
      <c r="C1012" s="2" t="str">
        <f ca="1">IFERROR(__xludf.DUMMYFUNCTION("GOOGLETRANSLATE(A1012,""bn"",""en"")"),"The absolute truth of politics and power is brutality and untruth")</f>
        <v>The absolute truth of politics and power is brutality and untruth</v>
      </c>
    </row>
    <row r="1013" spans="1:3" ht="15" x14ac:dyDescent="0.25">
      <c r="A1013" s="3" t="s">
        <v>1010</v>
      </c>
      <c r="B1013" s="3" t="s">
        <v>4</v>
      </c>
      <c r="C1013" s="2" t="str">
        <f ca="1">IFERROR(__xludf.DUMMYFUNCTION("GOOGLETRANSLATE(A1013,""bn"",""en"")"),"It is one of the bitter curses of poverty that it has no right to be generous")</f>
        <v>It is one of the bitter curses of poverty that it has no right to be generous</v>
      </c>
    </row>
    <row r="1014" spans="1:3" ht="15" x14ac:dyDescent="0.25">
      <c r="A1014" s="3" t="s">
        <v>1011</v>
      </c>
      <c r="B1014" s="3" t="s">
        <v>4</v>
      </c>
      <c r="C1014" s="2" t="str">
        <f ca="1">IFERROR(__xludf.DUMMYFUNCTION("GOOGLETRANSLATE(A1014,""bn"",""en"")"),"My dance festival is over and my heart is helpless for the bazaar soil")</f>
        <v>My dance festival is over and my heart is helpless for the bazaar soil</v>
      </c>
    </row>
    <row r="1015" spans="1:3" ht="15" x14ac:dyDescent="0.25">
      <c r="A1015" s="3" t="s">
        <v>1012</v>
      </c>
      <c r="B1015" s="3" t="s">
        <v>4</v>
      </c>
      <c r="C1015" s="2" t="str">
        <f ca="1">IFERROR(__xludf.DUMMYFUNCTION("GOOGLETRANSLATE(A1015,""bn"",""en"")"),"Hearing that you have been selected has conquered the world today")</f>
        <v>Hearing that you have been selected has conquered the world today</v>
      </c>
    </row>
    <row r="1016" spans="1:3" ht="15" x14ac:dyDescent="0.25">
      <c r="A1016" s="3" t="s">
        <v>1013</v>
      </c>
      <c r="B1016" s="3" t="s">
        <v>4</v>
      </c>
      <c r="C1016" s="2" t="str">
        <f ca="1">IFERROR(__xludf.DUMMYFUNCTION("GOOGLETRANSLATE(A1016,""bn"",""en"")"),"Today is another Friday, how long has it been since father, mother and brother sit together and eat mother's cooking")</f>
        <v>Today is another Friday, how long has it been since father, mother and brother sit together and eat mother's cooking</v>
      </c>
    </row>
    <row r="1017" spans="1:3" ht="15" x14ac:dyDescent="0.25">
      <c r="A1017" s="3" t="s">
        <v>1014</v>
      </c>
      <c r="B1017" s="3" t="s">
        <v>4</v>
      </c>
      <c r="C1017" s="2" t="str">
        <f ca="1">IFERROR(__xludf.DUMMYFUNCTION("GOOGLETRANSLATE(A1017,""bn"",""en"")"),"Smiles are happy with friends, but when you are alone, your inner pain comes out")</f>
        <v>Smiles are happy with friends, but when you are alone, your inner pain comes out</v>
      </c>
    </row>
    <row r="1018" spans="1:3" ht="15" x14ac:dyDescent="0.25">
      <c r="A1018" s="3" t="s">
        <v>1015</v>
      </c>
      <c r="B1018" s="3" t="s">
        <v>4</v>
      </c>
      <c r="C1018" s="2" t="str">
        <f ca="1">IFERROR(__xludf.DUMMYFUNCTION("GOOGLETRANSLATE(A1018,""bn"",""en"")"),"The culture of Bengal does not reach the light market of truth")</f>
        <v>The culture of Bengal does not reach the light market of truth</v>
      </c>
    </row>
    <row r="1019" spans="1:3" ht="15" x14ac:dyDescent="0.25">
      <c r="A1019" s="3" t="s">
        <v>1016</v>
      </c>
      <c r="B1019" s="3" t="s">
        <v>4</v>
      </c>
      <c r="C1019" s="2" t="str">
        <f ca="1">IFERROR(__xludf.DUMMYFUNCTION("GOOGLETRANSLATE(A1019,""bn"",""en"")"),"Truth has no place for deceit")</f>
        <v>Truth has no place for deceit</v>
      </c>
    </row>
    <row r="1020" spans="1:3" ht="15" x14ac:dyDescent="0.25">
      <c r="A1020" s="3" t="s">
        <v>1017</v>
      </c>
      <c r="B1020" s="3" t="s">
        <v>4</v>
      </c>
      <c r="C1020" s="2" t="str">
        <f ca="1">IFERROR(__xludf.DUMMYFUNCTION("GOOGLETRANSLATE(A1020,""bn"",""en"")"),"In the world of interests, whomever you think is dear, at the end of the day, he realizes that you are his need")</f>
        <v>In the world of interests, whomever you think is dear, at the end of the day, he realizes that you are his need</v>
      </c>
    </row>
    <row r="1021" spans="1:3" ht="15" x14ac:dyDescent="0.25">
      <c r="A1021" s="3" t="s">
        <v>1018</v>
      </c>
      <c r="B1021" s="3" t="s">
        <v>4</v>
      </c>
      <c r="C1021" s="2" t="str">
        <f ca="1">IFERROR(__xludf.DUMMYFUNCTION("GOOGLETRANSLATE(A1021,""bn"",""en"")"),"The idea of ​​dependence and relationships is being destroyed in war")</f>
        <v>The idea of ​​dependence and relationships is being destroyed in war</v>
      </c>
    </row>
    <row r="1022" spans="1:3" ht="15" x14ac:dyDescent="0.25">
      <c r="A1022" s="3" t="s">
        <v>1019</v>
      </c>
      <c r="B1022" s="3" t="s">
        <v>4</v>
      </c>
      <c r="C1022" s="2" t="str">
        <f ca="1">IFERROR(__xludf.DUMMYFUNCTION("GOOGLETRANSLATE(A1022,""bn"",""en"")"),"The question in my heart is what is the true taste of life without a goal in life")</f>
        <v>The question in my heart is what is the true taste of life without a goal in life</v>
      </c>
    </row>
    <row r="1023" spans="1:3" ht="15" x14ac:dyDescent="0.25">
      <c r="A1023" s="3" t="s">
        <v>1020</v>
      </c>
      <c r="B1023" s="3" t="s">
        <v>4</v>
      </c>
      <c r="C1023" s="2" t="str">
        <f ca="1">IFERROR(__xludf.DUMMYFUNCTION("GOOGLETRANSLATE(A1023,""bn"",""en"")"),"Your family is like a strong building in your danger in your happiness and sadness")</f>
        <v>Your family is like a strong building in your danger in your happiness and sadness</v>
      </c>
    </row>
    <row r="1024" spans="1:3" ht="15" x14ac:dyDescent="0.25">
      <c r="A1024" s="3" t="s">
        <v>1021</v>
      </c>
      <c r="B1024" s="3" t="s">
        <v>4</v>
      </c>
      <c r="C1024" s="2" t="str">
        <f ca="1">IFERROR(__xludf.DUMMYFUNCTION("GOOGLETRANSLATE(A1024,""bn"",""en"")"),"On Facebook, the true dreams of youth are being lost in the untrodden path of self-confidence in the vast web of false hopes")</f>
        <v>On Facebook, the true dreams of youth are being lost in the untrodden path of self-confidence in the vast web of false hopes</v>
      </c>
    </row>
    <row r="1025" spans="1:3" ht="15" x14ac:dyDescent="0.25">
      <c r="A1025" s="3" t="s">
        <v>1022</v>
      </c>
      <c r="B1025" s="3" t="s">
        <v>4</v>
      </c>
      <c r="C1025" s="2" t="str">
        <f ca="1">IFERROR(__xludf.DUMMYFUNCTION("GOOGLETRANSLATE(A1025,""bn"",""en"")"),"After reading a favorite book, it seems that even if it is a problem, we cannot invent any feelings")</f>
        <v>After reading a favorite book, it seems that even if it is a problem, we cannot invent any feelings</v>
      </c>
    </row>
    <row r="1026" spans="1:3" ht="15" x14ac:dyDescent="0.25">
      <c r="A1026" s="3" t="s">
        <v>1023</v>
      </c>
      <c r="B1026" s="3" t="s">
        <v>4</v>
      </c>
      <c r="C1026" s="2" t="str">
        <f ca="1">IFERROR(__xludf.DUMMYFUNCTION("GOOGLETRANSLATE(A1026,""bn"",""en"")"),"When I feed the poor they call me a saint, when I ask why the poor don't have food they call me a communist.")</f>
        <v>When I feed the poor they call me a saint, when I ask why the poor don't have food they call me a communist.</v>
      </c>
    </row>
    <row r="1027" spans="1:3" ht="15" x14ac:dyDescent="0.25">
      <c r="A1027" s="3" t="s">
        <v>1024</v>
      </c>
      <c r="B1027" s="3" t="s">
        <v>4</v>
      </c>
      <c r="C1027" s="2" t="str">
        <f ca="1">IFERROR(__xludf.DUMMYFUNCTION("GOOGLETRANSLATE(A1027,""bn"",""en"")"),"Where dreams cannot unite us, reality is cruel")</f>
        <v>Where dreams cannot unite us, reality is cruel</v>
      </c>
    </row>
    <row r="1028" spans="1:3" ht="15" x14ac:dyDescent="0.25">
      <c r="A1028" s="3" t="s">
        <v>1025</v>
      </c>
      <c r="B1028" s="3" t="s">
        <v>4</v>
      </c>
      <c r="C1028" s="2" t="str">
        <f ca="1">IFERROR(__xludf.DUMMYFUNCTION("GOOGLETRANSLATE(A1028,""bn"",""en"")"),"Sometimes some relationships are such that it hurts to be apart and it hurts to be close")</f>
        <v>Sometimes some relationships are such that it hurts to be apart and it hurts to be close</v>
      </c>
    </row>
    <row r="1029" spans="1:3" ht="15" x14ac:dyDescent="0.25">
      <c r="A1029" s="3" t="s">
        <v>1026</v>
      </c>
      <c r="B1029" s="3" t="s">
        <v>4</v>
      </c>
      <c r="C1029" s="2" t="str">
        <f ca="1">IFERROR(__xludf.DUMMYFUNCTION("GOOGLETRANSLATE(A1029,""bn"",""en"")"),"The stillness of the night means that some are laughing in love and some are crying silently")</f>
        <v>The stillness of the night means that some are laughing in love and some are crying silently</v>
      </c>
    </row>
    <row r="1030" spans="1:3" ht="15" x14ac:dyDescent="0.25">
      <c r="A1030" s="3" t="s">
        <v>1027</v>
      </c>
      <c r="B1030" s="3" t="s">
        <v>4</v>
      </c>
      <c r="C1030" s="2" t="str">
        <f ca="1">IFERROR(__xludf.DUMMYFUNCTION("GOOGLETRANSLATE(A1030,""bn"",""en"")"),"There is no limit to our interest in what is not available")</f>
        <v>There is no limit to our interest in what is not available</v>
      </c>
    </row>
    <row r="1031" spans="1:3" ht="15" x14ac:dyDescent="0.25">
      <c r="A1031" s="3" t="s">
        <v>1028</v>
      </c>
      <c r="B1031" s="3" t="s">
        <v>4</v>
      </c>
      <c r="C1031" s="2" t="str">
        <f ca="1">IFERROR(__xludf.DUMMYFUNCTION("GOOGLETRANSLATE(A1031,""bn"",""en"")"),"Today, as many warlords as they attack, attackers want to make us happy, robbers, alliances, get ready, raise your voice, not war.")</f>
        <v>Today, as many warlords as they attack, attackers want to make us happy, robbers, alliances, get ready, raise your voice, not war.</v>
      </c>
    </row>
    <row r="1032" spans="1:3" ht="15" x14ac:dyDescent="0.25">
      <c r="A1032" s="3" t="s">
        <v>1029</v>
      </c>
      <c r="B1032" s="3" t="s">
        <v>4</v>
      </c>
      <c r="C1032" s="2" t="str">
        <f ca="1">IFERROR(__xludf.DUMMYFUNCTION("GOOGLETRANSLATE(A1032,""bn"",""en"")"),"Waiting for the light of dawn, the night of suffering lasts forever")</f>
        <v>Waiting for the light of dawn, the night of suffering lasts forever</v>
      </c>
    </row>
    <row r="1033" spans="1:3" ht="15" x14ac:dyDescent="0.25">
      <c r="A1033" s="3" t="s">
        <v>1030</v>
      </c>
      <c r="B1033" s="3" t="s">
        <v>4</v>
      </c>
      <c r="C1033" s="2" t="str">
        <f ca="1">IFERROR(__xludf.DUMMYFUNCTION("GOOGLETRANSLATE(A1033,""bn"",""en"")"),"I had a good time watching the movie")</f>
        <v>I had a good time watching the movie</v>
      </c>
    </row>
    <row r="1034" spans="1:3" ht="15" x14ac:dyDescent="0.25">
      <c r="A1034" s="3" t="s">
        <v>1031</v>
      </c>
      <c r="B1034" s="3" t="s">
        <v>4</v>
      </c>
      <c r="C1034" s="2" t="str">
        <f ca="1">IFERROR(__xludf.DUMMYFUNCTION("GOOGLETRANSLATE(A1034,""bn"",""en"")"),"Lost in the path of truth, lost the meaning of my life")</f>
        <v>Lost in the path of truth, lost the meaning of my life</v>
      </c>
    </row>
    <row r="1035" spans="1:3" ht="15" x14ac:dyDescent="0.25">
      <c r="A1035" s="3" t="s">
        <v>1032</v>
      </c>
      <c r="B1035" s="3" t="s">
        <v>4</v>
      </c>
      <c r="C1035" s="2" t="str">
        <f ca="1">IFERROR(__xludf.DUMMYFUNCTION("GOOGLETRANSLATE(A1035,""bn"",""en"")"),"What acting is real. Who beats it. Great movie. Thanks to everyone in the movie for such a beautiful performance")</f>
        <v>What acting is real. Who beats it. Great movie. Thanks to everyone in the movie for such a beautiful performance</v>
      </c>
    </row>
    <row r="1036" spans="1:3" ht="15" x14ac:dyDescent="0.25">
      <c r="A1036" s="3" t="s">
        <v>1033</v>
      </c>
      <c r="B1036" s="3" t="s">
        <v>4</v>
      </c>
      <c r="C1036" s="2" t="str">
        <f ca="1">IFERROR(__xludf.DUMMYFUNCTION("GOOGLETRANSLATE(A1036,""bn"",""en"")"),"Messi's last World Cup moment is still vivid")</f>
        <v>Messi's last World Cup moment is still vivid</v>
      </c>
    </row>
    <row r="1037" spans="1:3" ht="15" x14ac:dyDescent="0.25">
      <c r="A1037" s="3" t="s">
        <v>1034</v>
      </c>
      <c r="B1037" s="3" t="s">
        <v>4</v>
      </c>
      <c r="C1037" s="2" t="str">
        <f ca="1">IFERROR(__xludf.DUMMYFUNCTION("GOOGLETRANSLATE(A1037,""bn"",""en"")"),"Fasting is coming but this time too it is hard to think of having to do the fasts without everyone away from the family")</f>
        <v>Fasting is coming but this time too it is hard to think of having to do the fasts without everyone away from the family</v>
      </c>
    </row>
    <row r="1038" spans="1:3" ht="15" x14ac:dyDescent="0.25">
      <c r="A1038" s="3" t="s">
        <v>1035</v>
      </c>
      <c r="B1038" s="3" t="s">
        <v>4</v>
      </c>
      <c r="C1038" s="2" t="str">
        <f ca="1">IFERROR(__xludf.DUMMYFUNCTION("GOOGLETRANSLATE(A1038,""bn"",""en"")"),"After a long time, I'm stuck seeing you")</f>
        <v>After a long time, I'm stuck seeing you</v>
      </c>
    </row>
    <row r="1039" spans="1:3" ht="15" x14ac:dyDescent="0.25">
      <c r="A1039" s="3" t="s">
        <v>1036</v>
      </c>
      <c r="B1039" s="3" t="s">
        <v>4</v>
      </c>
      <c r="C1039" s="2" t="str">
        <f ca="1">IFERROR(__xludf.DUMMYFUNCTION("GOOGLETRANSLATE(A1039,""bn"",""en"")"),"The chatter of naughty boys in the neighborhood has increased so much that some of them are unable to obey and it is increasing day by day")</f>
        <v>The chatter of naughty boys in the neighborhood has increased so much that some of them are unable to obey and it is increasing day by day</v>
      </c>
    </row>
    <row r="1040" spans="1:3" ht="15" x14ac:dyDescent="0.25">
      <c r="A1040" s="3" t="s">
        <v>1037</v>
      </c>
      <c r="B1040" s="3" t="s">
        <v>4</v>
      </c>
      <c r="C1040" s="2" t="str">
        <f ca="1">IFERROR(__xludf.DUMMYFUNCTION("GOOGLETRANSLATE(A1040,""bn"",""en"")"),"Life without a purpose in life is a continuous ocean where hope and enthusiasm are floating")</f>
        <v>Life without a purpose in life is a continuous ocean where hope and enthusiasm are floating</v>
      </c>
    </row>
    <row r="1041" spans="1:3" ht="15" x14ac:dyDescent="0.25">
      <c r="A1041" s="3" t="s">
        <v>1038</v>
      </c>
      <c r="B1041" s="3" t="s">
        <v>4</v>
      </c>
      <c r="C1041" s="2" t="str">
        <f ca="1">IFERROR(__xludf.DUMMYFUNCTION("GOOGLETRANSLATE(A1041,""bn"",""en"")"),"Many dreams have been broken by reality")</f>
        <v>Many dreams have been broken by reality</v>
      </c>
    </row>
    <row r="1042" spans="1:3" ht="15" x14ac:dyDescent="0.25">
      <c r="A1042" s="3" t="s">
        <v>1039</v>
      </c>
      <c r="B1042" s="3" t="s">
        <v>4</v>
      </c>
      <c r="C1042" s="2" t="str">
        <f ca="1">IFERROR(__xludf.DUMMYFUNCTION("GOOGLETRANSLATE(A1042,""bn"",""en"")"),"Asserting power is putting obstacles under people's own demands")</f>
        <v>Asserting power is putting obstacles under people's own demands</v>
      </c>
    </row>
    <row r="1043" spans="1:3" ht="15" x14ac:dyDescent="0.25">
      <c r="A1043" s="3" t="s">
        <v>1040</v>
      </c>
      <c r="B1043" s="3" t="s">
        <v>4</v>
      </c>
      <c r="C1043" s="2" t="str">
        <f ca="1">IFERROR(__xludf.DUMMYFUNCTION("GOOGLETRANSLATE(A1043,""bn"",""en"")"),"The light of Bengal's culture explains the embrace of death")</f>
        <v>The light of Bengal's culture explains the embrace of death</v>
      </c>
    </row>
    <row r="1044" spans="1:3" ht="15" x14ac:dyDescent="0.25">
      <c r="A1044" s="3" t="s">
        <v>1041</v>
      </c>
      <c r="B1044" s="3" t="s">
        <v>4</v>
      </c>
      <c r="C1044" s="2" t="str">
        <f ca="1">IFERROR(__xludf.DUMMYFUNCTION("GOOGLETRANSLATE(A1044,""bn"",""en"")"),"I am also traveling on my own as I am advancing on the path of truth")</f>
        <v>I am also traveling on my own as I am advancing on the path of truth</v>
      </c>
    </row>
    <row r="1045" spans="1:3" ht="15" x14ac:dyDescent="0.25">
      <c r="A1045" s="3" t="s">
        <v>1042</v>
      </c>
      <c r="B1045" s="3" t="s">
        <v>4</v>
      </c>
      <c r="C1045" s="2" t="str">
        <f ca="1">IFERROR(__xludf.DUMMYFUNCTION("GOOGLETRANSLATE(A1045,""bn"",""en"")"),"All the richness of my life is missing due to lack of family")</f>
        <v>All the richness of my life is missing due to lack of family</v>
      </c>
    </row>
    <row r="1046" spans="1:3" ht="15" x14ac:dyDescent="0.25">
      <c r="A1046" s="3" t="s">
        <v>1043</v>
      </c>
      <c r="B1046" s="3" t="s">
        <v>4</v>
      </c>
      <c r="C1046" s="2" t="str">
        <f ca="1">IFERROR(__xludf.DUMMYFUNCTION("GOOGLETRANSLATE(A1046,""bn"",""en"")"),"In short, those who answer ""I'm fine"" aren't really that fine")</f>
        <v>In short, those who answer "I'm fine" aren't really that fine</v>
      </c>
    </row>
    <row r="1047" spans="1:3" ht="15" x14ac:dyDescent="0.25">
      <c r="A1047" s="3" t="s">
        <v>1044</v>
      </c>
      <c r="B1047" s="3" t="s">
        <v>4</v>
      </c>
      <c r="C1047" s="2" t="str">
        <f ca="1">IFERROR(__xludf.DUMMYFUNCTION("GOOGLETRANSLATE(A1047,""bn"",""en"")"),"It is as if the opposite is happening in the mind with its own truth")</f>
        <v>It is as if the opposite is happening in the mind with its own truth</v>
      </c>
    </row>
    <row r="1048" spans="1:3" ht="15" x14ac:dyDescent="0.25">
      <c r="A1048" s="3" t="s">
        <v>1045</v>
      </c>
      <c r="B1048" s="3" t="s">
        <v>4</v>
      </c>
      <c r="C1048" s="2" t="str">
        <f ca="1">IFERROR(__xludf.DUMMYFUNCTION("GOOGLETRANSLATE(A1048,""bn"",""en"")"),"When you love someone, all your pent-up desires come out")</f>
        <v>When you love someone, all your pent-up desires come out</v>
      </c>
    </row>
    <row r="1049" spans="1:3" ht="15" x14ac:dyDescent="0.25">
      <c r="A1049" s="3" t="s">
        <v>1046</v>
      </c>
      <c r="B1049" s="3" t="s">
        <v>4</v>
      </c>
      <c r="C1049" s="2" t="str">
        <f ca="1">IFERROR(__xludf.DUMMYFUNCTION("GOOGLETRANSLATE(A1049,""bn"",""en"")"),"No time is lost in common problems of my personal life days")</f>
        <v>No time is lost in common problems of my personal life days</v>
      </c>
    </row>
    <row r="1050" spans="1:3" ht="15" x14ac:dyDescent="0.25">
      <c r="A1050" s="3" t="s">
        <v>1047</v>
      </c>
      <c r="B1050" s="3" t="s">
        <v>4</v>
      </c>
      <c r="C1050" s="2" t="str">
        <f ca="1">IFERROR(__xludf.DUMMYFUNCTION("GOOGLETRANSLATE(A1050,""bn"",""en"")"),"One thing we must know is that sadness is an ocean in which sometimes we have to drown and we are forced to swim in the ocean of sadness.")</f>
        <v>One thing we must know is that sadness is an ocean in which sometimes we have to drown and we are forced to swim in the ocean of sadness.</v>
      </c>
    </row>
    <row r="1051" spans="1:3" ht="15" x14ac:dyDescent="0.25">
      <c r="A1051" s="3" t="s">
        <v>1048</v>
      </c>
      <c r="B1051" s="3" t="s">
        <v>4</v>
      </c>
      <c r="C1051" s="2" t="str">
        <f ca="1">IFERROR(__xludf.DUMMYFUNCTION("GOOGLETRANSLATE(A1051,""bn"",""en"")"),"Bengali culture is not reached by the lazy beat of joy")</f>
        <v>Bengali culture is not reached by the lazy beat of joy</v>
      </c>
    </row>
    <row r="1052" spans="1:3" ht="15" x14ac:dyDescent="0.25">
      <c r="A1052" s="3" t="s">
        <v>1049</v>
      </c>
      <c r="B1052" s="3" t="s">
        <v>4</v>
      </c>
      <c r="C1052" s="2" t="str">
        <f ca="1">IFERROR(__xludf.DUMMYFUNCTION("GOOGLETRANSLATE(A1052,""bn"",""en"")"),"I want to create an innovative learning system for my students")</f>
        <v>I want to create an innovative learning system for my students</v>
      </c>
    </row>
    <row r="1053" spans="1:3" ht="15" x14ac:dyDescent="0.25">
      <c r="A1053" s="3" t="s">
        <v>1050</v>
      </c>
      <c r="B1053" s="3" t="s">
        <v>4</v>
      </c>
      <c r="C1053" s="2" t="str">
        <f ca="1">IFERROR(__xludf.DUMMYFUNCTION("GOOGLETRANSLATE(A1053,""bn"",""en"")"),"Those who think more for others do not understand their sorrows")</f>
        <v>Those who think more for others do not understand their sorrows</v>
      </c>
    </row>
    <row r="1054" spans="1:3" ht="15" x14ac:dyDescent="0.25">
      <c r="A1054" s="3" t="s">
        <v>1051</v>
      </c>
      <c r="B1054" s="3" t="s">
        <v>4</v>
      </c>
      <c r="C1054" s="2" t="str">
        <f ca="1">IFERROR(__xludf.DUMMYFUNCTION("GOOGLETRANSLATE(A1054,""bn"",""en"")"),"The river of tears flows and the mind drowns in the ocean of pain")</f>
        <v>The river of tears flows and the mind drowns in the ocean of pain</v>
      </c>
    </row>
    <row r="1055" spans="1:3" ht="15" x14ac:dyDescent="0.25">
      <c r="A1055" s="3" t="s">
        <v>1052</v>
      </c>
      <c r="B1055" s="3" t="s">
        <v>4</v>
      </c>
      <c r="C1055" s="2" t="str">
        <f ca="1">IFERROR(__xludf.DUMMYFUNCTION("GOOGLETRANSLATE(A1055,""bn"",""en"")"),"Speak only as much as you need to talk to, otherwise words are worthless")</f>
        <v>Speak only as much as you need to talk to, otherwise words are worthless</v>
      </c>
    </row>
    <row r="1056" spans="1:3" ht="15" x14ac:dyDescent="0.25">
      <c r="A1056" s="3" t="s">
        <v>1053</v>
      </c>
      <c r="B1056" s="3" t="s">
        <v>4</v>
      </c>
      <c r="C1056" s="2" t="str">
        <f ca="1">IFERROR(__xludf.DUMMYFUNCTION("GOOGLETRANSLATE(A1056,""bn"",""en"")"),"It is very expensive to provide poor medical care to poor people in rich countries")</f>
        <v>It is very expensive to provide poor medical care to poor people in rich countries</v>
      </c>
    </row>
    <row r="1057" spans="1:3" ht="15" x14ac:dyDescent="0.25">
      <c r="A1057" s="3" t="s">
        <v>1054</v>
      </c>
      <c r="B1057" s="3" t="s">
        <v>4</v>
      </c>
      <c r="C1057" s="2" t="str">
        <f ca="1">IFERROR(__xludf.DUMMYFUNCTION("GOOGLETRANSLATE(A1057,""bn"",""en"")"),"People's favorite things make people optimistic")</f>
        <v>People's favorite things make people optimistic</v>
      </c>
    </row>
    <row r="1058" spans="1:3" ht="15" x14ac:dyDescent="0.25">
      <c r="A1058" s="3" t="s">
        <v>1055</v>
      </c>
      <c r="B1058" s="3" t="s">
        <v>4</v>
      </c>
      <c r="C1058" s="2" t="str">
        <f ca="1">IFERROR(__xludf.DUMMYFUNCTION("GOOGLETRANSLATE(A1058,""bn"",""en"")"),"Even if the dreams are broken, the boys have to keep their mouth shut and move forward")</f>
        <v>Even if the dreams are broken, the boys have to keep their mouth shut and move forward</v>
      </c>
    </row>
    <row r="1059" spans="1:3" ht="15" x14ac:dyDescent="0.25">
      <c r="A1059" s="3" t="s">
        <v>1056</v>
      </c>
      <c r="B1059" s="3" t="s">
        <v>4</v>
      </c>
      <c r="C1059" s="2" t="str">
        <f ca="1">IFERROR(__xludf.DUMMYFUNCTION("GOOGLETRANSLATE(A1059,""bn"",""en"")"),"I really want to know if you don't have any trouble for me")</f>
        <v>I really want to know if you don't have any trouble for me</v>
      </c>
    </row>
    <row r="1060" spans="1:3" ht="15" x14ac:dyDescent="0.25">
      <c r="A1060" s="3" t="s">
        <v>1057</v>
      </c>
      <c r="B1060" s="3" t="s">
        <v>4</v>
      </c>
      <c r="C1060" s="2" t="str">
        <f ca="1">IFERROR(__xludf.DUMMYFUNCTION("GOOGLETRANSLATE(A1060,""bn"",""en"")"),"After reading a favorite book, it seems that we do not find a way of life for ourselves, only rotting in sincere feelings")</f>
        <v>After reading a favorite book, it seems that we do not find a way of life for ourselves, only rotting in sincere feelings</v>
      </c>
    </row>
    <row r="1061" spans="1:3" ht="15" x14ac:dyDescent="0.25">
      <c r="A1061" s="3" t="s">
        <v>1058</v>
      </c>
      <c r="B1061" s="3" t="s">
        <v>4</v>
      </c>
      <c r="C1061" s="2" t="str">
        <f ca="1">IFERROR(__xludf.DUMMYFUNCTION("GOOGLETRANSLATE(A1061,""bn"",""en"")"),"Day by day the battery health of the phone is decreasing, I don't understand what is the problem")</f>
        <v>Day by day the battery health of the phone is decreasing, I don't understand what is the problem</v>
      </c>
    </row>
    <row r="1062" spans="1:3" ht="15" x14ac:dyDescent="0.25">
      <c r="A1062" s="3" t="s">
        <v>1059</v>
      </c>
      <c r="B1062" s="3" t="s">
        <v>4</v>
      </c>
      <c r="C1062" s="2" t="str">
        <f ca="1">IFERROR(__xludf.DUMMYFUNCTION("GOOGLETRANSLATE(A1062,""bn"",""en"")"),"People's self-respect and self-confidence are destroyed in war")</f>
        <v>People's self-respect and self-confidence are destroyed in war</v>
      </c>
    </row>
    <row r="1063" spans="1:3" ht="15" x14ac:dyDescent="0.25">
      <c r="A1063" s="3" t="s">
        <v>1060</v>
      </c>
      <c r="B1063" s="3" t="s">
        <v>4</v>
      </c>
      <c r="C1063" s="2" t="str">
        <f ca="1">IFERROR(__xludf.DUMMYFUNCTION("GOOGLETRANSLATE(A1063,""bn"",""en"")"),"Some memories suddenly wake up in the corner of the mind")</f>
        <v>Some memories suddenly wake up in the corner of the mind</v>
      </c>
    </row>
    <row r="1064" spans="1:3" ht="15" x14ac:dyDescent="0.25">
      <c r="A1064" s="3" t="s">
        <v>1061</v>
      </c>
      <c r="B1064" s="3" t="s">
        <v>4</v>
      </c>
      <c r="C1064" s="2" t="str">
        <f ca="1">IFERROR(__xludf.DUMMYFUNCTION("GOOGLETRANSLATE(A1064,""bn"",""en"")"),"The light of existence has banished darkness at the level of Bengali culture")</f>
        <v>The light of existence has banished darkness at the level of Bengali culture</v>
      </c>
    </row>
    <row r="1065" spans="1:3" ht="15" x14ac:dyDescent="0.25">
      <c r="A1065" s="3" t="s">
        <v>1062</v>
      </c>
      <c r="B1065" s="3" t="s">
        <v>4</v>
      </c>
      <c r="C1065" s="2" t="str">
        <f ca="1">IFERROR(__xludf.DUMMYFUNCTION("GOOGLETRANSLATE(A1065,""bn"",""en"")"),"As it is sad to lose something, it is a thousand times more sad to change someone")</f>
        <v>As it is sad to lose something, it is a thousand times more sad to change someone</v>
      </c>
    </row>
    <row r="1066" spans="1:3" ht="15" x14ac:dyDescent="0.25">
      <c r="A1066" s="3" t="s">
        <v>1063</v>
      </c>
      <c r="B1066" s="3" t="s">
        <v>4</v>
      </c>
      <c r="C1066" s="2" t="str">
        <f ca="1">IFERROR(__xludf.DUMMYFUNCTION("GOOGLETRANSLATE(A1066,""bn"",""en"")"),"Human faces may have banished smiles for the light of culture")</f>
        <v>Human faces may have banished smiles for the light of culture</v>
      </c>
    </row>
    <row r="1067" spans="1:3" ht="15" x14ac:dyDescent="0.25">
      <c r="A1067" s="3" t="s">
        <v>1064</v>
      </c>
      <c r="B1067" s="3" t="s">
        <v>4</v>
      </c>
      <c r="C1067" s="2" t="str">
        <f ca="1">IFERROR(__xludf.DUMMYFUNCTION("GOOGLETRANSLATE(A1067,""bn"",""en"")"),"Human needs never end, if the demand decreases for a temporary period, then more demand is created")</f>
        <v>Human needs never end, if the demand decreases for a temporary period, then more demand is created</v>
      </c>
    </row>
    <row r="1068" spans="1:3" ht="15" x14ac:dyDescent="0.25">
      <c r="A1068" s="3" t="s">
        <v>1065</v>
      </c>
      <c r="B1068" s="3" t="s">
        <v>4</v>
      </c>
      <c r="C1068" s="2" t="str">
        <f ca="1">IFERROR(__xludf.DUMMYFUNCTION("GOOGLETRANSLATE(A1068,""bn"",""en"")"),"Everything can change in the world but the love relationship of parents can never change")</f>
        <v>Everything can change in the world but the love relationship of parents can never change</v>
      </c>
    </row>
    <row r="1069" spans="1:3" ht="15" x14ac:dyDescent="0.25">
      <c r="A1069" s="3" t="s">
        <v>1066</v>
      </c>
      <c r="B1069" s="3" t="s">
        <v>4</v>
      </c>
      <c r="C1069" s="2" t="str">
        <f ca="1">IFERROR(__xludf.DUMMYFUNCTION("GOOGLETRANSLATE(A1069,""bn"",""en"")"),"Losing myself in social media, I am alone, restless, this barrier has thrown me")</f>
        <v>Losing myself in social media, I am alone, restless, this barrier has thrown me</v>
      </c>
    </row>
    <row r="1070" spans="1:3" ht="15" x14ac:dyDescent="0.25">
      <c r="A1070" s="3" t="s">
        <v>1067</v>
      </c>
      <c r="B1070" s="3" t="s">
        <v>4</v>
      </c>
      <c r="C1070" s="2" t="str">
        <f ca="1">IFERROR(__xludf.DUMMYFUNCTION("GOOGLETRANSLATE(A1070,""bn"",""en"")"),"Being sick is never fun but we can still make the best of it")</f>
        <v>Being sick is never fun but we can still make the best of it</v>
      </c>
    </row>
    <row r="1071" spans="1:3" ht="15" x14ac:dyDescent="0.25">
      <c r="A1071" s="3" t="s">
        <v>1068</v>
      </c>
      <c r="B1071" s="3" t="s">
        <v>4</v>
      </c>
      <c r="C1071" s="2" t="str">
        <f ca="1">IFERROR(__xludf.DUMMYFUNCTION("GOOGLETRANSLATE(A1071,""bn"",""en"")"),"In the dim past I feel my mistake")</f>
        <v>In the dim past I feel my mistake</v>
      </c>
    </row>
    <row r="1072" spans="1:3" ht="15" x14ac:dyDescent="0.25">
      <c r="A1072" s="3" t="s">
        <v>1069</v>
      </c>
      <c r="B1072" s="3" t="s">
        <v>4</v>
      </c>
      <c r="C1072" s="2" t="str">
        <f ca="1">IFERROR(__xludf.DUMMYFUNCTION("GOOGLETRANSLATE(A1072,""bn"",""en"")"),"There's no need to let go. Some people break up after being together")</f>
        <v>There's no need to let go. Some people break up after being together</v>
      </c>
    </row>
    <row r="1073" spans="1:3" ht="15" x14ac:dyDescent="0.25">
      <c r="A1073" s="3" t="s">
        <v>1070</v>
      </c>
      <c r="B1073" s="3" t="s">
        <v>4</v>
      </c>
      <c r="C1073" s="2" t="str">
        <f ca="1">IFERROR(__xludf.DUMMYFUNCTION("GOOGLETRANSLATE(A1073,""bn"",""en"")"),"I spent my childhood playing with my grandparents, not everyone gets the love and affection of grandparents")</f>
        <v>I spent my childhood playing with my grandparents, not everyone gets the love and affection of grandparents</v>
      </c>
    </row>
    <row r="1074" spans="1:3" ht="15" x14ac:dyDescent="0.25">
      <c r="A1074" s="3" t="s">
        <v>1071</v>
      </c>
      <c r="B1074" s="3" t="s">
        <v>4</v>
      </c>
      <c r="C1074" s="2" t="str">
        <f ca="1">IFERROR(__xludf.DUMMYFUNCTION("GOOGLETRANSLATE(A1074,""bn"",""en"")"),"The one who is truly loved cannot be forgotten even if he is hurt by a lot of insults")</f>
        <v>The one who is truly loved cannot be forgotten even if he is hurt by a lot of insults</v>
      </c>
    </row>
    <row r="1075" spans="1:3" ht="15" x14ac:dyDescent="0.25">
      <c r="A1075" s="3" t="s">
        <v>1072</v>
      </c>
      <c r="B1075" s="3" t="s">
        <v>4</v>
      </c>
      <c r="C1075" s="2" t="str">
        <f ca="1">IFERROR(__xludf.DUMMYFUNCTION("GOOGLETRANSLATE(A1075,""bn"",""en"")"),"Like an endless poem of suffering")</f>
        <v>Like an endless poem of suffering</v>
      </c>
    </row>
    <row r="1076" spans="1:3" ht="15" x14ac:dyDescent="0.25">
      <c r="A1076" s="3" t="s">
        <v>1073</v>
      </c>
      <c r="B1076" s="3" t="s">
        <v>4</v>
      </c>
      <c r="C1076" s="2" t="str">
        <f ca="1">IFERROR(__xludf.DUMMYFUNCTION("GOOGLETRANSLATE(A1076,""bn"",""en"")"),"My family often lacks a sense of normalcy and cooperation")</f>
        <v>My family often lacks a sense of normalcy and cooperation</v>
      </c>
    </row>
    <row r="1077" spans="1:3" ht="15" x14ac:dyDescent="0.25">
      <c r="A1077" s="3" t="s">
        <v>1074</v>
      </c>
      <c r="B1077" s="3" t="s">
        <v>4</v>
      </c>
      <c r="C1077" s="2" t="str">
        <f ca="1">IFERROR(__xludf.DUMMYFUNCTION("GOOGLETRANSLATE(A1077,""bn"",""en"")"),"By reading books we move in new direction but going in that direction shows us another Vern")</f>
        <v>By reading books we move in new direction but going in that direction shows us another Vern</v>
      </c>
    </row>
    <row r="1078" spans="1:3" ht="15" x14ac:dyDescent="0.25">
      <c r="A1078" s="3" t="s">
        <v>1075</v>
      </c>
      <c r="B1078" s="3" t="s">
        <v>4</v>
      </c>
      <c r="C1078" s="2" t="str">
        <f ca="1">IFERROR(__xludf.DUMMYFUNCTION("GOOGLETRANSLATE(A1078,""bn"",""en"")"),"I am losing my confidence in the sea of ​​memories")</f>
        <v>I am losing my confidence in the sea of ​​memories</v>
      </c>
    </row>
    <row r="1079" spans="1:3" ht="15" x14ac:dyDescent="0.25">
      <c r="A1079" s="3" t="s">
        <v>1076</v>
      </c>
      <c r="B1079" s="3" t="s">
        <v>4</v>
      </c>
      <c r="C1079" s="2" t="str">
        <f ca="1">IFERROR(__xludf.DUMMYFUNCTION("GOOGLETRANSLATE(A1079,""bn"",""en"")"),"Going to trial with a lawyer who thinks your entire lifestyle is a crime in progress")</f>
        <v>Going to trial with a lawyer who thinks your entire lifestyle is a crime in progress</v>
      </c>
    </row>
    <row r="1080" spans="1:3" ht="15" x14ac:dyDescent="0.25">
      <c r="A1080" s="3" t="s">
        <v>1077</v>
      </c>
      <c r="B1080" s="3" t="s">
        <v>4</v>
      </c>
      <c r="C1080" s="2" t="str">
        <f ca="1">IFERROR(__xludf.DUMMYFUNCTION("GOOGLETRANSLATE(A1080,""bn"",""en"")"),"As I focused on my career, I drifted away from the people around me")</f>
        <v>As I focused on my career, I drifted away from the people around me</v>
      </c>
    </row>
    <row r="1081" spans="1:3" ht="15" x14ac:dyDescent="0.25">
      <c r="A1081" s="3" t="s">
        <v>1078</v>
      </c>
      <c r="B1081" s="3" t="s">
        <v>4</v>
      </c>
      <c r="C1081" s="2" t="str">
        <f ca="1">IFERROR(__xludf.DUMMYFUNCTION("GOOGLETRANSLATE(A1081,""bn"",""en"")"),"The role of culture is collapsing in Bengal's love situation")</f>
        <v>The role of culture is collapsing in Bengal's love situation</v>
      </c>
    </row>
    <row r="1082" spans="1:3" ht="15" x14ac:dyDescent="0.25">
      <c r="A1082" s="3" t="s">
        <v>1079</v>
      </c>
      <c r="B1082" s="3" t="s">
        <v>4</v>
      </c>
      <c r="C1082" s="2" t="str">
        <f ca="1">IFERROR(__xludf.DUMMYFUNCTION("GOOGLETRANSLATE(A1082,""bn"",""en"")"),"Love never stops no matter the coughs and sneezes")</f>
        <v>Love never stops no matter the coughs and sneezes</v>
      </c>
    </row>
    <row r="1083" spans="1:3" ht="15" x14ac:dyDescent="0.25">
      <c r="A1083" s="3" t="s">
        <v>1080</v>
      </c>
      <c r="B1083" s="3" t="s">
        <v>4</v>
      </c>
      <c r="C1083" s="2" t="str">
        <f ca="1">IFERROR(__xludf.DUMMYFUNCTION("GOOGLETRANSLATE(A1083,""bn"",""en"")"),"The pain is greatest when the tears have to be disguised with a smile")</f>
        <v>The pain is greatest when the tears have to be disguised with a smile</v>
      </c>
    </row>
    <row r="1084" spans="1:3" ht="15" x14ac:dyDescent="0.25">
      <c r="A1084" s="3" t="s">
        <v>1081</v>
      </c>
      <c r="B1084" s="3" t="s">
        <v>4</v>
      </c>
      <c r="C1084" s="2" t="str">
        <f ca="1">IFERROR(__xludf.DUMMYFUNCTION("GOOGLETRANSLATE(A1084,""bn"",""en"")"),"Lies become very angry after hearing your lies I am feeling very helpless")</f>
        <v>Lies become very angry after hearing your lies I am feeling very helpless</v>
      </c>
    </row>
    <row r="1085" spans="1:3" ht="15" x14ac:dyDescent="0.25">
      <c r="A1085" s="3" t="s">
        <v>1082</v>
      </c>
      <c r="B1085" s="3" t="s">
        <v>4</v>
      </c>
      <c r="C1085" s="2" t="str">
        <f ca="1">IFERROR(__xludf.DUMMYFUNCTION("GOOGLETRANSLATE(A1085,""bn"",""en"")"),"Stand in the fog wrapped in a winter blanket, stretch out your hands and feel the cool touch of the dew, even if your mind doesn't understand, I'm by your side all the time.")</f>
        <v>Stand in the fog wrapped in a winter blanket, stretch out your hands and feel the cool touch of the dew, even if your mind doesn't understand, I'm by your side all the time.</v>
      </c>
    </row>
    <row r="1086" spans="1:3" ht="15" x14ac:dyDescent="0.25">
      <c r="A1086" s="3" t="s">
        <v>1083</v>
      </c>
      <c r="B1086" s="3" t="s">
        <v>4</v>
      </c>
      <c r="C1086" s="2" t="str">
        <f ca="1">IFERROR(__xludf.DUMMYFUNCTION("GOOGLETRANSLATE(A1086,""bn"",""en"")"),"The smile on the face has disappeared, I have lost to this pressing pain like the light of the eyes")</f>
        <v>The smile on the face has disappeared, I have lost to this pressing pain like the light of the eyes</v>
      </c>
    </row>
    <row r="1087" spans="1:3" ht="15" x14ac:dyDescent="0.25">
      <c r="A1087" s="3" t="s">
        <v>1084</v>
      </c>
      <c r="B1087" s="3" t="s">
        <v>4</v>
      </c>
      <c r="C1087" s="2" t="str">
        <f ca="1">IFERROR(__xludf.DUMMYFUNCTION("GOOGLETRANSLATE(A1087,""bn"",""en"")"),"After a few days I don't understand why my depression works")</f>
        <v>After a few days I don't understand why my depression works</v>
      </c>
    </row>
    <row r="1088" spans="1:3" ht="15" x14ac:dyDescent="0.25">
      <c r="A1088" s="3" t="s">
        <v>1085</v>
      </c>
      <c r="B1088" s="3" t="s">
        <v>4</v>
      </c>
      <c r="C1088" s="2" t="str">
        <f ca="1">IFERROR(__xludf.DUMMYFUNCTION("GOOGLETRANSLATE(A1088,""bn"",""en"")"),"Many things change with time yes love also changes")</f>
        <v>Many things change with time yes love also changes</v>
      </c>
    </row>
    <row r="1089" spans="1:3" ht="15" x14ac:dyDescent="0.25">
      <c r="A1089" s="3" t="s">
        <v>1086</v>
      </c>
      <c r="B1089" s="3" t="s">
        <v>4</v>
      </c>
      <c r="C1089" s="2" t="str">
        <f ca="1">IFERROR(__xludf.DUMMYFUNCTION("GOOGLETRANSLATE(A1089,""bn"",""en"")"),"Sometimes I am alone to know myself")</f>
        <v>Sometimes I am alone to know myself</v>
      </c>
    </row>
    <row r="1090" spans="1:3" ht="15" x14ac:dyDescent="0.25">
      <c r="A1090" s="3" t="s">
        <v>1087</v>
      </c>
      <c r="B1090" s="3" t="s">
        <v>4</v>
      </c>
      <c r="C1090" s="2" t="str">
        <f ca="1">IFERROR(__xludf.DUMMYFUNCTION("GOOGLETRANSLATE(A1090,""bn"",""en"")"),"Conflict between good and bad hinders progress")</f>
        <v>Conflict between good and bad hinders progress</v>
      </c>
    </row>
    <row r="1091" spans="1:3" ht="15" x14ac:dyDescent="0.25">
      <c r="A1091" s="3" t="s">
        <v>1088</v>
      </c>
      <c r="B1091" s="3" t="s">
        <v>4</v>
      </c>
      <c r="C1091" s="2" t="str">
        <f ca="1">IFERROR(__xludf.DUMMYFUNCTION("GOOGLETRANSLATE(A1091,""bn"",""en"")"),"Sadness can be nothing more than remembering sad words when we are happy")</f>
        <v>Sadness can be nothing more than remembering sad words when we are happy</v>
      </c>
    </row>
    <row r="1092" spans="1:3" ht="15" x14ac:dyDescent="0.25">
      <c r="A1092" s="3" t="s">
        <v>1089</v>
      </c>
      <c r="B1092" s="3" t="s">
        <v>4</v>
      </c>
      <c r="C1092" s="2" t="str">
        <f ca="1">IFERROR(__xludf.DUMMYFUNCTION("GOOGLETRANSLATE(A1092,""bn"",""en"")"),"A healthy person's wish to die is the wish of a sick mind")</f>
        <v>A healthy person's wish to die is the wish of a sick mind</v>
      </c>
    </row>
    <row r="1093" spans="1:3" ht="15" x14ac:dyDescent="0.25">
      <c r="A1093" s="3" t="s">
        <v>1090</v>
      </c>
      <c r="B1093" s="3" t="s">
        <v>4</v>
      </c>
      <c r="C1093" s="2" t="str">
        <f ca="1">IFERROR(__xludf.DUMMYFUNCTION("GOOGLETRANSLATE(A1093,""bn"",""en"")"),"Our hearts of stone become hearts of flesh when we learn where the outcasts cry")</f>
        <v>Our hearts of stone become hearts of flesh when we learn where the outcasts cry</v>
      </c>
    </row>
    <row r="1094" spans="1:3" ht="15" x14ac:dyDescent="0.25">
      <c r="A1094" s="3" t="s">
        <v>1091</v>
      </c>
      <c r="B1094" s="3" t="s">
        <v>4</v>
      </c>
      <c r="C1094" s="2" t="str">
        <f ca="1">IFERROR(__xludf.DUMMYFUNCTION("GOOGLETRANSLATE(A1094,""bn"",""en"")"),"Happiness gives patience for a short time but patience brings eternal happiness")</f>
        <v>Happiness gives patience for a short time but patience brings eternal happiness</v>
      </c>
    </row>
    <row r="1095" spans="1:3" ht="15" x14ac:dyDescent="0.25">
      <c r="A1095" s="3" t="s">
        <v>1092</v>
      </c>
      <c r="B1095" s="3" t="s">
        <v>4</v>
      </c>
      <c r="C1095" s="2" t="str">
        <f ca="1">IFERROR(__xludf.DUMMYFUNCTION("GOOGLETRANSLATE(A1095,""bn"",""en"")"),"A man who has gone a week on bread and margarine is no longer a man but a stomach with a few appendages.")</f>
        <v>A man who has gone a week on bread and margarine is no longer a man but a stomach with a few appendages.</v>
      </c>
    </row>
    <row r="1096" spans="1:3" ht="15" x14ac:dyDescent="0.25">
      <c r="A1096" s="3" t="s">
        <v>1093</v>
      </c>
      <c r="B1096" s="3" t="s">
        <v>4</v>
      </c>
      <c r="C1096" s="2" t="str">
        <f ca="1">IFERROR(__xludf.DUMMYFUNCTION("GOOGLETRANSLATE(A1096,""bn"",""en"")"),"The motto of culture is in vain")</f>
        <v>The motto of culture is in vain</v>
      </c>
    </row>
    <row r="1097" spans="1:3" ht="15" x14ac:dyDescent="0.25">
      <c r="A1097" s="3" t="s">
        <v>1094</v>
      </c>
      <c r="B1097" s="3" t="s">
        <v>4</v>
      </c>
      <c r="C1097" s="2" t="str">
        <f ca="1">IFERROR(__xludf.DUMMYFUNCTION("GOOGLETRANSLATE(A1097,""bn"",""en"")"),"Adharma is scattered in the culture of Bengal")</f>
        <v>Adharma is scattered in the culture of Bengal</v>
      </c>
    </row>
    <row r="1098" spans="1:3" ht="15" x14ac:dyDescent="0.25">
      <c r="A1098" s="3" t="s">
        <v>1095</v>
      </c>
      <c r="B1098" s="3" t="s">
        <v>4</v>
      </c>
      <c r="C1098" s="2" t="str">
        <f ca="1">IFERROR(__xludf.DUMMYFUNCTION("GOOGLETRANSLATE(A1098,""bn"",""en"")"),"People's hopes are lost in the darkness of war")</f>
        <v>People's hopes are lost in the darkness of war</v>
      </c>
    </row>
    <row r="1099" spans="1:3" ht="15" x14ac:dyDescent="0.25">
      <c r="A1099" s="3" t="s">
        <v>1096</v>
      </c>
      <c r="B1099" s="3" t="s">
        <v>4</v>
      </c>
      <c r="C1099" s="2" t="str">
        <f ca="1">IFERROR(__xludf.DUMMYFUNCTION("GOOGLETRANSLATE(A1099,""bn"",""en"")"),"The beautiful moments of laughter seen in the movie made my heart melt")</f>
        <v>The beautiful moments of laughter seen in the movie made my heart melt</v>
      </c>
    </row>
    <row r="1100" spans="1:3" ht="15" x14ac:dyDescent="0.25">
      <c r="A1100" s="3" t="s">
        <v>1097</v>
      </c>
      <c r="B1100" s="3" t="s">
        <v>4</v>
      </c>
      <c r="C1100" s="2" t="str">
        <f ca="1">IFERROR(__xludf.DUMMYFUNCTION("GOOGLETRANSLATE(A1100,""bn"",""en"")"),"Now your memory makes me cry even in my dreams")</f>
        <v>Now your memory makes me cry even in my dreams</v>
      </c>
    </row>
    <row r="1101" spans="1:3" ht="15" x14ac:dyDescent="0.25">
      <c r="A1101" s="3" t="s">
        <v>1098</v>
      </c>
      <c r="B1101" s="3" t="s">
        <v>4</v>
      </c>
      <c r="C1101" s="2" t="str">
        <f ca="1">IFERROR(__xludf.DUMMYFUNCTION("GOOGLETRANSLATE(A1101,""bn"",""en"")"),"I went to the market and heard the price")</f>
        <v>I went to the market and heard the price</v>
      </c>
    </row>
    <row r="1102" spans="1:3" ht="15" x14ac:dyDescent="0.25">
      <c r="A1102" s="3" t="s">
        <v>1099</v>
      </c>
      <c r="B1102" s="3" t="s">
        <v>4</v>
      </c>
      <c r="C1102" s="2" t="str">
        <f ca="1">IFERROR(__xludf.DUMMYFUNCTION("GOOGLETRANSLATE(A1102,""bn"",""en"")"),"Both loved ones and beloved things do not last long and may change or be lost")</f>
        <v>Both loved ones and beloved things do not last long and may change or be lost</v>
      </c>
    </row>
    <row r="1103" spans="1:3" ht="15" x14ac:dyDescent="0.25">
      <c r="A1103" s="3" t="s">
        <v>1100</v>
      </c>
      <c r="B1103" s="3" t="s">
        <v>4</v>
      </c>
      <c r="C1103" s="2" t="str">
        <f ca="1">IFERROR(__xludf.DUMMYFUNCTION("GOOGLETRANSLATE(A1103,""bn"",""en"")"),"It is not possible to remove all the pain by crying")</f>
        <v>It is not possible to remove all the pain by crying</v>
      </c>
    </row>
    <row r="1104" spans="1:3" ht="15" x14ac:dyDescent="0.25">
      <c r="A1104" s="3" t="s">
        <v>1101</v>
      </c>
      <c r="B1104" s="3" t="s">
        <v>4</v>
      </c>
      <c r="C1104" s="2" t="str">
        <f ca="1">IFERROR(__xludf.DUMMYFUNCTION("GOOGLETRANSLATE(A1104,""bn"",""en"")"),"A person who thinks he is sick all the time stays sick all his life")</f>
        <v>A person who thinks he is sick all the time stays sick all his life</v>
      </c>
    </row>
    <row r="1105" spans="1:3" ht="15" x14ac:dyDescent="0.25">
      <c r="A1105" s="3" t="s">
        <v>1102</v>
      </c>
      <c r="B1105" s="3" t="s">
        <v>4</v>
      </c>
      <c r="C1105" s="2" t="str">
        <f ca="1">IFERROR(__xludf.DUMMYFUNCTION("GOOGLETRANSLATE(A1105,""bn"",""en"")"),"When time is flowing like water I can never take time for myself")</f>
        <v>When time is flowing like water I can never take time for myself</v>
      </c>
    </row>
    <row r="1106" spans="1:3" ht="15" x14ac:dyDescent="0.25">
      <c r="A1106" s="3" t="s">
        <v>1103</v>
      </c>
      <c r="B1106" s="3" t="s">
        <v>4</v>
      </c>
      <c r="C1106" s="2" t="str">
        <f ca="1">IFERROR(__xludf.DUMMYFUNCTION("GOOGLETRANSLATE(A1106,""bn"",""en"")"),"Shakib Al Hasan is one of the best all-rounders of the time but is not doing well due to eye problems")</f>
        <v>Shakib Al Hasan is one of the best all-rounders of the time but is not doing well due to eye problems</v>
      </c>
    </row>
    <row r="1107" spans="1:3" ht="15" x14ac:dyDescent="0.25">
      <c r="A1107" s="3" t="s">
        <v>1104</v>
      </c>
      <c r="B1107" s="3" t="s">
        <v>4</v>
      </c>
      <c r="C1107" s="2" t="str">
        <f ca="1">IFERROR(__xludf.DUMMYFUNCTION("GOOGLETRANSLATE(A1107,""bn"",""en"")"),"Falling in love with the same person multiple times is true guided love")</f>
        <v>Falling in love with the same person multiple times is true guided love</v>
      </c>
    </row>
    <row r="1108" spans="1:3" ht="15" x14ac:dyDescent="0.25">
      <c r="A1108" s="3" t="s">
        <v>1105</v>
      </c>
      <c r="B1108" s="3" t="s">
        <v>4</v>
      </c>
      <c r="C1108" s="2" t="str">
        <f ca="1">IFERROR(__xludf.DUMMYFUNCTION("GOOGLETRANSLATE(A1108,""bn"",""en"")"),"When love is suppressed, hate takes its place")</f>
        <v>When love is suppressed, hate takes its place</v>
      </c>
    </row>
    <row r="1109" spans="1:3" ht="15" x14ac:dyDescent="0.25">
      <c r="A1109" s="3" t="s">
        <v>1106</v>
      </c>
      <c r="B1109" s="3" t="s">
        <v>4</v>
      </c>
      <c r="C1109" s="2" t="str">
        <f ca="1">IFERROR(__xludf.DUMMYFUNCTION("GOOGLETRANSLATE(A1109,""bn"",""en"")"),"Small everyday mistakes turn into big mistakes that are enough to break any relationship")</f>
        <v>Small everyday mistakes turn into big mistakes that are enough to break any relationship</v>
      </c>
    </row>
    <row r="1110" spans="1:3" ht="15" x14ac:dyDescent="0.25">
      <c r="A1110" s="3" t="s">
        <v>1107</v>
      </c>
      <c r="B1110" s="3" t="s">
        <v>4</v>
      </c>
      <c r="C1110" s="2" t="str">
        <f ca="1">IFERROR(__xludf.DUMMYFUNCTION("GOOGLETRANSLATE(A1110,""bn"",""en"")"),"I came hoping for love, only to find a burden of pain")</f>
        <v>I came hoping for love, only to find a burden of pain</v>
      </c>
    </row>
    <row r="1111" spans="1:3" ht="15" x14ac:dyDescent="0.25">
      <c r="A1111" s="3" t="s">
        <v>1108</v>
      </c>
      <c r="B1111" s="3" t="s">
        <v>4</v>
      </c>
      <c r="C1111" s="2" t="str">
        <f ca="1">IFERROR(__xludf.DUMMYFUNCTION("GOOGLETRANSLATE(A1111,""bn"",""en"")"),"If you hurt someone, you will suffer whether today or tomorrow")</f>
        <v>If you hurt someone, you will suffer whether today or tomorrow</v>
      </c>
    </row>
    <row r="1112" spans="1:3" ht="15" x14ac:dyDescent="0.25">
      <c r="A1112" s="3" t="s">
        <v>1109</v>
      </c>
      <c r="B1112" s="3" t="s">
        <v>4</v>
      </c>
      <c r="C1112" s="2" t="str">
        <f ca="1">IFERROR(__xludf.DUMMYFUNCTION("GOOGLETRANSLATE(A1112,""bn"",""en"")"),"After reading a favorite book, it seems that we do not find a way of life for ourselves, but we are immersed in sincere feelings")</f>
        <v>After reading a favorite book, it seems that we do not find a way of life for ourselves, but we are immersed in sincere feelings</v>
      </c>
    </row>
    <row r="1113" spans="1:3" ht="15" x14ac:dyDescent="0.25">
      <c r="A1113" s="3" t="s">
        <v>1110</v>
      </c>
      <c r="B1113" s="3" t="s">
        <v>4</v>
      </c>
      <c r="C1113" s="2" t="str">
        <f ca="1">IFERROR(__xludf.DUMMYFUNCTION("GOOGLETRANSLATE(A1113,""bn"",""en"")"),"If troubles were paper I would burn them to ashes but troubles are fire which is burning me to ashes like paper.")</f>
        <v>If troubles were paper I would burn them to ashes but troubles are fire which is burning me to ashes like paper.</v>
      </c>
    </row>
    <row r="1114" spans="1:3" ht="15" x14ac:dyDescent="0.25">
      <c r="A1114" s="3" t="s">
        <v>1111</v>
      </c>
      <c r="B1114" s="3" t="s">
        <v>4</v>
      </c>
      <c r="C1114" s="2" t="str">
        <f ca="1">IFERROR(__xludf.DUMMYFUNCTION("GOOGLETRANSLATE(A1114,""bn"",""en"")"),"I have thousands of people with me but there is an unknown empty space in my heart")</f>
        <v>I have thousands of people with me but there is an unknown empty space in my heart</v>
      </c>
    </row>
    <row r="1115" spans="1:3" ht="15" x14ac:dyDescent="0.25">
      <c r="A1115" s="3" t="s">
        <v>1112</v>
      </c>
      <c r="B1115" s="3" t="s">
        <v>4</v>
      </c>
      <c r="C1115" s="2" t="str">
        <f ca="1">IFERROR(__xludf.DUMMYFUNCTION("GOOGLETRANSLATE(A1115,""bn"",""en"")"),"I have a lot of grief and resentment for the lack of family")</f>
        <v>I have a lot of grief and resentment for the lack of family</v>
      </c>
    </row>
    <row r="1116" spans="1:3" ht="15" x14ac:dyDescent="0.25">
      <c r="A1116" s="3" t="s">
        <v>1113</v>
      </c>
      <c r="B1116" s="3" t="s">
        <v>4</v>
      </c>
      <c r="C1116" s="2" t="str">
        <f ca="1">IFERROR(__xludf.DUMMYFUNCTION("GOOGLETRANSLATE(A1116,""bn"",""en"")"),"Living with a smile hiding the tears is the daily rule of being alone")</f>
        <v>Living with a smile hiding the tears is the daily rule of being alone</v>
      </c>
    </row>
    <row r="1117" spans="1:3" ht="15" x14ac:dyDescent="0.25">
      <c r="A1117" s="3" t="s">
        <v>1114</v>
      </c>
      <c r="B1117" s="3" t="s">
        <v>4</v>
      </c>
      <c r="C1117" s="2" t="str">
        <f ca="1">IFERROR(__xludf.DUMMYFUNCTION("GOOGLETRANSLATE(A1117,""bn"",""en"")"),"A diseased or diseased body is a prison for the soul")</f>
        <v>A diseased or diseased body is a prison for the soul</v>
      </c>
    </row>
    <row r="1118" spans="1:3" ht="15" x14ac:dyDescent="0.25">
      <c r="A1118" s="3" t="s">
        <v>1115</v>
      </c>
      <c r="B1118" s="3" t="s">
        <v>4</v>
      </c>
      <c r="C1118" s="2" t="str">
        <f ca="1">IFERROR(__xludf.DUMMYFUNCTION("GOOGLETRANSLATE(A1118,""bn"",""en"")"),"Sick and yet fabulous")</f>
        <v>Sick and yet fabulous</v>
      </c>
    </row>
    <row r="1119" spans="1:3" ht="15" x14ac:dyDescent="0.25">
      <c r="A1119" s="3" t="s">
        <v>1116</v>
      </c>
      <c r="B1119" s="3" t="s">
        <v>4</v>
      </c>
      <c r="C1119" s="2" t="str">
        <f ca="1">IFERROR(__xludf.DUMMYFUNCTION("GOOGLETRANSLATE(A1119,""bn"",""en"")"),"In the solitude of late night, the loneliness of bearing the burden of suffering seems more intense")</f>
        <v>In the solitude of late night, the loneliness of bearing the burden of suffering seems more intense</v>
      </c>
    </row>
    <row r="1120" spans="1:3" ht="15" x14ac:dyDescent="0.25">
      <c r="A1120" s="3" t="s">
        <v>1117</v>
      </c>
      <c r="B1120" s="3" t="s">
        <v>4</v>
      </c>
      <c r="C1120" s="2" t="str">
        <f ca="1">IFERROR(__xludf.DUMMYFUNCTION("GOOGLETRANSLATE(A1120,""bn"",""en"")"),"I can't find myself without personal time in work life")</f>
        <v>I can't find myself without personal time in work life</v>
      </c>
    </row>
    <row r="1121" spans="1:3" ht="15" x14ac:dyDescent="0.25">
      <c r="A1121" s="3" t="s">
        <v>1118</v>
      </c>
      <c r="B1121" s="3" t="s">
        <v>4</v>
      </c>
      <c r="C1121" s="2" t="str">
        <f ca="1">IFERROR(__xludf.DUMMYFUNCTION("GOOGLETRANSLATE(A1121,""bn"",""en"")"),"We learn a lot by reading books")</f>
        <v>We learn a lot by reading books</v>
      </c>
    </row>
    <row r="1122" spans="1:3" ht="15" x14ac:dyDescent="0.25">
      <c r="A1122" s="3" t="s">
        <v>1119</v>
      </c>
      <c r="B1122" s="3" t="s">
        <v>4</v>
      </c>
      <c r="C1122" s="2" t="str">
        <f ca="1">IFERROR(__xludf.DUMMYFUNCTION("GOOGLETRANSLATE(A1122,""bn"",""en"")"),"Amazing acting Immaculate acting of a boy with special needs")</f>
        <v>Amazing acting Immaculate acting of a boy with special needs</v>
      </c>
    </row>
    <row r="1123" spans="1:3" ht="15" x14ac:dyDescent="0.25">
      <c r="A1123" s="3" t="s">
        <v>1120</v>
      </c>
      <c r="B1123" s="3" t="s">
        <v>4</v>
      </c>
      <c r="C1123" s="2" t="str">
        <f ca="1">IFERROR(__xludf.DUMMYFUNCTION("GOOGLETRANSLATE(A1123,""bn"",""en"")"),"Trust can bridge any relationship")</f>
        <v>Trust can bridge any relationship</v>
      </c>
    </row>
    <row r="1124" spans="1:3" ht="15" x14ac:dyDescent="0.25">
      <c r="A1124" s="3" t="s">
        <v>1121</v>
      </c>
      <c r="B1124" s="3" t="s">
        <v>4</v>
      </c>
      <c r="C1124" s="2" t="str">
        <f ca="1">IFERROR(__xludf.DUMMYFUNCTION("GOOGLETRANSLATE(A1124,""bn"",""en"")"),"Love takes more than it gives")</f>
        <v>Love takes more than it gives</v>
      </c>
    </row>
    <row r="1125" spans="1:3" ht="15" x14ac:dyDescent="0.25">
      <c r="A1125" s="3" t="s">
        <v>1122</v>
      </c>
      <c r="B1125" s="3" t="s">
        <v>4</v>
      </c>
      <c r="C1125" s="2" t="str">
        <f ca="1">IFERROR(__xludf.DUMMYFUNCTION("GOOGLETRANSLATE(A1125,""bn"",""en"")"),"This wandering mind wants to spend this life")</f>
        <v>This wandering mind wants to spend this life</v>
      </c>
    </row>
    <row r="1126" spans="1:3" ht="15" x14ac:dyDescent="0.25">
      <c r="A1126" s="3" t="s">
        <v>1123</v>
      </c>
      <c r="B1126" s="3" t="s">
        <v>4</v>
      </c>
      <c r="C1126" s="2" t="str">
        <f ca="1">IFERROR(__xludf.DUMMYFUNCTION("GOOGLETRANSLATE(A1126,""bn"",""en"")"),"The survival of the poor is a clear proof of their ability")</f>
        <v>The survival of the poor is a clear proof of their ability</v>
      </c>
    </row>
    <row r="1127" spans="1:3" ht="15" x14ac:dyDescent="0.25">
      <c r="A1127" s="3" t="s">
        <v>1124</v>
      </c>
      <c r="B1127" s="3" t="s">
        <v>4</v>
      </c>
      <c r="C1127" s="2" t="str">
        <f ca="1">IFERROR(__xludf.DUMMYFUNCTION("GOOGLETRANSLATE(A1127,""bn"",""en"")"),"Tell him not to come to my house")</f>
        <v>Tell him not to come to my house</v>
      </c>
    </row>
    <row r="1128" spans="1:3" ht="15" x14ac:dyDescent="0.25">
      <c r="A1128" s="3" t="s">
        <v>1125</v>
      </c>
      <c r="B1128" s="3" t="s">
        <v>4</v>
      </c>
      <c r="C1128" s="2" t="str">
        <f ca="1">IFERROR(__xludf.DUMMYFUNCTION("GOOGLETRANSLATE(A1128,""bn"",""en"")"),"The biggest sadness is that no one does anything for me")</f>
        <v>The biggest sadness is that no one does anything for me</v>
      </c>
    </row>
    <row r="1129" spans="1:3" ht="15" x14ac:dyDescent="0.25">
      <c r="A1129" s="3" t="s">
        <v>1126</v>
      </c>
      <c r="B1129" s="3" t="s">
        <v>4</v>
      </c>
      <c r="C1129" s="2" t="str">
        <f ca="1">IFERROR(__xludf.DUMMYFUNCTION("GOOGLETRANSLATE(A1129,""bn"",""en"")"),"It is unfortunate that the rise in prices of essential commodities has worsened the living conditions of the middle and lower income groups.")</f>
        <v>It is unfortunate that the rise in prices of essential commodities has worsened the living conditions of the middle and lower income groups.</v>
      </c>
    </row>
    <row r="1130" spans="1:3" ht="15" x14ac:dyDescent="0.25">
      <c r="A1130" s="3" t="s">
        <v>1127</v>
      </c>
      <c r="B1130" s="3" t="s">
        <v>4</v>
      </c>
      <c r="C1130" s="2" t="str">
        <f ca="1">IFERROR(__xludf.DUMMYFUNCTION("GOOGLETRANSLATE(A1130,""bn"",""en"")"),"Self respect is the greatest sickness to man or woman because it is conditional")</f>
        <v>Self respect is the greatest sickness to man or woman because it is conditional</v>
      </c>
    </row>
    <row r="1131" spans="1:3" ht="15" x14ac:dyDescent="0.25">
      <c r="A1131" s="3" t="s">
        <v>1128</v>
      </c>
      <c r="B1131" s="3" t="s">
        <v>4</v>
      </c>
      <c r="C1131" s="2" t="str">
        <f ca="1">IFERROR(__xludf.DUMMYFUNCTION("GOOGLETRANSLATE(A1131,""bn"",""en"")"),"Go for a walk and see if you feel better")</f>
        <v>Go for a walk and see if you feel better</v>
      </c>
    </row>
    <row r="1132" spans="1:3" ht="15" x14ac:dyDescent="0.25">
      <c r="A1132" s="3" t="s">
        <v>1129</v>
      </c>
      <c r="B1132" s="3" t="s">
        <v>4</v>
      </c>
      <c r="C1132" s="2" t="str">
        <f ca="1">IFERROR(__xludf.DUMMYFUNCTION("GOOGLETRANSLATE(A1132,""bn"",""en"")"),"Today I can't explain with great resistance where I am going inside a racist mind")</f>
        <v>Today I can't explain with great resistance where I am going inside a racist mind</v>
      </c>
    </row>
    <row r="1133" spans="1:3" ht="15" x14ac:dyDescent="0.25">
      <c r="A1133" s="3" t="s">
        <v>1130</v>
      </c>
      <c r="B1133" s="3" t="s">
        <v>4</v>
      </c>
      <c r="C1133" s="2" t="str">
        <f ca="1">IFERROR(__xludf.DUMMYFUNCTION("GOOGLETRANSLATE(A1133,""bn"",""en"")"),"Some people come into our life just to break our trust so solitude is better")</f>
        <v>Some people come into our life just to break our trust so solitude is better</v>
      </c>
    </row>
    <row r="1134" spans="1:3" ht="15" x14ac:dyDescent="0.25">
      <c r="A1134" s="3" t="s">
        <v>1131</v>
      </c>
      <c r="B1134" s="3" t="s">
        <v>4</v>
      </c>
      <c r="C1134" s="2" t="str">
        <f ca="1">IFERROR(__xludf.DUMMYFUNCTION("GOOGLETRANSLATE(A1134,""bn"",""en"")"),"If political power hesitates in the midst of a great danger, we can have no hope")</f>
        <v>If political power hesitates in the midst of a great danger, we can have no hope</v>
      </c>
    </row>
    <row r="1135" spans="1:3" ht="15" x14ac:dyDescent="0.25">
      <c r="A1135" s="3" t="s">
        <v>1132</v>
      </c>
      <c r="B1135" s="3" t="s">
        <v>4</v>
      </c>
      <c r="C1135" s="2" t="str">
        <f ca="1">IFERROR(__xludf.DUMMYFUNCTION("GOOGLETRANSLATE(A1135,""bn"",""en"")"),"Who wants to give more importance to making money than people in life, because if there is a small print in the pocket, the relationship will die before the money.")</f>
        <v>Who wants to give more importance to making money than people in life, because if there is a small print in the pocket, the relationship will die before the money.</v>
      </c>
    </row>
    <row r="1136" spans="1:3" ht="15" x14ac:dyDescent="0.25">
      <c r="A1136" s="3" t="s">
        <v>1133</v>
      </c>
      <c r="B1136" s="3" t="s">
        <v>4</v>
      </c>
      <c r="C1136" s="2" t="str">
        <f ca="1">IFERROR(__xludf.DUMMYFUNCTION("GOOGLETRANSLATE(A1136,""bn"",""en"")"),"A penniless person is never loved by anyone")</f>
        <v>A penniless person is never loved by anyone</v>
      </c>
    </row>
    <row r="1137" spans="1:3" ht="15" x14ac:dyDescent="0.25">
      <c r="A1137" s="3" t="s">
        <v>1134</v>
      </c>
      <c r="B1137" s="3" t="s">
        <v>4</v>
      </c>
      <c r="C1137" s="2" t="str">
        <f ca="1">IFERROR(__xludf.DUMMYFUNCTION("GOOGLETRANSLATE(A1137,""bn"",""en"")"),"Although there are many talented young players in Bangladesh, they are missing in the right way")</f>
        <v>Although there are many talented young players in Bangladesh, they are missing in the right way</v>
      </c>
    </row>
    <row r="1138" spans="1:3" ht="15" x14ac:dyDescent="0.25">
      <c r="A1138" s="3" t="s">
        <v>1135</v>
      </c>
      <c r="B1138" s="3" t="s">
        <v>4</v>
      </c>
      <c r="C1138" s="2" t="str">
        <f ca="1">IFERROR(__xludf.DUMMYFUNCTION("GOOGLETRANSLATE(A1138,""bn"",""en"")"),"A man's physical beauty goes hand in hand with the beauty of his heart")</f>
        <v>A man's physical beauty goes hand in hand with the beauty of his heart</v>
      </c>
    </row>
    <row r="1139" spans="1:3" ht="15" x14ac:dyDescent="0.25">
      <c r="A1139" s="3" t="s">
        <v>1136</v>
      </c>
      <c r="B1139" s="3" t="s">
        <v>4</v>
      </c>
      <c r="C1139" s="2" t="str">
        <f ca="1">IFERROR(__xludf.DUMMYFUNCTION("GOOGLETRANSLATE(A1139,""bn"",""en"")"),"Poverty is not an accident, like slavery and racism it is man-made and can be removed by human action.")</f>
        <v>Poverty is not an accident, like slavery and racism it is man-made and can be removed by human action.</v>
      </c>
    </row>
    <row r="1140" spans="1:3" ht="15" x14ac:dyDescent="0.25">
      <c r="A1140" s="3" t="s">
        <v>1137</v>
      </c>
      <c r="B1140" s="3" t="s">
        <v>4</v>
      </c>
      <c r="C1140" s="2" t="str">
        <f ca="1">IFERROR(__xludf.DUMMYFUNCTION("GOOGLETRANSLATE(A1140,""bn"",""en"")"),"Depression is like a wound that never goes away")</f>
        <v>Depression is like a wound that never goes away</v>
      </c>
    </row>
    <row r="1141" spans="1:3" ht="15" x14ac:dyDescent="0.25">
      <c r="A1141" s="3" t="s">
        <v>1138</v>
      </c>
      <c r="B1141" s="3" t="s">
        <v>4</v>
      </c>
      <c r="C1141" s="2" t="str">
        <f ca="1">IFERROR(__xludf.DUMMYFUNCTION("GOOGLETRANSLATE(A1141,""bn"",""en"")"),"Learned a lot about social media but my mind is restless these days")</f>
        <v>Learned a lot about social media but my mind is restless these days</v>
      </c>
    </row>
    <row r="1142" spans="1:3" ht="15" x14ac:dyDescent="0.25">
      <c r="A1142" s="3" t="s">
        <v>1139</v>
      </c>
      <c r="B1142" s="3" t="s">
        <v>4</v>
      </c>
      <c r="C1142" s="2" t="str">
        <f ca="1">IFERROR(__xludf.DUMMYFUNCTION("GOOGLETRANSLATE(A1142,""bn"",""en"")"),"The more beautiful the outside, the more wounded the inside")</f>
        <v>The more beautiful the outside, the more wounded the inside</v>
      </c>
    </row>
    <row r="1143" spans="1:3" ht="15" x14ac:dyDescent="0.25">
      <c r="A1143" s="3" t="s">
        <v>1140</v>
      </c>
      <c r="B1143" s="3" t="s">
        <v>4</v>
      </c>
      <c r="C1143" s="2" t="str">
        <f ca="1">IFERROR(__xludf.DUMMYFUNCTION("GOOGLETRANSLATE(A1143,""bn"",""en"")"),"Life cannot be experienced without falling in love")</f>
        <v>Life cannot be experienced without falling in love</v>
      </c>
    </row>
    <row r="1144" spans="1:3" ht="15" x14ac:dyDescent="0.25">
      <c r="A1144" s="3" t="s">
        <v>1141</v>
      </c>
      <c r="B1144" s="3" t="s">
        <v>4</v>
      </c>
      <c r="C1144" s="2" t="str">
        <f ca="1">IFERROR(__xludf.DUMMYFUNCTION("GOOGLETRANSLATE(A1144,""bn"",""en"")"),"We live only when we are involved in loving relationships")</f>
        <v>We live only when we are involved in loving relationships</v>
      </c>
    </row>
    <row r="1145" spans="1:3" ht="15" x14ac:dyDescent="0.25">
      <c r="A1145" s="3" t="s">
        <v>1142</v>
      </c>
      <c r="B1145" s="3" t="s">
        <v>4</v>
      </c>
      <c r="C1145" s="2" t="str">
        <f ca="1">IFERROR(__xludf.DUMMYFUNCTION("GOOGLETRANSLATE(A1145,""bn"",""en"")"),"Darkness is the absence of life and despair is the absence of happiness")</f>
        <v>Darkness is the absence of life and despair is the absence of happiness</v>
      </c>
    </row>
    <row r="1146" spans="1:3" ht="15" x14ac:dyDescent="0.25">
      <c r="A1146" s="3" t="s">
        <v>1143</v>
      </c>
      <c r="B1146" s="3" t="s">
        <v>4</v>
      </c>
      <c r="C1146" s="2" t="str">
        <f ca="1">IFERROR(__xludf.DUMMYFUNCTION("GOOGLETRANSLATE(A1146,""bn"",""en"")"),"The chariot of darkness is making a golden moon in the dark, alternating with the light of culture")</f>
        <v>The chariot of darkness is making a golden moon in the dark, alternating with the light of culture</v>
      </c>
    </row>
    <row r="1147" spans="1:3" ht="15" x14ac:dyDescent="0.25">
      <c r="A1147" s="3" t="s">
        <v>1144</v>
      </c>
      <c r="B1147" s="3" t="s">
        <v>4</v>
      </c>
      <c r="C1147" s="2" t="str">
        <f ca="1">IFERROR(__xludf.DUMMYFUNCTION("GOOGLETRANSLATE(A1147,""bn"",""en"")"),"The culture of Bengal is an impossible dream for distant people to cherish")</f>
        <v>The culture of Bengal is an impossible dream for distant people to cherish</v>
      </c>
    </row>
    <row r="1148" spans="1:3" ht="15" x14ac:dyDescent="0.25">
      <c r="A1148" s="3" t="s">
        <v>1145</v>
      </c>
      <c r="B1148" s="3" t="s">
        <v>4</v>
      </c>
      <c r="C1148" s="2" t="str">
        <f ca="1">IFERROR(__xludf.DUMMYFUNCTION("GOOGLETRANSLATE(A1148,""bn"",""en"")"),"I am losing myself as the main character of the play")</f>
        <v>I am losing myself as the main character of the play</v>
      </c>
    </row>
    <row r="1149" spans="1:3" ht="15" x14ac:dyDescent="0.25">
      <c r="A1149" s="3" t="s">
        <v>1146</v>
      </c>
      <c r="B1149" s="3" t="s">
        <v>4</v>
      </c>
      <c r="C1149" s="2" t="str">
        <f ca="1">IFERROR(__xludf.DUMMYFUNCTION("GOOGLETRANSLATE(A1149,""bn"",""en"")"),"Love is ideal and marriage is real")</f>
        <v>Love is ideal and marriage is real</v>
      </c>
    </row>
    <row r="1150" spans="1:3" ht="15" x14ac:dyDescent="0.25">
      <c r="A1150" s="3" t="s">
        <v>1147</v>
      </c>
      <c r="B1150" s="3" t="s">
        <v>4</v>
      </c>
      <c r="C1150" s="2" t="str">
        <f ca="1">IFERROR(__xludf.DUMMYFUNCTION("GOOGLETRANSLATE(A1150,""bn"",""en"")"),"Friends, I want to bring you stars in the sky")</f>
        <v>Friends, I want to bring you stars in the sky</v>
      </c>
    </row>
    <row r="1151" spans="1:3" ht="15" x14ac:dyDescent="0.25">
      <c r="A1151" s="3" t="s">
        <v>1148</v>
      </c>
      <c r="B1151" s="3" t="s">
        <v>4</v>
      </c>
      <c r="C1151" s="2" t="str">
        <f ca="1">IFERROR(__xludf.DUMMYFUNCTION("GOOGLETRANSLATE(A1151,""bn"",""en"")"),"Many things in the family should not be incomplete to understand where it went wrong")</f>
        <v>Many things in the family should not be incomplete to understand where it went wrong</v>
      </c>
    </row>
    <row r="1152" spans="1:3" ht="15" x14ac:dyDescent="0.25">
      <c r="A1152" s="3" t="s">
        <v>1149</v>
      </c>
      <c r="B1152" s="3" t="s">
        <v>4</v>
      </c>
      <c r="C1152" s="2" t="str">
        <f ca="1">IFERROR(__xludf.DUMMYFUNCTION("GOOGLETRANSLATE(A1152,""bn"",""en"")"),"Grief enables people to be creative, so grieving people can move beyond their pain and negativity through creativity")</f>
        <v>Grief enables people to be creative, so grieving people can move beyond their pain and negativity through creativity</v>
      </c>
    </row>
    <row r="1153" spans="1:3" ht="15" x14ac:dyDescent="0.25">
      <c r="A1153" s="3" t="s">
        <v>1150</v>
      </c>
      <c r="B1153" s="3" t="s">
        <v>4</v>
      </c>
      <c r="C1153" s="2" t="str">
        <f ca="1">IFERROR(__xludf.DUMMYFUNCTION("GOOGLETRANSLATE(A1153,""bn"",""en"")"),"Today I am tired of false people, false friendship, false love and false hope")</f>
        <v>Today I am tired of false people, false friendship, false love and false hope</v>
      </c>
    </row>
    <row r="1154" spans="1:3" ht="15" x14ac:dyDescent="0.25">
      <c r="A1154" s="3" t="s">
        <v>1151</v>
      </c>
      <c r="B1154" s="3" t="s">
        <v>4</v>
      </c>
      <c r="C1154" s="2" t="str">
        <f ca="1">IFERROR(__xludf.DUMMYFUNCTION("GOOGLETRANSLATE(A1154,""bn"",""en"")"),"An unknown trial of entertainment was brought to an end by a storm of darkness in a cage of laughter")</f>
        <v>An unknown trial of entertainment was brought to an end by a storm of darkness in a cage of laughter</v>
      </c>
    </row>
    <row r="1155" spans="1:3" ht="15" x14ac:dyDescent="0.25">
      <c r="A1155" s="3" t="s">
        <v>1152</v>
      </c>
      <c r="B1155" s="3" t="s">
        <v>4</v>
      </c>
      <c r="C1155" s="2" t="str">
        <f ca="1">IFERROR(__xludf.DUMMYFUNCTION("GOOGLETRANSLATE(A1155,""bn"",""en"")"),"After reading a favorite book, it seems like how we protest ourselves every day")</f>
        <v>After reading a favorite book, it seems like how we protest ourselves every day</v>
      </c>
    </row>
    <row r="1156" spans="1:3" ht="15" x14ac:dyDescent="0.25">
      <c r="A1156" s="3" t="s">
        <v>1153</v>
      </c>
      <c r="B1156" s="3" t="s">
        <v>4</v>
      </c>
      <c r="C1156" s="2" t="str">
        <f ca="1">IFERROR(__xludf.DUMMYFUNCTION("GOOGLETRANSLATE(A1156,""bn"",""en"")"),"Memories of love are like burning embers in the corners of the heart")</f>
        <v>Memories of love are like burning embers in the corners of the heart</v>
      </c>
    </row>
    <row r="1157" spans="1:3" ht="15" x14ac:dyDescent="0.25">
      <c r="A1157" s="3" t="s">
        <v>1154</v>
      </c>
      <c r="B1157" s="3" t="s">
        <v>4</v>
      </c>
      <c r="C1157" s="2" t="str">
        <f ca="1">IFERROR(__xludf.DUMMYFUNCTION("GOOGLETRANSLATE(A1157,""bn"",""en"")"),"True love cannot be found, it has to be made")</f>
        <v>True love cannot be found, it has to be made</v>
      </c>
    </row>
    <row r="1158" spans="1:3" ht="15" x14ac:dyDescent="0.25">
      <c r="A1158" s="3" t="s">
        <v>1155</v>
      </c>
      <c r="B1158" s="3" t="s">
        <v>4</v>
      </c>
      <c r="C1158" s="2" t="str">
        <f ca="1">IFERROR(__xludf.DUMMYFUNCTION("GOOGLETRANSLATE(A1158,""bn"",""en"")"),"When lost from the path of truth, the mind remains only in grief and discontent")</f>
        <v>When lost from the path of truth, the mind remains only in grief and discontent</v>
      </c>
    </row>
    <row r="1159" spans="1:3" ht="15" x14ac:dyDescent="0.25">
      <c r="A1159" s="3" t="s">
        <v>1156</v>
      </c>
      <c r="B1159" s="3" t="s">
        <v>4</v>
      </c>
      <c r="C1159" s="2" t="str">
        <f ca="1">IFERROR(__xludf.DUMMYFUNCTION("GOOGLETRANSLATE(A1159,""bn"",""en"")"),"Speaking the truth in life makes me feel lonely and depressed")</f>
        <v>Speaking the truth in life makes me feel lonely and depressed</v>
      </c>
    </row>
    <row r="1160" spans="1:3" ht="15" x14ac:dyDescent="0.25">
      <c r="A1160" s="3" t="s">
        <v>1157</v>
      </c>
      <c r="B1160" s="3" t="s">
        <v>4</v>
      </c>
      <c r="C1160" s="2" t="str">
        <f ca="1">IFERROR(__xludf.DUMMYFUNCTION("GOOGLETRANSLATE(A1160,""bn"",""en"")"),"My cough is heavy but my spirit is strong")</f>
        <v>My cough is heavy but my spirit is strong</v>
      </c>
    </row>
    <row r="1161" spans="1:3" ht="15" x14ac:dyDescent="0.25">
      <c r="A1161" s="3" t="s">
        <v>1158</v>
      </c>
      <c r="B1161" s="3" t="s">
        <v>4</v>
      </c>
      <c r="C1161" s="2" t="str">
        <f ca="1">IFERROR(__xludf.DUMMYFUNCTION("GOOGLETRANSLATE(A1161,""bn"",""en"")"),"Financial crisis creates obstacles")</f>
        <v>Financial crisis creates obstacles</v>
      </c>
    </row>
    <row r="1162" spans="1:3" ht="15" x14ac:dyDescent="0.25">
      <c r="A1162" s="3" t="s">
        <v>1159</v>
      </c>
      <c r="B1162" s="3" t="s">
        <v>4</v>
      </c>
      <c r="C1162" s="2" t="str">
        <f ca="1">IFERROR(__xludf.DUMMYFUNCTION("GOOGLETRANSLATE(A1162,""bn"",""en"")"),"Solitude is necessary for self-examination in order to know oneself better")</f>
        <v>Solitude is necessary for self-examination in order to know oneself better</v>
      </c>
    </row>
    <row r="1163" spans="1:3" ht="15" x14ac:dyDescent="0.25">
      <c r="A1163" s="3" t="s">
        <v>1160</v>
      </c>
      <c r="B1163" s="3" t="s">
        <v>4</v>
      </c>
      <c r="C1163" s="2" t="str">
        <f ca="1">IFERROR(__xludf.DUMMYFUNCTION("GOOGLETRANSLATE(A1163,""bn"",""en"")"),"Why do you love everything in your home, no matter how much anger and resentment you have, at the end of the day, you remember the words of your parents.")</f>
        <v>Why do you love everything in your home, no matter how much anger and resentment you have, at the end of the day, you remember the words of your parents.</v>
      </c>
    </row>
    <row r="1164" spans="1:3" ht="15" x14ac:dyDescent="0.25">
      <c r="A1164" s="3" t="s">
        <v>1161</v>
      </c>
      <c r="B1164" s="3" t="s">
        <v>4</v>
      </c>
      <c r="C1164" s="2" t="str">
        <f ca="1">IFERROR(__xludf.DUMMYFUNCTION("GOOGLETRANSLATE(A1164,""bn"",""en"")"),"Feelings are not lost, time is lost")</f>
        <v>Feelings are not lost, time is lost</v>
      </c>
    </row>
    <row r="1165" spans="1:3" ht="15" x14ac:dyDescent="0.25">
      <c r="A1165" s="3" t="s">
        <v>1162</v>
      </c>
      <c r="B1165" s="3" t="s">
        <v>4</v>
      </c>
      <c r="C1165" s="2" t="str">
        <f ca="1">IFERROR(__xludf.DUMMYFUNCTION("GOOGLETRANSLATE(A1165,""bn"",""en"")"),"Neelima does not live much in me at the sound of war")</f>
        <v>Neelima does not live much in me at the sound of war</v>
      </c>
    </row>
    <row r="1166" spans="1:3" ht="15" x14ac:dyDescent="0.25">
      <c r="A1166" s="3" t="s">
        <v>1163</v>
      </c>
      <c r="B1166" s="3" t="s">
        <v>4</v>
      </c>
      <c r="C1166" s="2" t="str">
        <f ca="1">IFERROR(__xludf.DUMMYFUNCTION("GOOGLETRANSLATE(A1166,""bn"",""en"")"),"I had a lot of dreams to do something for my area but still could not do it")</f>
        <v>I had a lot of dreams to do something for my area but still could not do it</v>
      </c>
    </row>
    <row r="1167" spans="1:3" ht="15" x14ac:dyDescent="0.25">
      <c r="A1167" s="3" t="s">
        <v>1164</v>
      </c>
      <c r="B1167" s="3" t="s">
        <v>4</v>
      </c>
      <c r="C1167" s="2" t="str">
        <f ca="1">IFERROR(__xludf.DUMMYFUNCTION("GOOGLETRANSLATE(A1167,""bn"",""en"")"),"There were many dreams but the reality has sunk into the depths of bitter despair")</f>
        <v>There were many dreams but the reality has sunk into the depths of bitter despair</v>
      </c>
    </row>
    <row r="1168" spans="1:3" ht="15" x14ac:dyDescent="0.25">
      <c r="A1168" s="3" t="s">
        <v>1165</v>
      </c>
      <c r="B1168" s="3" t="s">
        <v>4</v>
      </c>
      <c r="C1168" s="2" t="str">
        <f ca="1">IFERROR(__xludf.DUMMYFUNCTION("GOOGLETRANSLATE(A1168,""bn"",""en"")"),"Sometimes there is so much pain in the heart that a heart breaks and bleeds")</f>
        <v>Sometimes there is so much pain in the heart that a heart breaks and bleeds</v>
      </c>
    </row>
    <row r="1169" spans="1:3" ht="15" x14ac:dyDescent="0.25">
      <c r="A1169" s="3" t="s">
        <v>1166</v>
      </c>
      <c r="B1169" s="3" t="s">
        <v>4</v>
      </c>
      <c r="C1169" s="2" t="str">
        <f ca="1">IFERROR(__xludf.DUMMYFUNCTION("GOOGLETRANSLATE(A1169,""bn"",""en"")"),"From Recovery to Rags and Recovery from Rags is a perfect compilation of human imperfection symbolizing art")</f>
        <v>From Recovery to Rags and Recovery from Rags is a perfect compilation of human imperfection symbolizing art</v>
      </c>
    </row>
    <row r="1170" spans="1:3" ht="15" x14ac:dyDescent="0.25">
      <c r="A1170" s="3" t="s">
        <v>1167</v>
      </c>
      <c r="B1170" s="3" t="s">
        <v>4</v>
      </c>
      <c r="C1170" s="2" t="str">
        <f ca="1">IFERROR(__xludf.DUMMYFUNCTION("GOOGLETRANSLATE(A1170,""bn"",""en"")"),"It is only after leaving some people that I realize how much they have contributed to my life")</f>
        <v>It is only after leaving some people that I realize how much they have contributed to my life</v>
      </c>
    </row>
    <row r="1171" spans="1:3" ht="15" x14ac:dyDescent="0.25">
      <c r="A1171" s="3" t="s">
        <v>1168</v>
      </c>
      <c r="B1171" s="3" t="s">
        <v>4</v>
      </c>
      <c r="C1171" s="2" t="str">
        <f ca="1">IFERROR(__xludf.DUMMYFUNCTION("GOOGLETRANSLATE(A1171,""bn"",""en"")"),"It's a real shame that Di María is one of Argentina's best players, but he hasn't lived up to his true status.")</f>
        <v>It's a real shame that Di María is one of Argentina's best players, but he hasn't lived up to his true status.</v>
      </c>
    </row>
    <row r="1172" spans="1:3" ht="15" x14ac:dyDescent="0.25">
      <c r="A1172" s="3" t="s">
        <v>1169</v>
      </c>
      <c r="B1172" s="3" t="s">
        <v>4</v>
      </c>
      <c r="C1172" s="2" t="str">
        <f ca="1">IFERROR(__xludf.DUMMYFUNCTION("GOOGLETRANSLATE(A1172,""bn"",""en"")"),"I cannot find the answer to the question of what humanity lives in society when one person is jealous or insults another.")</f>
        <v>I cannot find the answer to the question of what humanity lives in society when one person is jealous or insults another.</v>
      </c>
    </row>
    <row r="1173" spans="1:3" ht="15" x14ac:dyDescent="0.25">
      <c r="A1173" s="3" t="s">
        <v>1170</v>
      </c>
      <c r="B1173" s="3" t="s">
        <v>4</v>
      </c>
      <c r="C1173" s="2" t="str">
        <f ca="1">IFERROR(__xludf.DUMMYFUNCTION("GOOGLETRANSLATE(A1173,""bn"",""en"")"),"The extinction of human dreams is understood in the insult of culture")</f>
        <v>The extinction of human dreams is understood in the insult of culture</v>
      </c>
    </row>
    <row r="1174" spans="1:3" ht="15" x14ac:dyDescent="0.25">
      <c r="A1174" s="3" t="s">
        <v>1171</v>
      </c>
      <c r="B1174" s="3" t="s">
        <v>4</v>
      </c>
      <c r="C1174" s="2" t="str">
        <f ca="1">IFERROR(__xludf.DUMMYFUNCTION("GOOGLETRANSLATE(A1174,""bn"",""en"")"),"It seems that I am enjoying the most time of life here but restlessness and dullness live here")</f>
        <v>It seems that I am enjoying the most time of life here but restlessness and dullness live here</v>
      </c>
    </row>
    <row r="1175" spans="1:3" ht="15" x14ac:dyDescent="0.25">
      <c r="A1175" s="3" t="s">
        <v>1172</v>
      </c>
      <c r="B1175" s="3" t="s">
        <v>4</v>
      </c>
      <c r="C1175" s="2" t="str">
        <f ca="1">IFERROR(__xludf.DUMMYFUNCTION("GOOGLETRANSLATE(A1175,""bn"",""en"")"),"People's favorite things hurt people the most")</f>
        <v>People's favorite things hurt people the most</v>
      </c>
    </row>
    <row r="1176" spans="1:3" ht="15" x14ac:dyDescent="0.25">
      <c r="A1176" s="3" t="s">
        <v>1173</v>
      </c>
      <c r="B1176" s="3" t="s">
        <v>4</v>
      </c>
      <c r="C1176" s="2" t="str">
        <f ca="1">IFERROR(__xludf.DUMMYFUNCTION("GOOGLETRANSLATE(A1176,""bn"",""en"")"),"There is no one in this world who can understand me")</f>
        <v>There is no one in this world who can understand me</v>
      </c>
    </row>
    <row r="1177" spans="1:3" ht="15" x14ac:dyDescent="0.25">
      <c r="A1177" s="3" t="s">
        <v>1174</v>
      </c>
      <c r="B1177" s="3" t="s">
        <v>4</v>
      </c>
      <c r="C1177" s="2" t="str">
        <f ca="1">IFERROR(__xludf.DUMMYFUNCTION("GOOGLETRANSLATE(A1177,""bn"",""en"")"),"In my opinion the history and culture of my society is quite boring")</f>
        <v>In my opinion the history and culture of my society is quite boring</v>
      </c>
    </row>
    <row r="1178" spans="1:3" ht="15" x14ac:dyDescent="0.25">
      <c r="A1178" s="3" t="s">
        <v>1175</v>
      </c>
      <c r="B1178" s="3" t="s">
        <v>4</v>
      </c>
      <c r="C1178" s="2" t="str">
        <f ca="1">IFERROR(__xludf.DUMMYFUNCTION("GOOGLETRANSLATE(A1178,""bn"",""en"")"),"Life doesn't end if you don't find someone, but if you lose someone after getting someone, there is nothing left")</f>
        <v>Life doesn't end if you don't find someone, but if you lose someone after getting someone, there is nothing left</v>
      </c>
    </row>
    <row r="1179" spans="1:3" ht="15" x14ac:dyDescent="0.25">
      <c r="A1179" s="3" t="s">
        <v>1176</v>
      </c>
      <c r="B1179" s="3" t="s">
        <v>4</v>
      </c>
      <c r="C1179" s="2" t="str">
        <f ca="1">IFERROR(__xludf.DUMMYFUNCTION("GOOGLETRANSLATE(A1179,""bn"",""en"")"),"If the tension of the relationship is deep, distance can never erase that relationship")</f>
        <v>If the tension of the relationship is deep, distance can never erase that relationship</v>
      </c>
    </row>
    <row r="1180" spans="1:3" ht="15" x14ac:dyDescent="0.25">
      <c r="A1180" s="3" t="s">
        <v>1177</v>
      </c>
      <c r="B1180" s="3" t="s">
        <v>4</v>
      </c>
      <c r="C1180" s="2" t="str">
        <f ca="1">IFERROR(__xludf.DUMMYFUNCTION("GOOGLETRANSLATE(A1180,""bn"",""en"")"),"Every step of life needs to be realized and time should not be lost")</f>
        <v>Every step of life needs to be realized and time should not be lost</v>
      </c>
    </row>
    <row r="1181" spans="1:3" ht="15" x14ac:dyDescent="0.25">
      <c r="A1181" s="3" t="s">
        <v>1178</v>
      </c>
      <c r="B1181" s="3" t="s">
        <v>4</v>
      </c>
      <c r="C1181" s="2" t="str">
        <f ca="1">IFERROR(__xludf.DUMMYFUNCTION("GOOGLETRANSLATE(A1181,""bn"",""en"")"),"The color of the dream published on Facebook where there is no truth inside the dark world of grief")</f>
        <v>The color of the dream published on Facebook where there is no truth inside the dark world of grief</v>
      </c>
    </row>
    <row r="1182" spans="1:3" ht="15" x14ac:dyDescent="0.25">
      <c r="A1182" s="3" t="s">
        <v>1179</v>
      </c>
      <c r="B1182" s="3" t="s">
        <v>4</v>
      </c>
      <c r="C1182" s="2" t="str">
        <f ca="1">IFERROR(__xludf.DUMMYFUNCTION("GOOGLETRANSLATE(A1182,""bn"",""en"")"),"The feeling of losing time in work and personal life has to be hidden with a smile")</f>
        <v>The feeling of losing time in work and personal life has to be hidden with a smile</v>
      </c>
    </row>
    <row r="1183" spans="1:3" ht="15" x14ac:dyDescent="0.25">
      <c r="A1183" s="3" t="s">
        <v>1180</v>
      </c>
      <c r="B1183" s="3" t="s">
        <v>4</v>
      </c>
      <c r="C1183" s="2" t="str">
        <f ca="1">IFERROR(__xludf.DUMMYFUNCTION("GOOGLETRANSLATE(A1183,""bn"",""en"")"),"Only those who are constantly neglected understand how painful neglect is")</f>
        <v>Only those who are constantly neglected understand how painful neglect is</v>
      </c>
    </row>
    <row r="1184" spans="1:3" ht="15" x14ac:dyDescent="0.25">
      <c r="A1184" s="3" t="s">
        <v>1181</v>
      </c>
      <c r="B1184" s="3" t="s">
        <v>4</v>
      </c>
      <c r="C1184" s="2" t="str">
        <f ca="1">IFERROR(__xludf.DUMMYFUNCTION("GOOGLETRANSLATE(A1184,""bn"",""en"")"),"Tears can be held back, sadness can be hidden with a smile, but heartache cannot be hidden")</f>
        <v>Tears can be held back, sadness can be hidden with a smile, but heartache cannot be hidden</v>
      </c>
    </row>
    <row r="1185" spans="1:3" ht="15" x14ac:dyDescent="0.25">
      <c r="A1185" s="3" t="s">
        <v>1182</v>
      </c>
      <c r="B1185" s="3" t="s">
        <v>4</v>
      </c>
      <c r="C1185" s="2" t="str">
        <f ca="1">IFERROR(__xludf.DUMMYFUNCTION("GOOGLETRANSLATE(A1185,""bn"",""en"")"),"Even if love dies in one mind, it lives on in another")</f>
        <v>Even if love dies in one mind, it lives on in another</v>
      </c>
    </row>
    <row r="1186" spans="1:3" ht="15" x14ac:dyDescent="0.25">
      <c r="A1186" s="3" t="s">
        <v>1183</v>
      </c>
      <c r="B1186" s="3" t="s">
        <v>4</v>
      </c>
      <c r="C1186" s="2" t="str">
        <f ca="1">IFERROR(__xludf.DUMMYFUNCTION("GOOGLETRANSLATE(A1186,""bn"",""en"")"),"Life is to save, mind is to give, love is to be by your side throughout life, friendship is to make life beautiful")</f>
        <v>Life is to save, mind is to give, love is to be by your side throughout life, friendship is to make life beautiful</v>
      </c>
    </row>
    <row r="1187" spans="1:3" ht="15" x14ac:dyDescent="0.25">
      <c r="A1187" s="3" t="s">
        <v>1184</v>
      </c>
      <c r="B1187" s="3" t="s">
        <v>4</v>
      </c>
      <c r="C1187" s="2" t="str">
        <f ca="1">IFERROR(__xludf.DUMMYFUNCTION("GOOGLETRANSLATE(A1187,""bn"",""en"")"),"I am very worried about what I will do after finishing my studies and where I will get a job")</f>
        <v>I am very worried about what I will do after finishing my studies and where I will get a job</v>
      </c>
    </row>
    <row r="1188" spans="1:3" ht="15" x14ac:dyDescent="0.25">
      <c r="A1188" s="3" t="s">
        <v>1185</v>
      </c>
      <c r="B1188" s="3" t="s">
        <v>4</v>
      </c>
      <c r="C1188" s="2" t="str">
        <f ca="1">IFERROR(__xludf.DUMMYFUNCTION("GOOGLETRANSLATE(A1188,""bn"",""en"")"),"The story of the film is like the story of my life which is sad to end")</f>
        <v>The story of the film is like the story of my life which is sad to end</v>
      </c>
    </row>
    <row r="1189" spans="1:3" ht="15" x14ac:dyDescent="0.25">
      <c r="A1189" s="3" t="s">
        <v>1186</v>
      </c>
      <c r="B1189" s="3" t="s">
        <v>4</v>
      </c>
      <c r="C1189" s="2" t="str">
        <f ca="1">IFERROR(__xludf.DUMMYFUNCTION("GOOGLETRANSLATE(A1189,""bn"",""en"")"),"Today another Friday has ended. How long has it been since I can't sit with my parents and eat my mother's cooking")</f>
        <v>Today another Friday has ended. How long has it been since I can't sit with my parents and eat my mother's cooking</v>
      </c>
    </row>
    <row r="1190" spans="1:3" ht="15" x14ac:dyDescent="0.25">
      <c r="A1190" s="3" t="s">
        <v>1187</v>
      </c>
      <c r="B1190" s="3" t="s">
        <v>4</v>
      </c>
      <c r="C1190" s="2" t="str">
        <f ca="1">IFERROR(__xludf.DUMMYFUNCTION("GOOGLETRANSLATE(A1190,""bn"",""en"")"),"Can't find any time for myself")</f>
        <v>Can't find any time for myself</v>
      </c>
    </row>
    <row r="1191" spans="1:3" ht="15" x14ac:dyDescent="0.25">
      <c r="A1191" s="3" t="s">
        <v>1188</v>
      </c>
      <c r="B1191" s="3" t="s">
        <v>4</v>
      </c>
      <c r="C1191" s="2" t="str">
        <f ca="1">IFERROR(__xludf.DUMMYFUNCTION("GOOGLETRANSLATE(A1191,""bn"",""en"")"),"I really found myself in the sad story of the drama but I was helpless in my heart")</f>
        <v>I really found myself in the sad story of the drama but I was helpless in my heart</v>
      </c>
    </row>
    <row r="1192" spans="1:3" ht="15" x14ac:dyDescent="0.25">
      <c r="A1192" s="3" t="s">
        <v>1189</v>
      </c>
      <c r="B1192" s="3" t="s">
        <v>4</v>
      </c>
      <c r="C1192" s="2" t="str">
        <f ca="1">IFERROR(__xludf.DUMMYFUNCTION("GOOGLETRANSLATE(A1192,""bn"",""en"")"),"It is a natural disease of man to believe that he possesses the truth")</f>
        <v>It is a natural disease of man to believe that he possesses the truth</v>
      </c>
    </row>
    <row r="1193" spans="1:3" ht="15" x14ac:dyDescent="0.25">
      <c r="A1193" s="3" t="s">
        <v>1190</v>
      </c>
      <c r="B1193" s="3" t="s">
        <v>4</v>
      </c>
      <c r="C1193" s="2" t="str">
        <f ca="1">IFERROR(__xludf.DUMMYFUNCTION("GOOGLETRANSLATE(A1193,""bn"",""en"")"),"Despite suffering so much, I didn't misunderstand you. Even though I was so far away, I didn't forget you.")</f>
        <v>Despite suffering so much, I didn't misunderstand you. Even though I was so far away, I didn't forget you.</v>
      </c>
    </row>
    <row r="1194" spans="1:3" ht="15" x14ac:dyDescent="0.25">
      <c r="A1194" s="3" t="s">
        <v>1191</v>
      </c>
      <c r="B1194" s="3" t="s">
        <v>4</v>
      </c>
      <c r="C1194" s="2" t="str">
        <f ca="1">IFERROR(__xludf.DUMMYFUNCTION("GOOGLETRANSLATE(A1194,""bn"",""en"")"),"It is not possible to adapt to everything")</f>
        <v>It is not possible to adapt to everything</v>
      </c>
    </row>
    <row r="1195" spans="1:3" ht="15" x14ac:dyDescent="0.25">
      <c r="A1195" s="3" t="s">
        <v>1192</v>
      </c>
      <c r="B1195" s="3" t="s">
        <v>4</v>
      </c>
      <c r="C1195" s="2" t="str">
        <f ca="1">IFERROR(__xludf.DUMMYFUNCTION("GOOGLETRANSLATE(A1195,""bn"",""en"")"),"The growth of politics is the punishment of untruth and it creates problems and dangers in our society")</f>
        <v>The growth of politics is the punishment of untruth and it creates problems and dangers in our society</v>
      </c>
    </row>
    <row r="1196" spans="1:3" ht="15" x14ac:dyDescent="0.25">
      <c r="A1196" s="3" t="s">
        <v>1193</v>
      </c>
      <c r="B1196" s="3" t="s">
        <v>4</v>
      </c>
      <c r="C1196" s="2" t="str">
        <f ca="1">IFERROR(__xludf.DUMMYFUNCTION("GOOGLETRANSLATE(A1196,""bn"",""en"")"),"If it is not on the forehead, every time I have gone to see Ahsan Manzil, I have been stopped")</f>
        <v>If it is not on the forehead, every time I have gone to see Ahsan Manzil, I have been stopped</v>
      </c>
    </row>
    <row r="1197" spans="1:3" ht="15" x14ac:dyDescent="0.25">
      <c r="A1197" s="3" t="s">
        <v>1194</v>
      </c>
      <c r="B1197" s="3" t="s">
        <v>4</v>
      </c>
      <c r="C1197" s="2" t="str">
        <f ca="1">IFERROR(__xludf.DUMMYFUNCTION("GOOGLETRANSLATE(A1197,""bn"",""en"")"),"Good Morning Good Day Remember Forever Keep Trouble Away Fulfill Your Dreams Have New Good Dreams Remember Me")</f>
        <v>Good Morning Good Day Remember Forever Keep Trouble Away Fulfill Your Dreams Have New Good Dreams Remember Me</v>
      </c>
    </row>
    <row r="1198" spans="1:3" ht="15" x14ac:dyDescent="0.25">
      <c r="A1198" s="3" t="s">
        <v>1195</v>
      </c>
      <c r="B1198" s="3" t="s">
        <v>4</v>
      </c>
      <c r="C1198" s="2" t="str">
        <f ca="1">IFERROR(__xludf.DUMMYFUNCTION("GOOGLETRANSLATE(A1198,""bn"",""en"")"),"I don't seem to understand going with the truth because the truth is getting lost on me")</f>
        <v>I don't seem to understand going with the truth because the truth is getting lost on me</v>
      </c>
    </row>
    <row r="1199" spans="1:3" ht="15" x14ac:dyDescent="0.25">
      <c r="A1199" s="3" t="s">
        <v>1196</v>
      </c>
      <c r="B1199" s="3" t="s">
        <v>4</v>
      </c>
      <c r="C1199" s="2" t="str">
        <f ca="1">IFERROR(__xludf.DUMMYFUNCTION("GOOGLETRANSLATE(A1199,""bn"",""en"")"),"People's freedom and rights are being lost in the city of war")</f>
        <v>People's freedom and rights are being lost in the city of war</v>
      </c>
    </row>
    <row r="1200" spans="1:3" ht="15" x14ac:dyDescent="0.25">
      <c r="A1200" s="3" t="s">
        <v>1197</v>
      </c>
      <c r="B1200" s="3" t="s">
        <v>4</v>
      </c>
      <c r="C1200" s="2" t="str">
        <f ca="1">IFERROR(__xludf.DUMMYFUNCTION("GOOGLETRANSLATE(A1200,""bn"",""en"")"),"A relationship should be like the roots of a tree and not like a flower because the flower only fades with fragrance but the root remains forever.")</f>
        <v>A relationship should be like the roots of a tree and not like a flower because the flower only fades with fragrance but the root remains forever.</v>
      </c>
    </row>
    <row r="1201" spans="1:3" ht="15" x14ac:dyDescent="0.25">
      <c r="A1201" s="3" t="s">
        <v>1198</v>
      </c>
      <c r="B1201" s="3" t="s">
        <v>4</v>
      </c>
      <c r="C1201" s="2" t="str">
        <f ca="1">IFERROR(__xludf.DUMMYFUNCTION("GOOGLETRANSLATE(A1201,""bn"",""en"")"),"When I find something, I shift to something I can't master")</f>
        <v>When I find something, I shift to something I can't master</v>
      </c>
    </row>
    <row r="1202" spans="1:3" ht="15" x14ac:dyDescent="0.25">
      <c r="A1202" s="3" t="s">
        <v>1199</v>
      </c>
      <c r="B1202" s="3" t="s">
        <v>4</v>
      </c>
      <c r="C1202" s="2" t="str">
        <f ca="1">IFERROR(__xludf.DUMMYFUNCTION("GOOGLETRANSLATE(A1202,""bn"",""en"")"),"No one can forget someone, the need is over, so no longer keep in touch")</f>
        <v>No one can forget someone, the need is over, so no longer keep in touch</v>
      </c>
    </row>
    <row r="1203" spans="1:3" ht="15" x14ac:dyDescent="0.25">
      <c r="A1203" s="3" t="s">
        <v>1200</v>
      </c>
      <c r="B1203" s="3" t="s">
        <v>4</v>
      </c>
      <c r="C1203" s="2" t="str">
        <f ca="1">IFERROR(__xludf.DUMMYFUNCTION("GOOGLETRANSLATE(A1203,""bn"",""en"")"),"I am trying so hard, but why I can't claim myself as an expert, I don't understand where there is a deficiency")</f>
        <v>I am trying so hard, but why I can't claim myself as an expert, I don't understand where there is a deficiency</v>
      </c>
    </row>
    <row r="1204" spans="1:3" ht="15" x14ac:dyDescent="0.25">
      <c r="A1204" s="3" t="s">
        <v>1201</v>
      </c>
      <c r="B1204" s="3" t="s">
        <v>4</v>
      </c>
      <c r="C1204" s="2" t="str">
        <f ca="1">IFERROR(__xludf.DUMMYFUNCTION("GOOGLETRANSLATE(A1204,""bn"",""en"")"),"It is not enough to even try to understand how many precious lives are being lost at the cost of war")</f>
        <v>It is not enough to even try to understand how many precious lives are being lost at the cost of war</v>
      </c>
    </row>
    <row r="1205" spans="1:3" ht="15" x14ac:dyDescent="0.25">
      <c r="A1205" s="3" t="s">
        <v>1202</v>
      </c>
      <c r="B1205" s="3" t="s">
        <v>4</v>
      </c>
      <c r="C1205" s="2" t="str">
        <f ca="1">IFERROR(__xludf.DUMMYFUNCTION("GOOGLETRANSLATE(A1205,""bn"",""en"")"),"The leaders of this country have lost the love and respect of the common people")</f>
        <v>The leaders of this country have lost the love and respect of the common people</v>
      </c>
    </row>
    <row r="1206" spans="1:3" ht="15" x14ac:dyDescent="0.25">
      <c r="A1206" s="3" t="s">
        <v>1203</v>
      </c>
      <c r="B1206" s="3" t="s">
        <v>4</v>
      </c>
      <c r="C1206" s="2" t="str">
        <f ca="1">IFERROR(__xludf.DUMMYFUNCTION("GOOGLETRANSLATE(A1206,""bn"",""en"")"),"Without the support of the woman I love, I feel it is beyond me to carry the weight of my responsibilities as an actor and fulfill my duties as I desire.")</f>
        <v>Without the support of the woman I love, I feel it is beyond me to carry the weight of my responsibilities as an actor and fulfill my duties as I desire.</v>
      </c>
    </row>
    <row r="1207" spans="1:3" ht="15" x14ac:dyDescent="0.25">
      <c r="A1207" s="3" t="s">
        <v>1204</v>
      </c>
      <c r="B1207" s="3" t="s">
        <v>4</v>
      </c>
      <c r="C1207" s="2" t="str">
        <f ca="1">IFERROR(__xludf.DUMMYFUNCTION("GOOGLETRANSLATE(A1207,""bn"",""en"")"),"After lying I have a feeling of incompleteness")</f>
        <v>After lying I have a feeling of incompleteness</v>
      </c>
    </row>
    <row r="1208" spans="1:3" ht="15" x14ac:dyDescent="0.25">
      <c r="A1208" s="3" t="s">
        <v>1205</v>
      </c>
      <c r="B1208" s="3" t="s">
        <v>4</v>
      </c>
      <c r="C1208" s="2" t="str">
        <f ca="1">IFERROR(__xludf.DUMMYFUNCTION("GOOGLETRANSLATE(A1208,""bn"",""en"")"),"Due to the influence of social media, mental disorders are increasing day by day among the new generation")</f>
        <v>Due to the influence of social media, mental disorders are increasing day by day among the new generation</v>
      </c>
    </row>
    <row r="1209" spans="1:3" ht="15" x14ac:dyDescent="0.25">
      <c r="A1209" s="3" t="s">
        <v>1206</v>
      </c>
      <c r="B1209" s="3" t="s">
        <v>4</v>
      </c>
      <c r="C1209" s="2" t="str">
        <f ca="1">IFERROR(__xludf.DUMMYFUNCTION("GOOGLETRANSLATE(A1209,""bn"",""en"")"),"Due to the lack of family, I have drowned in the sea of ​​sorrow in my heart")</f>
        <v>Due to the lack of family, I have drowned in the sea of ​​sorrow in my heart</v>
      </c>
    </row>
    <row r="1210" spans="1:3" ht="15" x14ac:dyDescent="0.25">
      <c r="A1210" s="3" t="s">
        <v>1207</v>
      </c>
      <c r="B1210" s="3" t="s">
        <v>4</v>
      </c>
      <c r="C1210" s="2" t="str">
        <f ca="1">IFERROR(__xludf.DUMMYFUNCTION("GOOGLETRANSLATE(A1210,""bn"",""en"")"),"There is no limit to the mind that we admit both poverty and wealth are offspring of thought")</f>
        <v>There is no limit to the mind that we admit both poverty and wealth are offspring of thought</v>
      </c>
    </row>
    <row r="1211" spans="1:3" ht="15" x14ac:dyDescent="0.25">
      <c r="A1211" s="3" t="s">
        <v>1208</v>
      </c>
      <c r="B1211" s="3" t="s">
        <v>4</v>
      </c>
      <c r="C1211" s="2" t="str">
        <f ca="1">IFERROR(__xludf.DUMMYFUNCTION("GOOGLETRANSLATE(A1211,""bn"",""en"")"),"Dreams are slowly disappearing")</f>
        <v>Dreams are slowly disappearing</v>
      </c>
    </row>
    <row r="1212" spans="1:3" ht="15" x14ac:dyDescent="0.25">
      <c r="A1212" s="3" t="s">
        <v>1209</v>
      </c>
      <c r="B1212" s="3" t="s">
        <v>4</v>
      </c>
      <c r="C1212" s="2" t="str">
        <f ca="1">IFERROR(__xludf.DUMMYFUNCTION("GOOGLETRANSLATE(A1212,""bn"",""en"")"),"Friendship is never lost. If it is lost, you will think that you are making friendship with bad people")</f>
        <v>Friendship is never lost. If it is lost, you will think that you are making friendship with bad people</v>
      </c>
    </row>
    <row r="1213" spans="1:3" ht="15" x14ac:dyDescent="0.25">
      <c r="A1213" s="3" t="s">
        <v>1210</v>
      </c>
      <c r="B1213" s="3" t="s">
        <v>4</v>
      </c>
      <c r="C1213" s="2" t="str">
        <f ca="1">IFERROR(__xludf.DUMMYFUNCTION("GOOGLETRANSLATE(A1213,""bn"",""en"")"),"Neglect is a silent poison that slowly erodes the soul")</f>
        <v>Neglect is a silent poison that slowly erodes the soul</v>
      </c>
    </row>
    <row r="1214" spans="1:3" ht="15" x14ac:dyDescent="0.25">
      <c r="A1214" s="3" t="s">
        <v>1211</v>
      </c>
      <c r="B1214" s="3" t="s">
        <v>4</v>
      </c>
      <c r="C1214" s="2" t="str">
        <f ca="1">IFERROR(__xludf.DUMMYFUNCTION("GOOGLETRANSLATE(A1214,""bn"",""en"")"),"Assessing your health before your illness")</f>
        <v>Assessing your health before your illness</v>
      </c>
    </row>
    <row r="1215" spans="1:3" ht="15" x14ac:dyDescent="0.25">
      <c r="A1215" s="3" t="s">
        <v>1212</v>
      </c>
      <c r="B1215" s="3" t="s">
        <v>4</v>
      </c>
      <c r="C1215" s="2" t="str">
        <f ca="1">IFERROR(__xludf.DUMMYFUNCTION("GOOGLETRANSLATE(A1215,""bn"",""en"")"),"The poor themselves can build a world free of poverty")</f>
        <v>The poor themselves can build a world free of poverty</v>
      </c>
    </row>
    <row r="1216" spans="1:3" ht="15" x14ac:dyDescent="0.25">
      <c r="A1216" s="3" t="s">
        <v>1213</v>
      </c>
      <c r="B1216" s="3" t="s">
        <v>4</v>
      </c>
      <c r="C1216" s="2" t="str">
        <f ca="1">IFERROR(__xludf.DUMMYFUNCTION("GOOGLETRANSLATE(A1216,""bn"",""en"")"),"Darkly beautiful entertainment in a culture of death")</f>
        <v>Darkly beautiful entertainment in a culture of death</v>
      </c>
    </row>
    <row r="1217" spans="1:3" ht="15" x14ac:dyDescent="0.25">
      <c r="A1217" s="3" t="s">
        <v>1214</v>
      </c>
      <c r="B1217" s="3" t="s">
        <v>4</v>
      </c>
      <c r="C1217" s="2" t="str">
        <f ca="1">IFERROR(__xludf.DUMMYFUNCTION("GOOGLETRANSLATE(A1217,""bn"",""en"")"),"I surrender very innocently to the traditions and culture of my society")</f>
        <v>I surrender very innocently to the traditions and culture of my society</v>
      </c>
    </row>
    <row r="1218" spans="1:3" ht="15" x14ac:dyDescent="0.25">
      <c r="A1218" s="3" t="s">
        <v>1215</v>
      </c>
      <c r="B1218" s="3" t="s">
        <v>4</v>
      </c>
      <c r="C1218" s="2" t="str">
        <f ca="1">IFERROR(__xludf.DUMMYFUNCTION("GOOGLETRANSLATE(A1218,""bn"",""en"")"),"We are not stupid we are just poor and we have the right to emphasize this difference")</f>
        <v>We are not stupid we are just poor and we have the right to emphasize this difference</v>
      </c>
    </row>
    <row r="1219" spans="1:3" ht="15" x14ac:dyDescent="0.25">
      <c r="A1219" s="3" t="s">
        <v>1216</v>
      </c>
      <c r="B1219" s="3" t="s">
        <v>4</v>
      </c>
      <c r="C1219" s="2" t="str">
        <f ca="1">IFERROR(__xludf.DUMMYFUNCTION("GOOGLETRANSLATE(A1219,""bn"",""en"")"),"In finding entertainment in everything, the deep coherence of the mind is lost")</f>
        <v>In finding entertainment in everything, the deep coherence of the mind is lost</v>
      </c>
    </row>
    <row r="1220" spans="1:3" ht="15" x14ac:dyDescent="0.25">
      <c r="A1220" s="3" t="s">
        <v>1217</v>
      </c>
      <c r="B1220" s="3" t="s">
        <v>4</v>
      </c>
      <c r="C1220" s="2" t="str">
        <f ca="1">IFERROR(__xludf.DUMMYFUNCTION("GOOGLETRANSLATE(A1220,""bn"",""en"")"),"Suddenly one day I will disappear in three pieces of shroud, my people will say why so late in the burial")</f>
        <v>Suddenly one day I will disappear in three pieces of shroud, my people will say why so late in the burial</v>
      </c>
    </row>
    <row r="1221" spans="1:3" ht="15" x14ac:dyDescent="0.25">
      <c r="A1221" s="3" t="s">
        <v>1218</v>
      </c>
      <c r="B1221" s="3" t="s">
        <v>4</v>
      </c>
      <c r="C1221" s="2" t="str">
        <f ca="1">IFERROR(__xludf.DUMMYFUNCTION("GOOGLETRANSLATE(A1221,""bn"",""en"")"),"Continue to acquire new essential skills")</f>
        <v>Continue to acquire new essential skills</v>
      </c>
    </row>
    <row r="1222" spans="1:3" ht="15" x14ac:dyDescent="0.25">
      <c r="A1222" s="3" t="s">
        <v>1219</v>
      </c>
      <c r="B1222" s="3" t="s">
        <v>4</v>
      </c>
      <c r="C1222" s="2" t="str">
        <f ca="1">IFERROR(__xludf.DUMMYFUNCTION("GOOGLETRANSLATE(A1222,""bn"",""en"")"),"Love brings some happy dreams and some sleep-disturbing nightmares")</f>
        <v>Love brings some happy dreams and some sleep-disturbing nightmares</v>
      </c>
    </row>
    <row r="1223" spans="1:3" ht="15" x14ac:dyDescent="0.25">
      <c r="A1223" s="3" t="s">
        <v>1220</v>
      </c>
      <c r="B1223" s="3" t="s">
        <v>4</v>
      </c>
      <c r="C1223" s="2" t="str">
        <f ca="1">IFERROR(__xludf.DUMMYFUNCTION("GOOGLETRANSLATE(A1223,""bn"",""en"")"),"To be honest, I feel like I'm hurting myself")</f>
        <v>To be honest, I feel like I'm hurting myself</v>
      </c>
    </row>
    <row r="1224" spans="1:3" ht="15" x14ac:dyDescent="0.25">
      <c r="A1224" s="3" t="s">
        <v>1221</v>
      </c>
      <c r="B1224" s="3" t="s">
        <v>4</v>
      </c>
      <c r="C1224" s="2" t="str">
        <f ca="1">IFERROR(__xludf.DUMMYFUNCTION("GOOGLETRANSLATE(A1224,""bn"",""en"")"),"I am very busy with studies and work, but sometimes I feel like I can drop everything and run away. I miss home a lot lately.")</f>
        <v>I am very busy with studies and work, but sometimes I feel like I can drop everything and run away. I miss home a lot lately.</v>
      </c>
    </row>
    <row r="1225" spans="1:3" ht="15" x14ac:dyDescent="0.25">
      <c r="A1225" s="3" t="s">
        <v>1222</v>
      </c>
      <c r="B1225" s="3" t="s">
        <v>4</v>
      </c>
      <c r="C1225" s="2" t="str">
        <f ca="1">IFERROR(__xludf.DUMMYFUNCTION("GOOGLETRANSLATE(A1225,""bn"",""en"")"),"No one wants to go on a trip")</f>
        <v>No one wants to go on a trip</v>
      </c>
    </row>
    <row r="1226" spans="1:3" ht="15" x14ac:dyDescent="0.25">
      <c r="A1226" s="3" t="s">
        <v>1223</v>
      </c>
      <c r="B1226" s="3" t="s">
        <v>4</v>
      </c>
      <c r="C1226" s="2" t="str">
        <f ca="1">IFERROR(__xludf.DUMMYFUNCTION("GOOGLETRANSLATE(A1226,""bn"",""en"")"),"Being sick feels like you're wearing someone else's glasses")</f>
        <v>Being sick feels like you're wearing someone else's glasses</v>
      </c>
    </row>
    <row r="1227" spans="1:3" ht="15" x14ac:dyDescent="0.25">
      <c r="A1227" s="3" t="s">
        <v>1224</v>
      </c>
      <c r="B1227" s="3" t="s">
        <v>4</v>
      </c>
      <c r="C1227" s="2" t="str">
        <f ca="1">IFERROR(__xludf.DUMMYFUNCTION("GOOGLETRANSLATE(A1227,""bn"",""en"")"),"A lack of people blinded in the dark by the light of a broken culture")</f>
        <v>A lack of people blinded in the dark by the light of a broken culture</v>
      </c>
    </row>
    <row r="1228" spans="1:3" ht="15" x14ac:dyDescent="0.25">
      <c r="A1228" s="3" t="s">
        <v>1225</v>
      </c>
      <c r="B1228" s="3" t="s">
        <v>4</v>
      </c>
      <c r="C1228" s="2" t="str">
        <f ca="1">IFERROR(__xludf.DUMMYFUNCTION("GOOGLETRANSLATE(A1228,""bn"",""en"")"),"To live in the society we all should follow the rules of the society which is rare in today's context")</f>
        <v>To live in the society we all should follow the rules of the society which is rare in today's context</v>
      </c>
    </row>
    <row r="1229" spans="1:3" ht="15" x14ac:dyDescent="0.25">
      <c r="A1229" s="3" t="s">
        <v>1226</v>
      </c>
      <c r="B1229" s="3" t="s">
        <v>4</v>
      </c>
      <c r="C1229" s="2" t="str">
        <f ca="1">IFERROR(__xludf.DUMMYFUNCTION("GOOGLETRANSLATE(A1229,""bn"",""en"")"),"The work of some journalists is to criticize the Bangladesh Creek team")</f>
        <v>The work of some journalists is to criticize the Bangladesh Creek team</v>
      </c>
    </row>
    <row r="1230" spans="1:3" ht="15" x14ac:dyDescent="0.25">
      <c r="A1230" s="3" t="s">
        <v>1227</v>
      </c>
      <c r="B1230" s="3" t="s">
        <v>4</v>
      </c>
      <c r="C1230" s="2" t="str">
        <f ca="1">IFERROR(__xludf.DUMMYFUNCTION("GOOGLETRANSLATE(A1230,""bn"",""en"")"),"With the passage of time, Bangladesh cricket team is also dying, it has been fighting like a tiger with other teams for a few days, but now the tiger has become a cat.")</f>
        <v>With the passage of time, Bangladesh cricket team is also dying, it has been fighting like a tiger with other teams for a few days, but now the tiger has become a cat.</v>
      </c>
    </row>
    <row r="1231" spans="1:3" ht="15" x14ac:dyDescent="0.25">
      <c r="A1231" s="3" t="s">
        <v>1228</v>
      </c>
      <c r="B1231" s="3" t="s">
        <v>4</v>
      </c>
      <c r="C1231" s="2" t="str">
        <f ca="1">IFERROR(__xludf.DUMMYFUNCTION("GOOGLETRANSLATE(A1231,""bn"",""en"")"),"I am alone in a crowded city")</f>
        <v>I am alone in a crowded city</v>
      </c>
    </row>
    <row r="1232" spans="1:3" ht="15" x14ac:dyDescent="0.25">
      <c r="A1232" s="3" t="s">
        <v>1229</v>
      </c>
      <c r="B1232" s="3" t="s">
        <v>4</v>
      </c>
      <c r="C1232" s="2" t="str">
        <f ca="1">IFERROR(__xludf.DUMMYFUNCTION("GOOGLETRANSLATE(A1232,""bn"",""en"")"),"My heartache is consuming me from within like an unquenchable fire")</f>
        <v>My heartache is consuming me from within like an unquenchable fire</v>
      </c>
    </row>
    <row r="1233" spans="1:3" ht="15" x14ac:dyDescent="0.25">
      <c r="A1233" s="3" t="s">
        <v>1230</v>
      </c>
      <c r="B1233" s="3" t="s">
        <v>4</v>
      </c>
      <c r="C1233" s="2" t="str">
        <f ca="1">IFERROR(__xludf.DUMMYFUNCTION("GOOGLETRANSLATE(A1233,""bn"",""en"")"),"Reality is never as beautiful as a story and a beautiful story never matches reality")</f>
        <v>Reality is never as beautiful as a story and a beautiful story never matches reality</v>
      </c>
    </row>
    <row r="1234" spans="1:3" ht="15" x14ac:dyDescent="0.25">
      <c r="A1234" s="3" t="s">
        <v>1231</v>
      </c>
      <c r="B1234" s="3" t="s">
        <v>4</v>
      </c>
      <c r="C1234" s="2" t="str">
        <f ca="1">IFERROR(__xludf.DUMMYFUNCTION("GOOGLETRANSLATE(A1234,""bn"",""en"")"),"Life does not stop when someone passes away but the memories and dreams left behind make life sad")</f>
        <v>Life does not stop when someone passes away but the memories and dreams left behind make life sad</v>
      </c>
    </row>
    <row r="1235" spans="1:3" ht="15" x14ac:dyDescent="0.25">
      <c r="A1235" s="3" t="s">
        <v>1232</v>
      </c>
      <c r="B1235" s="3" t="s">
        <v>4</v>
      </c>
      <c r="C1235" s="2" t="str">
        <f ca="1">IFERROR(__xludf.DUMMYFUNCTION("GOOGLETRANSLATE(A1235,""bn"",""en"")"),"People diet to be thin and yet I eat so much I can't get fat")</f>
        <v>People diet to be thin and yet I eat so much I can't get fat</v>
      </c>
    </row>
    <row r="1236" spans="1:3" ht="15" x14ac:dyDescent="0.25">
      <c r="A1236" s="3" t="s">
        <v>1233</v>
      </c>
      <c r="B1236" s="3" t="s">
        <v>4</v>
      </c>
      <c r="C1236" s="2" t="str">
        <f ca="1">IFERROR(__xludf.DUMMYFUNCTION("GOOGLETRANSLATE(A1236,""bn"",""en"")"),"Being delayed by the invisible light of old events")</f>
        <v>Being delayed by the invisible light of old events</v>
      </c>
    </row>
    <row r="1237" spans="1:3" ht="15" x14ac:dyDescent="0.25">
      <c r="A1237" s="3" t="s">
        <v>1234</v>
      </c>
      <c r="B1237" s="3" t="s">
        <v>4</v>
      </c>
      <c r="C1237" s="2" t="str">
        <f ca="1">IFERROR(__xludf.DUMMYFUNCTION("GOOGLETRANSLATE(A1237,""bn"",""en"")"),"Life seems like a desert when loved ones are far away")</f>
        <v>Life seems like a desert when loved ones are far away</v>
      </c>
    </row>
    <row r="1238" spans="1:3" ht="15" x14ac:dyDescent="0.25">
      <c r="A1238" s="3" t="s">
        <v>1235</v>
      </c>
      <c r="B1238" s="3" t="s">
        <v>4</v>
      </c>
      <c r="C1238" s="2" t="str">
        <f ca="1">IFERROR(__xludf.DUMMYFUNCTION("GOOGLETRANSLATE(A1238,""bn"",""en"")"),"Those who neglect should never expect to find love")</f>
        <v>Those who neglect should never expect to find love</v>
      </c>
    </row>
    <row r="1239" spans="1:3" ht="15" x14ac:dyDescent="0.25">
      <c r="A1239" s="3" t="s">
        <v>1236</v>
      </c>
      <c r="B1239" s="3" t="s">
        <v>4</v>
      </c>
      <c r="C1239" s="2" t="str">
        <f ca="1">IFERROR(__xludf.DUMMYFUNCTION("GOOGLETRANSLATE(A1239,""bn"",""en"")"),"I laughed at the end of the picture but my heart is helpless in that laughter")</f>
        <v>I laughed at the end of the picture but my heart is helpless in that laughter</v>
      </c>
    </row>
    <row r="1240" spans="1:3" ht="15" x14ac:dyDescent="0.25">
      <c r="A1240" s="3" t="s">
        <v>1237</v>
      </c>
      <c r="B1240" s="3" t="s">
        <v>4</v>
      </c>
      <c r="C1240" s="2" t="str">
        <f ca="1">IFERROR(__xludf.DUMMYFUNCTION("GOOGLETRANSLATE(A1240,""bn"",""en"")"),"Hard work is the key to success in life")</f>
        <v>Hard work is the key to success in life</v>
      </c>
    </row>
    <row r="1241" spans="1:3" ht="15" x14ac:dyDescent="0.25">
      <c r="A1241" s="3" t="s">
        <v>1238</v>
      </c>
      <c r="B1241" s="3" t="s">
        <v>4</v>
      </c>
      <c r="C1241" s="2" t="str">
        <f ca="1">IFERROR(__xludf.DUMMYFUNCTION("GOOGLETRANSLATE(A1241,""bn"",""en"")"),"Even thousands of miles away, a relationship lasts longer, but even under the same roof, relationships grow bitter.")</f>
        <v>Even thousands of miles away, a relationship lasts longer, but even under the same roof, relationships grow bitter.</v>
      </c>
    </row>
    <row r="1242" spans="1:3" ht="15" x14ac:dyDescent="0.25">
      <c r="A1242" s="3" t="s">
        <v>1239</v>
      </c>
      <c r="B1242" s="3" t="s">
        <v>4</v>
      </c>
      <c r="C1242" s="2" t="str">
        <f ca="1">IFERROR(__xludf.DUMMYFUNCTION("GOOGLETRANSLATE(A1242,""bn"",""en"")"),"I woke up in the morning and realized that today is Monday and I don't understand how the time is ending")</f>
        <v>I woke up in the morning and realized that today is Monday and I don't understand how the time is ending</v>
      </c>
    </row>
    <row r="1243" spans="1:3" ht="15" x14ac:dyDescent="0.25">
      <c r="A1243" s="3" t="s">
        <v>1240</v>
      </c>
      <c r="B1243" s="3" t="s">
        <v>4</v>
      </c>
      <c r="C1243" s="2" t="str">
        <f ca="1">IFERROR(__xludf.DUMMYFUNCTION("GOOGLETRANSLATE(A1243,""bn"",""en"")"),"We deserved to lose the way we played today")</f>
        <v>We deserved to lose the way we played today</v>
      </c>
    </row>
    <row r="1244" spans="1:3" ht="15" x14ac:dyDescent="0.25">
      <c r="A1244" s="3" t="s">
        <v>1241</v>
      </c>
      <c r="B1244" s="3" t="s">
        <v>4</v>
      </c>
      <c r="C1244" s="2" t="str">
        <f ca="1">IFERROR(__xludf.DUMMYFUNCTION("GOOGLETRANSLATE(A1244,""bn"",""en"")"),"Our old culture is soaked in the sun of mourning")</f>
        <v>Our old culture is soaked in the sun of mourning</v>
      </c>
    </row>
    <row r="1245" spans="1:3" ht="15" x14ac:dyDescent="0.25">
      <c r="A1245" s="3" t="s">
        <v>1242</v>
      </c>
      <c r="B1245" s="3" t="s">
        <v>4</v>
      </c>
      <c r="C1245" s="2" t="str">
        <f ca="1">IFERROR(__xludf.DUMMYFUNCTION("GOOGLETRANSLATE(A1245,""bn"",""en"")"),"If you talk about improvement, can it improve?")</f>
        <v>If you talk about improvement, can it improve?</v>
      </c>
    </row>
    <row r="1246" spans="1:3" ht="15" x14ac:dyDescent="0.25">
      <c r="A1246" s="3" t="s">
        <v>1243</v>
      </c>
      <c r="B1246" s="3" t="s">
        <v>4</v>
      </c>
      <c r="C1246" s="2" t="str">
        <f ca="1">IFERROR(__xludf.DUMMYFUNCTION("GOOGLETRANSLATE(A1246,""bn"",""en"")"),"The culture has lost faith in people")</f>
        <v>The culture has lost faith in people</v>
      </c>
    </row>
    <row r="1247" spans="1:3" ht="15" x14ac:dyDescent="0.25">
      <c r="A1247" s="3" t="s">
        <v>1244</v>
      </c>
      <c r="B1247" s="3" t="s">
        <v>4</v>
      </c>
      <c r="C1247" s="2" t="str">
        <f ca="1">IFERROR(__xludf.DUMMYFUNCTION("GOOGLETRANSLATE(A1247,""bn"",""en"")"),"During the working day, moments of my personal life are lost in the midst of work")</f>
        <v>During the working day, moments of my personal life are lost in the midst of work</v>
      </c>
    </row>
    <row r="1248" spans="1:3" ht="15" x14ac:dyDescent="0.25">
      <c r="A1248" s="3" t="s">
        <v>1245</v>
      </c>
      <c r="B1248" s="3" t="s">
        <v>4</v>
      </c>
      <c r="C1248" s="2" t="str">
        <f ca="1">IFERROR(__xludf.DUMMYFUNCTION("GOOGLETRANSLATE(A1248,""bn"",""en"")"),"Brazil football team is looking for lost all the time")</f>
        <v>Brazil football team is looking for lost all the time</v>
      </c>
    </row>
    <row r="1249" spans="1:3" ht="15" x14ac:dyDescent="0.25">
      <c r="A1249" s="3" t="s">
        <v>1246</v>
      </c>
      <c r="B1249" s="3" t="s">
        <v>4</v>
      </c>
      <c r="C1249" s="2" t="str">
        <f ca="1">IFERROR(__xludf.DUMMYFUNCTION("GOOGLETRANSLATE(A1249,""bn"",""en"")"),"It's like that in the world, the one we want wants someone else")</f>
        <v>It's like that in the world, the one we want wants someone else</v>
      </c>
    </row>
    <row r="1250" spans="1:3" ht="15" x14ac:dyDescent="0.25">
      <c r="A1250" s="3" t="s">
        <v>1247</v>
      </c>
      <c r="B1250" s="3" t="s">
        <v>4</v>
      </c>
      <c r="C1250" s="2" t="str">
        <f ca="1">IFERROR(__xludf.DUMMYFUNCTION("GOOGLETRANSLATE(A1250,""bn"",""en"")"),"When I'm alone, your thoughts make me lonelier")</f>
        <v>When I'm alone, your thoughts make me lonelier</v>
      </c>
    </row>
    <row r="1251" spans="1:3" ht="15" x14ac:dyDescent="0.25">
      <c r="A1251" s="3" t="s">
        <v>1248</v>
      </c>
      <c r="B1251" s="3" t="s">
        <v>4</v>
      </c>
      <c r="C1251" s="2" t="str">
        <f ca="1">IFERROR(__xludf.DUMMYFUNCTION("GOOGLETRANSLATE(A1251,""bn"",""en"")"),"We feed many poor people around us")</f>
        <v>We feed many poor people around us</v>
      </c>
    </row>
    <row r="1252" spans="1:3" ht="15" x14ac:dyDescent="0.25">
      <c r="A1252" s="3" t="s">
        <v>1249</v>
      </c>
      <c r="B1252" s="3" t="s">
        <v>4</v>
      </c>
      <c r="C1252" s="2" t="str">
        <f ca="1">IFERROR(__xludf.DUMMYFUNCTION("GOOGLETRANSLATE(A1252,""bn"",""en"")"),"The stillness of the night means some are smiling with love and some are crying silently")</f>
        <v>The stillness of the night means some are smiling with love and some are crying silently</v>
      </c>
    </row>
    <row r="1253" spans="1:3" ht="15" x14ac:dyDescent="0.25">
      <c r="A1253" s="3" t="s">
        <v>1250</v>
      </c>
      <c r="B1253" s="3" t="s">
        <v>4</v>
      </c>
      <c r="C1253" s="2" t="str">
        <f ca="1">IFERROR(__xludf.DUMMYFUNCTION("GOOGLETRANSLATE(A1253,""bn"",""en"")"),"Due to the situation, I cannot even go to my people")</f>
        <v>Due to the situation, I cannot even go to my people</v>
      </c>
    </row>
    <row r="1254" spans="1:3" ht="15" x14ac:dyDescent="0.25">
      <c r="A1254" s="3" t="s">
        <v>1251</v>
      </c>
      <c r="B1254" s="3" t="s">
        <v>4</v>
      </c>
      <c r="C1254" s="2" t="str">
        <f ca="1">IFERROR(__xludf.DUMMYFUNCTION("GOOGLETRANSLATE(A1254,""bn"",""en"")"),"The truth is to be played with, not a pretended deception")</f>
        <v>The truth is to be played with, not a pretended deception</v>
      </c>
    </row>
    <row r="1255" spans="1:3" ht="15" x14ac:dyDescent="0.25">
      <c r="A1255" s="3" t="s">
        <v>1252</v>
      </c>
      <c r="B1255" s="3" t="s">
        <v>4</v>
      </c>
      <c r="C1255" s="2" t="str">
        <f ca="1">IFERROR(__xludf.DUMMYFUNCTION("GOOGLETRANSLATE(A1255,""bn"",""en"")"),"Life is all about coping")</f>
        <v>Life is all about coping</v>
      </c>
    </row>
    <row r="1256" spans="1:3" ht="15" x14ac:dyDescent="0.25">
      <c r="A1256" s="3" t="s">
        <v>1253</v>
      </c>
      <c r="B1256" s="3" t="s">
        <v>4</v>
      </c>
      <c r="C1256" s="2" t="str">
        <f ca="1">IFERROR(__xludf.DUMMYFUNCTION("GOOGLETRANSLATE(A1256,""bn"",""en"")"),"Speaking the truth only hurts me because people get upset")</f>
        <v>Speaking the truth only hurts me because people get upset</v>
      </c>
    </row>
    <row r="1257" spans="1:3" ht="15" x14ac:dyDescent="0.25">
      <c r="A1257" s="3" t="s">
        <v>1254</v>
      </c>
      <c r="B1257" s="3" t="s">
        <v>4</v>
      </c>
      <c r="C1257" s="2" t="str">
        <f ca="1">IFERROR(__xludf.DUMMYFUNCTION("GOOGLETRANSLATE(A1257,""bn"",""en"")"),"God knows what happens to CSE students like us as technology is updating day by day")</f>
        <v>God knows what happens to CSE students like us as technology is updating day by day</v>
      </c>
    </row>
    <row r="1258" spans="1:3" ht="15" x14ac:dyDescent="0.25">
      <c r="A1258" s="3" t="s">
        <v>1255</v>
      </c>
      <c r="B1258" s="3" t="s">
        <v>4</v>
      </c>
      <c r="C1258" s="2" t="str">
        <f ca="1">IFERROR(__xludf.DUMMYFUNCTION("GOOGLETRANSLATE(A1258,""bn"",""en"")"),"Dreams lead to reality in one direction")</f>
        <v>Dreams lead to reality in one direction</v>
      </c>
    </row>
    <row r="1259" spans="1:3" ht="15" x14ac:dyDescent="0.25">
      <c r="A1259" s="3" t="s">
        <v>1256</v>
      </c>
      <c r="B1259" s="3" t="s">
        <v>4</v>
      </c>
      <c r="C1259" s="2" t="str">
        <f ca="1">IFERROR(__xludf.DUMMYFUNCTION("GOOGLETRANSLATE(A1259,""bn"",""en"")"),"No matter how highly educated one is, at the end of the day, the greatest lesson is practice")</f>
        <v>No matter how highly educated one is, at the end of the day, the greatest lesson is practice</v>
      </c>
    </row>
    <row r="1260" spans="1:3" ht="15" x14ac:dyDescent="0.25">
      <c r="A1260" s="3" t="s">
        <v>1257</v>
      </c>
      <c r="B1260" s="3" t="s">
        <v>4</v>
      </c>
      <c r="C1260" s="2" t="str">
        <f ca="1">IFERROR(__xludf.DUMMYFUNCTION("GOOGLETRANSLATE(A1260,""bn"",""en"")"),"The taste of our culture has dried up with unparalleled grief")</f>
        <v>The taste of our culture has dried up with unparalleled grief</v>
      </c>
    </row>
    <row r="1261" spans="1:3" ht="15" x14ac:dyDescent="0.25">
      <c r="A1261" s="3" t="s">
        <v>1258</v>
      </c>
      <c r="B1261" s="3" t="s">
        <v>4</v>
      </c>
      <c r="C1261" s="2" t="str">
        <f ca="1">IFERROR(__xludf.DUMMYFUNCTION("GOOGLETRANSLATE(A1261,""bn"",""en"")"),"The online world of social media is finding uncharted avenues for the idle dreams of youth")</f>
        <v>The online world of social media is finding uncharted avenues for the idle dreams of youth</v>
      </c>
    </row>
    <row r="1262" spans="1:3" ht="15" x14ac:dyDescent="0.25">
      <c r="A1262" s="3" t="s">
        <v>1259</v>
      </c>
      <c r="B1262" s="3" t="s">
        <v>4</v>
      </c>
      <c r="C1262" s="2" t="str">
        <f ca="1">IFERROR(__xludf.DUMMYFUNCTION("GOOGLETRANSLATE(A1262,""bn"",""en"")"),"The love story seen in the film seems like an unreal dream of life")</f>
        <v>The love story seen in the film seems like an unreal dream of life</v>
      </c>
    </row>
    <row r="1263" spans="1:3" ht="15" x14ac:dyDescent="0.25">
      <c r="A1263" s="3" t="s">
        <v>1260</v>
      </c>
      <c r="B1263" s="3" t="s">
        <v>4</v>
      </c>
      <c r="C1263" s="2" t="str">
        <f ca="1">IFERROR(__xludf.DUMMYFUNCTION("GOOGLETRANSLATE(A1263,""bn"",""en"")"),"Love we hate for no reason without reason")</f>
        <v>Love we hate for no reason without reason</v>
      </c>
    </row>
    <row r="1264" spans="1:3" ht="15" x14ac:dyDescent="0.25">
      <c r="A1264" s="3" t="s">
        <v>1261</v>
      </c>
      <c r="B1264" s="3" t="s">
        <v>4</v>
      </c>
      <c r="C1264" s="2" t="str">
        <f ca="1">IFERROR(__xludf.DUMMYFUNCTION("GOOGLETRANSLATE(A1264,""bn"",""en"")"),"Take a rain test on poverty with cosmic ordering")</f>
        <v>Take a rain test on poverty with cosmic ordering</v>
      </c>
    </row>
    <row r="1265" spans="1:3" ht="15" x14ac:dyDescent="0.25">
      <c r="A1265" s="3" t="s">
        <v>1262</v>
      </c>
      <c r="B1265" s="3" t="s">
        <v>4</v>
      </c>
      <c r="C1265" s="2" t="str">
        <f ca="1">IFERROR(__xludf.DUMMYFUNCTION("GOOGLETRANSLATE(A1265,""bn"",""en"")"),"Love overcomes the shyness of women and elevates men")</f>
        <v>Love overcomes the shyness of women and elevates men</v>
      </c>
    </row>
    <row r="1266" spans="1:3" ht="15" x14ac:dyDescent="0.25">
      <c r="A1266" s="3" t="s">
        <v>1263</v>
      </c>
      <c r="B1266" s="3" t="s">
        <v>4</v>
      </c>
      <c r="C1266" s="2" t="str">
        <f ca="1">IFERROR(__xludf.DUMMYFUNCTION("GOOGLETRANSLATE(A1266,""bn"",""en"")"),"The strongest cry is silence")</f>
        <v>The strongest cry is silence</v>
      </c>
    </row>
    <row r="1267" spans="1:3" ht="15" x14ac:dyDescent="0.25">
      <c r="A1267" s="3" t="s">
        <v>1264</v>
      </c>
      <c r="B1267" s="3" t="s">
        <v>4</v>
      </c>
      <c r="C1267" s="2" t="str">
        <f ca="1">IFERROR(__xludf.DUMMYFUNCTION("GOOGLETRANSLATE(A1267,""bn"",""en"")"),"To endure neglect is a grave insult to self-esteem")</f>
        <v>To endure neglect is a grave insult to self-esteem</v>
      </c>
    </row>
    <row r="1268" spans="1:3" ht="15" x14ac:dyDescent="0.25">
      <c r="A1268" s="3" t="s">
        <v>1265</v>
      </c>
      <c r="B1268" s="3" t="s">
        <v>4</v>
      </c>
      <c r="C1268" s="2" t="str">
        <f ca="1">IFERROR(__xludf.DUMMYFUNCTION("GOOGLETRANSLATE(A1268,""bn"",""en"")"),"Many thanks to the director for giving a real religious movie")</f>
        <v>Many thanks to the director for giving a real religious movie</v>
      </c>
    </row>
    <row r="1269" spans="1:3" ht="15" x14ac:dyDescent="0.25">
      <c r="A1269" s="3" t="s">
        <v>1266</v>
      </c>
      <c r="B1269" s="3" t="s">
        <v>4</v>
      </c>
      <c r="C1269" s="2" t="str">
        <f ca="1">IFERROR(__xludf.DUMMYFUNCTION("GOOGLETRANSLATE(A1269,""bn"",""en"")"),"Not everything is found in tears, some things have to be left with a smile")</f>
        <v>Not everything is found in tears, some things have to be left with a smile</v>
      </c>
    </row>
    <row r="1270" spans="1:3" ht="15" x14ac:dyDescent="0.25">
      <c r="A1270" s="3" t="s">
        <v>1267</v>
      </c>
      <c r="B1270" s="3" t="s">
        <v>4</v>
      </c>
      <c r="C1270" s="2" t="str">
        <f ca="1">IFERROR(__xludf.DUMMYFUNCTION("GOOGLETRANSLATE(A1270,""bn"",""en"")"),"All my hopes and dreams are lost in the path of truth")</f>
        <v>All my hopes and dreams are lost in the path of truth</v>
      </c>
    </row>
    <row r="1271" spans="1:3" ht="15" x14ac:dyDescent="0.25">
      <c r="A1271" s="3" t="s">
        <v>1268</v>
      </c>
      <c r="B1271" s="3" t="s">
        <v>4</v>
      </c>
      <c r="C1271" s="2" t="str">
        <f ca="1">IFERROR(__xludf.DUMMYFUNCTION("GOOGLETRANSLATE(A1271,""bn"",""en"")"),"A few moments of pain can make you a legend for the ages")</f>
        <v>A few moments of pain can make you a legend for the ages</v>
      </c>
    </row>
    <row r="1272" spans="1:3" ht="15" x14ac:dyDescent="0.25">
      <c r="A1272" s="3" t="s">
        <v>1269</v>
      </c>
      <c r="B1272" s="3" t="s">
        <v>4</v>
      </c>
      <c r="C1272" s="2" t="str">
        <f ca="1">IFERROR(__xludf.DUMMYFUNCTION("GOOGLETRANSLATE(A1272,""bn"",""en"")"),"Loneliness feels more intense")</f>
        <v>Loneliness feels more intense</v>
      </c>
    </row>
    <row r="1273" spans="1:3" ht="15" x14ac:dyDescent="0.25">
      <c r="A1273" s="3" t="s">
        <v>1270</v>
      </c>
      <c r="B1273" s="3" t="s">
        <v>4</v>
      </c>
      <c r="C1273" s="2" t="str">
        <f ca="1">IFERROR(__xludf.DUMMYFUNCTION("GOOGLETRANSLATE(A1273,""bn"",""en"")"),"It is very difficult to think great when one thinks only of earning a living")</f>
        <v>It is very difficult to think great when one thinks only of earning a living</v>
      </c>
    </row>
    <row r="1274" spans="1:3" ht="15" x14ac:dyDescent="0.25">
      <c r="A1274" s="3" t="s">
        <v>1271</v>
      </c>
      <c r="B1274" s="3" t="s">
        <v>4</v>
      </c>
      <c r="C1274" s="2" t="str">
        <f ca="1">IFERROR(__xludf.DUMMYFUNCTION("GOOGLETRANSLATE(A1274,""bn"",""en"")"),"Regardless of the relationship, the mind-to-mind connection remains forever")</f>
        <v>Regardless of the relationship, the mind-to-mind connection remains forever</v>
      </c>
    </row>
    <row r="1275" spans="1:3" ht="15" x14ac:dyDescent="0.25">
      <c r="A1275" s="3" t="s">
        <v>1272</v>
      </c>
      <c r="B1275" s="3" t="s">
        <v>4</v>
      </c>
      <c r="C1275" s="2" t="str">
        <f ca="1">IFERROR(__xludf.DUMMYFUNCTION("GOOGLETRANSLATE(A1275,""bn"",""en"")"),"Peace of mind is getting lost as time goes by")</f>
        <v>Peace of mind is getting lost as time goes by</v>
      </c>
    </row>
    <row r="1276" spans="1:3" ht="15" x14ac:dyDescent="0.25">
      <c r="A1276" s="3" t="s">
        <v>1273</v>
      </c>
      <c r="B1276" s="3" t="s">
        <v>4</v>
      </c>
      <c r="C1276" s="2" t="str">
        <f ca="1">IFERROR(__xludf.DUMMYFUNCTION("GOOGLETRANSLATE(A1276,""bn"",""en"")"),"The memories of the past flashed again and again on the screen of the mind and it did not stop the tears")</f>
        <v>The memories of the past flashed again and again on the screen of the mind and it did not stop the tears</v>
      </c>
    </row>
    <row r="1277" spans="1:3" ht="15" x14ac:dyDescent="0.25">
      <c r="A1277" s="3" t="s">
        <v>1274</v>
      </c>
      <c r="B1277" s="3" t="s">
        <v>4</v>
      </c>
      <c r="C1277" s="2" t="str">
        <f ca="1">IFERROR(__xludf.DUMMYFUNCTION("GOOGLETRANSLATE(A1277,""bn"",""en"")"),"You can see who is bad")</f>
        <v>You can see who is bad</v>
      </c>
    </row>
    <row r="1278" spans="1:3" ht="15" x14ac:dyDescent="0.25">
      <c r="A1278" s="3" t="s">
        <v>1275</v>
      </c>
      <c r="B1278" s="3" t="s">
        <v>4</v>
      </c>
      <c r="C1278" s="2" t="str">
        <f ca="1">IFERROR(__xludf.DUMMYFUNCTION("GOOGLETRANSLATE(A1278,""bn"",""en"")"),"Love Love is a relative thing for some it brings heaven happiness and for others it sinks in the sea of ​​sorrow")</f>
        <v>Love Love is a relative thing for some it brings heaven happiness and for others it sinks in the sea of ​​sorrow</v>
      </c>
    </row>
    <row r="1279" spans="1:3" ht="15" x14ac:dyDescent="0.25">
      <c r="A1279" s="3" t="s">
        <v>1276</v>
      </c>
      <c r="B1279" s="3" t="s">
        <v>4</v>
      </c>
      <c r="C1279" s="2" t="str">
        <f ca="1">IFERROR(__xludf.DUMMYFUNCTION("GOOGLETRANSLATE(A1279,""bn"",""en"")"),"The world is so wonderful that even the sun disappears at the end of the day")</f>
        <v>The world is so wonderful that even the sun disappears at the end of the day</v>
      </c>
    </row>
    <row r="1280" spans="1:3" ht="15" x14ac:dyDescent="0.25">
      <c r="A1280" s="3" t="s">
        <v>1277</v>
      </c>
      <c r="B1280" s="3" t="s">
        <v>4</v>
      </c>
      <c r="C1280" s="2" t="str">
        <f ca="1">IFERROR(__xludf.DUMMYFUNCTION("GOOGLETRANSLATE(A1280,""bn"",""en"")"),"I remember the childhood days spent with my school friends a lot")</f>
        <v>I remember the childhood days spent with my school friends a lot</v>
      </c>
    </row>
    <row r="1281" spans="1:3" ht="15" x14ac:dyDescent="0.25">
      <c r="A1281" s="3" t="s">
        <v>1278</v>
      </c>
      <c r="B1281" s="3" t="s">
        <v>4</v>
      </c>
      <c r="C1281" s="2" t="str">
        <f ca="1">IFERROR(__xludf.DUMMYFUNCTION("GOOGLETRANSLATE(A1281,""bn"",""en"")"),"Online games sometimes have so many toxic players that they don't want to play")</f>
        <v>Online games sometimes have so many toxic players that they don't want to play</v>
      </c>
    </row>
    <row r="1282" spans="1:3" ht="15" x14ac:dyDescent="0.25">
      <c r="A1282" s="3" t="s">
        <v>1279</v>
      </c>
      <c r="B1282" s="3" t="s">
        <v>4</v>
      </c>
      <c r="C1282" s="2" t="str">
        <f ca="1">IFERROR(__xludf.DUMMYFUNCTION("GOOGLETRANSLATE(A1282,""bn"",""en"")"),"My house now only speaks the language of cinema")</f>
        <v>My house now only speaks the language of cinema</v>
      </c>
    </row>
    <row r="1283" spans="1:3" ht="15" x14ac:dyDescent="0.25">
      <c r="A1283" s="3" t="s">
        <v>1280</v>
      </c>
      <c r="B1283" s="3" t="s">
        <v>4</v>
      </c>
      <c r="C1283" s="2" t="str">
        <f ca="1">IFERROR(__xludf.DUMMYFUNCTION("GOOGLETRANSLATE(A1283,""bn"",""en"")"),"Everything seems to be boring, either I work or study or hang out with friends, I can't find any time for myself.")</f>
        <v>Everything seems to be boring, either I work or study or hang out with friends, I can't find any time for myself.</v>
      </c>
    </row>
    <row r="1284" spans="1:3" ht="15" x14ac:dyDescent="0.25">
      <c r="A1284" s="3" t="s">
        <v>1281</v>
      </c>
      <c r="B1284" s="3" t="s">
        <v>4</v>
      </c>
      <c r="C1284" s="2" t="str">
        <f ca="1">IFERROR(__xludf.DUMMYFUNCTION("GOOGLETRANSLATE(A1284,""bn"",""en"")"),"The deeper the night gets, the more alone I feel")</f>
        <v>The deeper the night gets, the more alone I feel</v>
      </c>
    </row>
    <row r="1285" spans="1:3" ht="15" x14ac:dyDescent="0.25">
      <c r="A1285" s="3" t="s">
        <v>1282</v>
      </c>
      <c r="B1285" s="3" t="s">
        <v>4</v>
      </c>
      <c r="C1285" s="2" t="str">
        <f ca="1">IFERROR(__xludf.DUMMYFUNCTION("GOOGLETRANSLATE(A1285,""bn"",""en"")"),"Before returning home to the familiar streets in the empty afternoon, he cries unemployment every day to get his head in the educated chest")</f>
        <v>Before returning home to the familiar streets in the empty afternoon, he cries unemployment every day to get his head in the educated chest</v>
      </c>
    </row>
    <row r="1286" spans="1:3" ht="15" x14ac:dyDescent="0.25">
      <c r="A1286" s="3" t="s">
        <v>1283</v>
      </c>
      <c r="B1286" s="3" t="s">
        <v>4</v>
      </c>
      <c r="C1286" s="2" t="str">
        <f ca="1">IFERROR(__xludf.DUMMYFUNCTION("GOOGLETRANSLATE(A1286,""bn"",""en"")"),"The surest way to stay poor is to be honest")</f>
        <v>The surest way to stay poor is to be honest</v>
      </c>
    </row>
    <row r="1287" spans="1:3" ht="15" x14ac:dyDescent="0.25">
      <c r="A1287" s="3" t="s">
        <v>1284</v>
      </c>
      <c r="B1287" s="3" t="s">
        <v>4</v>
      </c>
      <c r="C1287" s="2" t="str">
        <f ca="1">IFERROR(__xludf.DUMMYFUNCTION("GOOGLETRANSLATE(A1287,""bn"",""en"")"),"Memory is an ever-living treasure of the heart")</f>
        <v>Memory is an ever-living treasure of the heart</v>
      </c>
    </row>
    <row r="1288" spans="1:3" ht="15" x14ac:dyDescent="0.25">
      <c r="A1288" s="3" t="s">
        <v>1285</v>
      </c>
      <c r="B1288" s="3" t="s">
        <v>4</v>
      </c>
      <c r="C1288" s="2" t="str">
        <f ca="1">IFERROR(__xludf.DUMMYFUNCTION("GOOGLETRANSLATE(A1288,""bn"",""en"")"),"When a person of faith betrays, the mind is broken")</f>
        <v>When a person of faith betrays, the mind is broken</v>
      </c>
    </row>
    <row r="1289" spans="1:3" ht="15" x14ac:dyDescent="0.25">
      <c r="A1289" s="3" t="s">
        <v>1286</v>
      </c>
      <c r="B1289" s="3" t="s">
        <v>4</v>
      </c>
      <c r="C1289" s="2" t="str">
        <f ca="1">IFERROR(__xludf.DUMMYFUNCTION("GOOGLETRANSLATE(A1289,""bn"",""en"")"),"Illness comes not on horseback but on foot")</f>
        <v>Illness comes not on horseback but on foot</v>
      </c>
    </row>
    <row r="1290" spans="1:3" ht="15" x14ac:dyDescent="0.25">
      <c r="A1290" s="3" t="s">
        <v>1287</v>
      </c>
      <c r="B1290" s="3" t="s">
        <v>4</v>
      </c>
      <c r="C1290" s="2" t="str">
        <f ca="1">IFERROR(__xludf.DUMMYFUNCTION("GOOGLETRANSLATE(A1290,""bn"",""en"")"),"Poverty is spiritual halitosis")</f>
        <v>Poverty is spiritual halitosis</v>
      </c>
    </row>
    <row r="1291" spans="1:3" ht="15" x14ac:dyDescent="0.25">
      <c r="A1291" s="3" t="s">
        <v>1288</v>
      </c>
      <c r="B1291" s="3" t="s">
        <v>4</v>
      </c>
      <c r="C1291" s="2" t="str">
        <f ca="1">IFERROR(__xludf.DUMMYFUNCTION("GOOGLETRANSLATE(A1291,""bn"",""en"")"),"Adorable and sick is the perfect combo")</f>
        <v>Adorable and sick is the perfect combo</v>
      </c>
    </row>
    <row r="1292" spans="1:3" ht="15" x14ac:dyDescent="0.25">
      <c r="A1292" s="3" t="s">
        <v>1289</v>
      </c>
      <c r="B1292" s="3" t="s">
        <v>4</v>
      </c>
      <c r="C1292" s="2" t="str">
        <f ca="1">IFERROR(__xludf.DUMMYFUNCTION("GOOGLETRANSLATE(A1292,""bn"",""en"")"),"Even the beautiful world seems ugly when a loved one leaves")</f>
        <v>Even the beautiful world seems ugly when a loved one leaves</v>
      </c>
    </row>
    <row r="1293" spans="1:3" ht="15" x14ac:dyDescent="0.25">
      <c r="A1293" s="3" t="s">
        <v>1290</v>
      </c>
      <c r="B1293" s="3" t="s">
        <v>4</v>
      </c>
      <c r="C1293" s="2" t="str">
        <f ca="1">IFERROR(__xludf.DUMMYFUNCTION("GOOGLETRANSLATE(A1293,""bn"",""en"")"),"He who feels pain can understand the depth of pain")</f>
        <v>He who feels pain can understand the depth of pain</v>
      </c>
    </row>
    <row r="1294" spans="1:3" ht="15" x14ac:dyDescent="0.25">
      <c r="A1294" s="3" t="s">
        <v>1291</v>
      </c>
      <c r="B1294" s="3" t="s">
        <v>4</v>
      </c>
      <c r="C1294" s="2" t="str">
        <f ca="1">IFERROR(__xludf.DUMMYFUNCTION("GOOGLETRANSLATE(A1294,""bn"",""en"")"),"People's life never ends")</f>
        <v>People's life never ends</v>
      </c>
    </row>
    <row r="1295" spans="1:3" ht="15" x14ac:dyDescent="0.25">
      <c r="A1295" s="3" t="s">
        <v>1292</v>
      </c>
      <c r="B1295" s="3" t="s">
        <v>4</v>
      </c>
      <c r="C1295" s="2" t="str">
        <f ca="1">IFERROR(__xludf.DUMMYFUNCTION("GOOGLETRANSLATE(A1295,""bn"",""en"")"),"Don't lead a life of lies")</f>
        <v>Don't lead a life of lies</v>
      </c>
    </row>
    <row r="1296" spans="1:3" ht="15" x14ac:dyDescent="0.25">
      <c r="A1296" s="3" t="s">
        <v>1293</v>
      </c>
      <c r="B1296" s="3" t="s">
        <v>4</v>
      </c>
      <c r="C1296" s="2" t="str">
        <f ca="1">IFERROR(__xludf.DUMMYFUNCTION("GOOGLETRANSLATE(A1296,""bn"",""en"")"),"He who does not understand my silence, how will he understand my sound")</f>
        <v>He who does not understand my silence, how will he understand my sound</v>
      </c>
    </row>
    <row r="1297" spans="1:3" ht="15" x14ac:dyDescent="0.25">
      <c r="A1297" s="3" t="s">
        <v>1294</v>
      </c>
      <c r="B1297" s="3" t="s">
        <v>4</v>
      </c>
      <c r="C1297" s="2" t="str">
        <f ca="1">IFERROR(__xludf.DUMMYFUNCTION("GOOGLETRANSLATE(A1297,""bn"",""en"")"),"It's not depression for me it's falling into a state of grayness and numbness")</f>
        <v>It's not depression for me it's falling into a state of grayness and numbness</v>
      </c>
    </row>
    <row r="1298" spans="1:3" ht="15" x14ac:dyDescent="0.25">
      <c r="A1298" s="3" t="s">
        <v>1295</v>
      </c>
      <c r="B1298" s="3" t="s">
        <v>4</v>
      </c>
      <c r="C1298" s="2" t="str">
        <f ca="1">IFERROR(__xludf.DUMMYFUNCTION("GOOGLETRANSLATE(A1298,""bn"",""en"")"),"What is being done to true believers in the way of deception We should never be helpless to the truth")</f>
        <v>What is being done to true believers in the way of deception We should never be helpless to the truth</v>
      </c>
    </row>
    <row r="1299" spans="1:3" ht="15" x14ac:dyDescent="0.25">
      <c r="A1299" s="3" t="s">
        <v>1296</v>
      </c>
      <c r="B1299" s="3" t="s">
        <v>4</v>
      </c>
      <c r="C1299" s="2" t="str">
        <f ca="1">IFERROR(__xludf.DUMMYFUNCTION("GOOGLETRANSLATE(A1299,""bn"",""en"")"),"If love is the best feeling in the world then why do people get hurt by loved ones")</f>
        <v>If love is the best feeling in the world then why do people get hurt by loved ones</v>
      </c>
    </row>
    <row r="1300" spans="1:3" ht="15" x14ac:dyDescent="0.25">
      <c r="A1300" s="3" t="s">
        <v>1297</v>
      </c>
      <c r="B1300" s="3" t="s">
        <v>4</v>
      </c>
      <c r="C1300" s="2" t="str">
        <f ca="1">IFERROR(__xludf.DUMMYFUNCTION("GOOGLETRANSLATE(A1300,""bn"",""en"")"),"It's bad when the circumstances make it bad for your people")</f>
        <v>It's bad when the circumstances make it bad for your people</v>
      </c>
    </row>
    <row r="1301" spans="1:3" ht="15" x14ac:dyDescent="0.25">
      <c r="A1301" s="3" t="s">
        <v>1298</v>
      </c>
      <c r="B1301" s="3" t="s">
        <v>4</v>
      </c>
      <c r="C1301" s="2" t="str">
        <f ca="1">IFERROR(__xludf.DUMMYFUNCTION("GOOGLETRANSLATE(A1301,""bn"",""en"")"),"The days are passing too quickly")</f>
        <v>The days are passing too quickly</v>
      </c>
    </row>
    <row r="1302" spans="1:3" ht="15" x14ac:dyDescent="0.25">
      <c r="A1302" s="3" t="s">
        <v>1299</v>
      </c>
      <c r="B1302" s="3" t="s">
        <v>4</v>
      </c>
      <c r="C1302" s="2" t="str">
        <f ca="1">IFERROR(__xludf.DUMMYFUNCTION("GOOGLETRANSLATE(A1302,""bn"",""en"")"),"I really find myself in the drama's sad story")</f>
        <v>I really find myself in the drama's sad story</v>
      </c>
    </row>
    <row r="1303" spans="1:3" ht="15" x14ac:dyDescent="0.25">
      <c r="A1303" s="3" t="s">
        <v>1300</v>
      </c>
      <c r="B1303" s="3" t="s">
        <v>4</v>
      </c>
      <c r="C1303" s="2" t="str">
        <f ca="1">IFERROR(__xludf.DUMMYFUNCTION("GOOGLETRANSLATE(A1303,""bn"",""en"")"),"The victimization of war has made mankind so unstable that it is unbearable")</f>
        <v>The victimization of war has made mankind so unstable that it is unbearable</v>
      </c>
    </row>
    <row r="1304" spans="1:3" ht="15" x14ac:dyDescent="0.25">
      <c r="A1304" s="3" t="s">
        <v>1301</v>
      </c>
      <c r="B1304" s="3" t="s">
        <v>4</v>
      </c>
      <c r="C1304" s="2" t="str">
        <f ca="1">IFERROR(__xludf.DUMMYFUNCTION("GOOGLETRANSLATE(A1304,""bn"",""en"")"),"After writing a line of code, I can't find the logic error for half an hour when I see what the syntax error looks like.")</f>
        <v>After writing a line of code, I can't find the logic error for half an hour when I see what the syntax error looks like.</v>
      </c>
    </row>
    <row r="1305" spans="1:3" ht="15" x14ac:dyDescent="0.25">
      <c r="A1305" s="3" t="s">
        <v>1302</v>
      </c>
      <c r="B1305" s="3" t="s">
        <v>4</v>
      </c>
      <c r="C1305" s="2" t="str">
        <f ca="1">IFERROR(__xludf.DUMMYFUNCTION("GOOGLETRANSLATE(A1305,""bn"",""en"")"),"Love is so painful that it is painful to express and it is also painful to forget")</f>
        <v>Love is so painful that it is painful to express and it is also painful to forget</v>
      </c>
    </row>
    <row r="1306" spans="1:3" ht="15" x14ac:dyDescent="0.25">
      <c r="A1306" s="3" t="s">
        <v>1303</v>
      </c>
      <c r="B1306" s="3" t="s">
        <v>4</v>
      </c>
      <c r="C1306" s="2" t="str">
        <f ca="1">IFERROR(__xludf.DUMMYFUNCTION("GOOGLETRANSLATE(A1306,""bn"",""en"")"),"In difficult times, everyone you want is a true friend")</f>
        <v>In difficult times, everyone you want is a true friend</v>
      </c>
    </row>
    <row r="1307" spans="1:3" ht="15" x14ac:dyDescent="0.25">
      <c r="A1307" s="3" t="s">
        <v>1304</v>
      </c>
      <c r="B1307" s="3" t="s">
        <v>4</v>
      </c>
      <c r="C1307" s="2" t="str">
        <f ca="1">IFERROR(__xludf.DUMMYFUNCTION("GOOGLETRANSLATE(A1307,""bn"",""en"")"),"I feel sick and tired of being as sick and tired as the Beatles")</f>
        <v>I feel sick and tired of being as sick and tired as the Beatles</v>
      </c>
    </row>
    <row r="1308" spans="1:3" ht="15" x14ac:dyDescent="0.25">
      <c r="A1308" s="3" t="s">
        <v>1305</v>
      </c>
      <c r="B1308" s="3" t="s">
        <v>4</v>
      </c>
      <c r="C1308" s="2" t="str">
        <f ca="1">IFERROR(__xludf.DUMMYFUNCTION("GOOGLETRANSLATE(A1308,""bn"",""en"")"),"It is not possible for me to stay together")</f>
        <v>It is not possible for me to stay together</v>
      </c>
    </row>
    <row r="1309" spans="1:3" ht="15" x14ac:dyDescent="0.25">
      <c r="A1309" s="3" t="s">
        <v>1306</v>
      </c>
      <c r="B1309" s="3" t="s">
        <v>4</v>
      </c>
      <c r="C1309" s="2" t="str">
        <f ca="1">IFERROR(__xludf.DUMMYFUNCTION("GOOGLETRANSLATE(A1309,""bn"",""en"")"),"The dream of freedom means the language of memory")</f>
        <v>The dream of freedom means the language of memory</v>
      </c>
    </row>
    <row r="1310" spans="1:3" ht="15" x14ac:dyDescent="0.25">
      <c r="A1310" s="3" t="s">
        <v>1307</v>
      </c>
      <c r="B1310" s="3" t="s">
        <v>4</v>
      </c>
      <c r="C1310" s="2" t="str">
        <f ca="1">IFERROR(__xludf.DUMMYFUNCTION("GOOGLETRANSLATE(A1310,""bn"",""en"")"),"I have become inclined to make a false life by telling lies")</f>
        <v>I have become inclined to make a false life by telling lies</v>
      </c>
    </row>
    <row r="1311" spans="1:3" ht="15" x14ac:dyDescent="0.25">
      <c r="A1311" s="3" t="s">
        <v>1308</v>
      </c>
      <c r="B1311" s="3" t="s">
        <v>4</v>
      </c>
      <c r="C1311" s="2" t="str">
        <f ca="1">IFERROR(__xludf.DUMMYFUNCTION("GOOGLETRANSLATE(A1311,""bn"",""en"")"),"My favorite bike is lying in the shop of Bhangari today after the accident")</f>
        <v>My favorite bike is lying in the shop of Bhangari today after the accident</v>
      </c>
    </row>
    <row r="1312" spans="1:3" ht="15" x14ac:dyDescent="0.25">
      <c r="A1312" s="3" t="s">
        <v>1309</v>
      </c>
      <c r="B1312" s="3" t="s">
        <v>4</v>
      </c>
      <c r="C1312" s="2" t="str">
        <f ca="1">IFERROR(__xludf.DUMMYFUNCTION("GOOGLETRANSLATE(A1312,""bn"",""en"")"),"Too much busy work life leaves no time for yourself")</f>
        <v>Too much busy work life leaves no time for yourself</v>
      </c>
    </row>
    <row r="1313" spans="1:3" ht="15" x14ac:dyDescent="0.25">
      <c r="A1313" s="3" t="s">
        <v>1310</v>
      </c>
      <c r="B1313" s="3" t="s">
        <v>4</v>
      </c>
      <c r="C1313" s="2" t="str">
        <f ca="1">IFERROR(__xludf.DUMMYFUNCTION("GOOGLETRANSLATE(A1313,""bn"",""en"")"),"There is no need to apologize to those who neglect")</f>
        <v>There is no need to apologize to those who neglect</v>
      </c>
    </row>
    <row r="1314" spans="1:3" ht="15" x14ac:dyDescent="0.25">
      <c r="A1314" s="3" t="s">
        <v>1311</v>
      </c>
      <c r="B1314" s="3" t="s">
        <v>4</v>
      </c>
      <c r="C1314" s="2" t="str">
        <f ca="1">IFERROR(__xludf.DUMMYFUNCTION("GOOGLETRANSLATE(A1314,""bn"",""en"")"),"Laughing at the movie has now become sad in my heart")</f>
        <v>Laughing at the movie has now become sad in my heart</v>
      </c>
    </row>
    <row r="1315" spans="1:3" ht="15" x14ac:dyDescent="0.25">
      <c r="A1315" s="3" t="s">
        <v>1312</v>
      </c>
      <c r="B1315" s="3" t="s">
        <v>4</v>
      </c>
      <c r="C1315" s="2" t="str">
        <f ca="1">IFERROR(__xludf.DUMMYFUNCTION("GOOGLETRANSLATE(A1315,""bn"",""en"")"),"Lost in the path of truth in life, now there is no possibility to find it")</f>
        <v>Lost in the path of truth in life, now there is no possibility to find it</v>
      </c>
    </row>
    <row r="1316" spans="1:3" ht="15" x14ac:dyDescent="0.25">
      <c r="A1316" s="3" t="s">
        <v>1313</v>
      </c>
      <c r="B1316" s="3" t="s">
        <v>4</v>
      </c>
      <c r="C1316" s="2" t="str">
        <f ca="1">IFERROR(__xludf.DUMMYFUNCTION("GOOGLETRANSLATE(A1316,""bn"",""en"")"),"Leaders do not gain people's trust by expecting to lose for power")</f>
        <v>Leaders do not gain people's trust by expecting to lose for power</v>
      </c>
    </row>
    <row r="1317" spans="1:3" ht="15" x14ac:dyDescent="0.25">
      <c r="A1317" s="3" t="s">
        <v>1314</v>
      </c>
      <c r="B1317" s="3" t="s">
        <v>4</v>
      </c>
      <c r="C1317" s="2" t="str">
        <f ca="1">IFERROR(__xludf.DUMMYFUNCTION("GOOGLETRANSLATE(A1317,""bn"",""en"")"),"I am now so unemployed that my people are constantly moving away")</f>
        <v>I am now so unemployed that my people are constantly moving away</v>
      </c>
    </row>
    <row r="1318" spans="1:3" ht="15" x14ac:dyDescent="0.25">
      <c r="A1318" s="3" t="s">
        <v>1315</v>
      </c>
      <c r="B1318" s="3" t="s">
        <v>4</v>
      </c>
      <c r="C1318" s="2" t="str">
        <f ca="1">IFERROR(__xludf.DUMMYFUNCTION("GOOGLETRANSLATE(A1318,""bn"",""en"")"),"If I forget, I am drowning in the darkness of the past")</f>
        <v>If I forget, I am drowning in the darkness of the past</v>
      </c>
    </row>
    <row r="1319" spans="1:3" ht="15" x14ac:dyDescent="0.25">
      <c r="A1319" s="3" t="s">
        <v>1316</v>
      </c>
      <c r="B1319" s="3" t="s">
        <v>4</v>
      </c>
      <c r="C1319" s="2" t="str">
        <f ca="1">IFERROR(__xludf.DUMMYFUNCTION("GOOGLETRANSLATE(A1319,""bn"",""en"")"),"Peace is a big dream that we all want together")</f>
        <v>Peace is a big dream that we all want together</v>
      </c>
    </row>
    <row r="1320" spans="1:3" ht="15" x14ac:dyDescent="0.25">
      <c r="A1320" s="3" t="s">
        <v>1317</v>
      </c>
      <c r="B1320" s="3" t="s">
        <v>4</v>
      </c>
      <c r="C1320" s="2" t="str">
        <f ca="1">IFERROR(__xludf.DUMMYFUNCTION("GOOGLETRANSLATE(A1320,""bn"",""en"")"),"Looking at the computer all day and working is causing a lot of pain in the eyes, sometimes it is necessary to take a little rest")</f>
        <v>Looking at the computer all day and working is causing a lot of pain in the eyes, sometimes it is necessary to take a little rest</v>
      </c>
    </row>
    <row r="1321" spans="1:3" ht="15" x14ac:dyDescent="0.25">
      <c r="A1321" s="3" t="s">
        <v>1318</v>
      </c>
      <c r="B1321" s="3" t="s">
        <v>4</v>
      </c>
      <c r="C1321" s="2" t="str">
        <f ca="1">IFERROR(__xludf.DUMMYFUNCTION("GOOGLETRANSLATE(A1321,""bn"",""en"")"),"Today this afternoon sitting by the lake thinking I want to go far away from the noise of these people")</f>
        <v>Today this afternoon sitting by the lake thinking I want to go far away from the noise of these people</v>
      </c>
    </row>
    <row r="1322" spans="1:3" ht="15" x14ac:dyDescent="0.25">
      <c r="A1322" s="3" t="s">
        <v>1319</v>
      </c>
      <c r="B1322" s="3" t="s">
        <v>4</v>
      </c>
      <c r="C1322" s="2" t="str">
        <f ca="1">IFERROR(__xludf.DUMMYFUNCTION("GOOGLETRANSLATE(A1322,""bn"",""en"")"),"The memories that we keep as happy are sometimes the ones that make us sad the most")</f>
        <v>The memories that we keep as happy are sometimes the ones that make us sad the most</v>
      </c>
    </row>
    <row r="1323" spans="1:3" ht="15" x14ac:dyDescent="0.25">
      <c r="A1323" s="3" t="s">
        <v>1320</v>
      </c>
      <c r="B1323" s="3" t="s">
        <v>4</v>
      </c>
      <c r="C1323" s="2" t="str">
        <f ca="1">IFERROR(__xludf.DUMMYFUNCTION("GOOGLETRANSLATE(A1323,""bn"",""en"")"),"Sometimes I feel as if I am lost alone in the middle of nature somewhere far away")</f>
        <v>Sometimes I feel as if I am lost alone in the middle of nature somewhere far away</v>
      </c>
    </row>
    <row r="1324" spans="1:3" ht="15" x14ac:dyDescent="0.25">
      <c r="A1324" s="3" t="s">
        <v>1321</v>
      </c>
      <c r="B1324" s="3" t="s">
        <v>4</v>
      </c>
      <c r="C1324" s="2" t="str">
        <f ca="1">IFERROR(__xludf.DUMMYFUNCTION("GOOGLETRANSLATE(A1324,""bn"",""en"")"),"The music of life has fallen due to the lack of culture")</f>
        <v>The music of life has fallen due to the lack of culture</v>
      </c>
    </row>
    <row r="1325" spans="1:3" ht="15" x14ac:dyDescent="0.25">
      <c r="A1325" s="3" t="s">
        <v>1322</v>
      </c>
      <c r="B1325" s="3" t="s">
        <v>4</v>
      </c>
      <c r="C1325" s="2" t="str">
        <f ca="1">IFERROR(__xludf.DUMMYFUNCTION("GOOGLETRANSLATE(A1325,""bn"",""en"")"),"Everything in life is not easy, you have to suffer a lot for an easier life")</f>
        <v>Everything in life is not easy, you have to suffer a lot for an easier life</v>
      </c>
    </row>
    <row r="1326" spans="1:3" ht="15" x14ac:dyDescent="0.25">
      <c r="A1326" s="3" t="s">
        <v>1323</v>
      </c>
      <c r="B1326" s="3" t="s">
        <v>4</v>
      </c>
      <c r="C1326" s="2" t="str">
        <f ca="1">IFERROR(__xludf.DUMMYFUNCTION("GOOGLETRANSLATE(A1326,""bn"",""en"")"),"You earn money and enjoy life")</f>
        <v>You earn money and enjoy life</v>
      </c>
    </row>
    <row r="1327" spans="1:3" ht="15" x14ac:dyDescent="0.25">
      <c r="A1327" s="3" t="s">
        <v>1324</v>
      </c>
      <c r="B1327" s="3" t="s">
        <v>4</v>
      </c>
      <c r="C1327" s="2" t="str">
        <f ca="1">IFERROR(__xludf.DUMMYFUNCTION("GOOGLETRANSLATE(A1327,""bn"",""en"")"),"I want to say my words to someone but no words come out")</f>
        <v>I want to say my words to someone but no words come out</v>
      </c>
    </row>
    <row r="1328" spans="1:3" ht="15" x14ac:dyDescent="0.25">
      <c r="A1328" s="3" t="s">
        <v>1325</v>
      </c>
      <c r="B1328" s="3" t="s">
        <v>4</v>
      </c>
      <c r="C1328" s="2" t="str">
        <f ca="1">IFERROR(__xludf.DUMMYFUNCTION("GOOGLETRANSLATE(A1328,""bn"",""en"")"),"What is the point of being successful if you forget the real purpose of life while chasing after success")</f>
        <v>What is the point of being successful if you forget the real purpose of life while chasing after success</v>
      </c>
    </row>
    <row r="1329" spans="1:3" ht="15" x14ac:dyDescent="0.25">
      <c r="A1329" s="3" t="s">
        <v>1326</v>
      </c>
      <c r="B1329" s="3" t="s">
        <v>4</v>
      </c>
      <c r="C1329" s="2" t="str">
        <f ca="1">IFERROR(__xludf.DUMMYFUNCTION("GOOGLETRANSLATE(A1329,""bn"",""en"")"),"The republic trying to lose heroes is manifesting itself in circumstances dictated by political power")</f>
        <v>The republic trying to lose heroes is manifesting itself in circumstances dictated by political power</v>
      </c>
    </row>
    <row r="1330" spans="1:3" ht="15" x14ac:dyDescent="0.25">
      <c r="A1330" s="3" t="s">
        <v>1327</v>
      </c>
      <c r="B1330" s="3" t="s">
        <v>4</v>
      </c>
      <c r="C1330" s="2" t="str">
        <f ca="1">IFERROR(__xludf.DUMMYFUNCTION("GOOGLETRANSLATE(A1330,""bn"",""en"")"),"Only emptiness touches silently across time")</f>
        <v>Only emptiness touches silently across time</v>
      </c>
    </row>
    <row r="1331" spans="1:3" ht="15" x14ac:dyDescent="0.25">
      <c r="A1331" s="3" t="s">
        <v>1328</v>
      </c>
      <c r="B1331" s="3" t="s">
        <v>4</v>
      </c>
      <c r="C1331" s="2" t="str">
        <f ca="1">IFERROR(__xludf.DUMMYFUNCTION("GOOGLETRANSLATE(A1331,""bn"",""en"")"),"Illness has to be lived by turning it into strength")</f>
        <v>Illness has to be lived by turning it into strength</v>
      </c>
    </row>
    <row r="1332" spans="1:3" ht="15" x14ac:dyDescent="0.25">
      <c r="A1332" s="3" t="s">
        <v>1329</v>
      </c>
      <c r="B1332" s="3" t="s">
        <v>4</v>
      </c>
      <c r="C1332" s="2" t="str">
        <f ca="1">IFERROR(__xludf.DUMMYFUNCTION("GOOGLETRANSLATE(A1332,""bn"",""en"")"),"Girls' smile is the most precious thing in the world for boys")</f>
        <v>Girls' smile is the most precious thing in the world for boys</v>
      </c>
    </row>
    <row r="1333" spans="1:3" ht="15" x14ac:dyDescent="0.25">
      <c r="A1333" s="3" t="s">
        <v>1330</v>
      </c>
      <c r="B1333" s="3" t="s">
        <v>4</v>
      </c>
      <c r="C1333" s="2" t="str">
        <f ca="1">IFERROR(__xludf.DUMMYFUNCTION("GOOGLETRANSLATE(A1333,""bn"",""en"")"),"An empty pocket teaches you a lot but a full pocket ruins you")</f>
        <v>An empty pocket teaches you a lot but a full pocket ruins you</v>
      </c>
    </row>
    <row r="1334" spans="1:3" ht="15" x14ac:dyDescent="0.25">
      <c r="A1334" s="3" t="s">
        <v>1331</v>
      </c>
      <c r="B1334" s="3" t="s">
        <v>4</v>
      </c>
      <c r="C1334" s="2" t="str">
        <f ca="1">IFERROR(__xludf.DUMMYFUNCTION("GOOGLETRANSLATE(A1334,""bn"",""en"")"),"What a tiring time those years seem to have the will and need to live but not the ability")</f>
        <v>What a tiring time those years seem to have the will and need to live but not the ability</v>
      </c>
    </row>
    <row r="1335" spans="1:3" ht="15" x14ac:dyDescent="0.25">
      <c r="A1335" s="3" t="s">
        <v>1332</v>
      </c>
      <c r="B1335" s="3" t="s">
        <v>4</v>
      </c>
      <c r="C1335" s="2" t="str">
        <f ca="1">IFERROR(__xludf.DUMMYFUNCTION("GOOGLETRANSLATE(A1335,""bn"",""en"")"),"As the first love is the sweetest, the first wound is the deepest")</f>
        <v>As the first love is the sweetest, the first wound is the deepest</v>
      </c>
    </row>
    <row r="1336" spans="1:3" ht="15" x14ac:dyDescent="0.25">
      <c r="A1336" s="3" t="s">
        <v>1333</v>
      </c>
      <c r="B1336" s="3" t="s">
        <v>4</v>
      </c>
      <c r="C1336" s="2" t="str">
        <f ca="1">IFERROR(__xludf.DUMMYFUNCTION("GOOGLETRANSLATE(A1336,""bn"",""en"")"),"Dreaming of the middle class Don't make any demands on anyone Don't cry middle class Don't give a hand to the needy")</f>
        <v>Dreaming of the middle class Don't make any demands on anyone Don't cry middle class Don't give a hand to the needy</v>
      </c>
    </row>
    <row r="1337" spans="1:3" ht="15" x14ac:dyDescent="0.25">
      <c r="A1337" s="3" t="s">
        <v>1334</v>
      </c>
      <c r="B1337" s="3" t="s">
        <v>4</v>
      </c>
      <c r="C1337" s="2" t="str">
        <f ca="1">IFERROR(__xludf.DUMMYFUNCTION("GOOGLETRANSLATE(A1337,""bn"",""en"")"),"Light is all very good brother but it is not easy to live with")</f>
        <v>Light is all very good brother but it is not easy to live with</v>
      </c>
    </row>
    <row r="1338" spans="1:3" ht="15" x14ac:dyDescent="0.25">
      <c r="A1338" s="3" t="s">
        <v>1335</v>
      </c>
      <c r="B1338" s="3" t="s">
        <v>4</v>
      </c>
      <c r="C1338" s="2" t="str">
        <f ca="1">IFERROR(__xludf.DUMMYFUNCTION("GOOGLETRANSLATE(A1338,""bn"",""en"")"),"Some wounds are invisible but the pain lasts a lifetime")</f>
        <v>Some wounds are invisible but the pain lasts a lifetime</v>
      </c>
    </row>
    <row r="1339" spans="1:3" ht="15" x14ac:dyDescent="0.25">
      <c r="A1339" s="3" t="s">
        <v>1336</v>
      </c>
      <c r="B1339" s="3" t="s">
        <v>4</v>
      </c>
      <c r="C1339" s="2" t="str">
        <f ca="1">IFERROR(__xludf.DUMMYFUNCTION("GOOGLETRANSLATE(A1339,""bn"",""en"")"),"Searching for a destination is like a guest in one's own house today")</f>
        <v>Searching for a destination is like a guest in one's own house today</v>
      </c>
    </row>
    <row r="1340" spans="1:3" ht="15" x14ac:dyDescent="0.25">
      <c r="A1340" s="3" t="s">
        <v>1337</v>
      </c>
      <c r="B1340" s="3" t="s">
        <v>4</v>
      </c>
      <c r="C1340" s="2" t="str">
        <f ca="1">IFERROR(__xludf.DUMMYFUNCTION("GOOGLETRANSLATE(A1340,""bn"",""en"")"),"The mind can't always be strong, sometimes you need to be quiet and alone to let your tears come out.")</f>
        <v>The mind can't always be strong, sometimes you need to be quiet and alone to let your tears come out.</v>
      </c>
    </row>
    <row r="1341" spans="1:3" ht="15" x14ac:dyDescent="0.25">
      <c r="A1341" s="3" t="s">
        <v>1338</v>
      </c>
      <c r="B1341" s="3" t="s">
        <v>4</v>
      </c>
      <c r="C1341" s="2" t="str">
        <f ca="1">IFERROR(__xludf.DUMMYFUNCTION("GOOGLETRANSLATE(A1341,""bn"",""en"")"),"It is better to be nothing to yourself than to be worthless to someone")</f>
        <v>It is better to be nothing to yourself than to be worthless to someone</v>
      </c>
    </row>
    <row r="1342" spans="1:3" ht="15" x14ac:dyDescent="0.25">
      <c r="A1342" s="3" t="s">
        <v>1339</v>
      </c>
      <c r="B1342" s="3" t="s">
        <v>4</v>
      </c>
      <c r="C1342" s="2" t="str">
        <f ca="1">IFERROR(__xludf.DUMMYFUNCTION("GOOGLETRANSLATE(A1342,""bn"",""en"")"),"Boys have to hide the inner storm and be calm from the outside")</f>
        <v>Boys have to hide the inner storm and be calm from the outside</v>
      </c>
    </row>
    <row r="1343" spans="1:3" ht="15" x14ac:dyDescent="0.25">
      <c r="A1343" s="3" t="s">
        <v>1340</v>
      </c>
      <c r="B1343" s="3" t="s">
        <v>4</v>
      </c>
      <c r="C1343" s="2" t="str">
        <f ca="1">IFERROR(__xludf.DUMMYFUNCTION("GOOGLETRANSLATE(A1343,""bn"",""en"")"),"Hiding the smile on my face and holding back tears day after day with this pressing pain")</f>
        <v>Hiding the smile on my face and holding back tears day after day with this pressing pain</v>
      </c>
    </row>
    <row r="1344" spans="1:3" ht="15" x14ac:dyDescent="0.25">
      <c r="A1344" s="3" t="s">
        <v>1341</v>
      </c>
      <c r="B1344" s="3" t="s">
        <v>4</v>
      </c>
      <c r="C1344" s="2" t="str">
        <f ca="1">IFERROR(__xludf.DUMMYFUNCTION("GOOGLETRANSLATE(A1344,""bn"",""en"")"),"Power comes and goes but sorrow is always constant in human life")</f>
        <v>Power comes and goes but sorrow is always constant in human life</v>
      </c>
    </row>
    <row r="1345" spans="1:3" ht="15" x14ac:dyDescent="0.25">
      <c r="A1345" s="3" t="s">
        <v>1342</v>
      </c>
      <c r="B1345" s="3" t="s">
        <v>4</v>
      </c>
      <c r="C1345" s="2" t="str">
        <f ca="1">IFERROR(__xludf.DUMMYFUNCTION("GOOGLETRANSLATE(A1345,""bn"",""en"")"),"There is no end to unrest in the world")</f>
        <v>There is no end to unrest in the world</v>
      </c>
    </row>
    <row r="1346" spans="1:3" ht="15" x14ac:dyDescent="0.25">
      <c r="A1346" s="3" t="s">
        <v>1343</v>
      </c>
      <c r="B1346" s="3" t="s">
        <v>4</v>
      </c>
      <c r="C1346" s="2" t="str">
        <f ca="1">IFERROR(__xludf.DUMMYFUNCTION("GOOGLETRANSLATE(A1346,""bn"",""en"")"),"Getting stuck in someone's maya is very difficult to overcome")</f>
        <v>Getting stuck in someone's maya is very difficult to overcome</v>
      </c>
    </row>
    <row r="1347" spans="1:3" ht="15" x14ac:dyDescent="0.25">
      <c r="A1347" s="3" t="s">
        <v>1344</v>
      </c>
      <c r="B1347" s="3" t="s">
        <v>4</v>
      </c>
      <c r="C1347" s="2" t="str">
        <f ca="1">IFERROR(__xludf.DUMMYFUNCTION("GOOGLETRANSLATE(A1347,""bn"",""en"")"),"You are the sky in my mind, I don't know where to hide you")</f>
        <v>You are the sky in my mind, I don't know where to hide you</v>
      </c>
    </row>
    <row r="1348" spans="1:3" ht="15" x14ac:dyDescent="0.25">
      <c r="A1348" s="3" t="s">
        <v>1345</v>
      </c>
      <c r="B1348" s="3" t="s">
        <v>4</v>
      </c>
      <c r="C1348" s="2" t="str">
        <f ca="1">IFERROR(__xludf.DUMMYFUNCTION("GOOGLETRANSLATE(A1348,""bn"",""en"")"),"The growth of politics is a crime against people's faith")</f>
        <v>The growth of politics is a crime against people's faith</v>
      </c>
    </row>
    <row r="1349" spans="1:3" ht="15" x14ac:dyDescent="0.25">
      <c r="A1349" s="3" t="s">
        <v>1346</v>
      </c>
      <c r="B1349" s="3" t="s">
        <v>4</v>
      </c>
      <c r="C1349" s="2" t="str">
        <f ca="1">IFERROR(__xludf.DUMMYFUNCTION("GOOGLETRANSLATE(A1349,""bn"",""en"")"),"Emotion is the candle that goes out after a while and conscience is the sun that never goes out")</f>
        <v>Emotion is the candle that goes out after a while and conscience is the sun that never goes out</v>
      </c>
    </row>
    <row r="1350" spans="1:3" ht="15" x14ac:dyDescent="0.25">
      <c r="A1350" s="3" t="s">
        <v>1347</v>
      </c>
      <c r="B1350" s="3" t="s">
        <v>4</v>
      </c>
      <c r="C1350" s="2" t="str">
        <f ca="1">IFERROR(__xludf.DUMMYFUNCTION("GOOGLETRANSLATE(A1350,""bn"",""en"")"),"The pain of love cannot be forgotten, it is a permanent wound deep in the heart")</f>
        <v>The pain of love cannot be forgotten, it is a permanent wound deep in the heart</v>
      </c>
    </row>
    <row r="1351" spans="1:3" ht="15" x14ac:dyDescent="0.25">
      <c r="A1351" s="3" t="s">
        <v>1348</v>
      </c>
      <c r="B1351" s="3" t="s">
        <v>4</v>
      </c>
      <c r="C1351" s="2" t="str">
        <f ca="1">IFERROR(__xludf.DUMMYFUNCTION("GOOGLETRANSLATE(A1351,""bn"",""en"")"),"I can't explain the words of my mind, I'm feeling dumb")</f>
        <v>I can't explain the words of my mind, I'm feeling dumb</v>
      </c>
    </row>
    <row r="1352" spans="1:3" ht="15" x14ac:dyDescent="0.25">
      <c r="A1352" s="3" t="s">
        <v>1349</v>
      </c>
      <c r="B1352" s="3" t="s">
        <v>4</v>
      </c>
      <c r="C1352" s="2" t="str">
        <f ca="1">IFERROR(__xludf.DUMMYFUNCTION("GOOGLETRANSLATE(A1352,""bn"",""en"")"),"My cultural practices are now weak")</f>
        <v>My cultural practices are now weak</v>
      </c>
    </row>
    <row r="1353" spans="1:3" ht="15" x14ac:dyDescent="0.25">
      <c r="A1353" s="3" t="s">
        <v>1350</v>
      </c>
      <c r="B1353" s="3" t="s">
        <v>4</v>
      </c>
      <c r="C1353" s="2" t="str">
        <f ca="1">IFERROR(__xludf.DUMMYFUNCTION("GOOGLETRANSLATE(A1353,""bn"",""en"")"),"If you want to win the game of power, you lose the love of the people and the republic")</f>
        <v>If you want to win the game of power, you lose the love of the people and the republic</v>
      </c>
    </row>
    <row r="1354" spans="1:3" ht="15" x14ac:dyDescent="0.25">
      <c r="A1354" s="3" t="s">
        <v>1351</v>
      </c>
      <c r="B1354" s="3" t="s">
        <v>4</v>
      </c>
      <c r="C1354" s="2" t="str">
        <f ca="1">IFERROR(__xludf.DUMMYFUNCTION("GOOGLETRANSLATE(A1354,""bn"",""en"")"),"Memories of lost time are coming to my eyes")</f>
        <v>Memories of lost time are coming to my eyes</v>
      </c>
    </row>
    <row r="1355" spans="1:3" ht="15" x14ac:dyDescent="0.25">
      <c r="A1355" s="3" t="s">
        <v>1352</v>
      </c>
      <c r="B1355" s="3" t="s">
        <v>4</v>
      </c>
      <c r="C1355" s="2" t="str">
        <f ca="1">IFERROR(__xludf.DUMMYFUNCTION("GOOGLETRANSLATE(A1355,""bn"",""en"")"),"The silent cries and tears in the middle of the night never lie")</f>
        <v>The silent cries and tears in the middle of the night never lie</v>
      </c>
    </row>
    <row r="1356" spans="1:3" ht="15" x14ac:dyDescent="0.25">
      <c r="A1356" s="3" t="s">
        <v>1353</v>
      </c>
      <c r="B1356" s="3" t="s">
        <v>4</v>
      </c>
      <c r="C1356" s="2" t="str">
        <f ca="1">IFERROR(__xludf.DUMMYFUNCTION("GOOGLETRANSLATE(A1356,""bn"",""en"")"),"Lost in the path of truth, my heart is crossing the border of unbearable suffering")</f>
        <v>Lost in the path of truth, my heart is crossing the border of unbearable suffering</v>
      </c>
    </row>
    <row r="1357" spans="1:3" ht="15" x14ac:dyDescent="0.25">
      <c r="A1357" s="3" t="s">
        <v>1354</v>
      </c>
      <c r="B1357" s="3" t="s">
        <v>4</v>
      </c>
      <c r="C1357" s="2" t="str">
        <f ca="1">IFERROR(__xludf.DUMMYFUNCTION("GOOGLETRANSLATE(A1357,""bn"",""en"")"),"There is very little time in the whole day's work, and the only idle time is to work")</f>
        <v>There is very little time in the whole day's work, and the only idle time is to work</v>
      </c>
    </row>
    <row r="1358" spans="1:3" ht="15" x14ac:dyDescent="0.25">
      <c r="A1358" s="3" t="s">
        <v>1355</v>
      </c>
      <c r="B1358" s="3" t="s">
        <v>4</v>
      </c>
      <c r="C1358" s="2" t="str">
        <f ca="1">IFERROR(__xludf.DUMMYFUNCTION("GOOGLETRANSLATE(A1358,""bn"",""en"")"),"We have many friends in our school and college life, many of them cannot see each other's success")</f>
        <v>We have many friends in our school and college life, many of them cannot see each other's success</v>
      </c>
    </row>
    <row r="1359" spans="1:3" ht="15" x14ac:dyDescent="0.25">
      <c r="A1359" s="3" t="s">
        <v>1356</v>
      </c>
      <c r="B1359" s="3" t="s">
        <v>4</v>
      </c>
      <c r="C1359" s="2" t="str">
        <f ca="1">IFERROR(__xludf.DUMMYFUNCTION("GOOGLETRANSLATE(A1359,""bn"",""en"")"),"People can forget all the pain if they want, then everyone doesn't have to live with pain in their mind")</f>
        <v>People can forget all the pain if they want, then everyone doesn't have to live with pain in their mind</v>
      </c>
    </row>
    <row r="1360" spans="1:3" ht="15" x14ac:dyDescent="0.25">
      <c r="A1360" s="3" t="s">
        <v>1357</v>
      </c>
      <c r="B1360" s="3" t="s">
        <v>4</v>
      </c>
      <c r="C1360" s="2" t="str">
        <f ca="1">IFERROR(__xludf.DUMMYFUNCTION("GOOGLETRANSLATE(A1360,""bn"",""en"")"),"Loneliness without friends is unbearable")</f>
        <v>Loneliness without friends is unbearable</v>
      </c>
    </row>
    <row r="1361" spans="1:3" ht="15" x14ac:dyDescent="0.25">
      <c r="A1361" s="3" t="s">
        <v>1358</v>
      </c>
      <c r="B1361" s="3" t="s">
        <v>4</v>
      </c>
      <c r="C1361" s="2" t="str">
        <f ca="1">IFERROR(__xludf.DUMMYFUNCTION("GOOGLETRANSLATE(A1361,""bn"",""en"")"),"The truth of political power heroes must be evaluated they convey the darkness in our feelings")</f>
        <v>The truth of political power heroes must be evaluated they convey the darkness in our feelings</v>
      </c>
    </row>
    <row r="1362" spans="1:3" ht="15" x14ac:dyDescent="0.25">
      <c r="A1362" s="3" t="s">
        <v>1359</v>
      </c>
      <c r="B1362" s="3" t="s">
        <v>4</v>
      </c>
      <c r="C1362" s="2" t="str">
        <f ca="1">IFERROR(__xludf.DUMMYFUNCTION("GOOGLETRANSLATE(A1362,""bn"",""en"")"),"Losing is a part of life, some cry and some fight")</f>
        <v>Losing is a part of life, some cry and some fight</v>
      </c>
    </row>
    <row r="1363" spans="1:3" ht="15" x14ac:dyDescent="0.25">
      <c r="A1363" s="3" t="s">
        <v>1360</v>
      </c>
      <c r="B1363" s="3" t="s">
        <v>4</v>
      </c>
      <c r="C1363" s="2" t="str">
        <f ca="1">IFERROR(__xludf.DUMMYFUNCTION("GOOGLETRANSLATE(A1363,""bn"",""en"")"),"I remember the stories of my childhood and today I cry thinking about my story")</f>
        <v>I remember the stories of my childhood and today I cry thinking about my story</v>
      </c>
    </row>
    <row r="1364" spans="1:3" ht="15" x14ac:dyDescent="0.25">
      <c r="A1364" s="3" t="s">
        <v>1361</v>
      </c>
      <c r="B1364" s="3" t="s">
        <v>4</v>
      </c>
      <c r="C1364" s="2" t="str">
        <f ca="1">IFERROR(__xludf.DUMMYFUNCTION("GOOGLETRANSLATE(A1364,""bn"",""en"")"),"You're better off trusting the bribes of politicians than trusting friends' travel plans")</f>
        <v>You're better off trusting the bribes of politicians than trusting friends' travel plans</v>
      </c>
    </row>
    <row r="1365" spans="1:3" ht="15" x14ac:dyDescent="0.25">
      <c r="A1365" s="3" t="s">
        <v>1362</v>
      </c>
      <c r="B1365" s="3" t="s">
        <v>4</v>
      </c>
      <c r="C1365" s="2" t="str">
        <f ca="1">IFERROR(__xludf.DUMMYFUNCTION("GOOGLETRANSLATE(A1365,""bn"",""en"")"),"In the dream of war, my memories of a strange country are changing into an unknown world")</f>
        <v>In the dream of war, my memories of a strange country are changing into an unknown world</v>
      </c>
    </row>
    <row r="1366" spans="1:3" ht="15" x14ac:dyDescent="0.25">
      <c r="A1366" s="3" t="s">
        <v>1363</v>
      </c>
      <c r="B1366" s="3" t="s">
        <v>4</v>
      </c>
      <c r="C1366" s="2" t="str">
        <f ca="1">IFERROR(__xludf.DUMMYFUNCTION("GOOGLETRANSLATE(A1366,""bn"",""en"")"),"I don't get love from anyone in my life")</f>
        <v>I don't get love from anyone in my life</v>
      </c>
    </row>
    <row r="1367" spans="1:3" ht="15" x14ac:dyDescent="0.25">
      <c r="A1367" s="3" t="s">
        <v>1364</v>
      </c>
      <c r="B1367" s="3" t="s">
        <v>4</v>
      </c>
      <c r="C1367" s="2" t="str">
        <f ca="1">IFERROR(__xludf.DUMMYFUNCTION("GOOGLETRANSLATE(A1367,""bn"",""en"")"),"It is a good thing to know what it is to be poor, and an even better thing if you can do it in company")</f>
        <v>It is a good thing to know what it is to be poor, and an even better thing if you can do it in company</v>
      </c>
    </row>
    <row r="1368" spans="1:3" ht="15" x14ac:dyDescent="0.25">
      <c r="A1368" s="3" t="s">
        <v>1365</v>
      </c>
      <c r="B1368" s="3" t="s">
        <v>4</v>
      </c>
      <c r="C1368" s="2" t="str">
        <f ca="1">IFERROR(__xludf.DUMMYFUNCTION("GOOGLETRANSLATE(A1368,""bn"",""en"")"),"Time is such a scarce resource that taking time for yourself is not an easy task")</f>
        <v>Time is such a scarce resource that taking time for yourself is not an easy task</v>
      </c>
    </row>
    <row r="1369" spans="1:3" ht="15" x14ac:dyDescent="0.25">
      <c r="A1369" s="3" t="s">
        <v>1366</v>
      </c>
      <c r="B1369" s="3" t="s">
        <v>4</v>
      </c>
      <c r="C1369" s="2" t="str">
        <f ca="1">IFERROR(__xludf.DUMMYFUNCTION("GOOGLETRANSLATE(A1369,""bn"",""en"")"),"What's worse than feeling sick and waiting in a long pharmacy line")</f>
        <v>What's worse than feeling sick and waiting in a long pharmacy line</v>
      </c>
    </row>
    <row r="1370" spans="1:3" ht="15" x14ac:dyDescent="0.25">
      <c r="A1370" s="3" t="s">
        <v>1367</v>
      </c>
      <c r="B1370" s="3" t="s">
        <v>4</v>
      </c>
      <c r="C1370" s="2" t="str">
        <f ca="1">IFERROR(__xludf.DUMMYFUNCTION("GOOGLETRANSLATE(A1370,""bn"",""en"")"),"In the midst of the culture of Bengal lies hidden truth as well as unexpected sadness")</f>
        <v>In the midst of the culture of Bengal lies hidden truth as well as unexpected sadness</v>
      </c>
    </row>
    <row r="1371" spans="1:3" ht="15" x14ac:dyDescent="0.25">
      <c r="A1371" s="3" t="s">
        <v>1368</v>
      </c>
      <c r="B1371" s="3" t="s">
        <v>4</v>
      </c>
      <c r="C1371" s="2" t="str">
        <f ca="1">IFERROR(__xludf.DUMMYFUNCTION("GOOGLETRANSLATE(A1371,""bn"",""en"")"),"Embracing negativity as strength is the key to success in life")</f>
        <v>Embracing negativity as strength is the key to success in life</v>
      </c>
    </row>
    <row r="1372" spans="1:3" ht="15" x14ac:dyDescent="0.25">
      <c r="A1372" s="3" t="s">
        <v>1369</v>
      </c>
      <c r="B1372" s="3" t="s">
        <v>4</v>
      </c>
      <c r="C1372" s="2" t="str">
        <f ca="1">IFERROR(__xludf.DUMMYFUNCTION("GOOGLETRANSLATE(A1372,""bn"",""en"")"),"The stillness of the night means some are smiling with love and some are silently crying")</f>
        <v>The stillness of the night means some are smiling with love and some are silently crying</v>
      </c>
    </row>
    <row r="1373" spans="1:3" ht="15" x14ac:dyDescent="0.25">
      <c r="A1373" s="3" t="s">
        <v>1370</v>
      </c>
      <c r="B1373" s="3" t="s">
        <v>4</v>
      </c>
      <c r="C1373" s="2" t="str">
        <f ca="1">IFERROR(__xludf.DUMMYFUNCTION("GOOGLETRANSLATE(A1373,""bn"",""en"")"),"Time is lost in my hand without any personal time I can't find my own")</f>
        <v>Time is lost in my hand without any personal time I can't find my own</v>
      </c>
    </row>
    <row r="1374" spans="1:3" ht="15" x14ac:dyDescent="0.25">
      <c r="A1374" s="3" t="s">
        <v>1371</v>
      </c>
      <c r="B1374" s="3" t="s">
        <v>4</v>
      </c>
      <c r="C1374" s="2" t="str">
        <f ca="1">IFERROR(__xludf.DUMMYFUNCTION("GOOGLETRANSLATE(A1374,""bn"",""en"")"),"There are certain memories no matter how old that come to mind for a while")</f>
        <v>There are certain memories no matter how old that come to mind for a while</v>
      </c>
    </row>
    <row r="1375" spans="1:3" ht="15" x14ac:dyDescent="0.25">
      <c r="A1375" s="3" t="s">
        <v>1372</v>
      </c>
      <c r="B1375" s="3" t="s">
        <v>4</v>
      </c>
      <c r="C1375" s="2" t="str">
        <f ca="1">IFERROR(__xludf.DUMMYFUNCTION("GOOGLETRANSLATE(A1375,""bn"",""en"")"),"Knowing the importance of time is one thing")</f>
        <v>Knowing the importance of time is one thing</v>
      </c>
    </row>
    <row r="1376" spans="1:3" ht="15" x14ac:dyDescent="0.25">
      <c r="A1376" s="3" t="s">
        <v>1373</v>
      </c>
      <c r="B1376" s="3" t="s">
        <v>4</v>
      </c>
      <c r="C1376" s="2" t="str">
        <f ca="1">IFERROR(__xludf.DUMMYFUNCTION("GOOGLETRANSLATE(A1376,""bn"",""en"")"),"Sickness is my solitary art")</f>
        <v>Sickness is my solitary art</v>
      </c>
    </row>
    <row r="1377" spans="1:3" ht="15" x14ac:dyDescent="0.25">
      <c r="A1377" s="3" t="s">
        <v>1374</v>
      </c>
      <c r="B1377" s="3" t="s">
        <v>4</v>
      </c>
      <c r="C1377" s="2" t="str">
        <f ca="1">IFERROR(__xludf.DUMMYFUNCTION("GOOGLETRANSLATE(A1377,""bn"",""en"")"),"The light lost in darkness is called culture")</f>
        <v>The light lost in darkness is called culture</v>
      </c>
    </row>
    <row r="1378" spans="1:3" ht="15" x14ac:dyDescent="0.25">
      <c r="A1378" s="3" t="s">
        <v>1375</v>
      </c>
      <c r="B1378" s="3" t="s">
        <v>4</v>
      </c>
      <c r="C1378" s="2" t="str">
        <f ca="1">IFERROR(__xludf.DUMMYFUNCTION("GOOGLETRANSLATE(A1378,""bn"",""en"")"),"Disruption of dreams by the sound of war is only in a dark mind")</f>
        <v>Disruption of dreams by the sound of war is only in a dark mind</v>
      </c>
    </row>
    <row r="1379" spans="1:3" ht="15" x14ac:dyDescent="0.25">
      <c r="A1379" s="3" t="s">
        <v>1376</v>
      </c>
      <c r="B1379" s="3" t="s">
        <v>4</v>
      </c>
      <c r="C1379" s="2" t="str">
        <f ca="1">IFERROR(__xludf.DUMMYFUNCTION("GOOGLETRANSLATE(A1379,""bn"",""en"")"),"The poetry of mourning is hidden in the ancient chapters of my culture")</f>
        <v>The poetry of mourning is hidden in the ancient chapters of my culture</v>
      </c>
    </row>
    <row r="1380" spans="1:3" ht="15" x14ac:dyDescent="0.25">
      <c r="A1380" s="3" t="s">
        <v>1377</v>
      </c>
      <c r="B1380" s="3" t="s">
        <v>4</v>
      </c>
      <c r="C1380" s="2" t="str">
        <f ca="1">IFERROR(__xludf.DUMMYFUNCTION("GOOGLETRANSLATE(A1380,""bn"",""en"")"),"There is an unknown fire burning in the mind of less than the ability to fulfill many dreams")</f>
        <v>There is an unknown fire burning in the mind of less than the ability to fulfill many dreams</v>
      </c>
    </row>
    <row r="1381" spans="1:3" ht="15" x14ac:dyDescent="0.25">
      <c r="A1381" s="3" t="s">
        <v>1378</v>
      </c>
      <c r="B1381" s="3" t="s">
        <v>4</v>
      </c>
      <c r="C1381" s="2" t="str">
        <f ca="1">IFERROR(__xludf.DUMMYFUNCTION("GOOGLETRANSLATE(A1381,""bn"",""en"")"),"I've fallen in love and broken my heart again and again with a bleeding heart I love you again and you break my heart every time")</f>
        <v>I've fallen in love and broken my heart again and again with a bleeding heart I love you again and you break my heart every time</v>
      </c>
    </row>
    <row r="1382" spans="1:3" ht="15" x14ac:dyDescent="0.25">
      <c r="A1382" s="3" t="s">
        <v>1379</v>
      </c>
      <c r="B1382" s="3" t="s">
        <v>4</v>
      </c>
      <c r="C1382" s="2" t="str">
        <f ca="1">IFERROR(__xludf.DUMMYFUNCTION("GOOGLETRANSLATE(A1382,""bn"",""en"")"),"Once I think to move towards data science and again I think to make myself more efficient in digital marketing and again I think to move towards programming I don't know what to do.")</f>
        <v>Once I think to move towards data science and again I think to make myself more efficient in digital marketing and again I think to move towards programming I don't know what to do.</v>
      </c>
    </row>
    <row r="1383" spans="1:3" ht="15" x14ac:dyDescent="0.25">
      <c r="A1383" s="3" t="s">
        <v>1380</v>
      </c>
      <c r="B1383" s="3" t="s">
        <v>4</v>
      </c>
      <c r="C1383" s="2" t="str">
        <f ca="1">IFERROR(__xludf.DUMMYFUNCTION("GOOGLETRANSLATE(A1383,""bn"",""en"")"),"There is a dream of getting higher education but financial crisis creates hurdles")</f>
        <v>There is a dream of getting higher education but financial crisis creates hurdles</v>
      </c>
    </row>
    <row r="1384" spans="1:3" ht="15" x14ac:dyDescent="0.25">
      <c r="A1384" s="3" t="s">
        <v>1381</v>
      </c>
      <c r="B1384" s="3" t="s">
        <v>4</v>
      </c>
      <c r="C1384" s="2" t="str">
        <f ca="1">IFERROR(__xludf.DUMMYFUNCTION("GOOGLETRANSLATE(A1384,""bn"",""en"")"),"Facebook's curse of death in the name of love is losing youth in false portrayals")</f>
        <v>Facebook's curse of death in the name of love is losing youth in false portrayals</v>
      </c>
    </row>
    <row r="1385" spans="1:3" ht="15" x14ac:dyDescent="0.25">
      <c r="A1385" s="3" t="s">
        <v>1382</v>
      </c>
      <c r="B1385" s="3" t="s">
        <v>4</v>
      </c>
      <c r="C1385" s="2" t="str">
        <f ca="1">IFERROR(__xludf.DUMMYFUNCTION("GOOGLETRANSLATE(A1385,""bn"",""en"")"),"Money is the root of evil")</f>
        <v>Money is the root of evil</v>
      </c>
    </row>
    <row r="1386" spans="1:3" ht="15" x14ac:dyDescent="0.25">
      <c r="A1386" s="3" t="s">
        <v>1383</v>
      </c>
      <c r="B1386" s="3" t="s">
        <v>4</v>
      </c>
      <c r="C1386" s="2" t="str">
        <f ca="1">IFERROR(__xludf.DUMMYFUNCTION("GOOGLETRANSLATE(A1386,""bn"",""en"")"),"Not being able to find time for yourself in the midst of work life just feels lost")</f>
        <v>Not being able to find time for yourself in the midst of work life just feels lost</v>
      </c>
    </row>
    <row r="1387" spans="1:3" ht="15" x14ac:dyDescent="0.25">
      <c r="A1387" s="3" t="s">
        <v>1384</v>
      </c>
      <c r="B1387" s="3" t="s">
        <v>4</v>
      </c>
      <c r="C1387" s="2" t="str">
        <f ca="1">IFERROR(__xludf.DUMMYFUNCTION("GOOGLETRANSLATE(A1387,""bn"",""en"")"),"Loneliness is the only time people feel the days are going away")</f>
        <v>Loneliness is the only time people feel the days are going away</v>
      </c>
    </row>
    <row r="1388" spans="1:3" ht="15" x14ac:dyDescent="0.25">
      <c r="A1388" s="3" t="s">
        <v>1385</v>
      </c>
      <c r="B1388" s="3" t="s">
        <v>4</v>
      </c>
      <c r="C1388" s="2" t="str">
        <f ca="1">IFERROR(__xludf.DUMMYFUNCTION("GOOGLETRANSLATE(A1388,""bn"",""en"")"),"In the stillness of the late night, pain touches me")</f>
        <v>In the stillness of the late night, pain touches me</v>
      </c>
    </row>
    <row r="1389" spans="1:3" ht="15" x14ac:dyDescent="0.25">
      <c r="A1389" s="3" t="s">
        <v>1386</v>
      </c>
      <c r="B1389" s="3" t="s">
        <v>4</v>
      </c>
      <c r="C1389" s="2" t="str">
        <f ca="1">IFERROR(__xludf.DUMMYFUNCTION("GOOGLETRANSLATE(A1389,""bn"",""en"")"),"The pain of losing a loved one cannot be forgotten")</f>
        <v>The pain of losing a loved one cannot be forgotten</v>
      </c>
    </row>
    <row r="1390" spans="1:3" ht="15" x14ac:dyDescent="0.25">
      <c r="A1390" s="3" t="s">
        <v>1387</v>
      </c>
      <c r="B1390" s="3" t="s">
        <v>4</v>
      </c>
      <c r="C1390" s="2" t="str">
        <f ca="1">IFERROR(__xludf.DUMMYFUNCTION("GOOGLETRANSLATE(A1390,""bn"",""en"")"),"Ignoring neglect is the beginning of a happy life")</f>
        <v>Ignoring neglect is the beginning of a happy life</v>
      </c>
    </row>
    <row r="1391" spans="1:3" ht="15" x14ac:dyDescent="0.25">
      <c r="A1391" s="3" t="s">
        <v>1388</v>
      </c>
      <c r="B1391" s="3" t="s">
        <v>4</v>
      </c>
      <c r="C1391" s="2" t="str">
        <f ca="1">IFERROR(__xludf.DUMMYFUNCTION("GOOGLETRANSLATE(A1391,""bn"",""en"")"),"Man perishes, his existence lives forever")</f>
        <v>Man perishes, his existence lives forever</v>
      </c>
    </row>
    <row r="1392" spans="1:3" ht="15" x14ac:dyDescent="0.25">
      <c r="A1392" s="3" t="s">
        <v>1389</v>
      </c>
      <c r="B1392" s="3" t="s">
        <v>4</v>
      </c>
      <c r="C1392" s="2" t="str">
        <f ca="1">IFERROR(__xludf.DUMMYFUNCTION("GOOGLETRANSLATE(A1392,""bn"",""en"")"),"One thing to know about the importance of time is that taking your time is not an easy task")</f>
        <v>One thing to know about the importance of time is that taking your time is not an easy task</v>
      </c>
    </row>
    <row r="1393" spans="1:3" ht="15" x14ac:dyDescent="0.25">
      <c r="A1393" s="3" t="s">
        <v>1390</v>
      </c>
      <c r="B1393" s="3" t="s">
        <v>4</v>
      </c>
      <c r="C1393" s="2" t="str">
        <f ca="1">IFERROR(__xludf.DUMMYFUNCTION("GOOGLETRANSLATE(A1393,""bn"",""en"")"),"All the beauty of my soul is lost in the city of war")</f>
        <v>All the beauty of my soul is lost in the city of war</v>
      </c>
    </row>
    <row r="1394" spans="1:3" ht="15" x14ac:dyDescent="0.25">
      <c r="A1394" s="3" t="s">
        <v>1391</v>
      </c>
      <c r="B1394" s="3" t="s">
        <v>4</v>
      </c>
      <c r="C1394" s="2" t="str">
        <f ca="1">IFERROR(__xludf.DUMMYFUNCTION("GOOGLETRANSLATE(A1394,""bn"",""en"")"),"My night is never ending")</f>
        <v>My night is never ending</v>
      </c>
    </row>
    <row r="1395" spans="1:3" ht="15" x14ac:dyDescent="0.25">
      <c r="A1395" s="3" t="s">
        <v>1392</v>
      </c>
      <c r="B1395" s="3" t="s">
        <v>4</v>
      </c>
      <c r="C1395" s="2" t="str">
        <f ca="1">IFERROR(__xludf.DUMMYFUNCTION("GOOGLETRANSLATE(A1395,""bn"",""en"")"),"Children of most families cannot fulfill their dreams because of some bad people in the society")</f>
        <v>Children of most families cannot fulfill their dreams because of some bad people in the society</v>
      </c>
    </row>
    <row r="1396" spans="1:3" ht="15" x14ac:dyDescent="0.25">
      <c r="A1396" s="3" t="s">
        <v>1393</v>
      </c>
      <c r="B1396" s="3" t="s">
        <v>4</v>
      </c>
      <c r="C1396" s="2" t="str">
        <f ca="1">IFERROR(__xludf.DUMMYFUNCTION("GOOGLETRANSLATE(A1396,""bn"",""en"")"),"He who knows how to stand up even after stumbling again and again never gets the fear of walking")</f>
        <v>He who knows how to stand up even after stumbling again and again never gets the fear of walking</v>
      </c>
    </row>
    <row r="1397" spans="1:3" ht="15" x14ac:dyDescent="0.25">
      <c r="A1397" s="3" t="s">
        <v>1394</v>
      </c>
      <c r="B1397" s="3" t="s">
        <v>4</v>
      </c>
      <c r="C1397" s="2" t="str">
        <f ca="1">IFERROR(__xludf.DUMMYFUNCTION("GOOGLETRANSLATE(A1397,""bn"",""en"")"),"I feel very bad for my team's defeat")</f>
        <v>I feel very bad for my team's defeat</v>
      </c>
    </row>
    <row r="1398" spans="1:3" ht="15" x14ac:dyDescent="0.25">
      <c r="A1398" s="3" t="s">
        <v>1395</v>
      </c>
      <c r="B1398" s="3" t="s">
        <v>4</v>
      </c>
      <c r="C1398" s="2" t="str">
        <f ca="1">IFERROR(__xludf.DUMMYFUNCTION("GOOGLETRANSLATE(A1398,""bn"",""en"")"),"Boys cannot cry even if they lose love because society wants them to be strong")</f>
        <v>Boys cannot cry even if they lose love because society wants them to be strong</v>
      </c>
    </row>
    <row r="1399" spans="1:3" ht="15" x14ac:dyDescent="0.25">
      <c r="A1399" s="3" t="s">
        <v>1396</v>
      </c>
      <c r="B1399" s="3" t="s">
        <v>4</v>
      </c>
      <c r="C1399" s="2" t="str">
        <f ca="1">IFERROR(__xludf.DUMMYFUNCTION("GOOGLETRANSLATE(A1399,""bn"",""en"")"),"We live in a world where one person's prosperity is predicated on another's bankruptcy")</f>
        <v>We live in a world where one person's prosperity is predicated on another's bankruptcy</v>
      </c>
    </row>
    <row r="1400" spans="1:3" ht="15" x14ac:dyDescent="0.25">
      <c r="A1400" s="3" t="s">
        <v>1397</v>
      </c>
      <c r="B1400" s="3" t="s">
        <v>4</v>
      </c>
      <c r="C1400" s="2" t="str">
        <f ca="1">IFERROR(__xludf.DUMMYFUNCTION("GOOGLETRANSLATE(A1400,""bn"",""en"")"),"An unknown hope in the corner of my mind that gives me hope to live")</f>
        <v>An unknown hope in the corner of my mind that gives me hope to live</v>
      </c>
    </row>
    <row r="1401" spans="1:3" ht="15" x14ac:dyDescent="0.25">
      <c r="A1401" s="3" t="s">
        <v>1398</v>
      </c>
      <c r="B1401" s="3" t="s">
        <v>4</v>
      </c>
      <c r="C1401" s="2" t="str">
        <f ca="1">IFERROR(__xludf.DUMMYFUNCTION("GOOGLETRANSLATE(A1401,""bn"",""en"")"),"My heart is saddened by the languor of unfathomable time")</f>
        <v>My heart is saddened by the languor of unfathomable time</v>
      </c>
    </row>
    <row r="1402" spans="1:3" ht="15" x14ac:dyDescent="0.25">
      <c r="A1402" s="3" t="s">
        <v>1399</v>
      </c>
      <c r="B1402" s="3" t="s">
        <v>4</v>
      </c>
      <c r="C1402" s="2" t="str">
        <f ca="1">IFERROR(__xludf.DUMMYFUNCTION("GOOGLETRANSLATE(A1402,""bn"",""en"")"),"A true lover does not love hundreds of girls but he loves one girl in a hundred ways")</f>
        <v>A true lover does not love hundreds of girls but he loves one girl in a hundred ways</v>
      </c>
    </row>
    <row r="1403" spans="1:3" ht="15" x14ac:dyDescent="0.25">
      <c r="A1403" s="3" t="s">
        <v>1400</v>
      </c>
      <c r="B1403" s="3" t="s">
        <v>4</v>
      </c>
      <c r="C1403" s="2" t="str">
        <f ca="1">IFERROR(__xludf.DUMMYFUNCTION("GOOGLETRANSLATE(A1403,""bn"",""en"")"),"There are such hungry people in the world that God cannot appear to them without bread")</f>
        <v>There are such hungry people in the world that God cannot appear to them without bread</v>
      </c>
    </row>
    <row r="1404" spans="1:3" ht="15" x14ac:dyDescent="0.25">
      <c r="A1404" s="3" t="s">
        <v>1401</v>
      </c>
      <c r="B1404" s="3" t="s">
        <v>4</v>
      </c>
      <c r="C1404" s="2" t="str">
        <f ca="1">IFERROR(__xludf.DUMMYFUNCTION("GOOGLETRANSLATE(A1404,""bn"",""en"")"),"Life is hard but you keep fighting so stay strong")</f>
        <v>Life is hard but you keep fighting so stay strong</v>
      </c>
    </row>
    <row r="1405" spans="1:3" ht="15" x14ac:dyDescent="0.25">
      <c r="A1405" s="3" t="s">
        <v>1402</v>
      </c>
      <c r="B1405" s="3" t="s">
        <v>4</v>
      </c>
      <c r="C1405" s="2" t="str">
        <f ca="1">IFERROR(__xludf.DUMMYFUNCTION("GOOGLETRANSLATE(A1405,""bn"",""en"")"),"Let's turn sickness into strength together")</f>
        <v>Let's turn sickness into strength together</v>
      </c>
    </row>
    <row r="1406" spans="1:3" ht="15" x14ac:dyDescent="0.25">
      <c r="A1406" s="3" t="s">
        <v>1403</v>
      </c>
      <c r="B1406" s="3" t="s">
        <v>4</v>
      </c>
      <c r="C1406" s="2" t="str">
        <f ca="1">IFERROR(__xludf.DUMMYFUNCTION("GOOGLETRANSLATE(A1406,""bn"",""en"")"),"I don't want to understand love because I don't deserve to fail in love")</f>
        <v>I don't want to understand love because I don't deserve to fail in love</v>
      </c>
    </row>
    <row r="1407" spans="1:3" ht="15" x14ac:dyDescent="0.25">
      <c r="A1407" s="3" t="s">
        <v>1404</v>
      </c>
      <c r="B1407" s="3" t="s">
        <v>4</v>
      </c>
      <c r="C1407" s="2" t="str">
        <f ca="1">IFERROR(__xludf.DUMMYFUNCTION("GOOGLETRANSLATE(A1407,""bn"",""en"")"),"The story of the film is like the story of my life which I am filled with sadness when it ends")</f>
        <v>The story of the film is like the story of my life which I am filled with sadness when it ends</v>
      </c>
    </row>
    <row r="1408" spans="1:3" ht="15" x14ac:dyDescent="0.25">
      <c r="A1408" s="3" t="s">
        <v>1405</v>
      </c>
      <c r="B1408" s="3" t="s">
        <v>4</v>
      </c>
      <c r="C1408" s="2" t="str">
        <f ca="1">IFERROR(__xludf.DUMMYFUNCTION("GOOGLETRANSLATE(A1408,""bn"",""en"")"),"Wars of nations are fought to change maps but wars of poverty are fought to change maps")</f>
        <v>Wars of nations are fought to change maps but wars of poverty are fought to change maps</v>
      </c>
    </row>
    <row r="1409" spans="1:3" ht="15" x14ac:dyDescent="0.25">
      <c r="A1409" s="3" t="s">
        <v>1406</v>
      </c>
      <c r="B1409" s="3" t="s">
        <v>4</v>
      </c>
      <c r="C1409" s="2" t="str">
        <f ca="1">IFERROR(__xludf.DUMMYFUNCTION("GOOGLETRANSLATE(A1409,""bn"",""en"")"),"It is very difficult to follow the path of truth so I am losing faith")</f>
        <v>It is very difficult to follow the path of truth so I am losing faith</v>
      </c>
    </row>
    <row r="1410" spans="1:3" ht="15" x14ac:dyDescent="0.25">
      <c r="A1410" s="3" t="s">
        <v>1407</v>
      </c>
      <c r="B1410" s="3" t="s">
        <v>4</v>
      </c>
      <c r="C1410" s="2" t="str">
        <f ca="1">IFERROR(__xludf.DUMMYFUNCTION("GOOGLETRANSLATE(A1410,""bn"",""en"")"),"How many people have come and gone in life should always be remembered")</f>
        <v>How many people have come and gone in life should always be remembered</v>
      </c>
    </row>
    <row r="1411" spans="1:3" ht="15" x14ac:dyDescent="0.25">
      <c r="A1411" s="3" t="s">
        <v>1408</v>
      </c>
      <c r="B1411" s="3" t="s">
        <v>4</v>
      </c>
      <c r="C1411" s="2" t="str">
        <f ca="1">IFERROR(__xludf.DUMMYFUNCTION("GOOGLETRANSLATE(A1411,""bn"",""en"")"),"Self control I feel like I've gone over budget when shopping")</f>
        <v>Self control I feel like I've gone over budget when shopping</v>
      </c>
    </row>
    <row r="1412" spans="1:3" ht="15" x14ac:dyDescent="0.25">
      <c r="A1412" s="3" t="s">
        <v>1409</v>
      </c>
      <c r="B1412" s="3" t="s">
        <v>4</v>
      </c>
      <c r="C1412" s="2" t="str">
        <f ca="1">IFERROR(__xludf.DUMMYFUNCTION("GOOGLETRANSLATE(A1412,""bn"",""en"")"),"I am very good with my failure and I live with everyone's criticism")</f>
        <v>I am very good with my failure and I live with everyone's criticism</v>
      </c>
    </row>
    <row r="1413" spans="1:3" ht="15" x14ac:dyDescent="0.25">
      <c r="A1413" s="3" t="s">
        <v>1410</v>
      </c>
      <c r="B1413" s="3" t="s">
        <v>4</v>
      </c>
      <c r="C1413" s="2" t="str">
        <f ca="1">IFERROR(__xludf.DUMMYFUNCTION("GOOGLETRANSLATE(A1413,""bn"",""en"")"),"Waking up at night with the pain of being alone, waiting to see the light of dawn")</f>
        <v>Waking up at night with the pain of being alone, waiting to see the light of dawn</v>
      </c>
    </row>
    <row r="1414" spans="1:3" ht="15" x14ac:dyDescent="0.25">
      <c r="A1414" s="3" t="s">
        <v>1411</v>
      </c>
      <c r="B1414" s="3" t="s">
        <v>4</v>
      </c>
      <c r="C1414" s="2" t="str">
        <f ca="1">IFERROR(__xludf.DUMMYFUNCTION("GOOGLETRANSLATE(A1414,""bn"",""en"")"),"I didn't fail I found thousands of things that worked for me")</f>
        <v>I didn't fail I found thousands of things that worked for me</v>
      </c>
    </row>
    <row r="1415" spans="1:3" ht="15" x14ac:dyDescent="0.25">
      <c r="A1415" s="3" t="s">
        <v>1412</v>
      </c>
      <c r="B1415" s="3" t="s">
        <v>4</v>
      </c>
      <c r="C1415" s="2" t="str">
        <f ca="1">IFERROR(__xludf.DUMMYFUNCTION("GOOGLETRANSLATE(A1415,""bn"",""en"")"),"The passion of self-movement evolves into the sadness of memory")</f>
        <v>The passion of self-movement evolves into the sadness of memory</v>
      </c>
    </row>
    <row r="1416" spans="1:3" ht="15" x14ac:dyDescent="0.25">
      <c r="A1416" s="3" t="s">
        <v>1413</v>
      </c>
      <c r="B1416" s="3" t="s">
        <v>4</v>
      </c>
      <c r="C1416" s="2" t="str">
        <f ca="1">IFERROR(__xludf.DUMMYFUNCTION("GOOGLETRANSLATE(A1416,""bn"",""en"")"),"When the time is over, the loved one doesn't give time anymore")</f>
        <v>When the time is over, the loved one doesn't give time anymore</v>
      </c>
    </row>
    <row r="1417" spans="1:3" ht="15" x14ac:dyDescent="0.25">
      <c r="A1417" s="3" t="s">
        <v>1414</v>
      </c>
      <c r="B1417" s="3" t="s">
        <v>4</v>
      </c>
      <c r="C1417" s="2" t="str">
        <f ca="1">IFERROR(__xludf.DUMMYFUNCTION("GOOGLETRANSLATE(A1417,""bn"",""en"")"),"Never be jealous of someone, if you have to be jealous, be jealous of his education")</f>
        <v>Never be jealous of someone, if you have to be jealous, be jealous of his education</v>
      </c>
    </row>
    <row r="1418" spans="1:3" ht="15" x14ac:dyDescent="0.25">
      <c r="A1418" s="3" t="s">
        <v>1415</v>
      </c>
      <c r="B1418" s="3" t="s">
        <v>4</v>
      </c>
      <c r="C1418" s="2" t="str">
        <f ca="1">IFERROR(__xludf.DUMMYFUNCTION("GOOGLETRANSLATE(A1418,""bn"",""en"")"),"Wrestle with illness and win with positivity")</f>
        <v>Wrestle with illness and win with positivity</v>
      </c>
    </row>
    <row r="1419" spans="1:3" ht="15" x14ac:dyDescent="0.25">
      <c r="A1419" s="3" t="s">
        <v>1416</v>
      </c>
      <c r="B1419" s="3" t="s">
        <v>4</v>
      </c>
      <c r="C1419" s="2" t="str">
        <f ca="1">IFERROR(__xludf.DUMMYFUNCTION("GOOGLETRANSLATE(A1419,""bn"",""en"")"),"My sick days are sponsored by tissues and hot soup")</f>
        <v>My sick days are sponsored by tissues and hot soup</v>
      </c>
    </row>
    <row r="1420" spans="1:3" ht="15" x14ac:dyDescent="0.25">
      <c r="A1420" s="3" t="s">
        <v>1417</v>
      </c>
      <c r="B1420" s="3" t="s">
        <v>4</v>
      </c>
      <c r="C1420" s="2" t="str">
        <f ca="1">IFERROR(__xludf.DUMMYFUNCTION("GOOGLETRANSLATE(A1420,""bn"",""en"")"),"The worst kind of pain is when your heart cries and your eyes dry up")</f>
        <v>The worst kind of pain is when your heart cries and your eyes dry up</v>
      </c>
    </row>
    <row r="1421" spans="1:3" ht="15" x14ac:dyDescent="0.25">
      <c r="A1421" s="3" t="s">
        <v>1418</v>
      </c>
      <c r="B1421" s="3" t="s">
        <v>4</v>
      </c>
      <c r="C1421" s="2" t="str">
        <f ca="1">IFERROR(__xludf.DUMMYFUNCTION("GOOGLETRANSLATE(A1421,""bn"",""en"")"),"The marriage took place as per the wishes of the family, along with my dreams, my soul also died")</f>
        <v>The marriage took place as per the wishes of the family, along with my dreams, my soul also died</v>
      </c>
    </row>
    <row r="1422" spans="1:3" ht="15" x14ac:dyDescent="0.25">
      <c r="A1422" s="3" t="s">
        <v>1419</v>
      </c>
      <c r="B1422" s="3" t="s">
        <v>4</v>
      </c>
      <c r="C1422" s="2" t="str">
        <f ca="1">IFERROR(__xludf.DUMMYFUNCTION("GOOGLETRANSLATE(A1422,""bn"",""en"")"),"In the shadow of the horror of war, entertainment must turn into a stream of torture and misery")</f>
        <v>In the shadow of the horror of war, entertainment must turn into a stream of torture and misery</v>
      </c>
    </row>
    <row r="1423" spans="1:3" ht="15" x14ac:dyDescent="0.25">
      <c r="A1423" s="3" t="s">
        <v>1420</v>
      </c>
      <c r="B1423" s="3" t="s">
        <v>4</v>
      </c>
      <c r="C1423" s="2" t="str">
        <f ca="1">IFERROR(__xludf.DUMMYFUNCTION("GOOGLETRANSLATE(A1423,""bn"",""en"")"),"Loneliness is the only friend in the pain of neglect")</f>
        <v>Loneliness is the only friend in the pain of neglect</v>
      </c>
    </row>
    <row r="1424" spans="1:3" ht="15" x14ac:dyDescent="0.25">
      <c r="A1424" s="3" t="s">
        <v>1421</v>
      </c>
      <c r="B1424" s="3" t="s">
        <v>4</v>
      </c>
      <c r="C1424" s="2" t="str">
        <f ca="1">IFERROR(__xludf.DUMMYFUNCTION("GOOGLETRANSLATE(A1424,""bn"",""en"")"),"A serious illness is suspected Once triggered, it ends brutally")</f>
        <v>A serious illness is suspected Once triggered, it ends brutally</v>
      </c>
    </row>
    <row r="1425" spans="1:3" ht="15" x14ac:dyDescent="0.25">
      <c r="A1425" s="3" t="s">
        <v>1422</v>
      </c>
      <c r="B1425" s="3" t="s">
        <v>4</v>
      </c>
      <c r="C1425" s="2" t="str">
        <f ca="1">IFERROR(__xludf.DUMMYFUNCTION("GOOGLETRANSLATE(A1425,""bn"",""en"")"),"Talent assessment is given abroad but not in Bangladesh")</f>
        <v>Talent assessment is given abroad but not in Bangladesh</v>
      </c>
    </row>
    <row r="1426" spans="1:3" ht="15" x14ac:dyDescent="0.25">
      <c r="A1426" s="3" t="s">
        <v>1423</v>
      </c>
      <c r="B1426" s="3" t="s">
        <v>4</v>
      </c>
      <c r="C1426" s="2" t="str">
        <f ca="1">IFERROR(__xludf.DUMMYFUNCTION("GOOGLETRANSLATE(A1426,""bn"",""en"")"),"The biggest thing about a career is the goal that most people don't have")</f>
        <v>The biggest thing about a career is the goal that most people don't have</v>
      </c>
    </row>
    <row r="1427" spans="1:3" ht="15" x14ac:dyDescent="0.25">
      <c r="A1427" s="3" t="s">
        <v>1424</v>
      </c>
      <c r="B1427" s="3" t="s">
        <v>4</v>
      </c>
      <c r="C1427" s="2" t="str">
        <f ca="1">IFERROR(__xludf.DUMMYFUNCTION("GOOGLETRANSLATE(A1427,""bn"",""en"")"),"No one forgets the need ends so no longer keeps in touch")</f>
        <v>No one forgets the need ends so no longer keeps in touch</v>
      </c>
    </row>
    <row r="1428" spans="1:3" ht="15" x14ac:dyDescent="0.25">
      <c r="A1428" s="3" t="s">
        <v>1425</v>
      </c>
      <c r="B1428" s="3" t="s">
        <v>4</v>
      </c>
      <c r="C1428" s="2" t="str">
        <f ca="1">IFERROR(__xludf.DUMMYFUNCTION("GOOGLETRANSLATE(A1428,""bn"",""en"")"),"In the silent silence of the late night, a piece of pain was embedded in my heart")</f>
        <v>In the silent silence of the late night, a piece of pain was embedded in my heart</v>
      </c>
    </row>
    <row r="1429" spans="1:3" ht="15" x14ac:dyDescent="0.25">
      <c r="A1429" s="3" t="s">
        <v>1426</v>
      </c>
      <c r="B1429" s="3" t="s">
        <v>4</v>
      </c>
      <c r="C1429" s="2" t="str">
        <f ca="1">IFERROR(__xludf.DUMMYFUNCTION("GOOGLETRANSLATE(A1429,""bn"",""en"")"),"The pain of neglect is like a fire that burns the soul")</f>
        <v>The pain of neglect is like a fire that burns the soul</v>
      </c>
    </row>
    <row r="1430" spans="1:3" ht="15" x14ac:dyDescent="0.25">
      <c r="A1430" s="3" t="s">
        <v>1427</v>
      </c>
      <c r="B1430" s="3" t="s">
        <v>4</v>
      </c>
      <c r="C1430" s="2" t="str">
        <f ca="1">IFERROR(__xludf.DUMMYFUNCTION("GOOGLETRANSLATE(A1430,""bn"",""en"")"),"The worst feeling in the world is when both love each other and cannot be together")</f>
        <v>The worst feeling in the world is when both love each other and cannot be together</v>
      </c>
    </row>
    <row r="1431" spans="1:3" ht="15" x14ac:dyDescent="0.25">
      <c r="A1431" s="3" t="s">
        <v>1428</v>
      </c>
      <c r="B1431" s="3" t="s">
        <v>4</v>
      </c>
      <c r="C1431" s="2" t="str">
        <f ca="1">IFERROR(__xludf.DUMMYFUNCTION("GOOGLETRANSLATE(A1431,""bn"",""en"")"),"Some people are never lost, they remain forever in the depths of the mind")</f>
        <v>Some people are never lost, they remain forever in the depths of the mind</v>
      </c>
    </row>
    <row r="1432" spans="1:3" ht="15" x14ac:dyDescent="0.25">
      <c r="A1432" s="3" t="s">
        <v>1429</v>
      </c>
      <c r="B1432" s="3" t="s">
        <v>4</v>
      </c>
      <c r="C1432" s="2" t="str">
        <f ca="1">IFERROR(__xludf.DUMMYFUNCTION("GOOGLETRANSLATE(A1432,""bn"",""en"")"),"Lost time only contains the internal garbage of entertainment mistakes")</f>
        <v>Lost time only contains the internal garbage of entertainment mistakes</v>
      </c>
    </row>
    <row r="1433" spans="1:3" ht="15" x14ac:dyDescent="0.25">
      <c r="A1433" s="3" t="s">
        <v>1430</v>
      </c>
      <c r="B1433" s="3" t="s">
        <v>4</v>
      </c>
      <c r="C1433" s="2" t="str">
        <f ca="1">IFERROR(__xludf.DUMMYFUNCTION("GOOGLETRANSLATE(A1433,""bn"",""en"")"),"I can't take time for myself other than my own time, which takes up a lot of time in work life")</f>
        <v>I can't take time for myself other than my own time, which takes up a lot of time in work life</v>
      </c>
    </row>
    <row r="1434" spans="1:3" ht="15" x14ac:dyDescent="0.25">
      <c r="A1434" s="3" t="s">
        <v>1431</v>
      </c>
      <c r="B1434" s="3" t="s">
        <v>4</v>
      </c>
      <c r="C1434" s="2" t="str">
        <f ca="1">IFERROR(__xludf.DUMMYFUNCTION("GOOGLETRANSLATE(A1434,""bn"",""en"")"),"Seeing the reality, many dreams have been broken")</f>
        <v>Seeing the reality, many dreams have been broken</v>
      </c>
    </row>
    <row r="1435" spans="1:3" ht="15" x14ac:dyDescent="0.25">
      <c r="A1435" s="3" t="s">
        <v>1432</v>
      </c>
      <c r="B1435" s="3" t="s">
        <v>4</v>
      </c>
      <c r="C1435" s="2" t="str">
        <f ca="1">IFERROR(__xludf.DUMMYFUNCTION("GOOGLETRANSLATE(A1435,""bn"",""en"")"),"Some people thrive on power while others fight for survival")</f>
        <v>Some people thrive on power while others fight for survival</v>
      </c>
    </row>
    <row r="1436" spans="1:3" ht="15" x14ac:dyDescent="0.25">
      <c r="A1436" s="3" t="s">
        <v>1433</v>
      </c>
      <c r="B1436" s="3" t="s">
        <v>4</v>
      </c>
      <c r="C1436" s="2" t="str">
        <f ca="1">IFERROR(__xludf.DUMMYFUNCTION("GOOGLETRANSLATE(A1436,""bn"",""en"")"),"Being sick is stopping me from shining")</f>
        <v>Being sick is stopping me from shining</v>
      </c>
    </row>
    <row r="1437" spans="1:3" ht="15" x14ac:dyDescent="0.25">
      <c r="A1437" s="3" t="s">
        <v>1434</v>
      </c>
      <c r="B1437" s="3" t="s">
        <v>4</v>
      </c>
      <c r="C1437" s="2" t="str">
        <f ca="1">IFERROR(__xludf.DUMMYFUNCTION("GOOGLETRANSLATE(A1437,""bn"",""en"")"),"Tired of doing the same thing every day now should start something new")</f>
        <v>Tired of doing the same thing every day now should start something new</v>
      </c>
    </row>
    <row r="1438" spans="1:3" ht="15" x14ac:dyDescent="0.25">
      <c r="A1438" s="3" t="s">
        <v>1435</v>
      </c>
      <c r="B1438" s="3" t="s">
        <v>4</v>
      </c>
      <c r="C1438" s="2" t="str">
        <f ca="1">IFERROR(__xludf.DUMMYFUNCTION("GOOGLETRANSLATE(A1438,""bn"",""en"")"),"Entertainment may search for something in the deepest recesses of the mind but never find that search")</f>
        <v>Entertainment may search for something in the deepest recesses of the mind but never find that search</v>
      </c>
    </row>
    <row r="1439" spans="1:3" ht="15" x14ac:dyDescent="0.25">
      <c r="A1439" s="3" t="s">
        <v>1436</v>
      </c>
      <c r="B1439" s="3" t="s">
        <v>4</v>
      </c>
      <c r="C1439" s="2" t="str">
        <f ca="1">IFERROR(__xludf.DUMMYFUNCTION("GOOGLETRANSLATE(A1439,""bn"",""en"")"),"In a word, this movie teaches to value friendship")</f>
        <v>In a word, this movie teaches to value friendship</v>
      </c>
    </row>
    <row r="1440" spans="1:3" ht="15" x14ac:dyDescent="0.25">
      <c r="A1440" s="3" t="s">
        <v>1437</v>
      </c>
      <c r="B1440" s="3" t="s">
        <v>4</v>
      </c>
      <c r="C1440" s="2" t="str">
        <f ca="1">IFERROR(__xludf.DUMMYFUNCTION("GOOGLETRANSLATE(A1440,""bn"",""en"")"),"Tears don't have any color so if the cause of sadness is different, the same tears fall from the eyes")</f>
        <v>Tears don't have any color so if the cause of sadness is different, the same tears fall from the eyes</v>
      </c>
    </row>
    <row r="1441" spans="1:3" ht="15" x14ac:dyDescent="0.25">
      <c r="A1441" s="3" t="s">
        <v>1438</v>
      </c>
      <c r="B1441" s="3" t="s">
        <v>4</v>
      </c>
      <c r="C1441" s="2" t="str">
        <f ca="1">IFERROR(__xludf.DUMMYFUNCTION("GOOGLETRANSLATE(A1441,""bn"",""en"")"),"The love that lasts the longest in your heart is the one that never returns")</f>
        <v>The love that lasts the longest in your heart is the one that never returns</v>
      </c>
    </row>
    <row r="1442" spans="1:3" ht="15" x14ac:dyDescent="0.25">
      <c r="A1442" s="3" t="s">
        <v>1439</v>
      </c>
      <c r="B1442" s="3" t="s">
        <v>4</v>
      </c>
      <c r="C1442" s="2" t="str">
        <f ca="1">IFERROR(__xludf.DUMMYFUNCTION("GOOGLETRANSLATE(A1442,""bn"",""en"")"),"I want a house in Chilekotha where there is no sorrow, you and I are our little family")</f>
        <v>I want a house in Chilekotha where there is no sorrow, you and I are our little family</v>
      </c>
    </row>
    <row r="1443" spans="1:3" ht="15" x14ac:dyDescent="0.25">
      <c r="A1443" s="3" t="s">
        <v>1440</v>
      </c>
      <c r="B1443" s="3" t="s">
        <v>4</v>
      </c>
      <c r="C1443" s="2" t="str">
        <f ca="1">IFERROR(__xludf.DUMMYFUNCTION("GOOGLETRANSLATE(A1443,""bn"",""en"")"),"Human love is only lost in infinite sorrow in war")</f>
        <v>Human love is only lost in infinite sorrow in war</v>
      </c>
    </row>
    <row r="1444" spans="1:3" ht="15" x14ac:dyDescent="0.25">
      <c r="A1444" s="3" t="s">
        <v>1441</v>
      </c>
      <c r="B1444" s="3" t="s">
        <v>4</v>
      </c>
      <c r="C1444" s="2" t="str">
        <f ca="1">IFERROR(__xludf.DUMMYFUNCTION("GOOGLETRANSLATE(A1444,""bn"",""en"")"),"The burden of suffering must be carried on the path of life")</f>
        <v>The burden of suffering must be carried on the path of life</v>
      </c>
    </row>
    <row r="1445" spans="1:3" ht="15" x14ac:dyDescent="0.25">
      <c r="A1445" s="3" t="s">
        <v>1442</v>
      </c>
      <c r="B1445" s="3" t="s">
        <v>4</v>
      </c>
      <c r="C1445" s="2" t="str">
        <f ca="1">IFERROR(__xludf.DUMMYFUNCTION("GOOGLETRANSLATE(A1445,""bn"",""en"")"),"A veiled evergreen wall of imperial speech lies between our walls")</f>
        <v>A veiled evergreen wall of imperial speech lies between our walls</v>
      </c>
    </row>
    <row r="1446" spans="1:3" ht="15" x14ac:dyDescent="0.25">
      <c r="A1446" s="3" t="s">
        <v>1443</v>
      </c>
      <c r="B1446" s="3" t="s">
        <v>4</v>
      </c>
      <c r="C1446" s="2" t="str">
        <f ca="1">IFERROR(__xludf.DUMMYFUNCTION("GOOGLETRANSLATE(A1446,""bn"",""en"")"),"My hopes and dreams are lost in the path of truth")</f>
        <v>My hopes and dreams are lost in the path of truth</v>
      </c>
    </row>
    <row r="1447" spans="1:3" ht="15" x14ac:dyDescent="0.25">
      <c r="A1447" s="3" t="s">
        <v>1444</v>
      </c>
      <c r="B1447" s="3" t="s">
        <v>4</v>
      </c>
      <c r="C1447" s="2" t="str">
        <f ca="1">IFERROR(__xludf.DUMMYFUNCTION("GOOGLETRANSLATE(A1447,""bn"",""en"")"),"My soul is a broken vessel tossed around by waves of sorrow")</f>
        <v>My soul is a broken vessel tossed around by waves of sorrow</v>
      </c>
    </row>
    <row r="1448" spans="1:3" ht="15" x14ac:dyDescent="0.25">
      <c r="A1448" s="3" t="s">
        <v>1445</v>
      </c>
      <c r="B1448" s="3" t="s">
        <v>4</v>
      </c>
      <c r="C1448" s="2" t="str">
        <f ca="1">IFERROR(__xludf.DUMMYFUNCTION("GOOGLETRANSLATE(A1448,""bn"",""en"")"),"The poor eat food and the rich make toys with it")</f>
        <v>The poor eat food and the rich make toys with it</v>
      </c>
    </row>
    <row r="1449" spans="1:3" ht="15" x14ac:dyDescent="0.25">
      <c r="A1449" s="3" t="s">
        <v>1446</v>
      </c>
      <c r="B1449" s="3" t="s">
        <v>4</v>
      </c>
      <c r="C1449" s="2" t="str">
        <f ca="1">IFERROR(__xludf.DUMMYFUNCTION("GOOGLETRANSLATE(A1449,""bn"",""en"")"),"Time runs out before something can be said, sleep is woken up before something can be dreamed")</f>
        <v>Time runs out before something can be said, sleep is woken up before something can be dreamed</v>
      </c>
    </row>
    <row r="1450" spans="1:3" ht="15" x14ac:dyDescent="0.25">
      <c r="A1450" s="3" t="s">
        <v>1447</v>
      </c>
      <c r="B1450" s="3" t="s">
        <v>4</v>
      </c>
      <c r="C1450" s="2" t="str">
        <f ca="1">IFERROR(__xludf.DUMMYFUNCTION("GOOGLETRANSLATE(A1450,""bn"",""en"")"),"In the aftermath of war, only grief and the darkness of existence rush in")</f>
        <v>In the aftermath of war, only grief and the darkness of existence rush in</v>
      </c>
    </row>
    <row r="1451" spans="1:3" ht="15" x14ac:dyDescent="0.25">
      <c r="A1451" s="3" t="s">
        <v>1448</v>
      </c>
      <c r="B1451" s="3" t="s">
        <v>4</v>
      </c>
      <c r="C1451" s="2" t="str">
        <f ca="1">IFERROR(__xludf.DUMMYFUNCTION("GOOGLETRANSLATE(A1451,""bn"",""en"")"),"This time I am away from my family to study")</f>
        <v>This time I am away from my family to study</v>
      </c>
    </row>
    <row r="1452" spans="1:3" ht="15" x14ac:dyDescent="0.25">
      <c r="A1452" s="3" t="s">
        <v>1449</v>
      </c>
      <c r="B1452" s="3" t="s">
        <v>4</v>
      </c>
      <c r="C1452" s="2" t="str">
        <f ca="1">IFERROR(__xludf.DUMMYFUNCTION("GOOGLETRANSLATE(A1452,""bn"",""en"")"),"I have realized the lack of mother in every walk of life")</f>
        <v>I have realized the lack of mother in every walk of life</v>
      </c>
    </row>
    <row r="1453" spans="1:3" ht="15" x14ac:dyDescent="0.25">
      <c r="A1453" s="3" t="s">
        <v>1450</v>
      </c>
      <c r="B1453" s="3" t="s">
        <v>4</v>
      </c>
      <c r="C1453" s="2" t="str">
        <f ca="1">IFERROR(__xludf.DUMMYFUNCTION("GOOGLETRANSLATE(A1453,""bn"",""en"")"),"If one finds love he can live even without happiness")</f>
        <v>If one finds love he can live even without happiness</v>
      </c>
    </row>
    <row r="1454" spans="1:3" ht="15" x14ac:dyDescent="0.25">
      <c r="A1454" s="3" t="s">
        <v>1451</v>
      </c>
      <c r="B1454" s="3" t="s">
        <v>4</v>
      </c>
      <c r="C1454" s="2" t="str">
        <f ca="1">IFERROR(__xludf.DUMMYFUNCTION("GOOGLETRANSLATE(A1454,""bn"",""en"")"),"Sometimes it's better to be alone. Nobody cares if you're alone")</f>
        <v>Sometimes it's better to be alone. Nobody cares if you're alone</v>
      </c>
    </row>
    <row r="1455" spans="1:3" ht="15" x14ac:dyDescent="0.25">
      <c r="A1455" s="3" t="s">
        <v>1452</v>
      </c>
      <c r="B1455" s="3" t="s">
        <v>4</v>
      </c>
      <c r="C1455" s="2" t="str">
        <f ca="1">IFERROR(__xludf.DUMMYFUNCTION("GOOGLETRANSLATE(A1455,""bn"",""en"")"),"Humans are born to enjoy the happiness of success and not to sink into the trap of failure")</f>
        <v>Humans are born to enjoy the happiness of success and not to sink into the trap of failure</v>
      </c>
    </row>
    <row r="1456" spans="1:3" ht="15" x14ac:dyDescent="0.25">
      <c r="A1456" s="3" t="s">
        <v>1453</v>
      </c>
      <c r="B1456" s="3" t="s">
        <v>4</v>
      </c>
      <c r="C1456" s="2" t="str">
        <f ca="1">IFERROR(__xludf.DUMMYFUNCTION("GOOGLETRANSLATE(A1456,""bn"",""en"")"),"Faith is the thread that can hold any relationship together")</f>
        <v>Faith is the thread that can hold any relationship together</v>
      </c>
    </row>
    <row r="1457" spans="1:3" ht="15" x14ac:dyDescent="0.25">
      <c r="A1457" s="3" t="s">
        <v>1454</v>
      </c>
      <c r="B1457" s="3" t="s">
        <v>4</v>
      </c>
      <c r="C1457" s="2" t="str">
        <f ca="1">IFERROR(__xludf.DUMMYFUNCTION("GOOGLETRANSLATE(A1457,""bn"",""en"")"),"In the middle of entertainment, there is a colorful darkness in the song of laughter")</f>
        <v>In the middle of entertainment, there is a colorful darkness in the song of laughter</v>
      </c>
    </row>
    <row r="1458" spans="1:3" ht="15" x14ac:dyDescent="0.25">
      <c r="A1458" s="3" t="s">
        <v>1455</v>
      </c>
      <c r="B1458" s="3" t="s">
        <v>4</v>
      </c>
      <c r="C1458" s="2" t="str">
        <f ca="1">IFERROR(__xludf.DUMMYFUNCTION("GOOGLETRANSLATE(A1458,""bn"",""en"")"),"Much of your pain is the bitter medicine with which the physician within you heals your sick self")</f>
        <v>Much of your pain is the bitter medicine with which the physician within you heals your sick self</v>
      </c>
    </row>
    <row r="1459" spans="1:3" ht="15" x14ac:dyDescent="0.25">
      <c r="A1459" s="3" t="s">
        <v>1456</v>
      </c>
      <c r="B1459" s="3" t="s">
        <v>4</v>
      </c>
      <c r="C1459" s="2" t="str">
        <f ca="1">IFERROR(__xludf.DUMMYFUNCTION("GOOGLETRANSLATE(A1459,""bn"",""en"")"),"The greater the capacity to love, the greater the capacity to feel pain")</f>
        <v>The greater the capacity to love, the greater the capacity to feel pain</v>
      </c>
    </row>
    <row r="1460" spans="1:3" ht="15" x14ac:dyDescent="0.25">
      <c r="A1460" s="3" t="s">
        <v>1457</v>
      </c>
      <c r="B1460" s="3" t="s">
        <v>4</v>
      </c>
      <c r="C1460" s="2" t="str">
        <f ca="1">IFERROR(__xludf.DUMMYFUNCTION("GOOGLETRANSLATE(A1460,""bn"",""en"")"),"Overwhelmed with studies and work")</f>
        <v>Overwhelmed with studies and work</v>
      </c>
    </row>
    <row r="1461" spans="1:3" ht="15" x14ac:dyDescent="0.25">
      <c r="A1461" s="3" t="s">
        <v>1458</v>
      </c>
      <c r="B1461" s="3" t="s">
        <v>4</v>
      </c>
      <c r="C1461" s="2" t="str">
        <f ca="1">IFERROR(__xludf.DUMMYFUNCTION("GOOGLETRANSLATE(A1461,""bn"",""en"")"),"Thanks to the creators of the very high quality wonderful film")</f>
        <v>Thanks to the creators of the very high quality wonderful film</v>
      </c>
    </row>
    <row r="1462" spans="1:3" ht="15" x14ac:dyDescent="0.25">
      <c r="A1462" s="3" t="s">
        <v>1459</v>
      </c>
      <c r="B1462" s="3" t="s">
        <v>4</v>
      </c>
      <c r="C1462" s="2" t="str">
        <f ca="1">IFERROR(__xludf.DUMMYFUNCTION("GOOGLETRANSLATE(A1462,""bn"",""en"")"),"The tragedy of drama is beyond my control")</f>
        <v>The tragedy of drama is beyond my control</v>
      </c>
    </row>
    <row r="1463" spans="1:3" ht="15" x14ac:dyDescent="0.25">
      <c r="A1463" s="3" t="s">
        <v>1460</v>
      </c>
      <c r="B1463" s="3" t="s">
        <v>4</v>
      </c>
      <c r="C1463" s="2" t="str">
        <f ca="1">IFERROR(__xludf.DUMMYFUNCTION("GOOGLETRANSLATE(A1463,""bn"",""en"")"),"The problem of urban life is that there are people around but it's as if nobody is there")</f>
        <v>The problem of urban life is that there are people around but it's as if nobody is there</v>
      </c>
    </row>
    <row r="1464" spans="1:3" ht="15" x14ac:dyDescent="0.25">
      <c r="A1464" s="3" t="s">
        <v>1461</v>
      </c>
      <c r="B1464" s="3" t="s">
        <v>4</v>
      </c>
      <c r="C1464" s="2" t="str">
        <f ca="1">IFERROR(__xludf.DUMMYFUNCTION("GOOGLETRANSLATE(A1464,""bn"",""en"")"),"Bengali culture floats with family due to lack of love")</f>
        <v>Bengali culture floats with family due to lack of love</v>
      </c>
    </row>
    <row r="1465" spans="1:3" ht="15" x14ac:dyDescent="0.25">
      <c r="A1465" s="3" t="s">
        <v>1462</v>
      </c>
      <c r="B1465" s="3" t="s">
        <v>4</v>
      </c>
      <c r="C1465" s="2" t="str">
        <f ca="1">IFERROR(__xludf.DUMMYFUNCTION("GOOGLETRANSLATE(A1465,""bn"",""en"")"),"If you don't sleep well, you feel tired all day")</f>
        <v>If you don't sleep well, you feel tired all day</v>
      </c>
    </row>
    <row r="1466" spans="1:3" ht="15" x14ac:dyDescent="0.25">
      <c r="A1466" s="3" t="s">
        <v>1463</v>
      </c>
      <c r="B1466" s="3" t="s">
        <v>4</v>
      </c>
      <c r="C1466" s="2" t="str">
        <f ca="1">IFERROR(__xludf.DUMMYFUNCTION("GOOGLETRANSLATE(A1466,""bn"",""en"")"),"Every Twitter statement is a blow to a youthful dream")</f>
        <v>Every Twitter statement is a blow to a youthful dream</v>
      </c>
    </row>
    <row r="1467" spans="1:3" ht="15" x14ac:dyDescent="0.25">
      <c r="A1467" s="3" t="s">
        <v>1464</v>
      </c>
      <c r="B1467" s="3" t="s">
        <v>4</v>
      </c>
      <c r="C1467" s="2" t="str">
        <f ca="1">IFERROR(__xludf.DUMMYFUNCTION("GOOGLETRANSLATE(A1467,""bn"",""en"")"),"Feeling disappointed when friends travel abroad")</f>
        <v>Feeling disappointed when friends travel abroad</v>
      </c>
    </row>
    <row r="1468" spans="1:3" ht="15" x14ac:dyDescent="0.25">
      <c r="A1468" s="3" t="s">
        <v>1465</v>
      </c>
      <c r="B1468" s="3" t="s">
        <v>4</v>
      </c>
      <c r="C1468" s="2" t="str">
        <f ca="1">IFERROR(__xludf.DUMMYFUNCTION("GOOGLETRANSLATE(A1468,""bn"",""en"")"),"No one can shed tears without pain, no dream without love")</f>
        <v>No one can shed tears without pain, no dream without love</v>
      </c>
    </row>
    <row r="1469" spans="1:3" ht="15" x14ac:dyDescent="0.25">
      <c r="A1469" s="3" t="s">
        <v>1466</v>
      </c>
      <c r="B1469" s="3" t="s">
        <v>4</v>
      </c>
      <c r="C1469" s="2" t="str">
        <f ca="1">IFERROR(__xludf.DUMMYFUNCTION("GOOGLETRANSLATE(A1469,""bn"",""en"")"),"Life is like a flower and love of life is like honey")</f>
        <v>Life is like a flower and love of life is like honey</v>
      </c>
    </row>
    <row r="1470" spans="1:3" ht="15" x14ac:dyDescent="0.25">
      <c r="A1470" s="3" t="s">
        <v>1467</v>
      </c>
      <c r="B1470" s="3" t="s">
        <v>4</v>
      </c>
      <c r="C1470" s="2" t="str">
        <f ca="1">IFERROR(__xludf.DUMMYFUNCTION("GOOGLETRANSLATE(A1470,""bn"",""en"")"),"I am lost in the path of truth because my relationship with truth is breaking")</f>
        <v>I am lost in the path of truth because my relationship with truth is breaking</v>
      </c>
    </row>
    <row r="1471" spans="1:3" ht="15" x14ac:dyDescent="0.25">
      <c r="A1471" s="3" t="s">
        <v>1468</v>
      </c>
      <c r="B1471" s="3" t="s">
        <v>4</v>
      </c>
      <c r="C1471" s="2" t="str">
        <f ca="1">IFERROR(__xludf.DUMMYFUNCTION("GOOGLETRANSLATE(A1471,""bn"",""en"")"),"Feeling depressed after losing the path of truth")</f>
        <v>Feeling depressed after losing the path of truth</v>
      </c>
    </row>
    <row r="1472" spans="1:3" ht="15" x14ac:dyDescent="0.25">
      <c r="A1472" s="3" t="s">
        <v>1469</v>
      </c>
      <c r="B1472" s="3" t="s">
        <v>4</v>
      </c>
      <c r="C1472" s="2" t="str">
        <f ca="1">IFERROR(__xludf.DUMMYFUNCTION("GOOGLETRANSLATE(A1472,""bn"",""en"")"),"The speed of love increases in the sorrow of separation")</f>
        <v>The speed of love increases in the sorrow of separation</v>
      </c>
    </row>
    <row r="1473" spans="1:3" ht="15" x14ac:dyDescent="0.25">
      <c r="A1473" s="3" t="s">
        <v>1470</v>
      </c>
      <c r="B1473" s="3" t="s">
        <v>4</v>
      </c>
      <c r="C1473" s="2" t="str">
        <f ca="1">IFERROR(__xludf.DUMMYFUNCTION("GOOGLETRANSLATE(A1473,""bn"",""en"")"),"There are some silent pains in our life which can never be shown to anyone even if we want to")</f>
        <v>There are some silent pains in our life which can never be shown to anyone even if we want to</v>
      </c>
    </row>
    <row r="1474" spans="1:3" ht="15" x14ac:dyDescent="0.25">
      <c r="A1474" s="3" t="s">
        <v>1471</v>
      </c>
      <c r="B1474" s="3" t="s">
        <v>4</v>
      </c>
      <c r="C1474" s="2" t="str">
        <f ca="1">IFERROR(__xludf.DUMMYFUNCTION("GOOGLETRANSLATE(A1474,""bn"",""en"")"),"I want to tell you that there is no one else dear except you, I love only you, I want to love you")</f>
        <v>I want to tell you that there is no one else dear except you, I love only you, I want to love you</v>
      </c>
    </row>
    <row r="1475" spans="1:3" ht="15" x14ac:dyDescent="0.25">
      <c r="A1475" s="3" t="s">
        <v>1472</v>
      </c>
      <c r="B1475" s="3" t="s">
        <v>4</v>
      </c>
      <c r="C1475" s="2" t="str">
        <f ca="1">IFERROR(__xludf.DUMMYFUNCTION("GOOGLETRANSLATE(A1475,""bn"",""en"")"),"In many moments of life we ​​are lost to the truth but it is only in our own knowledge")</f>
        <v>In many moments of life we ​​are lost to the truth but it is only in our own knowledge</v>
      </c>
    </row>
    <row r="1476" spans="1:3" ht="15" x14ac:dyDescent="0.25">
      <c r="A1476" s="3" t="s">
        <v>1473</v>
      </c>
      <c r="B1476" s="3" t="s">
        <v>4</v>
      </c>
      <c r="C1476" s="2" t="str">
        <f ca="1">IFERROR(__xludf.DUMMYFUNCTION("GOOGLETRANSLATE(A1476,""bn"",""en"")"),"The blue impotence of desire dripped like blood from cut fingers")</f>
        <v>The blue impotence of desire dripped like blood from cut fingers</v>
      </c>
    </row>
    <row r="1477" spans="1:3" ht="15" x14ac:dyDescent="0.25">
      <c r="A1477" s="3" t="s">
        <v>1474</v>
      </c>
      <c r="B1477" s="3" t="s">
        <v>4</v>
      </c>
      <c r="C1477" s="2" t="str">
        <f ca="1">IFERROR(__xludf.DUMMYFUNCTION("GOOGLETRANSLATE(A1477,""bn"",""en"")"),"The burden of failure is on the boys' shoulders, yet they cannot give up")</f>
        <v>The burden of failure is on the boys' shoulders, yet they cannot give up</v>
      </c>
    </row>
    <row r="1478" spans="1:3" ht="15" x14ac:dyDescent="0.25">
      <c r="A1478" s="3" t="s">
        <v>1475</v>
      </c>
      <c r="B1478" s="3" t="s">
        <v>4</v>
      </c>
      <c r="C1478" s="2" t="str">
        <f ca="1">IFERROR(__xludf.DUMMYFUNCTION("GOOGLETRANSLATE(A1478,""bn"",""en"")"),"No matter how hard we try, we cannot destroy the feelings of the mind")</f>
        <v>No matter how hard we try, we cannot destroy the feelings of the mind</v>
      </c>
    </row>
    <row r="1479" spans="1:3" ht="15" x14ac:dyDescent="0.25">
      <c r="A1479" s="3" t="s">
        <v>1476</v>
      </c>
      <c r="B1479" s="3" t="s">
        <v>4</v>
      </c>
      <c r="C1479" s="2" t="str">
        <f ca="1">IFERROR(__xludf.DUMMYFUNCTION("GOOGLETRANSLATE(A1479,""bn"",""en"")"),"The culture of Bengal is under threat today")</f>
        <v>The culture of Bengal is under threat today</v>
      </c>
    </row>
    <row r="1480" spans="1:3" ht="15" x14ac:dyDescent="0.25">
      <c r="A1480" s="3" t="s">
        <v>1477</v>
      </c>
      <c r="B1480" s="3" t="s">
        <v>4</v>
      </c>
      <c r="C1480" s="2" t="str">
        <f ca="1">IFERROR(__xludf.DUMMYFUNCTION("GOOGLETRANSLATE(A1480,""bn"",""en"")"),"Starving is so deadly it makes people want to kick you")</f>
        <v>Starving is so deadly it makes people want to kick you</v>
      </c>
    </row>
    <row r="1481" spans="1:3" ht="15" x14ac:dyDescent="0.25">
      <c r="A1481" s="3" t="s">
        <v>1478</v>
      </c>
      <c r="B1481" s="3" t="s">
        <v>4</v>
      </c>
      <c r="C1481" s="2" t="str">
        <f ca="1">IFERROR(__xludf.DUMMYFUNCTION("GOOGLETRANSLATE(A1481,""bn"",""en"")"),"The actions of politicians are absolutely ridiculous")</f>
        <v>The actions of politicians are absolutely ridiculous</v>
      </c>
    </row>
    <row r="1482" spans="1:3" ht="15" x14ac:dyDescent="0.25">
      <c r="A1482" s="3" t="s">
        <v>1479</v>
      </c>
      <c r="B1482" s="3" t="s">
        <v>4</v>
      </c>
      <c r="C1482" s="2" t="str">
        <f ca="1">IFERROR(__xludf.DUMMYFUNCTION("GOOGLETRANSLATE(A1482,""bn"",""en"")"),"People's minds are covered in darkness due to the severity of war")</f>
        <v>People's minds are covered in darkness due to the severity of war</v>
      </c>
    </row>
    <row r="1483" spans="1:3" ht="15" x14ac:dyDescent="0.25">
      <c r="A1483" s="3" t="s">
        <v>1480</v>
      </c>
      <c r="B1483" s="3" t="s">
        <v>4</v>
      </c>
      <c r="C1483" s="2" t="str">
        <f ca="1">IFERROR(__xludf.DUMMYFUNCTION("GOOGLETRANSLATE(A1483,""bn"",""en"")"),"He who falls for love shines like a star in the sky to God")</f>
        <v>He who falls for love shines like a star in the sky to God</v>
      </c>
    </row>
    <row r="1484" spans="1:3" ht="15" x14ac:dyDescent="0.25">
      <c r="A1484" s="3" t="s">
        <v>1481</v>
      </c>
      <c r="B1484" s="3" t="s">
        <v>4</v>
      </c>
      <c r="C1484" s="2" t="str">
        <f ca="1">IFERROR(__xludf.DUMMYFUNCTION("GOOGLETRANSLATE(A1484,""bn"",""en"")"),"My heart is crying because of the pain of being alone, and no one has any language for me")</f>
        <v>My heart is crying because of the pain of being alone, and no one has any language for me</v>
      </c>
    </row>
    <row r="1485" spans="1:3" ht="15" x14ac:dyDescent="0.25">
      <c r="A1485" s="3" t="s">
        <v>1482</v>
      </c>
      <c r="B1485" s="3" t="s">
        <v>4</v>
      </c>
      <c r="C1485" s="2" t="str">
        <f ca="1">IFERROR(__xludf.DUMMYFUNCTION("GOOGLETRANSLATE(A1485,""bn"",""en"")"),"When it goes beyond human endurance, then that pain no longer seems deep, but then it is an experience")</f>
        <v>When it goes beyond human endurance, then that pain no longer seems deep, but then it is an experience</v>
      </c>
    </row>
    <row r="1486" spans="1:3" ht="15" x14ac:dyDescent="0.25">
      <c r="A1486" s="3" t="s">
        <v>1483</v>
      </c>
      <c r="B1486" s="3" t="s">
        <v>4</v>
      </c>
      <c r="C1486" s="2" t="str">
        <f ca="1">IFERROR(__xludf.DUMMYFUNCTION("GOOGLETRANSLATE(A1486,""bn"",""en"")"),"The people of the country are worried about the ability of the country's leaders")</f>
        <v>The people of the country are worried about the ability of the country's leaders</v>
      </c>
    </row>
    <row r="1487" spans="1:3" ht="15" x14ac:dyDescent="0.25">
      <c r="A1487" s="3" t="s">
        <v>1484</v>
      </c>
      <c r="B1487" s="3" t="s">
        <v>4</v>
      </c>
      <c r="C1487" s="2" t="str">
        <f ca="1">IFERROR(__xludf.DUMMYFUNCTION("GOOGLETRANSLATE(A1487,""bn"",""en"")"),"I have a sore throat from the cold and it is not getting any better")</f>
        <v>I have a sore throat from the cold and it is not getting any better</v>
      </c>
    </row>
    <row r="1488" spans="1:3" ht="15" x14ac:dyDescent="0.25">
      <c r="A1488" s="3" t="s">
        <v>1485</v>
      </c>
      <c r="B1488" s="3" t="s">
        <v>4</v>
      </c>
      <c r="C1488" s="2" t="str">
        <f ca="1">IFERROR(__xludf.DUMMYFUNCTION("GOOGLETRANSLATE(A1488,""bn"",""en"")"),"A relationship is a sport where both can play and win")</f>
        <v>A relationship is a sport where both can play and win</v>
      </c>
    </row>
    <row r="1489" spans="1:3" ht="15" x14ac:dyDescent="0.25">
      <c r="A1489" s="3" t="s">
        <v>1486</v>
      </c>
      <c r="B1489" s="3" t="s">
        <v>4</v>
      </c>
      <c r="C1489" s="2" t="str">
        <f ca="1">IFERROR(__xludf.DUMMYFUNCTION("GOOGLETRANSLATE(A1489,""bn"",""en"")"),"My dream boat has sunk in the sea of ​​sorrow due to work pressure")</f>
        <v>My dream boat has sunk in the sea of ​​sorrow due to work pressure</v>
      </c>
    </row>
    <row r="1490" spans="1:3" ht="15" x14ac:dyDescent="0.25">
      <c r="A1490" s="3" t="s">
        <v>1487</v>
      </c>
      <c r="B1490" s="3" t="s">
        <v>4</v>
      </c>
      <c r="C1490" s="2" t="str">
        <f ca="1">IFERROR(__xludf.DUMMYFUNCTION("GOOGLETRANSLATE(A1490,""bn"",""en"")"),"You do not have the ability to understand the pain that lies deep in the heart")</f>
        <v>You do not have the ability to understand the pain that lies deep in the heart</v>
      </c>
    </row>
    <row r="1491" spans="1:3" ht="15" x14ac:dyDescent="0.25">
      <c r="A1491" s="3" t="s">
        <v>1488</v>
      </c>
      <c r="B1491" s="3" t="s">
        <v>4</v>
      </c>
      <c r="C1491" s="2" t="str">
        <f ca="1">IFERROR(__xludf.DUMMYFUNCTION("GOOGLETRANSLATE(A1491,""bn"",""en"")"),"Everything is getting boring")</f>
        <v>Everything is getting boring</v>
      </c>
    </row>
    <row r="1492" spans="1:3" ht="15" x14ac:dyDescent="0.25">
      <c r="A1492" s="3" t="s">
        <v>1489</v>
      </c>
      <c r="B1492" s="3" t="s">
        <v>4</v>
      </c>
      <c r="C1492" s="2" t="str">
        <f ca="1">IFERROR(__xludf.DUMMYFUNCTION("GOOGLETRANSLATE(A1492,""bn"",""en"")"),"Depression creates a living idol that has no will to live")</f>
        <v>Depression creates a living idol that has no will to live</v>
      </c>
    </row>
    <row r="1493" spans="1:3" ht="15" x14ac:dyDescent="0.25">
      <c r="A1493" s="3" t="s">
        <v>1490</v>
      </c>
      <c r="B1493" s="3" t="s">
        <v>4</v>
      </c>
      <c r="C1493" s="2" t="str">
        <f ca="1">IFERROR(__xludf.DUMMYFUNCTION("GOOGLETRANSLATE(A1493,""bn"",""en"")"),"The night is as deep as my wounds")</f>
        <v>The night is as deep as my wounds</v>
      </c>
    </row>
    <row r="1494" spans="1:3" ht="15" x14ac:dyDescent="0.25">
      <c r="A1494" s="3" t="s">
        <v>1491</v>
      </c>
      <c r="B1494" s="3" t="s">
        <v>4</v>
      </c>
      <c r="C1494" s="2" t="str">
        <f ca="1">IFERROR(__xludf.DUMMYFUNCTION("GOOGLETRANSLATE(A1494,""bn"",""en"")"),"In the silence of the late night, the mind is swept away by a strong storm of memories")</f>
        <v>In the silence of the late night, the mind is swept away by a strong storm of memories</v>
      </c>
    </row>
    <row r="1495" spans="1:3" ht="15" x14ac:dyDescent="0.25">
      <c r="A1495" s="3" t="s">
        <v>1492</v>
      </c>
      <c r="B1495" s="3" t="s">
        <v>4</v>
      </c>
      <c r="C1495" s="2" t="str">
        <f ca="1">IFERROR(__xludf.DUMMYFUNCTION("GOOGLETRANSLATE(A1495,""bn"",""en"")"),"Both loved ones and loved things do not last long and may change or be lost")</f>
        <v>Both loved ones and loved things do not last long and may change or be lost</v>
      </c>
    </row>
    <row r="1496" spans="1:3" ht="15" x14ac:dyDescent="0.25">
      <c r="A1496" s="3" t="s">
        <v>1493</v>
      </c>
      <c r="B1496" s="3" t="s">
        <v>4</v>
      </c>
      <c r="C1496" s="2" t="str">
        <f ca="1">IFERROR(__xludf.DUMMYFUNCTION("GOOGLETRANSLATE(A1496,""bn"",""en"")"),"Seeing the sorrow of loved ones, the boys' hearts are broken, but they have to be comforted")</f>
        <v>Seeing the sorrow of loved ones, the boys' hearts are broken, but they have to be comforted</v>
      </c>
    </row>
    <row r="1497" spans="1:3" ht="15" x14ac:dyDescent="0.25">
      <c r="A1497" s="3" t="s">
        <v>1494</v>
      </c>
      <c r="B1497" s="3" t="s">
        <v>4</v>
      </c>
      <c r="C1497" s="2" t="str">
        <f ca="1">IFERROR(__xludf.DUMMYFUNCTION("GOOGLETRANSLATE(A1497,""bn"",""en"")"),"Loneliness allows people to reinvent themselves")</f>
        <v>Loneliness allows people to reinvent themselves</v>
      </c>
    </row>
    <row r="1498" spans="1:3" ht="15" x14ac:dyDescent="0.25">
      <c r="A1498" s="3" t="s">
        <v>1495</v>
      </c>
      <c r="B1498" s="3" t="s">
        <v>4</v>
      </c>
      <c r="C1498" s="2" t="str">
        <f ca="1">IFERROR(__xludf.DUMMYFUNCTION("GOOGLETRANSLATE(A1498,""bn"",""en"")"),"We all love our parents very much but we don't express it to our parents")</f>
        <v>We all love our parents very much but we don't express it to our parents</v>
      </c>
    </row>
    <row r="1499" spans="1:3" ht="15" x14ac:dyDescent="0.25">
      <c r="A1499" s="3" t="s">
        <v>1496</v>
      </c>
      <c r="B1499" s="3" t="s">
        <v>4</v>
      </c>
      <c r="C1499" s="2" t="str">
        <f ca="1">IFERROR(__xludf.DUMMYFUNCTION("GOOGLETRANSLATE(A1499,""bn"",""en"")"),"Grief is one of the world's wonderful puzzles")</f>
        <v>Grief is one of the world's wonderful puzzles</v>
      </c>
    </row>
    <row r="1500" spans="1:3" ht="15" x14ac:dyDescent="0.25">
      <c r="A1500" s="3" t="s">
        <v>1497</v>
      </c>
      <c r="B1500" s="3" t="s">
        <v>4</v>
      </c>
      <c r="C1500" s="2" t="str">
        <f ca="1">IFERROR(__xludf.DUMMYFUNCTION("GOOGLETRANSLATE(A1500,""bn"",""en"")"),"I've been using it the most since sick days")</f>
        <v>I've been using it the most since sick days</v>
      </c>
    </row>
    <row r="1501" spans="1:3" ht="15" x14ac:dyDescent="0.25">
      <c r="A1501" s="3" t="s">
        <v>1498</v>
      </c>
      <c r="B1501" s="3" t="s">
        <v>4</v>
      </c>
      <c r="C1501" s="2" t="str">
        <f ca="1">IFERROR(__xludf.DUMMYFUNCTION("GOOGLETRANSLATE(A1501,""bn"",""en"")"),"The fire of the sea of ​​sorrow floats in the lap of culture")</f>
        <v>The fire of the sea of ​​sorrow floats in the lap of culture</v>
      </c>
    </row>
    <row r="1502" spans="1:3" ht="15" x14ac:dyDescent="0.25">
      <c r="A1502" s="3" t="s">
        <v>1499</v>
      </c>
      <c r="B1502" s="3" t="s">
        <v>4</v>
      </c>
      <c r="C1502" s="2" t="str">
        <f ca="1">IFERROR(__xludf.DUMMYFUNCTION("GOOGLETRANSLATE(A1502,""bn"",""en"")"),"Many times I feel disagreeable in the family")</f>
        <v>Many times I feel disagreeable in the family</v>
      </c>
    </row>
    <row r="1503" spans="1:3" ht="15" x14ac:dyDescent="0.25">
      <c r="A1503" s="3" t="s">
        <v>1500</v>
      </c>
      <c r="B1503" s="3" t="s">
        <v>4</v>
      </c>
      <c r="C1503" s="2" t="str">
        <f ca="1">IFERROR(__xludf.DUMMYFUNCTION("GOOGLETRANSLATE(A1503,""bn"",""en"")"),"If you are sick, you can understand how great a blessing health is")</f>
        <v>If you are sick, you can understand how great a blessing health is</v>
      </c>
    </row>
    <row r="1504" spans="1:3" ht="15" x14ac:dyDescent="0.25">
      <c r="A1504" s="3" t="s">
        <v>1501</v>
      </c>
      <c r="B1504" s="3" t="s">
        <v>4</v>
      </c>
      <c r="C1504" s="2" t="str">
        <f ca="1">IFERROR(__xludf.DUMMYFUNCTION("GOOGLETRANSLATE(A1504,""bn"",""en"")"),"The definition of poverty needs to be distinct and unambiguous, like a navigation mark in uncharted waters")</f>
        <v>The definition of poverty needs to be distinct and unambiguous, like a navigation mark in uncharted waters</v>
      </c>
    </row>
    <row r="1505" spans="1:3" ht="15" x14ac:dyDescent="0.25">
      <c r="A1505" s="3" t="s">
        <v>1502</v>
      </c>
      <c r="B1505" s="3" t="s">
        <v>4</v>
      </c>
      <c r="C1505" s="2" t="str">
        <f ca="1">IFERROR(__xludf.DUMMYFUNCTION("GOOGLETRANSLATE(A1505,""bn"",""en"")"),"Poverty in a civilized human society does not belong in a museum")</f>
        <v>Poverty in a civilized human society does not belong in a museum</v>
      </c>
    </row>
    <row r="1506" spans="1:3" ht="15" x14ac:dyDescent="0.25">
      <c r="A1506" s="3" t="s">
        <v>1503</v>
      </c>
      <c r="B1506" s="3" t="s">
        <v>4</v>
      </c>
      <c r="C1506" s="2" t="str">
        <f ca="1">IFERROR(__xludf.DUMMYFUNCTION("GOOGLETRANSLATE(A1506,""bn"",""en"")"),"The neglect you do is killing my heart you can't care more for me")</f>
        <v>The neglect you do is killing my heart you can't care more for me</v>
      </c>
    </row>
    <row r="1507" spans="1:3" ht="15" x14ac:dyDescent="0.25">
      <c r="A1507" s="3" t="s">
        <v>1504</v>
      </c>
      <c r="B1507" s="3" t="s">
        <v>4</v>
      </c>
      <c r="C1507" s="2" t="str">
        <f ca="1">IFERROR(__xludf.DUMMYFUNCTION("GOOGLETRANSLATE(A1507,""bn"",""en"")"),"Today, in this busy life, I want to go to my family like I did when I was a child")</f>
        <v>Today, in this busy life, I want to go to my family like I did when I was a child</v>
      </c>
    </row>
    <row r="1508" spans="1:3" ht="15" x14ac:dyDescent="0.25">
      <c r="A1508" s="3" t="s">
        <v>1505</v>
      </c>
      <c r="B1508" s="3" t="s">
        <v>4</v>
      </c>
      <c r="C1508" s="2" t="str">
        <f ca="1">IFERROR(__xludf.DUMMYFUNCTION("GOOGLETRANSLATE(A1508,""bn"",""en"")"),"There is no peace of mind with entertainment only the pleasure of error")</f>
        <v>There is no peace of mind with entertainment only the pleasure of error</v>
      </c>
    </row>
    <row r="1509" spans="1:3" ht="15" x14ac:dyDescent="0.25">
      <c r="A1509" s="3" t="s">
        <v>1506</v>
      </c>
      <c r="B1509" s="3" t="s">
        <v>4</v>
      </c>
      <c r="C1509" s="2" t="str">
        <f ca="1">IFERROR(__xludf.DUMMYFUNCTION("GOOGLETRANSLATE(A1509,""bn"",""en"")"),"Shocked by the irony of fate, I have lost interest in life and am drowning in pain, with no hope of happiness")</f>
        <v>Shocked by the irony of fate, I have lost interest in life and am drowning in pain, with no hope of happiness</v>
      </c>
    </row>
    <row r="1510" spans="1:3" ht="15" x14ac:dyDescent="0.25">
      <c r="A1510" s="3" t="s">
        <v>1507</v>
      </c>
      <c r="B1510" s="3" t="s">
        <v>4</v>
      </c>
      <c r="C1510" s="2" t="str">
        <f ca="1">IFERROR(__xludf.DUMMYFUNCTION("GOOGLETRANSLATE(A1510,""bn"",""en"")"),"Half life is passing away, why are you so thin?")</f>
        <v>Half life is passing away, why are you so thin?</v>
      </c>
    </row>
    <row r="1511" spans="1:3" ht="15" x14ac:dyDescent="0.25">
      <c r="A1511" s="3" t="s">
        <v>1508</v>
      </c>
      <c r="B1511" s="3" t="s">
        <v>4</v>
      </c>
      <c r="C1511" s="2" t="str">
        <f ca="1">IFERROR(__xludf.DUMMYFUNCTION("GOOGLETRANSLATE(A1511,""bn"",""en"")"),"I am trying to follow the path of truth but my heart is falling into lies")</f>
        <v>I am trying to follow the path of truth but my heart is falling into lies</v>
      </c>
    </row>
    <row r="1512" spans="1:3" ht="15" x14ac:dyDescent="0.25">
      <c r="A1512" s="3" t="s">
        <v>1509</v>
      </c>
      <c r="B1512" s="3" t="s">
        <v>4</v>
      </c>
      <c r="C1512" s="2" t="str">
        <f ca="1">IFERROR(__xludf.DUMMYFUNCTION("GOOGLETRANSLATE(A1512,""bn"",""en"")"),"We all have responsibility for humanity through peace")</f>
        <v>We all have responsibility for humanity through peace</v>
      </c>
    </row>
    <row r="1513" spans="1:3" ht="15" x14ac:dyDescent="0.25">
      <c r="A1513" s="3" t="s">
        <v>1510</v>
      </c>
      <c r="B1513" s="3" t="s">
        <v>4</v>
      </c>
      <c r="C1513" s="2" t="str">
        <f ca="1">IFERROR(__xludf.DUMMYFUNCTION("GOOGLETRANSLATE(A1513,""bn"",""en"")"),"Pain has become a habit so I don't feel it anymore")</f>
        <v>Pain has become a habit so I don't feel it anymore</v>
      </c>
    </row>
    <row r="1514" spans="1:3" ht="15" x14ac:dyDescent="0.25">
      <c r="A1514" s="3" t="s">
        <v>1511</v>
      </c>
      <c r="B1514" s="3" t="s">
        <v>4</v>
      </c>
      <c r="C1514" s="2" t="str">
        <f ca="1">IFERROR(__xludf.DUMMYFUNCTION("GOOGLETRANSLATE(A1514,""bn"",""en"")"),"Love is the ultimate expression of self-fulfillment")</f>
        <v>Love is the ultimate expression of self-fulfillment</v>
      </c>
    </row>
    <row r="1515" spans="1:3" ht="15" x14ac:dyDescent="0.25">
      <c r="A1515" s="3" t="s">
        <v>1512</v>
      </c>
      <c r="B1515" s="3" t="s">
        <v>4</v>
      </c>
      <c r="C1515" s="2" t="str">
        <f ca="1">IFERROR(__xludf.DUMMYFUNCTION("GOOGLETRANSLATE(A1515,""bn"",""en"")"),"The light of culture has become a symbol of freedom in the heart")</f>
        <v>The light of culture has become a symbol of freedom in the heart</v>
      </c>
    </row>
    <row r="1516" spans="1:3" ht="15" x14ac:dyDescent="0.25">
      <c r="A1516" s="3" t="s">
        <v>1513</v>
      </c>
      <c r="B1516" s="3" t="s">
        <v>4</v>
      </c>
      <c r="C1516" s="2" t="str">
        <f ca="1">IFERROR(__xludf.DUMMYFUNCTION("GOOGLETRANSLATE(A1516,""bn"",""en"")"),"I can't take any time to do my own thing except for my own time which is taken up a lot in my work life")</f>
        <v>I can't take any time to do my own thing except for my own time which is taken up a lot in my work life</v>
      </c>
    </row>
    <row r="1517" spans="1:3" ht="15" x14ac:dyDescent="0.25">
      <c r="A1517" s="3" t="s">
        <v>1514</v>
      </c>
      <c r="B1517" s="3" t="s">
        <v>4</v>
      </c>
      <c r="C1517" s="2" t="str">
        <f ca="1">IFERROR(__xludf.DUMMYFUNCTION("GOOGLETRANSLATE(A1517,""bn"",""en"")"),"The worst kind of pain is the one to the point where you just laugh to keep the tears from falling")</f>
        <v>The worst kind of pain is the one to the point where you just laugh to keep the tears from falling</v>
      </c>
    </row>
    <row r="1518" spans="1:3" ht="15" x14ac:dyDescent="0.25">
      <c r="A1518" s="3" t="s">
        <v>1515</v>
      </c>
      <c r="B1518" s="3" t="s">
        <v>4</v>
      </c>
      <c r="C1518" s="2" t="str">
        <f ca="1">IFERROR(__xludf.DUMMYFUNCTION("GOOGLETRANSLATE(A1518,""bn"",""en"")"),"I laughed at the end of the film but that smile is still helpless in my mind")</f>
        <v>I laughed at the end of the film but that smile is still helpless in my mind</v>
      </c>
    </row>
    <row r="1519" spans="1:3" ht="15" x14ac:dyDescent="0.25">
      <c r="A1519" s="3" t="s">
        <v>1516</v>
      </c>
      <c r="B1519" s="3" t="s">
        <v>4</v>
      </c>
      <c r="C1519" s="2" t="str">
        <f ca="1">IFERROR(__xludf.DUMMYFUNCTION("GOOGLETRANSLATE(A1519,""bn"",""en"")"),"Moments of laughter make me feel sad")</f>
        <v>Moments of laughter make me feel sad</v>
      </c>
    </row>
    <row r="1520" spans="1:3" ht="15" x14ac:dyDescent="0.25">
      <c r="A1520" s="3" t="s">
        <v>1517</v>
      </c>
      <c r="B1520" s="3" t="s">
        <v>4</v>
      </c>
      <c r="C1520" s="2" t="str">
        <f ca="1">IFERROR(__xludf.DUMMYFUNCTION("GOOGLETRANSLATE(A1520,""bn"",""en"")"),"What is there other than love, love is the breath, without the breath of the body, how can people ever live")</f>
        <v>What is there other than love, love is the breath, without the breath of the body, how can people ever live</v>
      </c>
    </row>
    <row r="1521" spans="1:3" ht="15" x14ac:dyDescent="0.25">
      <c r="A1521" s="3" t="s">
        <v>1518</v>
      </c>
      <c r="B1521" s="3" t="s">
        <v>4</v>
      </c>
      <c r="C1521" s="2" t="str">
        <f ca="1">IFERROR(__xludf.DUMMYFUNCTION("GOOGLETRANSLATE(A1521,""bn"",""en"")"),"Honor and dignity are lacking in existence in war")</f>
        <v>Honor and dignity are lacking in existence in war</v>
      </c>
    </row>
    <row r="1522" spans="1:3" ht="15" x14ac:dyDescent="0.25">
      <c r="A1522" s="3" t="s">
        <v>1519</v>
      </c>
      <c r="B1522" s="3" t="s">
        <v>4</v>
      </c>
      <c r="C1522" s="2" t="str">
        <f ca="1">IFERROR(__xludf.DUMMYFUNCTION("GOOGLETRANSLATE(A1522,""bn"",""en"")"),"The light of culture is lost forever in darkness")</f>
        <v>The light of culture is lost forever in darkness</v>
      </c>
    </row>
    <row r="1523" spans="1:3" ht="15" x14ac:dyDescent="0.25">
      <c r="A1523" s="3" t="s">
        <v>1520</v>
      </c>
      <c r="B1523" s="3" t="s">
        <v>4</v>
      </c>
      <c r="C1523" s="2" t="str">
        <f ca="1">IFERROR(__xludf.DUMMYFUNCTION("GOOGLETRANSLATE(A1523,""bn"",""en"")"),"Love is an illusion where a man sees one woman as different from another woman and a woman sees one man as different from another man.")</f>
        <v>Love is an illusion where a man sees one woman as different from another woman and a woman sees one man as different from another man.</v>
      </c>
    </row>
    <row r="1524" spans="1:3" ht="15" x14ac:dyDescent="0.25">
      <c r="A1524" s="3" t="s">
        <v>1521</v>
      </c>
      <c r="B1524" s="3" t="s">
        <v>4</v>
      </c>
      <c r="C1524" s="2" t="str">
        <f ca="1">IFERROR(__xludf.DUMMYFUNCTION("GOOGLETRANSLATE(A1524,""bn"",""en"")"),"If the feelings of the mind are right then the relationship also lasts forever")</f>
        <v>If the feelings of the mind are right then the relationship also lasts forever</v>
      </c>
    </row>
    <row r="1525" spans="1:3" ht="15" x14ac:dyDescent="0.25">
      <c r="A1525" s="3" t="s">
        <v>1522</v>
      </c>
      <c r="B1525" s="3" t="s">
        <v>4</v>
      </c>
      <c r="C1525" s="2" t="str">
        <f ca="1">IFERROR(__xludf.DUMMYFUNCTION("GOOGLETRANSLATE(A1525,""bn"",""en"")"),"At the end of the day I am alone like the beautiful moon hanging in the vast sky")</f>
        <v>At the end of the day I am alone like the beautiful moon hanging in the vast sky</v>
      </c>
    </row>
    <row r="1526" spans="1:3" ht="15" x14ac:dyDescent="0.25">
      <c r="A1526" s="3" t="s">
        <v>1523</v>
      </c>
      <c r="B1526" s="3" t="s">
        <v>4</v>
      </c>
      <c r="C1526" s="2" t="str">
        <f ca="1">IFERROR(__xludf.DUMMYFUNCTION("GOOGLETRANSLATE(A1526,""bn"",""en"")"),"There is no sense of right and wrong in sacrificing interests for love")</f>
        <v>There is no sense of right and wrong in sacrificing interests for love</v>
      </c>
    </row>
    <row r="1527" spans="1:3" ht="15" x14ac:dyDescent="0.25">
      <c r="A1527" s="3" t="s">
        <v>1524</v>
      </c>
      <c r="B1527" s="3" t="s">
        <v>4</v>
      </c>
      <c r="C1527" s="2" t="str">
        <f ca="1">IFERROR(__xludf.DUMMYFUNCTION("GOOGLETRANSLATE(A1527,""bn"",""en"")"),"I really want to be a player but I don't want to be the eldest son of the house but I have to shoulder many responsibilities that I have to sacrifice my dreams for.")</f>
        <v>I really want to be a player but I don't want to be the eldest son of the house but I have to shoulder many responsibilities that I have to sacrifice my dreams for.</v>
      </c>
    </row>
    <row r="1528" spans="1:3" ht="15" x14ac:dyDescent="0.25">
      <c r="A1528" s="3" t="s">
        <v>1525</v>
      </c>
      <c r="B1528" s="3" t="s">
        <v>4</v>
      </c>
      <c r="C1528" s="2" t="str">
        <f ca="1">IFERROR(__xludf.DUMMYFUNCTION("GOOGLETRANSLATE(A1528,""bn"",""en"")"),"After war, only death and misery come in our life")</f>
        <v>After war, only death and misery come in our life</v>
      </c>
    </row>
    <row r="1529" spans="1:3" ht="15" x14ac:dyDescent="0.25">
      <c r="A1529" s="3" t="s">
        <v>1526</v>
      </c>
      <c r="B1529" s="3" t="s">
        <v>4</v>
      </c>
      <c r="C1529" s="2" t="str">
        <f ca="1">IFERROR(__xludf.DUMMYFUNCTION("GOOGLETRANSLATE(A1529,""bn"",""en"")"),"Only time can heal your broken heart just like time can heal his broken hands and feet")</f>
        <v>Only time can heal your broken heart just like time can heal his broken hands and feet</v>
      </c>
    </row>
    <row r="1530" spans="1:3" ht="15" x14ac:dyDescent="0.25">
      <c r="A1530" s="3" t="s">
        <v>1527</v>
      </c>
      <c r="B1530" s="3" t="s">
        <v>4</v>
      </c>
      <c r="C1530" s="2" t="str">
        <f ca="1">IFERROR(__xludf.DUMMYFUNCTION("GOOGLETRANSLATE(A1530,""bn"",""en"")"),"This is the fate of Iraq today for America")</f>
        <v>This is the fate of Iraq today for America</v>
      </c>
    </row>
    <row r="1531" spans="1:3" ht="15" x14ac:dyDescent="0.25">
      <c r="A1531" s="3" t="s">
        <v>1528</v>
      </c>
      <c r="B1531" s="3" t="s">
        <v>4</v>
      </c>
      <c r="C1531" s="2" t="str">
        <f ca="1">IFERROR(__xludf.DUMMYFUNCTION("GOOGLETRANSLATE(A1531,""bn"",""en"")"),"The pain of losing is a little more than not getting")</f>
        <v>The pain of losing is a little more than not getting</v>
      </c>
    </row>
    <row r="1532" spans="1:3" ht="15" x14ac:dyDescent="0.25">
      <c r="A1532" s="3" t="s">
        <v>1529</v>
      </c>
      <c r="B1532" s="3" t="s">
        <v>4</v>
      </c>
      <c r="C1532" s="2" t="str">
        <f ca="1">IFERROR(__xludf.DUMMYFUNCTION("GOOGLETRANSLATE(A1532,""bn"",""en"")"),"I have washed the clothes with so much difficulty, they all fell on the ground and got dirty, now I am going to wash them again")</f>
        <v>I have washed the clothes with so much difficulty, they all fell on the ground and got dirty, now I am going to wash them again</v>
      </c>
    </row>
    <row r="1533" spans="1:3" ht="15" x14ac:dyDescent="0.25">
      <c r="A1533" s="3" t="s">
        <v>1530</v>
      </c>
      <c r="B1533" s="3" t="s">
        <v>4</v>
      </c>
      <c r="C1533" s="2" t="str">
        <f ca="1">IFERROR(__xludf.DUMMYFUNCTION("GOOGLETRANSLATE(A1533,""bn"",""en"")"),"What am I getting but suffering?")</f>
        <v>What am I getting but suffering?</v>
      </c>
    </row>
    <row r="1534" spans="1:3" ht="15" x14ac:dyDescent="0.25">
      <c r="A1534" s="3" t="s">
        <v>1531</v>
      </c>
      <c r="B1534" s="3" t="s">
        <v>4</v>
      </c>
      <c r="C1534" s="2" t="str">
        <f ca="1">IFERROR(__xludf.DUMMYFUNCTION("GOOGLETRANSLATE(A1534,""bn"",""en"")"),"Use is the identity of the clan but it does not come from education")</f>
        <v>Use is the identity of the clan but it does not come from education</v>
      </c>
    </row>
    <row r="1535" spans="1:3" ht="15" x14ac:dyDescent="0.25">
      <c r="A1535" s="3" t="s">
        <v>1532</v>
      </c>
      <c r="B1535" s="3" t="s">
        <v>4</v>
      </c>
      <c r="C1535" s="2" t="str">
        <f ca="1">IFERROR(__xludf.DUMMYFUNCTION("GOOGLETRANSLATE(A1535,""bn"",""en"")"),"Lose your way in the beauty world of Instagram where there is no truth only lies are the road to danger")</f>
        <v>Lose your way in the beauty world of Instagram where there is no truth only lies are the road to danger</v>
      </c>
    </row>
    <row r="1536" spans="1:3" ht="15" x14ac:dyDescent="0.25">
      <c r="A1536" s="3" t="s">
        <v>1533</v>
      </c>
      <c r="B1536" s="3" t="s">
        <v>4</v>
      </c>
      <c r="C1536" s="2" t="str">
        <f ca="1">IFERROR(__xludf.DUMMYFUNCTION("GOOGLETRANSLATE(A1536,""bn"",""en"")"),"I know you are not there and I want you")</f>
        <v>I know you are not there and I want you</v>
      </c>
    </row>
    <row r="1537" spans="1:3" ht="15" x14ac:dyDescent="0.25">
      <c r="A1537" s="3" t="s">
        <v>1534</v>
      </c>
      <c r="B1537" s="3" t="s">
        <v>4</v>
      </c>
      <c r="C1537" s="2" t="str">
        <f ca="1">IFERROR(__xludf.DUMMYFUNCTION("GOOGLETRANSLATE(A1537,""bn"",""en"")"),"All lost faces become the faces of death when defeated by the effects of battle")</f>
        <v>All lost faces become the faces of death when defeated by the effects of battle</v>
      </c>
    </row>
    <row r="1538" spans="1:3" ht="15" x14ac:dyDescent="0.25">
      <c r="A1538" s="3" t="s">
        <v>1535</v>
      </c>
      <c r="B1538" s="3" t="s">
        <v>4</v>
      </c>
      <c r="C1538" s="2" t="str">
        <f ca="1">IFERROR(__xludf.DUMMYFUNCTION("GOOGLETRANSLATE(A1538,""bn"",""en"")"),"I don't know why the body has been sluggish for a few days and I am not getting energy for any work")</f>
        <v>I don't know why the body has been sluggish for a few days and I am not getting energy for any work</v>
      </c>
    </row>
    <row r="1539" spans="1:3" ht="15" x14ac:dyDescent="0.25">
      <c r="A1539" s="3" t="s">
        <v>1536</v>
      </c>
      <c r="B1539" s="3" t="s">
        <v>4</v>
      </c>
      <c r="C1539" s="2" t="str">
        <f ca="1">IFERROR(__xludf.DUMMYFUNCTION("GOOGLETRANSLATE(A1539,""bn"",""en"")"),"During the working day, only the stress of work can sometimes make you feel special")</f>
        <v>During the working day, only the stress of work can sometimes make you feel special</v>
      </c>
    </row>
    <row r="1540" spans="1:3" ht="15" x14ac:dyDescent="0.25">
      <c r="A1540" s="3" t="s">
        <v>1537</v>
      </c>
      <c r="B1540" s="3" t="s">
        <v>4</v>
      </c>
      <c r="C1540" s="2" t="str">
        <f ca="1">IFERROR(__xludf.DUMMYFUNCTION("GOOGLETRANSLATE(A1540,""bn"",""en"")"),"Wrestling with illness is won with positivity")</f>
        <v>Wrestling with illness is won with positivity</v>
      </c>
    </row>
    <row r="1541" spans="1:3" ht="15" x14ac:dyDescent="0.25">
      <c r="A1541" s="3" t="s">
        <v>1538</v>
      </c>
      <c r="B1541" s="3" t="s">
        <v>4</v>
      </c>
      <c r="C1541" s="2" t="str">
        <f ca="1">IFERROR(__xludf.DUMMYFUNCTION("GOOGLETRANSLATE(A1541,""bn"",""en"")"),"Every person in the world has pain in their chest, only the way of expressing them is different")</f>
        <v>Every person in the world has pain in their chest, only the way of expressing them is different</v>
      </c>
    </row>
    <row r="1542" spans="1:3" ht="15" x14ac:dyDescent="0.25">
      <c r="A1542" s="3" t="s">
        <v>1539</v>
      </c>
      <c r="B1542" s="3" t="s">
        <v>4</v>
      </c>
      <c r="C1542" s="2" t="str">
        <f ca="1">IFERROR(__xludf.DUMMYFUNCTION("GOOGLETRANSLATE(A1542,""bn"",""en"")"),"One day I need to go for a trip but I can't even do that due to lack of money")</f>
        <v>One day I need to go for a trip but I can't even do that due to lack of money</v>
      </c>
    </row>
    <row r="1543" spans="1:3" ht="15" x14ac:dyDescent="0.25">
      <c r="A1543" s="3" t="s">
        <v>1540</v>
      </c>
      <c r="B1543" s="3" t="s">
        <v>4</v>
      </c>
      <c r="C1543" s="2" t="str">
        <f ca="1">IFERROR(__xludf.DUMMYFUNCTION("GOOGLETRANSLATE(A1543,""bn"",""en"")"),"Now I know everything very well")</f>
        <v>Now I know everything very well</v>
      </c>
    </row>
    <row r="1544" spans="1:3" ht="15" x14ac:dyDescent="0.25">
      <c r="A1544" s="3" t="s">
        <v>1541</v>
      </c>
      <c r="B1544" s="3" t="s">
        <v>4</v>
      </c>
      <c r="C1544" s="2" t="str">
        <f ca="1">IFERROR(__xludf.DUMMYFUNCTION("GOOGLETRANSLATE(A1544,""bn"",""en"")"),"He has no option to resign to keep the party alive")</f>
        <v>He has no option to resign to keep the party alive</v>
      </c>
    </row>
    <row r="1545" spans="1:3" ht="15" x14ac:dyDescent="0.25">
      <c r="A1545" s="3" t="s">
        <v>1542</v>
      </c>
      <c r="B1545" s="3" t="s">
        <v>4</v>
      </c>
      <c r="C1545" s="2" t="str">
        <f ca="1">IFERROR(__xludf.DUMMYFUNCTION("GOOGLETRANSLATE(A1545,""bn"",""en"")"),"Having learned to tell the truth, it is now very difficult to lie")</f>
        <v>Having learned to tell the truth, it is now very difficult to lie</v>
      </c>
    </row>
    <row r="1546" spans="1:3" ht="15" x14ac:dyDescent="0.25">
      <c r="A1546" s="3" t="s">
        <v>1543</v>
      </c>
      <c r="B1546" s="3" t="s">
        <v>4</v>
      </c>
      <c r="C1546" s="2" t="str">
        <f ca="1">IFERROR(__xludf.DUMMYFUNCTION("GOOGLETRANSLATE(A1546,""bn"",""en"")"),"People move away from you for two reasons either they learn something new from you or they are hurt by you")</f>
        <v>People move away from you for two reasons either they learn something new from you or they are hurt by you</v>
      </c>
    </row>
    <row r="1547" spans="1:3" ht="15" x14ac:dyDescent="0.25">
      <c r="A1547" s="3" t="s">
        <v>1544</v>
      </c>
      <c r="B1547" s="3" t="s">
        <v>4</v>
      </c>
      <c r="C1547" s="2" t="str">
        <f ca="1">IFERROR(__xludf.DUMMYFUNCTION("GOOGLETRANSLATE(A1547,""bn"",""en"")"),"Circumstances teach people many things. They teach people to walk alone. They teach them to stand on their own feet.")</f>
        <v>Circumstances teach people many things. They teach people to walk alone. They teach them to stand on their own feet.</v>
      </c>
    </row>
    <row r="1548" spans="1:3" ht="15" x14ac:dyDescent="0.25">
      <c r="A1548" s="3" t="s">
        <v>1545</v>
      </c>
      <c r="B1548" s="3" t="s">
        <v>4</v>
      </c>
      <c r="C1548" s="2" t="str">
        <f ca="1">IFERROR(__xludf.DUMMYFUNCTION("GOOGLETRANSLATE(A1548,""bn"",""en"")"),"Time is not the same for anyone, even those who make others cry have to cry")</f>
        <v>Time is not the same for anyone, even those who make others cry have to cry</v>
      </c>
    </row>
    <row r="1549" spans="1:3" ht="15" x14ac:dyDescent="0.25">
      <c r="A1549" s="3" t="s">
        <v>1546</v>
      </c>
      <c r="B1549" s="3" t="s">
        <v>4</v>
      </c>
      <c r="C1549" s="2" t="str">
        <f ca="1">IFERROR(__xludf.DUMMYFUNCTION("GOOGLETRANSLATE(A1549,""bn"",""en"")"),"I want to see him just once, I just want to ask him why you cheated on me")</f>
        <v>I want to see him just once, I just want to ask him why you cheated on me</v>
      </c>
    </row>
    <row r="1550" spans="1:3" ht="15" x14ac:dyDescent="0.25">
      <c r="A1550" s="3" t="s">
        <v>1547</v>
      </c>
      <c r="B1550" s="3" t="s">
        <v>4</v>
      </c>
      <c r="C1550" s="2" t="str">
        <f ca="1">IFERROR(__xludf.DUMMYFUNCTION("GOOGLETRANSLATE(A1550,""bn"",""en"")"),"The ferocity of the war is causing great distress and fatigue in the minds of the people")</f>
        <v>The ferocity of the war is causing great distress and fatigue in the minds of the people</v>
      </c>
    </row>
    <row r="1551" spans="1:3" ht="15" x14ac:dyDescent="0.25">
      <c r="A1551" s="3" t="s">
        <v>1548</v>
      </c>
      <c r="B1551" s="3" t="s">
        <v>4</v>
      </c>
      <c r="C1551" s="2" t="str">
        <f ca="1">IFERROR(__xludf.DUMMYFUNCTION("GOOGLETRANSLATE(A1551,""bn"",""en"")"),"Loneliness is better than bad company")</f>
        <v>Loneliness is better than bad company</v>
      </c>
    </row>
    <row r="1552" spans="1:3" ht="15" x14ac:dyDescent="0.25">
      <c r="A1552" s="3" t="s">
        <v>1549</v>
      </c>
      <c r="B1552" s="3" t="s">
        <v>4</v>
      </c>
      <c r="C1552" s="2" t="str">
        <f ca="1">IFERROR(__xludf.DUMMYFUNCTION("GOOGLETRANSLATE(A1552,""bn"",""en"")"),"Diseases of the elderly are very less than those of the young But what remains remains a companion forever")</f>
        <v>Diseases of the elderly are very less than those of the young But what remains remains a companion forever</v>
      </c>
    </row>
    <row r="1553" spans="1:3" ht="15" x14ac:dyDescent="0.25">
      <c r="A1553" s="3" t="s">
        <v>1550</v>
      </c>
      <c r="B1553" s="3" t="s">
        <v>4</v>
      </c>
      <c r="C1553" s="2" t="str">
        <f ca="1">IFERROR(__xludf.DUMMYFUNCTION("GOOGLETRANSLATE(A1553,""bn"",""en"")"),"Give me the sickness of my child, yet you heal my child")</f>
        <v>Give me the sickness of my child, yet you heal my child</v>
      </c>
    </row>
    <row r="1554" spans="1:3" ht="15" x14ac:dyDescent="0.25">
      <c r="A1554" s="3" t="s">
        <v>1551</v>
      </c>
      <c r="B1554" s="3" t="s">
        <v>4</v>
      </c>
      <c r="C1554" s="2" t="str">
        <f ca="1">IFERROR(__xludf.DUMMYFUNCTION("GOOGLETRANSLATE(A1554,""bn"",""en"")"),"My heart is tied to the pain of the past")</f>
        <v>My heart is tied to the pain of the past</v>
      </c>
    </row>
    <row r="1555" spans="1:3" ht="15" x14ac:dyDescent="0.25">
      <c r="A1555" s="3" t="s">
        <v>1552</v>
      </c>
      <c r="B1555" s="3" t="s">
        <v>4</v>
      </c>
      <c r="C1555" s="2" t="str">
        <f ca="1">IFERROR(__xludf.DUMMYFUNCTION("GOOGLETRANSLATE(A1555,""bn"",""en"")"),"Using apps")</f>
        <v>Using apps</v>
      </c>
    </row>
    <row r="1556" spans="1:3" ht="15" x14ac:dyDescent="0.25">
      <c r="A1556" s="3" t="s">
        <v>1553</v>
      </c>
      <c r="B1556" s="3" t="s">
        <v>4</v>
      </c>
      <c r="C1556" s="2" t="str">
        <f ca="1">IFERROR(__xludf.DUMMYFUNCTION("GOOGLETRANSLATE(A1556,""bn"",""en"")"),"Nazrul national poet")</f>
        <v>Nazrul national poet</v>
      </c>
    </row>
    <row r="1557" spans="1:3" ht="15" x14ac:dyDescent="0.25">
      <c r="A1557" s="3" t="s">
        <v>1554</v>
      </c>
      <c r="B1557" s="3" t="s">
        <v>4</v>
      </c>
      <c r="C1557" s="2" t="str">
        <f ca="1">IFERROR(__xludf.DUMMYFUNCTION("GOOGLETRANSLATE(A1557,""bn"",""en"")"),"I have worked in banking")</f>
        <v>I have worked in banking</v>
      </c>
    </row>
    <row r="1558" spans="1:3" ht="15" x14ac:dyDescent="0.25">
      <c r="A1558" s="3" t="s">
        <v>1555</v>
      </c>
      <c r="B1558" s="3" t="s">
        <v>4</v>
      </c>
      <c r="C1558" s="2" t="str">
        <f ca="1">IFERROR(__xludf.DUMMYFUNCTION("GOOGLETRANSLATE(A1558,""bn"",""en"")"),"I develop software")</f>
        <v>I develop software</v>
      </c>
    </row>
    <row r="1559" spans="1:3" ht="15" x14ac:dyDescent="0.25">
      <c r="A1559" s="3" t="s">
        <v>1556</v>
      </c>
      <c r="B1559" s="3" t="s">
        <v>4</v>
      </c>
      <c r="C1559" s="2" t="str">
        <f ca="1">IFERROR(__xludf.DUMMYFUNCTION("GOOGLETRANSLATE(A1559,""bn"",""en"")"),"A balanced diet is readily available")</f>
        <v>A balanced diet is readily available</v>
      </c>
    </row>
    <row r="1560" spans="1:3" ht="15" x14ac:dyDescent="0.25">
      <c r="A1560" s="3" t="s">
        <v>1557</v>
      </c>
      <c r="B1560" s="3" t="s">
        <v>4</v>
      </c>
      <c r="C1560" s="2" t="str">
        <f ca="1">IFERROR(__xludf.DUMMYFUNCTION("GOOGLETRANSLATE(A1560,""bn"",""en"")"),"Checking the software")</f>
        <v>Checking the software</v>
      </c>
    </row>
    <row r="1561" spans="1:3" ht="15" x14ac:dyDescent="0.25">
      <c r="A1561" s="3" t="s">
        <v>1558</v>
      </c>
      <c r="B1561" s="3" t="s">
        <v>4</v>
      </c>
      <c r="C1561" s="2" t="str">
        <f ca="1">IFERROR(__xludf.DUMMYFUNCTION("GOOGLETRANSLATE(A1561,""bn"",""en"")"),"Students have become self-reliant")</f>
        <v>Students have become self-reliant</v>
      </c>
    </row>
    <row r="1562" spans="1:3" ht="15" x14ac:dyDescent="0.25">
      <c r="A1562" s="3" t="s">
        <v>1559</v>
      </c>
      <c r="B1562" s="3" t="s">
        <v>4</v>
      </c>
      <c r="C1562" s="2" t="str">
        <f ca="1">IFERROR(__xludf.DUMMYFUNCTION("GOOGLETRANSLATE(A1562,""bn"",""en"")"),"He is a technician")</f>
        <v>He is a technician</v>
      </c>
    </row>
    <row r="1563" spans="1:3" ht="15" x14ac:dyDescent="0.25">
      <c r="A1563" s="3" t="s">
        <v>1560</v>
      </c>
      <c r="B1563" s="3" t="s">
        <v>4</v>
      </c>
      <c r="C1563" s="2" t="str">
        <f ca="1">IFERROR(__xludf.DUMMYFUNCTION("GOOGLETRANSLATE(A1563,""bn"",""en"")"),"I am using the printer")</f>
        <v>I am using the printer</v>
      </c>
    </row>
    <row r="1564" spans="1:3" ht="15" x14ac:dyDescent="0.25">
      <c r="A1564" s="3" t="s">
        <v>1561</v>
      </c>
      <c r="B1564" s="3" t="s">
        <v>4</v>
      </c>
      <c r="C1564" s="2" t="str">
        <f ca="1">IFERROR(__xludf.DUMMYFUNCTION("GOOGLETRANSLATE(A1564,""bn"",""en"")"),"Programmers are always respected")</f>
        <v>Programmers are always respected</v>
      </c>
    </row>
    <row r="1565" spans="1:3" ht="15" x14ac:dyDescent="0.25">
      <c r="A1565" s="3" t="s">
        <v>1562</v>
      </c>
      <c r="B1565" s="3" t="s">
        <v>4</v>
      </c>
      <c r="C1565" s="2" t="str">
        <f ca="1">IFERROR(__xludf.DUMMYFUNCTION("GOOGLETRANSLATE(A1565,""bn"",""en"")"),"I use headphones")</f>
        <v>I use headphones</v>
      </c>
    </row>
    <row r="1566" spans="1:3" ht="15" x14ac:dyDescent="0.25">
      <c r="A1566" s="3" t="s">
        <v>1563</v>
      </c>
      <c r="B1566" s="3" t="s">
        <v>4</v>
      </c>
      <c r="C1566" s="2" t="str">
        <f ca="1">IFERROR(__xludf.DUMMYFUNCTION("GOOGLETRANSLATE(A1566,""bn"",""en"")"),"Agriculture has improved")</f>
        <v>Agriculture has improved</v>
      </c>
    </row>
    <row r="1567" spans="1:3" ht="15" x14ac:dyDescent="0.25">
      <c r="A1567" s="3" t="s">
        <v>1564</v>
      </c>
      <c r="B1567" s="3" t="s">
        <v>4</v>
      </c>
      <c r="C1567" s="2" t="str">
        <f ca="1">IFERROR(__xludf.DUMMYFUNCTION("GOOGLETRANSLATE(A1567,""bn"",""en"")"),"I exercise regularly")</f>
        <v>I exercise regularly</v>
      </c>
    </row>
    <row r="1568" spans="1:3" ht="15" x14ac:dyDescent="0.25">
      <c r="A1568" s="3" t="s">
        <v>1565</v>
      </c>
      <c r="B1568" s="3" t="s">
        <v>4</v>
      </c>
      <c r="C1568" s="2" t="str">
        <f ca="1">IFERROR(__xludf.DUMMYFUNCTION("GOOGLETRANSLATE(A1568,""bn"",""en"")"),"I want a new phone")</f>
        <v>I want a new phone</v>
      </c>
    </row>
    <row r="1569" spans="1:3" ht="15" x14ac:dyDescent="0.25">
      <c r="A1569" s="3" t="s">
        <v>1566</v>
      </c>
      <c r="B1569" s="3" t="s">
        <v>4</v>
      </c>
      <c r="C1569" s="2" t="str">
        <f ca="1">IFERROR(__xludf.DUMMYFUNCTION("GOOGLETRANSLATE(A1569,""bn"",""en"")"),"I'm doing math")</f>
        <v>I'm doing math</v>
      </c>
    </row>
    <row r="1570" spans="1:3" ht="15" x14ac:dyDescent="0.25">
      <c r="A1570" s="3" t="s">
        <v>1567</v>
      </c>
      <c r="B1570" s="3" t="s">
        <v>4</v>
      </c>
      <c r="C1570" s="2" t="str">
        <f ca="1">IFERROR(__xludf.DUMMYFUNCTION("GOOGLETRANSLATE(A1570,""bn"",""en"")"),"I use more internet")</f>
        <v>I use more internet</v>
      </c>
    </row>
    <row r="1571" spans="1:3" ht="15" x14ac:dyDescent="0.25">
      <c r="A1571" s="3" t="s">
        <v>1568</v>
      </c>
      <c r="B1571" s="3" t="s">
        <v>4</v>
      </c>
      <c r="C1571" s="2" t="str">
        <f ca="1">IFERROR(__xludf.DUMMYFUNCTION("GOOGLETRANSLATE(A1571,""bn"",""en"")"),"Improving agriculture")</f>
        <v>Improving agriculture</v>
      </c>
    </row>
    <row r="1572" spans="1:3" ht="15" x14ac:dyDescent="0.25">
      <c r="A1572" s="3" t="s">
        <v>1569</v>
      </c>
      <c r="B1572" s="3" t="s">
        <v>4</v>
      </c>
      <c r="C1572" s="2" t="str">
        <f ca="1">IFERROR(__xludf.DUMMYFUNCTION("GOOGLETRANSLATE(A1572,""bn"",""en"")"),"Browsing Google")</f>
        <v>Browsing Google</v>
      </c>
    </row>
    <row r="1573" spans="1:3" ht="15" x14ac:dyDescent="0.25">
      <c r="A1573" s="3" t="s">
        <v>1570</v>
      </c>
      <c r="B1573" s="3" t="s">
        <v>4</v>
      </c>
      <c r="C1573" s="2" t="str">
        <f ca="1">IFERROR(__xludf.DUMMYFUNCTION("GOOGLETRANSLATE(A1573,""bn"",""en"")"),"I am using laptop")</f>
        <v>I am using laptop</v>
      </c>
    </row>
    <row r="1574" spans="1:3" ht="15" x14ac:dyDescent="0.25">
      <c r="A1574" s="3" t="s">
        <v>1571</v>
      </c>
      <c r="B1574" s="3" t="s">
        <v>4</v>
      </c>
      <c r="C1574" s="2" t="str">
        <f ca="1">IFERROR(__xludf.DUMMYFUNCTION("GOOGLETRANSLATE(A1574,""bn"",""en"")"),"I give regular videos")</f>
        <v>I give regular videos</v>
      </c>
    </row>
    <row r="1575" spans="1:3" ht="15" x14ac:dyDescent="0.25">
      <c r="A1575" s="3" t="s">
        <v>1572</v>
      </c>
      <c r="B1575" s="3" t="s">
        <v>4</v>
      </c>
      <c r="C1575" s="2" t="str">
        <f ca="1">IFERROR(__xludf.DUMMYFUNCTION("GOOGLETRANSLATE(A1575,""bn"",""en"")"),"The computer is being made")</f>
        <v>The computer is being made</v>
      </c>
    </row>
    <row r="1576" spans="1:3" ht="15" x14ac:dyDescent="0.25">
      <c r="A1576" s="3" t="s">
        <v>1573</v>
      </c>
      <c r="B1576" s="3" t="s">
        <v>4</v>
      </c>
      <c r="C1576" s="2" t="str">
        <f ca="1">IFERROR(__xludf.DUMMYFUNCTION("GOOGLETRANSLATE(A1576,""bn"",""en"")"),"iPhone is expensive company")</f>
        <v>iPhone is expensive company</v>
      </c>
    </row>
    <row r="1577" spans="1:3" ht="15" x14ac:dyDescent="0.25">
      <c r="A1577" s="3" t="s">
        <v>1574</v>
      </c>
      <c r="B1577" s="3" t="s">
        <v>4</v>
      </c>
      <c r="C1577" s="2" t="str">
        <f ca="1">IFERROR(__xludf.DUMMYFUNCTION("GOOGLETRANSLATE(A1577,""bn"",""en"")"),"Go to the college cafeteria")</f>
        <v>Go to the college cafeteria</v>
      </c>
    </row>
    <row r="1578" spans="1:3" ht="15" x14ac:dyDescent="0.25">
      <c r="A1578" s="3" t="s">
        <v>1575</v>
      </c>
      <c r="B1578" s="3" t="s">
        <v>4</v>
      </c>
      <c r="C1578" s="2" t="str">
        <f ca="1">IFERROR(__xludf.DUMMYFUNCTION("GOOGLETRANSLATE(A1578,""bn"",""en"")"),"File saved")</f>
        <v>File saved</v>
      </c>
    </row>
    <row r="1579" spans="1:3" ht="15" x14ac:dyDescent="0.25">
      <c r="A1579" s="3" t="s">
        <v>1576</v>
      </c>
      <c r="B1579" s="3" t="s">
        <v>4</v>
      </c>
      <c r="C1579" s="2" t="str">
        <f ca="1">IFERROR(__xludf.DUMMYFUNCTION("GOOGLETRANSLATE(A1579,""bn"",""en"")"),"Islamic life")</f>
        <v>Islamic life</v>
      </c>
    </row>
    <row r="1580" spans="1:3" ht="15" x14ac:dyDescent="0.25">
      <c r="A1580" s="3" t="s">
        <v>1577</v>
      </c>
      <c r="B1580" s="3" t="s">
        <v>4</v>
      </c>
      <c r="C1580" s="2" t="str">
        <f ca="1">IFERROR(__xludf.DUMMYFUNCTION("GOOGLETRANSLATE(A1580,""bn"",""en"")"),"Made life easy")</f>
        <v>Made life easy</v>
      </c>
    </row>
    <row r="1581" spans="1:3" ht="15" x14ac:dyDescent="0.25">
      <c r="A1581" s="3" t="s">
        <v>1578</v>
      </c>
      <c r="B1581" s="3" t="s">
        <v>4</v>
      </c>
      <c r="C1581" s="2" t="str">
        <f ca="1">IFERROR(__xludf.DUMMYFUNCTION("GOOGLETRANSLATE(A1581,""bn"",""en"")"),"Not attending the meeting")</f>
        <v>Not attending the meeting</v>
      </c>
    </row>
    <row r="1582" spans="1:3" ht="15" x14ac:dyDescent="0.25">
      <c r="A1582" s="3" t="s">
        <v>1579</v>
      </c>
      <c r="B1582" s="3" t="s">
        <v>4</v>
      </c>
      <c r="C1582" s="2" t="str">
        <f ca="1">IFERROR(__xludf.DUMMYFUNCTION("GOOGLETRANSLATE(A1582,""bn"",""en"")"),"Replenishes food")</f>
        <v>Replenishes food</v>
      </c>
    </row>
    <row r="1583" spans="1:3" ht="15" x14ac:dyDescent="0.25">
      <c r="A1583" s="3" t="s">
        <v>1580</v>
      </c>
      <c r="B1583" s="3" t="s">
        <v>4</v>
      </c>
      <c r="C1583" s="2" t="str">
        <f ca="1">IFERROR(__xludf.DUMMYFUNCTION("GOOGLETRANSLATE(A1583,""bn"",""en"")"),"Reading various blogs")</f>
        <v>Reading various blogs</v>
      </c>
    </row>
    <row r="1584" spans="1:3" ht="15" x14ac:dyDescent="0.25">
      <c r="A1584" s="3" t="s">
        <v>1581</v>
      </c>
      <c r="B1584" s="3" t="s">
        <v>4</v>
      </c>
      <c r="C1584" s="2" t="str">
        <f ca="1">IFERROR(__xludf.DUMMYFUNCTION("GOOGLETRANSLATE(A1584,""bn"",""en"")"),"Go for a leisurely stroll")</f>
        <v>Go for a leisurely stroll</v>
      </c>
    </row>
    <row r="1585" spans="1:3" ht="15" x14ac:dyDescent="0.25">
      <c r="A1585" s="3" t="s">
        <v>1582</v>
      </c>
      <c r="B1585" s="3" t="s">
        <v>4</v>
      </c>
      <c r="C1585" s="2" t="str">
        <f ca="1">IFERROR(__xludf.DUMMYFUNCTION("GOOGLETRANSLATE(A1585,""bn"",""en"")"),"Travel experiences")</f>
        <v>Travel experiences</v>
      </c>
    </row>
    <row r="1586" spans="1:3" ht="15" x14ac:dyDescent="0.25">
      <c r="A1586" s="3" t="s">
        <v>1583</v>
      </c>
      <c r="B1586" s="3" t="s">
        <v>4</v>
      </c>
      <c r="C1586" s="2" t="str">
        <f ca="1">IFERROR(__xludf.DUMMYFUNCTION("GOOGLETRANSLATE(A1586,""bn"",""en"")"),"I used headphones")</f>
        <v>I used headphones</v>
      </c>
    </row>
    <row r="1587" spans="1:3" ht="15" x14ac:dyDescent="0.25">
      <c r="A1587" s="3" t="s">
        <v>1584</v>
      </c>
      <c r="B1587" s="3" t="s">
        <v>4</v>
      </c>
      <c r="C1587" s="2" t="str">
        <f ca="1">IFERROR(__xludf.DUMMYFUNCTION("GOOGLETRANSLATE(A1587,""bn"",""en"")"),"Books are friends of time")</f>
        <v>Books are friends of time</v>
      </c>
    </row>
    <row r="1588" spans="1:3" ht="15" x14ac:dyDescent="0.25">
      <c r="A1588" s="3" t="s">
        <v>1585</v>
      </c>
      <c r="B1588" s="3" t="s">
        <v>4</v>
      </c>
      <c r="C1588" s="2" t="str">
        <f ca="1">IFERROR(__xludf.DUMMYFUNCTION("GOOGLETRANSLATE(A1588,""bn"",""en"")"),"YouTube video platform")</f>
        <v>YouTube video platform</v>
      </c>
    </row>
    <row r="1589" spans="1:3" ht="15" x14ac:dyDescent="0.25">
      <c r="A1589" s="3" t="s">
        <v>1586</v>
      </c>
      <c r="B1589" s="3" t="s">
        <v>4</v>
      </c>
      <c r="C1589" s="2" t="str">
        <f ca="1">IFERROR(__xludf.DUMMYFUNCTION("GOOGLETRANSLATE(A1589,""bn"",""en"")"),"use card")</f>
        <v>use card</v>
      </c>
    </row>
    <row r="1590" spans="1:3" ht="15" x14ac:dyDescent="0.25">
      <c r="A1590" s="3" t="s">
        <v>1587</v>
      </c>
      <c r="B1590" s="3" t="s">
        <v>4</v>
      </c>
      <c r="C1590" s="2" t="str">
        <f ca="1">IFERROR(__xludf.DUMMYFUNCTION("GOOGLETRANSLATE(A1590,""bn"",""en"")"),"let's go to school")</f>
        <v>let's go to school</v>
      </c>
    </row>
    <row r="1591" spans="1:3" ht="15" x14ac:dyDescent="0.25">
      <c r="A1591" s="3" t="s">
        <v>1588</v>
      </c>
      <c r="B1591" s="3" t="s">
        <v>4</v>
      </c>
      <c r="C1591" s="2" t="str">
        <f ca="1">IFERROR(__xludf.DUMMYFUNCTION("GOOGLETRANSLATE(A1591,""bn"",""en"")"),"He is doing math")</f>
        <v>He is doing math</v>
      </c>
    </row>
    <row r="1592" spans="1:3" ht="15" x14ac:dyDescent="0.25">
      <c r="A1592" s="3" t="s">
        <v>1589</v>
      </c>
      <c r="B1592" s="3" t="s">
        <v>4</v>
      </c>
      <c r="C1592" s="2" t="str">
        <f ca="1">IFERROR(__xludf.DUMMYFUNCTION("GOOGLETRANSLATE(A1592,""bn"",""en"")"),"I have opened a bank account")</f>
        <v>I have opened a bank account</v>
      </c>
    </row>
    <row r="1593" spans="1:3" ht="15" x14ac:dyDescent="0.25">
      <c r="A1593" s="3" t="s">
        <v>1590</v>
      </c>
      <c r="B1593" s="3" t="s">
        <v>4</v>
      </c>
      <c r="C1593" s="2" t="str">
        <f ca="1">IFERROR(__xludf.DUMMYFUNCTION("GOOGLETRANSLATE(A1593,""bn"",""en"")"),"using the radio")</f>
        <v>using the radio</v>
      </c>
    </row>
    <row r="1594" spans="1:3" ht="15" x14ac:dyDescent="0.25">
      <c r="A1594" s="3" t="s">
        <v>1591</v>
      </c>
      <c r="B1594" s="3" t="s">
        <v>4</v>
      </c>
      <c r="C1594" s="2" t="str">
        <f ca="1">IFERROR(__xludf.DUMMYFUNCTION("GOOGLETRANSLATE(A1594,""bn"",""en"")"),"Students play football")</f>
        <v>Students play football</v>
      </c>
    </row>
    <row r="1595" spans="1:3" ht="15" x14ac:dyDescent="0.25">
      <c r="A1595" s="3" t="s">
        <v>1592</v>
      </c>
      <c r="B1595" s="3" t="s">
        <v>4</v>
      </c>
      <c r="C1595" s="2" t="str">
        <f ca="1">IFERROR(__xludf.DUMMYFUNCTION("GOOGLETRANSLATE(A1595,""bn"",""en"")"),"Maintaining order")</f>
        <v>Maintaining order</v>
      </c>
    </row>
    <row r="1596" spans="1:3" ht="15" x14ac:dyDescent="0.25">
      <c r="A1596" s="3" t="s">
        <v>1593</v>
      </c>
      <c r="B1596" s="3" t="s">
        <v>4</v>
      </c>
      <c r="C1596" s="2" t="str">
        <f ca="1">IFERROR(__xludf.DUMMYFUNCTION("GOOGLETRANSLATE(A1596,""bn"",""en"")"),"I am a nature lover")</f>
        <v>I am a nature lover</v>
      </c>
    </row>
    <row r="1597" spans="1:3" ht="15" x14ac:dyDescent="0.25">
      <c r="A1597" s="3" t="s">
        <v>1594</v>
      </c>
      <c r="B1597" s="3" t="s">
        <v>4</v>
      </c>
      <c r="C1597" s="2" t="str">
        <f ca="1">IFERROR(__xludf.DUMMYFUNCTION("GOOGLETRANSLATE(A1597,""bn"",""en"")"),"Do the calculations")</f>
        <v>Do the calculations</v>
      </c>
    </row>
    <row r="1598" spans="1:3" ht="15" x14ac:dyDescent="0.25">
      <c r="A1598" s="3" t="s">
        <v>1595</v>
      </c>
      <c r="B1598" s="3" t="s">
        <v>4</v>
      </c>
      <c r="C1598" s="2" t="str">
        <f ca="1">IFERROR(__xludf.DUMMYFUNCTION("GOOGLETRANSLATE(A1598,""bn"",""en"")"),"I have used smart telephone")</f>
        <v>I have used smart telephone</v>
      </c>
    </row>
    <row r="1599" spans="1:3" ht="15" x14ac:dyDescent="0.25">
      <c r="A1599" s="3" t="s">
        <v>1596</v>
      </c>
      <c r="B1599" s="3" t="s">
        <v>4</v>
      </c>
      <c r="C1599" s="2" t="str">
        <f ca="1">IFERROR(__xludf.DUMMYFUNCTION("GOOGLETRANSLATE(A1599,""bn"",""en"")"),"Politics is debated")</f>
        <v>Politics is debated</v>
      </c>
    </row>
    <row r="1600" spans="1:3" ht="15" x14ac:dyDescent="0.25">
      <c r="A1600" s="3" t="s">
        <v>1597</v>
      </c>
      <c r="B1600" s="3" t="s">
        <v>4</v>
      </c>
      <c r="C1600" s="2" t="str">
        <f ca="1">IFERROR(__xludf.DUMMYFUNCTION("GOOGLETRANSLATE(A1600,""bn"",""en"")"),"The law is being prepared")</f>
        <v>The law is being prepared</v>
      </c>
    </row>
    <row r="1601" spans="1:3" ht="15" x14ac:dyDescent="0.25">
      <c r="A1601" s="3" t="s">
        <v>1598</v>
      </c>
      <c r="B1601" s="3" t="s">
        <v>4</v>
      </c>
      <c r="C1601" s="2" t="str">
        <f ca="1">IFERROR(__xludf.DUMMYFUNCTION("GOOGLETRANSLATE(A1601,""bn"",""en"")"),"The preparation of the law is going on very carefully")</f>
        <v>The preparation of the law is going on very carefully</v>
      </c>
    </row>
    <row r="1602" spans="1:3" ht="15" x14ac:dyDescent="0.25">
      <c r="A1602" s="3" t="s">
        <v>1599</v>
      </c>
      <c r="B1602" s="3" t="s">
        <v>4</v>
      </c>
      <c r="C1602" s="2" t="str">
        <f ca="1">IFERROR(__xludf.DUMMYFUNCTION("GOOGLETRANSLATE(A1602,""bn"",""en"")"),"I am using a smartwatch")</f>
        <v>I am using a smartwatch</v>
      </c>
    </row>
    <row r="1603" spans="1:3" ht="15" x14ac:dyDescent="0.25">
      <c r="A1603" s="3" t="s">
        <v>1600</v>
      </c>
      <c r="B1603" s="3" t="s">
        <v>4</v>
      </c>
      <c r="C1603" s="2" t="str">
        <f ca="1">IFERROR(__xludf.DUMMYFUNCTION("GOOGLETRANSLATE(A1603,""bn"",""en"")"),"I am buying a new telephone")</f>
        <v>I am buying a new telephone</v>
      </c>
    </row>
    <row r="1604" spans="1:3" ht="15" x14ac:dyDescent="0.25">
      <c r="A1604" s="3" t="s">
        <v>1601</v>
      </c>
      <c r="B1604" s="3" t="s">
        <v>4</v>
      </c>
      <c r="C1604" s="2" t="str">
        <f ca="1">IFERROR(__xludf.DUMMYFUNCTION("GOOGLETRANSLATE(A1604,""bn"",""en"")"),"Living an Islamic life")</f>
        <v>Living an Islamic life</v>
      </c>
    </row>
    <row r="1605" spans="1:3" ht="15" x14ac:dyDescent="0.25">
      <c r="A1605" s="3" t="s">
        <v>1602</v>
      </c>
      <c r="B1605" s="3" t="s">
        <v>4</v>
      </c>
      <c r="C1605" s="2" t="str">
        <f ca="1">IFERROR(__xludf.DUMMYFUNCTION("GOOGLETRANSLATE(A1605,""bn"",""en"")"),"I visited the bank")</f>
        <v>I visited the bank</v>
      </c>
    </row>
    <row r="1606" spans="1:3" ht="15" x14ac:dyDescent="0.25">
      <c r="A1606" s="3" t="s">
        <v>1603</v>
      </c>
      <c r="B1606" s="3" t="s">
        <v>4</v>
      </c>
      <c r="C1606" s="2" t="str">
        <f ca="1">IFERROR(__xludf.DUMMYFUNCTION("GOOGLETRANSLATE(A1606,""bn"",""en"")"),"Amazon products are good")</f>
        <v>Amazon products are good</v>
      </c>
    </row>
    <row r="1607" spans="1:3" ht="15" x14ac:dyDescent="0.25">
      <c r="A1607" s="3" t="s">
        <v>1604</v>
      </c>
      <c r="B1607" s="3" t="s">
        <v>4</v>
      </c>
      <c r="C1607" s="2" t="str">
        <f ca="1">IFERROR(__xludf.DUMMYFUNCTION("GOOGLETRANSLATE(A1607,""bn"",""en"")"),"Economic loss has occurred")</f>
        <v>Economic loss has occurred</v>
      </c>
    </row>
    <row r="1608" spans="1:3" ht="15" x14ac:dyDescent="0.25">
      <c r="A1608" s="3" t="s">
        <v>1605</v>
      </c>
      <c r="B1608" s="3" t="s">
        <v>4</v>
      </c>
      <c r="C1608" s="2" t="str">
        <f ca="1">IFERROR(__xludf.DUMMYFUNCTION("GOOGLETRANSLATE(A1608,""bn"",""en"")"),"Sent email easily")</f>
        <v>Sent email easily</v>
      </c>
    </row>
    <row r="1609" spans="1:3" ht="15" x14ac:dyDescent="0.25">
      <c r="A1609" s="3" t="s">
        <v>1606</v>
      </c>
      <c r="B1609" s="3" t="s">
        <v>4</v>
      </c>
      <c r="C1609" s="2" t="str">
        <f ca="1">IFERROR(__xludf.DUMMYFUNCTION("GOOGLETRANSLATE(A1609,""bn"",""en"")"),"I counted the money")</f>
        <v>I counted the money</v>
      </c>
    </row>
    <row r="1610" spans="1:3" ht="15" x14ac:dyDescent="0.25">
      <c r="A1610" s="3" t="s">
        <v>1607</v>
      </c>
      <c r="B1610" s="3" t="s">
        <v>4</v>
      </c>
      <c r="C1610" s="2" t="str">
        <f ca="1">IFERROR(__xludf.DUMMYFUNCTION("GOOGLETRANSLATE(A1610,""bn"",""en"")"),"I used a smartwatch")</f>
        <v>I used a smartwatch</v>
      </c>
    </row>
    <row r="1611" spans="1:3" ht="15" x14ac:dyDescent="0.25">
      <c r="A1611" s="3" t="s">
        <v>1608</v>
      </c>
      <c r="B1611" s="3" t="s">
        <v>4</v>
      </c>
      <c r="C1611" s="2" t="str">
        <f ca="1">IFERROR(__xludf.DUMMYFUNCTION("GOOGLETRANSLATE(A1611,""bn"",""en"")"),"I read hadith regularly")</f>
        <v>I read hadith regularly</v>
      </c>
    </row>
    <row r="1612" spans="1:3" ht="15" x14ac:dyDescent="0.25">
      <c r="A1612" s="3" t="s">
        <v>1609</v>
      </c>
      <c r="B1612" s="3" t="s">
        <v>4</v>
      </c>
      <c r="C1612" s="2" t="str">
        <f ca="1">IFERROR(__xludf.DUMMYFUNCTION("GOOGLETRANSLATE(A1612,""bn"",""en"")"),"Teaching something new")</f>
        <v>Teaching something new</v>
      </c>
    </row>
    <row r="1613" spans="1:3" ht="15" x14ac:dyDescent="0.25">
      <c r="A1613" s="3" t="s">
        <v>1610</v>
      </c>
      <c r="B1613" s="3" t="s">
        <v>4</v>
      </c>
      <c r="C1613" s="2" t="str">
        <f ca="1">IFERROR(__xludf.DUMMYFUNCTION("GOOGLETRANSLATE(A1613,""bn"",""en"")"),"Registration has increased")</f>
        <v>Registration has increased</v>
      </c>
    </row>
    <row r="1614" spans="1:3" ht="15" x14ac:dyDescent="0.25">
      <c r="A1614" s="3" t="s">
        <v>1611</v>
      </c>
      <c r="B1614" s="3" t="s">
        <v>4</v>
      </c>
      <c r="C1614" s="2" t="str">
        <f ca="1">IFERROR(__xludf.DUMMYFUNCTION("GOOGLETRANSLATE(A1614,""bn"",""en"")"),"I watched the news on the laptop")</f>
        <v>I watched the news on the laptop</v>
      </c>
    </row>
    <row r="1615" spans="1:3" ht="15" x14ac:dyDescent="0.25">
      <c r="A1615" s="3" t="s">
        <v>1612</v>
      </c>
      <c r="B1615" s="3" t="s">
        <v>4</v>
      </c>
      <c r="C1615" s="2" t="str">
        <f ca="1">IFERROR(__xludf.DUMMYFUNCTION("GOOGLETRANSLATE(A1615,""bn"",""en"")"),"I read history")</f>
        <v>I read history</v>
      </c>
    </row>
    <row r="1616" spans="1:3" ht="15" x14ac:dyDescent="0.25">
      <c r="A1616" s="3" t="s">
        <v>1613</v>
      </c>
      <c r="B1616" s="3" t="s">
        <v>4</v>
      </c>
      <c r="C1616" s="2" t="str">
        <f ca="1">IFERROR(__xludf.DUMMYFUNCTION("GOOGLETRANSLATE(A1616,""bn"",""en"")"),"I read history carefully")</f>
        <v>I read history carefully</v>
      </c>
    </row>
    <row r="1617" spans="1:3" ht="15" x14ac:dyDescent="0.25">
      <c r="A1617" s="3" t="s">
        <v>1614</v>
      </c>
      <c r="B1617" s="3" t="s">
        <v>4</v>
      </c>
      <c r="C1617" s="2" t="str">
        <f ca="1">IFERROR(__xludf.DUMMYFUNCTION("GOOGLETRANSLATE(A1617,""bn"",""en"")"),"Looking for improvement in production")</f>
        <v>Looking for improvement in production</v>
      </c>
    </row>
    <row r="1618" spans="1:3" ht="15" x14ac:dyDescent="0.25">
      <c r="A1618" s="3" t="s">
        <v>1615</v>
      </c>
      <c r="B1618" s="3" t="s">
        <v>4</v>
      </c>
      <c r="C1618" s="2" t="str">
        <f ca="1">IFERROR(__xludf.DUMMYFUNCTION("GOOGLETRANSLATE(A1618,""bn"",""en"")"),"Looking for entertainment")</f>
        <v>Looking for entertainment</v>
      </c>
    </row>
    <row r="1619" spans="1:3" ht="15" x14ac:dyDescent="0.25">
      <c r="A1619" s="3" t="s">
        <v>1616</v>
      </c>
      <c r="B1619" s="3" t="s">
        <v>4</v>
      </c>
      <c r="C1619" s="2" t="str">
        <f ca="1">IFERROR(__xludf.DUMMYFUNCTION("GOOGLETRANSLATE(A1619,""bn"",""en"")"),"Internet access is easy")</f>
        <v>Internet access is easy</v>
      </c>
    </row>
    <row r="1620" spans="1:3" ht="15" x14ac:dyDescent="0.25">
      <c r="A1620" s="3" t="s">
        <v>1617</v>
      </c>
      <c r="B1620" s="3" t="s">
        <v>4</v>
      </c>
      <c r="C1620" s="2" t="str">
        <f ca="1">IFERROR(__xludf.DUMMYFUNCTION("GOOGLETRANSLATE(A1620,""bn"",""en"")"),"Read jokes online")</f>
        <v>Read jokes online</v>
      </c>
    </row>
    <row r="1621" spans="1:3" ht="15" x14ac:dyDescent="0.25">
      <c r="A1621" s="3" t="s">
        <v>1618</v>
      </c>
      <c r="B1621" s="3" t="s">
        <v>4</v>
      </c>
      <c r="C1621" s="2" t="str">
        <f ca="1">IFERROR(__xludf.DUMMYFUNCTION("GOOGLETRANSLATE(A1621,""bn"",""en"")"),"Publish research")</f>
        <v>Publish research</v>
      </c>
    </row>
    <row r="1622" spans="1:3" ht="15" x14ac:dyDescent="0.25">
      <c r="A1622" s="3" t="s">
        <v>1619</v>
      </c>
      <c r="B1622" s="3" t="s">
        <v>4</v>
      </c>
      <c r="C1622" s="2" t="str">
        <f ca="1">IFERROR(__xludf.DUMMYFUNCTION("GOOGLETRANSLATE(A1622,""bn"",""en"")"),"He is playing games")</f>
        <v>He is playing games</v>
      </c>
    </row>
    <row r="1623" spans="1:3" ht="15" x14ac:dyDescent="0.25">
      <c r="A1623" s="3" t="s">
        <v>1620</v>
      </c>
      <c r="B1623" s="3" t="s">
        <v>4</v>
      </c>
      <c r="C1623" s="2" t="str">
        <f ca="1">IFERROR(__xludf.DUMMYFUNCTION("GOOGLETRANSLATE(A1623,""bn"",""en"")"),"Use more internet")</f>
        <v>Use more internet</v>
      </c>
    </row>
    <row r="1624" spans="1:3" ht="15" x14ac:dyDescent="0.25">
      <c r="A1624" s="3" t="s">
        <v>1621</v>
      </c>
      <c r="B1624" s="3" t="s">
        <v>4</v>
      </c>
      <c r="C1624" s="2" t="str">
        <f ca="1">IFERROR(__xludf.DUMMYFUNCTION("GOOGLETRANSLATE(A1624,""bn"",""en"")"),"I want to find technology")</f>
        <v>I want to find technology</v>
      </c>
    </row>
    <row r="1625" spans="1:3" ht="15" x14ac:dyDescent="0.25">
      <c r="A1625" s="3" t="s">
        <v>1622</v>
      </c>
      <c r="B1625" s="3" t="s">
        <v>4</v>
      </c>
      <c r="C1625" s="2" t="str">
        <f ca="1">IFERROR(__xludf.DUMMYFUNCTION("GOOGLETRANSLATE(A1625,""bn"",""en"")"),"Social discussion is going on")</f>
        <v>Social discussion is going on</v>
      </c>
    </row>
    <row r="1626" spans="1:3" ht="15" x14ac:dyDescent="0.25">
      <c r="A1626" s="3" t="s">
        <v>1623</v>
      </c>
      <c r="B1626" s="3" t="s">
        <v>4</v>
      </c>
      <c r="C1626" s="2" t="str">
        <f ca="1">IFERROR(__xludf.DUMMYFUNCTION("GOOGLETRANSLATE(A1626,""bn"",""en"")"),"i think")</f>
        <v>i think</v>
      </c>
    </row>
    <row r="1627" spans="1:3" ht="15" x14ac:dyDescent="0.25">
      <c r="A1627" s="3" t="s">
        <v>1624</v>
      </c>
      <c r="B1627" s="3" t="s">
        <v>4</v>
      </c>
      <c r="C1627" s="2" t="str">
        <f ca="1">IFERROR(__xludf.DUMMYFUNCTION("GOOGLETRANSLATE(A1627,""bn"",""en"")"),"I work in a bank")</f>
        <v>I work in a bank</v>
      </c>
    </row>
    <row r="1628" spans="1:3" ht="15" x14ac:dyDescent="0.25">
      <c r="A1628" s="3" t="s">
        <v>1625</v>
      </c>
      <c r="B1628" s="3" t="s">
        <v>4</v>
      </c>
      <c r="C1628" s="2" t="str">
        <f ca="1">IFERROR(__xludf.DUMMYFUNCTION("GOOGLETRANSLATE(A1628,""bn"",""en"")"),"I am reading poetry")</f>
        <v>I am reading poetry</v>
      </c>
    </row>
    <row r="1629" spans="1:3" ht="15" x14ac:dyDescent="0.25">
      <c r="A1629" s="3" t="s">
        <v>1626</v>
      </c>
      <c r="B1629" s="3" t="s">
        <v>4</v>
      </c>
      <c r="C1629" s="2" t="str">
        <f ca="1">IFERROR(__xludf.DUMMYFUNCTION("GOOGLETRANSLATE(A1629,""bn"",""en"")"),"Got IT training")</f>
        <v>Got IT training</v>
      </c>
    </row>
    <row r="1630" spans="1:3" ht="15" x14ac:dyDescent="0.25">
      <c r="A1630" s="3" t="s">
        <v>1627</v>
      </c>
      <c r="B1630" s="3" t="s">
        <v>4</v>
      </c>
      <c r="C1630" s="2" t="str">
        <f ca="1">IFERROR(__xludf.DUMMYFUNCTION("GOOGLETRANSLATE(A1630,""bn"",""en"")"),"Exchanged messages")</f>
        <v>Exchanged messages</v>
      </c>
    </row>
    <row r="1631" spans="1:3" ht="15" x14ac:dyDescent="0.25">
      <c r="A1631" s="3" t="s">
        <v>1628</v>
      </c>
      <c r="B1631" s="3" t="s">
        <v>4</v>
      </c>
      <c r="C1631" s="2" t="str">
        <f ca="1">IFERROR(__xludf.DUMMYFUNCTION("GOOGLETRANSLATE(A1631,""bn"",""en"")"),"I used ereader")</f>
        <v>I used ereader</v>
      </c>
    </row>
    <row r="1632" spans="1:3" ht="15" x14ac:dyDescent="0.25">
      <c r="A1632" s="3" t="s">
        <v>1629</v>
      </c>
      <c r="B1632" s="3" t="s">
        <v>4</v>
      </c>
      <c r="C1632" s="2" t="str">
        <f ca="1">IFERROR(__xludf.DUMMYFUNCTION("GOOGLETRANSLATE(A1632,""bn"",""en"")"),"Bank accounts")</f>
        <v>Bank accounts</v>
      </c>
    </row>
    <row r="1633" spans="1:3" ht="15" x14ac:dyDescent="0.25">
      <c r="A1633" s="3" t="s">
        <v>1630</v>
      </c>
      <c r="B1633" s="3" t="s">
        <v>4</v>
      </c>
      <c r="C1633" s="2" t="str">
        <f ca="1">IFERROR(__xludf.DUMMYFUNCTION("GOOGLETRANSLATE(A1633,""bn"",""en"")"),"Groups discuss")</f>
        <v>Groups discuss</v>
      </c>
    </row>
    <row r="1634" spans="1:3" ht="15" x14ac:dyDescent="0.25">
      <c r="A1634" s="3" t="s">
        <v>1631</v>
      </c>
      <c r="B1634" s="3" t="s">
        <v>4</v>
      </c>
      <c r="C1634" s="2" t="str">
        <f ca="1">IFERROR(__xludf.DUMMYFUNCTION("GOOGLETRANSLATE(A1634,""bn"",""en"")"),"Fishermen catch fish")</f>
        <v>Fishermen catch fish</v>
      </c>
    </row>
    <row r="1635" spans="1:3" ht="15" x14ac:dyDescent="0.25">
      <c r="A1635" s="3" t="s">
        <v>1632</v>
      </c>
      <c r="B1635" s="3" t="s">
        <v>4</v>
      </c>
      <c r="C1635" s="2" t="str">
        <f ca="1">IFERROR(__xludf.DUMMYFUNCTION("GOOGLETRANSLATE(A1635,""bn"",""en"")"),"Fishermen find joy in catching fish")</f>
        <v>Fishermen find joy in catching fish</v>
      </c>
    </row>
    <row r="1636" spans="1:3" ht="15" x14ac:dyDescent="0.25">
      <c r="A1636" s="3" t="s">
        <v>1633</v>
      </c>
      <c r="B1636" s="3" t="s">
        <v>4</v>
      </c>
      <c r="C1636" s="2" t="str">
        <f ca="1">IFERROR(__xludf.DUMMYFUNCTION("GOOGLETRANSLATE(A1636,""bn"",""en"")"),"Everyone watches the game")</f>
        <v>Everyone watches the game</v>
      </c>
    </row>
    <row r="1637" spans="1:3" ht="15" x14ac:dyDescent="0.25">
      <c r="A1637" s="3" t="s">
        <v>1634</v>
      </c>
      <c r="B1637" s="3" t="s">
        <v>4</v>
      </c>
      <c r="C1637" s="2" t="str">
        <f ca="1">IFERROR(__xludf.DUMMYFUNCTION("GOOGLETRANSLATE(A1637,""bn"",""en"")"),"I went to see the beauty")</f>
        <v>I went to see the beauty</v>
      </c>
    </row>
    <row r="1638" spans="1:3" ht="15" x14ac:dyDescent="0.25">
      <c r="A1638" s="3" t="s">
        <v>1635</v>
      </c>
      <c r="B1638" s="3" t="s">
        <v>4</v>
      </c>
      <c r="C1638" s="2" t="str">
        <f ca="1">IFERROR(__xludf.DUMMYFUNCTION("GOOGLETRANSLATE(A1638,""bn"",""en"")"),"I went to see the beauty and felt better")</f>
        <v>I went to see the beauty and felt better</v>
      </c>
    </row>
    <row r="1639" spans="1:3" ht="15" x14ac:dyDescent="0.25">
      <c r="A1639" s="3" t="s">
        <v>1636</v>
      </c>
      <c r="B1639" s="3" t="s">
        <v>4</v>
      </c>
      <c r="C1639" s="2" t="str">
        <f ca="1">IFERROR(__xludf.DUMMYFUNCTION("GOOGLETRANSLATE(A1639,""bn"",""en"")"),"Stay in college")</f>
        <v>Stay in college</v>
      </c>
    </row>
    <row r="1640" spans="1:3" ht="15" x14ac:dyDescent="0.25">
      <c r="A1640" s="3" t="s">
        <v>1637</v>
      </c>
      <c r="B1640" s="3" t="s">
        <v>4</v>
      </c>
      <c r="C1640" s="2" t="str">
        <f ca="1">IFERROR(__xludf.DUMMYFUNCTION("GOOGLETRANSLATE(A1640,""bn"",""en"")"),"Investing in the internet")</f>
        <v>Investing in the internet</v>
      </c>
    </row>
    <row r="1641" spans="1:3" ht="15" x14ac:dyDescent="0.25">
      <c r="A1641" s="3" t="s">
        <v>1638</v>
      </c>
      <c r="B1641" s="3" t="s">
        <v>4</v>
      </c>
      <c r="C1641" s="2" t="str">
        <f ca="1">IFERROR(__xludf.DUMMYFUNCTION("GOOGLETRANSLATE(A1641,""bn"",""en"")"),"I use an iPad")</f>
        <v>I use an iPad</v>
      </c>
    </row>
    <row r="1642" spans="1:3" ht="15" x14ac:dyDescent="0.25">
      <c r="A1642" s="3" t="s">
        <v>1639</v>
      </c>
      <c r="B1642" s="3" t="s">
        <v>4</v>
      </c>
      <c r="C1642" s="2" t="str">
        <f ca="1">IFERROR(__xludf.DUMMYFUNCTION("GOOGLETRANSLATE(A1642,""bn"",""en"")"),"Finances are improving")</f>
        <v>Finances are improving</v>
      </c>
    </row>
    <row r="1643" spans="1:3" ht="15" x14ac:dyDescent="0.25">
      <c r="A1643" s="3" t="s">
        <v>1640</v>
      </c>
      <c r="B1643" s="3" t="s">
        <v>4</v>
      </c>
      <c r="C1643" s="2" t="str">
        <f ca="1">IFERROR(__xludf.DUMMYFUNCTION("GOOGLETRANSLATE(A1643,""bn"",""en"")"),"Donating to the poor")</f>
        <v>Donating to the poor</v>
      </c>
    </row>
    <row r="1644" spans="1:3" ht="15" x14ac:dyDescent="0.25">
      <c r="A1644" s="3" t="s">
        <v>1641</v>
      </c>
      <c r="B1644" s="3" t="s">
        <v>4</v>
      </c>
      <c r="C1644" s="2" t="str">
        <f ca="1">IFERROR(__xludf.DUMMYFUNCTION("GOOGLETRANSLATE(A1644,""bn"",""en"")"),"I have traveled the sky")</f>
        <v>I have traveled the sky</v>
      </c>
    </row>
    <row r="1645" spans="1:3" ht="15" x14ac:dyDescent="0.25">
      <c r="A1645" s="3" t="s">
        <v>1642</v>
      </c>
      <c r="B1645" s="3" t="s">
        <v>4</v>
      </c>
      <c r="C1645" s="2" t="str">
        <f ca="1">IFERROR(__xludf.DUMMYFUNCTION("GOOGLETRANSLATE(A1645,""bn"",""en"")"),"Get banking facilities")</f>
        <v>Get banking facilities</v>
      </c>
    </row>
    <row r="1646" spans="1:3" ht="15" x14ac:dyDescent="0.25">
      <c r="A1646" s="3" t="s">
        <v>1643</v>
      </c>
      <c r="B1646" s="3" t="s">
        <v>4</v>
      </c>
      <c r="C1646" s="2" t="str">
        <f ca="1">IFERROR(__xludf.DUMMYFUNCTION("GOOGLETRANSLATE(A1646,""bn"",""en"")"),"Blockchain is based on Python")</f>
        <v>Blockchain is based on Python</v>
      </c>
    </row>
    <row r="1647" spans="1:3" ht="15" x14ac:dyDescent="0.25">
      <c r="A1647" s="3" t="s">
        <v>1644</v>
      </c>
      <c r="B1647" s="3" t="s">
        <v>4</v>
      </c>
      <c r="C1647" s="2" t="str">
        <f ca="1">IFERROR(__xludf.DUMMYFUNCTION("GOOGLETRANSLATE(A1647,""bn"",""en"")"),"Decreased financial prosperity")</f>
        <v>Decreased financial prosperity</v>
      </c>
    </row>
    <row r="1648" spans="1:3" ht="15" x14ac:dyDescent="0.25">
      <c r="A1648" s="3" t="s">
        <v>1645</v>
      </c>
      <c r="B1648" s="3" t="s">
        <v>4</v>
      </c>
      <c r="C1648" s="2" t="str">
        <f ca="1">IFERROR(__xludf.DUMMYFUNCTION("GOOGLETRANSLATE(A1648,""bn"",""en"")"),"He reads books")</f>
        <v>He reads books</v>
      </c>
    </row>
    <row r="1649" spans="1:3" ht="15" x14ac:dyDescent="0.25">
      <c r="A1649" s="3" t="s">
        <v>1646</v>
      </c>
      <c r="B1649" s="3" t="s">
        <v>4</v>
      </c>
      <c r="C1649" s="2" t="str">
        <f ca="1">IFERROR(__xludf.DUMMYFUNCTION("GOOGLETRANSLATE(A1649,""bn"",""en"")"),"Using smartphone")</f>
        <v>Using smartphone</v>
      </c>
    </row>
    <row r="1650" spans="1:3" ht="15" x14ac:dyDescent="0.25">
      <c r="A1650" s="3" t="s">
        <v>1647</v>
      </c>
      <c r="B1650" s="3" t="s">
        <v>4</v>
      </c>
      <c r="C1650" s="2" t="str">
        <f ca="1">IFERROR(__xludf.DUMMYFUNCTION("GOOGLETRANSLATE(A1650,""bn"",""en"")"),"Buying a new smart TV")</f>
        <v>Buying a new smart TV</v>
      </c>
    </row>
    <row r="1651" spans="1:3" ht="15" x14ac:dyDescent="0.25">
      <c r="A1651" s="3" t="s">
        <v>1648</v>
      </c>
      <c r="B1651" s="3" t="s">
        <v>4</v>
      </c>
      <c r="C1651" s="2" t="str">
        <f ca="1">IFERROR(__xludf.DUMMYFUNCTION("GOOGLETRANSLATE(A1651,""bn"",""en"")"),"I support")</f>
        <v>I support</v>
      </c>
    </row>
    <row r="1652" spans="1:3" ht="15" x14ac:dyDescent="0.25">
      <c r="A1652" s="3" t="s">
        <v>1649</v>
      </c>
      <c r="B1652" s="3" t="s">
        <v>4</v>
      </c>
      <c r="C1652" s="2" t="str">
        <f ca="1">IFERROR(__xludf.DUMMYFUNCTION("GOOGLETRANSLATE(A1652,""bn"",""en"")"),"I have sent money to Bikash")</f>
        <v>I have sent money to Bikash</v>
      </c>
    </row>
    <row r="1653" spans="1:3" ht="15" x14ac:dyDescent="0.25">
      <c r="A1653" s="3" t="s">
        <v>1650</v>
      </c>
      <c r="B1653" s="3" t="s">
        <v>4</v>
      </c>
      <c r="C1653" s="2" t="str">
        <f ca="1">IFERROR(__xludf.DUMMYFUNCTION("GOOGLETRANSLATE(A1653,""bn"",""en"")"),"There has been social discussion")</f>
        <v>There has been social discussion</v>
      </c>
    </row>
    <row r="1654" spans="1:3" ht="15" x14ac:dyDescent="0.25">
      <c r="A1654" s="3" t="s">
        <v>1651</v>
      </c>
      <c r="B1654" s="3" t="s">
        <v>4</v>
      </c>
      <c r="C1654" s="2" t="str">
        <f ca="1">IFERROR(__xludf.DUMMYFUNCTION("GOOGLETRANSLATE(A1654,""bn"",""en"")"),"Create a website")</f>
        <v>Create a website</v>
      </c>
    </row>
    <row r="1655" spans="1:3" ht="15" x14ac:dyDescent="0.25">
      <c r="A1655" s="3" t="s">
        <v>1652</v>
      </c>
      <c r="B1655" s="3" t="s">
        <v>4</v>
      </c>
      <c r="C1655" s="2" t="str">
        <f ca="1">IFERROR(__xludf.DUMMYFUNCTION("GOOGLETRANSLATE(A1655,""bn"",""en"")"),"No online classes")</f>
        <v>No online classes</v>
      </c>
    </row>
    <row r="1656" spans="1:3" ht="15" x14ac:dyDescent="0.25">
      <c r="A1656" s="3" t="s">
        <v>1653</v>
      </c>
      <c r="B1656" s="3" t="s">
        <v>4</v>
      </c>
      <c r="C1656" s="2" t="str">
        <f ca="1">IFERROR(__xludf.DUMMYFUNCTION("GOOGLETRANSLATE(A1656,""bn"",""en"")"),"I can read email")</f>
        <v>I can read email</v>
      </c>
    </row>
    <row r="1657" spans="1:3" ht="15" x14ac:dyDescent="0.25">
      <c r="A1657" s="3" t="s">
        <v>1654</v>
      </c>
      <c r="B1657" s="3" t="s">
        <v>4</v>
      </c>
      <c r="C1657" s="2" t="str">
        <f ca="1">IFERROR(__xludf.DUMMYFUNCTION("GOOGLETRANSLATE(A1657,""bn"",""en"")"),"Using the hub")</f>
        <v>Using the hub</v>
      </c>
    </row>
    <row r="1658" spans="1:3" ht="15" x14ac:dyDescent="0.25">
      <c r="A1658" s="3" t="s">
        <v>1655</v>
      </c>
      <c r="B1658" s="3" t="s">
        <v>4</v>
      </c>
      <c r="C1658" s="2" t="str">
        <f ca="1">IFERROR(__xludf.DUMMYFUNCTION("GOOGLETRANSLATE(A1658,""bn"",""en"")"),"You read history carefully")</f>
        <v>You read history carefully</v>
      </c>
    </row>
    <row r="1659" spans="1:3" ht="15" x14ac:dyDescent="0.25">
      <c r="A1659" s="3" t="s">
        <v>1656</v>
      </c>
      <c r="B1659" s="3" t="s">
        <v>4</v>
      </c>
      <c r="C1659" s="2" t="str">
        <f ca="1">IFERROR(__xludf.DUMMYFUNCTION("GOOGLETRANSLATE(A1659,""bn"",""en"")"),"you read history")</f>
        <v>you read history</v>
      </c>
    </row>
    <row r="1660" spans="1:3" ht="15" x14ac:dyDescent="0.25">
      <c r="A1660" s="3" t="s">
        <v>1657</v>
      </c>
      <c r="B1660" s="3" t="s">
        <v>4</v>
      </c>
      <c r="C1660" s="2" t="str">
        <f ca="1">IFERROR(__xludf.DUMMYFUNCTION("GOOGLETRANSLATE(A1660,""bn"",""en"")"),"Technology has disadvantages")</f>
        <v>Technology has disadvantages</v>
      </c>
    </row>
    <row r="1661" spans="1:3" ht="15" x14ac:dyDescent="0.25">
      <c r="A1661" s="3" t="s">
        <v>1658</v>
      </c>
      <c r="B1661" s="3" t="s">
        <v>4</v>
      </c>
      <c r="C1661" s="2" t="str">
        <f ca="1">IFERROR(__xludf.DUMMYFUNCTION("GOOGLETRANSLATE(A1661,""bn"",""en"")"),"Enlightened by Vidya")</f>
        <v>Enlightened by Vidya</v>
      </c>
    </row>
    <row r="1662" spans="1:3" ht="15" x14ac:dyDescent="0.25">
      <c r="A1662" s="3" t="s">
        <v>1659</v>
      </c>
      <c r="B1662" s="3" t="s">
        <v>4</v>
      </c>
      <c r="C1662" s="2" t="str">
        <f ca="1">IFERROR(__xludf.DUMMYFUNCTION("GOOGLETRANSLATE(A1662,""bn"",""en"")"),"good use")</f>
        <v>good use</v>
      </c>
    </row>
    <row r="1663" spans="1:3" ht="15" x14ac:dyDescent="0.25">
      <c r="A1663" s="3" t="s">
        <v>1660</v>
      </c>
      <c r="B1663" s="3" t="s">
        <v>4</v>
      </c>
      <c r="C1663" s="2" t="str">
        <f ca="1">IFERROR(__xludf.DUMMYFUNCTION("GOOGLETRANSLATE(A1663,""bn"",""en"")"),"Flowers are emitting fragrance")</f>
        <v>Flowers are emitting fragrance</v>
      </c>
    </row>
    <row r="1664" spans="1:3" ht="15" x14ac:dyDescent="0.25">
      <c r="A1664" s="3" t="s">
        <v>1661</v>
      </c>
      <c r="B1664" s="3" t="s">
        <v>4</v>
      </c>
      <c r="C1664" s="2" t="str">
        <f ca="1">IFERROR(__xludf.DUMMYFUNCTION("GOOGLETRANSLATE(A1664,""bn"",""en"")"),"Rabindranath is a universal poet")</f>
        <v>Rabindranath is a universal poet</v>
      </c>
    </row>
    <row r="1665" spans="1:3" ht="15" x14ac:dyDescent="0.25">
      <c r="A1665" s="3" t="s">
        <v>1662</v>
      </c>
      <c r="B1665" s="3" t="s">
        <v>4</v>
      </c>
      <c r="C1665" s="2" t="str">
        <f ca="1">IFERROR(__xludf.DUMMYFUNCTION("GOOGLETRANSLATE(A1665,""bn"",""en"")"),"Buying a bluetooth speaker")</f>
        <v>Buying a bluetooth speaker</v>
      </c>
    </row>
    <row r="1666" spans="1:3" ht="15" x14ac:dyDescent="0.25">
      <c r="A1666" s="3" t="s">
        <v>1663</v>
      </c>
      <c r="B1666" s="3" t="s">
        <v>4</v>
      </c>
      <c r="C1666" s="2" t="str">
        <f ca="1">IFERROR(__xludf.DUMMYFUNCTION("GOOGLETRANSLATE(A1666,""bn"",""en"")"),"Introducing the initiative")</f>
        <v>Introducing the initiative</v>
      </c>
    </row>
    <row r="1667" spans="1:3" ht="15" x14ac:dyDescent="0.25">
      <c r="A1667" s="3" t="s">
        <v>1664</v>
      </c>
      <c r="B1667" s="3" t="s">
        <v>4</v>
      </c>
      <c r="C1667" s="2" t="str">
        <f ca="1">IFERROR(__xludf.DUMMYFUNCTION("GOOGLETRANSLATE(A1667,""bn"",""en"")"),"Be enlightened with knowledge")</f>
        <v>Be enlightened with knowledge</v>
      </c>
    </row>
    <row r="1668" spans="1:3" ht="15" x14ac:dyDescent="0.25">
      <c r="A1668" s="3" t="s">
        <v>1665</v>
      </c>
      <c r="B1668" s="3" t="s">
        <v>4</v>
      </c>
      <c r="C1668" s="2" t="str">
        <f ca="1">IFERROR(__xludf.DUMMYFUNCTION("GOOGLETRANSLATE(A1668,""bn"",""en"")"),"I have been to Mecca")</f>
        <v>I have been to Mecca</v>
      </c>
    </row>
    <row r="1669" spans="1:3" ht="15" x14ac:dyDescent="0.25">
      <c r="A1669" s="3" t="s">
        <v>1666</v>
      </c>
      <c r="B1669" s="3" t="s">
        <v>4</v>
      </c>
      <c r="C1669" s="2" t="str">
        <f ca="1">IFERROR(__xludf.DUMMYFUNCTION("GOOGLETRANSLATE(A1669,""bn"",""en"")"),"Looking for joy in travel")</f>
        <v>Looking for joy in travel</v>
      </c>
    </row>
    <row r="1670" spans="1:3" ht="15" x14ac:dyDescent="0.25">
      <c r="A1670" s="3" t="s">
        <v>1667</v>
      </c>
      <c r="B1670" s="3" t="s">
        <v>4</v>
      </c>
      <c r="C1670" s="2" t="str">
        <f ca="1">IFERROR(__xludf.DUMMYFUNCTION("GOOGLETRANSLATE(A1670,""bn"",""en"")"),"Invest securely")</f>
        <v>Invest securely</v>
      </c>
    </row>
    <row r="1671" spans="1:3" ht="15" x14ac:dyDescent="0.25">
      <c r="A1671" s="3" t="s">
        <v>1668</v>
      </c>
      <c r="B1671" s="3" t="s">
        <v>4</v>
      </c>
      <c r="C1671" s="2" t="str">
        <f ca="1">IFERROR(__xludf.DUMMYFUNCTION("GOOGLETRANSLATE(A1671,""bn"",""en"")"),"Computer is an integral part")</f>
        <v>Computer is an integral part</v>
      </c>
    </row>
    <row r="1672" spans="1:3" ht="15" x14ac:dyDescent="0.25">
      <c r="A1672" s="3" t="s">
        <v>1669</v>
      </c>
      <c r="B1672" s="3" t="s">
        <v>4</v>
      </c>
      <c r="C1672" s="2" t="str">
        <f ca="1">IFERROR(__xludf.DUMMYFUNCTION("GOOGLETRANSLATE(A1672,""bn"",""en"")"),"Walking in the college cafeteria")</f>
        <v>Walking in the college cafeteria</v>
      </c>
    </row>
    <row r="1673" spans="1:3" ht="15" x14ac:dyDescent="0.25">
      <c r="A1673" s="3" t="s">
        <v>1670</v>
      </c>
      <c r="B1673" s="3" t="s">
        <v>4</v>
      </c>
      <c r="C1673" s="2" t="str">
        <f ca="1">IFERROR(__xludf.DUMMYFUNCTION("GOOGLETRANSLATE(A1673,""bn"",""en"")"),"I've been to Alaska")</f>
        <v>I've been to Alaska</v>
      </c>
    </row>
    <row r="1674" spans="1:3" ht="15" x14ac:dyDescent="0.25">
      <c r="A1674" s="3" t="s">
        <v>1671</v>
      </c>
      <c r="B1674" s="3" t="s">
        <v>4</v>
      </c>
      <c r="C1674" s="2" t="str">
        <f ca="1">IFERROR(__xludf.DUMMYFUNCTION("GOOGLETRANSLATE(A1674,""bn"",""en"")"),"Reading books is fun")</f>
        <v>Reading books is fun</v>
      </c>
    </row>
    <row r="1675" spans="1:3" ht="15" x14ac:dyDescent="0.25">
      <c r="A1675" s="3" t="s">
        <v>1672</v>
      </c>
      <c r="B1675" s="3" t="s">
        <v>4</v>
      </c>
      <c r="C1675" s="2" t="str">
        <f ca="1">IFERROR(__xludf.DUMMYFUNCTION("GOOGLETRANSLATE(A1675,""bn"",""en"")"),"I travel to college")</f>
        <v>I travel to college</v>
      </c>
    </row>
    <row r="1676" spans="1:3" ht="15" x14ac:dyDescent="0.25">
      <c r="A1676" s="3" t="s">
        <v>1673</v>
      </c>
      <c r="B1676" s="3" t="s">
        <v>4</v>
      </c>
      <c r="C1676" s="2" t="str">
        <f ca="1">IFERROR(__xludf.DUMMYFUNCTION("GOOGLETRANSLATE(A1676,""bn"",""en"")"),"Political discussion")</f>
        <v>Political discussion</v>
      </c>
    </row>
    <row r="1677" spans="1:3" ht="15" x14ac:dyDescent="0.25">
      <c r="A1677" s="3" t="s">
        <v>1674</v>
      </c>
      <c r="B1677" s="3" t="s">
        <v>4</v>
      </c>
      <c r="C1677" s="2" t="str">
        <f ca="1">IFERROR(__xludf.DUMMYFUNCTION("GOOGLETRANSLATE(A1677,""bn"",""en"")"),"Always walking around")</f>
        <v>Always walking around</v>
      </c>
    </row>
    <row r="1678" spans="1:3" ht="15" x14ac:dyDescent="0.25">
      <c r="A1678" s="3" t="s">
        <v>1675</v>
      </c>
      <c r="B1678" s="3" t="s">
        <v>4</v>
      </c>
      <c r="C1678" s="2" t="str">
        <f ca="1">IFERROR(__xludf.DUMMYFUNCTION("GOOGLETRANSLATE(A1678,""bn"",""en"")"),"Education is everyone's right")</f>
        <v>Education is everyone's right</v>
      </c>
    </row>
    <row r="1679" spans="1:3" ht="15" x14ac:dyDescent="0.25">
      <c r="A1679" s="3" t="s">
        <v>1676</v>
      </c>
      <c r="B1679" s="3" t="s">
        <v>4</v>
      </c>
      <c r="C1679" s="2" t="str">
        <f ca="1">IFERROR(__xludf.DUMMYFUNCTION("GOOGLETRANSLATE(A1679,""bn"",""en"")"),"I find peace in the journey")</f>
        <v>I find peace in the journey</v>
      </c>
    </row>
    <row r="1680" spans="1:3" ht="15" x14ac:dyDescent="0.25">
      <c r="A1680" s="3" t="s">
        <v>1677</v>
      </c>
      <c r="B1680" s="3" t="s">
        <v>4</v>
      </c>
      <c r="C1680" s="2" t="str">
        <f ca="1">IFERROR(__xludf.DUMMYFUNCTION("GOOGLETRANSLATE(A1680,""bn"",""en"")"),"There is financial development")</f>
        <v>There is financial development</v>
      </c>
    </row>
    <row r="1681" spans="1:3" ht="15" x14ac:dyDescent="0.25">
      <c r="A1681" s="3" t="s">
        <v>1678</v>
      </c>
      <c r="B1681" s="3" t="s">
        <v>4</v>
      </c>
      <c r="C1681" s="2" t="str">
        <f ca="1">IFERROR(__xludf.DUMMYFUNCTION("GOOGLETRANSLATE(A1681,""bn"",""en"")"),"Life is spent in the dormitory")</f>
        <v>Life is spent in the dormitory</v>
      </c>
    </row>
    <row r="1682" spans="1:3" ht="15" x14ac:dyDescent="0.25">
      <c r="A1682" s="3" t="s">
        <v>1679</v>
      </c>
      <c r="B1682" s="3" t="s">
        <v>4</v>
      </c>
      <c r="C1682" s="2" t="str">
        <f ca="1">IFERROR(__xludf.DUMMYFUNCTION("GOOGLETRANSLATE(A1682,""bn"",""en"")"),"I am using television")</f>
        <v>I am using television</v>
      </c>
    </row>
    <row r="1683" spans="1:3" ht="15" x14ac:dyDescent="0.25">
      <c r="A1683" s="3" t="s">
        <v>1680</v>
      </c>
      <c r="B1683" s="3" t="s">
        <v>4</v>
      </c>
      <c r="C1683" s="2" t="str">
        <f ca="1">IFERROR(__xludf.DUMMYFUNCTION("GOOGLETRANSLATE(A1683,""bn"",""en"")"),"There are bank services")</f>
        <v>There are bank services</v>
      </c>
    </row>
    <row r="1684" spans="1:3" ht="15" x14ac:dyDescent="0.25">
      <c r="A1684" s="3" t="s">
        <v>1681</v>
      </c>
      <c r="B1684" s="3" t="s">
        <v>4</v>
      </c>
      <c r="C1684" s="2" t="str">
        <f ca="1">IFERROR(__xludf.DUMMYFUNCTION("GOOGLETRANSLATE(A1684,""bn"",""en"")"),"Students read the story")</f>
        <v>Students read the story</v>
      </c>
    </row>
    <row r="1685" spans="1:3" ht="15" x14ac:dyDescent="0.25">
      <c r="A1685" s="3" t="s">
        <v>1682</v>
      </c>
      <c r="B1685" s="3" t="s">
        <v>4</v>
      </c>
      <c r="C1685" s="2" t="str">
        <f ca="1">IFERROR(__xludf.DUMMYFUNCTION("GOOGLETRANSLATE(A1685,""bn"",""en"")"),"People are together")</f>
        <v>People are together</v>
      </c>
    </row>
    <row r="1686" spans="1:3" ht="15" x14ac:dyDescent="0.25">
      <c r="A1686" s="3" t="s">
        <v>1683</v>
      </c>
      <c r="B1686" s="3" t="s">
        <v>4</v>
      </c>
      <c r="C1686" s="2" t="str">
        <f ca="1">IFERROR(__xludf.DUMMYFUNCTION("GOOGLETRANSLATE(A1686,""bn"",""en"")"),"Hitech Park is being designed")</f>
        <v>Hitech Park is being designed</v>
      </c>
    </row>
    <row r="1687" spans="1:3" ht="15" x14ac:dyDescent="0.25">
      <c r="A1687" s="3" t="s">
        <v>1684</v>
      </c>
      <c r="B1687" s="3" t="s">
        <v>4</v>
      </c>
      <c r="C1687" s="2" t="str">
        <f ca="1">IFERROR(__xludf.DUMMYFUNCTION("GOOGLETRANSLATE(A1687,""bn"",""en"")"),"share feelings")</f>
        <v>share feelings</v>
      </c>
    </row>
    <row r="1688" spans="1:3" ht="15" x14ac:dyDescent="0.25">
      <c r="A1688" s="3" t="s">
        <v>1685</v>
      </c>
      <c r="B1688" s="3" t="s">
        <v>4</v>
      </c>
      <c r="C1688" s="2" t="str">
        <f ca="1">IFERROR(__xludf.DUMMYFUNCTION("GOOGLETRANSLATE(A1688,""bn"",""en"")"),"Check the account")</f>
        <v>Check the account</v>
      </c>
    </row>
    <row r="1689" spans="1:3" ht="15" x14ac:dyDescent="0.25">
      <c r="A1689" s="3" t="s">
        <v>1686</v>
      </c>
      <c r="B1689" s="3" t="s">
        <v>4</v>
      </c>
      <c r="C1689" s="2" t="str">
        <f ca="1">IFERROR(__xludf.DUMMYFUNCTION("GOOGLETRANSLATE(A1689,""bn"",""en"")"),"I like cricket")</f>
        <v>I like cricket</v>
      </c>
    </row>
    <row r="1690" spans="1:3" ht="15" x14ac:dyDescent="0.25">
      <c r="A1690" s="3" t="s">
        <v>1687</v>
      </c>
      <c r="B1690" s="3" t="s">
        <v>4</v>
      </c>
      <c r="C1690" s="2" t="str">
        <f ca="1">IFERROR(__xludf.DUMMYFUNCTION("GOOGLETRANSLATE(A1690,""bn"",""en"")"),"Google browsed")</f>
        <v>Google browsed</v>
      </c>
    </row>
    <row r="1691" spans="1:3" ht="15" x14ac:dyDescent="0.25">
      <c r="A1691" s="3" t="s">
        <v>1688</v>
      </c>
      <c r="B1691" s="3" t="s">
        <v>4</v>
      </c>
      <c r="C1691" s="2" t="str">
        <f ca="1">IFERROR(__xludf.DUMMYFUNCTION("GOOGLETRANSLATE(A1691,""bn"",""en"")"),"Food increases vitality")</f>
        <v>Food increases vitality</v>
      </c>
    </row>
    <row r="1692" spans="1:3" ht="15" x14ac:dyDescent="0.25">
      <c r="A1692" s="3" t="s">
        <v>1689</v>
      </c>
      <c r="B1692" s="3" t="s">
        <v>4</v>
      </c>
      <c r="C1692" s="2" t="str">
        <f ca="1">IFERROR(__xludf.DUMMYFUNCTION("GOOGLETRANSLATE(A1692,""bn"",""en"")"),"Food gives vitality")</f>
        <v>Food gives vitality</v>
      </c>
    </row>
    <row r="1693" spans="1:3" ht="15" x14ac:dyDescent="0.25">
      <c r="A1693" s="3" t="s">
        <v>1690</v>
      </c>
      <c r="B1693" s="3" t="s">
        <v>4</v>
      </c>
      <c r="C1693" s="2" t="str">
        <f ca="1">IFERROR(__xludf.DUMMYFUNCTION("GOOGLETRANSLATE(A1693,""bn"",""en"")"),"Happy pilgrimage")</f>
        <v>Happy pilgrimage</v>
      </c>
    </row>
    <row r="1694" spans="1:3" ht="15" x14ac:dyDescent="0.25">
      <c r="A1694" s="3" t="s">
        <v>1691</v>
      </c>
      <c r="B1694" s="3" t="s">
        <v>4</v>
      </c>
      <c r="C1694" s="2" t="str">
        <f ca="1">IFERROR(__xludf.DUMMYFUNCTION("GOOGLETRANSLATE(A1694,""bn"",""en"")"),"Read hadith regularly")</f>
        <v>Read hadith regularly</v>
      </c>
    </row>
    <row r="1695" spans="1:3" ht="15" x14ac:dyDescent="0.25">
      <c r="A1695" s="3" t="s">
        <v>1692</v>
      </c>
      <c r="B1695" s="3" t="s">
        <v>4</v>
      </c>
      <c r="C1695" s="2" t="str">
        <f ca="1">IFERROR(__xludf.DUMMYFUNCTION("GOOGLETRANSLATE(A1695,""bn"",""en"")"),"I took a picture with the camera")</f>
        <v>I took a picture with the camera</v>
      </c>
    </row>
    <row r="1696" spans="1:3" ht="15" x14ac:dyDescent="0.25">
      <c r="A1696" s="3" t="s">
        <v>1693</v>
      </c>
      <c r="B1696" s="3" t="s">
        <v>4</v>
      </c>
      <c r="C1696" s="2" t="str">
        <f ca="1">IFERROR(__xludf.DUMMYFUNCTION("GOOGLETRANSLATE(A1696,""bn"",""en"")"),"Politics is being debated")</f>
        <v>Politics is being debated</v>
      </c>
    </row>
    <row r="1697" spans="1:3" ht="15" x14ac:dyDescent="0.25">
      <c r="A1697" s="3" t="s">
        <v>1694</v>
      </c>
      <c r="B1697" s="3" t="s">
        <v>4</v>
      </c>
      <c r="C1697" s="2" t="str">
        <f ca="1">IFERROR(__xludf.DUMMYFUNCTION("GOOGLETRANSLATE(A1697,""bn"",""en"")"),"I go to Kashmir")</f>
        <v>I go to Kashmir</v>
      </c>
    </row>
    <row r="1698" spans="1:3" ht="15" x14ac:dyDescent="0.25">
      <c r="A1698" s="3" t="s">
        <v>1695</v>
      </c>
      <c r="B1698" s="3" t="s">
        <v>4</v>
      </c>
      <c r="C1698" s="2" t="str">
        <f ca="1">IFERROR(__xludf.DUMMYFUNCTION("GOOGLETRANSLATE(A1698,""bn"",""en"")"),"Sania is playing badminton")</f>
        <v>Sania is playing badminton</v>
      </c>
    </row>
    <row r="1699" spans="1:3" ht="15" x14ac:dyDescent="0.25">
      <c r="A1699" s="3" t="s">
        <v>1696</v>
      </c>
      <c r="B1699" s="3" t="s">
        <v>4</v>
      </c>
      <c r="C1699" s="2" t="str">
        <f ca="1">IFERROR(__xludf.DUMMYFUNCTION("GOOGLETRANSLATE(A1699,""bn"",""en"")"),"Students are reading poetry")</f>
        <v>Students are reading poetry</v>
      </c>
    </row>
    <row r="1700" spans="1:3" ht="15" x14ac:dyDescent="0.25">
      <c r="A1700" s="3" t="s">
        <v>1697</v>
      </c>
      <c r="B1700" s="3" t="s">
        <v>4</v>
      </c>
      <c r="C1700" s="2" t="str">
        <f ca="1">IFERROR(__xludf.DUMMYFUNCTION("GOOGLETRANSLATE(A1700,""bn"",""en"")"),"I am sending the video")</f>
        <v>I am sending the video</v>
      </c>
    </row>
    <row r="1701" spans="1:3" ht="15" x14ac:dyDescent="0.25">
      <c r="A1701" s="3" t="s">
        <v>1698</v>
      </c>
      <c r="B1701" s="3" t="s">
        <v>4</v>
      </c>
      <c r="C1701" s="2" t="str">
        <f ca="1">IFERROR(__xludf.DUMMYFUNCTION("GOOGLETRANSLATE(A1701,""bn"",""en"")"),"He blogs")</f>
        <v>He blogs</v>
      </c>
    </row>
    <row r="1702" spans="1:3" ht="15" x14ac:dyDescent="0.25">
      <c r="A1702" s="3" t="s">
        <v>1699</v>
      </c>
      <c r="B1702" s="3" t="s">
        <v>4</v>
      </c>
      <c r="C1702" s="2" t="str">
        <f ca="1">IFERROR(__xludf.DUMMYFUNCTION("GOOGLETRANSLATE(A1702,""bn"",""en"")"),"I express my condolences")</f>
        <v>I express my condolences</v>
      </c>
    </row>
    <row r="1703" spans="1:3" ht="15" x14ac:dyDescent="0.25">
      <c r="A1703" s="3" t="s">
        <v>1700</v>
      </c>
      <c r="B1703" s="3" t="s">
        <v>4</v>
      </c>
      <c r="C1703" s="2" t="str">
        <f ca="1">IFERROR(__xludf.DUMMYFUNCTION("GOOGLETRANSLATE(A1703,""bn"",""en"")"),"Taking expert advice")</f>
        <v>Taking expert advice</v>
      </c>
    </row>
    <row r="1704" spans="1:3" ht="15" x14ac:dyDescent="0.25">
      <c r="A1704" s="3" t="s">
        <v>1701</v>
      </c>
      <c r="B1704" s="3" t="s">
        <v>4</v>
      </c>
      <c r="C1704" s="2" t="str">
        <f ca="1">IFERROR(__xludf.DUMMYFUNCTION("GOOGLETRANSLATE(A1704,""bn"",""en"")"),"Adding myself")</f>
        <v>Adding myself</v>
      </c>
    </row>
    <row r="1705" spans="1:3" ht="15" x14ac:dyDescent="0.25">
      <c r="A1705" s="3" t="s">
        <v>1702</v>
      </c>
      <c r="B1705" s="3" t="s">
        <v>4</v>
      </c>
      <c r="C1705" s="2" t="str">
        <f ca="1">IFERROR(__xludf.DUMMYFUNCTION("GOOGLETRANSLATE(A1705,""bn"",""en"")"),"I use the webcam")</f>
        <v>I use the webcam</v>
      </c>
    </row>
    <row r="1706" spans="1:3" ht="15" x14ac:dyDescent="0.25">
      <c r="A1706" s="3" t="s">
        <v>1703</v>
      </c>
      <c r="B1706" s="3" t="s">
        <v>4</v>
      </c>
      <c r="C1706" s="2" t="str">
        <f ca="1">IFERROR(__xludf.DUMMYFUNCTION("GOOGLETRANSLATE(A1706,""bn"",""en"")"),"I understand well")</f>
        <v>I understand well</v>
      </c>
    </row>
    <row r="1707" spans="1:3" ht="15" x14ac:dyDescent="0.25">
      <c r="A1707" s="3" t="s">
        <v>1704</v>
      </c>
      <c r="B1707" s="3" t="s">
        <v>4</v>
      </c>
      <c r="C1707" s="2" t="str">
        <f ca="1">IFERROR(__xludf.DUMMYFUNCTION("GOOGLETRANSLATE(A1707,""bn"",""en"")"),"The parties are meeting")</f>
        <v>The parties are meeting</v>
      </c>
    </row>
    <row r="1708" spans="1:3" ht="15" x14ac:dyDescent="0.25">
      <c r="A1708" s="3" t="s">
        <v>1705</v>
      </c>
      <c r="B1708" s="3" t="s">
        <v>4</v>
      </c>
      <c r="C1708" s="2" t="str">
        <f ca="1">IFERROR(__xludf.DUMMYFUNCTION("GOOGLETRANSLATE(A1708,""bn"",""en"")"),"Financial development is taking place")</f>
        <v>Financial development is taking place</v>
      </c>
    </row>
    <row r="1709" spans="1:3" ht="15" x14ac:dyDescent="0.25">
      <c r="A1709" s="3" t="s">
        <v>1706</v>
      </c>
      <c r="B1709" s="3" t="s">
        <v>4</v>
      </c>
      <c r="C1709" s="2" t="str">
        <f ca="1">IFERROR(__xludf.DUMMYFUNCTION("GOOGLETRANSLATE(A1709,""bn"",""en"")"),"He is computer literate")</f>
        <v>He is computer literate</v>
      </c>
    </row>
    <row r="1710" spans="1:3" ht="15" x14ac:dyDescent="0.25">
      <c r="A1710" s="3" t="s">
        <v>1707</v>
      </c>
      <c r="B1710" s="3" t="s">
        <v>4</v>
      </c>
      <c r="C1710" s="2" t="str">
        <f ca="1">IFERROR(__xludf.DUMMYFUNCTION("GOOGLETRANSLATE(A1710,""bn"",""en"")"),"By computer class")</f>
        <v>By computer class</v>
      </c>
    </row>
    <row r="1711" spans="1:3" ht="15" x14ac:dyDescent="0.25">
      <c r="A1711" s="3" t="s">
        <v>1708</v>
      </c>
      <c r="B1711" s="3" t="s">
        <v>4</v>
      </c>
      <c r="C1711" s="2" t="str">
        <f ca="1">IFERROR(__xludf.DUMMYFUNCTION("GOOGLETRANSLATE(A1711,""bn"",""en"")"),"I'm learning numbers")</f>
        <v>I'm learning numbers</v>
      </c>
    </row>
    <row r="1712" spans="1:3" ht="15" x14ac:dyDescent="0.25">
      <c r="A1712" s="3" t="s">
        <v>1709</v>
      </c>
      <c r="B1712" s="3" t="s">
        <v>4</v>
      </c>
      <c r="C1712" s="2" t="str">
        <f ca="1">IFERROR(__xludf.DUMMYFUNCTION("GOOGLETRANSLATE(A1712,""bn"",""en"")"),"I did the Skyride")</f>
        <v>I did the Skyride</v>
      </c>
    </row>
    <row r="1713" spans="1:3" ht="15" x14ac:dyDescent="0.25">
      <c r="A1713" s="3" t="s">
        <v>1710</v>
      </c>
      <c r="B1713" s="3" t="s">
        <v>4</v>
      </c>
      <c r="C1713" s="2" t="str">
        <f ca="1">IFERROR(__xludf.DUMMYFUNCTION("GOOGLETRANSLATE(A1713,""bn"",""en"")"),"i do math")</f>
        <v>i do math</v>
      </c>
    </row>
    <row r="1714" spans="1:3" ht="15" x14ac:dyDescent="0.25">
      <c r="A1714" s="3" t="s">
        <v>1711</v>
      </c>
      <c r="B1714" s="3" t="s">
        <v>4</v>
      </c>
      <c r="C1714" s="2" t="str">
        <f ca="1">IFERROR(__xludf.DUMMYFUNCTION("GOOGLETRANSLATE(A1714,""bn"",""en"")"),"No bank service")</f>
        <v>No bank service</v>
      </c>
    </row>
    <row r="1715" spans="1:3" ht="15" x14ac:dyDescent="0.25">
      <c r="A1715" s="3" t="s">
        <v>1712</v>
      </c>
      <c r="B1715" s="3" t="s">
        <v>4</v>
      </c>
      <c r="C1715" s="2" t="str">
        <f ca="1">IFERROR(__xludf.DUMMYFUNCTION("GOOGLETRANSLATE(A1715,""bn"",""en"")"),"I have done my homework")</f>
        <v>I have done my homework</v>
      </c>
    </row>
    <row r="1716" spans="1:3" ht="15" x14ac:dyDescent="0.25">
      <c r="A1716" s="3" t="s">
        <v>1713</v>
      </c>
      <c r="B1716" s="3" t="s">
        <v>4</v>
      </c>
      <c r="C1716" s="2" t="str">
        <f ca="1">IFERROR(__xludf.DUMMYFUNCTION("GOOGLETRANSLATE(A1716,""bn"",""en"")"),"Being happy on the trip")</f>
        <v>Being happy on the trip</v>
      </c>
    </row>
    <row r="1717" spans="1:3" ht="15" x14ac:dyDescent="0.25">
      <c r="A1717" s="3" t="s">
        <v>1714</v>
      </c>
      <c r="B1717" s="3" t="s">
        <v>4</v>
      </c>
      <c r="C1717" s="2" t="str">
        <f ca="1">IFERROR(__xludf.DUMMYFUNCTION("GOOGLETRANSLATE(A1717,""bn"",""en"")"),"Learn something new")</f>
        <v>Learn something new</v>
      </c>
    </row>
    <row r="1718" spans="1:3" ht="15" x14ac:dyDescent="0.25">
      <c r="A1718" s="3" t="s">
        <v>1715</v>
      </c>
      <c r="B1718" s="3" t="s">
        <v>4</v>
      </c>
      <c r="C1718" s="2" t="str">
        <f ca="1">IFERROR(__xludf.DUMMYFUNCTION("GOOGLETRANSLATE(A1718,""bn"",""en"")"),"Daraz product is bad")</f>
        <v>Daraz product is bad</v>
      </c>
    </row>
    <row r="1719" spans="1:3" ht="15" x14ac:dyDescent="0.25">
      <c r="A1719" s="3" t="s">
        <v>1716</v>
      </c>
      <c r="B1719" s="3" t="s">
        <v>4</v>
      </c>
      <c r="C1719" s="2" t="str">
        <f ca="1">IFERROR(__xludf.DUMMYFUNCTION("GOOGLETRANSLATE(A1719,""bn"",""en"")"),"Buy professional online")</f>
        <v>Buy professional online</v>
      </c>
    </row>
    <row r="1720" spans="1:3" ht="15" x14ac:dyDescent="0.25">
      <c r="A1720" s="3" t="s">
        <v>1717</v>
      </c>
      <c r="B1720" s="3" t="s">
        <v>4</v>
      </c>
      <c r="C1720" s="2" t="str">
        <f ca="1">IFERROR(__xludf.DUMMYFUNCTION("GOOGLETRANSLATE(A1720,""bn"",""en"")"),"Bank is providing support")</f>
        <v>Bank is providing support</v>
      </c>
    </row>
    <row r="1721" spans="1:3" ht="15" x14ac:dyDescent="0.25">
      <c r="A1721" s="3" t="s">
        <v>1718</v>
      </c>
      <c r="B1721" s="3" t="s">
        <v>4</v>
      </c>
      <c r="C1721" s="2" t="str">
        <f ca="1">IFERROR(__xludf.DUMMYFUNCTION("GOOGLETRANSLATE(A1721,""bn"",""en"")"),"People are walking on the beach")</f>
        <v>People are walking on the beach</v>
      </c>
    </row>
    <row r="1722" spans="1:3" ht="15" x14ac:dyDescent="0.25">
      <c r="A1722" s="3" t="s">
        <v>1719</v>
      </c>
      <c r="B1722" s="3" t="s">
        <v>4</v>
      </c>
      <c r="C1722" s="2" t="str">
        <f ca="1">IFERROR(__xludf.DUMMYFUNCTION("GOOGLETRANSLATE(A1722,""bn"",""en"")"),"Students have done physical exercise")</f>
        <v>Students have done physical exercise</v>
      </c>
    </row>
    <row r="1723" spans="1:3" ht="15" x14ac:dyDescent="0.25">
      <c r="A1723" s="3" t="s">
        <v>1720</v>
      </c>
      <c r="B1723" s="3" t="s">
        <v>4</v>
      </c>
      <c r="C1723" s="2" t="str">
        <f ca="1">IFERROR(__xludf.DUMMYFUNCTION("GOOGLETRANSLATE(A1723,""bn"",""en"")"),"I use robots")</f>
        <v>I use robots</v>
      </c>
    </row>
    <row r="1724" spans="1:3" ht="15" x14ac:dyDescent="0.25">
      <c r="A1724" s="3" t="s">
        <v>1721</v>
      </c>
      <c r="B1724" s="3" t="s">
        <v>4</v>
      </c>
      <c r="C1724" s="2" t="str">
        <f ca="1">IFERROR(__xludf.DUMMYFUNCTION("GOOGLETRANSLATE(A1724,""bn"",""en"")"),"Spending time taking pictures with the camera")</f>
        <v>Spending time taking pictures with the camera</v>
      </c>
    </row>
    <row r="1725" spans="1:3" ht="15" x14ac:dyDescent="0.25">
      <c r="A1725" s="3" t="s">
        <v>1722</v>
      </c>
      <c r="B1725" s="3" t="s">
        <v>4</v>
      </c>
      <c r="C1725" s="2" t="str">
        <f ca="1">IFERROR(__xludf.DUMMYFUNCTION("GOOGLETRANSLATE(A1725,""bn"",""en"")"),"Played sports in my spare time")</f>
        <v>Played sports in my spare time</v>
      </c>
    </row>
    <row r="1726" spans="1:3" ht="15" x14ac:dyDescent="0.25">
      <c r="A1726" s="3" t="s">
        <v>1723</v>
      </c>
      <c r="B1726" s="3" t="s">
        <v>4</v>
      </c>
      <c r="C1726" s="2" t="str">
        <f ca="1">IFERROR(__xludf.DUMMYFUNCTION("GOOGLETRANSLATE(A1726,""bn"",""en"")"),"Create an account")</f>
        <v>Create an account</v>
      </c>
    </row>
    <row r="1727" spans="1:3" ht="15" x14ac:dyDescent="0.25">
      <c r="A1727" s="3" t="s">
        <v>1724</v>
      </c>
      <c r="B1727" s="3" t="s">
        <v>4</v>
      </c>
      <c r="C1727" s="2" t="str">
        <f ca="1">IFERROR(__xludf.DUMMYFUNCTION("GOOGLETRANSLATE(A1727,""bn"",""en"")"),"like to travel")</f>
        <v>like to travel</v>
      </c>
    </row>
    <row r="1728" spans="1:3" ht="15" x14ac:dyDescent="0.25">
      <c r="A1728" s="3" t="s">
        <v>1725</v>
      </c>
      <c r="B1728" s="3" t="s">
        <v>4</v>
      </c>
      <c r="C1728" s="2" t="str">
        <f ca="1">IFERROR(__xludf.DUMMYFUNCTION("GOOGLETRANSLATE(A1728,""bn"",""en"")"),"We study science")</f>
        <v>We study science</v>
      </c>
    </row>
    <row r="1729" spans="1:3" ht="15" x14ac:dyDescent="0.25">
      <c r="A1729" s="3" t="s">
        <v>1726</v>
      </c>
      <c r="B1729" s="3" t="s">
        <v>4</v>
      </c>
      <c r="C1729" s="2" t="str">
        <f ca="1">IFERROR(__xludf.DUMMYFUNCTION("GOOGLETRANSLATE(A1729,""bn"",""en"")"),"I got banking facility")</f>
        <v>I got banking facility</v>
      </c>
    </row>
    <row r="1730" spans="1:3" ht="15" x14ac:dyDescent="0.25">
      <c r="A1730" s="3" t="s">
        <v>1727</v>
      </c>
      <c r="B1730" s="3" t="s">
        <v>4</v>
      </c>
      <c r="C1730" s="2" t="str">
        <f ca="1">IFERROR(__xludf.DUMMYFUNCTION("GOOGLETRANSLATE(A1730,""bn"",""en"")"),"Always walking around")</f>
        <v>Always walking around</v>
      </c>
    </row>
    <row r="1731" spans="1:3" ht="15" x14ac:dyDescent="0.25">
      <c r="A1731" s="3" t="s">
        <v>1728</v>
      </c>
      <c r="B1731" s="3" t="s">
        <v>4</v>
      </c>
      <c r="C1731" s="2" t="str">
        <f ca="1">IFERROR(__xludf.DUMMYFUNCTION("GOOGLETRANSLATE(A1731,""bn"",""en"")"),"Observing the college")</f>
        <v>Observing the college</v>
      </c>
    </row>
    <row r="1732" spans="1:3" ht="15" x14ac:dyDescent="0.25">
      <c r="A1732" s="3" t="s">
        <v>1729</v>
      </c>
      <c r="B1732" s="3" t="s">
        <v>4</v>
      </c>
      <c r="C1732" s="2" t="str">
        <f ca="1">IFERROR(__xludf.DUMMYFUNCTION("GOOGLETRANSLATE(A1732,""bn"",""en"")"),"I read the novel")</f>
        <v>I read the novel</v>
      </c>
    </row>
    <row r="1733" spans="1:3" ht="15" x14ac:dyDescent="0.25">
      <c r="A1733" s="3" t="s">
        <v>1730</v>
      </c>
      <c r="B1733" s="3" t="s">
        <v>4</v>
      </c>
      <c r="C1733" s="2" t="str">
        <f ca="1">IFERROR(__xludf.DUMMYFUNCTION("GOOGLETRANSLATE(A1733,""bn"",""en"")"),"I sing in my spare time")</f>
        <v>I sing in my spare time</v>
      </c>
    </row>
    <row r="1734" spans="1:3" ht="15" x14ac:dyDescent="0.25">
      <c r="A1734" s="3" t="s">
        <v>1731</v>
      </c>
      <c r="B1734" s="3" t="s">
        <v>4</v>
      </c>
      <c r="C1734" s="2" t="str">
        <f ca="1">IFERROR(__xludf.DUMMYFUNCTION("GOOGLETRANSLATE(A1734,""bn"",""en"")"),"Turn on the GPS")</f>
        <v>Turn on the GPS</v>
      </c>
    </row>
    <row r="1735" spans="1:3" ht="15" x14ac:dyDescent="0.25">
      <c r="A1735" s="3" t="s">
        <v>1732</v>
      </c>
      <c r="B1735" s="3" t="s">
        <v>4</v>
      </c>
      <c r="C1735" s="2" t="str">
        <f ca="1">IFERROR(__xludf.DUMMYFUNCTION("GOOGLETRANSLATE(A1735,""bn"",""en"")"),"Technology is the servant of man")</f>
        <v>Technology is the servant of man</v>
      </c>
    </row>
    <row r="1736" spans="1:3" ht="15" x14ac:dyDescent="0.25">
      <c r="A1736" s="3" t="s">
        <v>1733</v>
      </c>
      <c r="B1736" s="3" t="s">
        <v>4</v>
      </c>
      <c r="C1736" s="2" t="str">
        <f ca="1">IFERROR(__xludf.DUMMYFUNCTION("GOOGLETRANSLATE(A1736,""bn"",""en"")"),"I have kept money in the account")</f>
        <v>I have kept money in the account</v>
      </c>
    </row>
    <row r="1737" spans="1:3" ht="15" x14ac:dyDescent="0.25">
      <c r="A1737" s="3" t="s">
        <v>1734</v>
      </c>
      <c r="B1737" s="3" t="s">
        <v>4</v>
      </c>
      <c r="C1737" s="2" t="str">
        <f ca="1">IFERROR(__xludf.DUMMYFUNCTION("GOOGLETRANSLATE(A1737,""bn"",""en"")"),"Account balance is decreasing")</f>
        <v>Account balance is decreasing</v>
      </c>
    </row>
    <row r="1738" spans="1:3" ht="15" x14ac:dyDescent="0.25">
      <c r="A1738" s="3" t="s">
        <v>1735</v>
      </c>
      <c r="B1738" s="3" t="s">
        <v>4</v>
      </c>
      <c r="C1738" s="2" t="str">
        <f ca="1">IFERROR(__xludf.DUMMYFUNCTION("GOOGLETRANSLATE(A1738,""bn"",""en"")"),"People don't do politics")</f>
        <v>People don't do politics</v>
      </c>
    </row>
    <row r="1739" spans="1:3" ht="15" x14ac:dyDescent="0.25">
      <c r="A1739" s="3" t="s">
        <v>1736</v>
      </c>
      <c r="B1739" s="3" t="s">
        <v>4</v>
      </c>
      <c r="C1739" s="2" t="str">
        <f ca="1">IFERROR(__xludf.DUMMYFUNCTION("GOOGLETRANSLATE(A1739,""bn"",""en"")"),"He took new notes")</f>
        <v>He took new notes</v>
      </c>
    </row>
    <row r="1740" spans="1:3" ht="15" x14ac:dyDescent="0.25">
      <c r="A1740" s="3" t="s">
        <v>1737</v>
      </c>
      <c r="B1740" s="3" t="s">
        <v>4</v>
      </c>
      <c r="C1740" s="2" t="str">
        <f ca="1">IFERROR(__xludf.DUMMYFUNCTION("GOOGLETRANSLATE(A1740,""bn"",""en"")"),"He writes notes")</f>
        <v>He writes notes</v>
      </c>
    </row>
    <row r="1741" spans="1:3" ht="15" x14ac:dyDescent="0.25">
      <c r="A1741" s="3" t="s">
        <v>1738</v>
      </c>
      <c r="B1741" s="3" t="s">
        <v>4</v>
      </c>
      <c r="C1741" s="2" t="str">
        <f ca="1">IFERROR(__xludf.DUMMYFUNCTION("GOOGLETRANSLATE(A1741,""bn"",""en"")"),"People are meeting")</f>
        <v>People are meeting</v>
      </c>
    </row>
    <row r="1742" spans="1:3" ht="15" x14ac:dyDescent="0.25">
      <c r="A1742" s="3" t="s">
        <v>1739</v>
      </c>
      <c r="B1742" s="3" t="s">
        <v>4</v>
      </c>
      <c r="C1742" s="2" t="str">
        <f ca="1">IFERROR(__xludf.DUMMYFUNCTION("GOOGLETRANSLATE(A1742,""bn"",""en"")"),"Waves are spreading softness")</f>
        <v>Waves are spreading softness</v>
      </c>
    </row>
    <row r="1743" spans="1:3" ht="15" x14ac:dyDescent="0.25">
      <c r="A1743" s="3" t="s">
        <v>1740</v>
      </c>
      <c r="B1743" s="3" t="s">
        <v>4</v>
      </c>
      <c r="C1743" s="2" t="str">
        <f ca="1">IFERROR(__xludf.DUMMYFUNCTION("GOOGLETRANSLATE(A1743,""bn"",""en"")"),"He is learning computer")</f>
        <v>He is learning computer</v>
      </c>
    </row>
    <row r="1744" spans="1:3" ht="15" x14ac:dyDescent="0.25">
      <c r="A1744" s="3" t="s">
        <v>1741</v>
      </c>
      <c r="B1744" s="3" t="s">
        <v>4</v>
      </c>
      <c r="C1744" s="2" t="str">
        <f ca="1">IFERROR(__xludf.DUMMYFUNCTION("GOOGLETRANSLATE(A1744,""bn"",""en"")"),"Ordering the phone")</f>
        <v>Ordering the phone</v>
      </c>
    </row>
    <row r="1745" spans="1:3" ht="15" x14ac:dyDescent="0.25">
      <c r="A1745" s="3" t="s">
        <v>1742</v>
      </c>
      <c r="B1745" s="3" t="s">
        <v>4</v>
      </c>
      <c r="C1745" s="2" t="str">
        <f ca="1">IFERROR(__xludf.DUMMYFUNCTION("GOOGLETRANSLATE(A1745,""bn"",""en"")"),"I use ereader")</f>
        <v>I use ereader</v>
      </c>
    </row>
    <row r="1746" spans="1:3" ht="15" x14ac:dyDescent="0.25">
      <c r="A1746" s="3" t="s">
        <v>1743</v>
      </c>
      <c r="B1746" s="3" t="s">
        <v>4</v>
      </c>
      <c r="C1746" s="2" t="str">
        <f ca="1">IFERROR(__xludf.DUMMYFUNCTION("GOOGLETRANSLATE(A1746,""bn"",""en"")"),"Prepared for the law")</f>
        <v>Prepared for the law</v>
      </c>
    </row>
    <row r="1747" spans="1:3" ht="15" x14ac:dyDescent="0.25">
      <c r="A1747" s="3" t="s">
        <v>1744</v>
      </c>
      <c r="B1747" s="3" t="s">
        <v>4</v>
      </c>
      <c r="C1747" s="2" t="str">
        <f ca="1">IFERROR(__xludf.DUMMYFUNCTION("GOOGLETRANSLATE(A1747,""bn"",""en"")"),"Looking for success")</f>
        <v>Looking for success</v>
      </c>
    </row>
    <row r="1748" spans="1:3" ht="15" x14ac:dyDescent="0.25">
      <c r="A1748" s="3" t="s">
        <v>1745</v>
      </c>
      <c r="B1748" s="3" t="s">
        <v>4</v>
      </c>
      <c r="C1748" s="2" t="str">
        <f ca="1">IFERROR(__xludf.DUMMYFUNCTION("GOOGLETRANSLATE(A1748,""bn"",""en"")"),"I want to buy a gadget")</f>
        <v>I want to buy a gadget</v>
      </c>
    </row>
    <row r="1749" spans="1:3" ht="15" x14ac:dyDescent="0.25">
      <c r="A1749" s="3" t="s">
        <v>1746</v>
      </c>
      <c r="B1749" s="3" t="s">
        <v>4</v>
      </c>
      <c r="C1749" s="2" t="str">
        <f ca="1">IFERROR(__xludf.DUMMYFUNCTION("GOOGLETRANSLATE(A1749,""bn"",""en"")"),"Searching on Google")</f>
        <v>Searching on Google</v>
      </c>
    </row>
    <row r="1750" spans="1:3" ht="15" x14ac:dyDescent="0.25">
      <c r="A1750" s="3" t="s">
        <v>1747</v>
      </c>
      <c r="B1750" s="3" t="s">
        <v>4</v>
      </c>
      <c r="C1750" s="2" t="str">
        <f ca="1">IFERROR(__xludf.DUMMYFUNCTION("GOOGLETRANSLATE(A1750,""bn"",""en"")"),"He wrote books")</f>
        <v>He wrote books</v>
      </c>
    </row>
    <row r="1751" spans="1:3" ht="15" x14ac:dyDescent="0.25">
      <c r="A1751" s="3" t="s">
        <v>1748</v>
      </c>
      <c r="B1751" s="3" t="s">
        <v>4</v>
      </c>
      <c r="C1751" s="2" t="str">
        <f ca="1">IFERROR(__xludf.DUMMYFUNCTION("GOOGLETRANSLATE(A1751,""bn"",""en"")"),"Buying a new smartwatch")</f>
        <v>Buying a new smartwatch</v>
      </c>
    </row>
    <row r="1752" spans="1:3" ht="15" x14ac:dyDescent="0.25">
      <c r="A1752" s="3" t="s">
        <v>1749</v>
      </c>
      <c r="B1752" s="3" t="s">
        <v>4</v>
      </c>
      <c r="C1752" s="2" t="str">
        <f ca="1">IFERROR(__xludf.DUMMYFUNCTION("GOOGLETRANSLATE(A1752,""bn"",""en"")"),"Maintained discipline")</f>
        <v>Maintained discipline</v>
      </c>
    </row>
    <row r="1753" spans="1:3" ht="15" x14ac:dyDescent="0.25">
      <c r="A1753" s="3" t="s">
        <v>1750</v>
      </c>
      <c r="B1753" s="3" t="s">
        <v>4</v>
      </c>
      <c r="C1753" s="2" t="str">
        <f ca="1">IFERROR(__xludf.DUMMYFUNCTION("GOOGLETRANSLATE(A1753,""bn"",""en"")"),"Time is wasted")</f>
        <v>Time is wasted</v>
      </c>
    </row>
    <row r="1754" spans="1:3" ht="15" x14ac:dyDescent="0.25">
      <c r="A1754" s="3" t="s">
        <v>1751</v>
      </c>
      <c r="B1754" s="3" t="s">
        <v>4</v>
      </c>
      <c r="C1754" s="2" t="str">
        <f ca="1">IFERROR(__xludf.DUMMYFUNCTION("GOOGLETRANSLATE(A1754,""bn"",""en"")"),"Time is passing by walking around the sea shore")</f>
        <v>Time is passing by walking around the sea shore</v>
      </c>
    </row>
    <row r="1755" spans="1:3" ht="15" x14ac:dyDescent="0.25">
      <c r="A1755" s="3" t="s">
        <v>1752</v>
      </c>
      <c r="B1755" s="3" t="s">
        <v>4</v>
      </c>
      <c r="C1755" s="2" t="str">
        <f ca="1">IFERROR(__xludf.DUMMYFUNCTION("GOOGLETRANSLATE(A1755,""bn"",""en"")"),"I took you to the beach")</f>
        <v>I took you to the beach</v>
      </c>
    </row>
    <row r="1756" spans="1:3" ht="15" x14ac:dyDescent="0.25">
      <c r="A1756" s="3" t="s">
        <v>1753</v>
      </c>
      <c r="B1756" s="3" t="s">
        <v>4</v>
      </c>
      <c r="C1756" s="2" t="str">
        <f ca="1">IFERROR(__xludf.DUMMYFUNCTION("GOOGLETRANSLATE(A1756,""bn"",""en"")"),"Withdraw money")</f>
        <v>Withdraw money</v>
      </c>
    </row>
    <row r="1757" spans="1:3" ht="15" x14ac:dyDescent="0.25">
      <c r="A1757" s="3" t="s">
        <v>1754</v>
      </c>
      <c r="B1757" s="3" t="s">
        <v>4</v>
      </c>
      <c r="C1757" s="2" t="str">
        <f ca="1">IFERROR(__xludf.DUMMYFUNCTION("GOOGLETRANSLATE(A1757,""bn"",""en"")"),"Minul has read prose")</f>
        <v>Minul has read prose</v>
      </c>
    </row>
    <row r="1758" spans="1:3" ht="15" x14ac:dyDescent="0.25">
      <c r="A1758" s="3" t="s">
        <v>1755</v>
      </c>
      <c r="B1758" s="3" t="s">
        <v>4</v>
      </c>
      <c r="C1758" s="2" t="str">
        <f ca="1">IFERROR(__xludf.DUMMYFUNCTION("GOOGLETRANSLATE(A1758,""bn"",""en"")"),"want to download")</f>
        <v>want to download</v>
      </c>
    </row>
    <row r="1759" spans="1:3" ht="15" x14ac:dyDescent="0.25">
      <c r="A1759" s="3" t="s">
        <v>1756</v>
      </c>
      <c r="B1759" s="3" t="s">
        <v>4</v>
      </c>
      <c r="C1759" s="2" t="str">
        <f ca="1">IFERROR(__xludf.DUMMYFUNCTION("GOOGLETRANSLATE(A1759,""bn"",""en"")"),"Travel is the fulfillment of life")</f>
        <v>Travel is the fulfillment of life</v>
      </c>
    </row>
    <row r="1760" spans="1:3" ht="15" x14ac:dyDescent="0.25">
      <c r="A1760" s="3" t="s">
        <v>1757</v>
      </c>
      <c r="B1760" s="3" t="s">
        <v>4</v>
      </c>
      <c r="C1760" s="2" t="str">
        <f ca="1">IFERROR(__xludf.DUMMYFUNCTION("GOOGLETRANSLATE(A1760,""bn"",""en"")"),"Life needs travel to perfection")</f>
        <v>Life needs travel to perfection</v>
      </c>
    </row>
    <row r="1761" spans="1:3" ht="15" x14ac:dyDescent="0.25">
      <c r="A1761" s="3" t="s">
        <v>1758</v>
      </c>
      <c r="B1761" s="3" t="s">
        <v>4</v>
      </c>
      <c r="C1761" s="2" t="str">
        <f ca="1">IFERROR(__xludf.DUMMYFUNCTION("GOOGLETRANSLATE(A1761,""bn"",""en"")"),"Being inspired to travel")</f>
        <v>Being inspired to travel</v>
      </c>
    </row>
    <row r="1762" spans="1:3" ht="15" x14ac:dyDescent="0.25">
      <c r="A1762" s="3" t="s">
        <v>1759</v>
      </c>
      <c r="B1762" s="3" t="s">
        <v>4</v>
      </c>
      <c r="C1762" s="2" t="str">
        <f ca="1">IFERROR(__xludf.DUMMYFUNCTION("GOOGLETRANSLATE(A1762,""bn"",""en"")"),"Investing in projects")</f>
        <v>Investing in projects</v>
      </c>
    </row>
    <row r="1763" spans="1:3" ht="15" x14ac:dyDescent="0.25">
      <c r="A1763" s="3" t="s">
        <v>1760</v>
      </c>
      <c r="B1763" s="3" t="s">
        <v>4</v>
      </c>
      <c r="C1763" s="2" t="str">
        <f ca="1">IFERROR(__xludf.DUMMYFUNCTION("GOOGLETRANSLATE(A1763,""bn"",""en"")"),"I am working in a bank")</f>
        <v>I am working in a bank</v>
      </c>
    </row>
    <row r="1764" spans="1:3" ht="15" x14ac:dyDescent="0.25">
      <c r="A1764" s="3" t="s">
        <v>1761</v>
      </c>
      <c r="B1764" s="3" t="s">
        <v>4</v>
      </c>
      <c r="C1764" s="2" t="str">
        <f ca="1">IFERROR(__xludf.DUMMYFUNCTION("GOOGLETRANSLATE(A1764,""bn"",""en"")"),"The currency increases")</f>
        <v>The currency increases</v>
      </c>
    </row>
    <row r="1765" spans="1:3" ht="15" x14ac:dyDescent="0.25">
      <c r="A1765" s="3" t="s">
        <v>1762</v>
      </c>
      <c r="B1765" s="3" t="s">
        <v>4</v>
      </c>
      <c r="C1765" s="2" t="str">
        <f ca="1">IFERROR(__xludf.DUMMYFUNCTION("GOOGLETRANSLATE(A1765,""bn"",""en"")"),"Procurement is growing")</f>
        <v>Procurement is growing</v>
      </c>
    </row>
    <row r="1766" spans="1:3" ht="15" x14ac:dyDescent="0.25">
      <c r="A1766" s="3" t="s">
        <v>1763</v>
      </c>
      <c r="B1766" s="3" t="s">
        <v>4</v>
      </c>
      <c r="C1766" s="2" t="str">
        <f ca="1">IFERROR(__xludf.DUMMYFUNCTION("GOOGLETRANSLATE(A1766,""bn"",""en"")"),"There are many types of technology")</f>
        <v>There are many types of technology</v>
      </c>
    </row>
    <row r="1767" spans="1:3" ht="15" x14ac:dyDescent="0.25">
      <c r="A1767" s="3" t="s">
        <v>1764</v>
      </c>
      <c r="B1767" s="3" t="s">
        <v>4</v>
      </c>
      <c r="C1767" s="2" t="str">
        <f ca="1">IFERROR(__xludf.DUMMYFUNCTION("GOOGLETRANSLATE(A1767,""bn"",""en"")"),"I suffer in student life")</f>
        <v>I suffer in student life</v>
      </c>
    </row>
    <row r="1768" spans="1:3" ht="15" x14ac:dyDescent="0.25">
      <c r="A1768" s="3" t="s">
        <v>1765</v>
      </c>
      <c r="B1768" s="3" t="s">
        <v>4</v>
      </c>
      <c r="C1768" s="2" t="str">
        <f ca="1">IFERROR(__xludf.DUMMYFUNCTION("GOOGLETRANSLATE(A1768,""bn"",""en"")"),"Dammam Sightseeing")</f>
        <v>Dammam Sightseeing</v>
      </c>
    </row>
    <row r="1769" spans="1:3" ht="15" x14ac:dyDescent="0.25">
      <c r="A1769" s="3" t="s">
        <v>1766</v>
      </c>
      <c r="B1769" s="3" t="s">
        <v>4</v>
      </c>
      <c r="C1769" s="2" t="str">
        <f ca="1">IFERROR(__xludf.DUMMYFUNCTION("GOOGLETRANSLATE(A1769,""bn"",""en"")"),"Reading books is worship")</f>
        <v>Reading books is worship</v>
      </c>
    </row>
    <row r="1770" spans="1:3" ht="15" x14ac:dyDescent="0.25">
      <c r="A1770" s="3" t="s">
        <v>1767</v>
      </c>
      <c r="B1770" s="3" t="s">
        <v>4</v>
      </c>
      <c r="C1770" s="2" t="str">
        <f ca="1">IFERROR(__xludf.DUMMYFUNCTION("GOOGLETRANSLATE(A1770,""bn"",""en"")"),"Time passes by listening to stories on mobile")</f>
        <v>Time passes by listening to stories on mobile</v>
      </c>
    </row>
    <row r="1771" spans="1:3" ht="15" x14ac:dyDescent="0.25">
      <c r="A1771" s="3" t="s">
        <v>1768</v>
      </c>
      <c r="B1771" s="3" t="s">
        <v>4</v>
      </c>
      <c r="C1771" s="2" t="str">
        <f ca="1">IFERROR(__xludf.DUMMYFUNCTION("GOOGLETRANSLATE(A1771,""bn"",""en"")"),"I am complaining because I heard the story on the mobile phone")</f>
        <v>I am complaining because I heard the story on the mobile phone</v>
      </c>
    </row>
    <row r="1772" spans="1:3" ht="15" x14ac:dyDescent="0.25">
      <c r="A1772" s="3" t="s">
        <v>1769</v>
      </c>
      <c r="B1772" s="3" t="s">
        <v>4</v>
      </c>
      <c r="C1772" s="2" t="str">
        <f ca="1">IFERROR(__xludf.DUMMYFUNCTION("GOOGLETRANSLATE(A1772,""bn"",""en"")"),"The government is getting support")</f>
        <v>The government is getting support</v>
      </c>
    </row>
    <row r="1773" spans="1:3" ht="15" x14ac:dyDescent="0.25">
      <c r="A1773" s="3" t="s">
        <v>1770</v>
      </c>
      <c r="B1773" s="3" t="s">
        <v>4</v>
      </c>
      <c r="C1773" s="2" t="str">
        <f ca="1">IFERROR(__xludf.DUMMYFUNCTION("GOOGLETRANSLATE(A1773,""bn"",""en"")"),"I had a meeting at the bank")</f>
        <v>I had a meeting at the bank</v>
      </c>
    </row>
    <row r="1774" spans="1:3" ht="15" x14ac:dyDescent="0.25">
      <c r="A1774" s="3" t="s">
        <v>1771</v>
      </c>
      <c r="B1774" s="3" t="s">
        <v>4</v>
      </c>
      <c r="C1774" s="2" t="str">
        <f ca="1">IFERROR(__xludf.DUMMYFUNCTION("GOOGLETRANSLATE(A1774,""bn"",""en"")"),"I have taken online classes")</f>
        <v>I have taken online classes</v>
      </c>
    </row>
    <row r="1775" spans="1:3" ht="15" x14ac:dyDescent="0.25">
      <c r="A1775" s="3" t="s">
        <v>1772</v>
      </c>
      <c r="B1775" s="3" t="s">
        <v>4</v>
      </c>
      <c r="C1775" s="2" t="str">
        <f ca="1">IFERROR(__xludf.DUMMYFUNCTION("GOOGLETRANSLATE(A1775,""bn"",""en"")"),"I like flowers")</f>
        <v>I like flowers</v>
      </c>
    </row>
    <row r="1776" spans="1:3" ht="15" x14ac:dyDescent="0.25">
      <c r="A1776" s="3" t="s">
        <v>1773</v>
      </c>
      <c r="B1776" s="3" t="s">
        <v>4</v>
      </c>
      <c r="C1776" s="2" t="str">
        <f ca="1">IFERROR(__xludf.DUMMYFUNCTION("GOOGLETRANSLATE(A1776,""bn"",""en"")"),"A rocket is going into space")</f>
        <v>A rocket is going into space</v>
      </c>
    </row>
    <row r="1777" spans="1:3" ht="15" x14ac:dyDescent="0.25">
      <c r="A1777" s="3" t="s">
        <v>1774</v>
      </c>
      <c r="B1777" s="3" t="s">
        <v>4</v>
      </c>
      <c r="C1777" s="2" t="str">
        <f ca="1">IFERROR(__xludf.DUMMYFUNCTION("GOOGLETRANSLATE(A1777,""bn"",""en"")"),"Bananas contain iron")</f>
        <v>Bananas contain iron</v>
      </c>
    </row>
    <row r="1778" spans="1:3" ht="15" x14ac:dyDescent="0.25">
      <c r="A1778" s="3" t="s">
        <v>1775</v>
      </c>
      <c r="B1778" s="3" t="s">
        <v>4</v>
      </c>
      <c r="C1778" s="2" t="str">
        <f ca="1">IFERROR(__xludf.DUMMYFUNCTION("GOOGLETRANSLATE(A1778,""bn"",""en"")"),"He does math")</f>
        <v>He does math</v>
      </c>
    </row>
    <row r="1779" spans="1:3" ht="15" x14ac:dyDescent="0.25">
      <c r="A1779" s="3" t="s">
        <v>1776</v>
      </c>
      <c r="B1779" s="3" t="s">
        <v>4</v>
      </c>
      <c r="C1779" s="2" t="str">
        <f ca="1">IFERROR(__xludf.DUMMYFUNCTION("GOOGLETRANSLATE(A1779,""bn"",""en"")"),"I don't know how to use a smartphone")</f>
        <v>I don't know how to use a smartphone</v>
      </c>
    </row>
    <row r="1780" spans="1:3" ht="15" x14ac:dyDescent="0.25">
      <c r="A1780" s="3" t="s">
        <v>1777</v>
      </c>
      <c r="B1780" s="3" t="s">
        <v>4</v>
      </c>
      <c r="C1780" s="2" t="str">
        <f ca="1">IFERROR(__xludf.DUMMYFUNCTION("GOOGLETRANSLATE(A1780,""bn"",""en"")"),"Sharing feelings")</f>
        <v>Sharing feelings</v>
      </c>
    </row>
    <row r="1781" spans="1:3" ht="15" x14ac:dyDescent="0.25">
      <c r="A1781" s="3" t="s">
        <v>1778</v>
      </c>
      <c r="B1781" s="3" t="s">
        <v>4</v>
      </c>
      <c r="C1781" s="2" t="str">
        <f ca="1">IFERROR(__xludf.DUMMYFUNCTION("GOOGLETRANSLATE(A1781,""bn"",""en"")"),"I sing in my spare time")</f>
        <v>I sing in my spare time</v>
      </c>
    </row>
    <row r="1782" spans="1:3" ht="15" x14ac:dyDescent="0.25">
      <c r="A1782" s="3" t="s">
        <v>1779</v>
      </c>
      <c r="B1782" s="3" t="s">
        <v>4</v>
      </c>
      <c r="C1782" s="2" t="str">
        <f ca="1">IFERROR(__xludf.DUMMYFUNCTION("GOOGLETRANSLATE(A1782,""bn"",""en"")"),"Twitter is now X")</f>
        <v>Twitter is now X</v>
      </c>
    </row>
    <row r="1783" spans="1:3" ht="15" x14ac:dyDescent="0.25">
      <c r="A1783" s="3" t="s">
        <v>1780</v>
      </c>
      <c r="B1783" s="3" t="s">
        <v>4</v>
      </c>
      <c r="C1783" s="2" t="str">
        <f ca="1">IFERROR(__xludf.DUMMYFUNCTION("GOOGLETRANSLATE(A1783,""bn"",""en"")"),"Meeting at the bank")</f>
        <v>Meeting at the bank</v>
      </c>
    </row>
    <row r="1784" spans="1:3" ht="15" x14ac:dyDescent="0.25">
      <c r="A1784" s="3" t="s">
        <v>1781</v>
      </c>
      <c r="B1784" s="3" t="s">
        <v>4</v>
      </c>
      <c r="C1784" s="2" t="str">
        <f ca="1">IFERROR(__xludf.DUMMYFUNCTION("GOOGLETRANSLATE(A1784,""bn"",""en"")"),"I have progressed in my career")</f>
        <v>I have progressed in my career</v>
      </c>
    </row>
    <row r="1785" spans="1:3" ht="15" x14ac:dyDescent="0.25">
      <c r="A1785" s="3" t="s">
        <v>1782</v>
      </c>
      <c r="B1785" s="3" t="s">
        <v>4</v>
      </c>
      <c r="C1785" s="2" t="str">
        <f ca="1">IFERROR(__xludf.DUMMYFUNCTION("GOOGLETRANSLATE(A1785,""bn"",""en"")"),"Business sector is growing")</f>
        <v>Business sector is growing</v>
      </c>
    </row>
    <row r="1786" spans="1:3" ht="15" x14ac:dyDescent="0.25">
      <c r="A1786" s="3" t="s">
        <v>1783</v>
      </c>
      <c r="B1786" s="3" t="s">
        <v>4</v>
      </c>
      <c r="C1786" s="2" t="str">
        <f ca="1">IFERROR(__xludf.DUMMYFUNCTION("GOOGLETRANSLATE(A1786,""bn"",""en"")"),"Playing sports in college")</f>
        <v>Playing sports in college</v>
      </c>
    </row>
    <row r="1787" spans="1:3" ht="15" x14ac:dyDescent="0.25">
      <c r="A1787" s="3" t="s">
        <v>1784</v>
      </c>
      <c r="B1787" s="3" t="s">
        <v>4</v>
      </c>
      <c r="C1787" s="2" t="str">
        <f ca="1">IFERROR(__xludf.DUMMYFUNCTION("GOOGLETRANSLATE(A1787,""bn"",""en"")"),"He learns numbers")</f>
        <v>He learns numbers</v>
      </c>
    </row>
    <row r="1788" spans="1:3" ht="15" x14ac:dyDescent="0.25">
      <c r="A1788" s="3" t="s">
        <v>1785</v>
      </c>
      <c r="B1788" s="3" t="s">
        <v>4</v>
      </c>
      <c r="C1788" s="2" t="str">
        <f ca="1">IFERROR(__xludf.DUMMYFUNCTION("GOOGLETRANSLATE(A1788,""bn"",""en"")"),"I go to Mecca")</f>
        <v>I go to Mecca</v>
      </c>
    </row>
    <row r="1789" spans="1:3" ht="15" x14ac:dyDescent="0.25">
      <c r="A1789" s="3" t="s">
        <v>1786</v>
      </c>
      <c r="B1789" s="3" t="s">
        <v>4</v>
      </c>
      <c r="C1789" s="2" t="str">
        <f ca="1">IFERROR(__xludf.DUMMYFUNCTION("GOOGLETRANSLATE(A1789,""bn"",""en"")"),"I have to hear that I have used a smartphone")</f>
        <v>I have to hear that I have used a smartphone</v>
      </c>
    </row>
    <row r="1790" spans="1:3" ht="15" x14ac:dyDescent="0.25">
      <c r="A1790" s="3" t="s">
        <v>1787</v>
      </c>
      <c r="B1790" s="3" t="s">
        <v>4</v>
      </c>
      <c r="C1790" s="2" t="str">
        <f ca="1">IFERROR(__xludf.DUMMYFUNCTION("GOOGLETRANSLATE(A1790,""bn"",""en"")"),"Educational judicial reform")</f>
        <v>Educational judicial reform</v>
      </c>
    </row>
    <row r="1791" spans="1:3" ht="15" x14ac:dyDescent="0.25">
      <c r="A1791" s="3" t="s">
        <v>1788</v>
      </c>
      <c r="B1791" s="3" t="s">
        <v>4</v>
      </c>
      <c r="C1791" s="2" t="str">
        <f ca="1">IFERROR(__xludf.DUMMYFUNCTION("GOOGLETRANSLATE(A1791,""bn"",""en"")"),"Send money to Bikash")</f>
        <v>Send money to Bikash</v>
      </c>
    </row>
    <row r="1792" spans="1:3" ht="15" x14ac:dyDescent="0.25">
      <c r="A1792" s="3" t="s">
        <v>1789</v>
      </c>
      <c r="B1792" s="3" t="s">
        <v>4</v>
      </c>
      <c r="C1792" s="2" t="str">
        <f ca="1">IFERROR(__xludf.DUMMYFUNCTION("GOOGLETRANSLATE(A1792,""bn"",""en"")"),"i have traveled")</f>
        <v>i have traveled</v>
      </c>
    </row>
    <row r="1793" spans="1:3" ht="15" x14ac:dyDescent="0.25">
      <c r="A1793" s="3" t="s">
        <v>1790</v>
      </c>
      <c r="B1793" s="3" t="s">
        <v>4</v>
      </c>
      <c r="C1793" s="2" t="str">
        <f ca="1">IFERROR(__xludf.DUMMYFUNCTION("GOOGLETRANSLATE(A1793,""bn"",""en"")"),"i do homework")</f>
        <v>i do homework</v>
      </c>
    </row>
    <row r="1794" spans="1:3" ht="15" x14ac:dyDescent="0.25">
      <c r="A1794" s="3" t="s">
        <v>1791</v>
      </c>
      <c r="B1794" s="3" t="s">
        <v>4</v>
      </c>
      <c r="C1794" s="2" t="str">
        <f ca="1">IFERROR(__xludf.DUMMYFUNCTION("GOOGLETRANSLATE(A1794,""bn"",""en"")"),"He has read the book")</f>
        <v>He has read the book</v>
      </c>
    </row>
    <row r="1795" spans="1:3" ht="15" x14ac:dyDescent="0.25">
      <c r="A1795" s="3" t="s">
        <v>1792</v>
      </c>
      <c r="B1795" s="3" t="s">
        <v>4</v>
      </c>
      <c r="C1795" s="2" t="str">
        <f ca="1">IFERROR(__xludf.DUMMYFUNCTION("GOOGLETRANSLATE(A1795,""bn"",""en"")"),"you are taking example")</f>
        <v>you are taking example</v>
      </c>
    </row>
    <row r="1796" spans="1:3" ht="15" x14ac:dyDescent="0.25">
      <c r="A1796" s="3" t="s">
        <v>1793</v>
      </c>
      <c r="B1796" s="3" t="s">
        <v>4</v>
      </c>
      <c r="C1796" s="2" t="str">
        <f ca="1">IFERROR(__xludf.DUMMYFUNCTION("GOOGLETRANSLATE(A1796,""bn"",""en"")"),"I go to the Taj Mahal")</f>
        <v>I go to the Taj Mahal</v>
      </c>
    </row>
    <row r="1797" spans="1:3" ht="15" x14ac:dyDescent="0.25">
      <c r="A1797" s="3" t="s">
        <v>1794</v>
      </c>
      <c r="B1797" s="3" t="s">
        <v>4</v>
      </c>
      <c r="C1797" s="2" t="str">
        <f ca="1">IFERROR(__xludf.DUMMYFUNCTION("GOOGLETRANSLATE(A1797,""bn"",""en"")"),"Loan approval")</f>
        <v>Loan approval</v>
      </c>
    </row>
    <row r="1798" spans="1:3" ht="15" x14ac:dyDescent="0.25">
      <c r="A1798" s="3" t="s">
        <v>1795</v>
      </c>
      <c r="B1798" s="3" t="s">
        <v>4</v>
      </c>
      <c r="C1798" s="2" t="str">
        <f ca="1">IFERROR(__xludf.DUMMYFUNCTION("GOOGLETRANSLATE(A1798,""bn"",""en"")"),"Download the software")</f>
        <v>Download the software</v>
      </c>
    </row>
    <row r="1799" spans="1:3" ht="15" x14ac:dyDescent="0.25">
      <c r="A1799" s="3" t="s">
        <v>1796</v>
      </c>
      <c r="B1799" s="3" t="s">
        <v>4</v>
      </c>
      <c r="C1799" s="2" t="str">
        <f ca="1">IFERROR(__xludf.DUMMYFUNCTION("GOOGLETRANSLATE(A1799,""bn"",""en"")"),"Looking for success")</f>
        <v>Looking for success</v>
      </c>
    </row>
    <row r="1800" spans="1:3" ht="15" x14ac:dyDescent="0.25">
      <c r="A1800" s="3" t="s">
        <v>1797</v>
      </c>
      <c r="B1800" s="3" t="s">
        <v>4</v>
      </c>
      <c r="C1800" s="2" t="str">
        <f ca="1">IFERROR(__xludf.DUMMYFUNCTION("GOOGLETRANSLATE(A1800,""bn"",""en"")"),"Exports are increasing these days")</f>
        <v>Exports are increasing these days</v>
      </c>
    </row>
    <row r="1801" spans="1:3" ht="15" x14ac:dyDescent="0.25">
      <c r="A1801" s="3" t="s">
        <v>1798</v>
      </c>
      <c r="B1801" s="3" t="s">
        <v>4</v>
      </c>
      <c r="C1801" s="2" t="str">
        <f ca="1">IFERROR(__xludf.DUMMYFUNCTION("GOOGLETRANSLATE(A1801,""bn"",""en"")"),"Line up and turn")</f>
        <v>Line up and turn</v>
      </c>
    </row>
    <row r="1802" spans="1:3" ht="15" x14ac:dyDescent="0.25">
      <c r="A1802" s="3" t="s">
        <v>1799</v>
      </c>
      <c r="B1802" s="3" t="s">
        <v>4</v>
      </c>
      <c r="C1802" s="2" t="str">
        <f ca="1">IFERROR(__xludf.DUMMYFUNCTION("GOOGLETRANSLATE(A1802,""bn"",""en"")"),"A celebration is taking place")</f>
        <v>A celebration is taking place</v>
      </c>
    </row>
    <row r="1803" spans="1:3" ht="15" x14ac:dyDescent="0.25">
      <c r="A1803" s="3" t="s">
        <v>1800</v>
      </c>
      <c r="B1803" s="3" t="s">
        <v>4</v>
      </c>
      <c r="C1803" s="2" t="str">
        <f ca="1">IFERROR(__xludf.DUMMYFUNCTION("GOOGLETRANSLATE(A1803,""bn"",""en"")"),"Michael is the father of the sonnet")</f>
        <v>Michael is the father of the sonnet</v>
      </c>
    </row>
    <row r="1804" spans="1:3" ht="15" x14ac:dyDescent="0.25">
      <c r="A1804" s="3" t="s">
        <v>1801</v>
      </c>
      <c r="B1804" s="3" t="s">
        <v>4</v>
      </c>
      <c r="C1804" s="2" t="str">
        <f ca="1">IFERROR(__xludf.DUMMYFUNCTION("GOOGLETRANSLATE(A1804,""bn"",""en"")"),"Life is spent in the dormitory")</f>
        <v>Life is spent in the dormitory</v>
      </c>
    </row>
    <row r="1805" spans="1:3" ht="15" x14ac:dyDescent="0.25">
      <c r="A1805" s="3" t="s">
        <v>1802</v>
      </c>
      <c r="B1805" s="3" t="s">
        <v>4</v>
      </c>
      <c r="C1805" s="2" t="str">
        <f ca="1">IFERROR(__xludf.DUMMYFUNCTION("GOOGLETRANSLATE(A1805,""bn"",""en"")"),"Playing high skill games")</f>
        <v>Playing high skill games</v>
      </c>
    </row>
    <row r="1806" spans="1:3" ht="15" x14ac:dyDescent="0.25">
      <c r="A1806" s="3" t="s">
        <v>1803</v>
      </c>
      <c r="B1806" s="3" t="s">
        <v>4</v>
      </c>
      <c r="C1806" s="2" t="str">
        <f ca="1">IFERROR(__xludf.DUMMYFUNCTION("GOOGLETRANSLATE(A1806,""bn"",""en"")"),"Applying for a loan")</f>
        <v>Applying for a loan</v>
      </c>
    </row>
    <row r="1807" spans="1:3" ht="15" x14ac:dyDescent="0.25">
      <c r="A1807" s="3" t="s">
        <v>1804</v>
      </c>
      <c r="B1807" s="3" t="s">
        <v>4</v>
      </c>
      <c r="C1807" s="2" t="str">
        <f ca="1">IFERROR(__xludf.DUMMYFUNCTION("GOOGLETRANSLATE(A1807,""bn"",""en"")"),"Can't use keyboard")</f>
        <v>Can't use keyboard</v>
      </c>
    </row>
    <row r="1808" spans="1:3" ht="15" x14ac:dyDescent="0.25">
      <c r="A1808" s="3" t="s">
        <v>1805</v>
      </c>
      <c r="B1808" s="3" t="s">
        <v>4</v>
      </c>
      <c r="C1808" s="2" t="str">
        <f ca="1">IFERROR(__xludf.DUMMYFUNCTION("GOOGLETRANSLATE(A1808,""bn"",""en"")"),"Work using the keyboard")</f>
        <v>Work using the keyboard</v>
      </c>
    </row>
    <row r="1809" spans="1:3" ht="15" x14ac:dyDescent="0.25">
      <c r="A1809" s="3" t="s">
        <v>1806</v>
      </c>
      <c r="B1809" s="3" t="s">
        <v>4</v>
      </c>
      <c r="C1809" s="2" t="str">
        <f ca="1">IFERROR(__xludf.DUMMYFUNCTION("GOOGLETRANSLATE(A1809,""bn"",""en"")"),"Travel inspires")</f>
        <v>Travel inspires</v>
      </c>
    </row>
    <row r="1810" spans="1:3" ht="15" x14ac:dyDescent="0.25">
      <c r="A1810" s="3" t="s">
        <v>1807</v>
      </c>
      <c r="B1810" s="3" t="s">
        <v>4</v>
      </c>
      <c r="C1810" s="2" t="str">
        <f ca="1">IFERROR(__xludf.DUMMYFUNCTION("GOOGLETRANSLATE(A1810,""bn"",""en"")"),"Technology is a world of imagination")</f>
        <v>Technology is a world of imagination</v>
      </c>
    </row>
    <row r="1811" spans="1:3" ht="15" x14ac:dyDescent="0.25">
      <c r="A1811" s="3" t="s">
        <v>1808</v>
      </c>
      <c r="B1811" s="3" t="s">
        <v>4</v>
      </c>
      <c r="C1811" s="2" t="str">
        <f ca="1">IFERROR(__xludf.DUMMYFUNCTION("GOOGLETRANSLATE(A1811,""bn"",""en"")"),"There are lifting facilities")</f>
        <v>There are lifting facilities</v>
      </c>
    </row>
    <row r="1812" spans="1:3" ht="15" x14ac:dyDescent="0.25">
      <c r="A1812" s="3" t="s">
        <v>1809</v>
      </c>
      <c r="B1812" s="3" t="s">
        <v>4</v>
      </c>
      <c r="C1812" s="2" t="str">
        <f ca="1">IFERROR(__xludf.DUMMYFUNCTION("GOOGLETRANSLATE(A1812,""bn"",""en"")"),"Voted effectively")</f>
        <v>Voted effectively</v>
      </c>
    </row>
    <row r="1813" spans="1:3" ht="15" x14ac:dyDescent="0.25">
      <c r="A1813" s="3" t="s">
        <v>1810</v>
      </c>
      <c r="B1813" s="3" t="s">
        <v>4</v>
      </c>
      <c r="C1813" s="2" t="str">
        <f ca="1">IFERROR(__xludf.DUMMYFUNCTION("GOOGLETRANSLATE(A1813,""bn"",""en"")"),"Be helpful in social welfare")</f>
        <v>Be helpful in social welfare</v>
      </c>
    </row>
    <row r="1814" spans="1:3" ht="15" x14ac:dyDescent="0.25">
      <c r="A1814" s="3" t="s">
        <v>1811</v>
      </c>
      <c r="B1814" s="3" t="s">
        <v>4</v>
      </c>
      <c r="C1814" s="2" t="str">
        <f ca="1">IFERROR(__xludf.DUMMYFUNCTION("GOOGLETRANSLATE(A1814,""bn"",""en"")"),"He read poetry")</f>
        <v>He read poetry</v>
      </c>
    </row>
    <row r="1815" spans="1:3" ht="15" x14ac:dyDescent="0.25">
      <c r="A1815" s="3" t="s">
        <v>1812</v>
      </c>
      <c r="B1815" s="3" t="s">
        <v>4</v>
      </c>
      <c r="C1815" s="2" t="str">
        <f ca="1">IFERROR(__xludf.DUMMYFUNCTION("GOOGLETRANSLATE(A1815,""bn"",""en"")"),"Pay the check")</f>
        <v>Pay the check</v>
      </c>
    </row>
    <row r="1816" spans="1:3" ht="15" x14ac:dyDescent="0.25">
      <c r="A1816" s="3" t="s">
        <v>1813</v>
      </c>
      <c r="B1816" s="3" t="s">
        <v>4</v>
      </c>
      <c r="C1816" s="2" t="str">
        <f ca="1">IFERROR(__xludf.DUMMYFUNCTION("GOOGLETRANSLATE(A1816,""bn"",""en"")"),"I have created a website")</f>
        <v>I have created a website</v>
      </c>
    </row>
    <row r="1817" spans="1:3" ht="15" x14ac:dyDescent="0.25">
      <c r="A1817" s="3" t="s">
        <v>1814</v>
      </c>
      <c r="B1817" s="3" t="s">
        <v>4</v>
      </c>
      <c r="C1817" s="2" t="str">
        <f ca="1">IFERROR(__xludf.DUMMYFUNCTION("GOOGLETRANSLATE(A1817,""bn"",""en"")"),"I participate in sports")</f>
        <v>I participate in sports</v>
      </c>
    </row>
    <row r="1818" spans="1:3" ht="15" x14ac:dyDescent="0.25">
      <c r="A1818" s="3" t="s">
        <v>1815</v>
      </c>
      <c r="B1818" s="3" t="s">
        <v>4</v>
      </c>
      <c r="C1818" s="2" t="str">
        <f ca="1">IFERROR(__xludf.DUMMYFUNCTION("GOOGLETRANSLATE(A1818,""bn"",""en"")"),"The sea is huge")</f>
        <v>The sea is huge</v>
      </c>
    </row>
    <row r="1819" spans="1:3" ht="15" x14ac:dyDescent="0.25">
      <c r="A1819" s="3" t="s">
        <v>1816</v>
      </c>
      <c r="B1819" s="3" t="s">
        <v>4</v>
      </c>
      <c r="C1819" s="2" t="str">
        <f ca="1">IFERROR(__xludf.DUMMYFUNCTION("GOOGLETRANSLATE(A1819,""bn"",""en"")"),"I'm going to the rainforest")</f>
        <v>I'm going to the rainforest</v>
      </c>
    </row>
    <row r="1820" spans="1:3" ht="15" x14ac:dyDescent="0.25">
      <c r="A1820" s="3" t="s">
        <v>1817</v>
      </c>
      <c r="B1820" s="3" t="s">
        <v>4</v>
      </c>
      <c r="C1820" s="2" t="str">
        <f ca="1">IFERROR(__xludf.DUMMYFUNCTION("GOOGLETRANSLATE(A1820,""bn"",""en"")"),"Mainul read prose")</f>
        <v>Mainul read prose</v>
      </c>
    </row>
    <row r="1821" spans="1:3" ht="15" x14ac:dyDescent="0.25">
      <c r="A1821" s="3" t="s">
        <v>1818</v>
      </c>
      <c r="B1821" s="3" t="s">
        <v>4</v>
      </c>
      <c r="C1821" s="2" t="str">
        <f ca="1">IFERROR(__xludf.DUMMYFUNCTION("GOOGLETRANSLATE(A1821,""bn"",""en"")"),"Education has increased")</f>
        <v>Education has increased</v>
      </c>
    </row>
    <row r="1822" spans="1:3" ht="15" x14ac:dyDescent="0.25">
      <c r="A1822" s="3" t="s">
        <v>1819</v>
      </c>
      <c r="B1822" s="3" t="s">
        <v>4</v>
      </c>
      <c r="C1822" s="2" t="str">
        <f ca="1">IFERROR(__xludf.DUMMYFUNCTION("GOOGLETRANSLATE(A1822,""bn"",""en"")"),"Employee standards are increasing")</f>
        <v>Employee standards are increasing</v>
      </c>
    </row>
    <row r="1823" spans="1:3" ht="15" x14ac:dyDescent="0.25">
      <c r="A1823" s="3" t="s">
        <v>1820</v>
      </c>
      <c r="B1823" s="3" t="s">
        <v>4</v>
      </c>
      <c r="C1823" s="2" t="str">
        <f ca="1">IFERROR(__xludf.DUMMYFUNCTION("GOOGLETRANSLATE(A1823,""bn"",""en"")"),"Using floppy disk")</f>
        <v>Using floppy disk</v>
      </c>
    </row>
    <row r="1824" spans="1:3" ht="15" x14ac:dyDescent="0.25">
      <c r="A1824" s="3" t="s">
        <v>1821</v>
      </c>
      <c r="B1824" s="3" t="s">
        <v>4</v>
      </c>
      <c r="C1824" s="2" t="str">
        <f ca="1">IFERROR(__xludf.DUMMYFUNCTION("GOOGLETRANSLATE(A1824,""bn"",""en"")"),"Watching games on laptop")</f>
        <v>Watching games on laptop</v>
      </c>
    </row>
    <row r="1825" spans="1:3" ht="15" x14ac:dyDescent="0.25">
      <c r="A1825" s="3" t="s">
        <v>1822</v>
      </c>
      <c r="B1825" s="3" t="s">
        <v>4</v>
      </c>
      <c r="C1825" s="2" t="str">
        <f ca="1">IFERROR(__xludf.DUMMYFUNCTION("GOOGLETRANSLATE(A1825,""bn"",""en"")"),"I'm skyriding")</f>
        <v>I'm skyriding</v>
      </c>
    </row>
    <row r="1826" spans="1:3" ht="15" x14ac:dyDescent="0.25">
      <c r="A1826" s="3" t="s">
        <v>1823</v>
      </c>
      <c r="B1826" s="3" t="s">
        <v>4</v>
      </c>
      <c r="C1826" s="2" t="str">
        <f ca="1">IFERROR(__xludf.DUMMYFUNCTION("GOOGLETRANSLATE(A1826,""bn"",""en"")"),"Technology is used")</f>
        <v>Technology is used</v>
      </c>
    </row>
    <row r="1827" spans="1:3" ht="15" x14ac:dyDescent="0.25">
      <c r="A1827" s="3" t="s">
        <v>1824</v>
      </c>
      <c r="B1827" s="3" t="s">
        <v>4</v>
      </c>
      <c r="C1827" s="2" t="str">
        <f ca="1">IFERROR(__xludf.DUMMYFUNCTION("GOOGLETRANSLATE(A1827,""bn"",""en"")"),"Students have memorized poems")</f>
        <v>Students have memorized poems</v>
      </c>
    </row>
    <row r="1828" spans="1:3" ht="15" x14ac:dyDescent="0.25">
      <c r="A1828" s="3" t="s">
        <v>1825</v>
      </c>
      <c r="B1828" s="3" t="s">
        <v>4</v>
      </c>
      <c r="C1828" s="2" t="str">
        <f ca="1">IFERROR(__xludf.DUMMYFUNCTION("GOOGLETRANSLATE(A1828,""bn"",""en"")"),"Spending time using smartphones")</f>
        <v>Spending time using smartphones</v>
      </c>
    </row>
    <row r="1829" spans="1:3" ht="15" x14ac:dyDescent="0.25">
      <c r="A1829" s="3" t="s">
        <v>1826</v>
      </c>
      <c r="B1829" s="3" t="s">
        <v>4</v>
      </c>
      <c r="C1829" s="2" t="str">
        <f ca="1">IFERROR(__xludf.DUMMYFUNCTION("GOOGLETRANSLATE(A1829,""bn"",""en"")"),"Economic growth is happening")</f>
        <v>Economic growth is happening</v>
      </c>
    </row>
    <row r="1830" spans="1:3" ht="15" x14ac:dyDescent="0.25">
      <c r="A1830" s="3" t="s">
        <v>1827</v>
      </c>
      <c r="B1830" s="3" t="s">
        <v>4</v>
      </c>
      <c r="C1830" s="2" t="str">
        <f ca="1">IFERROR(__xludf.DUMMYFUNCTION("GOOGLETRANSLATE(A1830,""bn"",""en"")"),"Change the infrastructure")</f>
        <v>Change the infrastructure</v>
      </c>
    </row>
    <row r="1831" spans="1:3" ht="15" x14ac:dyDescent="0.25">
      <c r="A1831" s="3" t="s">
        <v>1828</v>
      </c>
      <c r="B1831" s="3" t="s">
        <v>4</v>
      </c>
      <c r="C1831" s="2" t="str">
        <f ca="1">IFERROR(__xludf.DUMMYFUNCTION("GOOGLETRANSLATE(A1831,""bn"",""en"")"),"Stayed in college hostel")</f>
        <v>Stayed in college hostel</v>
      </c>
    </row>
    <row r="1832" spans="1:3" ht="15" x14ac:dyDescent="0.25">
      <c r="A1832" s="3" t="s">
        <v>1829</v>
      </c>
      <c r="B1832" s="3" t="s">
        <v>4</v>
      </c>
      <c r="C1832" s="2" t="str">
        <f ca="1">IFERROR(__xludf.DUMMYFUNCTION("GOOGLETRANSLATE(A1832,""bn"",""en"")"),"Bangladesh has gone digital")</f>
        <v>Bangladesh has gone digital</v>
      </c>
    </row>
    <row r="1833" spans="1:3" ht="15" x14ac:dyDescent="0.25">
      <c r="A1833" s="3" t="s">
        <v>1830</v>
      </c>
      <c r="B1833" s="3" t="s">
        <v>4</v>
      </c>
      <c r="C1833" s="2" t="str">
        <f ca="1">IFERROR(__xludf.DUMMYFUNCTION("GOOGLETRANSLATE(A1833,""bn"",""en"")"),"Looking for a good friend")</f>
        <v>Looking for a good friend</v>
      </c>
    </row>
    <row r="1834" spans="1:3" ht="15" x14ac:dyDescent="0.25">
      <c r="A1834" s="3" t="s">
        <v>1831</v>
      </c>
      <c r="B1834" s="3" t="s">
        <v>4</v>
      </c>
      <c r="C1834" s="2" t="str">
        <f ca="1">IFERROR(__xludf.DUMMYFUNCTION("GOOGLETRANSLATE(A1834,""bn"",""en"")"),"I am using mobile")</f>
        <v>I am using mobile</v>
      </c>
    </row>
    <row r="1835" spans="1:3" ht="15" x14ac:dyDescent="0.25">
      <c r="A1835" s="3" t="s">
        <v>1832</v>
      </c>
      <c r="B1835" s="3" t="s">
        <v>4</v>
      </c>
      <c r="C1835" s="2" t="str">
        <f ca="1">IFERROR(__xludf.DUMMYFUNCTION("GOOGLETRANSLATE(A1835,""bn"",""en"")"),"Add food")</f>
        <v>Add food</v>
      </c>
    </row>
    <row r="1836" spans="1:3" ht="15" x14ac:dyDescent="0.25">
      <c r="A1836" s="3" t="s">
        <v>1833</v>
      </c>
      <c r="B1836" s="3" t="s">
        <v>4</v>
      </c>
      <c r="C1836" s="2" t="str">
        <f ca="1">IFERROR(__xludf.DUMMYFUNCTION("GOOGLETRANSLATE(A1836,""bn"",""en"")"),"There are two types of accounts")</f>
        <v>There are two types of accounts</v>
      </c>
    </row>
    <row r="1837" spans="1:3" ht="15" x14ac:dyDescent="0.25">
      <c r="A1837" s="3" t="s">
        <v>1834</v>
      </c>
      <c r="B1837" s="3" t="s">
        <v>4</v>
      </c>
      <c r="C1837" s="2" t="str">
        <f ca="1">IFERROR(__xludf.DUMMYFUNCTION("GOOGLETRANSLATE(A1837,""bn"",""en"")"),"We do research")</f>
        <v>We do research</v>
      </c>
    </row>
    <row r="1838" spans="1:3" ht="15" x14ac:dyDescent="0.25">
      <c r="A1838" s="3" t="s">
        <v>1835</v>
      </c>
      <c r="B1838" s="3" t="s">
        <v>4</v>
      </c>
      <c r="C1838" s="2" t="str">
        <f ca="1">IFERROR(__xludf.DUMMYFUNCTION("GOOGLETRANSLATE(A1838,""bn"",""en"")"),"We do research as achievement")</f>
        <v>We do research as achievement</v>
      </c>
    </row>
    <row r="1839" spans="1:3" ht="15" x14ac:dyDescent="0.25">
      <c r="A1839" s="3" t="s">
        <v>1836</v>
      </c>
      <c r="B1839" s="3" t="s">
        <v>4</v>
      </c>
      <c r="C1839" s="2" t="str">
        <f ca="1">IFERROR(__xludf.DUMMYFUNCTION("GOOGLETRANSLATE(A1839,""bn"",""en"")"),"you do math")</f>
        <v>you do math</v>
      </c>
    </row>
    <row r="1840" spans="1:3" ht="15" x14ac:dyDescent="0.25">
      <c r="A1840" s="3" t="s">
        <v>1837</v>
      </c>
      <c r="B1840" s="3" t="s">
        <v>4</v>
      </c>
      <c r="C1840" s="2" t="str">
        <f ca="1">IFERROR(__xludf.DUMMYFUNCTION("GOOGLETRANSLATE(A1840,""bn"",""en"")"),"I use apps")</f>
        <v>I use apps</v>
      </c>
    </row>
    <row r="1841" spans="1:3" ht="15" x14ac:dyDescent="0.25">
      <c r="A1841" s="3" t="s">
        <v>1838</v>
      </c>
      <c r="B1841" s="3" t="s">
        <v>4</v>
      </c>
      <c r="C1841" s="2" t="str">
        <f ca="1">IFERROR(__xludf.DUMMYFUNCTION("GOOGLETRANSLATE(A1841,""bn"",""en"")"),"Create account")</f>
        <v>Create account</v>
      </c>
    </row>
    <row r="1842" spans="1:3" ht="15" x14ac:dyDescent="0.25">
      <c r="A1842" s="3" t="s">
        <v>1839</v>
      </c>
      <c r="B1842" s="3" t="s">
        <v>4</v>
      </c>
      <c r="C1842" s="2" t="str">
        <f ca="1">IFERROR(__xludf.DUMMYFUNCTION("GOOGLETRANSLATE(A1842,""bn"",""en"")"),"Students played Hadudu")</f>
        <v>Students played Hadudu</v>
      </c>
    </row>
    <row r="1843" spans="1:3" ht="15" x14ac:dyDescent="0.25">
      <c r="A1843" s="3" t="s">
        <v>1840</v>
      </c>
      <c r="B1843" s="3" t="s">
        <v>4</v>
      </c>
      <c r="C1843" s="2" t="str">
        <f ca="1">IFERROR(__xludf.DUMMYFUNCTION("GOOGLETRANSLATE(A1843,""bn"",""en"")"),"The loan is paid")</f>
        <v>The loan is paid</v>
      </c>
    </row>
    <row r="1844" spans="1:3" ht="15" x14ac:dyDescent="0.25">
      <c r="A1844" s="3" t="s">
        <v>1841</v>
      </c>
      <c r="B1844" s="3" t="s">
        <v>4</v>
      </c>
      <c r="C1844" s="2" t="str">
        <f ca="1">IFERROR(__xludf.DUMMYFUNCTION("GOOGLETRANSLATE(A1844,""bn"",""en"")"),"Credit card is approved")</f>
        <v>Credit card is approved</v>
      </c>
    </row>
    <row r="1845" spans="1:3" ht="15" x14ac:dyDescent="0.25">
      <c r="A1845" s="3" t="s">
        <v>1842</v>
      </c>
      <c r="B1845" s="3" t="s">
        <v>4</v>
      </c>
      <c r="C1845" s="2" t="str">
        <f ca="1">IFERROR(__xludf.DUMMYFUNCTION("GOOGLETRANSLATE(A1845,""bn"",""en"")"),"I liked politics")</f>
        <v>I liked politics</v>
      </c>
    </row>
    <row r="1846" spans="1:3" ht="15" x14ac:dyDescent="0.25">
      <c r="A1846" s="3" t="s">
        <v>1843</v>
      </c>
      <c r="B1846" s="3" t="s">
        <v>4</v>
      </c>
      <c r="C1846" s="2" t="str">
        <f ca="1">IFERROR(__xludf.DUMMYFUNCTION("GOOGLETRANSLATE(A1846,""bn"",""en"")"),"I read poetry")</f>
        <v>I read poetry</v>
      </c>
    </row>
    <row r="1847" spans="1:3" ht="15" x14ac:dyDescent="0.25">
      <c r="A1847" s="3" t="s">
        <v>1844</v>
      </c>
      <c r="B1847" s="3" t="s">
        <v>4</v>
      </c>
      <c r="C1847" s="2" t="str">
        <f ca="1">IFERROR(__xludf.DUMMYFUNCTION("GOOGLETRANSLATE(A1847,""bn"",""en"")"),"I have been to the Taj Mahal")</f>
        <v>I have been to the Taj Mahal</v>
      </c>
    </row>
    <row r="1848" spans="1:3" ht="15" x14ac:dyDescent="0.25">
      <c r="A1848" s="3" t="s">
        <v>1845</v>
      </c>
      <c r="B1848" s="3" t="s">
        <v>4</v>
      </c>
      <c r="C1848" s="2" t="str">
        <f ca="1">IFERROR(__xludf.DUMMYFUNCTION("GOOGLETRANSLATE(A1848,""bn"",""en"")"),"I am doing online course")</f>
        <v>I am doing online course</v>
      </c>
    </row>
    <row r="1849" spans="1:3" ht="15" x14ac:dyDescent="0.25">
      <c r="A1849" s="3" t="s">
        <v>1846</v>
      </c>
      <c r="B1849" s="3" t="s">
        <v>4</v>
      </c>
      <c r="C1849" s="2" t="str">
        <f ca="1">IFERROR(__xludf.DUMMYFUNCTION("GOOGLETRANSLATE(A1849,""bn"",""en"")"),"Russia is technologically advanced")</f>
        <v>Russia is technologically advanced</v>
      </c>
    </row>
    <row r="1850" spans="1:3" ht="15" x14ac:dyDescent="0.25">
      <c r="A1850" s="3" t="s">
        <v>1847</v>
      </c>
      <c r="B1850" s="3" t="s">
        <v>4</v>
      </c>
      <c r="C1850" s="2" t="str">
        <f ca="1">IFERROR(__xludf.DUMMYFUNCTION("GOOGLETRANSLATE(A1850,""bn"",""en"")"),"I used the iPad")</f>
        <v>I used the iPad</v>
      </c>
    </row>
    <row r="1851" spans="1:3" ht="15" x14ac:dyDescent="0.25">
      <c r="A1851" s="3" t="s">
        <v>1848</v>
      </c>
      <c r="B1851" s="3" t="s">
        <v>4</v>
      </c>
      <c r="C1851" s="2" t="str">
        <f ca="1">IFERROR(__xludf.DUMMYFUNCTION("GOOGLETRANSLATE(A1851,""bn"",""en"")"),"I used the television")</f>
        <v>I used the television</v>
      </c>
    </row>
    <row r="1852" spans="1:3" ht="15" x14ac:dyDescent="0.25">
      <c r="A1852" s="3" t="s">
        <v>1849</v>
      </c>
      <c r="B1852" s="3" t="s">
        <v>4</v>
      </c>
      <c r="C1852" s="2" t="str">
        <f ca="1">IFERROR(__xludf.DUMMYFUNCTION("GOOGLETRANSLATE(A1852,""bn"",""en"")"),"I am walking to the mosque")</f>
        <v>I am walking to the mosque</v>
      </c>
    </row>
    <row r="1853" spans="1:3" ht="15" x14ac:dyDescent="0.25">
      <c r="A1853" s="3" t="s">
        <v>1850</v>
      </c>
      <c r="B1853" s="3" t="s">
        <v>4</v>
      </c>
      <c r="C1853" s="2" t="str">
        <f ca="1">IFERROR(__xludf.DUMMYFUNCTION("GOOGLETRANSLATE(A1853,""bn"",""en"")"),"There are commercial opportunities")</f>
        <v>There are commercial opportunities</v>
      </c>
    </row>
    <row r="1854" spans="1:3" ht="15" x14ac:dyDescent="0.25">
      <c r="A1854" s="3" t="s">
        <v>1851</v>
      </c>
      <c r="B1854" s="3" t="s">
        <v>4</v>
      </c>
      <c r="C1854" s="2" t="str">
        <f ca="1">IFERROR(__xludf.DUMMYFUNCTION("GOOGLETRANSLATE(A1854,""bn"",""en"")"),"I like traveling")</f>
        <v>I like traveling</v>
      </c>
    </row>
    <row r="1855" spans="1:3" ht="15" x14ac:dyDescent="0.25">
      <c r="A1855" s="3" t="s">
        <v>1852</v>
      </c>
      <c r="B1855" s="3" t="s">
        <v>4</v>
      </c>
      <c r="C1855" s="2" t="str">
        <f ca="1">IFERROR(__xludf.DUMMYFUNCTION("GOOGLETRANSLATE(A1855,""bn"",""en"")"),"Open mobile account")</f>
        <v>Open mobile account</v>
      </c>
    </row>
    <row r="1856" spans="1:3" ht="15" x14ac:dyDescent="0.25">
      <c r="A1856" s="3" t="s">
        <v>1853</v>
      </c>
      <c r="B1856" s="3" t="s">
        <v>4</v>
      </c>
      <c r="C1856" s="2" t="str">
        <f ca="1">IFERROR(__xludf.DUMMYFUNCTION("GOOGLETRANSLATE(A1856,""bn"",""en"")"),"Education is aspect of human life")</f>
        <v>Education is aspect of human life</v>
      </c>
    </row>
    <row r="1857" spans="1:3" ht="15" x14ac:dyDescent="0.25">
      <c r="A1857" s="3" t="s">
        <v>1854</v>
      </c>
      <c r="B1857" s="3" t="s">
        <v>4</v>
      </c>
      <c r="C1857" s="2" t="str">
        <f ca="1">IFERROR(__xludf.DUMMYFUNCTION("GOOGLETRANSLATE(A1857,""bn"",""en"")"),"Lined up and spinning")</f>
        <v>Lined up and spinning</v>
      </c>
    </row>
    <row r="1858" spans="1:3" ht="15" x14ac:dyDescent="0.25">
      <c r="A1858" s="3" t="s">
        <v>1855</v>
      </c>
      <c r="B1858" s="3" t="s">
        <v>4</v>
      </c>
      <c r="C1858" s="2" t="str">
        <f ca="1">IFERROR(__xludf.DUMMYFUNCTION("GOOGLETRANSLATE(A1858,""bn"",""en"")"),"Waves radiate softness")</f>
        <v>Waves radiate softness</v>
      </c>
    </row>
    <row r="1859" spans="1:3" ht="15" x14ac:dyDescent="0.25">
      <c r="A1859" s="3" t="s">
        <v>1856</v>
      </c>
      <c r="B1859" s="3" t="s">
        <v>4</v>
      </c>
      <c r="C1859" s="2" t="str">
        <f ca="1">IFERROR(__xludf.DUMMYFUNCTION("GOOGLETRANSLATE(A1859,""bn"",""en"")"),"Citizens' expectations are rising")</f>
        <v>Citizens' expectations are rising</v>
      </c>
    </row>
    <row r="1860" spans="1:3" ht="15" x14ac:dyDescent="0.25">
      <c r="A1860" s="3" t="s">
        <v>1857</v>
      </c>
      <c r="B1860" s="3" t="s">
        <v>4</v>
      </c>
      <c r="C1860" s="2" t="str">
        <f ca="1">IFERROR(__xludf.DUMMYFUNCTION("GOOGLETRANSLATE(A1860,""bn"",""en"")"),"using internet")</f>
        <v>using internet</v>
      </c>
    </row>
    <row r="1861" spans="1:3" ht="15" x14ac:dyDescent="0.25">
      <c r="A1861" s="3" t="s">
        <v>1858</v>
      </c>
      <c r="B1861" s="3" t="s">
        <v>4</v>
      </c>
      <c r="C1861" s="2" t="str">
        <f ca="1">IFERROR(__xludf.DUMMYFUNCTION("GOOGLETRANSLATE(A1861,""bn"",""en"")"),"His intelligence is good")</f>
        <v>His intelligence is good</v>
      </c>
    </row>
    <row r="1862" spans="1:3" ht="15" x14ac:dyDescent="0.25">
      <c r="A1862" s="3" t="s">
        <v>1859</v>
      </c>
      <c r="B1862" s="3" t="s">
        <v>4</v>
      </c>
      <c r="C1862" s="2" t="str">
        <f ca="1">IFERROR(__xludf.DUMMYFUNCTION("GOOGLETRANSLATE(A1862,""bn"",""en"")"),"Loan disbursement")</f>
        <v>Loan disbursement</v>
      </c>
    </row>
    <row r="1863" spans="1:3" ht="15" x14ac:dyDescent="0.25">
      <c r="A1863" s="3" t="s">
        <v>1860</v>
      </c>
      <c r="B1863" s="3" t="s">
        <v>4</v>
      </c>
      <c r="C1863" s="2" t="str">
        <f ca="1">IFERROR(__xludf.DUMMYFUNCTION("GOOGLETRANSLATE(A1863,""bn"",""en"")"),"Telling the story of life")</f>
        <v>Telling the story of life</v>
      </c>
    </row>
    <row r="1864" spans="1:3" ht="15" x14ac:dyDescent="0.25">
      <c r="A1864" s="3" t="s">
        <v>1861</v>
      </c>
      <c r="B1864" s="3" t="s">
        <v>4</v>
      </c>
      <c r="C1864" s="2" t="str">
        <f ca="1">IFERROR(__xludf.DUMMYFUNCTION("GOOGLETRANSLATE(A1864,""bn"",""en"")"),"Technology continues to evolve")</f>
        <v>Technology continues to evolve</v>
      </c>
    </row>
    <row r="1865" spans="1:3" ht="15" x14ac:dyDescent="0.25">
      <c r="A1865" s="3" t="s">
        <v>1862</v>
      </c>
      <c r="B1865" s="3" t="s">
        <v>4</v>
      </c>
      <c r="C1865" s="2" t="str">
        <f ca="1">IFERROR(__xludf.DUMMYFUNCTION("GOOGLETRANSLATE(A1865,""bn"",""en"")"),"Technology is evolving")</f>
        <v>Technology is evolving</v>
      </c>
    </row>
    <row r="1866" spans="1:3" ht="15" x14ac:dyDescent="0.25">
      <c r="A1866" s="3" t="s">
        <v>1863</v>
      </c>
      <c r="B1866" s="3" t="s">
        <v>4</v>
      </c>
      <c r="C1866" s="2" t="str">
        <f ca="1">IFERROR(__xludf.DUMMYFUNCTION("GOOGLETRANSLATE(A1866,""bn"",""en"")"),"Education is the door of human life")</f>
        <v>Education is the door of human life</v>
      </c>
    </row>
    <row r="1867" spans="1:3" ht="15" x14ac:dyDescent="0.25">
      <c r="A1867" s="3" t="s">
        <v>1864</v>
      </c>
      <c r="B1867" s="3" t="s">
        <v>4</v>
      </c>
      <c r="C1867" s="2" t="str">
        <f ca="1">IFERROR(__xludf.DUMMYFUNCTION("GOOGLETRANSLATE(A1867,""bn"",""en"")"),"Wikipedia information repository")</f>
        <v>Wikipedia information repository</v>
      </c>
    </row>
    <row r="1868" spans="1:3" ht="15" x14ac:dyDescent="0.25">
      <c r="A1868" s="3" t="s">
        <v>1865</v>
      </c>
      <c r="B1868" s="3" t="s">
        <v>4</v>
      </c>
      <c r="C1868" s="2" t="str">
        <f ca="1">IFERROR(__xludf.DUMMYFUNCTION("GOOGLETRANSLATE(A1868,""bn"",""en"")"),"The market price is increasing")</f>
        <v>The market price is increasing</v>
      </c>
    </row>
    <row r="1869" spans="1:3" ht="15" x14ac:dyDescent="0.25">
      <c r="A1869" s="3" t="s">
        <v>1866</v>
      </c>
      <c r="B1869" s="3" t="s">
        <v>4</v>
      </c>
      <c r="C1869" s="2" t="str">
        <f ca="1">IFERROR(__xludf.DUMMYFUNCTION("GOOGLETRANSLATE(A1869,""bn"",""en"")"),"i am talking")</f>
        <v>i am talking</v>
      </c>
    </row>
    <row r="1870" spans="1:3" ht="15" x14ac:dyDescent="0.25">
      <c r="A1870" s="3" t="s">
        <v>1867</v>
      </c>
      <c r="B1870" s="3" t="s">
        <v>4</v>
      </c>
      <c r="C1870" s="2" t="str">
        <f ca="1">IFERROR(__xludf.DUMMYFUNCTION("GOOGLETRANSLATE(A1870,""bn"",""en"")"),"They are skiing")</f>
        <v>They are skiing</v>
      </c>
    </row>
    <row r="1871" spans="1:3" ht="15" x14ac:dyDescent="0.25">
      <c r="A1871" s="3" t="s">
        <v>1868</v>
      </c>
      <c r="B1871" s="3" t="s">
        <v>4</v>
      </c>
      <c r="C1871" s="2" t="str">
        <f ca="1">IFERROR(__xludf.DUMMYFUNCTION("GOOGLETRANSLATE(A1871,""bn"",""en"")"),"I deposit money with great difficulty")</f>
        <v>I deposit money with great difficulty</v>
      </c>
    </row>
    <row r="1872" spans="1:3" ht="15" x14ac:dyDescent="0.25">
      <c r="A1872" s="3" t="s">
        <v>1869</v>
      </c>
      <c r="B1872" s="3" t="s">
        <v>4</v>
      </c>
      <c r="C1872" s="2" t="str">
        <f ca="1">IFERROR(__xludf.DUMMYFUNCTION("GOOGLETRANSLATE(A1872,""bn"",""en"")"),"deposit money")</f>
        <v>deposit money</v>
      </c>
    </row>
    <row r="1873" spans="1:3" ht="15" x14ac:dyDescent="0.25">
      <c r="A1873" s="3" t="s">
        <v>1870</v>
      </c>
      <c r="B1873" s="3" t="s">
        <v>4</v>
      </c>
      <c r="C1873" s="2" t="str">
        <f ca="1">IFERROR(__xludf.DUMMYFUNCTION("GOOGLETRANSLATE(A1873,""bn"",""en"")"),"Mobile mini technology")</f>
        <v>Mobile mini technology</v>
      </c>
    </row>
    <row r="1874" spans="1:3" ht="15" x14ac:dyDescent="0.25">
      <c r="A1874" s="3" t="s">
        <v>1871</v>
      </c>
      <c r="B1874" s="3" t="s">
        <v>4</v>
      </c>
      <c r="C1874" s="2" t="str">
        <f ca="1">IFERROR(__xludf.DUMMYFUNCTION("GOOGLETRANSLATE(A1874,""bn"",""en"")"),"I think about the afterlife")</f>
        <v>I think about the afterlife</v>
      </c>
    </row>
    <row r="1875" spans="1:3" ht="15" x14ac:dyDescent="0.25">
      <c r="A1875" s="3" t="s">
        <v>1872</v>
      </c>
      <c r="B1875" s="3" t="s">
        <v>4</v>
      </c>
      <c r="C1875" s="2" t="str">
        <f ca="1">IFERROR(__xludf.DUMMYFUNCTION("GOOGLETRANSLATE(A1875,""bn"",""en"")"),"Create a portfolio")</f>
        <v>Create a portfolio</v>
      </c>
    </row>
    <row r="1876" spans="1:3" ht="15" x14ac:dyDescent="0.25">
      <c r="A1876" s="3" t="s">
        <v>1873</v>
      </c>
      <c r="B1876" s="3" t="s">
        <v>4</v>
      </c>
      <c r="C1876" s="2" t="str">
        <f ca="1">IFERROR(__xludf.DUMMYFUNCTION("GOOGLETRANSLATE(A1876,""bn"",""en"")"),"Sending money to Rocket")</f>
        <v>Sending money to Rocket</v>
      </c>
    </row>
    <row r="1877" spans="1:3" ht="15" x14ac:dyDescent="0.25">
      <c r="A1877" s="3" t="s">
        <v>1874</v>
      </c>
      <c r="B1877" s="3" t="s">
        <v>4</v>
      </c>
      <c r="C1877" s="2" t="str">
        <f ca="1">IFERROR(__xludf.DUMMYFUNCTION("GOOGLETRANSLATE(A1877,""bn"",""en"")"),"Meeting at the bank")</f>
        <v>Meeting at the bank</v>
      </c>
    </row>
    <row r="1878" spans="1:3" ht="15" x14ac:dyDescent="0.25">
      <c r="A1878" s="3" t="s">
        <v>1875</v>
      </c>
      <c r="B1878" s="3" t="s">
        <v>4</v>
      </c>
      <c r="C1878" s="2" t="str">
        <f ca="1">IFERROR(__xludf.DUMMYFUNCTION("GOOGLETRANSLATE(A1878,""bn"",""en"")"),"Downloading software")</f>
        <v>Downloading software</v>
      </c>
    </row>
    <row r="1879" spans="1:3" ht="15" x14ac:dyDescent="0.25">
      <c r="A1879" s="3" t="s">
        <v>1876</v>
      </c>
      <c r="B1879" s="3" t="s">
        <v>4</v>
      </c>
      <c r="C1879" s="2" t="str">
        <f ca="1">IFERROR(__xludf.DUMMYFUNCTION("GOOGLETRANSLATE(A1879,""bn"",""en"")"),"Sending money in cash")</f>
        <v>Sending money in cash</v>
      </c>
    </row>
    <row r="1880" spans="1:3" ht="15" x14ac:dyDescent="0.25">
      <c r="A1880" s="3" t="s">
        <v>1877</v>
      </c>
      <c r="B1880" s="3" t="s">
        <v>4</v>
      </c>
      <c r="C1880" s="2" t="str">
        <f ca="1">IFERROR(__xludf.DUMMYFUNCTION("GOOGLETRANSLATE(A1880,""bn"",""en"")"),"Pipilika is the search engine of Bangladesh")</f>
        <v>Pipilika is the search engine of Bangladesh</v>
      </c>
    </row>
    <row r="1881" spans="1:3" ht="15" x14ac:dyDescent="0.25">
      <c r="A1881" s="3" t="s">
        <v>1878</v>
      </c>
      <c r="B1881" s="3" t="s">
        <v>4</v>
      </c>
      <c r="C1881" s="2" t="str">
        <f ca="1">IFERROR(__xludf.DUMMYFUNCTION("GOOGLETRANSLATE(A1881,""bn"",""en"")"),"Technology has become a terrible master")</f>
        <v>Technology has become a terrible master</v>
      </c>
    </row>
    <row r="1882" spans="1:3" ht="15" x14ac:dyDescent="0.25">
      <c r="A1882" s="3" t="s">
        <v>1879</v>
      </c>
      <c r="B1882" s="3" t="s">
        <v>4</v>
      </c>
      <c r="C1882" s="2" t="str">
        <f ca="1">IFERROR(__xludf.DUMMYFUNCTION("GOOGLETRANSLATE(A1882,""bn"",""en"")"),"Technology is making the situation worse")</f>
        <v>Technology is making the situation worse</v>
      </c>
    </row>
    <row r="1883" spans="1:3" ht="15" x14ac:dyDescent="0.25">
      <c r="A1883" s="3" t="s">
        <v>1880</v>
      </c>
      <c r="B1883" s="3" t="s">
        <v>4</v>
      </c>
      <c r="C1883" s="2" t="str">
        <f ca="1">IFERROR(__xludf.DUMMYFUNCTION("GOOGLETRANSLATE(A1883,""bn"",""en"")"),"I used IoT")</f>
        <v>I used IoT</v>
      </c>
    </row>
    <row r="1884" spans="1:3" ht="15" x14ac:dyDescent="0.25">
      <c r="A1884" s="3" t="s">
        <v>1881</v>
      </c>
      <c r="B1884" s="3" t="s">
        <v>4</v>
      </c>
      <c r="C1884" s="2" t="str">
        <f ca="1">IFERROR(__xludf.DUMMYFUNCTION("GOOGLETRANSLATE(A1884,""bn"",""en"")"),"Sending money via")</f>
        <v>Sending money via</v>
      </c>
    </row>
    <row r="1885" spans="1:3" ht="15" x14ac:dyDescent="0.25">
      <c r="A1885" s="3" t="s">
        <v>1882</v>
      </c>
      <c r="B1885" s="3" t="s">
        <v>4</v>
      </c>
      <c r="C1885" s="2" t="str">
        <f ca="1">IFERROR(__xludf.DUMMYFUNCTION("GOOGLETRANSLATE(A1885,""bn"",""en"")"),"History was discussed")</f>
        <v>History was discussed</v>
      </c>
    </row>
    <row r="1886" spans="1:3" ht="15" x14ac:dyDescent="0.25">
      <c r="A1886" s="3" t="s">
        <v>1883</v>
      </c>
      <c r="B1886" s="3" t="s">
        <v>4</v>
      </c>
      <c r="C1886" s="2" t="str">
        <f ca="1">IFERROR(__xludf.DUMMYFUNCTION("GOOGLETRANSLATE(A1886,""bn"",""en"")"),"Contact the family")</f>
        <v>Contact the family</v>
      </c>
    </row>
    <row r="1887" spans="1:3" ht="15" x14ac:dyDescent="0.25">
      <c r="A1887" s="3" t="s">
        <v>1884</v>
      </c>
      <c r="B1887" s="3" t="s">
        <v>4</v>
      </c>
      <c r="C1887" s="2" t="str">
        <f ca="1">IFERROR(__xludf.DUMMYFUNCTION("GOOGLETRANSLATE(A1887,""bn"",""en"")"),"I listen to music on my laptop")</f>
        <v>I listen to music on my laptop</v>
      </c>
    </row>
    <row r="1888" spans="1:3" ht="15" x14ac:dyDescent="0.25">
      <c r="A1888" s="3" t="s">
        <v>1885</v>
      </c>
      <c r="B1888" s="3" t="s">
        <v>4</v>
      </c>
      <c r="C1888" s="2" t="str">
        <f ca="1">IFERROR(__xludf.DUMMYFUNCTION("GOOGLETRANSLATE(A1888,""bn"",""en"")"),"Expressing my condolences")</f>
        <v>Expressing my condolences</v>
      </c>
    </row>
    <row r="1889" spans="1:3" ht="15" x14ac:dyDescent="0.25">
      <c r="A1889" s="3" t="s">
        <v>1886</v>
      </c>
      <c r="B1889" s="3" t="s">
        <v>4</v>
      </c>
      <c r="C1889" s="2" t="str">
        <f ca="1">IFERROR(__xludf.DUMMYFUNCTION("GOOGLETRANSLATE(A1889,""bn"",""en"")"),"Researching science")</f>
        <v>Researching science</v>
      </c>
    </row>
    <row r="1890" spans="1:3" ht="15" x14ac:dyDescent="0.25">
      <c r="A1890" s="3" t="s">
        <v>1887</v>
      </c>
      <c r="B1890" s="3" t="s">
        <v>4</v>
      </c>
      <c r="C1890" s="2" t="str">
        <f ca="1">IFERROR(__xludf.DUMMYFUNCTION("GOOGLETRANSLATE(A1890,""bn"",""en"")"),"technology is used")</f>
        <v>technology is used</v>
      </c>
    </row>
    <row r="1891" spans="1:3" ht="15" x14ac:dyDescent="0.25">
      <c r="A1891" s="3" t="s">
        <v>1888</v>
      </c>
      <c r="B1891" s="3" t="s">
        <v>4</v>
      </c>
      <c r="C1891" s="2" t="str">
        <f ca="1">IFERROR(__xludf.DUMMYFUNCTION("GOOGLETRANSLATE(A1891,""bn"",""en"")"),"Start testing mode")</f>
        <v>Start testing mode</v>
      </c>
    </row>
    <row r="1892" spans="1:3" ht="15" x14ac:dyDescent="0.25">
      <c r="A1892" s="3" t="s">
        <v>1889</v>
      </c>
      <c r="B1892" s="3" t="s">
        <v>4</v>
      </c>
      <c r="C1892" s="2" t="str">
        <f ca="1">IFERROR(__xludf.DUMMYFUNCTION("GOOGLETRANSLATE(A1892,""bn"",""en"")"),"PayPal is internationally recognized")</f>
        <v>PayPal is internationally recognized</v>
      </c>
    </row>
    <row r="1893" spans="1:3" ht="15" x14ac:dyDescent="0.25">
      <c r="A1893" s="3" t="s">
        <v>1890</v>
      </c>
      <c r="B1893" s="3" t="s">
        <v>4</v>
      </c>
      <c r="C1893" s="2" t="str">
        <f ca="1">IFERROR(__xludf.DUMMYFUNCTION("GOOGLETRANSLATE(A1893,""bn"",""en"")"),"Facebook is very popular")</f>
        <v>Facebook is very popular</v>
      </c>
    </row>
    <row r="1894" spans="1:3" ht="15" x14ac:dyDescent="0.25">
      <c r="A1894" s="3" t="s">
        <v>1891</v>
      </c>
      <c r="B1894" s="3" t="s">
        <v>4</v>
      </c>
      <c r="C1894" s="2" t="str">
        <f ca="1">IFERROR(__xludf.DUMMYFUNCTION("GOOGLETRANSLATE(A1894,""bn"",""en"")"),"Office needs topology")</f>
        <v>Office needs topology</v>
      </c>
    </row>
    <row r="1895" spans="1:3" ht="15" x14ac:dyDescent="0.25">
      <c r="A1895" s="3" t="s">
        <v>1892</v>
      </c>
      <c r="B1895" s="3" t="s">
        <v>4</v>
      </c>
      <c r="C1895" s="2" t="str">
        <f ca="1">IFERROR(__xludf.DUMMYFUNCTION("GOOGLETRANSLATE(A1895,""bn"",""en"")"),"I join politics")</f>
        <v>I join politics</v>
      </c>
    </row>
    <row r="1896" spans="1:3" ht="15" x14ac:dyDescent="0.25">
      <c r="A1896" s="3" t="s">
        <v>1893</v>
      </c>
      <c r="B1896" s="3" t="s">
        <v>4</v>
      </c>
      <c r="C1896" s="2" t="str">
        <f ca="1">IFERROR(__xludf.DUMMYFUNCTION("GOOGLETRANSLATE(A1896,""bn"",""en"")"),"I am eating in the college cafeteria")</f>
        <v>I am eating in the college cafeteria</v>
      </c>
    </row>
    <row r="1897" spans="1:3" ht="15" x14ac:dyDescent="0.25">
      <c r="A1897" s="3" t="s">
        <v>1894</v>
      </c>
      <c r="B1897" s="3" t="s">
        <v>4</v>
      </c>
      <c r="C1897" s="2" t="str">
        <f ca="1">IFERROR(__xludf.DUMMYFUNCTION("GOOGLETRANSLATE(A1897,""bn"",""en"")"),"Fishermen are catching fish")</f>
        <v>Fishermen are catching fish</v>
      </c>
    </row>
    <row r="1898" spans="1:3" ht="15" x14ac:dyDescent="0.25">
      <c r="A1898" s="3" t="s">
        <v>1895</v>
      </c>
      <c r="B1898" s="3" t="s">
        <v>4</v>
      </c>
      <c r="C1898" s="2" t="str">
        <f ca="1">IFERROR(__xludf.DUMMYFUNCTION("GOOGLETRANSLATE(A1898,""bn"",""en"")"),"Fishermen are fishing with risk")</f>
        <v>Fishermen are fishing with risk</v>
      </c>
    </row>
    <row r="1899" spans="1:3" ht="15" x14ac:dyDescent="0.25">
      <c r="A1899" s="3" t="s">
        <v>1896</v>
      </c>
      <c r="B1899" s="3" t="s">
        <v>4</v>
      </c>
      <c r="C1899" s="2" t="str">
        <f ca="1">IFERROR(__xludf.DUMMYFUNCTION("GOOGLETRANSLATE(A1899,""bn"",""en"")"),"you wrote notes")</f>
        <v>you wrote notes</v>
      </c>
    </row>
    <row r="1900" spans="1:3" ht="15" x14ac:dyDescent="0.25">
      <c r="A1900" s="3" t="s">
        <v>1897</v>
      </c>
      <c r="B1900" s="3" t="s">
        <v>4</v>
      </c>
      <c r="C1900" s="2" t="str">
        <f ca="1">IFERROR(__xludf.DUMMYFUNCTION("GOOGLETRANSLATE(A1900,""bn"",""en"")"),"I have donated to the poor")</f>
        <v>I have donated to the poor</v>
      </c>
    </row>
    <row r="1901" spans="1:3" ht="15" x14ac:dyDescent="0.25">
      <c r="A1901" s="3" t="s">
        <v>1898</v>
      </c>
      <c r="B1901" s="3" t="s">
        <v>4</v>
      </c>
      <c r="C1901" s="2" t="str">
        <f ca="1">IFERROR(__xludf.DUMMYFUNCTION("GOOGLETRANSLATE(A1901,""bn"",""en"")"),"Students are playing football")</f>
        <v>Students are playing football</v>
      </c>
    </row>
    <row r="1902" spans="1:3" ht="15" x14ac:dyDescent="0.25">
      <c r="A1902" s="3" t="s">
        <v>1899</v>
      </c>
      <c r="B1902" s="3" t="s">
        <v>4</v>
      </c>
      <c r="C1902" s="2" t="str">
        <f ca="1">IFERROR(__xludf.DUMMYFUNCTION("GOOGLETRANSLATE(A1902,""bn"",""en"")"),"Don't waste time using ebooks")</f>
        <v>Don't waste time using ebooks</v>
      </c>
    </row>
    <row r="1903" spans="1:3" ht="15" x14ac:dyDescent="0.25">
      <c r="A1903" s="3" t="s">
        <v>1900</v>
      </c>
      <c r="B1903" s="3" t="s">
        <v>4</v>
      </c>
      <c r="C1903" s="2" t="str">
        <f ca="1">IFERROR(__xludf.DUMMYFUNCTION("GOOGLETRANSLATE(A1903,""bn"",""en"")"),"Parties receive vows")</f>
        <v>Parties receive vows</v>
      </c>
    </row>
    <row r="1904" spans="1:3" ht="15" x14ac:dyDescent="0.25">
      <c r="A1904" s="3" t="s">
        <v>1901</v>
      </c>
      <c r="B1904" s="3" t="s">
        <v>4</v>
      </c>
      <c r="C1904" s="2" t="str">
        <f ca="1">IFERROR(__xludf.DUMMYFUNCTION("GOOGLETRANSLATE(A1904,""bn"",""en"")"),"Foreign imports are increasing")</f>
        <v>Foreign imports are increasing</v>
      </c>
    </row>
    <row r="1905" spans="1:3" ht="15" x14ac:dyDescent="0.25">
      <c r="A1905" s="3" t="s">
        <v>1902</v>
      </c>
      <c r="B1905" s="3" t="s">
        <v>4</v>
      </c>
      <c r="C1905" s="2" t="str">
        <f ca="1">IFERROR(__xludf.DUMMYFUNCTION("GOOGLETRANSLATE(A1905,""bn"",""en"")"),"He blogged")</f>
        <v>He blogged</v>
      </c>
    </row>
    <row r="1906" spans="1:3" ht="15" x14ac:dyDescent="0.25">
      <c r="A1906" s="3" t="s">
        <v>1903</v>
      </c>
      <c r="B1906" s="3" t="s">
        <v>4</v>
      </c>
      <c r="C1906" s="2" t="str">
        <f ca="1">IFERROR(__xludf.DUMMYFUNCTION("GOOGLETRANSLATE(A1906,""bn"",""en"")"),"I use the hub")</f>
        <v>I use the hub</v>
      </c>
    </row>
    <row r="1907" spans="1:3" ht="15" x14ac:dyDescent="0.25">
      <c r="A1907" s="3" t="s">
        <v>1904</v>
      </c>
      <c r="B1907" s="3" t="s">
        <v>4</v>
      </c>
      <c r="C1907" s="2" t="str">
        <f ca="1">IFERROR(__xludf.DUMMYFUNCTION("GOOGLETRANSLATE(A1907,""bn"",""en"")"),"Party discussion is going on")</f>
        <v>Party discussion is going on</v>
      </c>
    </row>
    <row r="1908" spans="1:3" ht="15" x14ac:dyDescent="0.25">
      <c r="A1908" s="3" t="s">
        <v>1905</v>
      </c>
      <c r="B1908" s="3" t="s">
        <v>4</v>
      </c>
      <c r="C1908" s="2" t="str">
        <f ca="1">IFERROR(__xludf.DUMMYFUNCTION("GOOGLETRANSLATE(A1908,""bn"",""en"")"),"Send messages daily")</f>
        <v>Send messages daily</v>
      </c>
    </row>
    <row r="1909" spans="1:3" ht="15" x14ac:dyDescent="0.25">
      <c r="A1909" s="3" t="s">
        <v>1906</v>
      </c>
      <c r="B1909" s="3" t="s">
        <v>4</v>
      </c>
      <c r="C1909" s="2" t="str">
        <f ca="1">IFERROR(__xludf.DUMMYFUNCTION("GOOGLETRANSLATE(A1909,""bn"",""en"")"),"Looking for sea oysters")</f>
        <v>Looking for sea oysters</v>
      </c>
    </row>
    <row r="1910" spans="1:3" ht="15" x14ac:dyDescent="0.25">
      <c r="A1910" s="3" t="s">
        <v>1907</v>
      </c>
      <c r="B1910" s="3" t="s">
        <v>4</v>
      </c>
      <c r="C1910" s="2" t="str">
        <f ca="1">IFERROR(__xludf.DUMMYFUNCTION("GOOGLETRANSLATE(A1910,""bn"",""en"")"),"Looking for sea oysters for pleasure")</f>
        <v>Looking for sea oysters for pleasure</v>
      </c>
    </row>
    <row r="1911" spans="1:3" ht="15" x14ac:dyDescent="0.25">
      <c r="A1911" s="3" t="s">
        <v>1908</v>
      </c>
      <c r="B1911" s="3" t="s">
        <v>4</v>
      </c>
      <c r="C1911" s="2" t="str">
        <f ca="1">IFERROR(__xludf.DUMMYFUNCTION("GOOGLETRANSLATE(A1911,""bn"",""en"")"),"Always loved football")</f>
        <v>Always loved football</v>
      </c>
    </row>
    <row r="1912" spans="1:3" ht="15" x14ac:dyDescent="0.25">
      <c r="A1912" s="3" t="s">
        <v>1909</v>
      </c>
      <c r="B1912" s="3" t="s">
        <v>4</v>
      </c>
      <c r="C1912" s="2" t="str">
        <f ca="1">IFERROR(__xludf.DUMMYFUNCTION("GOOGLETRANSLATE(A1912,""bn"",""en"")"),"He lacks food")</f>
        <v>He lacks food</v>
      </c>
    </row>
    <row r="1913" spans="1:3" ht="15" x14ac:dyDescent="0.25">
      <c r="A1913" s="3" t="s">
        <v>1910</v>
      </c>
      <c r="B1913" s="3" t="s">
        <v>4</v>
      </c>
      <c r="C1913" s="2" t="str">
        <f ca="1">IFERROR(__xludf.DUMMYFUNCTION("GOOGLETRANSLATE(A1913,""bn"",""en"")"),"Enjoyed the trip")</f>
        <v>Enjoyed the trip</v>
      </c>
    </row>
    <row r="1914" spans="1:3" ht="15" x14ac:dyDescent="0.25">
      <c r="A1914" s="3" t="s">
        <v>1911</v>
      </c>
      <c r="B1914" s="3" t="s">
        <v>4</v>
      </c>
      <c r="C1914" s="2" t="str">
        <f ca="1">IFERROR(__xludf.DUMMYFUNCTION("GOOGLETRANSLATE(A1914,""bn"",""en"")"),"Aki pictures on the laptop")</f>
        <v>Aki pictures on the laptop</v>
      </c>
    </row>
    <row r="1915" spans="1:3" ht="15" x14ac:dyDescent="0.25">
      <c r="A1915" s="3" t="s">
        <v>1912</v>
      </c>
      <c r="B1915" s="3" t="s">
        <v>4</v>
      </c>
      <c r="C1915" s="2" t="str">
        <f ca="1">IFERROR(__xludf.DUMMYFUNCTION("GOOGLETRANSLATE(A1915,""bn"",""en"")"),"I did the math")</f>
        <v>I did the math</v>
      </c>
    </row>
    <row r="1916" spans="1:3" ht="15" x14ac:dyDescent="0.25">
      <c r="A1916" s="3" t="s">
        <v>1913</v>
      </c>
      <c r="B1916" s="3" t="s">
        <v>4</v>
      </c>
      <c r="C1916" s="2" t="str">
        <f ca="1">IFERROR(__xludf.DUMMYFUNCTION("GOOGLETRANSLATE(A1916,""bn"",""en"")"),"I like cricket")</f>
        <v>I like cricket</v>
      </c>
    </row>
    <row r="1917" spans="1:3" ht="15" x14ac:dyDescent="0.25">
      <c r="A1917" s="3" t="s">
        <v>1914</v>
      </c>
      <c r="B1917" s="3" t="s">
        <v>4</v>
      </c>
      <c r="C1917" s="2" t="str">
        <f ca="1">IFERROR(__xludf.DUMMYFUNCTION("GOOGLETRANSLATE(A1917,""bn"",""en"")"),"Upgraded hardware")</f>
        <v>Upgraded hardware</v>
      </c>
    </row>
    <row r="1918" spans="1:3" ht="15" x14ac:dyDescent="0.25">
      <c r="A1918" s="3" t="s">
        <v>1915</v>
      </c>
      <c r="B1918" s="3" t="s">
        <v>4</v>
      </c>
      <c r="C1918" s="2" t="str">
        <f ca="1">IFERROR(__xludf.DUMMYFUNCTION("GOOGLETRANSLATE(A1918,""bn"",""en"")"),"He goes to school")</f>
        <v>He goes to school</v>
      </c>
    </row>
    <row r="1919" spans="1:3" ht="15" x14ac:dyDescent="0.25">
      <c r="A1919" s="3" t="s">
        <v>1916</v>
      </c>
      <c r="B1919" s="3" t="s">
        <v>4</v>
      </c>
      <c r="C1919" s="2" t="str">
        <f ca="1">IFERROR(__xludf.DUMMYFUNCTION("GOOGLETRANSLATE(A1919,""bn"",""en"")"),"I am raw in numbers")</f>
        <v>I am raw in numbers</v>
      </c>
    </row>
    <row r="1920" spans="1:3" ht="15" x14ac:dyDescent="0.25">
      <c r="A1920" s="3" t="s">
        <v>1917</v>
      </c>
      <c r="B1920" s="3" t="s">
        <v>4</v>
      </c>
      <c r="C1920" s="2" t="str">
        <f ca="1">IFERROR(__xludf.DUMMYFUNCTION("GOOGLETRANSLATE(A1920,""bn"",""en"")"),"I didn't do very well in numbers")</f>
        <v>I didn't do very well in numbers</v>
      </c>
    </row>
    <row r="1921" spans="1:3" ht="15" x14ac:dyDescent="0.25">
      <c r="A1921" s="3" t="s">
        <v>1918</v>
      </c>
      <c r="B1921" s="3" t="s">
        <v>4</v>
      </c>
      <c r="C1921" s="2" t="str">
        <f ca="1">IFERROR(__xludf.DUMMYFUNCTION("GOOGLETRANSLATE(A1921,""bn"",""en"")"),"A rocket goes into space")</f>
        <v>A rocket goes into space</v>
      </c>
    </row>
    <row r="1922" spans="1:3" ht="15" x14ac:dyDescent="0.25">
      <c r="A1922" s="3" t="s">
        <v>1919</v>
      </c>
      <c r="B1922" s="3" t="s">
        <v>4</v>
      </c>
      <c r="C1922" s="2" t="str">
        <f ca="1">IFERROR(__xludf.DUMMYFUNCTION("GOOGLETRANSLATE(A1922,""bn"",""en"")"),"Crops are grown in the village")</f>
        <v>Crops are grown in the village</v>
      </c>
    </row>
    <row r="1923" spans="1:3" ht="15" x14ac:dyDescent="0.25">
      <c r="A1923" s="3" t="s">
        <v>1920</v>
      </c>
      <c r="B1923" s="3" t="s">
        <v>4</v>
      </c>
      <c r="C1923" s="2" t="str">
        <f ca="1">IFERROR(__xludf.DUMMYFUNCTION("GOOGLETRANSLATE(A1923,""bn"",""en"")"),"The purchasing organization grows")</f>
        <v>The purchasing organization grows</v>
      </c>
    </row>
    <row r="1924" spans="1:3" ht="15" x14ac:dyDescent="0.25">
      <c r="A1924" s="3" t="s">
        <v>1921</v>
      </c>
      <c r="B1924" s="3" t="s">
        <v>4</v>
      </c>
      <c r="C1924" s="2" t="str">
        <f ca="1">IFERROR(__xludf.DUMMYFUNCTION("GOOGLETRANSLATE(A1924,""bn"",""en"")"),"I used the internet")</f>
        <v>I used the internet</v>
      </c>
    </row>
    <row r="1925" spans="1:3" ht="15" x14ac:dyDescent="0.25">
      <c r="A1925" s="3" t="s">
        <v>1922</v>
      </c>
      <c r="B1925" s="3" t="s">
        <v>4</v>
      </c>
      <c r="C1925" s="2" t="str">
        <f ca="1">IFERROR(__xludf.DUMMYFUNCTION("GOOGLETRANSLATE(A1925,""bn"",""en"")"),"using technology")</f>
        <v>using technology</v>
      </c>
    </row>
    <row r="1926" spans="1:3" ht="15" x14ac:dyDescent="0.25">
      <c r="A1926" s="3" t="s">
        <v>1923</v>
      </c>
      <c r="B1926" s="3" t="s">
        <v>4</v>
      </c>
      <c r="C1926" s="2" t="str">
        <f ca="1">IFERROR(__xludf.DUMMYFUNCTION("GOOGLETRANSLATE(A1926,""bn"",""en"")"),"i travel")</f>
        <v>i travel</v>
      </c>
    </row>
    <row r="1927" spans="1:3" ht="15" x14ac:dyDescent="0.25">
      <c r="A1927" s="3" t="s">
        <v>1924</v>
      </c>
      <c r="B1927" s="3" t="s">
        <v>4</v>
      </c>
      <c r="C1927" s="2" t="str">
        <f ca="1">IFERROR(__xludf.DUMMYFUNCTION("GOOGLETRANSLATE(A1927,""bn"",""en"")"),"I went to Hajj")</f>
        <v>I went to Hajj</v>
      </c>
    </row>
    <row r="1928" spans="1:3" ht="15" x14ac:dyDescent="0.25">
      <c r="A1928" s="3" t="s">
        <v>1925</v>
      </c>
      <c r="B1928" s="3" t="s">
        <v>4</v>
      </c>
      <c r="C1928" s="2" t="str">
        <f ca="1">IFERROR(__xludf.DUMMYFUNCTION("GOOGLETRANSLATE(A1928,""bn"",""en"")"),"He learned computer")</f>
        <v>He learned computer</v>
      </c>
    </row>
    <row r="1929" spans="1:3" ht="15" x14ac:dyDescent="0.25">
      <c r="A1929" s="3" t="s">
        <v>1926</v>
      </c>
      <c r="B1929" s="3" t="s">
        <v>4</v>
      </c>
      <c r="C1929" s="2" t="str">
        <f ca="1">IFERROR(__xludf.DUMMYFUNCTION("GOOGLETRANSLATE(A1929,""bn"",""en"")"),"I am working in the organization")</f>
        <v>I am working in the organization</v>
      </c>
    </row>
    <row r="1930" spans="1:3" ht="15" x14ac:dyDescent="0.25">
      <c r="A1930" s="3" t="s">
        <v>1927</v>
      </c>
      <c r="B1930" s="3" t="s">
        <v>4</v>
      </c>
      <c r="C1930" s="2" t="str">
        <f ca="1">IFERROR(__xludf.DUMMYFUNCTION("GOOGLETRANSLATE(A1930,""bn"",""en"")"),"I have opened an account")</f>
        <v>I have opened an account</v>
      </c>
    </row>
    <row r="1931" spans="1:3" ht="15" x14ac:dyDescent="0.25">
      <c r="A1931" s="3" t="s">
        <v>1928</v>
      </c>
      <c r="B1931" s="3" t="s">
        <v>4</v>
      </c>
      <c r="C1931" s="2" t="str">
        <f ca="1">IFERROR(__xludf.DUMMYFUNCTION("GOOGLETRANSLATE(A1931,""bn"",""en"")"),"The organization of the party is going on")</f>
        <v>The organization of the party is going on</v>
      </c>
    </row>
    <row r="1932" spans="1:3" ht="15" x14ac:dyDescent="0.25">
      <c r="A1932" s="3" t="s">
        <v>1929</v>
      </c>
      <c r="B1932" s="3" t="s">
        <v>4</v>
      </c>
      <c r="C1932" s="2" t="str">
        <f ca="1">IFERROR(__xludf.DUMMYFUNCTION("GOOGLETRANSLATE(A1932,""bn"",""en"")"),"I went to the college cafeteria")</f>
        <v>I went to the college cafeteria</v>
      </c>
    </row>
    <row r="1933" spans="1:3" ht="15" x14ac:dyDescent="0.25">
      <c r="A1933" s="3" t="s">
        <v>1930</v>
      </c>
      <c r="B1933" s="3" t="s">
        <v>4</v>
      </c>
      <c r="C1933" s="2" t="str">
        <f ca="1">IFERROR(__xludf.DUMMYFUNCTION("GOOGLETRANSLATE(A1933,""bn"",""en"")"),"Attitudes are changing")</f>
        <v>Attitudes are changing</v>
      </c>
    </row>
    <row r="1934" spans="1:3" ht="15" x14ac:dyDescent="0.25">
      <c r="A1934" s="3" t="s">
        <v>1931</v>
      </c>
      <c r="B1934" s="3" t="s">
        <v>4</v>
      </c>
      <c r="C1934" s="2" t="str">
        <f ca="1">IFERROR(__xludf.DUMMYFUNCTION("GOOGLETRANSLATE(A1934,""bn"",""en"")"),"Secure the account")</f>
        <v>Secure the account</v>
      </c>
    </row>
    <row r="1935" spans="1:3" ht="15" x14ac:dyDescent="0.25">
      <c r="A1935" s="3" t="s">
        <v>1932</v>
      </c>
      <c r="B1935" s="3" t="s">
        <v>4</v>
      </c>
      <c r="C1935" s="2" t="str">
        <f ca="1">IFERROR(__xludf.DUMMYFUNCTION("GOOGLETRANSLATE(A1935,""bn"",""en"")"),"feed the hungry")</f>
        <v>feed the hungry</v>
      </c>
    </row>
    <row r="1936" spans="1:3" ht="15" x14ac:dyDescent="0.25">
      <c r="A1936" s="3" t="s">
        <v>1933</v>
      </c>
      <c r="B1936" s="3" t="s">
        <v>4</v>
      </c>
      <c r="C1936" s="2" t="str">
        <f ca="1">IFERROR(__xludf.DUMMYFUNCTION("GOOGLETRANSLATE(A1936,""bn"",""en"")"),"The discussion is of the people")</f>
        <v>The discussion is of the people</v>
      </c>
    </row>
    <row r="1937" spans="1:3" ht="15" x14ac:dyDescent="0.25">
      <c r="A1937" s="3" t="s">
        <v>1934</v>
      </c>
      <c r="B1937" s="3" t="s">
        <v>4</v>
      </c>
      <c r="C1937" s="2" t="str">
        <f ca="1">IFERROR(__xludf.DUMMYFUNCTION("GOOGLETRANSLATE(A1937,""bn"",""en"")"),"Going to the college cafeteria")</f>
        <v>Going to the college cafeteria</v>
      </c>
    </row>
    <row r="1938" spans="1:3" ht="15" x14ac:dyDescent="0.25">
      <c r="A1938" s="3" t="s">
        <v>1935</v>
      </c>
      <c r="B1938" s="3" t="s">
        <v>4</v>
      </c>
      <c r="C1938" s="2" t="str">
        <f ca="1">IFERROR(__xludf.DUMMYFUNCTION("GOOGLETRANSLATE(A1938,""bn"",""en"")"),"i thought")</f>
        <v>i thought</v>
      </c>
    </row>
    <row r="1939" spans="1:3" ht="15" x14ac:dyDescent="0.25">
      <c r="A1939" s="3" t="s">
        <v>1936</v>
      </c>
      <c r="B1939" s="3" t="s">
        <v>4</v>
      </c>
      <c r="C1939" s="2" t="str">
        <f ca="1">IFERROR(__xludf.DUMMYFUNCTION("GOOGLETRANSLATE(A1939,""bn"",""en"")"),"I use the computer")</f>
        <v>I use the computer</v>
      </c>
    </row>
    <row r="1940" spans="1:3" ht="15" x14ac:dyDescent="0.25">
      <c r="A1940" s="3" t="s">
        <v>1937</v>
      </c>
      <c r="B1940" s="3" t="s">
        <v>4</v>
      </c>
      <c r="C1940" s="2" t="str">
        <f ca="1">IFERROR(__xludf.DUMMYFUNCTION("GOOGLETRANSLATE(A1940,""bn"",""en"")"),"The team is discussing")</f>
        <v>The team is discussing</v>
      </c>
    </row>
    <row r="1941" spans="1:3" ht="15" x14ac:dyDescent="0.25">
      <c r="A1941" s="3" t="s">
        <v>1938</v>
      </c>
      <c r="B1941" s="3" t="s">
        <v>4</v>
      </c>
      <c r="C1941" s="2" t="str">
        <f ca="1">IFERROR(__xludf.DUMMYFUNCTION("GOOGLETRANSLATE(A1941,""bn"",""en"")"),"Education is important in life")</f>
        <v>Education is important in life</v>
      </c>
    </row>
    <row r="1942" spans="1:3" ht="15" x14ac:dyDescent="0.25">
      <c r="A1942" s="3" t="s">
        <v>1939</v>
      </c>
      <c r="B1942" s="3" t="s">
        <v>4</v>
      </c>
      <c r="C1942" s="2" t="str">
        <f ca="1">IFERROR(__xludf.DUMMYFUNCTION("GOOGLETRANSLATE(A1942,""bn"",""en"")"),"Travel is the source of knowledge")</f>
        <v>Travel is the source of knowledge</v>
      </c>
    </row>
    <row r="1943" spans="1:3" ht="15" x14ac:dyDescent="0.25">
      <c r="A1943" s="3" t="s">
        <v>1940</v>
      </c>
      <c r="B1943" s="3" t="s">
        <v>4</v>
      </c>
      <c r="C1943" s="2" t="str">
        <f ca="1">IFERROR(__xludf.DUMMYFUNCTION("GOOGLETRANSLATE(A1943,""bn"",""en"")"),"Travel has changed")</f>
        <v>Travel has changed</v>
      </c>
    </row>
    <row r="1944" spans="1:3" ht="15" x14ac:dyDescent="0.25">
      <c r="A1944" s="3" t="s">
        <v>1941</v>
      </c>
      <c r="B1944" s="3" t="s">
        <v>4</v>
      </c>
      <c r="C1944" s="2" t="str">
        <f ca="1">IFERROR(__xludf.DUMMYFUNCTION("GOOGLETRANSLATE(A1944,""bn"",""en"")"),"Generations prosper")</f>
        <v>Generations prosper</v>
      </c>
    </row>
    <row r="1945" spans="1:3" ht="15" x14ac:dyDescent="0.25">
      <c r="A1945" s="3" t="s">
        <v>1942</v>
      </c>
      <c r="B1945" s="3" t="s">
        <v>4</v>
      </c>
      <c r="C1945" s="2" t="str">
        <f ca="1">IFERROR(__xludf.DUMMYFUNCTION("GOOGLETRANSLATE(A1945,""bn"",""en"")"),"I bought a new computer")</f>
        <v>I bought a new computer</v>
      </c>
    </row>
    <row r="1946" spans="1:3" ht="15" x14ac:dyDescent="0.25">
      <c r="A1946" s="3" t="s">
        <v>1943</v>
      </c>
      <c r="B1946" s="3" t="s">
        <v>4</v>
      </c>
      <c r="C1946" s="2" t="str">
        <f ca="1">IFERROR(__xludf.DUMMYFUNCTION("GOOGLETRANSLATE(A1946,""bn"",""en"")"),"I am reading the news on the website")</f>
        <v>I am reading the news on the website</v>
      </c>
    </row>
    <row r="1947" spans="1:3" ht="15" x14ac:dyDescent="0.25">
      <c r="A1947" s="3" t="s">
        <v>1944</v>
      </c>
      <c r="B1947" s="3" t="s">
        <v>4</v>
      </c>
      <c r="C1947" s="2" t="str">
        <f ca="1">IFERROR(__xludf.DUMMYFUNCTION("GOOGLETRANSLATE(A1947,""bn"",""en"")"),"Banks give loans")</f>
        <v>Banks give loans</v>
      </c>
    </row>
    <row r="1948" spans="1:3" ht="15" x14ac:dyDescent="0.25">
      <c r="A1948" s="3" t="s">
        <v>1945</v>
      </c>
      <c r="B1948" s="3" t="s">
        <v>4</v>
      </c>
      <c r="C1948" s="2" t="str">
        <f ca="1">IFERROR(__xludf.DUMMYFUNCTION("GOOGLETRANSLATE(A1948,""bn"",""en"")"),"He is reading the Quran")</f>
        <v>He is reading the Quran</v>
      </c>
    </row>
    <row r="1949" spans="1:3" ht="15" x14ac:dyDescent="0.25">
      <c r="A1949" s="3" t="s">
        <v>1946</v>
      </c>
      <c r="B1949" s="3" t="s">
        <v>4</v>
      </c>
      <c r="C1949" s="2" t="str">
        <f ca="1">IFERROR(__xludf.DUMMYFUNCTION("GOOGLETRANSLATE(A1949,""bn"",""en"")"),"Looking for success")</f>
        <v>Looking for success</v>
      </c>
    </row>
    <row r="1950" spans="1:3" ht="15" x14ac:dyDescent="0.25">
      <c r="A1950" s="3" t="s">
        <v>1947</v>
      </c>
      <c r="B1950" s="3" t="s">
        <v>4</v>
      </c>
      <c r="C1950" s="2" t="str">
        <f ca="1">IFERROR(__xludf.DUMMYFUNCTION("GOOGLETRANSLATE(A1950,""bn"",""en"")"),"Spending time in media")</f>
        <v>Spending time in media</v>
      </c>
    </row>
    <row r="1951" spans="1:3" ht="15" x14ac:dyDescent="0.25">
      <c r="A1951" s="3" t="s">
        <v>1948</v>
      </c>
      <c r="B1951" s="3" t="s">
        <v>4</v>
      </c>
      <c r="C1951" s="2" t="str">
        <f ca="1">IFERROR(__xludf.DUMMYFUNCTION("GOOGLETRANSLATE(A1951,""bn"",""en"")"),"I saw a tiger in the forest")</f>
        <v>I saw a tiger in the forest</v>
      </c>
    </row>
    <row r="1952" spans="1:3" ht="15" x14ac:dyDescent="0.25">
      <c r="A1952" s="3" t="s">
        <v>1949</v>
      </c>
      <c r="B1952" s="3" t="s">
        <v>4</v>
      </c>
      <c r="C1952" s="2" t="str">
        <f ca="1">IFERROR(__xludf.DUMMYFUNCTION("GOOGLETRANSLATE(A1952,""bn"",""en"")"),"I skyride")</f>
        <v>I skyride</v>
      </c>
    </row>
    <row r="1953" spans="1:3" ht="15" x14ac:dyDescent="0.25">
      <c r="A1953" s="3" t="s">
        <v>1950</v>
      </c>
      <c r="B1953" s="3" t="s">
        <v>4</v>
      </c>
      <c r="C1953" s="2" t="str">
        <f ca="1">IFERROR(__xludf.DUMMYFUNCTION("GOOGLETRANSLATE(A1953,""bn"",""en"")"),"Added benefits")</f>
        <v>Added benefits</v>
      </c>
    </row>
    <row r="1954" spans="1:3" ht="15" x14ac:dyDescent="0.25">
      <c r="A1954" s="3" t="s">
        <v>1951</v>
      </c>
      <c r="B1954" s="3" t="s">
        <v>4</v>
      </c>
      <c r="C1954" s="2" t="str">
        <f ca="1">IFERROR(__xludf.DUMMYFUNCTION("GOOGLETRANSLATE(A1954,""bn"",""en"")"),"I sing in my spare time")</f>
        <v>I sing in my spare time</v>
      </c>
    </row>
    <row r="1955" spans="1:3" ht="15" x14ac:dyDescent="0.25">
      <c r="A1955" s="3" t="s">
        <v>1952</v>
      </c>
      <c r="B1955" s="3" t="s">
        <v>4</v>
      </c>
      <c r="C1955" s="2" t="str">
        <f ca="1">IFERROR(__xludf.DUMMYFUNCTION("GOOGLETRANSLATE(A1955,""bn"",""en"")"),"People do politics")</f>
        <v>People do politics</v>
      </c>
    </row>
    <row r="1956" spans="1:3" ht="15" x14ac:dyDescent="0.25">
      <c r="A1956" s="3" t="s">
        <v>1953</v>
      </c>
      <c r="B1956" s="3" t="s">
        <v>4</v>
      </c>
      <c r="C1956" s="2" t="str">
        <f ca="1">IFERROR(__xludf.DUMMYFUNCTION("GOOGLETRANSLATE(A1956,""bn"",""en"")"),"Watch the game on the laptop")</f>
        <v>Watch the game on the laptop</v>
      </c>
    </row>
    <row r="1957" spans="1:3" ht="15" x14ac:dyDescent="0.25">
      <c r="A1957" s="3" t="s">
        <v>1954</v>
      </c>
      <c r="B1957" s="3" t="s">
        <v>4</v>
      </c>
      <c r="C1957" s="2" t="str">
        <f ca="1">IFERROR(__xludf.DUMMYFUNCTION("GOOGLETRANSLATE(A1957,""bn"",""en"")"),"Education is the refuge of light")</f>
        <v>Education is the refuge of light</v>
      </c>
    </row>
    <row r="1958" spans="1:3" ht="15" x14ac:dyDescent="0.25">
      <c r="A1958" s="3" t="s">
        <v>1955</v>
      </c>
      <c r="B1958" s="3" t="s">
        <v>4</v>
      </c>
      <c r="C1958" s="2" t="str">
        <f ca="1">IFERROR(__xludf.DUMMYFUNCTION("GOOGLETRANSLATE(A1958,""bn"",""en"")"),"The teachers worked hard")</f>
        <v>The teachers worked hard</v>
      </c>
    </row>
    <row r="1959" spans="1:3" ht="15" x14ac:dyDescent="0.25">
      <c r="A1959" s="3" t="s">
        <v>1956</v>
      </c>
      <c r="B1959" s="3" t="s">
        <v>4</v>
      </c>
      <c r="C1959" s="2" t="str">
        <f ca="1">IFERROR(__xludf.DUMMYFUNCTION("GOOGLETRANSLATE(A1959,""bn"",""en"")"),"Rita studies")</f>
        <v>Rita studies</v>
      </c>
    </row>
    <row r="1960" spans="1:3" ht="15" x14ac:dyDescent="0.25">
      <c r="A1960" s="3" t="s">
        <v>1957</v>
      </c>
      <c r="B1960" s="3" t="s">
        <v>4</v>
      </c>
      <c r="C1960" s="2" t="str">
        <f ca="1">IFERROR(__xludf.DUMMYFUNCTION("GOOGLETRANSLATE(A1960,""bn"",""en"")"),"Going out of the country")</f>
        <v>Going out of the country</v>
      </c>
    </row>
    <row r="1961" spans="1:3" ht="15" x14ac:dyDescent="0.25">
      <c r="A1961" s="3" t="s">
        <v>1958</v>
      </c>
      <c r="B1961" s="3" t="s">
        <v>4</v>
      </c>
      <c r="C1961" s="2" t="str">
        <f ca="1">IFERROR(__xludf.DUMMYFUNCTION("GOOGLETRANSLATE(A1961,""bn"",""en"")"),"Government is giving projects")</f>
        <v>Government is giving projects</v>
      </c>
    </row>
    <row r="1962" spans="1:3" ht="15" x14ac:dyDescent="0.25">
      <c r="A1962" s="3" t="s">
        <v>1959</v>
      </c>
      <c r="B1962" s="3" t="s">
        <v>4</v>
      </c>
      <c r="C1962" s="2" t="str">
        <f ca="1">IFERROR(__xludf.DUMMYFUNCTION("GOOGLETRANSLATE(A1962,""bn"",""en"")"),"The campus has been greened")</f>
        <v>The campus has been greened</v>
      </c>
    </row>
    <row r="1963" spans="1:3" ht="15" x14ac:dyDescent="0.25">
      <c r="A1963" s="3" t="s">
        <v>1960</v>
      </c>
      <c r="B1963" s="3" t="s">
        <v>4</v>
      </c>
      <c r="C1963" s="2" t="str">
        <f ca="1">IFERROR(__xludf.DUMMYFUNCTION("GOOGLETRANSLATE(A1963,""bn"",""en"")"),"Co factor of ion promoter")</f>
        <v>Co factor of ion promoter</v>
      </c>
    </row>
    <row r="1964" spans="1:3" ht="15" x14ac:dyDescent="0.25">
      <c r="A1964" s="3" t="s">
        <v>1961</v>
      </c>
      <c r="B1964" s="3" t="s">
        <v>4</v>
      </c>
      <c r="C1964" s="2" t="str">
        <f ca="1">IFERROR(__xludf.DUMMYFUNCTION("GOOGLETRANSLATE(A1964,""bn"",""en"")"),"Send money to the account")</f>
        <v>Send money to the account</v>
      </c>
    </row>
    <row r="1965" spans="1:3" ht="15" x14ac:dyDescent="0.25">
      <c r="A1965" s="3" t="s">
        <v>1962</v>
      </c>
      <c r="B1965" s="3" t="s">
        <v>4</v>
      </c>
      <c r="C1965" s="2" t="str">
        <f ca="1">IFERROR(__xludf.DUMMYFUNCTION("GOOGLETRANSLATE(A1965,""bn"",""en"")"),"Internet information sent")</f>
        <v>Internet information sent</v>
      </c>
    </row>
    <row r="1966" spans="1:3" ht="15" x14ac:dyDescent="0.25">
      <c r="A1966" s="3" t="s">
        <v>1963</v>
      </c>
      <c r="B1966" s="3" t="s">
        <v>4</v>
      </c>
      <c r="C1966" s="2" t="str">
        <f ca="1">IFERROR(__xludf.DUMMYFUNCTION("GOOGLETRANSLATE(A1966,""bn"",""en"")"),"I find peace in retirement")</f>
        <v>I find peace in retirement</v>
      </c>
    </row>
    <row r="1967" spans="1:3" ht="15" x14ac:dyDescent="0.25">
      <c r="A1967" s="3" t="s">
        <v>1964</v>
      </c>
      <c r="B1967" s="3" t="s">
        <v>4</v>
      </c>
      <c r="C1967" s="2" t="str">
        <f ca="1">IFERROR(__xludf.DUMMYFUNCTION("GOOGLETRANSLATE(A1967,""bn"",""en"")"),"Food provides energy")</f>
        <v>Food provides energy</v>
      </c>
    </row>
    <row r="1968" spans="1:3" ht="15" x14ac:dyDescent="0.25">
      <c r="A1968" s="3" t="s">
        <v>1965</v>
      </c>
      <c r="B1968" s="3" t="s">
        <v>4</v>
      </c>
      <c r="C1968" s="2" t="str">
        <f ca="1">IFERROR(__xludf.DUMMYFUNCTION("GOOGLETRANSLATE(A1968,""bn"",""en"")"),"I am reading a book")</f>
        <v>I am reading a book</v>
      </c>
    </row>
    <row r="1969" spans="1:3" ht="15" x14ac:dyDescent="0.25">
      <c r="A1969" s="3" t="s">
        <v>1966</v>
      </c>
      <c r="B1969" s="3" t="s">
        <v>4</v>
      </c>
      <c r="C1969" s="2" t="str">
        <f ca="1">IFERROR(__xludf.DUMMYFUNCTION("GOOGLETRANSLATE(A1969,""bn"",""en"")"),"The bank is open")</f>
        <v>The bank is open</v>
      </c>
    </row>
    <row r="1970" spans="1:3" ht="15" x14ac:dyDescent="0.25">
      <c r="A1970" s="3" t="s">
        <v>1967</v>
      </c>
      <c r="B1970" s="3" t="s">
        <v>4</v>
      </c>
      <c r="C1970" s="2" t="str">
        <f ca="1">IFERROR(__xludf.DUMMYFUNCTION("GOOGLETRANSLATE(A1970,""bn"",""en"")"),"Do online courses")</f>
        <v>Do online courses</v>
      </c>
    </row>
    <row r="1971" spans="1:3" ht="15" x14ac:dyDescent="0.25">
      <c r="A1971" s="3" t="s">
        <v>1968</v>
      </c>
      <c r="B1971" s="3" t="s">
        <v>4</v>
      </c>
      <c r="C1971" s="2" t="str">
        <f ca="1">IFERROR(__xludf.DUMMYFUNCTION("GOOGLETRANSLATE(A1971,""bn"",""en"")"),"I go to the rainforest")</f>
        <v>I go to the rainforest</v>
      </c>
    </row>
    <row r="1972" spans="1:3" ht="15" x14ac:dyDescent="0.25">
      <c r="A1972" s="3" t="s">
        <v>1969</v>
      </c>
      <c r="B1972" s="3" t="s">
        <v>4</v>
      </c>
      <c r="C1972" s="2" t="str">
        <f ca="1">IFERROR(__xludf.DUMMYFUNCTION("GOOGLETRANSLATE(A1972,""bn"",""en"")"),"Doing complex calculations")</f>
        <v>Doing complex calculations</v>
      </c>
    </row>
    <row r="1973" spans="1:3" ht="15" x14ac:dyDescent="0.25">
      <c r="A1973" s="3" t="s">
        <v>1970</v>
      </c>
      <c r="B1973" s="3" t="s">
        <v>4</v>
      </c>
      <c r="C1973" s="2" t="str">
        <f ca="1">IFERROR(__xludf.DUMMYFUNCTION("GOOGLETRANSLATE(A1973,""bn"",""en"")"),"Simplifying life")</f>
        <v>Simplifying life</v>
      </c>
    </row>
    <row r="1974" spans="1:3" ht="15" x14ac:dyDescent="0.25">
      <c r="A1974" s="3" t="s">
        <v>1971</v>
      </c>
      <c r="B1974" s="3" t="s">
        <v>4</v>
      </c>
      <c r="C1974" s="2" t="str">
        <f ca="1">IFERROR(__xludf.DUMMYFUNCTION("GOOGLETRANSLATE(A1974,""bn"",""en"")"),"Unable to get loan approval")</f>
        <v>Unable to get loan approval</v>
      </c>
    </row>
    <row r="1975" spans="1:3" ht="15" x14ac:dyDescent="0.25">
      <c r="A1975" s="3" t="s">
        <v>1972</v>
      </c>
      <c r="B1975" s="3" t="s">
        <v>4</v>
      </c>
      <c r="C1975" s="2" t="str">
        <f ca="1">IFERROR(__xludf.DUMMYFUNCTION("GOOGLETRANSLATE(A1975,""bn"",""en"")"),"I introduce the initiative")</f>
        <v>I introduce the initiative</v>
      </c>
    </row>
    <row r="1976" spans="1:3" ht="15" x14ac:dyDescent="0.25">
      <c r="A1976" s="3" t="s">
        <v>1973</v>
      </c>
      <c r="B1976" s="3" t="s">
        <v>4</v>
      </c>
      <c r="C1976" s="2" t="str">
        <f ca="1">IFERROR(__xludf.DUMMYFUNCTION("GOOGLETRANSLATE(A1976,""bn"",""en"")"),"The children are playing tennis")</f>
        <v>The children are playing tennis</v>
      </c>
    </row>
    <row r="1977" spans="1:3" ht="15" x14ac:dyDescent="0.25">
      <c r="A1977" s="3" t="s">
        <v>1974</v>
      </c>
      <c r="B1977" s="3" t="s">
        <v>4</v>
      </c>
      <c r="C1977" s="2" t="str">
        <f ca="1">IFERROR(__xludf.DUMMYFUNCTION("GOOGLETRANSLATE(A1977,""bn"",""en"")"),"Create new software")</f>
        <v>Create new software</v>
      </c>
    </row>
    <row r="1978" spans="1:3" ht="15" x14ac:dyDescent="0.25">
      <c r="A1978" s="3" t="s">
        <v>1975</v>
      </c>
      <c r="B1978" s="3" t="s">
        <v>4</v>
      </c>
      <c r="C1978" s="2" t="str">
        <f ca="1">IFERROR(__xludf.DUMMYFUNCTION("GOOGLETRANSLATE(A1978,""bn"",""en"")"),"Stayed in college")</f>
        <v>Stayed in college</v>
      </c>
    </row>
    <row r="1979" spans="1:3" ht="15" x14ac:dyDescent="0.25">
      <c r="A1979" s="3" t="s">
        <v>1976</v>
      </c>
      <c r="B1979" s="3" t="s">
        <v>4</v>
      </c>
      <c r="C1979" s="2" t="str">
        <f ca="1">IFERROR(__xludf.DUMMYFUNCTION("GOOGLETRANSLATE(A1979,""bn"",""en"")"),"Join the meeting")</f>
        <v>Join the meeting</v>
      </c>
    </row>
    <row r="1980" spans="1:3" ht="15" x14ac:dyDescent="0.25">
      <c r="A1980" s="3" t="s">
        <v>1977</v>
      </c>
      <c r="B1980" s="3" t="s">
        <v>4</v>
      </c>
      <c r="C1980" s="2" t="str">
        <f ca="1">IFERROR(__xludf.DUMMYFUNCTION("GOOGLETRANSLATE(A1980,""bn"",""en"")"),"I play cricket every day")</f>
        <v>I play cricket every day</v>
      </c>
    </row>
    <row r="1981" spans="1:3" ht="15" x14ac:dyDescent="0.25">
      <c r="A1981" s="3" t="s">
        <v>1978</v>
      </c>
      <c r="B1981" s="3" t="s">
        <v>4</v>
      </c>
      <c r="C1981" s="2" t="str">
        <f ca="1">IFERROR(__xludf.DUMMYFUNCTION("GOOGLETRANSLATE(A1981,""bn"",""en"")"),"Rabindranath is a world poet")</f>
        <v>Rabindranath is a world poet</v>
      </c>
    </row>
    <row r="1982" spans="1:3" ht="15" x14ac:dyDescent="0.25">
      <c r="A1982" s="3" t="s">
        <v>1979</v>
      </c>
      <c r="B1982" s="3" t="s">
        <v>4</v>
      </c>
      <c r="C1982" s="2" t="str">
        <f ca="1">IFERROR(__xludf.DUMMYFUNCTION("GOOGLETRANSLATE(A1982,""bn"",""en"")"),"Kanchenjunga is covered with snow")</f>
        <v>Kanchenjunga is covered with snow</v>
      </c>
    </row>
    <row r="1983" spans="1:3" ht="15" x14ac:dyDescent="0.25">
      <c r="A1983" s="3" t="s">
        <v>1980</v>
      </c>
      <c r="B1983" s="3" t="s">
        <v>4</v>
      </c>
      <c r="C1983" s="2" t="str">
        <f ca="1">IFERROR(__xludf.DUMMYFUNCTION("GOOGLETRANSLATE(A1983,""bn"",""en"")"),"Work in cash")</f>
        <v>Work in cash</v>
      </c>
    </row>
    <row r="1984" spans="1:3" ht="15" x14ac:dyDescent="0.25">
      <c r="A1984" s="3" t="s">
        <v>1981</v>
      </c>
      <c r="B1984" s="3" t="s">
        <v>4</v>
      </c>
      <c r="C1984" s="2" t="str">
        <f ca="1">IFERROR(__xludf.DUMMYFUNCTION("GOOGLETRANSLATE(A1984,""bn"",""en"")"),"Exchanging messages")</f>
        <v>Exchanging messages</v>
      </c>
    </row>
    <row r="1985" spans="1:3" ht="15" x14ac:dyDescent="0.25">
      <c r="A1985" s="3" t="s">
        <v>1982</v>
      </c>
      <c r="B1985" s="3" t="s">
        <v>4</v>
      </c>
      <c r="C1985" s="2" t="str">
        <f ca="1">IFERROR(__xludf.DUMMYFUNCTION("GOOGLETRANSLATE(A1985,""bn"",""en"")"),"Hack laptop")</f>
        <v>Hack laptop</v>
      </c>
    </row>
    <row r="1986" spans="1:3" ht="15" x14ac:dyDescent="0.25">
      <c r="A1986" s="3" t="s">
        <v>1983</v>
      </c>
      <c r="B1986" s="3" t="s">
        <v>4</v>
      </c>
      <c r="C1986" s="2" t="str">
        <f ca="1">IFERROR(__xludf.DUMMYFUNCTION("GOOGLETRANSLATE(A1986,""bn"",""en"")"),"Autonomous production has increased")</f>
        <v>Autonomous production has increased</v>
      </c>
    </row>
    <row r="1987" spans="1:3" ht="15" x14ac:dyDescent="0.25">
      <c r="A1987" s="3" t="s">
        <v>1984</v>
      </c>
      <c r="B1987" s="3" t="s">
        <v>4</v>
      </c>
      <c r="C1987" s="2" t="str">
        <f ca="1">IFERROR(__xludf.DUMMYFUNCTION("GOOGLETRANSLATE(A1987,""bn"",""en"")"),"I'm starting to travel")</f>
        <v>I'm starting to travel</v>
      </c>
    </row>
    <row r="1988" spans="1:3" ht="15" x14ac:dyDescent="0.25">
      <c r="A1988" s="3" t="s">
        <v>1985</v>
      </c>
      <c r="B1988" s="3" t="s">
        <v>4</v>
      </c>
      <c r="C1988" s="2" t="str">
        <f ca="1">IFERROR(__xludf.DUMMYFUNCTION("GOOGLETRANSLATE(A1988,""bn"",""en"")"),"I keep money in the account")</f>
        <v>I keep money in the account</v>
      </c>
    </row>
    <row r="1989" spans="1:3" ht="15" x14ac:dyDescent="0.25">
      <c r="A1989" s="3" t="s">
        <v>1986</v>
      </c>
      <c r="B1989" s="3" t="s">
        <v>4</v>
      </c>
      <c r="C1989" s="2" t="str">
        <f ca="1">IFERROR(__xludf.DUMMYFUNCTION("GOOGLETRANSLATE(A1989,""bn"",""en"")"),"Give feedback")</f>
        <v>Give feedback</v>
      </c>
    </row>
    <row r="1990" spans="1:3" ht="15" x14ac:dyDescent="0.25">
      <c r="A1990" s="3" t="s">
        <v>1987</v>
      </c>
      <c r="B1990" s="3" t="s">
        <v>4</v>
      </c>
      <c r="C1990" s="2" t="str">
        <f ca="1">IFERROR(__xludf.DUMMYFUNCTION("GOOGLETRANSLATE(A1990,""bn"",""en"")"),"Education is the power of humanity")</f>
        <v>Education is the power of humanity</v>
      </c>
    </row>
    <row r="1991" spans="1:3" ht="15" x14ac:dyDescent="0.25">
      <c r="A1991" s="3" t="s">
        <v>1988</v>
      </c>
      <c r="B1991" s="3" t="s">
        <v>4</v>
      </c>
      <c r="C1991" s="2" t="str">
        <f ca="1">IFERROR(__xludf.DUMMYFUNCTION("GOOGLETRANSLATE(A1991,""bn"",""en"")"),"Join the meeting")</f>
        <v>Join the meeting</v>
      </c>
    </row>
    <row r="1992" spans="1:3" ht="15" x14ac:dyDescent="0.25">
      <c r="A1992" s="3" t="s">
        <v>1989</v>
      </c>
      <c r="B1992" s="3" t="s">
        <v>4</v>
      </c>
      <c r="C1992" s="2" t="str">
        <f ca="1">IFERROR(__xludf.DUMMYFUNCTION("GOOGLETRANSLATE(A1992,""bn"",""en"")"),"I am ordering headphones")</f>
        <v>I am ordering headphones</v>
      </c>
    </row>
    <row r="1993" spans="1:3" ht="15" x14ac:dyDescent="0.25">
      <c r="A1993" s="3" t="s">
        <v>1990</v>
      </c>
      <c r="B1993" s="3" t="s">
        <v>4</v>
      </c>
      <c r="C1993" s="2" t="str">
        <f ca="1">IFERROR(__xludf.DUMMYFUNCTION("GOOGLETRANSLATE(A1993,""bn"",""en"")"),"Participating in sports")</f>
        <v>Participating in sports</v>
      </c>
    </row>
    <row r="1994" spans="1:3" ht="15" x14ac:dyDescent="0.25">
      <c r="A1994" s="3" t="s">
        <v>1991</v>
      </c>
      <c r="B1994" s="3" t="s">
        <v>4</v>
      </c>
      <c r="C1994" s="2" t="str">
        <f ca="1">IFERROR(__xludf.DUMMYFUNCTION("GOOGLETRANSLATE(A1994,""bn"",""en"")"),"I do programming")</f>
        <v>I do programming</v>
      </c>
    </row>
    <row r="1995" spans="1:3" ht="15" x14ac:dyDescent="0.25">
      <c r="A1995" s="3" t="s">
        <v>1992</v>
      </c>
      <c r="B1995" s="3" t="s">
        <v>4</v>
      </c>
      <c r="C1995" s="2" t="str">
        <f ca="1">IFERROR(__xludf.DUMMYFUNCTION("GOOGLETRANSLATE(A1995,""bn"",""en"")"),"I read the news on the website")</f>
        <v>I read the news on the website</v>
      </c>
    </row>
    <row r="1996" spans="1:3" ht="15" x14ac:dyDescent="0.25">
      <c r="A1996" s="3" t="s">
        <v>1993</v>
      </c>
      <c r="B1996" s="3" t="s">
        <v>4</v>
      </c>
      <c r="C1996" s="2" t="str">
        <f ca="1">IFERROR(__xludf.DUMMYFUNCTION("GOOGLETRANSLATE(A1996,""bn"",""en"")"),"I use a smartwatch")</f>
        <v>I use a smartwatch</v>
      </c>
    </row>
    <row r="1997" spans="1:3" ht="15" x14ac:dyDescent="0.25">
      <c r="A1997" s="3" t="s">
        <v>1994</v>
      </c>
      <c r="B1997" s="3" t="s">
        <v>4</v>
      </c>
      <c r="C1997" s="2" t="str">
        <f ca="1">IFERROR(__xludf.DUMMYFUNCTION("GOOGLETRANSLATE(A1997,""bn"",""en"")"),"Rita is studying")</f>
        <v>Rita is studying</v>
      </c>
    </row>
    <row r="1998" spans="1:3" ht="15" x14ac:dyDescent="0.25">
      <c r="A1998" s="3" t="s">
        <v>1995</v>
      </c>
      <c r="B1998" s="3" t="s">
        <v>4</v>
      </c>
      <c r="C1998" s="2" t="str">
        <f ca="1">IFERROR(__xludf.DUMMYFUNCTION("GOOGLETRANSLATE(A1998,""bn"",""en"")"),"The sailors sailed the ship")</f>
        <v>The sailors sailed the ship</v>
      </c>
    </row>
    <row r="1999" spans="1:3" ht="15" x14ac:dyDescent="0.25">
      <c r="A1999" s="3" t="s">
        <v>1996</v>
      </c>
      <c r="B1999" s="3" t="s">
        <v>4</v>
      </c>
      <c r="C1999" s="2" t="str">
        <f ca="1">IFERROR(__xludf.DUMMYFUNCTION("GOOGLETRANSLATE(A1999,""bn"",""en"")"),"Sailors ran ships for a living")</f>
        <v>Sailors ran ships for a living</v>
      </c>
    </row>
    <row r="2000" spans="1:3" ht="15" x14ac:dyDescent="0.25">
      <c r="A2000" s="3" t="s">
        <v>1997</v>
      </c>
      <c r="B2000" s="3" t="s">
        <v>4</v>
      </c>
      <c r="C2000" s="2" t="str">
        <f ca="1">IFERROR(__xludf.DUMMYFUNCTION("GOOGLETRANSLATE(A2000,""bn"",""en"")"),"Non-vegetarian food is important")</f>
        <v>Non-vegetarian food is important</v>
      </c>
    </row>
    <row r="2001" spans="1:3" ht="15" x14ac:dyDescent="0.25">
      <c r="A2001" s="3" t="s">
        <v>1998</v>
      </c>
      <c r="B2001" s="3" t="s">
        <v>4</v>
      </c>
      <c r="C2001" s="2" t="str">
        <f ca="1">IFERROR(__xludf.DUMMYFUNCTION("GOOGLETRANSLATE(A2001,""bn"",""en"")"),"Staying in college")</f>
        <v>Staying in college</v>
      </c>
    </row>
    <row r="2002" spans="1:3" ht="15" x14ac:dyDescent="0.25">
      <c r="A2002" s="3" t="s">
        <v>1999</v>
      </c>
      <c r="B2002" s="3" t="s">
        <v>4</v>
      </c>
      <c r="C2002" s="2" t="str">
        <f ca="1">IFERROR(__xludf.DUMMYFUNCTION("GOOGLETRANSLATE(A2002,""bn"",""en"")"),"I use the internet")</f>
        <v>I use the internet</v>
      </c>
    </row>
    <row r="2003" spans="1:3" ht="15" x14ac:dyDescent="0.25">
      <c r="A2003" s="3" t="s">
        <v>2000</v>
      </c>
      <c r="B2003" s="3" t="s">
        <v>4</v>
      </c>
      <c r="C2003" s="2" t="str">
        <f ca="1">IFERROR(__xludf.DUMMYFUNCTION("GOOGLETRANSLATE(A2003,""bn"",""en"")"),"I use the internet for entertainment")</f>
        <v>I use the internet for entertainment</v>
      </c>
    </row>
    <row r="2004" spans="1:3" ht="15" x14ac:dyDescent="0.25">
      <c r="A2004" s="3" t="s">
        <v>2001</v>
      </c>
      <c r="B2004" s="3" t="s">
        <v>4</v>
      </c>
      <c r="C2004" s="2" t="str">
        <f ca="1">IFERROR(__xludf.DUMMYFUNCTION("GOOGLETRANSLATE(A2004,""bn"",""en"")"),"travel the sky")</f>
        <v>travel the sky</v>
      </c>
    </row>
    <row r="2005" spans="1:3" ht="15" x14ac:dyDescent="0.25">
      <c r="A2005" s="3" t="s">
        <v>2002</v>
      </c>
      <c r="B2005" s="3" t="s">
        <v>4</v>
      </c>
      <c r="C2005" s="2" t="str">
        <f ca="1">IFERROR(__xludf.DUMMYFUNCTION("GOOGLETRANSLATE(A2005,""bn"",""en"")"),"Delete the account")</f>
        <v>Delete the account</v>
      </c>
    </row>
    <row r="2006" spans="1:3" ht="15" x14ac:dyDescent="0.25">
      <c r="A2006" s="3" t="s">
        <v>2003</v>
      </c>
      <c r="B2006" s="3" t="s">
        <v>4</v>
      </c>
      <c r="C2006" s="2" t="str">
        <f ca="1">IFERROR(__xludf.DUMMYFUNCTION("GOOGLETRANSLATE(A2006,""bn"",""en"")"),"Using webcam")</f>
        <v>Using webcam</v>
      </c>
    </row>
    <row r="2007" spans="1:3" ht="15" x14ac:dyDescent="0.25">
      <c r="A2007" s="3" t="s">
        <v>2004</v>
      </c>
      <c r="B2007" s="3" t="s">
        <v>4</v>
      </c>
      <c r="C2007" s="2" t="str">
        <f ca="1">IFERROR(__xludf.DUMMYFUNCTION("GOOGLETRANSLATE(A2007,""bn"",""en"")"),"Tell the story of life")</f>
        <v>Tell the story of life</v>
      </c>
    </row>
    <row r="2008" spans="1:3" ht="15" x14ac:dyDescent="0.25">
      <c r="A2008" s="3" t="s">
        <v>2005</v>
      </c>
      <c r="B2008" s="3" t="s">
        <v>4</v>
      </c>
      <c r="C2008" s="2" t="str">
        <f ca="1">IFERROR(__xludf.DUMMYFUNCTION("GOOGLETRANSLATE(A2008,""bn"",""en"")"),"I see a bear in the forest")</f>
        <v>I see a bear in the forest</v>
      </c>
    </row>
    <row r="2009" spans="1:3" ht="15" x14ac:dyDescent="0.25">
      <c r="A2009" s="3" t="s">
        <v>2006</v>
      </c>
      <c r="B2009" s="3" t="s">
        <v>4</v>
      </c>
      <c r="C2009" s="2" t="str">
        <f ca="1">IFERROR(__xludf.DUMMYFUNCTION("GOOGLETRANSLATE(A2009,""bn"",""en"")"),"Buying a new camera")</f>
        <v>Buying a new camera</v>
      </c>
    </row>
    <row r="2010" spans="1:3" ht="15" x14ac:dyDescent="0.25">
      <c r="A2010" s="3" t="s">
        <v>2007</v>
      </c>
      <c r="B2010" s="3" t="s">
        <v>4</v>
      </c>
      <c r="C2010" s="2" t="str">
        <f ca="1">IFERROR(__xludf.DUMMYFUNCTION("GOOGLETRANSLATE(A2010,""bn"",""en"")"),"Become an account holder")</f>
        <v>Become an account holder</v>
      </c>
    </row>
    <row r="2011" spans="1:3" ht="15" x14ac:dyDescent="0.25">
      <c r="A2011" s="3" t="s">
        <v>2008</v>
      </c>
      <c r="B2011" s="3" t="s">
        <v>4</v>
      </c>
      <c r="C2011" s="2" t="str">
        <f ca="1">IFERROR(__xludf.DUMMYFUNCTION("GOOGLETRANSLATE(A2011,""bn"",""en"")"),"I enjoy music")</f>
        <v>I enjoy music</v>
      </c>
    </row>
    <row r="2012" spans="1:3" ht="15" x14ac:dyDescent="0.25">
      <c r="A2012" s="3" t="s">
        <v>2009</v>
      </c>
      <c r="B2012" s="3" t="s">
        <v>4</v>
      </c>
      <c r="C2012" s="2" t="str">
        <f ca="1">IFERROR(__xludf.DUMMYFUNCTION("GOOGLETRANSLATE(A2012,""bn"",""en"")"),"I have taken pictures on the laptop")</f>
        <v>I have taken pictures on the laptop</v>
      </c>
    </row>
    <row r="2013" spans="1:3" ht="15" x14ac:dyDescent="0.25">
      <c r="A2013" s="3" t="s">
        <v>2010</v>
      </c>
      <c r="B2013" s="3" t="s">
        <v>4</v>
      </c>
      <c r="C2013" s="2" t="str">
        <f ca="1">IFERROR(__xludf.DUMMYFUNCTION("GOOGLETRANSLATE(A2013,""bn"",""en"")"),"I am cooperating with politics")</f>
        <v>I am cooperating with politics</v>
      </c>
    </row>
    <row r="2014" spans="1:3" ht="15" x14ac:dyDescent="0.25">
      <c r="A2014" s="3" t="s">
        <v>2011</v>
      </c>
      <c r="B2014" s="3" t="s">
        <v>4</v>
      </c>
      <c r="C2014" s="2" t="str">
        <f ca="1">IFERROR(__xludf.DUMMYFUNCTION("GOOGLETRANSLATE(A2014,""bn"",""en"")"),"Time is wasted because of using smartphone")</f>
        <v>Time is wasted because of using smartphone</v>
      </c>
    </row>
    <row r="2015" spans="1:3" ht="15" x14ac:dyDescent="0.25">
      <c r="A2015" s="3" t="s">
        <v>2012</v>
      </c>
      <c r="B2015" s="3" t="s">
        <v>4</v>
      </c>
      <c r="C2015" s="2" t="str">
        <f ca="1">IFERROR(__xludf.DUMMYFUNCTION("GOOGLETRANSLATE(A2015,""bn"",""en"")"),"I sent money in cash")</f>
        <v>I sent money in cash</v>
      </c>
    </row>
    <row r="2016" spans="1:3" ht="15" x14ac:dyDescent="0.25">
      <c r="A2016" s="3" t="s">
        <v>2013</v>
      </c>
      <c r="B2016" s="3" t="s">
        <v>4</v>
      </c>
      <c r="C2016" s="2" t="str">
        <f ca="1">IFERROR(__xludf.DUMMYFUNCTION("GOOGLETRANSLATE(A2016,""bn"",""en"")"),"I gave the bank exam")</f>
        <v>I gave the bank exam</v>
      </c>
    </row>
    <row r="2017" spans="1:3" ht="15" x14ac:dyDescent="0.25">
      <c r="A2017" s="3" t="s">
        <v>2014</v>
      </c>
      <c r="B2017" s="3" t="s">
        <v>4</v>
      </c>
      <c r="C2017" s="2" t="str">
        <f ca="1">IFERROR(__xludf.DUMMYFUNCTION("GOOGLETRANSLATE(A2017,""bn"",""en"")"),"I use the remote")</f>
        <v>I use the remote</v>
      </c>
    </row>
    <row r="2018" spans="1:3" ht="15" x14ac:dyDescent="0.25">
      <c r="A2018" s="3" t="s">
        <v>2015</v>
      </c>
      <c r="B2018" s="3" t="s">
        <v>4</v>
      </c>
      <c r="C2018" s="2" t="str">
        <f ca="1">IFERROR(__xludf.DUMMYFUNCTION("GOOGLETRANSLATE(A2018,""bn"",""en"")"),"No IT training")</f>
        <v>No IT training</v>
      </c>
    </row>
    <row r="2019" spans="1:3" ht="15" x14ac:dyDescent="0.25">
      <c r="A2019" s="3" t="s">
        <v>2016</v>
      </c>
      <c r="B2019" s="3" t="s">
        <v>4</v>
      </c>
      <c r="C2019" s="2" t="str">
        <f ca="1">IFERROR(__xludf.DUMMYFUNCTION("GOOGLETRANSLATE(A2019,""bn"",""en"")"),"Circus goes to politics")</f>
        <v>Circus goes to politics</v>
      </c>
    </row>
    <row r="2020" spans="1:3" ht="15" x14ac:dyDescent="0.25">
      <c r="A2020" s="3" t="s">
        <v>2017</v>
      </c>
      <c r="B2020" s="3" t="s">
        <v>4</v>
      </c>
      <c r="C2020" s="2" t="str">
        <f ca="1">IFERROR(__xludf.DUMMYFUNCTION("GOOGLETRANSLATE(A2020,""bn"",""en"")"),"Let's play games")</f>
        <v>Let's play games</v>
      </c>
    </row>
    <row r="2021" spans="1:3" ht="15" x14ac:dyDescent="0.25">
      <c r="A2021" s="3" t="s">
        <v>2018</v>
      </c>
      <c r="B2021" s="3" t="s">
        <v>4</v>
      </c>
      <c r="C2021" s="2" t="str">
        <f ca="1">IFERROR(__xludf.DUMMYFUNCTION("GOOGLETRANSLATE(A2021,""bn"",""en"")"),"Taif is all desert")</f>
        <v>Taif is all desert</v>
      </c>
    </row>
    <row r="2022" spans="1:3" ht="15" x14ac:dyDescent="0.25">
      <c r="A2022" s="3" t="s">
        <v>2019</v>
      </c>
      <c r="B2022" s="3" t="s">
        <v>4</v>
      </c>
      <c r="C2022" s="2" t="str">
        <f ca="1">IFERROR(__xludf.DUMMYFUNCTION("GOOGLETRANSLATE(A2022,""bn"",""en"")"),"Loans are increasing")</f>
        <v>Loans are increasing</v>
      </c>
    </row>
    <row r="2023" spans="1:3" ht="15" x14ac:dyDescent="0.25">
      <c r="A2023" s="3" t="s">
        <v>2020</v>
      </c>
      <c r="B2023" s="3" t="s">
        <v>4</v>
      </c>
      <c r="C2023" s="2" t="str">
        <f ca="1">IFERROR(__xludf.DUMMYFUNCTION("GOOGLETRANSLATE(A2023,""bn"",""en"")"),"A celebration was held")</f>
        <v>A celebration was held</v>
      </c>
    </row>
    <row r="2024" spans="1:3" ht="15" x14ac:dyDescent="0.25">
      <c r="A2024" s="3" t="s">
        <v>2021</v>
      </c>
      <c r="B2024" s="3" t="s">
        <v>4</v>
      </c>
      <c r="C2024" s="2" t="str">
        <f ca="1">IFERROR(__xludf.DUMMYFUNCTION("GOOGLETRANSLATE(A2024,""bn"",""en"")"),"Exports are down")</f>
        <v>Exports are down</v>
      </c>
    </row>
    <row r="2025" spans="1:3" ht="15" x14ac:dyDescent="0.25">
      <c r="A2025" s="3" t="s">
        <v>2022</v>
      </c>
      <c r="B2025" s="3" t="s">
        <v>4</v>
      </c>
      <c r="C2025" s="2" t="str">
        <f ca="1">IFERROR(__xludf.DUMMYFUNCTION("GOOGLETRANSLATE(A2025,""bn"",""en"")"),"Preparing research")</f>
        <v>Preparing research</v>
      </c>
    </row>
    <row r="2026" spans="1:3" ht="15" x14ac:dyDescent="0.25">
      <c r="A2026" s="3" t="s">
        <v>2023</v>
      </c>
      <c r="B2026" s="3" t="s">
        <v>4</v>
      </c>
      <c r="C2026" s="2" t="str">
        <f ca="1">IFERROR(__xludf.DUMMYFUNCTION("GOOGLETRANSLATE(A2026,""bn"",""en"")"),"earning money")</f>
        <v>earning money</v>
      </c>
    </row>
    <row r="2027" spans="1:3" ht="15" x14ac:dyDescent="0.25">
      <c r="A2027" s="3" t="s">
        <v>2024</v>
      </c>
      <c r="B2027" s="3" t="s">
        <v>4</v>
      </c>
      <c r="C2027" s="2" t="str">
        <f ca="1">IFERROR(__xludf.DUMMYFUNCTION("GOOGLETRANSLATE(A2027,""bn"",""en"")"),"I use smartphone")</f>
        <v>I use smartphone</v>
      </c>
    </row>
    <row r="2028" spans="1:3" ht="15" x14ac:dyDescent="0.25">
      <c r="A2028" s="3" t="s">
        <v>2025</v>
      </c>
      <c r="B2028" s="3" t="s">
        <v>4</v>
      </c>
      <c r="C2028" s="2" t="str">
        <f ca="1">IFERROR(__xludf.DUMMYFUNCTION("GOOGLETRANSLATE(A2028,""bn"",""en"")"),"Amazon is the lungs of the world")</f>
        <v>Amazon is the lungs of the world</v>
      </c>
    </row>
    <row r="2029" spans="1:3" ht="15" x14ac:dyDescent="0.25">
      <c r="A2029" s="3" t="s">
        <v>2026</v>
      </c>
      <c r="B2029" s="3" t="s">
        <v>4</v>
      </c>
      <c r="C2029" s="2" t="str">
        <f ca="1">IFERROR(__xludf.DUMMYFUNCTION("GOOGLETRANSLATE(A2029,""bn"",""en"")"),"Loan disbursed")</f>
        <v>Loan disbursed</v>
      </c>
    </row>
    <row r="2030" spans="1:3" ht="15" x14ac:dyDescent="0.25">
      <c r="A2030" s="3" t="s">
        <v>2027</v>
      </c>
      <c r="B2030" s="3" t="s">
        <v>4</v>
      </c>
      <c r="C2030" s="2" t="str">
        <f ca="1">IFERROR(__xludf.DUMMYFUNCTION("GOOGLETRANSLATE(A2030,""bn"",""en"")"),"Use memory card")</f>
        <v>Use memory card</v>
      </c>
    </row>
    <row r="2031" spans="1:3" ht="15" x14ac:dyDescent="0.25">
      <c r="A2031" s="3" t="s">
        <v>2028</v>
      </c>
      <c r="B2031" s="3" t="s">
        <v>4</v>
      </c>
      <c r="C2031" s="2" t="str">
        <f ca="1">IFERROR(__xludf.DUMMYFUNCTION("GOOGLETRANSLATE(A2031,""bn"",""en"")"),"Read news on the Internet")</f>
        <v>Read news on the Internet</v>
      </c>
    </row>
    <row r="2032" spans="1:3" ht="15" x14ac:dyDescent="0.25">
      <c r="A2032" s="3" t="s">
        <v>2029</v>
      </c>
      <c r="B2032" s="3" t="s">
        <v>4</v>
      </c>
      <c r="C2032" s="2" t="str">
        <f ca="1">IFERROR(__xludf.DUMMYFUNCTION("GOOGLETRANSLATE(A2032,""bn"",""en"")"),"Send money in cash")</f>
        <v>Send money in cash</v>
      </c>
    </row>
    <row r="2033" spans="1:3" ht="15" x14ac:dyDescent="0.25">
      <c r="A2033" s="3" t="s">
        <v>2030</v>
      </c>
      <c r="B2033" s="3" t="s">
        <v>4</v>
      </c>
      <c r="C2033" s="2" t="str">
        <f ca="1">IFERROR(__xludf.DUMMYFUNCTION("GOOGLETRANSLATE(A2033,""bn"",""en"")"),"Buying a new gaming mouse")</f>
        <v>Buying a new gaming mouse</v>
      </c>
    </row>
    <row r="2034" spans="1:3" ht="15" x14ac:dyDescent="0.25">
      <c r="A2034" s="3" t="s">
        <v>2031</v>
      </c>
      <c r="B2034" s="3" t="s">
        <v>4</v>
      </c>
      <c r="C2034" s="2" t="str">
        <f ca="1">IFERROR(__xludf.DUMMYFUNCTION("GOOGLETRANSLATE(A2034,""bn"",""en"")"),"Got success in hard work")</f>
        <v>Got success in hard work</v>
      </c>
    </row>
    <row r="2035" spans="1:3" ht="15" x14ac:dyDescent="0.25">
      <c r="A2035" s="3" t="s">
        <v>2032</v>
      </c>
      <c r="B2035" s="3" t="s">
        <v>4</v>
      </c>
      <c r="C2035" s="2" t="str">
        <f ca="1">IFERROR(__xludf.DUMMYFUNCTION("GOOGLETRANSLATE(A2035,""bn"",""en"")"),"I traveled by sea")</f>
        <v>I traveled by sea</v>
      </c>
    </row>
    <row r="2036" spans="1:3" ht="15" x14ac:dyDescent="0.25">
      <c r="A2036" s="3" t="s">
        <v>2033</v>
      </c>
      <c r="B2036" s="3" t="s">
        <v>4</v>
      </c>
      <c r="C2036" s="2" t="str">
        <f ca="1">IFERROR(__xludf.DUMMYFUNCTION("GOOGLETRANSLATE(A2036,""bn"",""en"")"),"Expressed grief")</f>
        <v>Expressed grief</v>
      </c>
    </row>
    <row r="2037" spans="1:3" ht="15" x14ac:dyDescent="0.25">
      <c r="A2037" s="3" t="s">
        <v>2034</v>
      </c>
      <c r="B2037" s="3" t="s">
        <v>4</v>
      </c>
      <c r="C2037" s="2" t="str">
        <f ca="1">IFERROR(__xludf.DUMMYFUNCTION("GOOGLETRANSLATE(A2037,""bn"",""en"")"),"I use apple phone")</f>
        <v>I use apple phone</v>
      </c>
    </row>
    <row r="2038" spans="1:3" ht="15" x14ac:dyDescent="0.25">
      <c r="A2038" s="3" t="s">
        <v>2035</v>
      </c>
      <c r="B2038" s="3" t="s">
        <v>4</v>
      </c>
      <c r="C2038" s="2" t="str">
        <f ca="1">IFERROR(__xludf.DUMMYFUNCTION("GOOGLETRANSLATE(A2038,""bn"",""en"")"),"Opening a new game")</f>
        <v>Opening a new game</v>
      </c>
    </row>
    <row r="2039" spans="1:3" ht="15" x14ac:dyDescent="0.25">
      <c r="A2039" s="3" t="s">
        <v>2036</v>
      </c>
      <c r="B2039" s="3" t="s">
        <v>4</v>
      </c>
      <c r="C2039" s="2" t="str">
        <f ca="1">IFERROR(__xludf.DUMMYFUNCTION("GOOGLETRANSLATE(A2039,""bn"",""en"")"),"I read hadith regularly")</f>
        <v>I read hadith regularly</v>
      </c>
    </row>
    <row r="2040" spans="1:3" ht="15" x14ac:dyDescent="0.25">
      <c r="A2040" s="3" t="s">
        <v>2037</v>
      </c>
      <c r="B2040" s="3" t="s">
        <v>4</v>
      </c>
      <c r="C2040" s="2" t="str">
        <f ca="1">IFERROR(__xludf.DUMMYFUNCTION("GOOGLETRANSLATE(A2040,""bn"",""en"")"),"Politics change")</f>
        <v>Politics change</v>
      </c>
    </row>
    <row r="2041" spans="1:3" ht="15" x14ac:dyDescent="0.25">
      <c r="A2041" s="3" t="s">
        <v>2038</v>
      </c>
      <c r="B2041" s="3" t="s">
        <v>4</v>
      </c>
      <c r="C2041" s="2" t="str">
        <f ca="1">IFERROR(__xludf.DUMMYFUNCTION("GOOGLETRANSLATE(A2041,""bn"",""en"")"),"I watched the news on television")</f>
        <v>I watched the news on television</v>
      </c>
    </row>
    <row r="2042" spans="1:3" ht="15" x14ac:dyDescent="0.25">
      <c r="A2042" s="3" t="s">
        <v>2039</v>
      </c>
      <c r="B2042" s="3" t="s">
        <v>4</v>
      </c>
      <c r="C2042" s="2" t="str">
        <f ca="1">IFERROR(__xludf.DUMMYFUNCTION("GOOGLETRANSLATE(A2042,""bn"",""en"")"),"The diagnosis is made")</f>
        <v>The diagnosis is made</v>
      </c>
    </row>
    <row r="2043" spans="1:3" ht="15" x14ac:dyDescent="0.25">
      <c r="A2043" s="3" t="s">
        <v>2040</v>
      </c>
      <c r="B2043" s="3" t="s">
        <v>4</v>
      </c>
      <c r="C2043" s="2" t="str">
        <f ca="1">IFERROR(__xludf.DUMMYFUNCTION("GOOGLETRANSLATE(A2043,""bn"",""en"")"),"No financial problems")</f>
        <v>No financial problems</v>
      </c>
    </row>
    <row r="2044" spans="1:3" ht="15" x14ac:dyDescent="0.25">
      <c r="A2044" s="3" t="s">
        <v>2041</v>
      </c>
      <c r="B2044" s="3" t="s">
        <v>4</v>
      </c>
      <c r="C2044" s="2" t="str">
        <f ca="1">IFERROR(__xludf.DUMMYFUNCTION("GOOGLETRANSLATE(A2044,""bn"",""en"")"),"Going for a leisurely stroll")</f>
        <v>Going for a leisurely stroll</v>
      </c>
    </row>
    <row r="2045" spans="1:3" ht="15" x14ac:dyDescent="0.25">
      <c r="A2045" s="3" t="s">
        <v>2042</v>
      </c>
      <c r="B2045" s="3" t="s">
        <v>4</v>
      </c>
      <c r="C2045" s="2" t="str">
        <f ca="1">IFERROR(__xludf.DUMMYFUNCTION("GOOGLETRANSLATE(A2045,""bn"",""en"")"),"I go for a leisurely stroll to relax")</f>
        <v>I go for a leisurely stroll to relax</v>
      </c>
    </row>
    <row r="2046" spans="1:3" ht="15" x14ac:dyDescent="0.25">
      <c r="A2046" s="3" t="s">
        <v>2043</v>
      </c>
      <c r="B2046" s="3" t="s">
        <v>4</v>
      </c>
      <c r="C2046" s="2" t="str">
        <f ca="1">IFERROR(__xludf.DUMMYFUNCTION("GOOGLETRANSLATE(A2046,""bn"",""en"")"),"There is a penalty on the account")</f>
        <v>There is a penalty on the account</v>
      </c>
    </row>
    <row r="2047" spans="1:3" ht="15" x14ac:dyDescent="0.25">
      <c r="A2047" s="3" t="s">
        <v>2044</v>
      </c>
      <c r="B2047" s="3" t="s">
        <v>4</v>
      </c>
      <c r="C2047" s="2" t="str">
        <f ca="1">IFERROR(__xludf.DUMMYFUNCTION("GOOGLETRANSLATE(A2047,""bn"",""en"")"),"Find joy in travel")</f>
        <v>Find joy in travel</v>
      </c>
    </row>
    <row r="2048" spans="1:3" ht="15" x14ac:dyDescent="0.25">
      <c r="A2048" s="3" t="s">
        <v>2045</v>
      </c>
      <c r="B2048" s="3" t="s">
        <v>4</v>
      </c>
      <c r="C2048" s="2" t="str">
        <f ca="1">IFERROR(__xludf.DUMMYFUNCTION("GOOGLETRANSLATE(A2048,""bn"",""en"")"),"I play sports in my spare time")</f>
        <v>I play sports in my spare time</v>
      </c>
    </row>
    <row r="2049" spans="1:3" ht="15" x14ac:dyDescent="0.25">
      <c r="A2049" s="3" t="s">
        <v>2046</v>
      </c>
      <c r="B2049" s="3" t="s">
        <v>4</v>
      </c>
      <c r="C2049" s="2" t="str">
        <f ca="1">IFERROR(__xludf.DUMMYFUNCTION("GOOGLETRANSLATE(A2049,""bn"",""en"")"),"Everyone goes to the bank")</f>
        <v>Everyone goes to the bank</v>
      </c>
    </row>
    <row r="2050" spans="1:3" ht="15" x14ac:dyDescent="0.25">
      <c r="A2050" s="3" t="s">
        <v>2047</v>
      </c>
      <c r="B2050" s="3" t="s">
        <v>4</v>
      </c>
      <c r="C2050" s="2" t="str">
        <f ca="1">IFERROR(__xludf.DUMMYFUNCTION("GOOGLETRANSLATE(A2050,""bn"",""en"")"),"They have wandered")</f>
        <v>They have wandered</v>
      </c>
    </row>
    <row r="2051" spans="1:3" ht="15" x14ac:dyDescent="0.25">
      <c r="A2051" s="3" t="s">
        <v>2048</v>
      </c>
      <c r="B2051" s="3" t="s">
        <v>4</v>
      </c>
      <c r="C2051" s="2" t="str">
        <f ca="1">IFERROR(__xludf.DUMMYFUNCTION("GOOGLETRANSLATE(A2051,""bn"",""en"")"),"Walk on the seashore")</f>
        <v>Walk on the seashore</v>
      </c>
    </row>
    <row r="2052" spans="1:3" ht="15" x14ac:dyDescent="0.25">
      <c r="A2052" s="3" t="s">
        <v>2049</v>
      </c>
      <c r="B2052" s="3" t="s">
        <v>4</v>
      </c>
      <c r="C2052" s="2" t="str">
        <f ca="1">IFERROR(__xludf.DUMMYFUNCTION("GOOGLETRANSLATE(A2052,""bn"",""en"")"),"Walk along the sea shore to observe the beauty")</f>
        <v>Walk along the sea shore to observe the beauty</v>
      </c>
    </row>
    <row r="2053" spans="1:3" ht="15" x14ac:dyDescent="0.25">
      <c r="A2053" s="3" t="s">
        <v>2050</v>
      </c>
      <c r="B2053" s="3" t="s">
        <v>4</v>
      </c>
      <c r="C2053" s="2" t="str">
        <f ca="1">IFERROR(__xludf.DUMMYFUNCTION("GOOGLETRANSLATE(A2053,""bn"",""en"")"),"Rasmalai of Comilla is rare")</f>
        <v>Rasmalai of Comilla is rare</v>
      </c>
    </row>
    <row r="2054" spans="1:3" ht="15" x14ac:dyDescent="0.25">
      <c r="A2054" s="3" t="s">
        <v>2051</v>
      </c>
      <c r="B2054" s="3" t="s">
        <v>4</v>
      </c>
      <c r="C2054" s="2" t="str">
        <f ca="1">IFERROR(__xludf.DUMMYFUNCTION("GOOGLETRANSLATE(A2054,""bn"",""en"")"),"Using pan")</f>
        <v>Using pan</v>
      </c>
    </row>
    <row r="2055" spans="1:3" ht="15" x14ac:dyDescent="0.25">
      <c r="A2055" s="3" t="s">
        <v>2052</v>
      </c>
      <c r="B2055" s="3" t="s">
        <v>4</v>
      </c>
      <c r="C2055" s="2" t="str">
        <f ca="1">IFERROR(__xludf.DUMMYFUNCTION("GOOGLETRANSLATE(A2055,""bn"",""en"")"),"I have studied English")</f>
        <v>I have studied English</v>
      </c>
    </row>
    <row r="2056" spans="1:3" ht="15" x14ac:dyDescent="0.25">
      <c r="A2056" s="3" t="s">
        <v>2053</v>
      </c>
      <c r="B2056" s="3" t="s">
        <v>4</v>
      </c>
      <c r="C2056" s="2" t="str">
        <f ca="1">IFERROR(__xludf.DUMMYFUNCTION("GOOGLETRANSLATE(A2056,""bn"",""en"")"),"He is a glutton")</f>
        <v>He is a glutton</v>
      </c>
    </row>
    <row r="2057" spans="1:3" ht="15" x14ac:dyDescent="0.25">
      <c r="A2057" s="3" t="s">
        <v>2054</v>
      </c>
      <c r="B2057" s="3" t="s">
        <v>4</v>
      </c>
      <c r="C2057" s="2" t="str">
        <f ca="1">IFERROR(__xludf.DUMMYFUNCTION("GOOGLETRANSLATE(A2057,""bn"",""en"")"),"Watch the news on television")</f>
        <v>Watch the news on television</v>
      </c>
    </row>
    <row r="2058" spans="1:3" ht="15" x14ac:dyDescent="0.25">
      <c r="A2058" s="3" t="s">
        <v>2055</v>
      </c>
      <c r="B2058" s="3" t="s">
        <v>4</v>
      </c>
      <c r="C2058" s="2" t="str">
        <f ca="1">IFERROR(__xludf.DUMMYFUNCTION("GOOGLETRANSLATE(A2058,""bn"",""en"")"),"Using the keyboard")</f>
        <v>Using the keyboard</v>
      </c>
    </row>
    <row r="2059" spans="1:3" ht="15" x14ac:dyDescent="0.25">
      <c r="A2059" s="3" t="s">
        <v>2056</v>
      </c>
      <c r="B2059" s="3" t="s">
        <v>4</v>
      </c>
      <c r="C2059" s="2" t="str">
        <f ca="1">IFERROR(__xludf.DUMMYFUNCTION("GOOGLETRANSLATE(A2059,""bn"",""en"")"),"Simplify tasks using the keyboard")</f>
        <v>Simplify tasks using the keyboard</v>
      </c>
    </row>
    <row r="2060" spans="1:3" ht="15" x14ac:dyDescent="0.25">
      <c r="A2060" s="3" t="s">
        <v>2057</v>
      </c>
      <c r="B2060" s="3" t="s">
        <v>4</v>
      </c>
      <c r="C2060" s="2" t="str">
        <f ca="1">IFERROR(__xludf.DUMMYFUNCTION("GOOGLETRANSLATE(A2060,""bn"",""en"")"),"Learning to read news on the Internet")</f>
        <v>Learning to read news on the Internet</v>
      </c>
    </row>
    <row r="2061" spans="1:3" ht="15" x14ac:dyDescent="0.25">
      <c r="A2061" s="3" t="s">
        <v>2058</v>
      </c>
      <c r="B2061" s="3" t="s">
        <v>4</v>
      </c>
      <c r="C2061" s="2" t="str">
        <f ca="1">IFERROR(__xludf.DUMMYFUNCTION("GOOGLETRANSLATE(A2061,""bn"",""en"")"),"Excel is in high demand")</f>
        <v>Excel is in high demand</v>
      </c>
    </row>
    <row r="2062" spans="1:3" ht="15" x14ac:dyDescent="0.25">
      <c r="A2062" s="3" t="s">
        <v>2059</v>
      </c>
      <c r="B2062" s="3" t="s">
        <v>4</v>
      </c>
      <c r="C2062" s="2" t="str">
        <f ca="1">IFERROR(__xludf.DUMMYFUNCTION("GOOGLETRANSLATE(A2062,""bn"",""en"")"),"He is playing tennis")</f>
        <v>He is playing tennis</v>
      </c>
    </row>
    <row r="2063" spans="1:3" ht="15" x14ac:dyDescent="0.25">
      <c r="A2063" s="3" t="s">
        <v>2060</v>
      </c>
      <c r="B2063" s="3" t="s">
        <v>4</v>
      </c>
      <c r="C2063" s="2" t="str">
        <f ca="1">IFERROR(__xludf.DUMMYFUNCTION("GOOGLETRANSLATE(A2063,""bn"",""en"")"),"I am a beginner")</f>
        <v>I am a beginner</v>
      </c>
    </row>
    <row r="2064" spans="1:3" ht="15" x14ac:dyDescent="0.25">
      <c r="A2064" s="3" t="s">
        <v>2061</v>
      </c>
      <c r="B2064" s="3" t="s">
        <v>4</v>
      </c>
      <c r="C2064" s="2" t="str">
        <f ca="1">IFERROR(__xludf.DUMMYFUNCTION("GOOGLETRANSLATE(A2064,""bn"",""en"")"),"I use desktop")</f>
        <v>I use desktop</v>
      </c>
    </row>
    <row r="2065" spans="1:3" ht="15" x14ac:dyDescent="0.25">
      <c r="A2065" s="3" t="s">
        <v>2062</v>
      </c>
      <c r="B2065" s="3" t="s">
        <v>4</v>
      </c>
      <c r="C2065" s="2" t="str">
        <f ca="1">IFERROR(__xludf.DUMMYFUNCTION("GOOGLETRANSLATE(A2065,""bn"",""en"")"),"Apps have been used")</f>
        <v>Apps have been used</v>
      </c>
    </row>
    <row r="2066" spans="1:3" ht="15" x14ac:dyDescent="0.25">
      <c r="A2066" s="3" t="s">
        <v>2063</v>
      </c>
      <c r="B2066" s="3" t="s">
        <v>4</v>
      </c>
      <c r="C2066" s="2" t="str">
        <f ca="1">IFERROR(__xludf.DUMMYFUNCTION("GOOGLETRANSLATE(A2066,""bn"",""en"")"),"Parties are taking vows")</f>
        <v>Parties are taking vows</v>
      </c>
    </row>
    <row r="2067" spans="1:3" ht="15" x14ac:dyDescent="0.25">
      <c r="A2067" s="3" t="s">
        <v>2064</v>
      </c>
      <c r="B2067" s="3" t="s">
        <v>4</v>
      </c>
      <c r="C2067" s="2" t="str">
        <f ca="1">IFERROR(__xludf.DUMMYFUNCTION("GOOGLETRANSLATE(A2067,""bn"",""en"")"),"He is reading everything")</f>
        <v>He is reading everything</v>
      </c>
    </row>
    <row r="2068" spans="1:3" ht="15" x14ac:dyDescent="0.25">
      <c r="A2068" s="3" t="s">
        <v>2065</v>
      </c>
      <c r="B2068" s="3" t="s">
        <v>4</v>
      </c>
      <c r="C2068" s="2" t="str">
        <f ca="1">IFERROR(__xludf.DUMMYFUNCTION("GOOGLETRANSLATE(A2068,""bn"",""en"")"),"Open a savings account")</f>
        <v>Open a savings account</v>
      </c>
    </row>
    <row r="2069" spans="1:3" ht="15" x14ac:dyDescent="0.25">
      <c r="A2069" s="3" t="s">
        <v>2066</v>
      </c>
      <c r="B2069" s="3" t="s">
        <v>4</v>
      </c>
      <c r="C2069" s="2" t="str">
        <f ca="1">IFERROR(__xludf.DUMMYFUNCTION("GOOGLETRANSLATE(A2069,""bn"",""en"")"),"I will go on vacation")</f>
        <v>I will go on vacation</v>
      </c>
    </row>
    <row r="2070" spans="1:3" ht="15" x14ac:dyDescent="0.25">
      <c r="A2070" s="3" t="s">
        <v>2067</v>
      </c>
      <c r="B2070" s="3" t="s">
        <v>4</v>
      </c>
      <c r="C2070" s="2" t="str">
        <f ca="1">IFERROR(__xludf.DUMMYFUNCTION("GOOGLETRANSLATE(A2070,""bn"",""en"")"),"I used the radio")</f>
        <v>I used the radio</v>
      </c>
    </row>
    <row r="2071" spans="1:3" ht="15" x14ac:dyDescent="0.25">
      <c r="A2071" s="3" t="s">
        <v>2068</v>
      </c>
      <c r="B2071" s="3" t="s">
        <v>4</v>
      </c>
      <c r="C2071" s="2" t="str">
        <f ca="1">IFERROR(__xludf.DUMMYFUNCTION("GOOGLETRANSLATE(A2071,""bn"",""en"")"),"There is economic loss")</f>
        <v>There is economic loss</v>
      </c>
    </row>
    <row r="2072" spans="1:3" ht="15" x14ac:dyDescent="0.25">
      <c r="A2072" s="3" t="s">
        <v>2069</v>
      </c>
      <c r="B2072" s="3" t="s">
        <v>4</v>
      </c>
      <c r="C2072" s="2" t="str">
        <f ca="1">IFERROR(__xludf.DUMMYFUNCTION("GOOGLETRANSLATE(A2072,""bn"",""en"")"),"Count the money")</f>
        <v>Count the money</v>
      </c>
    </row>
    <row r="2073" spans="1:3" ht="15" x14ac:dyDescent="0.25">
      <c r="A2073" s="3" t="s">
        <v>2070</v>
      </c>
      <c r="B2073" s="3" t="s">
        <v>4</v>
      </c>
      <c r="C2073" s="2" t="str">
        <f ca="1">IFERROR(__xludf.DUMMYFUNCTION("GOOGLETRANSLATE(A2073,""bn"",""en"")"),"GPS is turned on")</f>
        <v>GPS is turned on</v>
      </c>
    </row>
    <row r="2074" spans="1:3" ht="15" x14ac:dyDescent="0.25">
      <c r="A2074" s="3" t="s">
        <v>2071</v>
      </c>
      <c r="B2074" s="3" t="s">
        <v>4</v>
      </c>
      <c r="C2074" s="2" t="str">
        <f ca="1">IFERROR(__xludf.DUMMYFUNCTION("GOOGLETRANSLATE(A2074,""bn"",""en"")"),"Hilsa river fish")</f>
        <v>Hilsa river fish</v>
      </c>
    </row>
    <row r="2075" spans="1:3" ht="15" x14ac:dyDescent="0.25">
      <c r="A2075" s="3" t="s">
        <v>2072</v>
      </c>
      <c r="B2075" s="3" t="s">
        <v>4</v>
      </c>
      <c r="C2075" s="2" t="str">
        <f ca="1">IFERROR(__xludf.DUMMYFUNCTION("GOOGLETRANSLATE(A2075,""bn"",""en"")"),"iOS operating system")</f>
        <v>iOS operating system</v>
      </c>
    </row>
    <row r="2076" spans="1:3" ht="15" x14ac:dyDescent="0.25">
      <c r="A2076" s="3" t="s">
        <v>2073</v>
      </c>
      <c r="B2076" s="3" t="s">
        <v>4</v>
      </c>
      <c r="C2076" s="2" t="str">
        <f ca="1">IFERROR(__xludf.DUMMYFUNCTION("GOOGLETRANSLATE(A2076,""bn"",""en"")"),"He plays games")</f>
        <v>He plays games</v>
      </c>
    </row>
    <row r="2077" spans="1:3" ht="15" x14ac:dyDescent="0.25">
      <c r="A2077" s="3" t="s">
        <v>2074</v>
      </c>
      <c r="B2077" s="3" t="s">
        <v>4</v>
      </c>
      <c r="C2077" s="2" t="str">
        <f ca="1">IFERROR(__xludf.DUMMYFUNCTION("GOOGLETRANSLATE(A2077,""bn"",""en"")"),"There has been an increase in sales")</f>
        <v>There has been an increase in sales</v>
      </c>
    </row>
    <row r="2078" spans="1:3" ht="15" x14ac:dyDescent="0.25">
      <c r="A2078" s="3" t="s">
        <v>2075</v>
      </c>
      <c r="B2078" s="3" t="s">
        <v>4</v>
      </c>
      <c r="C2078" s="2" t="str">
        <f ca="1">IFERROR(__xludf.DUMMYFUNCTION("GOOGLETRANSLATE(A2078,""bn"",""en"")"),"Bus topology is readily available")</f>
        <v>Bus topology is readily available</v>
      </c>
    </row>
    <row r="2079" spans="1:3" ht="15" x14ac:dyDescent="0.25">
      <c r="A2079" s="3" t="s">
        <v>2076</v>
      </c>
      <c r="B2079" s="3" t="s">
        <v>4</v>
      </c>
      <c r="C2079" s="2" t="str">
        <f ca="1">IFERROR(__xludf.DUMMYFUNCTION("GOOGLETRANSLATE(A2079,""bn"",""en"")"),"St. Martin Atoll")</f>
        <v>St. Martin Atoll</v>
      </c>
    </row>
    <row r="2080" spans="1:3" ht="15" x14ac:dyDescent="0.25">
      <c r="A2080" s="3" t="s">
        <v>2077</v>
      </c>
      <c r="B2080" s="3" t="s">
        <v>4</v>
      </c>
      <c r="C2080" s="2" t="str">
        <f ca="1">IFERROR(__xludf.DUMMYFUNCTION("GOOGLETRANSLATE(A2080,""bn"",""en"")"),"Let's look at the beauty")</f>
        <v>Let's look at the beauty</v>
      </c>
    </row>
    <row r="2081" spans="1:3" ht="15" x14ac:dyDescent="0.25">
      <c r="A2081" s="3" t="s">
        <v>2078</v>
      </c>
      <c r="B2081" s="3" t="s">
        <v>4</v>
      </c>
      <c r="C2081" s="2" t="str">
        <f ca="1">IFERROR(__xludf.DUMMYFUNCTION("GOOGLETRANSLATE(A2081,""bn"",""en"")"),"Life is beautiful in beauty")</f>
        <v>Life is beautiful in beauty</v>
      </c>
    </row>
    <row r="2082" spans="1:3" ht="15" x14ac:dyDescent="0.25">
      <c r="A2082" s="3" t="s">
        <v>2079</v>
      </c>
      <c r="B2082" s="3" t="s">
        <v>4</v>
      </c>
      <c r="C2082" s="2" t="str">
        <f ca="1">IFERROR(__xludf.DUMMYFUNCTION("GOOGLETRANSLATE(A2082,""bn"",""en"")"),"The tide has come to the sea")</f>
        <v>The tide has come to the sea</v>
      </c>
    </row>
    <row r="2083" spans="1:3" ht="15" x14ac:dyDescent="0.25">
      <c r="A2083" s="3" t="s">
        <v>2080</v>
      </c>
      <c r="B2083" s="3" t="s">
        <v>4</v>
      </c>
      <c r="C2083" s="2" t="str">
        <f ca="1">IFERROR(__xludf.DUMMYFUNCTION("GOOGLETRANSLATE(A2083,""bn"",""en"")"),"The tide has come to the sea anew")</f>
        <v>The tide has come to the sea anew</v>
      </c>
    </row>
    <row r="2084" spans="1:3" ht="15" x14ac:dyDescent="0.25">
      <c r="A2084" s="3" t="s">
        <v>2081</v>
      </c>
      <c r="B2084" s="3" t="s">
        <v>4</v>
      </c>
      <c r="C2084" s="2" t="str">
        <f ca="1">IFERROR(__xludf.DUMMYFUNCTION("GOOGLETRANSLATE(A2084,""bn"",""en"")"),"I want to see the Taj Mahal")</f>
        <v>I want to see the Taj Mahal</v>
      </c>
    </row>
    <row r="2085" spans="1:3" ht="15" x14ac:dyDescent="0.25">
      <c r="A2085" s="3" t="s">
        <v>2082</v>
      </c>
      <c r="B2085" s="3" t="s">
        <v>4</v>
      </c>
      <c r="C2085" s="2" t="str">
        <f ca="1">IFERROR(__xludf.DUMMYFUNCTION("GOOGLETRANSLATE(A2085,""bn"",""en"")"),"I use a router")</f>
        <v>I use a router</v>
      </c>
    </row>
    <row r="2086" spans="1:3" ht="15" x14ac:dyDescent="0.25">
      <c r="A2086" s="3" t="s">
        <v>2083</v>
      </c>
      <c r="B2086" s="3" t="s">
        <v>4</v>
      </c>
      <c r="C2086" s="2" t="str">
        <f ca="1">IFERROR(__xludf.DUMMYFUNCTION("GOOGLETRANSLATE(A2086,""bn"",""en"")"),"I walked to the mosque")</f>
        <v>I walked to the mosque</v>
      </c>
    </row>
    <row r="2087" spans="1:3" ht="15" x14ac:dyDescent="0.25">
      <c r="A2087" s="3" t="s">
        <v>2084</v>
      </c>
      <c r="B2087" s="3" t="s">
        <v>4</v>
      </c>
      <c r="C2087" s="2" t="str">
        <f ca="1">IFERROR(__xludf.DUMMYFUNCTION("GOOGLETRANSLATE(A2087,""bn"",""en"")"),"I play sports in college")</f>
        <v>I play sports in college</v>
      </c>
    </row>
    <row r="2088" spans="1:3" ht="15" x14ac:dyDescent="0.25">
      <c r="A2088" s="3" t="s">
        <v>2085</v>
      </c>
      <c r="B2088" s="3" t="s">
        <v>4</v>
      </c>
      <c r="C2088" s="2" t="str">
        <f ca="1">IFERROR(__xludf.DUMMYFUNCTION("GOOGLETRANSLATE(A2088,""bn"",""en"")"),"Listening to music on laptop")</f>
        <v>Listening to music on laptop</v>
      </c>
    </row>
    <row r="2089" spans="1:3" ht="15" x14ac:dyDescent="0.25">
      <c r="A2089" s="3" t="s">
        <v>2086</v>
      </c>
      <c r="B2089" s="3" t="s">
        <v>4</v>
      </c>
      <c r="C2089" s="2" t="str">
        <f ca="1">IFERROR(__xludf.DUMMYFUNCTION("GOOGLETRANSLATE(A2089,""bn"",""en"")"),"Write emails easily")</f>
        <v>Write emails easily</v>
      </c>
    </row>
    <row r="2090" spans="1:3" ht="15" x14ac:dyDescent="0.25">
      <c r="A2090" s="3" t="s">
        <v>2087</v>
      </c>
      <c r="B2090" s="3" t="s">
        <v>4</v>
      </c>
      <c r="C2090" s="2" t="str">
        <f ca="1">IFERROR(__xludf.DUMMYFUNCTION("GOOGLETRANSLATE(A2090,""bn"",""en"")"),"Students are playing football")</f>
        <v>Students are playing football</v>
      </c>
    </row>
    <row r="2091" spans="1:3" ht="15" x14ac:dyDescent="0.25">
      <c r="A2091" s="3" t="s">
        <v>2088</v>
      </c>
      <c r="B2091" s="3" t="s">
        <v>4</v>
      </c>
      <c r="C2091" s="2" t="str">
        <f ca="1">IFERROR(__xludf.DUMMYFUNCTION("GOOGLETRANSLATE(A2091,""bn"",""en"")"),"Bangladesh is going digital")</f>
        <v>Bangladesh is going digital</v>
      </c>
    </row>
    <row r="2092" spans="1:3" ht="15" x14ac:dyDescent="0.25">
      <c r="A2092" s="3" t="s">
        <v>2089</v>
      </c>
      <c r="B2092" s="3" t="s">
        <v>4</v>
      </c>
      <c r="C2092" s="2" t="str">
        <f ca="1">IFERROR(__xludf.DUMMYFUNCTION("GOOGLETRANSLATE(A2092,""bn"",""en"")"),"Technology is evolving")</f>
        <v>Technology is evolving</v>
      </c>
    </row>
    <row r="2093" spans="1:3" ht="15" x14ac:dyDescent="0.25">
      <c r="A2093" s="3" t="s">
        <v>2090</v>
      </c>
      <c r="B2093" s="3" t="s">
        <v>4</v>
      </c>
      <c r="C2093" s="2" t="str">
        <f ca="1">IFERROR(__xludf.DUMMYFUNCTION("GOOGLETRANSLATE(A2093,""bn"",""en"")"),"Contact the bank")</f>
        <v>Contact the bank</v>
      </c>
    </row>
    <row r="2094" spans="1:3" ht="15" x14ac:dyDescent="0.25">
      <c r="A2094" s="3" t="s">
        <v>2091</v>
      </c>
      <c r="B2094" s="3" t="s">
        <v>4</v>
      </c>
      <c r="C2094" s="2" t="str">
        <f ca="1">IFERROR(__xludf.DUMMYFUNCTION("GOOGLETRANSLATE(A2094,""bn"",""en"")"),"The ocean is spreading softness")</f>
        <v>The ocean is spreading softness</v>
      </c>
    </row>
    <row r="2095" spans="1:3" ht="15" x14ac:dyDescent="0.25">
      <c r="A2095" s="3" t="s">
        <v>2092</v>
      </c>
      <c r="B2095" s="3" t="s">
        <v>4</v>
      </c>
      <c r="C2095" s="2" t="str">
        <f ca="1">IFERROR(__xludf.DUMMYFUNCTION("GOOGLETRANSLATE(A2095,""bn"",""en"")"),"I go to Alaska")</f>
        <v>I go to Alaska</v>
      </c>
    </row>
    <row r="2096" spans="1:3" ht="15" x14ac:dyDescent="0.25">
      <c r="A2096" s="3" t="s">
        <v>2093</v>
      </c>
      <c r="B2096" s="3" t="s">
        <v>4</v>
      </c>
      <c r="C2096" s="2" t="str">
        <f ca="1">IFERROR(__xludf.DUMMYFUNCTION("GOOGLETRANSLATE(A2096,""bn"",""en"")"),"Check the software")</f>
        <v>Check the software</v>
      </c>
    </row>
    <row r="2097" spans="1:3" ht="15" x14ac:dyDescent="0.25">
      <c r="A2097" s="3" t="s">
        <v>2094</v>
      </c>
      <c r="B2097" s="3" t="s">
        <v>4</v>
      </c>
      <c r="C2097" s="2" t="str">
        <f ca="1">IFERROR(__xludf.DUMMYFUNCTION("GOOGLETRANSLATE(A2097,""bn"",""en"")"),"Taking pictures with the camera")</f>
        <v>Taking pictures with the camera</v>
      </c>
    </row>
    <row r="2098" spans="1:3" ht="15" x14ac:dyDescent="0.25">
      <c r="A2098" s="3" t="s">
        <v>2095</v>
      </c>
      <c r="B2098" s="3" t="s">
        <v>4</v>
      </c>
      <c r="C2098" s="2" t="str">
        <f ca="1">IFERROR(__xludf.DUMMYFUNCTION("GOOGLETRANSLATE(A2098,""bn"",""en"")"),"Traveling is a good habit")</f>
        <v>Traveling is a good habit</v>
      </c>
    </row>
    <row r="2099" spans="1:3" ht="15" x14ac:dyDescent="0.25">
      <c r="A2099" s="3" t="s">
        <v>2096</v>
      </c>
      <c r="B2099" s="3" t="s">
        <v>4</v>
      </c>
      <c r="C2099" s="2" t="str">
        <f ca="1">IFERROR(__xludf.DUMMYFUNCTION("GOOGLETRANSLATE(A2099,""bn"",""en"")"),"He has studied English")</f>
        <v>He has studied English</v>
      </c>
    </row>
    <row r="2100" spans="1:3" ht="15" x14ac:dyDescent="0.25">
      <c r="A2100" s="3" t="s">
        <v>2097</v>
      </c>
      <c r="B2100" s="3" t="s">
        <v>4</v>
      </c>
      <c r="C2100" s="2" t="str">
        <f ca="1">IFERROR(__xludf.DUMMYFUNCTION("GOOGLETRANSLATE(A2100,""bn"",""en"")"),"Doing mobile banking")</f>
        <v>Doing mobile banking</v>
      </c>
    </row>
    <row r="2101" spans="1:3" ht="15" x14ac:dyDescent="0.25">
      <c r="A2101" s="3" t="s">
        <v>2098</v>
      </c>
      <c r="B2101" s="3" t="s">
        <v>4</v>
      </c>
      <c r="C2101" s="2" t="str">
        <f ca="1">IFERROR(__xludf.DUMMYFUNCTION("GOOGLETRANSLATE(A2101,""bn"",""en"")"),"E-passport is more secure")</f>
        <v>E-passport is more secure</v>
      </c>
    </row>
    <row r="2102" spans="1:3" ht="15" x14ac:dyDescent="0.25">
      <c r="A2102" s="3" t="s">
        <v>2099</v>
      </c>
      <c r="B2102" s="3" t="s">
        <v>4</v>
      </c>
      <c r="C2102" s="2" t="str">
        <f ca="1">IFERROR(__xludf.DUMMYFUNCTION("GOOGLETRANSLATE(A2102,""bn"",""en"")"),"The price of e chest is low")</f>
        <v>The price of e chest is low</v>
      </c>
    </row>
    <row r="2103" spans="1:3" ht="15" x14ac:dyDescent="0.25">
      <c r="A2103" s="3" t="s">
        <v>2100</v>
      </c>
      <c r="B2103" s="3" t="s">
        <v>4</v>
      </c>
      <c r="C2103" s="2" t="str">
        <f ca="1">IFERROR(__xludf.DUMMYFUNCTION("GOOGLETRANSLATE(A2103,""bn"",""en"")"),"Economic loss")</f>
        <v>Economic loss</v>
      </c>
    </row>
    <row r="2104" spans="1:3" ht="15" x14ac:dyDescent="0.25">
      <c r="A2104" s="3" t="s">
        <v>2101</v>
      </c>
      <c r="B2104" s="3" t="s">
        <v>4</v>
      </c>
      <c r="C2104" s="2" t="str">
        <f ca="1">IFERROR(__xludf.DUMMYFUNCTION("GOOGLETRANSLATE(A2104,""bn"",""en"")"),"Find seashells")</f>
        <v>Find seashells</v>
      </c>
    </row>
    <row r="2105" spans="1:3" ht="15" x14ac:dyDescent="0.25">
      <c r="A2105" s="3" t="s">
        <v>2102</v>
      </c>
      <c r="B2105" s="3" t="s">
        <v>4</v>
      </c>
      <c r="C2105" s="2" t="str">
        <f ca="1">IFERROR(__xludf.DUMMYFUNCTION("GOOGLETRANSLATE(A2105,""bn"",""en"")"),"Find sea oysters and give them to you")</f>
        <v>Find sea oysters and give them to you</v>
      </c>
    </row>
    <row r="2106" spans="1:3" ht="15" x14ac:dyDescent="0.25">
      <c r="A2106" s="3" t="s">
        <v>2103</v>
      </c>
      <c r="B2106" s="3" t="s">
        <v>4</v>
      </c>
      <c r="C2106" s="2" t="str">
        <f ca="1">IFERROR(__xludf.DUMMYFUNCTION("GOOGLETRANSLATE(A2106,""bn"",""en"")"),"I am giving bank exam")</f>
        <v>I am giving bank exam</v>
      </c>
    </row>
    <row r="2107" spans="1:3" ht="15" x14ac:dyDescent="0.25">
      <c r="A2107" s="3" t="s">
        <v>2104</v>
      </c>
      <c r="B2107" s="3" t="s">
        <v>4</v>
      </c>
      <c r="C2107" s="2" t="str">
        <f ca="1">IFERROR(__xludf.DUMMYFUNCTION("GOOGLETRANSLATE(A2107,""bn"",""en"")"),"Sujla Sufla Bangladesh")</f>
        <v>Sujla Sufla Bangladesh</v>
      </c>
    </row>
    <row r="2108" spans="1:3" ht="15" x14ac:dyDescent="0.25">
      <c r="A2108" s="3" t="s">
        <v>2105</v>
      </c>
      <c r="B2108" s="3" t="s">
        <v>4</v>
      </c>
      <c r="C2108" s="2" t="str">
        <f ca="1">IFERROR(__xludf.DUMMYFUNCTION("GOOGLETRANSLATE(A2108,""bn"",""en"")"),"Update account")</f>
        <v>Update account</v>
      </c>
    </row>
    <row r="2109" spans="1:3" ht="15" x14ac:dyDescent="0.25">
      <c r="A2109" s="3" t="s">
        <v>2106</v>
      </c>
      <c r="B2109" s="3" t="s">
        <v>4</v>
      </c>
      <c r="C2109" s="2" t="str">
        <f ca="1">IFERROR(__xludf.DUMMYFUNCTION("GOOGLETRANSLATE(A2109,""bn"",""en"")"),"Road between the valleys")</f>
        <v>Road between the valleys</v>
      </c>
    </row>
    <row r="2110" spans="1:3" ht="15" x14ac:dyDescent="0.25">
      <c r="A2110" s="3" t="s">
        <v>2107</v>
      </c>
      <c r="B2110" s="3" t="s">
        <v>4</v>
      </c>
      <c r="C2110" s="2" t="str">
        <f ca="1">IFERROR(__xludf.DUMMYFUNCTION("GOOGLETRANSLATE(A2110,""bn"",""en"")"),"I am going to Darjeeling")</f>
        <v>I am going to Darjeeling</v>
      </c>
    </row>
    <row r="2111" spans="1:3" ht="15" x14ac:dyDescent="0.25">
      <c r="A2111" s="3" t="s">
        <v>2108</v>
      </c>
      <c r="B2111" s="3" t="s">
        <v>4</v>
      </c>
      <c r="C2111" s="2" t="str">
        <f ca="1">IFERROR(__xludf.DUMMYFUNCTION("GOOGLETRANSLATE(A2111,""bn"",""en"")"),"Use floppy disk")</f>
        <v>Use floppy disk</v>
      </c>
    </row>
    <row r="2112" spans="1:3" ht="15" x14ac:dyDescent="0.25">
      <c r="A2112" s="3" t="s">
        <v>2109</v>
      </c>
      <c r="B2112" s="3" t="s">
        <v>4</v>
      </c>
      <c r="C2112" s="2" t="str">
        <f ca="1">IFERROR(__xludf.DUMMYFUNCTION("GOOGLETRANSLATE(A2112,""bn"",""en"")"),"Technology is being developed")</f>
        <v>Technology is being developed</v>
      </c>
    </row>
    <row r="2113" spans="1:3" ht="15" x14ac:dyDescent="0.25">
      <c r="A2113" s="3" t="s">
        <v>2110</v>
      </c>
      <c r="B2113" s="3" t="s">
        <v>4</v>
      </c>
      <c r="C2113" s="2" t="str">
        <f ca="1">IFERROR(__xludf.DUMMYFUNCTION("GOOGLETRANSLATE(A2113,""bn"",""en"")"),"I have applied for a loan")</f>
        <v>I have applied for a loan</v>
      </c>
    </row>
    <row r="2114" spans="1:3" ht="15" x14ac:dyDescent="0.25">
      <c r="A2114" s="3" t="s">
        <v>2111</v>
      </c>
      <c r="B2114" s="3" t="s">
        <v>4</v>
      </c>
      <c r="C2114" s="2" t="str">
        <f ca="1">IFERROR(__xludf.DUMMYFUNCTION("GOOGLETRANSLATE(A2114,""bn"",""en"")"),"Send the video")</f>
        <v>Send the video</v>
      </c>
    </row>
    <row r="2115" spans="1:3" ht="15" x14ac:dyDescent="0.25">
      <c r="A2115" s="3" t="s">
        <v>2112</v>
      </c>
      <c r="B2115" s="3" t="s">
        <v>4</v>
      </c>
      <c r="C2115" s="2" t="str">
        <f ca="1">IFERROR(__xludf.DUMMYFUNCTION("GOOGLETRANSLATE(A2115,""bn"",""en"")"),"Need for financial improvement")</f>
        <v>Need for financial improvement</v>
      </c>
    </row>
    <row r="2116" spans="1:3" ht="15" x14ac:dyDescent="0.25">
      <c r="A2116" s="3" t="s">
        <v>2113</v>
      </c>
      <c r="B2116" s="3" t="s">
        <v>4</v>
      </c>
      <c r="C2116" s="2" t="str">
        <f ca="1">IFERROR(__xludf.DUMMYFUNCTION("GOOGLETRANSLATE(A2116,""bn"",""en"")"),"Vote effectively")</f>
        <v>Vote effectively</v>
      </c>
    </row>
    <row r="2117" spans="1:3" ht="15" x14ac:dyDescent="0.25">
      <c r="A2117" s="3" t="s">
        <v>2114</v>
      </c>
      <c r="B2117" s="3" t="s">
        <v>4</v>
      </c>
      <c r="C2117" s="2" t="str">
        <f ca="1">IFERROR(__xludf.DUMMYFUNCTION("GOOGLETRANSLATE(A2117,""bn"",""en"")"),"I used robots")</f>
        <v>I used robots</v>
      </c>
    </row>
    <row r="2118" spans="1:3" ht="15" x14ac:dyDescent="0.25">
      <c r="A2118" s="3" t="s">
        <v>2115</v>
      </c>
      <c r="B2118" s="3" t="s">
        <v>4</v>
      </c>
      <c r="C2118" s="2" t="str">
        <f ca="1">IFERROR(__xludf.DUMMYFUNCTION("GOOGLETRANSLATE(A2118,""bn"",""en"")"),"Always loved football")</f>
        <v>Always loved football</v>
      </c>
    </row>
    <row r="2119" spans="1:3" ht="15" x14ac:dyDescent="0.25">
      <c r="A2119" s="3" t="s">
        <v>2116</v>
      </c>
      <c r="B2119" s="3" t="s">
        <v>4</v>
      </c>
      <c r="C2119" s="2" t="str">
        <f ca="1">IFERROR(__xludf.DUMMYFUNCTION("GOOGLETRANSLATE(A2119,""bn"",""en"")"),"using the internet")</f>
        <v>using the internet</v>
      </c>
    </row>
    <row r="2120" spans="1:3" ht="15" x14ac:dyDescent="0.25">
      <c r="A2120" s="3" t="s">
        <v>2117</v>
      </c>
      <c r="B2120" s="3" t="s">
        <v>4</v>
      </c>
      <c r="C2120" s="2" t="str">
        <f ca="1">IFERROR(__xludf.DUMMYFUNCTION("GOOGLETRANSLATE(A2120,""bn"",""en"")"),"Open a bank account")</f>
        <v>Open a bank account</v>
      </c>
    </row>
    <row r="2121" spans="1:3" ht="15" x14ac:dyDescent="0.25">
      <c r="A2121" s="3" t="s">
        <v>2118</v>
      </c>
      <c r="B2121" s="3" t="s">
        <v>4</v>
      </c>
      <c r="C2121" s="2" t="str">
        <f ca="1">IFERROR(__xludf.DUMMYFUNCTION("GOOGLETRANSLATE(A2121,""bn"",""en"")"),"Thinking about the afterlife")</f>
        <v>Thinking about the afterlife</v>
      </c>
    </row>
    <row r="2122" spans="1:3" ht="15" x14ac:dyDescent="0.25">
      <c r="A2122" s="3" t="s">
        <v>2119</v>
      </c>
      <c r="B2122" s="3" t="s">
        <v>4</v>
      </c>
      <c r="C2122" s="2" t="str">
        <f ca="1">IFERROR(__xludf.DUMMYFUNCTION("GOOGLETRANSLATE(A2122,""bn"",""en"")"),"cross the sea")</f>
        <v>cross the sea</v>
      </c>
    </row>
    <row r="2123" spans="1:3" ht="15" x14ac:dyDescent="0.25">
      <c r="A2123" s="3" t="s">
        <v>2120</v>
      </c>
      <c r="B2123" s="3" t="s">
        <v>4</v>
      </c>
      <c r="C2123" s="2" t="str">
        <f ca="1">IFERROR(__xludf.DUMMYFUNCTION("GOOGLETRANSLATE(A2123,""bn"",""en"")"),"Politics needs to change")</f>
        <v>Politics needs to change</v>
      </c>
    </row>
    <row r="2124" spans="1:3" ht="15" x14ac:dyDescent="0.25">
      <c r="A2124" s="3" t="s">
        <v>2121</v>
      </c>
      <c r="B2124" s="3" t="s">
        <v>4</v>
      </c>
      <c r="C2124" s="2" t="str">
        <f ca="1">IFERROR(__xludf.DUMMYFUNCTION("GOOGLETRANSLATE(A2124,""bn"",""en"")"),"Luipa, the poet of the Charaps")</f>
        <v>Luipa, the poet of the Charaps</v>
      </c>
    </row>
    <row r="2125" spans="1:3" ht="15" x14ac:dyDescent="0.25">
      <c r="A2125" s="3" t="s">
        <v>2122</v>
      </c>
      <c r="B2125" s="3" t="s">
        <v>4</v>
      </c>
      <c r="C2125" s="2" t="str">
        <f ca="1">IFERROR(__xludf.DUMMYFUNCTION("GOOGLETRANSLATE(A2125,""bn"",""en"")"),"There are tigers in the Sundarbans")</f>
        <v>There are tigers in the Sundarbans</v>
      </c>
    </row>
    <row r="2126" spans="1:3" ht="15" x14ac:dyDescent="0.25">
      <c r="A2126" s="3" t="s">
        <v>2123</v>
      </c>
      <c r="B2126" s="3" t="s">
        <v>4</v>
      </c>
      <c r="C2126" s="2" t="str">
        <f ca="1">IFERROR(__xludf.DUMMYFUNCTION("GOOGLETRANSLATE(A2126,""bn"",""en"")"),"Always walking around")</f>
        <v>Always walking around</v>
      </c>
    </row>
    <row r="2127" spans="1:3" ht="15" x14ac:dyDescent="0.25">
      <c r="A2127" s="3" t="s">
        <v>2124</v>
      </c>
      <c r="B2127" s="3" t="s">
        <v>4</v>
      </c>
      <c r="C2127" s="2" t="str">
        <f ca="1">IFERROR(__xludf.DUMMYFUNCTION("GOOGLETRANSLATE(A2127,""bn"",""en"")"),"Don't waste time using the camera")</f>
        <v>Don't waste time using the camera</v>
      </c>
    </row>
    <row r="2128" spans="1:3" ht="15" x14ac:dyDescent="0.25">
      <c r="A2128" s="3" t="s">
        <v>2125</v>
      </c>
      <c r="B2128" s="3" t="s">
        <v>4</v>
      </c>
      <c r="C2128" s="2" t="str">
        <f ca="1">IFERROR(__xludf.DUMMYFUNCTION("GOOGLETRANSLATE(A2128,""bn"",""en"")"),"Need to know how to use keyboard")</f>
        <v>Need to know how to use keyboard</v>
      </c>
    </row>
    <row r="2129" spans="1:3" ht="15" x14ac:dyDescent="0.25">
      <c r="A2129" s="3" t="s">
        <v>2126</v>
      </c>
      <c r="B2129" s="3" t="s">
        <v>4</v>
      </c>
      <c r="C2129" s="2" t="str">
        <f ca="1">IFERROR(__xludf.DUMMYFUNCTION("GOOGLETRANSLATE(A2129,""bn"",""en"")"),"Creating a portfolio")</f>
        <v>Creating a portfolio</v>
      </c>
    </row>
    <row r="2130" spans="1:3" ht="15" x14ac:dyDescent="0.25">
      <c r="A2130" s="3" t="s">
        <v>2127</v>
      </c>
      <c r="B2130" s="3" t="s">
        <v>4</v>
      </c>
      <c r="C2130" s="2" t="str">
        <f ca="1">IFERROR(__xludf.DUMMYFUNCTION("GOOGLETRANSLATE(A2130,""bn"",""en"")"),"Travel brings change")</f>
        <v>Travel brings change</v>
      </c>
    </row>
    <row r="2131" spans="1:3" ht="15" x14ac:dyDescent="0.25">
      <c r="A2131" s="3" t="s">
        <v>2128</v>
      </c>
      <c r="B2131" s="3" t="s">
        <v>4</v>
      </c>
      <c r="C2131" s="2" t="str">
        <f ca="1">IFERROR(__xludf.DUMMYFUNCTION("GOOGLETRANSLATE(A2131,""bn"",""en"")"),"Teachers work hard")</f>
        <v>Teachers work hard</v>
      </c>
    </row>
    <row r="2132" spans="1:3" ht="15" x14ac:dyDescent="0.25">
      <c r="A2132" s="3" t="s">
        <v>2129</v>
      </c>
      <c r="B2132" s="3" t="s">
        <v>4</v>
      </c>
      <c r="C2132" s="2" t="str">
        <f ca="1">IFERROR(__xludf.DUMMYFUNCTION("GOOGLETRANSLATE(A2132,""bn"",""en"")"),"I used hub")</f>
        <v>I used hub</v>
      </c>
    </row>
    <row r="2133" spans="1:3" ht="15" x14ac:dyDescent="0.25">
      <c r="A2133" s="3" t="s">
        <v>2130</v>
      </c>
      <c r="B2133" s="3" t="s">
        <v>4</v>
      </c>
      <c r="C2133" s="2" t="str">
        <f ca="1">IFERROR(__xludf.DUMMYFUNCTION("GOOGLETRANSLATE(A2133,""bn"",""en"")"),"I use smart TV")</f>
        <v>I use smart TV</v>
      </c>
    </row>
    <row r="2134" spans="1:3" ht="15" x14ac:dyDescent="0.25">
      <c r="A2134" s="3" t="s">
        <v>2131</v>
      </c>
      <c r="B2134" s="3" t="s">
        <v>4</v>
      </c>
      <c r="C2134" s="2" t="str">
        <f ca="1">IFERROR(__xludf.DUMMYFUNCTION("GOOGLETRANSLATE(A2134,""bn"",""en"")"),"The ladder of success book")</f>
        <v>The ladder of success book</v>
      </c>
    </row>
    <row r="2135" spans="1:3" ht="15" x14ac:dyDescent="0.25">
      <c r="A2135" s="3" t="s">
        <v>2132</v>
      </c>
      <c r="B2135" s="3" t="s">
        <v>4</v>
      </c>
      <c r="C2135" s="2" t="str">
        <f ca="1">IFERROR(__xludf.DUMMYFUNCTION("GOOGLETRANSLATE(A2135,""bn"",""en"")"),"Elements of Globalization Technology")</f>
        <v>Elements of Globalization Technology</v>
      </c>
    </row>
    <row r="2136" spans="1:3" ht="15" x14ac:dyDescent="0.25">
      <c r="A2136" s="3" t="s">
        <v>2133</v>
      </c>
      <c r="B2136" s="3" t="s">
        <v>4</v>
      </c>
      <c r="C2136" s="2" t="str">
        <f ca="1">IFERROR(__xludf.DUMMYFUNCTION("GOOGLETRANSLATE(A2136,""bn"",""en"")"),"Technology is the servant")</f>
        <v>Technology is the servant</v>
      </c>
    </row>
    <row r="2137" spans="1:3" ht="15" x14ac:dyDescent="0.25">
      <c r="A2137" s="3" t="s">
        <v>2134</v>
      </c>
      <c r="B2137" s="3" t="s">
        <v>4</v>
      </c>
      <c r="C2137" s="2" t="str">
        <f ca="1">IFERROR(__xludf.DUMMYFUNCTION("GOOGLETRANSLATE(A2137,""bn"",""en"")"),"Technology is a blessing")</f>
        <v>Technology is a blessing</v>
      </c>
    </row>
    <row r="2138" spans="1:3" ht="15" x14ac:dyDescent="0.25">
      <c r="A2138" s="3" t="s">
        <v>2135</v>
      </c>
      <c r="B2138" s="3" t="s">
        <v>4</v>
      </c>
      <c r="C2138" s="2" t="str">
        <f ca="1">IFERROR(__xludf.DUMMYFUNCTION("GOOGLETRANSLATE(A2138,""bn"",""en"")"),"People drive technology")</f>
        <v>People drive technology</v>
      </c>
    </row>
    <row r="2139" spans="1:3" ht="15" x14ac:dyDescent="0.25">
      <c r="A2139" s="3" t="s">
        <v>2136</v>
      </c>
      <c r="B2139" s="3" t="s">
        <v>4</v>
      </c>
      <c r="C2139" s="2" t="str">
        <f ca="1">IFERROR(__xludf.DUMMYFUNCTION("GOOGLETRANSLATE(A2139,""bn"",""en"")"),"He is a skilled programmer")</f>
        <v>He is a skilled programmer</v>
      </c>
    </row>
    <row r="2140" spans="1:3" ht="15" x14ac:dyDescent="0.25">
      <c r="A2140" s="3" t="s">
        <v>2137</v>
      </c>
      <c r="B2140" s="3" t="s">
        <v>4</v>
      </c>
      <c r="C2140" s="2" t="str">
        <f ca="1">IFERROR(__xludf.DUMMYFUNCTION("GOOGLETRANSLATE(A2140,""bn"",""en"")"),"I teach Arabic")</f>
        <v>I teach Arabic</v>
      </c>
    </row>
    <row r="2141" spans="1:3" ht="15" x14ac:dyDescent="0.25">
      <c r="A2141" s="3" t="s">
        <v>2138</v>
      </c>
      <c r="B2141" s="3" t="s">
        <v>4</v>
      </c>
      <c r="C2141" s="2" t="str">
        <f ca="1">IFERROR(__xludf.DUMMYFUNCTION("GOOGLETRANSLATE(A2141,""bn"",""en"")"),"I give IT training")</f>
        <v>I give IT training</v>
      </c>
    </row>
    <row r="2142" spans="1:3" ht="15" x14ac:dyDescent="0.25">
      <c r="A2142" s="3" t="s">
        <v>2139</v>
      </c>
      <c r="B2142" s="3" t="s">
        <v>4</v>
      </c>
      <c r="C2142" s="2" t="str">
        <f ca="1">IFERROR(__xludf.DUMMYFUNCTION("GOOGLETRANSLATE(A2142,""bn"",""en"")"),"Bones will be strong")</f>
        <v>Bones will be strong</v>
      </c>
    </row>
    <row r="2143" spans="1:3" ht="15" x14ac:dyDescent="0.25">
      <c r="A2143" s="3" t="s">
        <v>2140</v>
      </c>
      <c r="B2143" s="3" t="s">
        <v>4</v>
      </c>
      <c r="C2143" s="2" t="str">
        <f ca="1">IFERROR(__xludf.DUMMYFUNCTION("GOOGLETRANSLATE(A2143,""bn"",""en"")"),"I do well in studies")</f>
        <v>I do well in studies</v>
      </c>
    </row>
    <row r="2144" spans="1:3" ht="15" x14ac:dyDescent="0.25">
      <c r="A2144" s="3" t="s">
        <v>2141</v>
      </c>
      <c r="B2144" s="3" t="s">
        <v>4</v>
      </c>
      <c r="C2144" s="2" t="str">
        <f ca="1">IFERROR(__xludf.DUMMYFUNCTION("GOOGLETRANSLATE(A2144,""bn"",""en"")"),"Turning on GPS")</f>
        <v>Turning on GPS</v>
      </c>
    </row>
    <row r="2145" spans="1:3" ht="15" x14ac:dyDescent="0.25">
      <c r="A2145" s="3" t="s">
        <v>2142</v>
      </c>
      <c r="B2145" s="3" t="s">
        <v>4</v>
      </c>
      <c r="C2145" s="2" t="str">
        <f ca="1">IFERROR(__xludf.DUMMYFUNCTION("GOOGLETRANSLATE(A2145,""bn"",""en"")"),"I am working in banking")</f>
        <v>I am working in banking</v>
      </c>
    </row>
    <row r="2146" spans="1:3" ht="15" x14ac:dyDescent="0.25">
      <c r="A2146" s="3" t="s">
        <v>2143</v>
      </c>
      <c r="B2146" s="3" t="s">
        <v>4</v>
      </c>
      <c r="C2146" s="2" t="str">
        <f ca="1">IFERROR(__xludf.DUMMYFUNCTION("GOOGLETRANSLATE(A2146,""bn"",""en"")"),"The world of thought is technology")</f>
        <v>The world of thought is technology</v>
      </c>
    </row>
    <row r="2147" spans="1:3" ht="15" x14ac:dyDescent="0.25">
      <c r="A2147" s="3" t="s">
        <v>2144</v>
      </c>
      <c r="B2147" s="3" t="s">
        <v>4</v>
      </c>
      <c r="C2147" s="2" t="str">
        <f ca="1">IFERROR(__xludf.DUMMYFUNCTION("GOOGLETRANSLATE(A2147,""bn"",""en"")"),"Smartphones have apps")</f>
        <v>Smartphones have apps</v>
      </c>
    </row>
    <row r="2148" spans="1:3" ht="15" x14ac:dyDescent="0.25">
      <c r="A2148" s="3" t="s">
        <v>2145</v>
      </c>
      <c r="B2148" s="3" t="s">
        <v>4</v>
      </c>
      <c r="C2148" s="2" t="str">
        <f ca="1">IFERROR(__xludf.DUMMYFUNCTION("GOOGLETRANSLATE(A2148,""bn"",""en"")"),"Do mobile banking")</f>
        <v>Do mobile banking</v>
      </c>
    </row>
    <row r="2149" spans="1:3" ht="15" x14ac:dyDescent="0.25">
      <c r="A2149" s="3" t="s">
        <v>2146</v>
      </c>
      <c r="B2149" s="3" t="s">
        <v>4</v>
      </c>
      <c r="C2149" s="2" t="str">
        <f ca="1">IFERROR(__xludf.DUMMYFUNCTION("GOOGLETRANSLATE(A2149,""bn"",""en"")"),"I have suffered in my student life")</f>
        <v>I have suffered in my student life</v>
      </c>
    </row>
    <row r="2150" spans="1:3" ht="15" x14ac:dyDescent="0.25">
      <c r="A2150" s="3" t="s">
        <v>2147</v>
      </c>
      <c r="B2150" s="3" t="s">
        <v>4</v>
      </c>
      <c r="C2150" s="2" t="str">
        <f ca="1">IFERROR(__xludf.DUMMYFUNCTION("GOOGLETRANSLATE(A2150,""bn"",""en"")"),"using the server")</f>
        <v>using the server</v>
      </c>
    </row>
    <row r="2151" spans="1:3" ht="15" x14ac:dyDescent="0.25">
      <c r="A2151" s="3" t="s">
        <v>2148</v>
      </c>
      <c r="B2151" s="3" t="s">
        <v>4</v>
      </c>
      <c r="C2151" s="2" t="str">
        <f ca="1">IFERROR(__xludf.DUMMYFUNCTION("GOOGLETRANSLATE(A2151,""bn"",""en"")"),"you read in the morning")</f>
        <v>you read in the morning</v>
      </c>
    </row>
    <row r="2152" spans="1:3" ht="15" x14ac:dyDescent="0.25">
      <c r="A2152" s="3" t="s">
        <v>2149</v>
      </c>
      <c r="B2152" s="3" t="s">
        <v>4</v>
      </c>
      <c r="C2152" s="2" t="str">
        <f ca="1">IFERROR(__xludf.DUMMYFUNCTION("GOOGLETRANSLATE(A2152,""bn"",""en"")"),"I use the printer")</f>
        <v>I use the printer</v>
      </c>
    </row>
    <row r="2153" spans="1:3" ht="15" x14ac:dyDescent="0.25">
      <c r="A2153" s="3" t="s">
        <v>2150</v>
      </c>
      <c r="B2153" s="3" t="s">
        <v>4</v>
      </c>
      <c r="C2153" s="2" t="str">
        <f ca="1">IFERROR(__xludf.DUMMYFUNCTION("GOOGLETRANSLATE(A2153,""bn"",""en"")"),"I am reading a book in this book")</f>
        <v>I am reading a book in this book</v>
      </c>
    </row>
    <row r="2154" spans="1:3" ht="15" x14ac:dyDescent="0.25">
      <c r="A2154" s="3" t="s">
        <v>2151</v>
      </c>
      <c r="B2154" s="3" t="s">
        <v>4</v>
      </c>
      <c r="C2154" s="2" t="str">
        <f ca="1">IFERROR(__xludf.DUMMYFUNCTION("GOOGLETRANSLATE(A2154,""bn"",""en"")"),"He is studying English")</f>
        <v>He is studying English</v>
      </c>
    </row>
    <row r="2155" spans="1:3" ht="15" x14ac:dyDescent="0.25">
      <c r="A2155" s="3" t="s">
        <v>2152</v>
      </c>
      <c r="B2155" s="3" t="s">
        <v>4</v>
      </c>
      <c r="C2155" s="2" t="str">
        <f ca="1">IFERROR(__xludf.DUMMYFUNCTION("GOOGLETRANSLATE(A2155,""bn"",""en"")"),"I am giving bank service")</f>
        <v>I am giving bank service</v>
      </c>
    </row>
    <row r="2156" spans="1:3" ht="15" x14ac:dyDescent="0.25">
      <c r="A2156" s="3" t="s">
        <v>2153</v>
      </c>
      <c r="B2156" s="3" t="s">
        <v>4</v>
      </c>
      <c r="C2156" s="2" t="str">
        <f ca="1">IFERROR(__xludf.DUMMYFUNCTION("GOOGLETRANSLATE(A2156,""bn"",""en"")"),"Run as per passbook")</f>
        <v>Run as per passbook</v>
      </c>
    </row>
    <row r="2157" spans="1:3" ht="15" x14ac:dyDescent="0.25">
      <c r="A2157" s="3" t="s">
        <v>2154</v>
      </c>
      <c r="B2157" s="3" t="s">
        <v>4</v>
      </c>
      <c r="C2157" s="2" t="str">
        <f ca="1">IFERROR(__xludf.DUMMYFUNCTION("GOOGLETRANSLATE(A2157,""bn"",""en"")"),"Using bluetooth")</f>
        <v>Using bluetooth</v>
      </c>
    </row>
    <row r="2158" spans="1:3" ht="15" x14ac:dyDescent="0.25">
      <c r="A2158" s="3" t="s">
        <v>2155</v>
      </c>
      <c r="B2158" s="3" t="s">
        <v>4</v>
      </c>
      <c r="C2158" s="2" t="str">
        <f ca="1">IFERROR(__xludf.DUMMYFUNCTION("GOOGLETRANSLATE(A2158,""bn"",""en"")"),"I live in the college hostel")</f>
        <v>I live in the college hostel</v>
      </c>
    </row>
    <row r="2159" spans="1:3" ht="15" x14ac:dyDescent="0.25">
      <c r="A2159" s="3" t="s">
        <v>2156</v>
      </c>
      <c r="B2159" s="3" t="s">
        <v>4</v>
      </c>
      <c r="C2159" s="2" t="str">
        <f ca="1">IFERROR(__xludf.DUMMYFUNCTION("GOOGLETRANSLATE(A2159,""bn"",""en"")"),"The beauty of the campus has increased")</f>
        <v>The beauty of the campus has increased</v>
      </c>
    </row>
    <row r="2160" spans="1:3" ht="15" x14ac:dyDescent="0.25">
      <c r="A2160" s="3" t="s">
        <v>2157</v>
      </c>
      <c r="B2160" s="3" t="s">
        <v>4</v>
      </c>
      <c r="C2160" s="2" t="str">
        <f ca="1">IFERROR(__xludf.DUMMYFUNCTION("GOOGLETRANSLATE(A2160,""bn"",""en"")"),"GPS is turned on")</f>
        <v>GPS is turned on</v>
      </c>
    </row>
    <row r="2161" spans="1:3" ht="15" x14ac:dyDescent="0.25">
      <c r="A2161" s="3" t="s">
        <v>2158</v>
      </c>
      <c r="B2161" s="3" t="s">
        <v>4</v>
      </c>
      <c r="C2161" s="2" t="str">
        <f ca="1">IFERROR(__xludf.DUMMYFUNCTION("GOOGLETRANSLATE(A2161,""bn"",""en"")"),"I love technology")</f>
        <v>I love technology</v>
      </c>
    </row>
    <row r="2162" spans="1:3" ht="15" x14ac:dyDescent="0.25">
      <c r="A2162" s="3" t="s">
        <v>2159</v>
      </c>
      <c r="B2162" s="3" t="s">
        <v>4</v>
      </c>
      <c r="C2162" s="2" t="str">
        <f ca="1">IFERROR(__xludf.DUMMYFUNCTION("GOOGLETRANSLATE(A2162,""bn"",""en"")"),"I went on an educational trip")</f>
        <v>I went on an educational trip</v>
      </c>
    </row>
    <row r="2163" spans="1:3" ht="15" x14ac:dyDescent="0.25">
      <c r="A2163" s="3" t="s">
        <v>2160</v>
      </c>
      <c r="B2163" s="3" t="s">
        <v>4</v>
      </c>
      <c r="C2163" s="2" t="str">
        <f ca="1">IFERROR(__xludf.DUMMYFUNCTION("GOOGLETRANSLATE(A2163,""bn"",""en"")"),"Buying new headphones")</f>
        <v>Buying new headphones</v>
      </c>
    </row>
    <row r="2164" spans="1:3" ht="15" x14ac:dyDescent="0.25">
      <c r="A2164" s="3" t="s">
        <v>2161</v>
      </c>
      <c r="B2164" s="3" t="s">
        <v>4</v>
      </c>
      <c r="C2164" s="2" t="str">
        <f ca="1">IFERROR(__xludf.DUMMYFUNCTION("GOOGLETRANSLATE(A2164,""bn"",""en"")"),"He reads everyday")</f>
        <v>He reads everyday</v>
      </c>
    </row>
    <row r="2165" spans="1:3" ht="15" x14ac:dyDescent="0.25">
      <c r="A2165" s="3" t="s">
        <v>2162</v>
      </c>
      <c r="B2165" s="3" t="s">
        <v>4</v>
      </c>
      <c r="C2165" s="2" t="str">
        <f ca="1">IFERROR(__xludf.DUMMYFUNCTION("GOOGLETRANSLATE(A2165,""bn"",""en"")"),"He is reading history")</f>
        <v>He is reading history</v>
      </c>
    </row>
    <row r="2166" spans="1:3" ht="15" x14ac:dyDescent="0.25">
      <c r="A2166" s="3" t="s">
        <v>2163</v>
      </c>
      <c r="B2166" s="3" t="s">
        <v>4</v>
      </c>
      <c r="C2166" s="2" t="str">
        <f ca="1">IFERROR(__xludf.DUMMYFUNCTION("GOOGLETRANSLATE(A2166,""bn"",""en"")"),"Living in the dormitory")</f>
        <v>Living in the dormitory</v>
      </c>
    </row>
    <row r="2167" spans="1:3" ht="15" x14ac:dyDescent="0.25">
      <c r="A2167" s="3" t="s">
        <v>2164</v>
      </c>
      <c r="B2167" s="3" t="s">
        <v>4</v>
      </c>
      <c r="C2167" s="2" t="str">
        <f ca="1">IFERROR(__xludf.DUMMYFUNCTION("GOOGLETRANSLATE(A2167,""bn"",""en"")"),"Watching news on laptop")</f>
        <v>Watching news on laptop</v>
      </c>
    </row>
    <row r="2168" spans="1:3" ht="15" x14ac:dyDescent="0.25">
      <c r="A2168" s="3" t="s">
        <v>2165</v>
      </c>
      <c r="B2168" s="3" t="s">
        <v>4</v>
      </c>
      <c r="C2168" s="2" t="str">
        <f ca="1">IFERROR(__xludf.DUMMYFUNCTION("GOOGLETRANSLATE(A2168,""bn"",""en"")"),"Participated in sports")</f>
        <v>Participated in sports</v>
      </c>
    </row>
    <row r="2169" spans="1:3" ht="15" x14ac:dyDescent="0.25">
      <c r="A2169" s="3" t="s">
        <v>2166</v>
      </c>
      <c r="B2169" s="3" t="s">
        <v>4</v>
      </c>
      <c r="C2169" s="2" t="str">
        <f ca="1">IFERROR(__xludf.DUMMYFUNCTION("GOOGLETRANSLATE(A2169,""bn"",""en"")"),"Education is worldwide")</f>
        <v>Education is worldwide</v>
      </c>
    </row>
    <row r="2170" spans="1:3" ht="15" x14ac:dyDescent="0.25">
      <c r="A2170" s="3" t="s">
        <v>2167</v>
      </c>
      <c r="B2170" s="3" t="s">
        <v>4</v>
      </c>
      <c r="C2170" s="2" t="str">
        <f ca="1">IFERROR(__xludf.DUMMYFUNCTION("GOOGLETRANSLATE(A2170,""bn"",""en"")"),"i support")</f>
        <v>i support</v>
      </c>
    </row>
    <row r="2171" spans="1:3" ht="15" x14ac:dyDescent="0.25">
      <c r="A2171" s="3" t="s">
        <v>2168</v>
      </c>
      <c r="B2171" s="3" t="s">
        <v>4</v>
      </c>
      <c r="C2171" s="2" t="str">
        <f ca="1">IFERROR(__xludf.DUMMYFUNCTION("GOOGLETRANSLATE(A2171,""bn"",""en"")"),"Sailors steer the ship")</f>
        <v>Sailors steer the ship</v>
      </c>
    </row>
    <row r="2172" spans="1:3" ht="15" x14ac:dyDescent="0.25">
      <c r="A2172" s="3" t="s">
        <v>2169</v>
      </c>
      <c r="B2172" s="3" t="s">
        <v>4</v>
      </c>
      <c r="C2172" s="2" t="str">
        <f ca="1">IFERROR(__xludf.DUMMYFUNCTION("GOOGLETRANSLATE(A2172,""bn"",""en"")"),"Sailors are going to sea by ship")</f>
        <v>Sailors are going to sea by ship</v>
      </c>
    </row>
    <row r="2173" spans="1:3" ht="15" x14ac:dyDescent="0.25">
      <c r="A2173" s="3" t="s">
        <v>2170</v>
      </c>
      <c r="B2173" s="3" t="s">
        <v>4</v>
      </c>
      <c r="C2173" s="2" t="str">
        <f ca="1">IFERROR(__xludf.DUMMYFUNCTION("GOOGLETRANSLATE(A2173,""bn"",""en"")"),"Dependent on communication technology")</f>
        <v>Dependent on communication technology</v>
      </c>
    </row>
    <row r="2174" spans="1:3" ht="15" x14ac:dyDescent="0.25">
      <c r="A2174" s="3" t="s">
        <v>2171</v>
      </c>
      <c r="B2174" s="3" t="s">
        <v>4</v>
      </c>
      <c r="C2174" s="2" t="str">
        <f ca="1">IFERROR(__xludf.DUMMYFUNCTION("GOOGLETRANSLATE(A2174,""bn"",""en"")"),"travel by sea")</f>
        <v>travel by sea</v>
      </c>
    </row>
    <row r="2175" spans="1:3" ht="15" x14ac:dyDescent="0.25">
      <c r="A2175" s="3" t="s">
        <v>2172</v>
      </c>
      <c r="B2175" s="3" t="s">
        <v>4</v>
      </c>
      <c r="C2175" s="2" t="str">
        <f ca="1">IFERROR(__xludf.DUMMYFUNCTION("GOOGLETRANSLATE(A2175,""bn"",""en"")"),"I read books in this book")</f>
        <v>I read books in this book</v>
      </c>
    </row>
    <row r="2176" spans="1:3" ht="15" x14ac:dyDescent="0.25">
      <c r="A2176" s="3" t="s">
        <v>2173</v>
      </c>
      <c r="B2176" s="3" t="s">
        <v>4</v>
      </c>
      <c r="C2176" s="2" t="str">
        <f ca="1">IFERROR(__xludf.DUMMYFUNCTION("GOOGLETRANSLATE(A2176,""bn"",""en"")"),"Market prices have fallen")</f>
        <v>Market prices have fallen</v>
      </c>
    </row>
    <row r="2177" spans="1:3" ht="15" x14ac:dyDescent="0.25">
      <c r="A2177" s="3" t="s">
        <v>2174</v>
      </c>
      <c r="B2177" s="3" t="s">
        <v>4</v>
      </c>
      <c r="C2177" s="2" t="str">
        <f ca="1">IFERROR(__xludf.DUMMYFUNCTION("GOOGLETRANSLATE(A2177,""bn"",""en"")"),"Teaching something new")</f>
        <v>Teaching something new</v>
      </c>
    </row>
    <row r="2178" spans="1:3" ht="15" x14ac:dyDescent="0.25">
      <c r="A2178" s="3" t="s">
        <v>2175</v>
      </c>
      <c r="B2178" s="3" t="s">
        <v>4</v>
      </c>
      <c r="C2178" s="2" t="str">
        <f ca="1">IFERROR(__xludf.DUMMYFUNCTION("GOOGLETRANSLATE(A2178,""bn"",""en"")"),"Open a bank account")</f>
        <v>Open a bank account</v>
      </c>
    </row>
    <row r="2179" spans="1:3" ht="15" x14ac:dyDescent="0.25">
      <c r="A2179" s="3" t="s">
        <v>2176</v>
      </c>
      <c r="B2179" s="3" t="s">
        <v>4</v>
      </c>
      <c r="C2179" s="2" t="str">
        <f ca="1">IFERROR(__xludf.DUMMYFUNCTION("GOOGLETRANSLATE(A2179,""bn"",""en"")"),"He has learned numbers")</f>
        <v>He has learned numbers</v>
      </c>
    </row>
    <row r="2180" spans="1:3" ht="15" x14ac:dyDescent="0.25">
      <c r="A2180" s="3" t="s">
        <v>2177</v>
      </c>
      <c r="B2180" s="3" t="s">
        <v>4</v>
      </c>
      <c r="C2180" s="2" t="str">
        <f ca="1">IFERROR(__xludf.DUMMYFUNCTION("GOOGLETRANSLATE(A2180,""bn"",""en"")"),"Looking for a good friend")</f>
        <v>Looking for a good friend</v>
      </c>
    </row>
    <row r="2181" spans="1:3" ht="15" x14ac:dyDescent="0.25">
      <c r="A2181" s="3" t="s">
        <v>2178</v>
      </c>
      <c r="B2181" s="3" t="s">
        <v>4</v>
      </c>
      <c r="C2181" s="2" t="str">
        <f ca="1">IFERROR(__xludf.DUMMYFUNCTION("GOOGLETRANSLATE(A2181,""bn"",""en"")"),"Rockets are fast machines")</f>
        <v>Rockets are fast machines</v>
      </c>
    </row>
    <row r="2182" spans="1:3" ht="15" x14ac:dyDescent="0.25">
      <c r="A2182" s="3" t="s">
        <v>2179</v>
      </c>
      <c r="B2182" s="3" t="s">
        <v>4</v>
      </c>
      <c r="C2182" s="2" t="str">
        <f ca="1">IFERROR(__xludf.DUMMYFUNCTION("GOOGLETRANSLATE(A2182,""bn"",""en"")"),"I find peace in worship")</f>
        <v>I find peace in worship</v>
      </c>
    </row>
    <row r="2183" spans="1:3" ht="15" x14ac:dyDescent="0.25">
      <c r="A2183" s="3" t="s">
        <v>2180</v>
      </c>
      <c r="B2183" s="3" t="s">
        <v>4</v>
      </c>
      <c r="C2183" s="2" t="str">
        <f ca="1">IFERROR(__xludf.DUMMYFUNCTION("GOOGLETRANSLATE(A2183,""bn"",""en"")"),"Technology is not bad")</f>
        <v>Technology is not bad</v>
      </c>
    </row>
    <row r="2184" spans="1:3" ht="15" x14ac:dyDescent="0.25">
      <c r="A2184" s="3" t="s">
        <v>2181</v>
      </c>
      <c r="B2184" s="3" t="s">
        <v>4</v>
      </c>
      <c r="C2184" s="2" t="str">
        <f ca="1">IFERROR(__xludf.DUMMYFUNCTION("GOOGLETRANSLATE(A2184,""bn"",""en"")"),"I support")</f>
        <v>I support</v>
      </c>
    </row>
    <row r="2185" spans="1:3" ht="15" x14ac:dyDescent="0.25">
      <c r="A2185" s="3" t="s">
        <v>2182</v>
      </c>
      <c r="B2185" s="3" t="s">
        <v>4</v>
      </c>
      <c r="C2185" s="2" t="str">
        <f ca="1">IFERROR(__xludf.DUMMYFUNCTION("GOOGLETRANSLATE(A2185,""bn"",""en"")"),"I have told the story of life")</f>
        <v>I have told the story of life</v>
      </c>
    </row>
    <row r="2186" spans="1:3" ht="15" x14ac:dyDescent="0.25">
      <c r="A2186" s="3" t="s">
        <v>2183</v>
      </c>
      <c r="B2186" s="3" t="s">
        <v>4</v>
      </c>
      <c r="C2186" s="2" t="str">
        <f ca="1">IFERROR(__xludf.DUMMYFUNCTION("GOOGLETRANSLATE(A2186,""bn"",""en"")"),"Let the money be withdrawn")</f>
        <v>Let the money be withdrawn</v>
      </c>
    </row>
    <row r="2187" spans="1:3" ht="15" x14ac:dyDescent="0.25">
      <c r="A2187" s="3" t="s">
        <v>2184</v>
      </c>
      <c r="B2187" s="3" t="s">
        <v>4</v>
      </c>
      <c r="C2187" s="2" t="str">
        <f ca="1">IFERROR(__xludf.DUMMYFUNCTION("GOOGLETRANSLATE(A2187,""bn"",""en"")"),"Beauty gives pleasure")</f>
        <v>Beauty gives pleasure</v>
      </c>
    </row>
    <row r="2188" spans="1:3" ht="15" x14ac:dyDescent="0.25">
      <c r="A2188" s="3" t="s">
        <v>2185</v>
      </c>
      <c r="B2188" s="3" t="s">
        <v>4</v>
      </c>
      <c r="C2188" s="2" t="str">
        <f ca="1">IFERROR(__xludf.DUMMYFUNCTION("GOOGLETRANSLATE(A2188,""bn"",""en"")"),"Beauty gives pleasure")</f>
        <v>Beauty gives pleasure</v>
      </c>
    </row>
    <row r="2189" spans="1:3" ht="15" x14ac:dyDescent="0.25">
      <c r="A2189" s="3" t="s">
        <v>2186</v>
      </c>
      <c r="B2189" s="3" t="s">
        <v>4</v>
      </c>
      <c r="C2189" s="2" t="str">
        <f ca="1">IFERROR(__xludf.DUMMYFUNCTION("GOOGLETRANSLATE(A2189,""bn"",""en"")"),"I went to the store to buy a new laptop")</f>
        <v>I went to the store to buy a new laptop</v>
      </c>
    </row>
    <row r="2190" spans="1:3" ht="15" x14ac:dyDescent="0.25">
      <c r="A2190" s="3" t="s">
        <v>2187</v>
      </c>
      <c r="B2190" s="3" t="s">
        <v>4</v>
      </c>
      <c r="C2190" s="2" t="str">
        <f ca="1">IFERROR(__xludf.DUMMYFUNCTION("GOOGLETRANSLATE(A2190,""bn"",""en"")"),"I deposited the money")</f>
        <v>I deposited the money</v>
      </c>
    </row>
    <row r="2191" spans="1:3" ht="15" x14ac:dyDescent="0.25">
      <c r="A2191" s="3" t="s">
        <v>2188</v>
      </c>
      <c r="B2191" s="3" t="s">
        <v>4</v>
      </c>
      <c r="C2191" s="2" t="str">
        <f ca="1">IFERROR(__xludf.DUMMYFUNCTION("GOOGLETRANSLATE(A2191,""bn"",""en"")"),"I am coming to the bank to deposit money")</f>
        <v>I am coming to the bank to deposit money</v>
      </c>
    </row>
    <row r="2192" spans="1:3" ht="15" x14ac:dyDescent="0.25">
      <c r="A2192" s="3" t="s">
        <v>2189</v>
      </c>
      <c r="B2192" s="3" t="s">
        <v>4</v>
      </c>
      <c r="C2192" s="2" t="str">
        <f ca="1">IFERROR(__xludf.DUMMYFUNCTION("GOOGLETRANSLATE(A2192,""bn"",""en"")"),"I am interested in politics")</f>
        <v>I am interested in politics</v>
      </c>
    </row>
    <row r="2193" spans="1:3" ht="15" x14ac:dyDescent="0.25">
      <c r="A2193" s="3" t="s">
        <v>2190</v>
      </c>
      <c r="B2193" s="3" t="s">
        <v>4</v>
      </c>
      <c r="C2193" s="2" t="str">
        <f ca="1">IFERROR(__xludf.DUMMYFUNCTION("GOOGLETRANSLATE(A2193,""bn"",""en"")"),"Add yourself")</f>
        <v>Add yourself</v>
      </c>
    </row>
    <row r="2194" spans="1:3" ht="15" x14ac:dyDescent="0.25">
      <c r="A2194" s="3" t="s">
        <v>2191</v>
      </c>
      <c r="B2194" s="3" t="s">
        <v>4</v>
      </c>
      <c r="C2194" s="2" t="str">
        <f ca="1">IFERROR(__xludf.DUMMYFUNCTION("GOOGLETRANSLATE(A2194,""bn"",""en"")"),"I can't see the picture on the laptop")</f>
        <v>I can't see the picture on the laptop</v>
      </c>
    </row>
    <row r="2195" spans="1:3" ht="15" x14ac:dyDescent="0.25">
      <c r="A2195" s="3" t="s">
        <v>2192</v>
      </c>
      <c r="B2195" s="3" t="s">
        <v>4</v>
      </c>
      <c r="C2195" s="2" t="str">
        <f ca="1">IFERROR(__xludf.DUMMYFUNCTION("GOOGLETRANSLATE(A2195,""bn"",""en"")"),"Using drones")</f>
        <v>Using drones</v>
      </c>
    </row>
    <row r="2196" spans="1:3" ht="15" x14ac:dyDescent="0.25">
      <c r="A2196" s="3" t="s">
        <v>2193</v>
      </c>
      <c r="B2196" s="3" t="s">
        <v>4</v>
      </c>
      <c r="C2196" s="2" t="str">
        <f ca="1">IFERROR(__xludf.DUMMYFUNCTION("GOOGLETRANSLATE(A2196,""bn"",""en"")"),"I am giving extra benefits")</f>
        <v>I am giving extra benefits</v>
      </c>
    </row>
    <row r="2197" spans="1:3" ht="15" x14ac:dyDescent="0.25">
      <c r="A2197" s="3" t="s">
        <v>2194</v>
      </c>
      <c r="B2197" s="3" t="s">
        <v>4</v>
      </c>
      <c r="C2197" s="2" t="str">
        <f ca="1">IFERROR(__xludf.DUMMYFUNCTION("GOOGLETRANSLATE(A2197,""bn"",""en"")"),"Buying new software")</f>
        <v>Buying new software</v>
      </c>
    </row>
    <row r="2198" spans="1:3" ht="15" x14ac:dyDescent="0.25">
      <c r="A2198" s="3" t="s">
        <v>2195</v>
      </c>
      <c r="B2198" s="3" t="s">
        <v>4</v>
      </c>
      <c r="C2198" s="2" t="str">
        <f ca="1">IFERROR(__xludf.DUMMYFUNCTION("GOOGLETRANSLATE(A2198,""bn"",""en"")"),"Cardamom reduces weight")</f>
        <v>Cardamom reduces weight</v>
      </c>
    </row>
    <row r="2199" spans="1:3" ht="15" x14ac:dyDescent="0.25">
      <c r="A2199" s="3" t="s">
        <v>2196</v>
      </c>
      <c r="B2199" s="3" t="s">
        <v>4</v>
      </c>
      <c r="C2199" s="2" t="str">
        <f ca="1">IFERROR(__xludf.DUMMYFUNCTION("GOOGLETRANSLATE(A2199,""bn"",""en"")"),"Browse Google")</f>
        <v>Browse Google</v>
      </c>
    </row>
    <row r="2200" spans="1:3" ht="15" x14ac:dyDescent="0.25">
      <c r="A2200" s="3" t="s">
        <v>2197</v>
      </c>
      <c r="B2200" s="3" t="s">
        <v>4</v>
      </c>
      <c r="C2200" s="2" t="str">
        <f ca="1">IFERROR(__xludf.DUMMYFUNCTION("GOOGLETRANSLATE(A2200,""bn"",""en"")"),"Technology is thriving")</f>
        <v>Technology is thriving</v>
      </c>
    </row>
    <row r="2201" spans="1:3" ht="15" x14ac:dyDescent="0.25">
      <c r="A2201" s="3" t="s">
        <v>2198</v>
      </c>
      <c r="B2201" s="3" t="s">
        <v>4</v>
      </c>
      <c r="C2201" s="2" t="str">
        <f ca="1">IFERROR(__xludf.DUMMYFUNCTION("GOOGLETRANSLATE(A2201,""bn"",""en"")"),"Indicators of educational progress")</f>
        <v>Indicators of educational progress</v>
      </c>
    </row>
    <row r="2202" spans="1:3" ht="15" x14ac:dyDescent="0.25">
      <c r="A2202" s="3" t="s">
        <v>2199</v>
      </c>
      <c r="B2202" s="3" t="s">
        <v>4</v>
      </c>
      <c r="C2202" s="2" t="str">
        <f ca="1">IFERROR(__xludf.DUMMYFUNCTION("GOOGLETRANSLATE(A2202,""bn"",""en"")"),"He is building a website")</f>
        <v>He is building a website</v>
      </c>
    </row>
    <row r="2203" spans="1:3" ht="15" x14ac:dyDescent="0.25">
      <c r="A2203" s="3" t="s">
        <v>2200</v>
      </c>
      <c r="B2203" s="3" t="s">
        <v>4</v>
      </c>
      <c r="C2203" s="2" t="str">
        <f ca="1">IFERROR(__xludf.DUMMYFUNCTION("GOOGLETRANSLATE(A2203,""bn"",""en"")"),"I watched the game on the laptop")</f>
        <v>I watched the game on the laptop</v>
      </c>
    </row>
    <row r="2204" spans="1:3" ht="15" x14ac:dyDescent="0.25">
      <c r="A2204" s="3" t="s">
        <v>2201</v>
      </c>
      <c r="B2204" s="3" t="s">
        <v>4</v>
      </c>
      <c r="C2204" s="2" t="str">
        <f ca="1">IFERROR(__xludf.DUMMYFUNCTION("GOOGLETRANSLATE(A2204,""bn"",""en"")"),"I became a scholar by reading history")</f>
        <v>I became a scholar by reading history</v>
      </c>
    </row>
    <row r="2205" spans="1:3" ht="15" x14ac:dyDescent="0.25">
      <c r="A2205" s="3" t="s">
        <v>2202</v>
      </c>
      <c r="B2205" s="3" t="s">
        <v>4</v>
      </c>
      <c r="C2205" s="2" t="str">
        <f ca="1">IFERROR(__xludf.DUMMYFUNCTION("GOOGLETRANSLATE(A2205,""bn"",""en"")"),"I read history")</f>
        <v>I read history</v>
      </c>
    </row>
    <row r="2206" spans="1:3" ht="15" x14ac:dyDescent="0.25">
      <c r="A2206" s="3" t="s">
        <v>2203</v>
      </c>
      <c r="B2206" s="3" t="s">
        <v>4</v>
      </c>
      <c r="C2206" s="2" t="str">
        <f ca="1">IFERROR(__xludf.DUMMYFUNCTION("GOOGLETRANSLATE(A2206,""bn"",""en"")"),"I used the card")</f>
        <v>I used the card</v>
      </c>
    </row>
    <row r="2207" spans="1:3" ht="15" x14ac:dyDescent="0.25">
      <c r="A2207" s="3" t="s">
        <v>2204</v>
      </c>
      <c r="B2207" s="3" t="s">
        <v>4</v>
      </c>
      <c r="C2207" s="2" t="str">
        <f ca="1">IFERROR(__xludf.DUMMYFUNCTION("GOOGLETRANSLATE(A2207,""bn"",""en"")"),"Looking for benefits in life")</f>
        <v>Looking for benefits in life</v>
      </c>
    </row>
    <row r="2208" spans="1:3" ht="15" x14ac:dyDescent="0.25">
      <c r="A2208" s="3" t="s">
        <v>2205</v>
      </c>
      <c r="B2208" s="3" t="s">
        <v>4</v>
      </c>
      <c r="C2208" s="2" t="str">
        <f ca="1">IFERROR(__xludf.DUMMYFUNCTION("GOOGLETRANSLATE(A2208,""bn"",""en"")"),"Students are exercising")</f>
        <v>Students are exercising</v>
      </c>
    </row>
    <row r="2209" spans="1:3" ht="15" x14ac:dyDescent="0.25">
      <c r="A2209" s="3" t="s">
        <v>2206</v>
      </c>
      <c r="B2209" s="3" t="s">
        <v>4</v>
      </c>
      <c r="C2209" s="2" t="str">
        <f ca="1">IFERROR(__xludf.DUMMYFUNCTION("GOOGLETRANSLATE(A2209,""bn"",""en"")"),"He studied history")</f>
        <v>He studied history</v>
      </c>
    </row>
    <row r="2210" spans="1:3" ht="15" x14ac:dyDescent="0.25">
      <c r="A2210" s="3" t="s">
        <v>2207</v>
      </c>
      <c r="B2210" s="3" t="s">
        <v>4</v>
      </c>
      <c r="C2210" s="2" t="str">
        <f ca="1">IFERROR(__xludf.DUMMYFUNCTION("GOOGLETRANSLATE(A2210,""bn"",""en"")"),"He has become a scholar by reading history")</f>
        <v>He has become a scholar by reading history</v>
      </c>
    </row>
    <row r="2211" spans="1:3" ht="15" x14ac:dyDescent="0.25">
      <c r="A2211" s="3" t="s">
        <v>2208</v>
      </c>
      <c r="B2211" s="3" t="s">
        <v>4</v>
      </c>
      <c r="C2211" s="2" t="str">
        <f ca="1">IFERROR(__xludf.DUMMYFUNCTION("GOOGLETRANSLATE(A2211,""bn"",""en"")"),"Books are friends")</f>
        <v>Books are friends</v>
      </c>
    </row>
    <row r="2212" spans="1:3" ht="15" x14ac:dyDescent="0.25">
      <c r="A2212" s="3" t="s">
        <v>2209</v>
      </c>
      <c r="B2212" s="3" t="s">
        <v>4</v>
      </c>
      <c r="C2212" s="2" t="str">
        <f ca="1">IFERROR(__xludf.DUMMYFUNCTION("GOOGLETRANSLATE(A2212,""bn"",""en"")"),"Product production is in progress")</f>
        <v>Product production is in progress</v>
      </c>
    </row>
    <row r="2213" spans="1:3" ht="15" x14ac:dyDescent="0.25">
      <c r="A2213" s="3" t="s">
        <v>2210</v>
      </c>
      <c r="B2213" s="3" t="s">
        <v>4</v>
      </c>
      <c r="C2213" s="2" t="str">
        <f ca="1">IFERROR(__xludf.DUMMYFUNCTION("GOOGLETRANSLATE(A2213,""bn"",""en"")"),"Using digitalpan")</f>
        <v>Using digitalpan</v>
      </c>
    </row>
    <row r="2214" spans="1:3" ht="15" x14ac:dyDescent="0.25">
      <c r="A2214" s="3" t="s">
        <v>2211</v>
      </c>
      <c r="B2214" s="3" t="s">
        <v>4</v>
      </c>
      <c r="C2214" s="2" t="str">
        <f ca="1">IFERROR(__xludf.DUMMYFUNCTION("GOOGLETRANSLATE(A2214,""bn"",""en"")"),"Travel inspires")</f>
        <v>Travel inspires</v>
      </c>
    </row>
    <row r="2215" spans="1:3" ht="15" x14ac:dyDescent="0.25">
      <c r="A2215" s="3" t="s">
        <v>2212</v>
      </c>
      <c r="B2215" s="3" t="s">
        <v>4</v>
      </c>
      <c r="C2215" s="2" t="str">
        <f ca="1">IFERROR(__xludf.DUMMYFUNCTION("GOOGLETRANSLATE(A2215,""bn"",""en"")"),"He is going to school")</f>
        <v>He is going to school</v>
      </c>
    </row>
    <row r="2216" spans="1:3" ht="15" x14ac:dyDescent="0.25">
      <c r="A2216" s="3" t="s">
        <v>2213</v>
      </c>
      <c r="B2216" s="3" t="s">
        <v>4</v>
      </c>
      <c r="C2216" s="2" t="str">
        <f ca="1">IFERROR(__xludf.DUMMYFUNCTION("GOOGLETRANSLATE(A2216,""bn"",""en"")"),"Secure your account")</f>
        <v>Secure your account</v>
      </c>
    </row>
    <row r="2217" spans="1:3" ht="15" x14ac:dyDescent="0.25">
      <c r="A2217" s="3" t="s">
        <v>2214</v>
      </c>
      <c r="B2217" s="3" t="s">
        <v>4</v>
      </c>
      <c r="C2217" s="2" t="str">
        <f ca="1">IFERROR(__xludf.DUMMYFUNCTION("GOOGLETRANSLATE(A2217,""bn"",""en"")"),"Education is a fundamental right")</f>
        <v>Education is a fundamental right</v>
      </c>
    </row>
    <row r="2218" spans="1:3" ht="15" x14ac:dyDescent="0.25">
      <c r="A2218" s="3" t="s">
        <v>2215</v>
      </c>
      <c r="B2218" s="3" t="s">
        <v>4</v>
      </c>
      <c r="C2218" s="2" t="str">
        <f ca="1">IFERROR(__xludf.DUMMYFUNCTION("GOOGLETRANSLATE(A2218,""bn"",""en"")"),"Finances have improved")</f>
        <v>Finances have improved</v>
      </c>
    </row>
    <row r="2219" spans="1:3" ht="15" x14ac:dyDescent="0.25">
      <c r="A2219" s="3" t="s">
        <v>2216</v>
      </c>
      <c r="B2219" s="3" t="s">
        <v>4</v>
      </c>
      <c r="C2219" s="2" t="str">
        <f ca="1">IFERROR(__xludf.DUMMYFUNCTION("GOOGLETRANSLATE(A2219,""bn"",""en"")"),"Rita has studied")</f>
        <v>Rita has studied</v>
      </c>
    </row>
    <row r="2220" spans="1:3" ht="15" x14ac:dyDescent="0.25">
      <c r="A2220" s="3" t="s">
        <v>2217</v>
      </c>
      <c r="B2220" s="3" t="s">
        <v>4</v>
      </c>
      <c r="C2220" s="2" t="str">
        <f ca="1">IFERROR(__xludf.DUMMYFUNCTION("GOOGLETRANSLATE(A2220,""bn"",""en"")"),"Loan disbursed")</f>
        <v>Loan disbursed</v>
      </c>
    </row>
    <row r="2221" spans="1:3" ht="15" x14ac:dyDescent="0.25">
      <c r="A2221" s="3" t="s">
        <v>2218</v>
      </c>
      <c r="B2221" s="3" t="s">
        <v>4</v>
      </c>
      <c r="C2221" s="2" t="str">
        <f ca="1">IFERROR(__xludf.DUMMYFUNCTION("GOOGLETRANSLATE(A2221,""bn"",""en"")"),"Spending time on the internet")</f>
        <v>Spending time on the internet</v>
      </c>
    </row>
    <row r="2222" spans="1:3" ht="15" x14ac:dyDescent="0.25">
      <c r="A2222" s="3" t="s">
        <v>2219</v>
      </c>
      <c r="B2222" s="3" t="s">
        <v>4</v>
      </c>
      <c r="C2222" s="2" t="str">
        <f ca="1">IFERROR(__xludf.DUMMYFUNCTION("GOOGLETRANSLATE(A2222,""bn"",""en"")"),"Technology is coming to market")</f>
        <v>Technology is coming to market</v>
      </c>
    </row>
    <row r="2223" spans="1:3" ht="15" x14ac:dyDescent="0.25">
      <c r="A2223" s="3" t="s">
        <v>2220</v>
      </c>
      <c r="B2223" s="3" t="s">
        <v>4</v>
      </c>
      <c r="C2223" s="2" t="str">
        <f ca="1">IFERROR(__xludf.DUMMYFUNCTION("GOOGLETRANSLATE(A2223,""bn"",""en"")"),"I am paying attention to studies")</f>
        <v>I am paying attention to studies</v>
      </c>
    </row>
    <row r="2224" spans="1:3" ht="15" x14ac:dyDescent="0.25">
      <c r="A2224" s="3" t="s">
        <v>2221</v>
      </c>
      <c r="B2224" s="3" t="s">
        <v>4</v>
      </c>
      <c r="C2224" s="2" t="str">
        <f ca="1">IFERROR(__xludf.DUMMYFUNCTION("GOOGLETRANSLATE(A2224,""bn"",""en"")"),"Operating on Linux is easy")</f>
        <v>Operating on Linux is easy</v>
      </c>
    </row>
    <row r="2225" spans="1:3" ht="15" x14ac:dyDescent="0.25">
      <c r="A2225" s="3" t="s">
        <v>2222</v>
      </c>
      <c r="B2225" s="3" t="s">
        <v>4</v>
      </c>
      <c r="C2225" s="2" t="str">
        <f ca="1">IFERROR(__xludf.DUMMYFUNCTION("GOOGLETRANSLATE(A2225,""bn"",""en"")"),"I pay zakat")</f>
        <v>I pay zakat</v>
      </c>
    </row>
    <row r="2226" spans="1:3" ht="15" x14ac:dyDescent="0.25">
      <c r="A2226" s="3" t="s">
        <v>2223</v>
      </c>
      <c r="B2226" s="3" t="s">
        <v>4</v>
      </c>
      <c r="C2226" s="2" t="str">
        <f ca="1">IFERROR(__xludf.DUMMYFUNCTION("GOOGLETRANSLATE(A2226,""bn"",""en"")"),"Revenue increases")</f>
        <v>Revenue increases</v>
      </c>
    </row>
    <row r="2227" spans="1:3" ht="15" x14ac:dyDescent="0.25">
      <c r="A2227" s="3" t="s">
        <v>2224</v>
      </c>
      <c r="B2227" s="3" t="s">
        <v>4</v>
      </c>
      <c r="C2227" s="2" t="str">
        <f ca="1">IFERROR(__xludf.DUMMYFUNCTION("GOOGLETRANSLATE(A2227,""bn"",""en"")"),"Conducted business")</f>
        <v>Conducted business</v>
      </c>
    </row>
    <row r="2228" spans="1:3" ht="15" x14ac:dyDescent="0.25">
      <c r="A2228" s="3" t="s">
        <v>2225</v>
      </c>
      <c r="B2228" s="3" t="s">
        <v>4</v>
      </c>
      <c r="C2228" s="2" t="str">
        <f ca="1">IFERROR(__xludf.DUMMYFUNCTION("GOOGLETRANSLATE(A2228,""bn"",""en"")"),"Education increases self-reliance")</f>
        <v>Education increases self-reliance</v>
      </c>
    </row>
    <row r="2229" spans="1:3" ht="15" x14ac:dyDescent="0.25">
      <c r="A2229" s="3" t="s">
        <v>2226</v>
      </c>
      <c r="B2229" s="3" t="s">
        <v>4</v>
      </c>
      <c r="C2229" s="2" t="str">
        <f ca="1">IFERROR(__xludf.DUMMYFUNCTION("GOOGLETRANSLATE(A2229,""bn"",""en"")"),"Going to see the beauty")</f>
        <v>Going to see the beauty</v>
      </c>
    </row>
    <row r="2230" spans="1:3" ht="15" x14ac:dyDescent="0.25">
      <c r="A2230" s="3" t="s">
        <v>2227</v>
      </c>
      <c r="B2230" s="3" t="s">
        <v>4</v>
      </c>
      <c r="C2230" s="2" t="str">
        <f ca="1">IFERROR(__xludf.DUMMYFUNCTION("GOOGLETRANSLATE(A2230,""bn"",""en"")"),"Get out to observe the beauty")</f>
        <v>Get out to observe the beauty</v>
      </c>
    </row>
    <row r="2231" spans="1:3" ht="15" x14ac:dyDescent="0.25">
      <c r="A2231" s="3" t="s">
        <v>2228</v>
      </c>
      <c r="B2231" s="3" t="s">
        <v>4</v>
      </c>
      <c r="C2231" s="2" t="str">
        <f ca="1">IFERROR(__xludf.DUMMYFUNCTION("GOOGLETRANSLATE(A2231,""bn"",""en"")"),"I use television")</f>
        <v>I use television</v>
      </c>
    </row>
    <row r="2232" spans="1:3" ht="15" x14ac:dyDescent="0.25">
      <c r="A2232" s="3" t="s">
        <v>2229</v>
      </c>
      <c r="B2232" s="3" t="s">
        <v>4</v>
      </c>
      <c r="C2232" s="2" t="str">
        <f ca="1">IFERROR(__xludf.DUMMYFUNCTION("GOOGLETRANSLATE(A2232,""bn"",""en"")"),"Finding peace in travel")</f>
        <v>Finding peace in travel</v>
      </c>
    </row>
    <row r="2233" spans="1:3" ht="15" x14ac:dyDescent="0.25">
      <c r="A2233" s="3" t="s">
        <v>2230</v>
      </c>
      <c r="B2233" s="3" t="s">
        <v>4</v>
      </c>
      <c r="C2233" s="2" t="str">
        <f ca="1">IFERROR(__xludf.DUMMYFUNCTION("GOOGLETRANSLATE(A2233,""bn"",""en"")"),"Learn to use a smartphone")</f>
        <v>Learn to use a smartphone</v>
      </c>
    </row>
    <row r="2234" spans="1:3" ht="15" x14ac:dyDescent="0.25">
      <c r="A2234" s="3" t="s">
        <v>2231</v>
      </c>
      <c r="B2234" s="3" t="s">
        <v>4</v>
      </c>
      <c r="C2234" s="2" t="str">
        <f ca="1">IFERROR(__xludf.DUMMYFUNCTION("GOOGLETRANSLATE(A2234,""bn"",""en"")"),"Use GPS")</f>
        <v>Use GPS</v>
      </c>
    </row>
    <row r="2235" spans="1:3" ht="15" x14ac:dyDescent="0.25">
      <c r="A2235" s="3" t="s">
        <v>2232</v>
      </c>
      <c r="B2235" s="3" t="s">
        <v>4</v>
      </c>
      <c r="C2235" s="2" t="str">
        <f ca="1">IFERROR(__xludf.DUMMYFUNCTION("GOOGLETRANSLATE(A2235,""bn"",""en"")"),"Traveling to college")</f>
        <v>Traveling to college</v>
      </c>
    </row>
    <row r="2236" spans="1:3" ht="15" x14ac:dyDescent="0.25">
      <c r="A2236" s="3" t="s">
        <v>2233</v>
      </c>
      <c r="B2236" s="3" t="s">
        <v>4</v>
      </c>
      <c r="C2236" s="2" t="str">
        <f ca="1">IFERROR(__xludf.DUMMYFUNCTION("GOOGLETRANSLATE(A2236,""bn"",""en"")"),"The government is forming")</f>
        <v>The government is forming</v>
      </c>
    </row>
    <row r="2237" spans="1:3" ht="15" x14ac:dyDescent="0.25">
      <c r="A2237" s="3" t="s">
        <v>2234</v>
      </c>
      <c r="B2237" s="3" t="s">
        <v>4</v>
      </c>
      <c r="C2237" s="2" t="str">
        <f ca="1">IFERROR(__xludf.DUMMYFUNCTION("GOOGLETRANSLATE(A2237,""bn"",""en"")"),"I play sports in my spare time")</f>
        <v>I play sports in my spare time</v>
      </c>
    </row>
    <row r="2238" spans="1:3" ht="15" x14ac:dyDescent="0.25">
      <c r="A2238" s="3" t="s">
        <v>2235</v>
      </c>
      <c r="B2238" s="3" t="s">
        <v>4</v>
      </c>
      <c r="C2238" s="2" t="str">
        <f ca="1">IFERROR(__xludf.DUMMYFUNCTION("GOOGLETRANSLATE(A2238,""bn"",""en"")"),"I learned numbers")</f>
        <v>I learned numbers</v>
      </c>
    </row>
    <row r="2239" spans="1:3" ht="15" x14ac:dyDescent="0.25">
      <c r="A2239" s="3" t="s">
        <v>2236</v>
      </c>
      <c r="B2239" s="3" t="s">
        <v>4</v>
      </c>
      <c r="C2239" s="2" t="str">
        <f ca="1">IFERROR(__xludf.DUMMYFUNCTION("GOOGLETRANSLATE(A2239,""bn"",""en"")"),"Loan is disbursed")</f>
        <v>Loan is disbursed</v>
      </c>
    </row>
    <row r="2240" spans="1:3" ht="15" x14ac:dyDescent="0.25">
      <c r="A2240" s="3" t="s">
        <v>2237</v>
      </c>
      <c r="B2240" s="3" t="s">
        <v>4</v>
      </c>
      <c r="C2240" s="2" t="str">
        <f ca="1">IFERROR(__xludf.DUMMYFUNCTION("GOOGLETRANSLATE(A2240,""bn"",""en"")"),"Get home loan")</f>
        <v>Get home loan</v>
      </c>
    </row>
    <row r="2241" spans="1:3" ht="15" x14ac:dyDescent="0.25">
      <c r="A2241" s="3" t="s">
        <v>2238</v>
      </c>
      <c r="B2241" s="3" t="s">
        <v>4</v>
      </c>
      <c r="C2241" s="2" t="str">
        <f ca="1">IFERROR(__xludf.DUMMYFUNCTION("GOOGLETRANSLATE(A2241,""bn"",""en"")"),"Business sector is shrinking")</f>
        <v>Business sector is shrinking</v>
      </c>
    </row>
    <row r="2242" spans="1:3" ht="15" x14ac:dyDescent="0.25">
      <c r="A2242" s="3" t="s">
        <v>2239</v>
      </c>
      <c r="B2242" s="3" t="s">
        <v>4</v>
      </c>
      <c r="C2242" s="2" t="str">
        <f ca="1">IFERROR(__xludf.DUMMYFUNCTION("GOOGLETRANSLATE(A2242,""bn"",""en"")"),"Children are playing tennis")</f>
        <v>Children are playing tennis</v>
      </c>
    </row>
    <row r="2243" spans="1:3" ht="15" x14ac:dyDescent="0.25">
      <c r="A2243" s="3" t="s">
        <v>2240</v>
      </c>
      <c r="B2243" s="3" t="s">
        <v>4</v>
      </c>
      <c r="C2243" s="2" t="str">
        <f ca="1">IFERROR(__xludf.DUMMYFUNCTION("GOOGLETRANSLATE(A2243,""bn"",""en"")"),"Efficiency is the key to technology")</f>
        <v>Efficiency is the key to technology</v>
      </c>
    </row>
    <row r="2244" spans="1:3" ht="15" x14ac:dyDescent="0.25">
      <c r="A2244" s="3" t="s">
        <v>2241</v>
      </c>
      <c r="B2244" s="3" t="s">
        <v>4</v>
      </c>
      <c r="C2244" s="2" t="str">
        <f ca="1">IFERROR(__xludf.DUMMYFUNCTION("GOOGLETRANSLATE(A2244,""bn"",""en"")"),"I attended the meeting")</f>
        <v>I attended the meeting</v>
      </c>
    </row>
    <row r="2245" spans="1:3" ht="15" x14ac:dyDescent="0.25">
      <c r="A2245" s="3" t="s">
        <v>2242</v>
      </c>
      <c r="B2245" s="3" t="s">
        <v>4</v>
      </c>
      <c r="C2245" s="2" t="str">
        <f ca="1">IFERROR(__xludf.DUMMYFUNCTION("GOOGLETRANSLATE(A2245,""bn"",""en"")"),"you did the math")</f>
        <v>you did the math</v>
      </c>
    </row>
    <row r="2246" spans="1:3" ht="15" x14ac:dyDescent="0.25">
      <c r="A2246" s="3" t="s">
        <v>2243</v>
      </c>
      <c r="B2246" s="3" t="s">
        <v>4</v>
      </c>
      <c r="C2246" s="2" t="str">
        <f ca="1">IFERROR(__xludf.DUMMYFUNCTION("GOOGLETRANSLATE(A2246,""bn"",""en"")"),"I have read this book")</f>
        <v>I have read this book</v>
      </c>
    </row>
    <row r="2247" spans="1:3" ht="15" x14ac:dyDescent="0.25">
      <c r="A2247" s="3" t="s">
        <v>2244</v>
      </c>
      <c r="B2247" s="3" t="s">
        <v>4</v>
      </c>
      <c r="C2247" s="2" t="str">
        <f ca="1">IFERROR(__xludf.DUMMYFUNCTION("GOOGLETRANSLATE(A2247,""bn"",""en"")"),"Check out the e-library")</f>
        <v>Check out the e-library</v>
      </c>
    </row>
    <row r="2248" spans="1:3" ht="15" x14ac:dyDescent="0.25">
      <c r="A2248" s="3" t="s">
        <v>2245</v>
      </c>
      <c r="B2248" s="3" t="s">
        <v>4</v>
      </c>
      <c r="C2248" s="2" t="str">
        <f ca="1">IFERROR(__xludf.DUMMYFUNCTION("GOOGLETRANSLATE(A2248,""bn"",""en"")"),"Check the score")</f>
        <v>Check the score</v>
      </c>
    </row>
    <row r="2249" spans="1:3" ht="15" x14ac:dyDescent="0.25">
      <c r="A2249" s="3" t="s">
        <v>2246</v>
      </c>
      <c r="B2249" s="3" t="s">
        <v>4</v>
      </c>
      <c r="C2249" s="2" t="str">
        <f ca="1">IFERROR(__xludf.DUMMYFUNCTION("GOOGLETRANSLATE(A2249,""bn"",""en"")"),"Keep money in the account")</f>
        <v>Keep money in the account</v>
      </c>
    </row>
    <row r="2250" spans="1:3" ht="15" x14ac:dyDescent="0.25">
      <c r="A2250" s="3" t="s">
        <v>2247</v>
      </c>
      <c r="B2250" s="3" t="s">
        <v>4</v>
      </c>
      <c r="C2250" s="2" t="str">
        <f ca="1">IFERROR(__xludf.DUMMYFUNCTION("GOOGLETRANSLATE(A2250,""bn"",""en"")"),"He is a foodie")</f>
        <v>He is a foodie</v>
      </c>
    </row>
    <row r="2251" spans="1:3" ht="15" x14ac:dyDescent="0.25">
      <c r="A2251" s="3" t="s">
        <v>2248</v>
      </c>
      <c r="B2251" s="3" t="s">
        <v>4</v>
      </c>
      <c r="C2251" s="2" t="str">
        <f ca="1">IFERROR(__xludf.DUMMYFUNCTION("GOOGLETRANSLATE(A2251,""bn"",""en"")"),"Attending the meeting")</f>
        <v>Attending the meeting</v>
      </c>
    </row>
    <row r="2252" spans="1:3" ht="15" x14ac:dyDescent="0.25">
      <c r="A2252" s="3" t="s">
        <v>2249</v>
      </c>
      <c r="B2252" s="3" t="s">
        <v>4</v>
      </c>
      <c r="C2252" s="2" t="str">
        <f ca="1">IFERROR(__xludf.DUMMYFUNCTION("GOOGLETRANSLATE(A2252,""bn"",""en"")"),"Chatgpt is artificial bot")</f>
        <v>Chatgpt is artificial bot</v>
      </c>
    </row>
    <row r="2253" spans="1:3" ht="15" x14ac:dyDescent="0.25">
      <c r="A2253" s="3" t="s">
        <v>2250</v>
      </c>
      <c r="B2253" s="3" t="s">
        <v>4</v>
      </c>
      <c r="C2253" s="2" t="str">
        <f ca="1">IFERROR(__xludf.DUMMYFUNCTION("GOOGLETRANSLATE(A2253,""bn"",""en"")"),"Send money via")</f>
        <v>Send money via</v>
      </c>
    </row>
    <row r="2254" spans="1:3" ht="15" x14ac:dyDescent="0.25">
      <c r="A2254" s="3" t="s">
        <v>2251</v>
      </c>
      <c r="B2254" s="3" t="s">
        <v>4</v>
      </c>
      <c r="C2254" s="2" t="str">
        <f ca="1">IFERROR(__xludf.DUMMYFUNCTION("GOOGLETRANSLATE(A2254,""bn"",""en"")"),"using computer")</f>
        <v>using computer</v>
      </c>
    </row>
    <row r="2255" spans="1:3" ht="15" x14ac:dyDescent="0.25">
      <c r="A2255" s="3" t="s">
        <v>2252</v>
      </c>
      <c r="B2255" s="3" t="s">
        <v>4</v>
      </c>
      <c r="C2255" s="2" t="str">
        <f ca="1">IFERROR(__xludf.DUMMYFUNCTION("GOOGLETRANSLATE(A2255,""bn"",""en"")"),"Communicating using computer")</f>
        <v>Communicating using computer</v>
      </c>
    </row>
    <row r="2256" spans="1:3" ht="15" x14ac:dyDescent="0.25">
      <c r="A2256" s="3" t="s">
        <v>2253</v>
      </c>
      <c r="B2256" s="3" t="s">
        <v>4</v>
      </c>
      <c r="C2256" s="2" t="str">
        <f ca="1">IFERROR(__xludf.DUMMYFUNCTION("GOOGLETRANSLATE(A2256,""bn"",""en"")"),"I am listening to the story on the mobile phone")</f>
        <v>I am listening to the story on the mobile phone</v>
      </c>
    </row>
    <row r="2257" spans="1:3" ht="15" x14ac:dyDescent="0.25">
      <c r="A2257" s="3" t="s">
        <v>2254</v>
      </c>
      <c r="B2257" s="3" t="s">
        <v>4</v>
      </c>
      <c r="C2257" s="2" t="str">
        <f ca="1">IFERROR(__xludf.DUMMYFUNCTION("GOOGLETRANSLATE(A2257,""bn"",""en"")"),"Moving forward in career")</f>
        <v>Moving forward in career</v>
      </c>
    </row>
    <row r="2258" spans="1:3" ht="15" x14ac:dyDescent="0.25">
      <c r="A2258" s="3" t="s">
        <v>2255</v>
      </c>
      <c r="B2258" s="3" t="s">
        <v>4</v>
      </c>
      <c r="C2258" s="2" t="str">
        <f ca="1">IFERROR(__xludf.DUMMYFUNCTION("GOOGLETRANSLATE(A2258,""bn"",""en"")"),"Learn to use technology")</f>
        <v>Learn to use technology</v>
      </c>
    </row>
    <row r="2259" spans="1:3" ht="15" x14ac:dyDescent="0.25">
      <c r="A2259" s="3" t="s">
        <v>2256</v>
      </c>
      <c r="B2259" s="3" t="s">
        <v>4</v>
      </c>
      <c r="C2259" s="2" t="str">
        <f ca="1">IFERROR(__xludf.DUMMYFUNCTION("GOOGLETRANSLATE(A2259,""bn"",""en"")"),"I used the printer")</f>
        <v>I used the printer</v>
      </c>
    </row>
    <row r="2260" spans="1:3" ht="15" x14ac:dyDescent="0.25">
      <c r="A2260" s="3" t="s">
        <v>2257</v>
      </c>
      <c r="B2260" s="3" t="s">
        <v>4</v>
      </c>
      <c r="C2260" s="2" t="str">
        <f ca="1">IFERROR(__xludf.DUMMYFUNCTION("GOOGLETRANSLATE(A2260,""bn"",""en"")"),"Shop online")</f>
        <v>Shop online</v>
      </c>
    </row>
    <row r="2261" spans="1:3" ht="15" x14ac:dyDescent="0.25">
      <c r="A2261" s="3" t="s">
        <v>2258</v>
      </c>
      <c r="B2261" s="3" t="s">
        <v>4</v>
      </c>
      <c r="C2261" s="2" t="str">
        <f ca="1">IFERROR(__xludf.DUMMYFUNCTION("GOOGLETRANSLATE(A2261,""bn"",""en"")"),"I used the speaker")</f>
        <v>I used the speaker</v>
      </c>
    </row>
    <row r="2262" spans="1:3" ht="15" x14ac:dyDescent="0.25">
      <c r="A2262" s="3" t="s">
        <v>2259</v>
      </c>
      <c r="B2262" s="3" t="s">
        <v>4</v>
      </c>
      <c r="C2262" s="2" t="str">
        <f ca="1">IFERROR(__xludf.DUMMYFUNCTION("GOOGLETRANSLATE(A2262,""bn"",""en"")"),"Technology is the product of perseverance")</f>
        <v>Technology is the product of perseverance</v>
      </c>
    </row>
    <row r="2263" spans="1:3" ht="15" x14ac:dyDescent="0.25">
      <c r="A2263" s="3" t="s">
        <v>2260</v>
      </c>
      <c r="B2263" s="3" t="s">
        <v>4</v>
      </c>
      <c r="C2263" s="2" t="str">
        <f ca="1">IFERROR(__xludf.DUMMYFUNCTION("GOOGLETRANSLATE(A2263,""bn"",""en"")"),"There is information in the database")</f>
        <v>There is information in the database</v>
      </c>
    </row>
    <row r="2264" spans="1:3" ht="15" x14ac:dyDescent="0.25">
      <c r="A2264" s="3" t="s">
        <v>2261</v>
      </c>
      <c r="B2264" s="3" t="s">
        <v>4</v>
      </c>
      <c r="C2264" s="2" t="str">
        <f ca="1">IFERROR(__xludf.DUMMYFUNCTION("GOOGLETRANSLATE(A2264,""bn"",""en"")"),"I used bluetooth")</f>
        <v>I used bluetooth</v>
      </c>
    </row>
    <row r="2265" spans="1:3" ht="15" x14ac:dyDescent="0.25">
      <c r="A2265" s="3" t="s">
        <v>2262</v>
      </c>
      <c r="B2265" s="3" t="s">
        <v>4</v>
      </c>
      <c r="C2265" s="2" t="str">
        <f ca="1">IFERROR(__xludf.DUMMYFUNCTION("GOOGLETRANSLATE(A2265,""bn"",""en"")"),"I'm going on vacation")</f>
        <v>I'm going on vacation</v>
      </c>
    </row>
    <row r="2266" spans="1:3" ht="15" x14ac:dyDescent="0.25">
      <c r="A2266" s="3" t="s">
        <v>2263</v>
      </c>
      <c r="B2266" s="3" t="s">
        <v>4</v>
      </c>
      <c r="C2266" s="2" t="str">
        <f ca="1">IFERROR(__xludf.DUMMYFUNCTION("GOOGLETRANSLATE(A2266,""bn"",""en"")"),"A football tournament is held")</f>
        <v>A football tournament is held</v>
      </c>
    </row>
    <row r="2267" spans="1:3" ht="15" x14ac:dyDescent="0.25">
      <c r="A2267" s="3" t="s">
        <v>2264</v>
      </c>
      <c r="B2267" s="3" t="s">
        <v>4</v>
      </c>
      <c r="C2267" s="2" t="str">
        <f ca="1">IFERROR(__xludf.DUMMYFUNCTION("GOOGLETRANSLATE(A2267,""bn"",""en"")"),"Apply for a loan")</f>
        <v>Apply for a loan</v>
      </c>
    </row>
    <row r="2268" spans="1:3" ht="15" x14ac:dyDescent="0.25">
      <c r="A2268" s="3" t="s">
        <v>2265</v>
      </c>
      <c r="B2268" s="3" t="s">
        <v>4</v>
      </c>
      <c r="C2268" s="2" t="str">
        <f ca="1">IFERROR(__xludf.DUMMYFUNCTION("GOOGLETRANSLATE(A2268,""bn"",""en"")"),"Commercial speed increased")</f>
        <v>Commercial speed increased</v>
      </c>
    </row>
    <row r="2269" spans="1:3" ht="15" x14ac:dyDescent="0.25">
      <c r="A2269" s="3" t="s">
        <v>2266</v>
      </c>
      <c r="B2269" s="3" t="s">
        <v>4</v>
      </c>
      <c r="C2269" s="2" t="str">
        <f ca="1">IFERROR(__xludf.DUMMYFUNCTION("GOOGLETRANSLATE(A2269,""bn"",""en"")"),"Seeking pleasure in entertainment")</f>
        <v>Seeking pleasure in entertainment</v>
      </c>
    </row>
    <row r="2270" spans="1:3" ht="15" x14ac:dyDescent="0.25">
      <c r="A2270" s="3" t="s">
        <v>2267</v>
      </c>
      <c r="B2270" s="3" t="s">
        <v>4</v>
      </c>
      <c r="C2270" s="2" t="str">
        <f ca="1">IFERROR(__xludf.DUMMYFUNCTION("GOOGLETRANSLATE(A2270,""bn"",""en"")"),"i read books")</f>
        <v>i read books</v>
      </c>
    </row>
    <row r="2271" spans="1:3" ht="15" x14ac:dyDescent="0.25">
      <c r="A2271" s="3" t="s">
        <v>2268</v>
      </c>
      <c r="B2271" s="3" t="s">
        <v>4</v>
      </c>
      <c r="C2271" s="2" t="str">
        <f ca="1">IFERROR(__xludf.DUMMYFUNCTION("GOOGLETRANSLATE(A2271,""bn"",""en"")"),"Observe the college")</f>
        <v>Observe the college</v>
      </c>
    </row>
    <row r="2272" spans="1:3" ht="15" x14ac:dyDescent="0.25">
      <c r="A2272" s="3" t="s">
        <v>2269</v>
      </c>
      <c r="B2272" s="3" t="s">
        <v>4</v>
      </c>
      <c r="C2272" s="2" t="str">
        <f ca="1">IFERROR(__xludf.DUMMYFUNCTION("GOOGLETRANSLATE(A2272,""bn"",""en"")"),"Download the game")</f>
        <v>Download the game</v>
      </c>
    </row>
    <row r="2273" spans="1:3" ht="15" x14ac:dyDescent="0.25">
      <c r="A2273" s="3" t="s">
        <v>2270</v>
      </c>
      <c r="B2273" s="3" t="s">
        <v>4</v>
      </c>
      <c r="C2273" s="2" t="str">
        <f ca="1">IFERROR(__xludf.DUMMYFUNCTION("GOOGLETRANSLATE(A2273,""bn"",""en"")"),"Foreign imports increase")</f>
        <v>Foreign imports increase</v>
      </c>
    </row>
    <row r="2274" spans="1:3" ht="15" x14ac:dyDescent="0.25">
      <c r="A2274" s="3" t="s">
        <v>2271</v>
      </c>
      <c r="B2274" s="3" t="s">
        <v>4</v>
      </c>
      <c r="C2274" s="2" t="str">
        <f ca="1">IFERROR(__xludf.DUMMYFUNCTION("GOOGLETRANSLATE(A2274,""bn"",""en"")"),"Google bought YouTube")</f>
        <v>Google bought YouTube</v>
      </c>
    </row>
    <row r="2275" spans="1:3" ht="15" x14ac:dyDescent="0.25">
      <c r="A2275" s="3" t="s">
        <v>2272</v>
      </c>
      <c r="B2275" s="3" t="s">
        <v>4</v>
      </c>
      <c r="C2275" s="2" t="str">
        <f ca="1">IFERROR(__xludf.DUMMYFUNCTION("GOOGLETRANSLATE(A2275,""bn"",""en"")"),"Moving from country to country")</f>
        <v>Moving from country to country</v>
      </c>
    </row>
    <row r="2276" spans="1:3" ht="15" x14ac:dyDescent="0.25">
      <c r="A2276" s="3" t="s">
        <v>2273</v>
      </c>
      <c r="B2276" s="3" t="s">
        <v>4</v>
      </c>
      <c r="C2276" s="2" t="str">
        <f ca="1">IFERROR(__xludf.DUMMYFUNCTION("GOOGLETRANSLATE(A2276,""bn"",""en"")"),"I used VirtualKeyboard")</f>
        <v>I used VirtualKeyboard</v>
      </c>
    </row>
    <row r="2277" spans="1:3" ht="15" x14ac:dyDescent="0.25">
      <c r="A2277" s="3" t="s">
        <v>2274</v>
      </c>
      <c r="B2277" s="3" t="s">
        <v>4</v>
      </c>
      <c r="C2277" s="2" t="str">
        <f ca="1">IFERROR(__xludf.DUMMYFUNCTION("GOOGLETRANSLATE(A2277,""bn"",""en"")"),"Travel brings peace of mind")</f>
        <v>Travel brings peace of mind</v>
      </c>
    </row>
    <row r="2278" spans="1:3" ht="15" x14ac:dyDescent="0.25">
      <c r="A2278" s="3" t="s">
        <v>2275</v>
      </c>
      <c r="B2278" s="3" t="s">
        <v>4</v>
      </c>
      <c r="C2278" s="2" t="str">
        <f ca="1">IFERROR(__xludf.DUMMYFUNCTION("GOOGLETRANSLATE(A2278,""bn"",""en"")"),"I find peace of mind in travel")</f>
        <v>I find peace of mind in travel</v>
      </c>
    </row>
    <row r="2279" spans="1:3" ht="15" x14ac:dyDescent="0.25">
      <c r="A2279" s="3" t="s">
        <v>2276</v>
      </c>
      <c r="B2279" s="3" t="s">
        <v>4</v>
      </c>
      <c r="C2279" s="2" t="str">
        <f ca="1">IFERROR(__xludf.DUMMYFUNCTION("GOOGLETRANSLATE(A2279,""bn"",""en"")"),"Upgrade the hardware")</f>
        <v>Upgrade the hardware</v>
      </c>
    </row>
    <row r="2280" spans="1:3" ht="15" x14ac:dyDescent="0.25">
      <c r="A2280" s="3" t="s">
        <v>2277</v>
      </c>
      <c r="B2280" s="3" t="s">
        <v>4</v>
      </c>
      <c r="C2280" s="2" t="str">
        <f ca="1">IFERROR(__xludf.DUMMYFUNCTION("GOOGLETRANSLATE(A2280,""bn"",""en"")"),"Using desktop")</f>
        <v>Using desktop</v>
      </c>
    </row>
    <row r="2281" spans="1:3" ht="15" x14ac:dyDescent="0.25">
      <c r="A2281" s="3" t="s">
        <v>2278</v>
      </c>
      <c r="B2281" s="3" t="s">
        <v>4</v>
      </c>
      <c r="C2281" s="2" t="str">
        <f ca="1">IFERROR(__xludf.DUMMYFUNCTION("GOOGLETRANSLATE(A2281,""bn"",""en"")"),"He is an Everest conqueror")</f>
        <v>He is an Everest conqueror</v>
      </c>
    </row>
    <row r="2282" spans="1:3" ht="15" x14ac:dyDescent="0.25">
      <c r="A2282" s="3" t="s">
        <v>2279</v>
      </c>
      <c r="B2282" s="3" t="s">
        <v>4</v>
      </c>
      <c r="C2282" s="2" t="str">
        <f ca="1">IFERROR(__xludf.DUMMYFUNCTION("GOOGLETRANSLATE(A2282,""bn"",""en"")"),"emergency number")</f>
        <v>emergency number</v>
      </c>
    </row>
    <row r="2283" spans="1:3" ht="15" x14ac:dyDescent="0.25">
      <c r="A2283" s="3" t="s">
        <v>2280</v>
      </c>
      <c r="B2283" s="3" t="s">
        <v>4</v>
      </c>
      <c r="C2283" s="2" t="str">
        <f ca="1">IFERROR(__xludf.DUMMYFUNCTION("GOOGLETRANSLATE(A2283,""bn"",""en"")"),"He is reading the paper")</f>
        <v>He is reading the paper</v>
      </c>
    </row>
    <row r="2284" spans="1:3" ht="15" x14ac:dyDescent="0.25">
      <c r="A2284" s="3" t="s">
        <v>2281</v>
      </c>
      <c r="B2284" s="3" t="s">
        <v>4</v>
      </c>
      <c r="C2284" s="2" t="str">
        <f ca="1">IFERROR(__xludf.DUMMYFUNCTION("GOOGLETRANSLATE(A2284,""bn"",""en"")"),"I used a laptop")</f>
        <v>I used a laptop</v>
      </c>
    </row>
    <row r="2285" spans="1:3" ht="15" x14ac:dyDescent="0.25">
      <c r="A2285" s="3" t="s">
        <v>2282</v>
      </c>
      <c r="B2285" s="3" t="s">
        <v>4</v>
      </c>
      <c r="C2285" s="2" t="str">
        <f ca="1">IFERROR(__xludf.DUMMYFUNCTION("GOOGLETRANSLATE(A2285,""bn"",""en"")"),"Traveling to Dubai is expensive")</f>
        <v>Traveling to Dubai is expensive</v>
      </c>
    </row>
    <row r="2286" spans="1:3" ht="15" x14ac:dyDescent="0.25">
      <c r="A2286" s="3" t="s">
        <v>2283</v>
      </c>
      <c r="B2286" s="3" t="s">
        <v>4</v>
      </c>
      <c r="C2286" s="2" t="str">
        <f ca="1">IFERROR(__xludf.DUMMYFUNCTION("GOOGLETRANSLATE(A2286,""bn"",""en"")"),"Cash banking is safe")</f>
        <v>Cash banking is safe</v>
      </c>
    </row>
    <row r="2287" spans="1:3" ht="15" x14ac:dyDescent="0.25">
      <c r="A2287" s="3" t="s">
        <v>2284</v>
      </c>
      <c r="B2287" s="3" t="s">
        <v>4</v>
      </c>
      <c r="C2287" s="2" t="str">
        <f ca="1">IFERROR(__xludf.DUMMYFUNCTION("GOOGLETRANSLATE(A2287,""bn"",""en"")"),"Use the touchpad")</f>
        <v>Use the touchpad</v>
      </c>
    </row>
    <row r="2288" spans="1:3" ht="15" x14ac:dyDescent="0.25">
      <c r="A2288" s="3" t="s">
        <v>2285</v>
      </c>
      <c r="B2288" s="3" t="s">
        <v>4</v>
      </c>
      <c r="C2288" s="2" t="str">
        <f ca="1">IFERROR(__xludf.DUMMYFUNCTION("GOOGLETRANSLATE(A2288,""bn"",""en"")"),"I saw a bear in the forest")</f>
        <v>I saw a bear in the forest</v>
      </c>
    </row>
    <row r="2289" spans="1:3" ht="15" x14ac:dyDescent="0.25">
      <c r="A2289" s="3" t="s">
        <v>2286</v>
      </c>
      <c r="B2289" s="3" t="s">
        <v>4</v>
      </c>
      <c r="C2289" s="2" t="str">
        <f ca="1">IFERROR(__xludf.DUMMYFUNCTION("GOOGLETRANSLATE(A2289,""bn"",""en"")"),"He reads the Qur'an")</f>
        <v>He reads the Qur'an</v>
      </c>
    </row>
    <row r="2290" spans="1:3" ht="15" x14ac:dyDescent="0.25">
      <c r="A2290" s="3" t="s">
        <v>2287</v>
      </c>
      <c r="B2290" s="3" t="s">
        <v>4</v>
      </c>
      <c r="C2290" s="2" t="str">
        <f ca="1">IFERROR(__xludf.DUMMYFUNCTION("GOOGLETRANSLATE(A2290,""bn"",""en"")"),"I have traveled to college")</f>
        <v>I have traveled to college</v>
      </c>
    </row>
    <row r="2291" spans="1:3" ht="15" x14ac:dyDescent="0.25">
      <c r="A2291" s="3" t="s">
        <v>2288</v>
      </c>
      <c r="B2291" s="3" t="s">
        <v>4</v>
      </c>
      <c r="C2291" s="2" t="str">
        <f ca="1">IFERROR(__xludf.DUMMYFUNCTION("GOOGLETRANSLATE(A2291,""bn"",""en"")"),"They are succeeding")</f>
        <v>They are succeeding</v>
      </c>
    </row>
    <row r="2292" spans="1:3" ht="15" x14ac:dyDescent="0.25">
      <c r="A2292" s="3" t="s">
        <v>2289</v>
      </c>
      <c r="B2292" s="3" t="s">
        <v>4</v>
      </c>
      <c r="C2292" s="2" t="str">
        <f ca="1">IFERROR(__xludf.DUMMYFUNCTION("GOOGLETRANSLATE(A2292,""bn"",""en"")"),"Go to the college cafeteria")</f>
        <v>Go to the college cafeteria</v>
      </c>
    </row>
    <row r="2293" spans="1:3" ht="15" x14ac:dyDescent="0.25">
      <c r="A2293" s="3" t="s">
        <v>2290</v>
      </c>
      <c r="B2293" s="3" t="s">
        <v>4</v>
      </c>
      <c r="C2293" s="2" t="str">
        <f ca="1">IFERROR(__xludf.DUMMYFUNCTION("GOOGLETRANSLATE(A2293,""bn"",""en"")"),"traveling the sky")</f>
        <v>traveling the sky</v>
      </c>
    </row>
    <row r="2294" spans="1:3" ht="15" x14ac:dyDescent="0.25">
      <c r="A2294" s="3" t="s">
        <v>2291</v>
      </c>
      <c r="B2294" s="3" t="s">
        <v>4</v>
      </c>
      <c r="C2294" s="2" t="str">
        <f ca="1">IFERROR(__xludf.DUMMYFUNCTION("GOOGLETRANSLATE(A2294,""bn"",""en"")"),"The ocean radiates softness")</f>
        <v>The ocean radiates softness</v>
      </c>
    </row>
    <row r="2295" spans="1:3" ht="15" x14ac:dyDescent="0.25">
      <c r="A2295" s="3" t="s">
        <v>2292</v>
      </c>
      <c r="B2295" s="3" t="s">
        <v>4</v>
      </c>
      <c r="C2295" s="2" t="str">
        <f ca="1">IFERROR(__xludf.DUMMYFUNCTION("GOOGLETRANSLATE(A2295,""bn"",""en"")"),"Get banking facilities")</f>
        <v>Get banking facilities</v>
      </c>
    </row>
    <row r="2296" spans="1:3" ht="15" x14ac:dyDescent="0.25">
      <c r="A2296" s="3" t="s">
        <v>2293</v>
      </c>
      <c r="B2296" s="3" t="s">
        <v>4</v>
      </c>
      <c r="C2296" s="2" t="str">
        <f ca="1">IFERROR(__xludf.DUMMYFUNCTION("GOOGLETRANSLATE(A2296,""bn"",""en"")"),"Withdraw money")</f>
        <v>Withdraw money</v>
      </c>
    </row>
    <row r="2297" spans="1:3" ht="15" x14ac:dyDescent="0.25">
      <c r="A2297" s="3" t="s">
        <v>2294</v>
      </c>
      <c r="B2297" s="3" t="s">
        <v>4</v>
      </c>
      <c r="C2297" s="2" t="str">
        <f ca="1">IFERROR(__xludf.DUMMYFUNCTION("GOOGLETRANSLATE(A2297,""bn"",""en"")"),"I came home after withdrawing the money")</f>
        <v>I came home after withdrawing the money</v>
      </c>
    </row>
    <row r="2298" spans="1:3" ht="15" x14ac:dyDescent="0.25">
      <c r="A2298" s="3" t="s">
        <v>2295</v>
      </c>
      <c r="B2298" s="3" t="s">
        <v>4</v>
      </c>
      <c r="C2298" s="2" t="str">
        <f ca="1">IFERROR(__xludf.DUMMYFUNCTION("GOOGLETRANSLATE(A2298,""bn"",""en"")"),"Politics has changed")</f>
        <v>Politics has changed</v>
      </c>
    </row>
    <row r="2299" spans="1:3" ht="15" x14ac:dyDescent="0.25">
      <c r="A2299" s="3" t="s">
        <v>2296</v>
      </c>
      <c r="B2299" s="3" t="s">
        <v>4</v>
      </c>
      <c r="C2299" s="2" t="str">
        <f ca="1">IFERROR(__xludf.DUMMYFUNCTION("GOOGLETRANSLATE(A2299,""bn"",""en"")"),"you read history")</f>
        <v>you read history</v>
      </c>
    </row>
    <row r="2300" spans="1:3" ht="15" x14ac:dyDescent="0.25">
      <c r="A2300" s="3" t="s">
        <v>2297</v>
      </c>
      <c r="B2300" s="3" t="s">
        <v>4</v>
      </c>
      <c r="C2300" s="2" t="str">
        <f ca="1">IFERROR(__xludf.DUMMYFUNCTION("GOOGLETRANSLATE(A2300,""bn"",""en"")"),"You know a lot by reading history")</f>
        <v>You know a lot by reading history</v>
      </c>
    </row>
    <row r="2301" spans="1:3" ht="15" x14ac:dyDescent="0.25">
      <c r="A2301" s="3" t="s">
        <v>2298</v>
      </c>
      <c r="B2301" s="3" t="s">
        <v>4</v>
      </c>
      <c r="C2301" s="2" t="str">
        <f ca="1">IFERROR(__xludf.DUMMYFUNCTION("GOOGLETRANSLATE(A2301,""bn"",""en"")"),"Improving ideas")</f>
        <v>Improving ideas</v>
      </c>
    </row>
    <row r="2302" spans="1:3" ht="15" x14ac:dyDescent="0.25">
      <c r="A2302" s="3" t="s">
        <v>2299</v>
      </c>
      <c r="B2302" s="3" t="s">
        <v>4</v>
      </c>
      <c r="C2302" s="2" t="str">
        <f ca="1">IFERROR(__xludf.DUMMYFUNCTION("GOOGLETRANSLATE(A2302,""bn"",""en"")"),"I used a memory card")</f>
        <v>I used a memory card</v>
      </c>
    </row>
    <row r="2303" spans="1:3" ht="15" x14ac:dyDescent="0.25">
      <c r="A2303" s="3" t="s">
        <v>2300</v>
      </c>
      <c r="B2303" s="3" t="s">
        <v>4</v>
      </c>
      <c r="C2303" s="2" t="str">
        <f ca="1">IFERROR(__xludf.DUMMYFUNCTION("GOOGLETRANSLATE(A2303,""bn"",""en"")"),"Got banking facility")</f>
        <v>Got banking facility</v>
      </c>
    </row>
    <row r="2304" spans="1:3" ht="15" x14ac:dyDescent="0.25">
      <c r="A2304" s="3" t="s">
        <v>2301</v>
      </c>
      <c r="B2304" s="3" t="s">
        <v>4</v>
      </c>
      <c r="C2304" s="2" t="str">
        <f ca="1">IFERROR(__xludf.DUMMYFUNCTION("GOOGLETRANSLATE(A2304,""bn"",""en"")"),"Doing online business")</f>
        <v>Doing online business</v>
      </c>
    </row>
    <row r="2305" spans="1:3" ht="15" x14ac:dyDescent="0.25">
      <c r="A2305" s="3" t="s">
        <v>2302</v>
      </c>
      <c r="B2305" s="3" t="s">
        <v>4</v>
      </c>
      <c r="C2305" s="2" t="str">
        <f ca="1">IFERROR(__xludf.DUMMYFUNCTION("GOOGLETRANSLATE(A2305,""bn"",""en"")"),"Bought a new camera")</f>
        <v>Bought a new camera</v>
      </c>
    </row>
    <row r="2306" spans="1:3" ht="15" x14ac:dyDescent="0.25">
      <c r="A2306" s="3" t="s">
        <v>2303</v>
      </c>
      <c r="B2306" s="3" t="s">
        <v>4</v>
      </c>
      <c r="C2306" s="2" t="str">
        <f ca="1">IFERROR(__xludf.DUMMYFUNCTION("GOOGLETRANSLATE(A2306,""bn"",""en"")"),"He is reading poetry")</f>
        <v>He is reading poetry</v>
      </c>
    </row>
    <row r="2307" spans="1:3" ht="15" x14ac:dyDescent="0.25">
      <c r="A2307" s="3" t="s">
        <v>2304</v>
      </c>
      <c r="B2307" s="3" t="s">
        <v>4</v>
      </c>
      <c r="C2307" s="2" t="str">
        <f ca="1">IFERROR(__xludf.DUMMYFUNCTION("GOOGLETRANSLATE(A2307,""bn"",""en"")"),"I thought about the afterlife")</f>
        <v>I thought about the afterlife</v>
      </c>
    </row>
    <row r="2308" spans="1:3" ht="15" x14ac:dyDescent="0.25">
      <c r="A2308" s="3" t="s">
        <v>2305</v>
      </c>
      <c r="B2308" s="3" t="s">
        <v>4</v>
      </c>
      <c r="C2308" s="2" t="str">
        <f ca="1">IFERROR(__xludf.DUMMYFUNCTION("GOOGLETRANSLATE(A2308,""bn"",""en"")"),"you read in the morning")</f>
        <v>you read in the morning</v>
      </c>
    </row>
    <row r="2309" spans="1:3" ht="15" x14ac:dyDescent="0.25">
      <c r="A2309" s="3" t="s">
        <v>2306</v>
      </c>
      <c r="B2309" s="3" t="s">
        <v>4</v>
      </c>
      <c r="C2309" s="2" t="str">
        <f ca="1">IFERROR(__xludf.DUMMYFUNCTION("GOOGLETRANSLATE(A2309,""bn"",""en"")"),"Technology is for human welfare")</f>
        <v>Technology is for human welfare</v>
      </c>
    </row>
    <row r="2310" spans="1:3" ht="15" x14ac:dyDescent="0.25">
      <c r="A2310" s="3" t="s">
        <v>2307</v>
      </c>
      <c r="B2310" s="3" t="s">
        <v>4</v>
      </c>
      <c r="C2310" s="2" t="str">
        <f ca="1">IFERROR(__xludf.DUMMYFUNCTION("GOOGLETRANSLATE(A2310,""bn"",""en"")"),"Downloading software")</f>
        <v>Downloading software</v>
      </c>
    </row>
    <row r="2311" spans="1:3" ht="15" x14ac:dyDescent="0.25">
      <c r="A2311" s="3" t="s">
        <v>2308</v>
      </c>
      <c r="B2311" s="3" t="s">
        <v>4</v>
      </c>
      <c r="C2311" s="2" t="str">
        <f ca="1">IFERROR(__xludf.DUMMYFUNCTION("GOOGLETRANSLATE(A2311,""bn"",""en"")"),"Achieving prosperity")</f>
        <v>Achieving prosperity</v>
      </c>
    </row>
    <row r="2312" spans="1:3" ht="15" x14ac:dyDescent="0.25">
      <c r="A2312" s="3" t="s">
        <v>2309</v>
      </c>
      <c r="B2312" s="3" t="s">
        <v>4</v>
      </c>
      <c r="C2312" s="2" t="str">
        <f ca="1">IFERROR(__xludf.DUMMYFUNCTION("GOOGLETRANSLATE(A2312,""bn"",""en"")"),"Commercial momentum is increasing")</f>
        <v>Commercial momentum is increasing</v>
      </c>
    </row>
    <row r="2313" spans="1:3" ht="15" x14ac:dyDescent="0.25">
      <c r="A2313" s="3" t="s">
        <v>2310</v>
      </c>
      <c r="B2313" s="3" t="s">
        <v>4</v>
      </c>
      <c r="C2313" s="2" t="str">
        <f ca="1">IFERROR(__xludf.DUMMYFUNCTION("GOOGLETRANSLATE(A2313,""bn"",""en"")"),"Development is increasing")</f>
        <v>Development is increasing</v>
      </c>
    </row>
    <row r="2314" spans="1:3" ht="15" x14ac:dyDescent="0.25">
      <c r="A2314" s="3" t="s">
        <v>2311</v>
      </c>
      <c r="B2314" s="3" t="s">
        <v>4</v>
      </c>
      <c r="C2314" s="2" t="str">
        <f ca="1">IFERROR(__xludf.DUMMYFUNCTION("GOOGLETRANSLATE(A2314,""bn"",""en"")"),"This is a bank account")</f>
        <v>This is a bank account</v>
      </c>
    </row>
    <row r="2315" spans="1:3" ht="15" x14ac:dyDescent="0.25">
      <c r="A2315" s="3" t="s">
        <v>2312</v>
      </c>
      <c r="B2315" s="3" t="s">
        <v>4</v>
      </c>
      <c r="C2315" s="2" t="str">
        <f ca="1">IFERROR(__xludf.DUMMYFUNCTION("GOOGLETRANSLATE(A2315,""bn"",""en"")"),"The price is increasing")</f>
        <v>The price is increasing</v>
      </c>
    </row>
    <row r="2316" spans="1:3" ht="15" x14ac:dyDescent="0.25">
      <c r="A2316" s="3" t="s">
        <v>2313</v>
      </c>
      <c r="B2316" s="3" t="s">
        <v>4</v>
      </c>
      <c r="C2316" s="2" t="str">
        <f ca="1">IFERROR(__xludf.DUMMYFUNCTION("GOOGLETRANSLATE(A2316,""bn"",""en"")"),"Bank account is required to be opened")</f>
        <v>Bank account is required to be opened</v>
      </c>
    </row>
    <row r="2317" spans="1:3" ht="15" x14ac:dyDescent="0.25">
      <c r="A2317" s="3" t="s">
        <v>2314</v>
      </c>
      <c r="B2317" s="3" t="s">
        <v>4</v>
      </c>
      <c r="C2317" s="2" t="str">
        <f ca="1">IFERROR(__xludf.DUMMYFUNCTION("GOOGLETRANSLATE(A2317,""bn"",""en"")"),"The price has been determined")</f>
        <v>The price has been determined</v>
      </c>
    </row>
    <row r="2318" spans="1:3" ht="15" x14ac:dyDescent="0.25">
      <c r="A2318" s="3" t="s">
        <v>2315</v>
      </c>
      <c r="B2318" s="3" t="s">
        <v>4</v>
      </c>
      <c r="C2318" s="2" t="str">
        <f ca="1">IFERROR(__xludf.DUMMYFUNCTION("GOOGLETRANSLATE(A2318,""bn"",""en"")"),"Windows is very popular")</f>
        <v>Windows is very popular</v>
      </c>
    </row>
    <row r="2319" spans="1:3" ht="15" x14ac:dyDescent="0.25">
      <c r="A2319" s="3" t="s">
        <v>2316</v>
      </c>
      <c r="B2319" s="3" t="s">
        <v>4</v>
      </c>
      <c r="C2319" s="2" t="str">
        <f ca="1">IFERROR(__xludf.DUMMYFUNCTION("GOOGLETRANSLATE(A2319,""bn"",""en"")"),"I study in college")</f>
        <v>I study in college</v>
      </c>
    </row>
    <row r="2320" spans="1:3" ht="15" x14ac:dyDescent="0.25">
      <c r="A2320" s="3" t="s">
        <v>2317</v>
      </c>
      <c r="B2320" s="3" t="s">
        <v>4</v>
      </c>
      <c r="C2320" s="2" t="str">
        <f ca="1">IFERROR(__xludf.DUMMYFUNCTION("GOOGLETRANSLATE(A2320,""bn"",""en"")"),"Got IT training")</f>
        <v>Got IT training</v>
      </c>
    </row>
    <row r="2321" spans="1:3" ht="15" x14ac:dyDescent="0.25">
      <c r="A2321" s="3" t="s">
        <v>2318</v>
      </c>
      <c r="B2321" s="3" t="s">
        <v>4</v>
      </c>
      <c r="C2321" s="2" t="str">
        <f ca="1">IFERROR(__xludf.DUMMYFUNCTION("GOOGLETRANSLATE(A2321,""bn"",""en"")"),"I went to take pictures with the camera")</f>
        <v>I went to take pictures with the camera</v>
      </c>
    </row>
    <row r="2322" spans="1:3" ht="15" x14ac:dyDescent="0.25">
      <c r="A2322" s="3" t="s">
        <v>2319</v>
      </c>
      <c r="B2322" s="3" t="s">
        <v>4</v>
      </c>
      <c r="C2322" s="2" t="str">
        <f ca="1">IFERROR(__xludf.DUMMYFUNCTION("GOOGLETRANSLATE(A2322,""bn"",""en"")"),"Travel improves memory")</f>
        <v>Travel improves memory</v>
      </c>
    </row>
    <row r="2323" spans="1:3" ht="15" x14ac:dyDescent="0.25">
      <c r="A2323" s="3" t="s">
        <v>2320</v>
      </c>
      <c r="B2323" s="3" t="s">
        <v>4</v>
      </c>
      <c r="C2323" s="2" t="str">
        <f ca="1">IFERROR(__xludf.DUMMYFUNCTION("GOOGLETRANSLATE(A2323,""bn"",""en"")"),"give education")</f>
        <v>give education</v>
      </c>
    </row>
    <row r="2324" spans="1:3" ht="15" x14ac:dyDescent="0.25">
      <c r="A2324" s="3" t="s">
        <v>2321</v>
      </c>
      <c r="B2324" s="3" t="s">
        <v>4</v>
      </c>
      <c r="C2324" s="2" t="str">
        <f ca="1">IFERROR(__xludf.DUMMYFUNCTION("GOOGLETRANSLATE(A2324,""bn"",""en"")"),"Teams are helping")</f>
        <v>Teams are helping</v>
      </c>
    </row>
    <row r="2325" spans="1:3" ht="15" x14ac:dyDescent="0.25">
      <c r="A2325" s="3" t="s">
        <v>2322</v>
      </c>
      <c r="B2325" s="3" t="s">
        <v>4</v>
      </c>
      <c r="C2325" s="2" t="str">
        <f ca="1">IFERROR(__xludf.DUMMYFUNCTION("GOOGLETRANSLATE(A2325,""bn"",""en"")"),"Technology is being used")</f>
        <v>Technology is being used</v>
      </c>
    </row>
    <row r="2326" spans="1:3" ht="15" x14ac:dyDescent="0.25">
      <c r="A2326" s="3" t="s">
        <v>2323</v>
      </c>
      <c r="B2326" s="3" t="s">
        <v>4</v>
      </c>
      <c r="C2326" s="2" t="str">
        <f ca="1">IFERROR(__xludf.DUMMYFUNCTION("GOOGLETRANSLATE(A2326,""bn"",""en"")"),"Sending email easily")</f>
        <v>Sending email easily</v>
      </c>
    </row>
    <row r="2327" spans="1:3" ht="15" x14ac:dyDescent="0.25">
      <c r="A2327" s="3" t="s">
        <v>2324</v>
      </c>
      <c r="B2327" s="3" t="s">
        <v>4</v>
      </c>
      <c r="C2327" s="2" t="str">
        <f ca="1">IFERROR(__xludf.DUMMYFUNCTION("GOOGLETRANSLATE(A2327,""bn"",""en"")"),"manages the business")</f>
        <v>manages the business</v>
      </c>
    </row>
    <row r="2328" spans="1:3" ht="15" x14ac:dyDescent="0.25">
      <c r="A2328" s="3" t="s">
        <v>2325</v>
      </c>
      <c r="B2328" s="3" t="s">
        <v>4</v>
      </c>
      <c r="C2328" s="2" t="str">
        <f ca="1">IFERROR(__xludf.DUMMYFUNCTION("GOOGLETRANSLATE(A2328,""bn"",""en"")"),"I know the name of the book")</f>
        <v>I know the name of the book</v>
      </c>
    </row>
    <row r="2329" spans="1:3" ht="15" x14ac:dyDescent="0.25">
      <c r="A2329" s="3" t="s">
        <v>2326</v>
      </c>
      <c r="B2329" s="3" t="s">
        <v>4</v>
      </c>
      <c r="C2329" s="2" t="str">
        <f ca="1">IFERROR(__xludf.DUMMYFUNCTION("GOOGLETRANSLATE(A2329,""bn"",""en"")"),"I used the webcam")</f>
        <v>I used the webcam</v>
      </c>
    </row>
    <row r="2330" spans="1:3" ht="15" x14ac:dyDescent="0.25">
      <c r="A2330" s="3" t="s">
        <v>2327</v>
      </c>
      <c r="B2330" s="3" t="s">
        <v>4</v>
      </c>
      <c r="C2330" s="2" t="str">
        <f ca="1">IFERROR(__xludf.DUMMYFUNCTION("GOOGLETRANSLATE(A2330,""bn"",""en"")"),"Students exercise")</f>
        <v>Students exercise</v>
      </c>
    </row>
    <row r="2331" spans="1:3" ht="15" x14ac:dyDescent="0.25">
      <c r="A2331" s="3" t="s">
        <v>2328</v>
      </c>
      <c r="B2331" s="3" t="s">
        <v>4</v>
      </c>
      <c r="C2331" s="2" t="str">
        <f ca="1">IFERROR(__xludf.DUMMYFUNCTION("GOOGLETRANSLATE(A2331,""bn"",""en"")"),"Researched science")</f>
        <v>Researched science</v>
      </c>
    </row>
    <row r="2332" spans="1:3" ht="15" x14ac:dyDescent="0.25">
      <c r="A2332" s="3" t="s">
        <v>2329</v>
      </c>
      <c r="B2332" s="3" t="s">
        <v>4</v>
      </c>
      <c r="C2332" s="2" t="str">
        <f ca="1">IFERROR(__xludf.DUMMYFUNCTION("GOOGLETRANSLATE(A2332,""bn"",""en"")"),"He is writing a book")</f>
        <v>He is writing a book</v>
      </c>
    </row>
    <row r="2333" spans="1:3" ht="15" x14ac:dyDescent="0.25">
      <c r="A2333" s="3" t="s">
        <v>2330</v>
      </c>
      <c r="B2333" s="3" t="s">
        <v>4</v>
      </c>
      <c r="C2333" s="2" t="str">
        <f ca="1">IFERROR(__xludf.DUMMYFUNCTION("GOOGLETRANSLATE(A2333,""bn"",""en"")"),"Living a disciplined life")</f>
        <v>Living a disciplined life</v>
      </c>
    </row>
    <row r="2334" spans="1:3" ht="15" x14ac:dyDescent="0.25">
      <c r="A2334" s="3" t="s">
        <v>2331</v>
      </c>
      <c r="B2334" s="3" t="s">
        <v>4</v>
      </c>
      <c r="C2334" s="2" t="str">
        <f ca="1">IFERROR(__xludf.DUMMYFUNCTION("GOOGLETRANSLATE(A2334,""bn"",""en"")"),"Designing the website")</f>
        <v>Designing the website</v>
      </c>
    </row>
    <row r="2335" spans="1:3" ht="15" x14ac:dyDescent="0.25">
      <c r="A2335" s="3" t="s">
        <v>2332</v>
      </c>
      <c r="B2335" s="3" t="s">
        <v>4</v>
      </c>
      <c r="C2335" s="2" t="str">
        <f ca="1">IFERROR(__xludf.DUMMYFUNCTION("GOOGLETRANSLATE(A2335,""bn"",""en"")"),"Learn something new")</f>
        <v>Learn something new</v>
      </c>
    </row>
    <row r="2336" spans="1:3" ht="15" x14ac:dyDescent="0.25">
      <c r="A2336" s="3" t="s">
        <v>2333</v>
      </c>
      <c r="B2336" s="3" t="s">
        <v>4</v>
      </c>
      <c r="C2336" s="2" t="str">
        <f ca="1">IFERROR(__xludf.DUMMYFUNCTION("GOOGLETRANSLATE(A2336,""bn"",""en"")"),"Reading jokes online")</f>
        <v>Reading jokes online</v>
      </c>
    </row>
    <row r="2337" spans="1:3" ht="15" x14ac:dyDescent="0.25">
      <c r="A2337" s="3" t="s">
        <v>2334</v>
      </c>
      <c r="B2337" s="3" t="s">
        <v>4</v>
      </c>
      <c r="C2337" s="2" t="str">
        <f ca="1">IFERROR(__xludf.DUMMYFUNCTION("GOOGLETRANSLATE(A2337,""bn"",""en"")"),"I am buying a laptop")</f>
        <v>I am buying a laptop</v>
      </c>
    </row>
    <row r="2338" spans="1:3" ht="15" x14ac:dyDescent="0.25">
      <c r="A2338" s="3" t="s">
        <v>2335</v>
      </c>
      <c r="B2338" s="3" t="s">
        <v>4</v>
      </c>
      <c r="C2338" s="2" t="str">
        <f ca="1">IFERROR(__xludf.DUMMYFUNCTION("GOOGLETRANSLATE(A2338,""bn"",""en"")"),"Yahoo is less popular")</f>
        <v>Yahoo is less popular</v>
      </c>
    </row>
    <row r="2339" spans="1:3" ht="15" x14ac:dyDescent="0.25">
      <c r="A2339" s="3" t="s">
        <v>2336</v>
      </c>
      <c r="B2339" s="3" t="s">
        <v>4</v>
      </c>
      <c r="C2339" s="2" t="str">
        <f ca="1">IFERROR(__xludf.DUMMYFUNCTION("GOOGLETRANSLATE(A2339,""bn"",""en"")"),"Spending time on the internet")</f>
        <v>Spending time on the internet</v>
      </c>
    </row>
    <row r="2340" spans="1:3" ht="15" x14ac:dyDescent="0.25">
      <c r="A2340" s="3" t="s">
        <v>2337</v>
      </c>
      <c r="B2340" s="3" t="s">
        <v>4</v>
      </c>
      <c r="C2340" s="2" t="str">
        <f ca="1">IFERROR(__xludf.DUMMYFUNCTION("GOOGLETRANSLATE(A2340,""bn"",""en"")"),"China is a historical country")</f>
        <v>China is a historical country</v>
      </c>
    </row>
    <row r="2341" spans="1:3" ht="15" x14ac:dyDescent="0.25">
      <c r="A2341" s="3" t="s">
        <v>2338</v>
      </c>
      <c r="B2341" s="3" t="s">
        <v>4</v>
      </c>
      <c r="C2341" s="2" t="str">
        <f ca="1">IFERROR(__xludf.DUMMYFUNCTION("GOOGLETRANSLATE(A2341,""bn"",""en"")"),"I want a laptop")</f>
        <v>I want a laptop</v>
      </c>
    </row>
    <row r="2342" spans="1:3" ht="15" x14ac:dyDescent="0.25">
      <c r="A2342" s="3" t="s">
        <v>2339</v>
      </c>
      <c r="B2342" s="3" t="s">
        <v>4</v>
      </c>
      <c r="C2342" s="2" t="str">
        <f ca="1">IFERROR(__xludf.DUMMYFUNCTION("GOOGLETRANSLATE(A2342,""bn"",""en"")"),"He wrote the note")</f>
        <v>He wrote the note</v>
      </c>
    </row>
    <row r="2343" spans="1:3" ht="15" x14ac:dyDescent="0.25">
      <c r="A2343" s="3" t="s">
        <v>2340</v>
      </c>
      <c r="B2343" s="3" t="s">
        <v>4</v>
      </c>
      <c r="C2343" s="2" t="str">
        <f ca="1">IFERROR(__xludf.DUMMYFUNCTION("GOOGLETRANSLATE(A2343,""bn"",""en"")"),"Sailors drive ships")</f>
        <v>Sailors drive ships</v>
      </c>
    </row>
    <row r="2344" spans="1:3" ht="15" x14ac:dyDescent="0.25">
      <c r="A2344" s="3" t="s">
        <v>2341</v>
      </c>
      <c r="B2344" s="3" t="s">
        <v>4</v>
      </c>
      <c r="C2344" s="2" t="str">
        <f ca="1">IFERROR(__xludf.DUMMYFUNCTION("GOOGLETRANSLATE(A2344,""bn"",""en"")"),"Sailors take goods by ship")</f>
        <v>Sailors take goods by ship</v>
      </c>
    </row>
    <row r="2345" spans="1:3" ht="15" x14ac:dyDescent="0.25">
      <c r="A2345" s="3" t="s">
        <v>2342</v>
      </c>
      <c r="B2345" s="3" t="s">
        <v>4</v>
      </c>
      <c r="C2345" s="2" t="str">
        <f ca="1">IFERROR(__xludf.DUMMYFUNCTION("GOOGLETRANSLATE(A2345,""bn"",""en"")"),"Beauty gives pleasure")</f>
        <v>Beauty gives pleasure</v>
      </c>
    </row>
    <row r="2346" spans="1:3" ht="15" x14ac:dyDescent="0.25">
      <c r="A2346" s="3" t="s">
        <v>2343</v>
      </c>
      <c r="B2346" s="3" t="s">
        <v>4</v>
      </c>
      <c r="C2346" s="2" t="str">
        <f ca="1">IFERROR(__xludf.DUMMYFUNCTION("GOOGLETRANSLATE(A2346,""bn"",""en"")"),"I went out in search of beauty")</f>
        <v>I went out in search of beauty</v>
      </c>
    </row>
    <row r="2347" spans="1:3" ht="15" x14ac:dyDescent="0.25">
      <c r="A2347" s="3" t="s">
        <v>2344</v>
      </c>
      <c r="B2347" s="3" t="s">
        <v>4</v>
      </c>
      <c r="C2347" s="2" t="str">
        <f ca="1">IFERROR(__xludf.DUMMYFUNCTION("GOOGLETRANSLATE(A2347,""bn"",""en"")"),"express interest")</f>
        <v>express interest</v>
      </c>
    </row>
    <row r="2348" spans="1:3" ht="15" x14ac:dyDescent="0.25">
      <c r="A2348" s="3" t="s">
        <v>2345</v>
      </c>
      <c r="B2348" s="3" t="s">
        <v>4</v>
      </c>
      <c r="C2348" s="2" t="str">
        <f ca="1">IFERROR(__xludf.DUMMYFUNCTION("GOOGLETRANSLATE(A2348,""bn"",""en"")"),"Humans are now on Mars")</f>
        <v>Humans are now on Mars</v>
      </c>
    </row>
    <row r="2349" spans="1:3" ht="15" x14ac:dyDescent="0.25">
      <c r="A2349" s="3" t="s">
        <v>2346</v>
      </c>
      <c r="B2349" s="3" t="s">
        <v>4</v>
      </c>
      <c r="C2349" s="2" t="str">
        <f ca="1">IFERROR(__xludf.DUMMYFUNCTION("GOOGLETRANSLATE(A2349,""bn"",""en"")"),"I am going to Mecca")</f>
        <v>I am going to Mecca</v>
      </c>
    </row>
    <row r="2350" spans="1:3" ht="15" x14ac:dyDescent="0.25">
      <c r="A2350" s="3" t="s">
        <v>2347</v>
      </c>
      <c r="B2350" s="3" t="s">
        <v>4</v>
      </c>
      <c r="C2350" s="2" t="str">
        <f ca="1">IFERROR(__xludf.DUMMYFUNCTION("GOOGLETRANSLATE(A2350,""bn"",""en"")"),"I am wearing a book")</f>
        <v>I am wearing a book</v>
      </c>
    </row>
    <row r="2351" spans="1:3" ht="15" x14ac:dyDescent="0.25">
      <c r="A2351" s="3" t="s">
        <v>2348</v>
      </c>
      <c r="B2351" s="3" t="s">
        <v>4</v>
      </c>
      <c r="C2351" s="2" t="str">
        <f ca="1">IFERROR(__xludf.DUMMYFUNCTION("GOOGLETRANSLATE(A2351,""bn"",""en"")"),"Students have read the story")</f>
        <v>Students have read the story</v>
      </c>
    </row>
    <row r="2352" spans="1:3" ht="15" x14ac:dyDescent="0.25">
      <c r="A2352" s="3" t="s">
        <v>2349</v>
      </c>
      <c r="B2352" s="3" t="s">
        <v>4</v>
      </c>
      <c r="C2352" s="2" t="str">
        <f ca="1">IFERROR(__xludf.DUMMYFUNCTION("GOOGLETRANSLATE(A2352,""bn"",""en"")"),"No games on mobile")</f>
        <v>No games on mobile</v>
      </c>
    </row>
    <row r="2353" spans="1:3" ht="15" x14ac:dyDescent="0.25">
      <c r="A2353" s="3" t="s">
        <v>2350</v>
      </c>
      <c r="B2353" s="3" t="s">
        <v>4</v>
      </c>
      <c r="C2353" s="2" t="str">
        <f ca="1">IFERROR(__xludf.DUMMYFUNCTION("GOOGLETRANSLATE(A2353,""bn"",""en"")"),"The currency has increased")</f>
        <v>The currency has increased</v>
      </c>
    </row>
    <row r="2354" spans="1:3" ht="15" x14ac:dyDescent="0.25">
      <c r="A2354" s="3" t="s">
        <v>2351</v>
      </c>
      <c r="B2354" s="3" t="s">
        <v>4</v>
      </c>
      <c r="C2354" s="2" t="str">
        <f ca="1">IFERROR(__xludf.DUMMYFUNCTION("GOOGLETRANSLATE(A2354,""bn"",""en"")"),"Food nourishes the body")</f>
        <v>Food nourishes the body</v>
      </c>
    </row>
    <row r="2355" spans="1:3" ht="15" x14ac:dyDescent="0.25">
      <c r="A2355" s="3" t="s">
        <v>2352</v>
      </c>
      <c r="B2355" s="3" t="s">
        <v>4</v>
      </c>
      <c r="C2355" s="2" t="str">
        <f ca="1">IFERROR(__xludf.DUMMYFUNCTION("GOOGLETRANSLATE(A2355,""bn"",""en"")"),"Food is the body's fuel")</f>
        <v>Food is the body's fuel</v>
      </c>
    </row>
    <row r="2356" spans="1:3" ht="15" x14ac:dyDescent="0.25">
      <c r="A2356" s="3" t="s">
        <v>2353</v>
      </c>
      <c r="B2356" s="3" t="s">
        <v>4</v>
      </c>
      <c r="C2356" s="2" t="str">
        <f ca="1">IFERROR(__xludf.DUMMYFUNCTION("GOOGLETRANSLATE(A2356,""bn"",""en"")"),"Deposit the money")</f>
        <v>Deposit the money</v>
      </c>
    </row>
    <row r="2357" spans="1:3" ht="15" x14ac:dyDescent="0.25">
      <c r="A2357" s="3" t="s">
        <v>2354</v>
      </c>
      <c r="B2357" s="3" t="s">
        <v>4</v>
      </c>
      <c r="C2357" s="2" t="str">
        <f ca="1">IFERROR(__xludf.DUMMYFUNCTION("GOOGLETRANSLATE(A2357,""bn"",""en"")"),"I have deposited the money and left")</f>
        <v>I have deposited the money and left</v>
      </c>
    </row>
    <row r="2358" spans="1:3" ht="15" x14ac:dyDescent="0.25">
      <c r="A2358" s="3" t="s">
        <v>2355</v>
      </c>
      <c r="B2358" s="3" t="s">
        <v>4</v>
      </c>
      <c r="C2358" s="2" t="str">
        <f ca="1">IFERROR(__xludf.DUMMYFUNCTION("GOOGLETRANSLATE(A2358,""bn"",""en"")"),"Increased confidence in traveling")</f>
        <v>Increased confidence in traveling</v>
      </c>
    </row>
    <row r="2359" spans="1:3" ht="15" x14ac:dyDescent="0.25">
      <c r="A2359" s="3" t="s">
        <v>2356</v>
      </c>
      <c r="B2359" s="3" t="s">
        <v>4</v>
      </c>
      <c r="C2359" s="2" t="str">
        <f ca="1">IFERROR(__xludf.DUMMYFUNCTION("GOOGLETRANSLATE(A2359,""bn"",""en"")"),"Financial prosperity increased")</f>
        <v>Financial prosperity increased</v>
      </c>
    </row>
    <row r="2360" spans="1:3" ht="15" x14ac:dyDescent="0.25">
      <c r="A2360" s="3" t="s">
        <v>2357</v>
      </c>
      <c r="B2360" s="3" t="s">
        <v>4</v>
      </c>
      <c r="C2360" s="2" t="str">
        <f ca="1">IFERROR(__xludf.DUMMYFUNCTION("GOOGLETRANSLATE(A2360,""bn"",""en"")"),"Increased travel memory")</f>
        <v>Increased travel memory</v>
      </c>
    </row>
    <row r="2361" spans="1:3" ht="15" x14ac:dyDescent="0.25">
      <c r="A2361" s="3" t="s">
        <v>2358</v>
      </c>
      <c r="B2361" s="3" t="s">
        <v>4</v>
      </c>
      <c r="C2361" s="2" t="str">
        <f ca="1">IFERROR(__xludf.DUMMYFUNCTION("GOOGLETRANSLATE(A2361,""bn"",""en"")"),"Botim is safe to use")</f>
        <v>Botim is safe to use</v>
      </c>
    </row>
    <row r="2362" spans="1:3" ht="15" x14ac:dyDescent="0.25">
      <c r="A2362" s="3" t="s">
        <v>2359</v>
      </c>
      <c r="B2362" s="3" t="s">
        <v>4</v>
      </c>
      <c r="C2362" s="2" t="str">
        <f ca="1">IFERROR(__xludf.DUMMYFUNCTION("GOOGLETRANSLATE(A2362,""bn"",""en"")"),"I used mobile")</f>
        <v>I used mobile</v>
      </c>
    </row>
    <row r="2363" spans="1:3" ht="15" x14ac:dyDescent="0.25">
      <c r="A2363" s="3" t="s">
        <v>2360</v>
      </c>
      <c r="B2363" s="3" t="s">
        <v>4</v>
      </c>
      <c r="C2363" s="2" t="str">
        <f ca="1">IFERROR(__xludf.DUMMYFUNCTION("GOOGLETRANSLATE(A2363,""bn"",""en"")"),"Mecca is the holy land")</f>
        <v>Mecca is the holy land</v>
      </c>
    </row>
    <row r="2364" spans="1:3" ht="15" x14ac:dyDescent="0.25">
      <c r="A2364" s="3" t="s">
        <v>2361</v>
      </c>
      <c r="B2364" s="3" t="s">
        <v>4</v>
      </c>
      <c r="C2364" s="2" t="str">
        <f ca="1">IFERROR(__xludf.DUMMYFUNCTION("GOOGLETRANSLATE(A2364,""bn"",""en"")"),"Using the remote")</f>
        <v>Using the remote</v>
      </c>
    </row>
    <row r="2365" spans="1:3" ht="15" x14ac:dyDescent="0.25">
      <c r="A2365" s="3" t="s">
        <v>2362</v>
      </c>
      <c r="B2365" s="3" t="s">
        <v>4</v>
      </c>
      <c r="C2365" s="2" t="str">
        <f ca="1">IFERROR(__xludf.DUMMYFUNCTION("GOOGLETRANSLATE(A2365,""bn"",""en"")"),"I played football in school")</f>
        <v>I played football in school</v>
      </c>
    </row>
    <row r="2366" spans="1:3" ht="15" x14ac:dyDescent="0.25">
      <c r="A2366" s="3" t="s">
        <v>2363</v>
      </c>
      <c r="B2366" s="3" t="s">
        <v>4</v>
      </c>
      <c r="C2366" s="2" t="str">
        <f ca="1">IFERROR(__xludf.DUMMYFUNCTION("GOOGLETRANSLATE(A2366,""bn"",""en"")"),"Have fun traveling")</f>
        <v>Have fun traveling</v>
      </c>
    </row>
    <row r="2367" spans="1:3" ht="15" x14ac:dyDescent="0.25">
      <c r="A2367" s="3" t="s">
        <v>2364</v>
      </c>
      <c r="B2367" s="3" t="s">
        <v>4</v>
      </c>
      <c r="C2367" s="2" t="str">
        <f ca="1">IFERROR(__xludf.DUMMYFUNCTION("GOOGLETRANSLATE(A2367,""bn"",""en"")"),"Go to Hajj")</f>
        <v>Go to Hajj</v>
      </c>
    </row>
    <row r="2368" spans="1:3" ht="15" x14ac:dyDescent="0.25">
      <c r="A2368" s="3" t="s">
        <v>2365</v>
      </c>
      <c r="B2368" s="3" t="s">
        <v>4</v>
      </c>
      <c r="C2368" s="2" t="str">
        <f ca="1">IFERROR(__xludf.DUMMYFUNCTION("GOOGLETRANSLATE(A2368,""bn"",""en"")"),"He is reading a book")</f>
        <v>He is reading a book</v>
      </c>
    </row>
    <row r="2369" spans="1:3" ht="15" x14ac:dyDescent="0.25">
      <c r="A2369" s="3" t="s">
        <v>2366</v>
      </c>
      <c r="B2369" s="3" t="s">
        <v>4</v>
      </c>
      <c r="C2369" s="2" t="str">
        <f ca="1">IFERROR(__xludf.DUMMYFUNCTION("GOOGLETRANSLATE(A2369,""bn"",""en"")"),"I crossed the sea")</f>
        <v>I crossed the sea</v>
      </c>
    </row>
    <row r="2370" spans="1:3" ht="15" x14ac:dyDescent="0.25">
      <c r="A2370" s="3" t="s">
        <v>2367</v>
      </c>
      <c r="B2370" s="3" t="s">
        <v>4</v>
      </c>
      <c r="C2370" s="2" t="str">
        <f ca="1">IFERROR(__xludf.DUMMYFUNCTION("GOOGLETRANSLATE(A2370,""bn"",""en"")"),"Technology is part of life")</f>
        <v>Technology is part of life</v>
      </c>
    </row>
    <row r="2371" spans="1:3" ht="15" x14ac:dyDescent="0.25">
      <c r="A2371" s="3" t="s">
        <v>2368</v>
      </c>
      <c r="B2371" s="3" t="s">
        <v>4</v>
      </c>
      <c r="C2371" s="2" t="str">
        <f ca="1">IFERROR(__xludf.DUMMYFUNCTION("GOOGLETRANSLATE(A2371,""bn"",""en"")"),"Technology makes life easier")</f>
        <v>Technology makes life easier</v>
      </c>
    </row>
    <row r="2372" spans="1:3" ht="15" x14ac:dyDescent="0.25">
      <c r="A2372" s="3" t="s">
        <v>2369</v>
      </c>
      <c r="B2372" s="3" t="s">
        <v>4</v>
      </c>
      <c r="C2372" s="2" t="str">
        <f ca="1">IFERROR(__xludf.DUMMYFUNCTION("GOOGLETRANSLATE(A2372,""bn"",""en"")"),"I walked to the mosque")</f>
        <v>I walked to the mosque</v>
      </c>
    </row>
    <row r="2373" spans="1:3" ht="15" x14ac:dyDescent="0.25">
      <c r="A2373" s="3" t="s">
        <v>2370</v>
      </c>
      <c r="B2373" s="3" t="s">
        <v>4</v>
      </c>
      <c r="C2373" s="2" t="str">
        <f ca="1">IFERROR(__xludf.DUMMYFUNCTION("GOOGLETRANSLATE(A2373,""bn"",""en"")"),"Discussions are on the rise")</f>
        <v>Discussions are on the rise</v>
      </c>
    </row>
    <row r="2374" spans="1:3" ht="15" x14ac:dyDescent="0.25">
      <c r="A2374" s="3" t="s">
        <v>2371</v>
      </c>
      <c r="B2374" s="3" t="s">
        <v>4</v>
      </c>
      <c r="C2374" s="2" t="str">
        <f ca="1">IFERROR(__xludf.DUMMYFUNCTION("GOOGLETRANSLATE(A2374,""bn"",""en"")"),"Ribosomes are not proteins")</f>
        <v>Ribosomes are not proteins</v>
      </c>
    </row>
    <row r="2375" spans="1:3" ht="15" x14ac:dyDescent="0.25">
      <c r="A2375" s="3" t="s">
        <v>2372</v>
      </c>
      <c r="B2375" s="3" t="s">
        <v>4</v>
      </c>
      <c r="C2375" s="2" t="str">
        <f ca="1">IFERROR(__xludf.DUMMYFUNCTION("GOOGLETRANSLATE(A2375,""bn"",""en"")"),"I use the webcam")</f>
        <v>I use the webcam</v>
      </c>
    </row>
    <row r="2376" spans="1:3" ht="15" x14ac:dyDescent="0.25">
      <c r="A2376" s="3" t="s">
        <v>2373</v>
      </c>
      <c r="B2376" s="3" t="s">
        <v>4</v>
      </c>
      <c r="C2376" s="2" t="str">
        <f ca="1">IFERROR(__xludf.DUMMYFUNCTION("GOOGLETRANSLATE(A2376,""bn"",""en"")"),"Meeting using webcam")</f>
        <v>Meeting using webcam</v>
      </c>
    </row>
    <row r="2377" spans="1:3" ht="15" x14ac:dyDescent="0.25">
      <c r="A2377" s="3" t="s">
        <v>2374</v>
      </c>
      <c r="B2377" s="3" t="s">
        <v>4</v>
      </c>
      <c r="C2377" s="2" t="str">
        <f ca="1">IFERROR(__xludf.DUMMYFUNCTION("GOOGLETRANSLATE(A2377,""bn"",""en"")"),"Go on an educational trip")</f>
        <v>Go on an educational trip</v>
      </c>
    </row>
    <row r="2378" spans="1:3" ht="15" x14ac:dyDescent="0.25">
      <c r="A2378" s="3" t="s">
        <v>2375</v>
      </c>
      <c r="B2378" s="3" t="s">
        <v>4</v>
      </c>
      <c r="C2378" s="2" t="str">
        <f ca="1">IFERROR(__xludf.DUMMYFUNCTION("GOOGLETRANSLATE(A2378,""bn"",""en"")"),"I wrote poetry in my spare time")</f>
        <v>I wrote poetry in my spare time</v>
      </c>
    </row>
    <row r="2379" spans="1:3" ht="15" x14ac:dyDescent="0.25">
      <c r="A2379" s="3" t="s">
        <v>2376</v>
      </c>
      <c r="B2379" s="3" t="s">
        <v>4</v>
      </c>
      <c r="C2379" s="2" t="str">
        <f ca="1">IFERROR(__xludf.DUMMYFUNCTION("GOOGLETRANSLATE(A2379,""bn"",""en"")"),"They are reading books")</f>
        <v>They are reading books</v>
      </c>
    </row>
    <row r="2380" spans="1:3" ht="15" x14ac:dyDescent="0.25">
      <c r="A2380" s="3" t="s">
        <v>2377</v>
      </c>
      <c r="B2380" s="3" t="s">
        <v>4</v>
      </c>
      <c r="C2380" s="2" t="str">
        <f ca="1">IFERROR(__xludf.DUMMYFUNCTION("GOOGLETRANSLATE(A2380,""bn"",""en"")"),"I have introduced the initiative")</f>
        <v>I have introduced the initiative</v>
      </c>
    </row>
    <row r="2381" spans="1:3" ht="15" x14ac:dyDescent="0.25">
      <c r="A2381" s="3" t="s">
        <v>2378</v>
      </c>
      <c r="B2381" s="3" t="s">
        <v>4</v>
      </c>
      <c r="C2381" s="2" t="str">
        <f ca="1">IFERROR(__xludf.DUMMYFUNCTION("GOOGLETRANSLATE(A2381,""bn"",""en"")"),"C programming is easy")</f>
        <v>C programming is easy</v>
      </c>
    </row>
    <row r="2382" spans="1:3" ht="15" x14ac:dyDescent="0.25">
      <c r="A2382" s="3" t="s">
        <v>2379</v>
      </c>
      <c r="B2382" s="3" t="s">
        <v>4</v>
      </c>
      <c r="C2382" s="2" t="str">
        <f ca="1">IFERROR(__xludf.DUMMYFUNCTION("GOOGLETRANSLATE(A2382,""bn"",""en"")"),"I am staying in college hostel")</f>
        <v>I am staying in college hostel</v>
      </c>
    </row>
    <row r="2383" spans="1:3" ht="15" x14ac:dyDescent="0.25">
      <c r="A2383" s="3" t="s">
        <v>2380</v>
      </c>
      <c r="B2383" s="3" t="s">
        <v>4</v>
      </c>
      <c r="C2383" s="2" t="str">
        <f ca="1">IFERROR(__xludf.DUMMYFUNCTION("GOOGLETRANSLATE(A2383,""bn"",""en"")"),"The bank is becoming permanent")</f>
        <v>The bank is becoming permanent</v>
      </c>
    </row>
    <row r="2384" spans="1:3" ht="15" x14ac:dyDescent="0.25">
      <c r="A2384" s="3" t="s">
        <v>2381</v>
      </c>
      <c r="B2384" s="3" t="s">
        <v>4</v>
      </c>
      <c r="C2384" s="2" t="str">
        <f ca="1">IFERROR(__xludf.DUMMYFUNCTION("GOOGLETRANSLATE(A2384,""bn"",""en"")"),"Bank has established permanent business")</f>
        <v>Bank has established permanent business</v>
      </c>
    </row>
    <row r="2385" spans="1:3" ht="15" x14ac:dyDescent="0.25">
      <c r="A2385" s="3" t="s">
        <v>2382</v>
      </c>
      <c r="B2385" s="3" t="s">
        <v>4</v>
      </c>
      <c r="C2385" s="2" t="str">
        <f ca="1">IFERROR(__xludf.DUMMYFUNCTION("GOOGLETRANSLATE(A2385,""bn"",""en"")"),"The bank is being made permanent")</f>
        <v>The bank is being made permanent</v>
      </c>
    </row>
    <row r="2386" spans="1:3" ht="15" x14ac:dyDescent="0.25">
      <c r="A2386" s="3" t="s">
        <v>2383</v>
      </c>
      <c r="B2386" s="3" t="s">
        <v>4</v>
      </c>
      <c r="C2386" s="2" t="str">
        <f ca="1">IFERROR(__xludf.DUMMYFUNCTION("GOOGLETRANSLATE(A2386,""bn"",""en"")"),"Blockchain is less expensive")</f>
        <v>Blockchain is less expensive</v>
      </c>
    </row>
    <row r="2387" spans="1:3" ht="15" x14ac:dyDescent="0.25">
      <c r="A2387" s="3" t="s">
        <v>2384</v>
      </c>
      <c r="B2387" s="3" t="s">
        <v>4</v>
      </c>
      <c r="C2387" s="2" t="str">
        <f ca="1">IFERROR(__xludf.DUMMYFUNCTION("GOOGLETRANSLATE(A2387,""bn"",""en"")"),"Use the speaker")</f>
        <v>Use the speaker</v>
      </c>
    </row>
    <row r="2388" spans="1:3" ht="15" x14ac:dyDescent="0.25">
      <c r="A2388" s="3" t="s">
        <v>2385</v>
      </c>
      <c r="B2388" s="3" t="s">
        <v>4</v>
      </c>
      <c r="C2388" s="2" t="str">
        <f ca="1">IFERROR(__xludf.DUMMYFUNCTION("GOOGLETRANSLATE(A2388,""bn"",""en"")"),"I have done programming")</f>
        <v>I have done programming</v>
      </c>
    </row>
    <row r="2389" spans="1:3" ht="15" x14ac:dyDescent="0.25">
      <c r="A2389" s="3" t="s">
        <v>2386</v>
      </c>
      <c r="B2389" s="3" t="s">
        <v>4</v>
      </c>
      <c r="C2389" s="2" t="str">
        <f ca="1">IFERROR(__xludf.DUMMYFUNCTION("GOOGLETRANSLATE(A2389,""bn"",""en"")"),"He writes books")</f>
        <v>He writes books</v>
      </c>
    </row>
    <row r="2390" spans="1:3" ht="15" x14ac:dyDescent="0.25">
      <c r="A2390" s="3" t="s">
        <v>2387</v>
      </c>
      <c r="B2390" s="3" t="s">
        <v>4</v>
      </c>
      <c r="C2390" s="2" t="str">
        <f ca="1">IFERROR(__xludf.DUMMYFUNCTION("GOOGLETRANSLATE(A2390,""bn"",""en"")"),"The tide is coming into the sea")</f>
        <v>The tide is coming into the sea</v>
      </c>
    </row>
    <row r="2391" spans="1:3" ht="15" x14ac:dyDescent="0.25">
      <c r="A2391" s="3" t="s">
        <v>2388</v>
      </c>
      <c r="B2391" s="3" t="s">
        <v>4</v>
      </c>
      <c r="C2391" s="2" t="str">
        <f ca="1">IFERROR(__xludf.DUMMYFUNCTION("GOOGLETRANSLATE(A2391,""bn"",""en"")"),"Technology dependent world")</f>
        <v>Technology dependent world</v>
      </c>
    </row>
    <row r="2392" spans="1:3" ht="15" x14ac:dyDescent="0.25">
      <c r="A2392" s="3" t="s">
        <v>2389</v>
      </c>
      <c r="B2392" s="3" t="s">
        <v>4</v>
      </c>
      <c r="C2392" s="2" t="str">
        <f ca="1">IFERROR(__xludf.DUMMYFUNCTION("GOOGLETRANSLATE(A2392,""bn"",""en"")"),"Walking on the seashore")</f>
        <v>Walking on the seashore</v>
      </c>
    </row>
    <row r="2393" spans="1:3" ht="15" x14ac:dyDescent="0.25">
      <c r="A2393" s="3" t="s">
        <v>2390</v>
      </c>
      <c r="B2393" s="3" t="s">
        <v>4</v>
      </c>
      <c r="C2393" s="2" t="str">
        <f ca="1">IFERROR(__xludf.DUMMYFUNCTION("GOOGLETRANSLATE(A2393,""bn"",""en"")"),"Thinking of you sitting on the seashore")</f>
        <v>Thinking of you sitting on the seashore</v>
      </c>
    </row>
    <row r="2394" spans="1:3" ht="15" x14ac:dyDescent="0.25">
      <c r="A2394" s="3" t="s">
        <v>2391</v>
      </c>
      <c r="B2394" s="3" t="s">
        <v>4</v>
      </c>
      <c r="C2394" s="2" t="str">
        <f ca="1">IFERROR(__xludf.DUMMYFUNCTION("GOOGLETRANSLATE(A2394,""bn"",""en"")"),"They are writing poetry")</f>
        <v>They are writing poetry</v>
      </c>
    </row>
    <row r="2395" spans="1:3" ht="15" x14ac:dyDescent="0.25">
      <c r="A2395" s="3" t="s">
        <v>2392</v>
      </c>
      <c r="B2395" s="3" t="s">
        <v>4</v>
      </c>
      <c r="C2395" s="2" t="str">
        <f ca="1">IFERROR(__xludf.DUMMYFUNCTION("GOOGLETRANSLATE(A2395,""bn"",""en"")"),"Invest in the internet")</f>
        <v>Invest in the internet</v>
      </c>
    </row>
    <row r="2396" spans="1:3" ht="15" x14ac:dyDescent="0.25">
      <c r="A2396" s="3" t="s">
        <v>2393</v>
      </c>
      <c r="B2396" s="3" t="s">
        <v>4</v>
      </c>
      <c r="C2396" s="2" t="str">
        <f ca="1">IFERROR(__xludf.DUMMYFUNCTION("GOOGLETRANSLATE(A2396,""bn"",""en"")"),"Take e-library services")</f>
        <v>Take e-library services</v>
      </c>
    </row>
    <row r="2397" spans="1:3" ht="15" x14ac:dyDescent="0.25">
      <c r="A2397" s="3" t="s">
        <v>2394</v>
      </c>
      <c r="B2397" s="3" t="s">
        <v>4</v>
      </c>
      <c r="C2397" s="2" t="str">
        <f ca="1">IFERROR(__xludf.DUMMYFUNCTION("GOOGLETRANSLATE(A2397,""bn"",""en"")"),"I found peace")</f>
        <v>I found peace</v>
      </c>
    </row>
    <row r="2398" spans="1:3" ht="15" x14ac:dyDescent="0.25">
      <c r="A2398" s="3" t="s">
        <v>2395</v>
      </c>
      <c r="B2398" s="3" t="s">
        <v>4</v>
      </c>
      <c r="C2398" s="2" t="str">
        <f ca="1">IFERROR(__xludf.DUMMYFUNCTION("GOOGLETRANSLATE(A2398,""bn"",""en"")"),"Email easily")</f>
        <v>Email easily</v>
      </c>
    </row>
    <row r="2399" spans="1:3" ht="15" x14ac:dyDescent="0.25">
      <c r="A2399" s="3" t="s">
        <v>2396</v>
      </c>
      <c r="B2399" s="3" t="s">
        <v>4</v>
      </c>
      <c r="C2399" s="2" t="str">
        <f ca="1">IFERROR(__xludf.DUMMYFUNCTION("GOOGLETRANSLATE(A2399,""bn"",""en"")"),"earn money")</f>
        <v>earn money</v>
      </c>
    </row>
    <row r="2400" spans="1:3" ht="15" x14ac:dyDescent="0.25">
      <c r="A2400" s="3" t="s">
        <v>2397</v>
      </c>
      <c r="B2400" s="3" t="s">
        <v>4</v>
      </c>
      <c r="C2400" s="2" t="str">
        <f ca="1">IFERROR(__xludf.DUMMYFUNCTION("GOOGLETRANSLATE(A2400,""bn"",""en"")"),"you read history")</f>
        <v>you read history</v>
      </c>
    </row>
    <row r="2401" spans="1:3" ht="15" x14ac:dyDescent="0.25">
      <c r="A2401" s="3" t="s">
        <v>2398</v>
      </c>
      <c r="B2401" s="3" t="s">
        <v>4</v>
      </c>
      <c r="C2401" s="2" t="str">
        <f ca="1">IFERROR(__xludf.DUMMYFUNCTION("GOOGLETRANSLATE(A2401,""bn"",""en"")"),"You have made history")</f>
        <v>You have made history</v>
      </c>
    </row>
    <row r="2402" spans="1:3" ht="15" x14ac:dyDescent="0.25">
      <c r="A2402" s="3" t="s">
        <v>2399</v>
      </c>
      <c r="B2402" s="3" t="s">
        <v>4</v>
      </c>
      <c r="C2402" s="2" t="str">
        <f ca="1">IFERROR(__xludf.DUMMYFUNCTION("GOOGLETRANSLATE(A2402,""bn"",""en"")"),"I play football at school")</f>
        <v>I play football at school</v>
      </c>
    </row>
    <row r="2403" spans="1:3" ht="15" x14ac:dyDescent="0.25">
      <c r="A2403" s="3" t="s">
        <v>2400</v>
      </c>
      <c r="B2403" s="3" t="s">
        <v>4</v>
      </c>
      <c r="C2403" s="2" t="str">
        <f ca="1">IFERROR(__xludf.DUMMYFUNCTION("GOOGLETRANSLATE(A2403,""bn"",""en"")"),"I used the touchpad")</f>
        <v>I used the touchpad</v>
      </c>
    </row>
    <row r="2404" spans="1:3" ht="15" x14ac:dyDescent="0.25">
      <c r="A2404" s="3" t="s">
        <v>2401</v>
      </c>
      <c r="B2404" s="3" t="s">
        <v>4</v>
      </c>
      <c r="C2404" s="2" t="str">
        <f ca="1">IFERROR(__xludf.DUMMYFUNCTION("GOOGLETRANSLATE(A2404,""bn"",""en"")"),"Buying a new bluetooth speaker")</f>
        <v>Buying a new bluetooth speaker</v>
      </c>
    </row>
    <row r="2405" spans="1:3" ht="15" x14ac:dyDescent="0.25">
      <c r="A2405" s="3" t="s">
        <v>2402</v>
      </c>
      <c r="B2405" s="3" t="s">
        <v>4</v>
      </c>
      <c r="C2405" s="2" t="str">
        <f ca="1">IFERROR(__xludf.DUMMYFUNCTION("GOOGLETRANSLATE(A2405,""bn"",""en"")"),"Cash is reliable app")</f>
        <v>Cash is reliable app</v>
      </c>
    </row>
    <row r="2406" spans="1:3" ht="15" x14ac:dyDescent="0.25">
      <c r="A2406" s="3" t="s">
        <v>2403</v>
      </c>
      <c r="B2406" s="3" t="s">
        <v>4</v>
      </c>
      <c r="C2406" s="2" t="str">
        <f ca="1">IFERROR(__xludf.DUMMYFUNCTION("GOOGLETRANSLATE(A2406,""bn"",""en"")"),"you are successful")</f>
        <v>you are successful</v>
      </c>
    </row>
    <row r="2407" spans="1:3" ht="15" x14ac:dyDescent="0.25">
      <c r="A2407" s="3" t="s">
        <v>2404</v>
      </c>
      <c r="B2407" s="3" t="s">
        <v>4</v>
      </c>
      <c r="C2407" s="2" t="str">
        <f ca="1">IFERROR(__xludf.DUMMYFUNCTION("GOOGLETRANSLATE(A2407,""bn"",""en"")"),"I want to buy smart tv")</f>
        <v>I want to buy smart tv</v>
      </c>
    </row>
    <row r="2408" spans="1:3" ht="15" x14ac:dyDescent="0.25">
      <c r="A2408" s="3" t="s">
        <v>2405</v>
      </c>
      <c r="B2408" s="3" t="s">
        <v>4</v>
      </c>
      <c r="C2408" s="2" t="str">
        <f ca="1">IFERROR(__xludf.DUMMYFUNCTION("GOOGLETRANSLATE(A2408,""bn"",""en"")"),"I went to buy a smart TV")</f>
        <v>I went to buy a smart TV</v>
      </c>
    </row>
    <row r="2409" spans="1:3" ht="15" x14ac:dyDescent="0.25">
      <c r="A2409" s="3" t="s">
        <v>2406</v>
      </c>
      <c r="B2409" s="3" t="s">
        <v>4</v>
      </c>
      <c r="C2409" s="2" t="str">
        <f ca="1">IFERROR(__xludf.DUMMYFUNCTION("GOOGLETRANSLATE(A2409,""bn"",""en"")"),"Travel is emancipated")</f>
        <v>Travel is emancipated</v>
      </c>
    </row>
    <row r="2410" spans="1:3" ht="15" x14ac:dyDescent="0.25">
      <c r="A2410" s="3" t="s">
        <v>2407</v>
      </c>
      <c r="B2410" s="3" t="s">
        <v>4</v>
      </c>
      <c r="C2410" s="2" t="str">
        <f ca="1">IFERROR(__xludf.DUMMYFUNCTION("GOOGLETRANSLATE(A2410,""bn"",""en"")"),"Want to buy a camera")</f>
        <v>Want to buy a camera</v>
      </c>
    </row>
    <row r="2411" spans="1:3" ht="15" x14ac:dyDescent="0.25">
      <c r="A2411" s="3" t="s">
        <v>2408</v>
      </c>
      <c r="B2411" s="3" t="s">
        <v>4</v>
      </c>
      <c r="C2411" s="2" t="str">
        <f ca="1">IFERROR(__xludf.DUMMYFUNCTION("GOOGLETRANSLATE(A2411,""bn"",""en"")"),"Search all on Google")</f>
        <v>Search all on Google</v>
      </c>
    </row>
    <row r="2412" spans="1:3" ht="15" x14ac:dyDescent="0.25">
      <c r="A2412" s="3" t="s">
        <v>2409</v>
      </c>
      <c r="B2412" s="3" t="s">
        <v>4</v>
      </c>
      <c r="C2412" s="2" t="str">
        <f ca="1">IFERROR(__xludf.DUMMYFUNCTION("GOOGLETRANSLATE(A2412,""bn"",""en"")"),"Food is medicine")</f>
        <v>Food is medicine</v>
      </c>
    </row>
    <row r="2413" spans="1:3" ht="15" x14ac:dyDescent="0.25">
      <c r="A2413" s="3" t="s">
        <v>2410</v>
      </c>
      <c r="B2413" s="3" t="s">
        <v>4</v>
      </c>
      <c r="C2413" s="2" t="str">
        <f ca="1">IFERROR(__xludf.DUMMYFUNCTION("GOOGLETRANSLATE(A2413,""bn"",""en"")"),"I got the problem solved")</f>
        <v>I got the problem solved</v>
      </c>
    </row>
    <row r="2414" spans="1:3" ht="15" x14ac:dyDescent="0.25">
      <c r="A2414" s="3" t="s">
        <v>2411</v>
      </c>
      <c r="B2414" s="3" t="s">
        <v>4</v>
      </c>
      <c r="C2414" s="2" t="str">
        <f ca="1">IFERROR(__xludf.DUMMYFUNCTION("GOOGLETRANSLATE(A2414,""bn"",""en"")"),"Football tournament is going on")</f>
        <v>Football tournament is going on</v>
      </c>
    </row>
    <row r="2415" spans="1:3" ht="15" x14ac:dyDescent="0.25">
      <c r="A2415" s="3" t="s">
        <v>2412</v>
      </c>
      <c r="B2415" s="3" t="s">
        <v>4</v>
      </c>
      <c r="C2415" s="2" t="str">
        <f ca="1">IFERROR(__xludf.DUMMYFUNCTION("GOOGLETRANSLATE(A2415,""bn"",""en"")"),"Spend time on media")</f>
        <v>Spend time on media</v>
      </c>
    </row>
    <row r="2416" spans="1:3" ht="15" x14ac:dyDescent="0.25">
      <c r="A2416" s="3" t="s">
        <v>2413</v>
      </c>
      <c r="B2416" s="3" t="s">
        <v>4</v>
      </c>
      <c r="C2416" s="2" t="str">
        <f ca="1">IFERROR(__xludf.DUMMYFUNCTION("GOOGLETRANSLATE(A2416,""bn"",""en"")"),"Studied in college")</f>
        <v>Studied in college</v>
      </c>
    </row>
    <row r="2417" spans="1:3" ht="15" x14ac:dyDescent="0.25">
      <c r="A2417" s="3" t="s">
        <v>2414</v>
      </c>
      <c r="B2417" s="3" t="s">
        <v>4</v>
      </c>
      <c r="C2417" s="2" t="str">
        <f ca="1">IFERROR(__xludf.DUMMYFUNCTION("GOOGLETRANSLATE(A2417,""bn"",""en"")"),"The campus has been beautiful")</f>
        <v>The campus has been beautiful</v>
      </c>
    </row>
    <row r="2418" spans="1:3" ht="15" x14ac:dyDescent="0.25">
      <c r="A2418" s="3" t="s">
        <v>2415</v>
      </c>
      <c r="B2418" s="3" t="s">
        <v>4</v>
      </c>
      <c r="C2418" s="2" t="str">
        <f ca="1">IFERROR(__xludf.DUMMYFUNCTION("GOOGLETRANSLATE(A2418,""bn"",""en"")"),"We are doing research")</f>
        <v>We are doing research</v>
      </c>
    </row>
    <row r="2419" spans="1:3" ht="15" x14ac:dyDescent="0.25">
      <c r="A2419" s="3" t="s">
        <v>2416</v>
      </c>
      <c r="B2419" s="3" t="s">
        <v>4</v>
      </c>
      <c r="C2419" s="2" t="str">
        <f ca="1">IFERROR(__xludf.DUMMYFUNCTION("GOOGLETRANSLATE(A2419,""bn"",""en"")"),"We are involved in research")</f>
        <v>We are involved in research</v>
      </c>
    </row>
    <row r="2420" spans="1:3" ht="15" x14ac:dyDescent="0.25">
      <c r="A2420" s="3" t="s">
        <v>2417</v>
      </c>
      <c r="B2420" s="3" t="s">
        <v>4</v>
      </c>
      <c r="C2420" s="2" t="str">
        <f ca="1">IFERROR(__xludf.DUMMYFUNCTION("GOOGLETRANSLATE(A2420,""bn"",""en"")"),"The door of knowledge is open")</f>
        <v>The door of knowledge is open</v>
      </c>
    </row>
    <row r="2421" spans="1:3" ht="15" x14ac:dyDescent="0.25">
      <c r="A2421" s="3" t="s">
        <v>2418</v>
      </c>
      <c r="B2421" s="3" t="s">
        <v>4</v>
      </c>
      <c r="C2421" s="2" t="str">
        <f ca="1">IFERROR(__xludf.DUMMYFUNCTION("GOOGLETRANSLATE(A2421,""bn"",""en"")"),"Listening to music on the Internet")</f>
        <v>Listening to music on the Internet</v>
      </c>
    </row>
    <row r="2422" spans="1:3" ht="15" x14ac:dyDescent="0.25">
      <c r="A2422" s="3" t="s">
        <v>2419</v>
      </c>
      <c r="B2422" s="3" t="s">
        <v>4</v>
      </c>
      <c r="C2422" s="2" t="str">
        <f ca="1">IFERROR(__xludf.DUMMYFUNCTION("GOOGLETRANSLATE(A2422,""bn"",""en"")"),"I attended the meeting")</f>
        <v>I attended the meeting</v>
      </c>
    </row>
    <row r="2423" spans="1:3" ht="15" x14ac:dyDescent="0.25">
      <c r="A2423" s="3" t="s">
        <v>2420</v>
      </c>
      <c r="B2423" s="3" t="s">
        <v>4</v>
      </c>
      <c r="C2423" s="2" t="str">
        <f ca="1">IFERROR(__xludf.DUMMYFUNCTION("GOOGLETRANSLATE(A2423,""bn"",""en"")"),"I use mobile")</f>
        <v>I use mobile</v>
      </c>
    </row>
    <row r="2424" spans="1:3" ht="15" x14ac:dyDescent="0.25">
      <c r="A2424" s="3" t="s">
        <v>2421</v>
      </c>
      <c r="B2424" s="3" t="s">
        <v>4</v>
      </c>
      <c r="C2424" s="2" t="str">
        <f ca="1">IFERROR(__xludf.DUMMYFUNCTION("GOOGLETRANSLATE(A2424,""bn"",""en"")"),"I used the keyboard")</f>
        <v>I used the keyboard</v>
      </c>
    </row>
    <row r="2425" spans="1:3" ht="15" x14ac:dyDescent="0.25">
      <c r="A2425" s="3" t="s">
        <v>2422</v>
      </c>
      <c r="B2425" s="3" t="s">
        <v>4</v>
      </c>
      <c r="C2425" s="2" t="str">
        <f ca="1">IFERROR(__xludf.DUMMYFUNCTION("GOOGLETRANSLATE(A2425,""bn"",""en"")"),"Using software")</f>
        <v>Using software</v>
      </c>
    </row>
    <row r="2426" spans="1:3" ht="15" x14ac:dyDescent="0.25">
      <c r="A2426" s="3" t="s">
        <v>2423</v>
      </c>
      <c r="B2426" s="3" t="s">
        <v>4</v>
      </c>
      <c r="C2426" s="2" t="str">
        <f ca="1">IFERROR(__xludf.DUMMYFUNCTION("GOOGLETRANSLATE(A2426,""bn"",""en"")"),"There is financial development")</f>
        <v>There is financial development</v>
      </c>
    </row>
    <row r="2427" spans="1:3" ht="15" x14ac:dyDescent="0.25">
      <c r="A2427" s="3" t="s">
        <v>2424</v>
      </c>
      <c r="B2427" s="3" t="s">
        <v>4</v>
      </c>
      <c r="C2427" s="2" t="str">
        <f ca="1">IFERROR(__xludf.DUMMYFUNCTION("GOOGLETRANSLATE(A2427,""bn"",""en"")"),"Traveling morale is increasing")</f>
        <v>Traveling morale is increasing</v>
      </c>
    </row>
    <row r="2428" spans="1:3" ht="15" x14ac:dyDescent="0.25">
      <c r="A2428" s="3" t="s">
        <v>2425</v>
      </c>
      <c r="B2428" s="3" t="s">
        <v>4</v>
      </c>
      <c r="C2428" s="2" t="str">
        <f ca="1">IFERROR(__xludf.DUMMYFUNCTION("GOOGLETRANSLATE(A2428,""bn"",""en"")"),"Taking online classes")</f>
        <v>Taking online classes</v>
      </c>
    </row>
    <row r="2429" spans="1:3" ht="15" x14ac:dyDescent="0.25">
      <c r="A2429" s="3" t="s">
        <v>2426</v>
      </c>
      <c r="B2429" s="3" t="s">
        <v>4</v>
      </c>
      <c r="C2429" s="2" t="str">
        <f ca="1">IFERROR(__xludf.DUMMYFUNCTION("GOOGLETRANSLATE(A2429,""bn"",""en"")"),"I use drones")</f>
        <v>I use drones</v>
      </c>
    </row>
    <row r="2430" spans="1:3" ht="15" x14ac:dyDescent="0.25">
      <c r="A2430" s="3" t="s">
        <v>2427</v>
      </c>
      <c r="B2430" s="3" t="s">
        <v>4</v>
      </c>
      <c r="C2430" s="2" t="str">
        <f ca="1">IFERROR(__xludf.DUMMYFUNCTION("GOOGLETRANSLATE(A2430,""bn"",""en"")"),"Various news spread")</f>
        <v>Various news spread</v>
      </c>
    </row>
    <row r="2431" spans="1:3" ht="15" x14ac:dyDescent="0.25">
      <c r="A2431" s="3" t="s">
        <v>2428</v>
      </c>
      <c r="B2431" s="3" t="s">
        <v>4</v>
      </c>
      <c r="C2431" s="2" t="str">
        <f ca="1">IFERROR(__xludf.DUMMYFUNCTION("GOOGLETRANSLATE(A2431,""bn"",""en"")"),"He goes to school to study history")</f>
        <v>He goes to school to study history</v>
      </c>
    </row>
    <row r="2432" spans="1:3" ht="15" x14ac:dyDescent="0.25">
      <c r="A2432" s="3" t="s">
        <v>2429</v>
      </c>
      <c r="B2432" s="3" t="s">
        <v>4</v>
      </c>
      <c r="C2432" s="2" t="str">
        <f ca="1">IFERROR(__xludf.DUMMYFUNCTION("GOOGLETRANSLATE(A2432,""bn"",""en"")"),"Spread the news")</f>
        <v>Spread the news</v>
      </c>
    </row>
    <row r="2433" spans="1:3" ht="15" x14ac:dyDescent="0.25">
      <c r="A2433" s="3" t="s">
        <v>2430</v>
      </c>
      <c r="B2433" s="3" t="s">
        <v>4</v>
      </c>
      <c r="C2433" s="2" t="str">
        <f ca="1">IFERROR(__xludf.DUMMYFUNCTION("GOOGLETRANSLATE(A2433,""bn"",""en"")"),"Exports are increasing")</f>
        <v>Exports are increasing</v>
      </c>
    </row>
    <row r="2434" spans="1:3" ht="15" x14ac:dyDescent="0.25">
      <c r="A2434" s="3" t="s">
        <v>2431</v>
      </c>
      <c r="B2434" s="3" t="s">
        <v>4</v>
      </c>
      <c r="C2434" s="2" t="str">
        <f ca="1">IFERROR(__xludf.DUMMYFUNCTION("GOOGLETRANSLATE(A2434,""bn"",""en"")"),"Watched movie on laptop")</f>
        <v>Watched movie on laptop</v>
      </c>
    </row>
    <row r="2435" spans="1:3" ht="15" x14ac:dyDescent="0.25">
      <c r="A2435" s="3" t="s">
        <v>2432</v>
      </c>
      <c r="B2435" s="3" t="s">
        <v>4</v>
      </c>
      <c r="C2435" s="2" t="str">
        <f ca="1">IFERROR(__xludf.DUMMYFUNCTION("GOOGLETRANSLATE(A2435,""bn"",""en"")"),"Sending money to Rocket")</f>
        <v>Sending money to Rocket</v>
      </c>
    </row>
    <row r="2436" spans="1:3" ht="15" x14ac:dyDescent="0.25">
      <c r="A2436" s="3" t="s">
        <v>2433</v>
      </c>
      <c r="B2436" s="3" t="s">
        <v>4</v>
      </c>
      <c r="C2436" s="2" t="str">
        <f ca="1">IFERROR(__xludf.DUMMYFUNCTION("GOOGLETRANSLATE(A2436,""bn"",""en"")"),"I know the name of the book")</f>
        <v>I know the name of the book</v>
      </c>
    </row>
    <row r="2437" spans="1:3" ht="15" x14ac:dyDescent="0.25">
      <c r="A2437" s="3" t="s">
        <v>2434</v>
      </c>
      <c r="B2437" s="3" t="s">
        <v>4</v>
      </c>
      <c r="C2437" s="2" t="str">
        <f ca="1">IFERROR(__xludf.DUMMYFUNCTION("GOOGLETRANSLATE(A2437,""bn"",""en"")"),"Check the checkbook")</f>
        <v>Check the checkbook</v>
      </c>
    </row>
    <row r="2438" spans="1:3" ht="15" x14ac:dyDescent="0.25">
      <c r="A2438" s="3" t="s">
        <v>2435</v>
      </c>
      <c r="B2438" s="3" t="s">
        <v>4</v>
      </c>
      <c r="C2438" s="2" t="str">
        <f ca="1">IFERROR(__xludf.DUMMYFUNCTION("GOOGLETRANSLATE(A2438,""bn"",""en"")"),"Coming to play games")</f>
        <v>Coming to play games</v>
      </c>
    </row>
    <row r="2439" spans="1:3" ht="15" x14ac:dyDescent="0.25">
      <c r="A2439" s="3" t="s">
        <v>2436</v>
      </c>
      <c r="B2439" s="3" t="s">
        <v>4</v>
      </c>
      <c r="C2439" s="2" t="str">
        <f ca="1">IFERROR(__xludf.DUMMYFUNCTION("GOOGLETRANSLATE(A2439,""bn"",""en"")"),"Read the news on the website")</f>
        <v>Read the news on the website</v>
      </c>
    </row>
    <row r="2440" spans="1:3" ht="15" x14ac:dyDescent="0.25">
      <c r="A2440" s="3" t="s">
        <v>2437</v>
      </c>
      <c r="B2440" s="3" t="s">
        <v>4</v>
      </c>
      <c r="C2440" s="2" t="str">
        <f ca="1">IFERROR(__xludf.DUMMYFUNCTION("GOOGLETRANSLATE(A2440,""bn"",""en"")"),"Teaching Arabic")</f>
        <v>Teaching Arabic</v>
      </c>
    </row>
    <row r="2441" spans="1:3" ht="15" x14ac:dyDescent="0.25">
      <c r="A2441" s="3" t="s">
        <v>2438</v>
      </c>
      <c r="B2441" s="3" t="s">
        <v>4</v>
      </c>
      <c r="C2441" s="2" t="str">
        <f ca="1">IFERROR(__xludf.DUMMYFUNCTION("GOOGLETRANSLATE(A2441,""bn"",""en"")"),"Waves spread softly")</f>
        <v>Waves spread softly</v>
      </c>
    </row>
    <row r="2442" spans="1:3" ht="15" x14ac:dyDescent="0.25">
      <c r="A2442" s="3" t="s">
        <v>2439</v>
      </c>
      <c r="B2442" s="3" t="s">
        <v>4</v>
      </c>
      <c r="C2442" s="2" t="str">
        <f ca="1">IFERROR(__xludf.DUMMYFUNCTION("GOOGLETRANSLATE(A2442,""bn"",""en"")"),"Playing computer games")</f>
        <v>Playing computer games</v>
      </c>
    </row>
    <row r="2443" spans="1:3" ht="15" x14ac:dyDescent="0.25">
      <c r="A2443" s="3" t="s">
        <v>2440</v>
      </c>
      <c r="B2443" s="3" t="s">
        <v>4</v>
      </c>
      <c r="C2443" s="2" t="str">
        <f ca="1">IFERROR(__xludf.DUMMYFUNCTION("GOOGLETRANSLATE(A2443,""bn"",""en"")"),"Education enhances values")</f>
        <v>Education enhances values</v>
      </c>
    </row>
    <row r="2444" spans="1:3" ht="15" x14ac:dyDescent="0.25">
      <c r="A2444" s="3" t="s">
        <v>2441</v>
      </c>
      <c r="B2444" s="3" t="s">
        <v>4</v>
      </c>
      <c r="C2444" s="2" t="str">
        <f ca="1">IFERROR(__xludf.DUMMYFUNCTION("GOOGLETRANSLATE(A2444,""bn"",""en"")"),"Mynul is reading prose")</f>
        <v>Mynul is reading prose</v>
      </c>
    </row>
    <row r="2445" spans="1:3" ht="15" x14ac:dyDescent="0.25">
      <c r="A2445" s="3" t="s">
        <v>2442</v>
      </c>
      <c r="B2445" s="3" t="s">
        <v>4</v>
      </c>
      <c r="C2445" s="2" t="str">
        <f ca="1">IFERROR(__xludf.DUMMYFUNCTION("GOOGLETRANSLATE(A2445,""bn"",""en"")"),"Buying a new gadget")</f>
        <v>Buying a new gadget</v>
      </c>
    </row>
    <row r="2446" spans="1:3" ht="15" x14ac:dyDescent="0.25">
      <c r="A2446" s="3" t="s">
        <v>2443</v>
      </c>
      <c r="B2446" s="3" t="s">
        <v>4</v>
      </c>
      <c r="C2446" s="2" t="str">
        <f ca="1">IFERROR(__xludf.DUMMYFUNCTION("GOOGLETRANSLATE(A2446,""bn"",""en"")"),"Ordered a new gadget")</f>
        <v>Ordered a new gadget</v>
      </c>
    </row>
    <row r="2447" spans="1:3" ht="15" x14ac:dyDescent="0.25">
      <c r="A2447" s="3" t="s">
        <v>2444</v>
      </c>
      <c r="B2447" s="3" t="s">
        <v>4</v>
      </c>
      <c r="C2447" s="2" t="str">
        <f ca="1">IFERROR(__xludf.DUMMYFUNCTION("GOOGLETRANSLATE(A2447,""bn"",""en"")"),"I read poetry")</f>
        <v>I read poetry</v>
      </c>
    </row>
    <row r="2448" spans="1:3" ht="15" x14ac:dyDescent="0.25">
      <c r="A2448" s="3" t="s">
        <v>2445</v>
      </c>
      <c r="B2448" s="3" t="s">
        <v>4</v>
      </c>
      <c r="C2448" s="2" t="str">
        <f ca="1">IFERROR(__xludf.DUMMYFUNCTION("GOOGLETRANSLATE(A2448,""bn"",""en"")"),"Prepare the research")</f>
        <v>Prepare the research</v>
      </c>
    </row>
    <row r="2449" spans="1:3" ht="15" x14ac:dyDescent="0.25">
      <c r="A2449" s="3" t="s">
        <v>2446</v>
      </c>
      <c r="B2449" s="3" t="s">
        <v>4</v>
      </c>
      <c r="C2449" s="2" t="str">
        <f ca="1">IFERROR(__xludf.DUMMYFUNCTION("GOOGLETRANSLATE(A2449,""bn"",""en"")"),"Historical discussions are ongoing")</f>
        <v>Historical discussions are ongoing</v>
      </c>
    </row>
    <row r="2450" spans="1:3" ht="15" x14ac:dyDescent="0.25">
      <c r="A2450" s="3" t="s">
        <v>2447</v>
      </c>
      <c r="B2450" s="3" t="s">
        <v>4</v>
      </c>
      <c r="C2450" s="2" t="str">
        <f ca="1">IFERROR(__xludf.DUMMYFUNCTION("GOOGLETRANSLATE(A2450,""bn"",""en"")"),"Infrastructure is increasing")</f>
        <v>Infrastructure is increasing</v>
      </c>
    </row>
    <row r="2451" spans="1:3" ht="15" x14ac:dyDescent="0.25">
      <c r="A2451" s="3" t="s">
        <v>2448</v>
      </c>
      <c r="B2451" s="3" t="s">
        <v>4</v>
      </c>
      <c r="C2451" s="2" t="str">
        <f ca="1">IFERROR(__xludf.DUMMYFUNCTION("GOOGLETRANSLATE(A2451,""bn"",""en"")"),"Read different blogs")</f>
        <v>Read different blogs</v>
      </c>
    </row>
    <row r="2452" spans="1:3" ht="15" x14ac:dyDescent="0.25">
      <c r="A2452" s="3" t="s">
        <v>2449</v>
      </c>
      <c r="B2452" s="3" t="s">
        <v>4</v>
      </c>
      <c r="C2452" s="2" t="str">
        <f ca="1">IFERROR(__xludf.DUMMYFUNCTION("GOOGLETRANSLATE(A2452,""bn"",""en"")"),"want to download")</f>
        <v>want to download</v>
      </c>
    </row>
    <row r="2453" spans="1:3" ht="15" x14ac:dyDescent="0.25">
      <c r="A2453" s="3" t="s">
        <v>2450</v>
      </c>
      <c r="B2453" s="3" t="s">
        <v>4</v>
      </c>
      <c r="C2453" s="2" t="str">
        <f ca="1">IFERROR(__xludf.DUMMYFUNCTION("GOOGLETRANSLATE(A2453,""bn"",""en"")"),"I used wifi")</f>
        <v>I used wifi</v>
      </c>
    </row>
    <row r="2454" spans="1:3" ht="15" x14ac:dyDescent="0.25">
      <c r="A2454" s="3" t="s">
        <v>2451</v>
      </c>
      <c r="B2454" s="3" t="s">
        <v>4</v>
      </c>
      <c r="C2454" s="2" t="str">
        <f ca="1">IFERROR(__xludf.DUMMYFUNCTION("GOOGLETRANSLATE(A2454,""bn"",""en"")"),"I'm going to Alaska")</f>
        <v>I'm going to Alaska</v>
      </c>
    </row>
    <row r="2455" spans="1:3" ht="15" x14ac:dyDescent="0.25">
      <c r="A2455" s="3" t="s">
        <v>2452</v>
      </c>
      <c r="B2455" s="3" t="s">
        <v>4</v>
      </c>
      <c r="C2455" s="2" t="str">
        <f ca="1">IFERROR(__xludf.DUMMYFUNCTION("GOOGLETRANSLATE(A2455,""bn"",""en"")"),"Changed the infrastructure")</f>
        <v>Changed the infrastructure</v>
      </c>
    </row>
    <row r="2456" spans="1:3" ht="15" x14ac:dyDescent="0.25">
      <c r="A2456" s="3" t="s">
        <v>2453</v>
      </c>
      <c r="B2456" s="3" t="s">
        <v>4</v>
      </c>
      <c r="C2456" s="2" t="str">
        <f ca="1">IFERROR(__xludf.DUMMYFUNCTION("GOOGLETRANSLATE(A2456,""bn"",""en"")"),"Books are not selfish")</f>
        <v>Books are not selfish</v>
      </c>
    </row>
    <row r="2457" spans="1:3" ht="15" x14ac:dyDescent="0.25">
      <c r="A2457" s="3" t="s">
        <v>2454</v>
      </c>
      <c r="B2457" s="3" t="s">
        <v>4</v>
      </c>
      <c r="C2457" s="2" t="str">
        <f ca="1">IFERROR(__xludf.DUMMYFUNCTION("GOOGLETRANSLATE(A2457,""bn"",""en"")"),"The forest is beautiful")</f>
        <v>The forest is beautiful</v>
      </c>
    </row>
    <row r="2458" spans="1:3" ht="15" x14ac:dyDescent="0.25">
      <c r="A2458" s="3" t="s">
        <v>2455</v>
      </c>
      <c r="B2458" s="3" t="s">
        <v>4</v>
      </c>
      <c r="C2458" s="2" t="str">
        <f ca="1">IFERROR(__xludf.DUMMYFUNCTION("GOOGLETRANSLATE(A2458,""bn"",""en"")"),"i am succeeding")</f>
        <v>i am succeeding</v>
      </c>
    </row>
    <row r="2459" spans="1:3" ht="15" x14ac:dyDescent="0.25">
      <c r="A2459" s="3" t="s">
        <v>2456</v>
      </c>
      <c r="B2459" s="3" t="s">
        <v>4</v>
      </c>
      <c r="C2459" s="2" t="str">
        <f ca="1">IFERROR(__xludf.DUMMYFUNCTION("GOOGLETRANSLATE(A2459,""bn"",""en"")"),"Shah Jahan built the Taj Mahal")</f>
        <v>Shah Jahan built the Taj Mahal</v>
      </c>
    </row>
    <row r="2460" spans="1:3" ht="15" x14ac:dyDescent="0.25">
      <c r="A2460" s="3" t="s">
        <v>2457</v>
      </c>
      <c r="B2460" s="3" t="s">
        <v>4</v>
      </c>
      <c r="C2460" s="2" t="str">
        <f ca="1">IFERROR(__xludf.DUMMYFUNCTION("GOOGLETRANSLATE(A2460,""bn"",""en"")"),"I enjoyed the trip")</f>
        <v>I enjoyed the trip</v>
      </c>
    </row>
    <row r="2461" spans="1:3" ht="15" x14ac:dyDescent="0.25">
      <c r="A2461" s="3" t="s">
        <v>2458</v>
      </c>
      <c r="B2461" s="3" t="s">
        <v>4</v>
      </c>
      <c r="C2461" s="2" t="str">
        <f ca="1">IFERROR(__xludf.DUMMYFUNCTION("GOOGLETRANSLATE(A2461,""bn"",""en"")"),"Opening the game")</f>
        <v>Opening the game</v>
      </c>
    </row>
    <row r="2462" spans="1:3" ht="15" x14ac:dyDescent="0.25">
      <c r="A2462" s="3" t="s">
        <v>2459</v>
      </c>
      <c r="B2462" s="3" t="s">
        <v>4</v>
      </c>
      <c r="C2462" s="2" t="str">
        <f ca="1">IFERROR(__xludf.DUMMYFUNCTION("GOOGLETRANSLATE(A2462,""bn"",""en"")"),"Tibet is located in Nepal")</f>
        <v>Tibet is located in Nepal</v>
      </c>
    </row>
    <row r="2463" spans="1:3" ht="15" x14ac:dyDescent="0.25">
      <c r="A2463" s="3" t="s">
        <v>2460</v>
      </c>
      <c r="B2463" s="3" t="s">
        <v>4</v>
      </c>
      <c r="C2463" s="2" t="str">
        <f ca="1">IFERROR(__xludf.DUMMYFUNCTION("GOOGLETRANSLATE(A2463,""bn"",""en"")"),"I am going to Kashmir")</f>
        <v>I am going to Kashmir</v>
      </c>
    </row>
    <row r="2464" spans="1:3" ht="15" x14ac:dyDescent="0.25">
      <c r="A2464" s="3" t="s">
        <v>2461</v>
      </c>
      <c r="B2464" s="3" t="s">
        <v>4</v>
      </c>
      <c r="C2464" s="2" t="str">
        <f ca="1">IFERROR(__xludf.DUMMYFUNCTION("GOOGLETRANSLATE(A2464,""bn"",""en"")"),"I use ROM")</f>
        <v>I use ROM</v>
      </c>
    </row>
    <row r="2465" spans="1:3" ht="15" x14ac:dyDescent="0.25">
      <c r="A2465" s="3" t="s">
        <v>2462</v>
      </c>
      <c r="B2465" s="3" t="s">
        <v>4</v>
      </c>
      <c r="C2465" s="2" t="str">
        <f ca="1">IFERROR(__xludf.DUMMYFUNCTION("GOOGLETRANSLATE(A2465,""bn"",""en"")"),"I observed the college")</f>
        <v>I observed the college</v>
      </c>
    </row>
    <row r="2466" spans="1:3" ht="15" x14ac:dyDescent="0.25">
      <c r="A2466" s="3" t="s">
        <v>2463</v>
      </c>
      <c r="B2466" s="3" t="s">
        <v>4</v>
      </c>
      <c r="C2466" s="2" t="str">
        <f ca="1">IFERROR(__xludf.DUMMYFUNCTION("GOOGLETRANSLATE(A2466,""bn"",""en"")"),"Google is the tech giant")</f>
        <v>Google is the tech giant</v>
      </c>
    </row>
    <row r="2467" spans="1:3" ht="15" x14ac:dyDescent="0.25">
      <c r="A2467" s="3" t="s">
        <v>2464</v>
      </c>
      <c r="B2467" s="3" t="s">
        <v>4</v>
      </c>
      <c r="C2467" s="2" t="str">
        <f ca="1">IFERROR(__xludf.DUMMYFUNCTION("GOOGLETRANSLATE(A2467,""bn"",""en"")"),"Wrote email easily")</f>
        <v>Wrote email easily</v>
      </c>
    </row>
    <row r="2468" spans="1:3" ht="15" x14ac:dyDescent="0.25">
      <c r="A2468" s="3" t="s">
        <v>2465</v>
      </c>
      <c r="B2468" s="3" t="s">
        <v>4</v>
      </c>
      <c r="C2468" s="2" t="str">
        <f ca="1">IFERROR(__xludf.DUMMYFUNCTION("GOOGLETRANSLATE(A2468,""bn"",""en"")"),"Google has it all")</f>
        <v>Google has it all</v>
      </c>
    </row>
    <row r="2469" spans="1:3" ht="15" x14ac:dyDescent="0.25">
      <c r="A2469" s="3" t="s">
        <v>2466</v>
      </c>
      <c r="B2469" s="3" t="s">
        <v>4</v>
      </c>
      <c r="C2469" s="2" t="str">
        <f ca="1">IFERROR(__xludf.DUMMYFUNCTION("GOOGLETRANSLATE(A2469,""bn"",""en"")"),"I have spoken")</f>
        <v>I have spoken</v>
      </c>
    </row>
    <row r="2470" spans="1:3" ht="15" x14ac:dyDescent="0.25">
      <c r="A2470" s="3" t="s">
        <v>2467</v>
      </c>
      <c r="B2470" s="3" t="s">
        <v>4</v>
      </c>
      <c r="C2470" s="2" t="str">
        <f ca="1">IFERROR(__xludf.DUMMYFUNCTION("GOOGLETRANSLATE(A2470,""bn"",""en"")"),"I don't get loan facility")</f>
        <v>I don't get loan facility</v>
      </c>
    </row>
    <row r="2471" spans="1:3" ht="15" x14ac:dyDescent="0.25">
      <c r="A2471" s="3" t="s">
        <v>2468</v>
      </c>
      <c r="B2471" s="3" t="s">
        <v>4</v>
      </c>
      <c r="C2471" s="2" t="str">
        <f ca="1">IFERROR(__xludf.DUMMYFUNCTION("GOOGLETRANSLATE(A2471,""bn"",""en"")"),"Provide account proof")</f>
        <v>Provide account proof</v>
      </c>
    </row>
    <row r="2472" spans="1:3" ht="15" x14ac:dyDescent="0.25">
      <c r="A2472" s="3" t="s">
        <v>2469</v>
      </c>
      <c r="B2472" s="3" t="s">
        <v>4</v>
      </c>
      <c r="C2472" s="2" t="str">
        <f ca="1">IFERROR(__xludf.DUMMYFUNCTION("GOOGLETRANSLATE(A2472,""bn"",""en"")"),"Looking for honest advice")</f>
        <v>Looking for honest advice</v>
      </c>
    </row>
    <row r="2473" spans="1:3" ht="15" x14ac:dyDescent="0.25">
      <c r="A2473" s="3" t="s">
        <v>2470</v>
      </c>
      <c r="B2473" s="3" t="s">
        <v>4</v>
      </c>
      <c r="C2473" s="2" t="str">
        <f ca="1">IFERROR(__xludf.DUMMYFUNCTION("GOOGLETRANSLATE(A2473,""bn"",""en"")"),"He is a traveler")</f>
        <v>He is a traveler</v>
      </c>
    </row>
    <row r="2474" spans="1:3" ht="15" x14ac:dyDescent="0.25">
      <c r="A2474" s="3" t="s">
        <v>2471</v>
      </c>
      <c r="B2474" s="3" t="s">
        <v>4</v>
      </c>
      <c r="C2474" s="2" t="str">
        <f ca="1">IFERROR(__xludf.DUMMYFUNCTION("GOOGLETRANSLATE(A2474,""bn"",""en"")"),"Revenue is increasing")</f>
        <v>Revenue is increasing</v>
      </c>
    </row>
    <row r="2475" spans="1:3" ht="15" x14ac:dyDescent="0.25">
      <c r="A2475" s="3" t="s">
        <v>2472</v>
      </c>
      <c r="B2475" s="3" t="s">
        <v>4</v>
      </c>
      <c r="C2475" s="2" t="str">
        <f ca="1">IFERROR(__xludf.DUMMYFUNCTION("GOOGLETRANSLATE(A2475,""bn"",""en"")"),"Depositing money")</f>
        <v>Depositing money</v>
      </c>
    </row>
    <row r="2476" spans="1:3" ht="15" x14ac:dyDescent="0.25">
      <c r="A2476" s="3" t="s">
        <v>2473</v>
      </c>
      <c r="B2476" s="3" t="s">
        <v>4</v>
      </c>
      <c r="C2476" s="2" t="str">
        <f ca="1">IFERROR(__xludf.DUMMYFUNCTION("GOOGLETRANSLATE(A2476,""bn"",""en"")"),"Knowledge of religion is good")</f>
        <v>Knowledge of religion is good</v>
      </c>
    </row>
    <row r="2477" spans="1:3" ht="15" x14ac:dyDescent="0.25">
      <c r="A2477" s="3" t="s">
        <v>2474</v>
      </c>
      <c r="B2477" s="3" t="s">
        <v>4</v>
      </c>
      <c r="C2477" s="2" t="str">
        <f ca="1">IFERROR(__xludf.DUMMYFUNCTION("GOOGLETRANSLATE(A2477,""bn"",""en"")"),"I want to buy a camera")</f>
        <v>I want to buy a camera</v>
      </c>
    </row>
    <row r="2478" spans="1:3" ht="15" x14ac:dyDescent="0.25">
      <c r="A2478" s="3" t="s">
        <v>2475</v>
      </c>
      <c r="B2478" s="3" t="s">
        <v>4</v>
      </c>
      <c r="C2478" s="2" t="str">
        <f ca="1">IFERROR(__xludf.DUMMYFUNCTION("GOOGLETRANSLATE(A2478,""bn"",""en"")"),"I like traveling")</f>
        <v>I like traveling</v>
      </c>
    </row>
    <row r="2479" spans="1:3" ht="15" x14ac:dyDescent="0.25">
      <c r="A2479" s="3" t="s">
        <v>2476</v>
      </c>
      <c r="B2479" s="3" t="s">
        <v>4</v>
      </c>
      <c r="C2479" s="2" t="str">
        <f ca="1">IFERROR(__xludf.DUMMYFUNCTION("GOOGLETRANSLATE(A2479,""bn"",""en"")"),"I use IoT")</f>
        <v>I use IoT</v>
      </c>
    </row>
    <row r="2480" spans="1:3" ht="15" x14ac:dyDescent="0.25">
      <c r="A2480" s="3" t="s">
        <v>2477</v>
      </c>
      <c r="B2480" s="3" t="s">
        <v>4</v>
      </c>
      <c r="C2480" s="2" t="str">
        <f ca="1">IFERROR(__xludf.DUMMYFUNCTION("GOOGLETRANSLATE(A2480,""bn"",""en"")"),"I understand well")</f>
        <v>I understand well</v>
      </c>
    </row>
    <row r="2481" spans="1:3" ht="15" x14ac:dyDescent="0.25">
      <c r="A2481" s="3" t="s">
        <v>2478</v>
      </c>
      <c r="B2481" s="3" t="s">
        <v>4</v>
      </c>
      <c r="C2481" s="2" t="str">
        <f ca="1">IFERROR(__xludf.DUMMYFUNCTION("GOOGLETRANSLATE(A2481,""bn"",""en"")"),"you are good student")</f>
        <v>you are good student</v>
      </c>
    </row>
    <row r="2482" spans="1:3" ht="15" x14ac:dyDescent="0.25">
      <c r="A2482" s="3" t="s">
        <v>2479</v>
      </c>
      <c r="B2482" s="3" t="s">
        <v>4</v>
      </c>
      <c r="C2482" s="2" t="str">
        <f ca="1">IFERROR(__xludf.DUMMYFUNCTION("GOOGLETRANSLATE(A2482,""bn"",""en"")"),"History is discussed")</f>
        <v>History is discussed</v>
      </c>
    </row>
    <row r="2483" spans="1:3" ht="15" x14ac:dyDescent="0.25">
      <c r="A2483" s="3" t="s">
        <v>2480</v>
      </c>
      <c r="B2483" s="3" t="s">
        <v>4</v>
      </c>
      <c r="C2483" s="2" t="str">
        <f ca="1">IFERROR(__xludf.DUMMYFUNCTION("GOOGLETRANSLATE(A2483,""bn"",""en"")"),"Entertainment media technology")</f>
        <v>Entertainment media technology</v>
      </c>
    </row>
    <row r="2484" spans="1:3" ht="15" x14ac:dyDescent="0.25">
      <c r="A2484" s="3" t="s">
        <v>2481</v>
      </c>
      <c r="B2484" s="3" t="s">
        <v>4</v>
      </c>
      <c r="C2484" s="2" t="str">
        <f ca="1">IFERROR(__xludf.DUMMYFUNCTION("GOOGLETRANSLATE(A2484,""bn"",""en"")"),"Play high skill games")</f>
        <v>Play high skill games</v>
      </c>
    </row>
    <row r="2485" spans="1:3" ht="15" x14ac:dyDescent="0.25">
      <c r="A2485" s="3" t="s">
        <v>2482</v>
      </c>
      <c r="B2485" s="3" t="s">
        <v>4</v>
      </c>
      <c r="C2485" s="2" t="str">
        <f ca="1">IFERROR(__xludf.DUMMYFUNCTION("GOOGLETRANSLATE(A2485,""bn"",""en"")"),"Food provides energy")</f>
        <v>Food provides energy</v>
      </c>
    </row>
    <row r="2486" spans="1:3" ht="15" x14ac:dyDescent="0.25">
      <c r="A2486" s="3" t="s">
        <v>2483</v>
      </c>
      <c r="B2486" s="3" t="s">
        <v>4</v>
      </c>
      <c r="C2486" s="2" t="str">
        <f ca="1">IFERROR(__xludf.DUMMYFUNCTION("GOOGLETRANSLATE(A2486,""bn"",""en"")"),"The currency is increasing")</f>
        <v>The currency is increasing</v>
      </c>
    </row>
    <row r="2487" spans="1:3" ht="15" x14ac:dyDescent="0.25">
      <c r="A2487" s="3" t="s">
        <v>2484</v>
      </c>
      <c r="B2487" s="3" t="s">
        <v>4</v>
      </c>
      <c r="C2487" s="2" t="str">
        <f ca="1">IFERROR(__xludf.DUMMYFUNCTION("GOOGLETRANSLATE(A2487,""bn"",""en"")"),"I read the Quran regularly")</f>
        <v>I read the Quran regularly</v>
      </c>
    </row>
    <row r="2488" spans="1:3" ht="15" x14ac:dyDescent="0.25">
      <c r="A2488" s="3" t="s">
        <v>2485</v>
      </c>
      <c r="B2488" s="3" t="s">
        <v>4</v>
      </c>
      <c r="C2488" s="2" t="str">
        <f ca="1">IFERROR(__xludf.DUMMYFUNCTION("GOOGLETRANSLATE(A2488,""bn"",""en"")"),"Installing the application")</f>
        <v>Installing the application</v>
      </c>
    </row>
    <row r="2489" spans="1:3" ht="15" x14ac:dyDescent="0.25">
      <c r="A2489" s="3" t="s">
        <v>2486</v>
      </c>
      <c r="B2489" s="3" t="s">
        <v>4</v>
      </c>
      <c r="C2489" s="2" t="str">
        <f ca="1">IFERROR(__xludf.DUMMYFUNCTION("GOOGLETRANSLATE(A2489,""bn"",""en"")"),"I teach history to students")</f>
        <v>I teach history to students</v>
      </c>
    </row>
    <row r="2490" spans="1:3" ht="15" x14ac:dyDescent="0.25">
      <c r="A2490" s="3" t="s">
        <v>2487</v>
      </c>
      <c r="B2490" s="3" t="s">
        <v>4</v>
      </c>
      <c r="C2490" s="2" t="str">
        <f ca="1">IFERROR(__xludf.DUMMYFUNCTION("GOOGLETRANSLATE(A2490,""bn"",""en"")"),"i talk")</f>
        <v>i talk</v>
      </c>
    </row>
    <row r="2491" spans="1:3" ht="15" x14ac:dyDescent="0.25">
      <c r="A2491" s="3" t="s">
        <v>2488</v>
      </c>
      <c r="B2491" s="3" t="s">
        <v>4</v>
      </c>
      <c r="C2491" s="2" t="str">
        <f ca="1">IFERROR(__xludf.DUMMYFUNCTION("GOOGLETRANSLATE(A2491,""bn"",""en"")"),"Withdrawing money")</f>
        <v>Withdrawing money</v>
      </c>
    </row>
    <row r="2492" spans="1:3" ht="15" x14ac:dyDescent="0.25">
      <c r="A2492" s="3" t="s">
        <v>2489</v>
      </c>
      <c r="B2492" s="3" t="s">
        <v>4</v>
      </c>
      <c r="C2492" s="2" t="str">
        <f ca="1">IFERROR(__xludf.DUMMYFUNCTION("GOOGLETRANSLATE(A2492,""bn"",""en"")"),"Being financially prosperous")</f>
        <v>Being financially prosperous</v>
      </c>
    </row>
    <row r="2493" spans="1:3" ht="15" x14ac:dyDescent="0.25">
      <c r="A2493" s="3" t="s">
        <v>2490</v>
      </c>
      <c r="B2493" s="3" t="s">
        <v>4</v>
      </c>
      <c r="C2493" s="2" t="str">
        <f ca="1">IFERROR(__xludf.DUMMYFUNCTION("GOOGLETRANSLATE(A2493,""bn"",""en"")"),"Beauty gave pleasure")</f>
        <v>Beauty gave pleasure</v>
      </c>
    </row>
    <row r="2494" spans="1:3" ht="15" x14ac:dyDescent="0.25">
      <c r="A2494" s="3" t="s">
        <v>2491</v>
      </c>
      <c r="B2494" s="3" t="s">
        <v>4</v>
      </c>
      <c r="C2494" s="2" t="str">
        <f ca="1">IFERROR(__xludf.DUMMYFUNCTION("GOOGLETRANSLATE(A2494,""bn"",""en"")"),"Beauty is very important in life")</f>
        <v>Beauty is very important in life</v>
      </c>
    </row>
    <row r="2495" spans="1:3" ht="15" x14ac:dyDescent="0.25">
      <c r="A2495" s="3" t="s">
        <v>2492</v>
      </c>
      <c r="B2495" s="3" t="s">
        <v>4</v>
      </c>
      <c r="C2495" s="2" t="str">
        <f ca="1">IFERROR(__xludf.DUMMYFUNCTION("GOOGLETRANSLATE(A2495,""bn"",""en"")"),"I write poetry in my spare time")</f>
        <v>I write poetry in my spare time</v>
      </c>
    </row>
    <row r="2496" spans="1:3" ht="15" x14ac:dyDescent="0.25">
      <c r="A2496" s="3" t="s">
        <v>2493</v>
      </c>
      <c r="B2496" s="3" t="s">
        <v>4</v>
      </c>
      <c r="C2496" s="2" t="str">
        <f ca="1">IFERROR(__xludf.DUMMYFUNCTION("GOOGLETRANSLATE(A2496,""bn"",""en"")"),"Look at the online market")</f>
        <v>Look at the online market</v>
      </c>
    </row>
    <row r="2497" spans="1:3" ht="15" x14ac:dyDescent="0.25">
      <c r="A2497" s="3" t="s">
        <v>2494</v>
      </c>
      <c r="B2497" s="3" t="s">
        <v>4</v>
      </c>
      <c r="C2497" s="2" t="str">
        <f ca="1">IFERROR(__xludf.DUMMYFUNCTION("GOOGLETRANSLATE(A2497,""bn"",""en"")"),"I play football at school")</f>
        <v>I play football at school</v>
      </c>
    </row>
    <row r="2498" spans="1:3" ht="15" x14ac:dyDescent="0.25">
      <c r="A2498" s="3" t="s">
        <v>2495</v>
      </c>
      <c r="B2498" s="3" t="s">
        <v>4</v>
      </c>
      <c r="C2498" s="2" t="str">
        <f ca="1">IFERROR(__xludf.DUMMYFUNCTION("GOOGLETRANSLATE(A2498,""bn"",""en"")"),"Love the mountain top")</f>
        <v>Love the mountain top</v>
      </c>
    </row>
    <row r="2499" spans="1:3" ht="15" x14ac:dyDescent="0.25">
      <c r="A2499" s="3" t="s">
        <v>2496</v>
      </c>
      <c r="B2499" s="3" t="s">
        <v>4</v>
      </c>
      <c r="C2499" s="2" t="str">
        <f ca="1">IFERROR(__xludf.DUMMYFUNCTION("GOOGLETRANSLATE(A2499,""bn"",""en"")"),"Getting success in hard work")</f>
        <v>Getting success in hard work</v>
      </c>
    </row>
    <row r="2500" spans="1:3" ht="15" x14ac:dyDescent="0.25">
      <c r="A2500" s="3" t="s">
        <v>2497</v>
      </c>
      <c r="B2500" s="3" t="s">
        <v>4</v>
      </c>
      <c r="C2500" s="2" t="str">
        <f ca="1">IFERROR(__xludf.DUMMYFUNCTION("GOOGLETRANSLATE(A2500,""bn"",""en"")"),"I'm doing homework")</f>
        <v>I'm doing homework</v>
      </c>
    </row>
    <row r="2501" spans="1:3" ht="15" x14ac:dyDescent="0.25">
      <c r="A2501" s="3" t="s">
        <v>2498</v>
      </c>
      <c r="B2501" s="3" t="s">
        <v>4</v>
      </c>
      <c r="C2501" s="2" t="str">
        <f ca="1">IFERROR(__xludf.DUMMYFUNCTION("GOOGLETRANSLATE(A2501,""bn"",""en"")"),"Watch news on laptop")</f>
        <v>Watch news on laptop</v>
      </c>
    </row>
    <row r="2502" spans="1:3" ht="15" x14ac:dyDescent="0.25">
      <c r="A2502" s="3" t="s">
        <v>2499</v>
      </c>
      <c r="B2502" s="3" t="s">
        <v>4</v>
      </c>
      <c r="C2502" s="2" t="str">
        <f ca="1">IFERROR(__xludf.DUMMYFUNCTION("GOOGLETRANSLATE(A2502,""bn"",""en"")"),"Counting money")</f>
        <v>Counting money</v>
      </c>
    </row>
    <row r="2503" spans="1:3" ht="15" x14ac:dyDescent="0.25">
      <c r="A2503" s="3" t="s">
        <v>2500</v>
      </c>
      <c r="B2503" s="3" t="s">
        <v>4</v>
      </c>
      <c r="C2503" s="2" t="str">
        <f ca="1">IFERROR(__xludf.DUMMYFUNCTION("GOOGLETRANSLATE(A2503,""bn"",""en"")"),"Revenue has increased")</f>
        <v>Revenue has increased</v>
      </c>
    </row>
    <row r="2504" spans="1:3" ht="15" x14ac:dyDescent="0.25">
      <c r="A2504" s="3" t="s">
        <v>2501</v>
      </c>
      <c r="B2504" s="3" t="s">
        <v>4</v>
      </c>
      <c r="C2504" s="2" t="str">
        <f ca="1">IFERROR(__xludf.DUMMYFUNCTION("GOOGLETRANSLATE(A2504,""bn"",""en"")"),"Loan is sought for home construction")</f>
        <v>Loan is sought for home construction</v>
      </c>
    </row>
    <row r="2505" spans="1:3" ht="15" x14ac:dyDescent="0.25">
      <c r="A2505" s="3" t="s">
        <v>2502</v>
      </c>
      <c r="B2505" s="3" t="s">
        <v>4</v>
      </c>
      <c r="C2505" s="2" t="str">
        <f ca="1">IFERROR(__xludf.DUMMYFUNCTION("GOOGLETRANSLATE(A2505,""bn"",""en"")"),"I will buy a new car by asking for a loan")</f>
        <v>I will buy a new car by asking for a loan</v>
      </c>
    </row>
    <row r="2506" spans="1:3" ht="15" x14ac:dyDescent="0.25">
      <c r="A2506" s="3" t="s">
        <v>2503</v>
      </c>
      <c r="B2506" s="3" t="s">
        <v>4</v>
      </c>
      <c r="C2506" s="2" t="str">
        <f ca="1">IFERROR(__xludf.DUMMYFUNCTION("GOOGLETRANSLATE(A2506,""bn"",""en"")"),"The outsourcing sector is growing")</f>
        <v>The outsourcing sector is growing</v>
      </c>
    </row>
    <row r="2507" spans="1:3" ht="15" x14ac:dyDescent="0.25">
      <c r="A2507" s="3" t="s">
        <v>2504</v>
      </c>
      <c r="B2507" s="3" t="s">
        <v>4</v>
      </c>
      <c r="C2507" s="2" t="str">
        <f ca="1">IFERROR(__xludf.DUMMYFUNCTION("GOOGLETRANSLATE(A2507,""bn"",""en"")"),"Windows has become popular")</f>
        <v>Windows has become popular</v>
      </c>
    </row>
    <row r="2508" spans="1:3" ht="15" x14ac:dyDescent="0.25">
      <c r="A2508" s="3" t="s">
        <v>2505</v>
      </c>
      <c r="B2508" s="3" t="s">
        <v>4</v>
      </c>
      <c r="C2508" s="2" t="str">
        <f ca="1">IFERROR(__xludf.DUMMYFUNCTION("GOOGLETRANSLATE(A2508,""bn"",""en"")"),"Loans are required for business")</f>
        <v>Loans are required for business</v>
      </c>
    </row>
    <row r="2509" spans="1:3" ht="15" x14ac:dyDescent="0.25">
      <c r="A2509" s="3" t="s">
        <v>2506</v>
      </c>
      <c r="B2509" s="3" t="s">
        <v>4</v>
      </c>
      <c r="C2509" s="2" t="str">
        <f ca="1">IFERROR(__xludf.DUMMYFUNCTION("GOOGLETRANSLATE(A2509,""bn"",""en"")"),"I used more internet")</f>
        <v>I used more internet</v>
      </c>
    </row>
    <row r="2510" spans="1:3" ht="15" x14ac:dyDescent="0.25">
      <c r="A2510" s="3" t="s">
        <v>2507</v>
      </c>
      <c r="B2510" s="3" t="s">
        <v>4</v>
      </c>
      <c r="C2510" s="2" t="str">
        <f ca="1">IFERROR(__xludf.DUMMYFUNCTION("GOOGLETRANSLATE(A2510,""bn"",""en"")"),"I am entertained")</f>
        <v>I am entertained</v>
      </c>
    </row>
    <row r="2511" spans="1:3" ht="15" x14ac:dyDescent="0.25">
      <c r="A2511" s="3" t="s">
        <v>2508</v>
      </c>
      <c r="B2511" s="3" t="s">
        <v>4</v>
      </c>
      <c r="C2511" s="2" t="str">
        <f ca="1">IFERROR(__xludf.DUMMYFUNCTION("GOOGLETRANSLATE(A2511,""bn"",""en"")"),"Enjoying the music")</f>
        <v>Enjoying the music</v>
      </c>
    </row>
    <row r="2512" spans="1:3" ht="15" x14ac:dyDescent="0.25">
      <c r="A2512" s="3" t="s">
        <v>2509</v>
      </c>
      <c r="B2512" s="3" t="s">
        <v>4</v>
      </c>
      <c r="C2512" s="2" t="str">
        <f ca="1">IFERROR(__xludf.DUMMYFUNCTION("GOOGLETRANSLATE(A2512,""bn"",""en"")"),"Students play Hadudu")</f>
        <v>Students play Hadudu</v>
      </c>
    </row>
    <row r="2513" spans="1:3" ht="15" x14ac:dyDescent="0.25">
      <c r="A2513" s="3" t="s">
        <v>2510</v>
      </c>
      <c r="B2513" s="3" t="s">
        <v>4</v>
      </c>
      <c r="C2513" s="2" t="str">
        <f ca="1">IFERROR(__xludf.DUMMYFUNCTION("GOOGLETRANSLATE(A2513,""bn"",""en"")"),"Blockchain is gaining popularity")</f>
        <v>Blockchain is gaining popularity</v>
      </c>
    </row>
    <row r="2514" spans="1:3" ht="15" x14ac:dyDescent="0.25">
      <c r="A2514" s="3" t="s">
        <v>2511</v>
      </c>
      <c r="B2514" s="3" t="s">
        <v>4</v>
      </c>
      <c r="C2514" s="2" t="str">
        <f ca="1">IFERROR(__xludf.DUMMYFUNCTION("GOOGLETRANSLATE(A2514,""bn"",""en"")"),"I use the camera")</f>
        <v>I use the camera</v>
      </c>
    </row>
    <row r="2515" spans="1:3" ht="15" x14ac:dyDescent="0.25">
      <c r="A2515" s="3" t="s">
        <v>2512</v>
      </c>
      <c r="B2515" s="3" t="s">
        <v>4</v>
      </c>
      <c r="C2515" s="2" t="str">
        <f ca="1">IFERROR(__xludf.DUMMYFUNCTION("GOOGLETRANSLATE(A2515,""bn"",""en"")"),"want to do business")</f>
        <v>want to do business</v>
      </c>
    </row>
    <row r="2516" spans="1:3" ht="15" x14ac:dyDescent="0.25">
      <c r="A2516" s="3" t="s">
        <v>2513</v>
      </c>
      <c r="B2516" s="3" t="s">
        <v>4</v>
      </c>
      <c r="C2516" s="2" t="str">
        <f ca="1">IFERROR(__xludf.DUMMYFUNCTION("GOOGLETRANSLATE(A2516,""bn"",""en"")"),"Get an education")</f>
        <v>Get an education</v>
      </c>
    </row>
    <row r="2517" spans="1:3" ht="15" x14ac:dyDescent="0.25">
      <c r="A2517" s="3" t="s">
        <v>2514</v>
      </c>
      <c r="B2517" s="3" t="s">
        <v>4</v>
      </c>
      <c r="C2517" s="2" t="str">
        <f ca="1">IFERROR(__xludf.DUMMYFUNCTION("GOOGLETRANSLATE(A2517,""bn"",""en"")"),"I used smart tv")</f>
        <v>I used smart tv</v>
      </c>
    </row>
    <row r="2518" spans="1:3" ht="15" x14ac:dyDescent="0.25">
      <c r="A2518" s="3" t="s">
        <v>2515</v>
      </c>
      <c r="B2518" s="3" t="s">
        <v>4</v>
      </c>
      <c r="C2518" s="2" t="str">
        <f ca="1">IFERROR(__xludf.DUMMYFUNCTION("GOOGLETRANSLATE(A2518,""bn"",""en"")"),"I used the ebook")</f>
        <v>I used the ebook</v>
      </c>
    </row>
    <row r="2519" spans="1:3" ht="15" x14ac:dyDescent="0.25">
      <c r="A2519" s="3" t="s">
        <v>2516</v>
      </c>
      <c r="B2519" s="3" t="s">
        <v>4</v>
      </c>
      <c r="C2519" s="2" t="str">
        <f ca="1">IFERROR(__xludf.DUMMYFUNCTION("GOOGLETRANSLATE(A2519,""bn"",""en"")"),"Read in Digital Reading")</f>
        <v>Read in Digital Reading</v>
      </c>
    </row>
    <row r="2520" spans="1:3" ht="15" x14ac:dyDescent="0.25">
      <c r="A2520" s="3" t="s">
        <v>2517</v>
      </c>
      <c r="B2520" s="3" t="s">
        <v>4</v>
      </c>
      <c r="C2520" s="2" t="str">
        <f ca="1">IFERROR(__xludf.DUMMYFUNCTION("GOOGLETRANSLATE(A2520,""bn"",""en"")"),"I am doing computer class")</f>
        <v>I am doing computer class</v>
      </c>
    </row>
    <row r="2521" spans="1:3" ht="15" x14ac:dyDescent="0.25">
      <c r="A2521" s="3" t="s">
        <v>2518</v>
      </c>
      <c r="B2521" s="3" t="s">
        <v>4</v>
      </c>
      <c r="C2521" s="2" t="str">
        <f ca="1">IFERROR(__xludf.DUMMYFUNCTION("GOOGLETRANSLATE(A2521,""bn"",""en"")"),"Infrastructure is increasing")</f>
        <v>Infrastructure is increasing</v>
      </c>
    </row>
    <row r="2522" spans="1:3" ht="15" x14ac:dyDescent="0.25">
      <c r="A2522" s="3" t="s">
        <v>2519</v>
      </c>
      <c r="B2522" s="3" t="s">
        <v>4</v>
      </c>
      <c r="C2522" s="2" t="str">
        <f ca="1">IFERROR(__xludf.DUMMYFUNCTION("GOOGLETRANSLATE(A2522,""bn"",""en"")"),"I donate to the poor")</f>
        <v>I donate to the poor</v>
      </c>
    </row>
    <row r="2523" spans="1:3" ht="15" x14ac:dyDescent="0.25">
      <c r="A2523" s="3" t="s">
        <v>2520</v>
      </c>
      <c r="B2523" s="3" t="s">
        <v>4</v>
      </c>
      <c r="C2523" s="2" t="str">
        <f ca="1">IFERROR(__xludf.DUMMYFUNCTION("GOOGLETRANSLATE(A2523,""bn"",""en"")"),"College students are playing")</f>
        <v>College students are playing</v>
      </c>
    </row>
    <row r="2524" spans="1:3" ht="15" x14ac:dyDescent="0.25">
      <c r="A2524" s="3" t="s">
        <v>2521</v>
      </c>
      <c r="B2524" s="3" t="s">
        <v>4</v>
      </c>
      <c r="C2524" s="2" t="str">
        <f ca="1">IFERROR(__xludf.DUMMYFUNCTION("GOOGLETRANSLATE(A2524,""bn"",""en"")"),"Everyone has love")</f>
        <v>Everyone has love</v>
      </c>
    </row>
    <row r="2525" spans="1:3" ht="15" x14ac:dyDescent="0.25">
      <c r="A2525" s="3" t="s">
        <v>2522</v>
      </c>
      <c r="B2525" s="3" t="s">
        <v>4</v>
      </c>
      <c r="C2525" s="2" t="str">
        <f ca="1">IFERROR(__xludf.DUMMYFUNCTION("GOOGLETRANSLATE(A2525,""bn"",""en"")"),"Did computer classes")</f>
        <v>Did computer classes</v>
      </c>
    </row>
    <row r="2526" spans="1:3" ht="15" x14ac:dyDescent="0.25">
      <c r="A2526" s="3" t="s">
        <v>2523</v>
      </c>
      <c r="B2526" s="3" t="s">
        <v>4</v>
      </c>
      <c r="C2526" s="2" t="str">
        <f ca="1">IFERROR(__xludf.DUMMYFUNCTION("GOOGLETRANSLATE(A2526,""bn"",""en"")"),"Send email easily")</f>
        <v>Send email easily</v>
      </c>
    </row>
    <row r="2527" spans="1:3" ht="15" x14ac:dyDescent="0.25">
      <c r="A2527" s="3" t="s">
        <v>2524</v>
      </c>
      <c r="B2527" s="3" t="s">
        <v>4</v>
      </c>
      <c r="C2527" s="2" t="str">
        <f ca="1">IFERROR(__xludf.DUMMYFUNCTION("GOOGLETRANSLATE(A2527,""bn"",""en"")"),"He reads the paper")</f>
        <v>He reads the paper</v>
      </c>
    </row>
    <row r="2528" spans="1:3" ht="15" x14ac:dyDescent="0.25">
      <c r="A2528" s="3" t="s">
        <v>2525</v>
      </c>
      <c r="B2528" s="3" t="s">
        <v>4</v>
      </c>
      <c r="C2528" s="2" t="str">
        <f ca="1">IFERROR(__xludf.DUMMYFUNCTION("GOOGLETRANSLATE(A2528,""bn"",""en"")"),"you write notes")</f>
        <v>you write notes</v>
      </c>
    </row>
    <row r="2529" spans="1:3" ht="15" x14ac:dyDescent="0.25">
      <c r="A2529" s="3" t="s">
        <v>2526</v>
      </c>
      <c r="B2529" s="3" t="s">
        <v>4</v>
      </c>
      <c r="C2529" s="2" t="str">
        <f ca="1">IFERROR(__xludf.DUMMYFUNCTION("GOOGLETRANSLATE(A2529,""bn"",""en"")"),"Playing digital games")</f>
        <v>Playing digital games</v>
      </c>
    </row>
    <row r="2530" spans="1:3" ht="15" x14ac:dyDescent="0.25">
      <c r="A2530" s="3" t="s">
        <v>2527</v>
      </c>
      <c r="B2530" s="3" t="s">
        <v>4</v>
      </c>
      <c r="C2530" s="2" t="str">
        <f ca="1">IFERROR(__xludf.DUMMYFUNCTION("GOOGLETRANSLATE(A2530,""bn"",""en"")"),"A football tournament has taken place")</f>
        <v>A football tournament has taken place</v>
      </c>
    </row>
    <row r="2531" spans="1:3" ht="15" x14ac:dyDescent="0.25">
      <c r="A2531" s="3" t="s">
        <v>2528</v>
      </c>
      <c r="B2531" s="3" t="s">
        <v>4</v>
      </c>
      <c r="C2531" s="2" t="str">
        <f ca="1">IFERROR(__xludf.DUMMYFUNCTION("GOOGLETRANSLATE(A2531,""bn"",""en"")"),"E chest weight is less")</f>
        <v>E chest weight is less</v>
      </c>
    </row>
    <row r="2532" spans="1:3" ht="15" x14ac:dyDescent="0.25">
      <c r="A2532" s="3" t="s">
        <v>2529</v>
      </c>
      <c r="B2532" s="3" t="s">
        <v>4</v>
      </c>
      <c r="C2532" s="2" t="str">
        <f ca="1">IFERROR(__xludf.DUMMYFUNCTION("GOOGLETRANSLATE(A2532,""bn"",""en"")"),"I read the Quran regularly")</f>
        <v>I read the Quran regularly</v>
      </c>
    </row>
    <row r="2533" spans="1:3" ht="15" x14ac:dyDescent="0.25">
      <c r="A2533" s="3" t="s">
        <v>2530</v>
      </c>
      <c r="B2533" s="3" t="s">
        <v>4</v>
      </c>
      <c r="C2533" s="2" t="str">
        <f ca="1">IFERROR(__xludf.DUMMYFUNCTION("GOOGLETRANSLATE(A2533,""bn"",""en"")"),"Prepares the law")</f>
        <v>Prepares the law</v>
      </c>
    </row>
    <row r="2534" spans="1:3" ht="15" x14ac:dyDescent="0.25">
      <c r="A2534" s="3" t="s">
        <v>2531</v>
      </c>
      <c r="B2534" s="3" t="s">
        <v>4</v>
      </c>
      <c r="C2534" s="2" t="str">
        <f ca="1">IFERROR(__xludf.DUMMYFUNCTION("GOOGLETRANSLATE(A2534,""bn"",""en"")"),"I have read books")</f>
        <v>I have read books</v>
      </c>
    </row>
    <row r="2535" spans="1:3" ht="15" x14ac:dyDescent="0.25">
      <c r="A2535" s="3" t="s">
        <v>2532</v>
      </c>
      <c r="B2535" s="3" t="s">
        <v>4</v>
      </c>
      <c r="C2535" s="2" t="str">
        <f ca="1">IFERROR(__xludf.DUMMYFUNCTION("GOOGLETRANSLATE(A2535,""bn"",""en"")"),"Get good compliments")</f>
        <v>Get good compliments</v>
      </c>
    </row>
    <row r="2536" spans="1:3" ht="15" x14ac:dyDescent="0.25">
      <c r="A2536" s="3" t="s">
        <v>2533</v>
      </c>
      <c r="B2536" s="3" t="s">
        <v>4</v>
      </c>
      <c r="C2536" s="2" t="str">
        <f ca="1">IFERROR(__xludf.DUMMYFUNCTION("GOOGLETRANSLATE(A2536,""bn"",""en"")"),"Using webcam")</f>
        <v>Using webcam</v>
      </c>
    </row>
    <row r="2537" spans="1:3" ht="15" x14ac:dyDescent="0.25">
      <c r="A2537" s="3" t="s">
        <v>2534</v>
      </c>
      <c r="B2537" s="3" t="s">
        <v>4</v>
      </c>
      <c r="C2537" s="2" t="str">
        <f ca="1">IFERROR(__xludf.DUMMYFUNCTION("GOOGLETRANSLATE(A2537,""bn"",""en"")"),"Live a disciplined life")</f>
        <v>Live a disciplined life</v>
      </c>
    </row>
    <row r="2538" spans="1:3" ht="15" x14ac:dyDescent="0.25">
      <c r="A2538" s="3" t="s">
        <v>2535</v>
      </c>
      <c r="B2538" s="3" t="s">
        <v>4</v>
      </c>
      <c r="C2538" s="2" t="str">
        <f ca="1">IFERROR(__xludf.DUMMYFUNCTION("GOOGLETRANSLATE(A2538,""bn"",""en"")"),"Political discussion")</f>
        <v>Political discussion</v>
      </c>
    </row>
    <row r="2539" spans="1:3" ht="15" x14ac:dyDescent="0.25">
      <c r="A2539" s="3" t="s">
        <v>2536</v>
      </c>
      <c r="B2539" s="3" t="s">
        <v>4</v>
      </c>
      <c r="C2539" s="2" t="str">
        <f ca="1">IFERROR(__xludf.DUMMYFUNCTION("GOOGLETRANSLATE(A2539,""bn"",""en"")"),"Sylhet garden tea")</f>
        <v>Sylhet garden tea</v>
      </c>
    </row>
    <row r="2540" spans="1:3" ht="15" x14ac:dyDescent="0.25">
      <c r="A2540" s="3" t="s">
        <v>2537</v>
      </c>
      <c r="B2540" s="3" t="s">
        <v>4</v>
      </c>
      <c r="C2540" s="2" t="str">
        <f ca="1">IFERROR(__xludf.DUMMYFUNCTION("GOOGLETRANSLATE(A2540,""bn"",""en"")"),"The world is in the hands of technology")</f>
        <v>The world is in the hands of technology</v>
      </c>
    </row>
    <row r="2541" spans="1:3" ht="15" x14ac:dyDescent="0.25">
      <c r="A2541" s="3" t="s">
        <v>2538</v>
      </c>
      <c r="B2541" s="3" t="s">
        <v>4</v>
      </c>
      <c r="C2541" s="2" t="str">
        <f ca="1">IFERROR(__xludf.DUMMYFUNCTION("GOOGLETRANSLATE(A2541,""bn"",""en"")"),"I ate in the college cafeteria")</f>
        <v>I ate in the college cafeteria</v>
      </c>
    </row>
    <row r="2542" spans="1:3" ht="15" x14ac:dyDescent="0.25">
      <c r="A2542" s="3" t="s">
        <v>2539</v>
      </c>
      <c r="B2542" s="3" t="s">
        <v>4</v>
      </c>
      <c r="C2542" s="2" t="str">
        <f ca="1">IFERROR(__xludf.DUMMYFUNCTION("GOOGLETRANSLATE(A2542,""bn"",""en"")"),"I have withdrawn money")</f>
        <v>I have withdrawn money</v>
      </c>
    </row>
    <row r="2543" spans="1:3" ht="15" x14ac:dyDescent="0.25">
      <c r="A2543" s="3" t="s">
        <v>2540</v>
      </c>
      <c r="B2543" s="3" t="s">
        <v>4</v>
      </c>
      <c r="C2543" s="2" t="str">
        <f ca="1">IFERROR(__xludf.DUMMYFUNCTION("GOOGLETRANSLATE(A2543,""bn"",""en"")"),"I work in banking")</f>
        <v>I work in banking</v>
      </c>
    </row>
    <row r="2544" spans="1:3" ht="15" x14ac:dyDescent="0.25">
      <c r="A2544" s="3" t="s">
        <v>2541</v>
      </c>
      <c r="B2544" s="3" t="s">
        <v>4</v>
      </c>
      <c r="C2544" s="2" t="str">
        <f ca="1">IFERROR(__xludf.DUMMYFUNCTION("GOOGLETRANSLATE(A2544,""bn"",""en"")"),"I used apple phone")</f>
        <v>I used apple phone</v>
      </c>
    </row>
    <row r="2545" spans="1:3" ht="15" x14ac:dyDescent="0.25">
      <c r="A2545" s="3" t="s">
        <v>2542</v>
      </c>
      <c r="B2545" s="3" t="s">
        <v>4</v>
      </c>
      <c r="C2545" s="2" t="str">
        <f ca="1">IFERROR(__xludf.DUMMYFUNCTION("GOOGLETRANSLATE(A2545,""bn"",""en"")"),"I have given bank service")</f>
        <v>I have given bank service</v>
      </c>
    </row>
    <row r="2546" spans="1:3" ht="15" x14ac:dyDescent="0.25">
      <c r="A2546" s="3" t="s">
        <v>2543</v>
      </c>
      <c r="B2546" s="3" t="s">
        <v>4</v>
      </c>
      <c r="C2546" s="2" t="str">
        <f ca="1">IFERROR(__xludf.DUMMYFUNCTION("GOOGLETRANSLATE(A2546,""bn"",""en"")"),"Joining the meeting")</f>
        <v>Joining the meeting</v>
      </c>
    </row>
    <row r="2547" spans="1:3" ht="15" x14ac:dyDescent="0.25">
      <c r="A2547" s="3" t="s">
        <v>2544</v>
      </c>
      <c r="B2547" s="3" t="s">
        <v>4</v>
      </c>
      <c r="C2547" s="2" t="str">
        <f ca="1">IFERROR(__xludf.DUMMYFUNCTION("GOOGLETRANSLATE(A2547,""bn"",""en"")"),"I go on vacation")</f>
        <v>I go on vacation</v>
      </c>
    </row>
    <row r="2548" spans="1:3" ht="15" x14ac:dyDescent="0.25">
      <c r="A2548" s="3" t="s">
        <v>2545</v>
      </c>
      <c r="B2548" s="3" t="s">
        <v>4</v>
      </c>
      <c r="C2548" s="2" t="str">
        <f ca="1">IFERROR(__xludf.DUMMYFUNCTION("GOOGLETRANSLATE(A2548,""bn"",""en"")"),"Bank customer comes")</f>
        <v>Bank customer comes</v>
      </c>
    </row>
    <row r="2549" spans="1:3" ht="15" x14ac:dyDescent="0.25">
      <c r="A2549" s="3" t="s">
        <v>2546</v>
      </c>
      <c r="B2549" s="3" t="s">
        <v>4</v>
      </c>
      <c r="C2549" s="2" t="str">
        <f ca="1">IFERROR(__xludf.DUMMYFUNCTION("GOOGLETRANSLATE(A2549,""bn"",""en"")"),"you go to school")</f>
        <v>you go to school</v>
      </c>
    </row>
    <row r="2550" spans="1:3" ht="15" x14ac:dyDescent="0.25">
      <c r="A2550" s="3" t="s">
        <v>2547</v>
      </c>
      <c r="B2550" s="3" t="s">
        <v>4</v>
      </c>
      <c r="C2550" s="2" t="str">
        <f ca="1">IFERROR(__xludf.DUMMYFUNCTION("GOOGLETRANSLATE(A2550,""bn"",""en"")"),"Creating a website")</f>
        <v>Creating a website</v>
      </c>
    </row>
    <row r="2551" spans="1:3" ht="15" x14ac:dyDescent="0.25">
      <c r="A2551" s="3" t="s">
        <v>2548</v>
      </c>
      <c r="B2551" s="3" t="s">
        <v>4</v>
      </c>
      <c r="C2551" s="2" t="str">
        <f ca="1">IFERROR(__xludf.DUMMYFUNCTION("GOOGLETRANSLATE(A2551,""bn"",""en"")"),"Use tabs")</f>
        <v>Use tabs</v>
      </c>
    </row>
    <row r="2552" spans="1:3" ht="15" x14ac:dyDescent="0.25">
      <c r="A2552" s="3" t="s">
        <v>2549</v>
      </c>
      <c r="B2552" s="3" t="s">
        <v>4</v>
      </c>
      <c r="C2552" s="2" t="str">
        <f ca="1">IFERROR(__xludf.DUMMYFUNCTION("GOOGLETRANSLATE(A2552,""bn"",""en"")"),"I want to buy a gadget")</f>
        <v>I want to buy a gadget</v>
      </c>
    </row>
    <row r="2553" spans="1:3" ht="15" x14ac:dyDescent="0.25">
      <c r="A2553" s="3" t="s">
        <v>2550</v>
      </c>
      <c r="B2553" s="3" t="s">
        <v>4</v>
      </c>
      <c r="C2553" s="2" t="str">
        <f ca="1">IFERROR(__xludf.DUMMYFUNCTION("GOOGLETRANSLATE(A2553,""bn"",""en"")"),"Cardamom reduces weight")</f>
        <v>Cardamom reduces weight</v>
      </c>
    </row>
    <row r="2554" spans="1:3" ht="15" x14ac:dyDescent="0.25">
      <c r="A2554" s="3" t="s">
        <v>2551</v>
      </c>
      <c r="B2554" s="3" t="s">
        <v>4</v>
      </c>
      <c r="C2554" s="2" t="str">
        <f ca="1">IFERROR(__xludf.DUMMYFUNCTION("GOOGLETRANSLATE(A2554,""bn"",""en"")"),"Using eBooks takes time")</f>
        <v>Using eBooks takes time</v>
      </c>
    </row>
    <row r="2555" spans="1:3" ht="15" x14ac:dyDescent="0.25">
      <c r="A2555" s="3" t="s">
        <v>2552</v>
      </c>
      <c r="B2555" s="3" t="s">
        <v>4</v>
      </c>
      <c r="C2555" s="2" t="str">
        <f ca="1">IFERROR(__xludf.DUMMYFUNCTION("GOOGLETRANSLATE(A2555,""bn"",""en"")"),"Watching movie on laptop")</f>
        <v>Watching movie on laptop</v>
      </c>
    </row>
    <row r="2556" spans="1:3" ht="15" x14ac:dyDescent="0.25">
      <c r="A2556" s="3" t="s">
        <v>2553</v>
      </c>
      <c r="B2556" s="3" t="s">
        <v>4</v>
      </c>
      <c r="C2556" s="2" t="str">
        <f ca="1">IFERROR(__xludf.DUMMYFUNCTION("GOOGLETRANSLATE(A2556,""bn"",""en"")"),"Bangladesh is a riverine country")</f>
        <v>Bangladesh is a riverine country</v>
      </c>
    </row>
    <row r="2557" spans="1:3" ht="15" x14ac:dyDescent="0.25">
      <c r="A2557" s="3" t="s">
        <v>2554</v>
      </c>
      <c r="B2557" s="3" t="s">
        <v>4</v>
      </c>
      <c r="C2557" s="2" t="str">
        <f ca="1">IFERROR(__xludf.DUMMYFUNCTION("GOOGLETRANSLATE(A2557,""bn"",""en"")"),"Account opening")</f>
        <v>Account opening</v>
      </c>
    </row>
    <row r="2558" spans="1:3" ht="15" x14ac:dyDescent="0.25">
      <c r="A2558" s="3" t="s">
        <v>2555</v>
      </c>
      <c r="B2558" s="3" t="s">
        <v>4</v>
      </c>
      <c r="C2558" s="2" t="str">
        <f ca="1">IFERROR(__xludf.DUMMYFUNCTION("GOOGLETRANSLATE(A2558,""bn"",""en"")"),"i like to read")</f>
        <v>i like to read</v>
      </c>
    </row>
    <row r="2559" spans="1:3" ht="15" x14ac:dyDescent="0.25">
      <c r="A2559" s="3" t="s">
        <v>2556</v>
      </c>
      <c r="B2559" s="3" t="s">
        <v>4</v>
      </c>
      <c r="C2559" s="2" t="str">
        <f ca="1">IFERROR(__xludf.DUMMYFUNCTION("GOOGLETRANSLATE(A2559,""bn"",""en"")"),"Using the camera")</f>
        <v>Using the camera</v>
      </c>
    </row>
    <row r="2560" spans="1:3" ht="15" x14ac:dyDescent="0.25">
      <c r="A2560" s="3" t="s">
        <v>2557</v>
      </c>
      <c r="B2560" s="3" t="s">
        <v>4</v>
      </c>
      <c r="C2560" s="2" t="str">
        <f ca="1">IFERROR(__xludf.DUMMYFUNCTION("GOOGLETRANSLATE(A2560,""bn"",""en"")"),"He plays tennis")</f>
        <v>He plays tennis</v>
      </c>
    </row>
    <row r="2561" spans="1:3" ht="15" x14ac:dyDescent="0.25">
      <c r="A2561" s="3" t="s">
        <v>2558</v>
      </c>
      <c r="B2561" s="3" t="s">
        <v>4</v>
      </c>
      <c r="C2561" s="2" t="str">
        <f ca="1">IFERROR(__xludf.DUMMYFUNCTION("GOOGLETRANSLATE(A2561,""bn"",""en"")"),"They wrote poetry")</f>
        <v>They wrote poetry</v>
      </c>
    </row>
    <row r="2562" spans="1:3" ht="15" x14ac:dyDescent="0.25">
      <c r="A2562" s="3" t="s">
        <v>2559</v>
      </c>
      <c r="B2562" s="3" t="s">
        <v>4</v>
      </c>
      <c r="C2562" s="2" t="str">
        <f ca="1">IFERROR(__xludf.DUMMYFUNCTION("GOOGLETRANSLATE(A2562,""bn"",""en"")"),"likes to travel")</f>
        <v>likes to travel</v>
      </c>
    </row>
    <row r="2563" spans="1:3" ht="15" x14ac:dyDescent="0.25">
      <c r="A2563" s="3" t="s">
        <v>2560</v>
      </c>
      <c r="B2563" s="3" t="s">
        <v>4</v>
      </c>
      <c r="C2563" s="2" t="str">
        <f ca="1">IFERROR(__xludf.DUMMYFUNCTION("GOOGLETRANSLATE(A2563,""bn"",""en"")"),"I want a new smartphone")</f>
        <v>I want a new smartphone</v>
      </c>
    </row>
    <row r="2564" spans="1:3" ht="15" x14ac:dyDescent="0.25">
      <c r="A2564" s="3" t="s">
        <v>2561</v>
      </c>
      <c r="B2564" s="3" t="s">
        <v>4</v>
      </c>
      <c r="C2564" s="2" t="str">
        <f ca="1">IFERROR(__xludf.DUMMYFUNCTION("GOOGLETRANSLATE(A2564,""bn"",""en"")"),"They are Java programmers")</f>
        <v>They are Java programmers</v>
      </c>
    </row>
    <row r="2565" spans="1:3" ht="15" x14ac:dyDescent="0.25">
      <c r="A2565" s="3" t="s">
        <v>2562</v>
      </c>
      <c r="B2565" s="3" t="s">
        <v>4</v>
      </c>
      <c r="C2565" s="2" t="str">
        <f ca="1">IFERROR(__xludf.DUMMYFUNCTION("GOOGLETRANSLATE(A2565,""bn"",""en"")"),"He is writing an essay")</f>
        <v>He is writing an essay</v>
      </c>
    </row>
    <row r="2566" spans="1:3" ht="15" x14ac:dyDescent="0.25">
      <c r="A2566" s="3" t="s">
        <v>2563</v>
      </c>
      <c r="B2566" s="3" t="s">
        <v>4</v>
      </c>
      <c r="C2566" s="2" t="str">
        <f ca="1">IFERROR(__xludf.DUMMYFUNCTION("GOOGLETRANSLATE(A2566,""bn"",""en"")"),"Install the application")</f>
        <v>Install the application</v>
      </c>
    </row>
    <row r="2567" spans="1:3" ht="15" x14ac:dyDescent="0.25">
      <c r="A2567" s="3" t="s">
        <v>2564</v>
      </c>
      <c r="B2567" s="3" t="s">
        <v>4</v>
      </c>
      <c r="C2567" s="2" t="str">
        <f ca="1">IFERROR(__xludf.DUMMYFUNCTION("GOOGLETRANSLATE(A2567,""bn"",""en"")"),"Using wifi")</f>
        <v>Using wifi</v>
      </c>
    </row>
    <row r="2568" spans="1:3" ht="15" x14ac:dyDescent="0.25">
      <c r="A2568" s="3" t="s">
        <v>2565</v>
      </c>
      <c r="B2568" s="3" t="s">
        <v>4</v>
      </c>
      <c r="C2568" s="2" t="str">
        <f ca="1">IFERROR(__xludf.DUMMYFUNCTION("GOOGLETRANSLATE(A2568,""bn"",""en"")"),"Write a blog in Bengali")</f>
        <v>Write a blog in Bengali</v>
      </c>
    </row>
    <row r="2569" spans="1:3" ht="15" x14ac:dyDescent="0.25">
      <c r="A2569" s="3" t="s">
        <v>2566</v>
      </c>
      <c r="B2569" s="3" t="s">
        <v>4</v>
      </c>
      <c r="C2569" s="2" t="str">
        <f ca="1">IFERROR(__xludf.DUMMYFUNCTION("GOOGLETRANSLATE(A2569,""bn"",""en"")"),"I took a bath in the sea")</f>
        <v>I took a bath in the sea</v>
      </c>
    </row>
    <row r="2570" spans="1:3" ht="15" x14ac:dyDescent="0.25">
      <c r="A2570" s="3" t="s">
        <v>2567</v>
      </c>
      <c r="B2570" s="3" t="s">
        <v>4</v>
      </c>
      <c r="C2570" s="2" t="str">
        <f ca="1">IFERROR(__xludf.DUMMYFUNCTION("GOOGLETRANSLATE(A2570,""bn"",""en"")"),"Changing the infrastructure")</f>
        <v>Changing the infrastructure</v>
      </c>
    </row>
    <row r="2571" spans="1:3" ht="15" x14ac:dyDescent="0.25">
      <c r="A2571" s="3" t="s">
        <v>2568</v>
      </c>
      <c r="B2571" s="3" t="s">
        <v>4</v>
      </c>
      <c r="C2571" s="2" t="str">
        <f ca="1">IFERROR(__xludf.DUMMYFUNCTION("GOOGLETRANSLATE(A2571,""bn"",""en"")"),"Add the keyboard")</f>
        <v>Add the keyboard</v>
      </c>
    </row>
    <row r="2572" spans="1:3" ht="15" x14ac:dyDescent="0.25">
      <c r="A2572" s="3" t="s">
        <v>2569</v>
      </c>
      <c r="B2572" s="3" t="s">
        <v>4</v>
      </c>
      <c r="C2572" s="2" t="str">
        <f ca="1">IFERROR(__xludf.DUMMYFUNCTION("GOOGLETRANSLATE(A2572,""bn"",""en"")"),"Using headphones")</f>
        <v>Using headphones</v>
      </c>
    </row>
    <row r="2573" spans="1:3" ht="15" x14ac:dyDescent="0.25">
      <c r="A2573" s="3" t="s">
        <v>2570</v>
      </c>
      <c r="B2573" s="3" t="s">
        <v>4</v>
      </c>
      <c r="C2573" s="2" t="str">
        <f ca="1">IFERROR(__xludf.DUMMYFUNCTION("GOOGLETRANSLATE(A2573,""bn"",""en"")"),"Forms the government")</f>
        <v>Forms the government</v>
      </c>
    </row>
    <row r="2574" spans="1:3" ht="15" x14ac:dyDescent="0.25">
      <c r="A2574" s="3" t="s">
        <v>2571</v>
      </c>
      <c r="B2574" s="3" t="s">
        <v>4</v>
      </c>
      <c r="C2574" s="2" t="str">
        <f ca="1">IFERROR(__xludf.DUMMYFUNCTION("GOOGLETRANSLATE(A2574,""bn"",""en"")"),"Do mobile banking")</f>
        <v>Do mobile banking</v>
      </c>
    </row>
    <row r="2575" spans="1:3" ht="15" x14ac:dyDescent="0.25">
      <c r="A2575" s="3" t="s">
        <v>2572</v>
      </c>
      <c r="B2575" s="3" t="s">
        <v>4</v>
      </c>
      <c r="C2575" s="2" t="str">
        <f ca="1">IFERROR(__xludf.DUMMYFUNCTION("GOOGLETRANSLATE(A2575,""bn"",""en"")"),"I want to see improvement")</f>
        <v>I want to see improvement</v>
      </c>
    </row>
    <row r="2576" spans="1:3" ht="15" x14ac:dyDescent="0.25">
      <c r="A2576" s="3" t="s">
        <v>2573</v>
      </c>
      <c r="B2576" s="3" t="s">
        <v>4</v>
      </c>
      <c r="C2576" s="2" t="str">
        <f ca="1">IFERROR(__xludf.DUMMYFUNCTION("GOOGLETRANSLATE(A2576,""bn"",""en"")"),"Sky research is expensive")</f>
        <v>Sky research is expensive</v>
      </c>
    </row>
    <row r="2577" spans="1:3" ht="15" x14ac:dyDescent="0.25">
      <c r="A2577" s="3" t="s">
        <v>2574</v>
      </c>
      <c r="B2577" s="3" t="s">
        <v>4</v>
      </c>
      <c r="C2577" s="2" t="str">
        <f ca="1">IFERROR(__xludf.DUMMYFUNCTION("GOOGLETRANSLATE(A2577,""bn"",""en"")"),"Hacking laptop")</f>
        <v>Hacking laptop</v>
      </c>
    </row>
    <row r="2578" spans="1:3" ht="15" x14ac:dyDescent="0.25">
      <c r="A2578" s="3" t="s">
        <v>2575</v>
      </c>
      <c r="B2578" s="3" t="s">
        <v>4</v>
      </c>
      <c r="C2578" s="2" t="str">
        <f ca="1">IFERROR(__xludf.DUMMYFUNCTION("GOOGLETRANSLATE(A2578,""bn"",""en"")"),"Everyone is watching the game")</f>
        <v>Everyone is watching the game</v>
      </c>
    </row>
    <row r="2579" spans="1:3" ht="15" x14ac:dyDescent="0.25">
      <c r="A2579" s="3" t="s">
        <v>2576</v>
      </c>
      <c r="B2579" s="3" t="s">
        <v>4</v>
      </c>
      <c r="C2579" s="2" t="str">
        <f ca="1">IFERROR(__xludf.DUMMYFUNCTION("GOOGLETRANSLATE(A2579,""bn"",""en"")"),"Saving the file")</f>
        <v>Saving the file</v>
      </c>
    </row>
    <row r="2580" spans="1:3" ht="15" x14ac:dyDescent="0.25">
      <c r="A2580" s="3" t="s">
        <v>2577</v>
      </c>
      <c r="B2580" s="3" t="s">
        <v>4</v>
      </c>
      <c r="C2580" s="2" t="str">
        <f ca="1">IFERROR(__xludf.DUMMYFUNCTION("GOOGLETRANSLATE(A2580,""bn"",""en"")"),"There is financial prosperity")</f>
        <v>There is financial prosperity</v>
      </c>
    </row>
    <row r="2581" spans="1:3" ht="15" x14ac:dyDescent="0.25">
      <c r="A2581" s="3" t="s">
        <v>2578</v>
      </c>
      <c r="B2581" s="3" t="s">
        <v>4</v>
      </c>
      <c r="C2581" s="2" t="str">
        <f ca="1">IFERROR(__xludf.DUMMYFUNCTION("GOOGLETRANSLATE(A2581,""bn"",""en"")"),"I am using iPad")</f>
        <v>I am using iPad</v>
      </c>
    </row>
    <row r="2582" spans="1:3" ht="15" x14ac:dyDescent="0.25">
      <c r="A2582" s="3" t="s">
        <v>2579</v>
      </c>
      <c r="B2582" s="3" t="s">
        <v>4</v>
      </c>
      <c r="C2582" s="2" t="str">
        <f ca="1">IFERROR(__xludf.DUMMYFUNCTION("GOOGLETRANSLATE(A2582,""bn"",""en"")"),"you read english")</f>
        <v>you read english</v>
      </c>
    </row>
    <row r="2583" spans="1:3" ht="15" x14ac:dyDescent="0.25">
      <c r="A2583" s="3" t="s">
        <v>2580</v>
      </c>
      <c r="B2583" s="3" t="s">
        <v>4</v>
      </c>
      <c r="C2583" s="2" t="str">
        <f ca="1">IFERROR(__xludf.DUMMYFUNCTION("GOOGLETRANSLATE(A2583,""bn"",""en"")"),"I use Bluetooth")</f>
        <v>I use Bluetooth</v>
      </c>
    </row>
    <row r="2584" spans="1:3" ht="15" x14ac:dyDescent="0.25">
      <c r="A2584" s="3" t="s">
        <v>2581</v>
      </c>
      <c r="B2584" s="3" t="s">
        <v>4</v>
      </c>
      <c r="C2584" s="2" t="str">
        <f ca="1">IFERROR(__xludf.DUMMYFUNCTION("GOOGLETRANSLATE(A2584,""bn"",""en"")"),"Using a smartphone takes time")</f>
        <v>Using a smartphone takes time</v>
      </c>
    </row>
    <row r="2585" spans="1:3" ht="15" x14ac:dyDescent="0.25">
      <c r="A2585" s="3" t="s">
        <v>2582</v>
      </c>
      <c r="B2585" s="3" t="s">
        <v>4</v>
      </c>
      <c r="C2585" s="2" t="str">
        <f ca="1">IFERROR(__xludf.DUMMYFUNCTION("GOOGLETRANSLATE(A2585,""bn"",""en"")"),"Learning a lot using smartphones")</f>
        <v>Learning a lot using smartphones</v>
      </c>
    </row>
    <row r="2586" spans="1:3" ht="15" x14ac:dyDescent="0.25">
      <c r="A2586" s="3" t="s">
        <v>2583</v>
      </c>
      <c r="B2586" s="3" t="s">
        <v>4</v>
      </c>
      <c r="C2586" s="2" t="str">
        <f ca="1">IFERROR(__xludf.DUMMYFUNCTION("GOOGLETRANSLATE(A2586,""bn"",""en"")"),"I am writing a blog in Bengali")</f>
        <v>I am writing a blog in Bengali</v>
      </c>
    </row>
    <row r="2587" spans="1:3" ht="15" x14ac:dyDescent="0.25">
      <c r="A2587" s="3" t="s">
        <v>2584</v>
      </c>
      <c r="B2587" s="3" t="s">
        <v>4</v>
      </c>
      <c r="C2587" s="2" t="str">
        <f ca="1">IFERROR(__xludf.DUMMYFUNCTION("GOOGLETRANSLATE(A2587,""bn"",""en"")"),"I exercise regularly")</f>
        <v>I exercise regularly</v>
      </c>
    </row>
    <row r="2588" spans="1:3" ht="15" x14ac:dyDescent="0.25">
      <c r="A2588" s="3" t="s">
        <v>2585</v>
      </c>
      <c r="B2588" s="3" t="s">
        <v>4</v>
      </c>
      <c r="C2588" s="2" t="str">
        <f ca="1">IFERROR(__xludf.DUMMYFUNCTION("GOOGLETRANSLATE(A2588,""bn"",""en"")"),"Employee standards have increased")</f>
        <v>Employee standards have increased</v>
      </c>
    </row>
    <row r="2589" spans="1:3" ht="15" x14ac:dyDescent="0.25">
      <c r="A2589" s="3" t="s">
        <v>2586</v>
      </c>
      <c r="B2589" s="3" t="s">
        <v>4</v>
      </c>
      <c r="C2589" s="2" t="str">
        <f ca="1">IFERROR(__xludf.DUMMYFUNCTION("GOOGLETRANSLATE(A2589,""bn"",""en"")"),"Using the speaker")</f>
        <v>Using the speaker</v>
      </c>
    </row>
    <row r="2590" spans="1:3" ht="15" x14ac:dyDescent="0.25">
      <c r="A2590" s="3" t="s">
        <v>2587</v>
      </c>
      <c r="B2590" s="3" t="s">
        <v>4</v>
      </c>
      <c r="C2590" s="2" t="str">
        <f ca="1">IFERROR(__xludf.DUMMYFUNCTION("GOOGLETRANSLATE(A2590,""bn"",""en"")"),"The Prime Minister is discussing")</f>
        <v>The Prime Minister is discussing</v>
      </c>
    </row>
    <row r="2591" spans="1:3" ht="15" x14ac:dyDescent="0.25">
      <c r="A2591" s="3" t="s">
        <v>2588</v>
      </c>
      <c r="B2591" s="3" t="s">
        <v>4</v>
      </c>
      <c r="C2591" s="2" t="str">
        <f ca="1">IFERROR(__xludf.DUMMYFUNCTION("GOOGLETRANSLATE(A2591,""bn"",""en"")"),"Using a smartwatch")</f>
        <v>Using a smartwatch</v>
      </c>
    </row>
    <row r="2592" spans="1:3" ht="15" x14ac:dyDescent="0.25">
      <c r="A2592" s="3" t="s">
        <v>2589</v>
      </c>
      <c r="B2592" s="3" t="s">
        <v>4</v>
      </c>
      <c r="C2592" s="2" t="str">
        <f ca="1">IFERROR(__xludf.DUMMYFUNCTION("GOOGLETRANSLATE(A2592,""bn"",""en"")"),"Credit card done")</f>
        <v>Credit card done</v>
      </c>
    </row>
    <row r="2593" spans="1:3" ht="15" x14ac:dyDescent="0.25">
      <c r="A2593" s="3" t="s">
        <v>2590</v>
      </c>
      <c r="B2593" s="3" t="s">
        <v>4</v>
      </c>
      <c r="C2593" s="2" t="str">
        <f ca="1">IFERROR(__xludf.DUMMYFUNCTION("GOOGLETRANSLATE(A2593,""bn"",""en"")"),"He created the website")</f>
        <v>He created the website</v>
      </c>
    </row>
    <row r="2594" spans="1:3" ht="15" x14ac:dyDescent="0.25">
      <c r="A2594" s="3" t="s">
        <v>2591</v>
      </c>
      <c r="B2594" s="3" t="s">
        <v>4</v>
      </c>
      <c r="C2594" s="2" t="str">
        <f ca="1">IFERROR(__xludf.DUMMYFUNCTION("GOOGLETRANSLATE(A2594,""bn"",""en"")"),"Facebook is a communication medium")</f>
        <v>Facebook is a communication medium</v>
      </c>
    </row>
    <row r="2595" spans="1:3" ht="15" x14ac:dyDescent="0.25">
      <c r="A2595" s="3" t="s">
        <v>2592</v>
      </c>
      <c r="B2595" s="3" t="s">
        <v>4</v>
      </c>
      <c r="C2595" s="2" t="str">
        <f ca="1">IFERROR(__xludf.DUMMYFUNCTION("GOOGLETRANSLATE(A2595,""bn"",""en"")"),"I am developing software")</f>
        <v>I am developing software</v>
      </c>
    </row>
    <row r="2596" spans="1:3" ht="15" x14ac:dyDescent="0.25">
      <c r="A2596" s="3" t="s">
        <v>2593</v>
      </c>
      <c r="B2596" s="3" t="s">
        <v>4</v>
      </c>
      <c r="C2596" s="2" t="str">
        <f ca="1">IFERROR(__xludf.DUMMYFUNCTION("GOOGLETRANSLATE(A2596,""bn"",""en"")"),"People walk on the beach")</f>
        <v>People walk on the beach</v>
      </c>
    </row>
    <row r="2597" spans="1:3" ht="15" x14ac:dyDescent="0.25">
      <c r="A2597" s="3" t="s">
        <v>2594</v>
      </c>
      <c r="B2597" s="3" t="s">
        <v>4</v>
      </c>
      <c r="C2597" s="2" t="str">
        <f ca="1">IFERROR(__xludf.DUMMYFUNCTION("GOOGLETRANSLATE(A2597,""bn"",""en"")"),"Technology is a branch of science")</f>
        <v>Technology is a branch of science</v>
      </c>
    </row>
    <row r="2598" spans="1:3" ht="15" x14ac:dyDescent="0.25">
      <c r="A2598" s="3" t="s">
        <v>2595</v>
      </c>
      <c r="B2598" s="3" t="s">
        <v>4</v>
      </c>
      <c r="C2598" s="2" t="str">
        <f ca="1">IFERROR(__xludf.DUMMYFUNCTION("GOOGLETRANSLATE(A2598,""bn"",""en"")"),"You have learned numbers")</f>
        <v>You have learned numbers</v>
      </c>
    </row>
    <row r="2599" spans="1:3" ht="15" x14ac:dyDescent="0.25">
      <c r="A2599" s="3" t="s">
        <v>2596</v>
      </c>
      <c r="B2599" s="3" t="s">
        <v>4</v>
      </c>
      <c r="C2599" s="2" t="str">
        <f ca="1">IFERROR(__xludf.DUMMYFUNCTION("GOOGLETRANSLATE(A2599,""bn"",""en"")"),"you are writing notes")</f>
        <v>you are writing notes</v>
      </c>
    </row>
    <row r="2600" spans="1:3" ht="15" x14ac:dyDescent="0.25">
      <c r="A2600" s="3" t="s">
        <v>2597</v>
      </c>
      <c r="B2600" s="3" t="s">
        <v>4</v>
      </c>
      <c r="C2600" s="2" t="str">
        <f ca="1">IFERROR(__xludf.DUMMYFUNCTION("GOOGLETRANSLATE(A2600,""bn"",""en"")"),"Publishing research")</f>
        <v>Publishing research</v>
      </c>
    </row>
    <row r="2601" spans="1:3" ht="15" x14ac:dyDescent="0.25">
      <c r="A2601" s="3" t="s">
        <v>2598</v>
      </c>
      <c r="B2601" s="3" t="s">
        <v>4</v>
      </c>
      <c r="C2601" s="2" t="str">
        <f ca="1">IFERROR(__xludf.DUMMYFUNCTION("GOOGLETRANSLATE(A2601,""bn"",""en"")"),"Increased confidence in traveling")</f>
        <v>Increased confidence in traveling</v>
      </c>
    </row>
    <row r="2602" spans="1:3" ht="15" x14ac:dyDescent="0.25">
      <c r="A2602" s="3" t="s">
        <v>2599</v>
      </c>
      <c r="B2602" s="3" t="s">
        <v>4</v>
      </c>
      <c r="C2602" s="2" t="str">
        <f ca="1">IFERROR(__xludf.DUMMYFUNCTION("GOOGLETRANSLATE(A2602,""bn"",""en"")"),"I used the remote")</f>
        <v>I used the remote</v>
      </c>
    </row>
    <row r="2603" spans="1:3" ht="15" x14ac:dyDescent="0.25">
      <c r="A2603" s="3" t="s">
        <v>2600</v>
      </c>
      <c r="B2603" s="3" t="s">
        <v>4</v>
      </c>
      <c r="C2603" s="2" t="str">
        <f ca="1">IFERROR(__xludf.DUMMYFUNCTION("GOOGLETRANSLATE(A2603,""bn"",""en"")"),"Google employees are skilled")</f>
        <v>Google employees are skilled</v>
      </c>
    </row>
    <row r="2604" spans="1:3" ht="15" x14ac:dyDescent="0.25">
      <c r="A2604" s="3" t="s">
        <v>2601</v>
      </c>
      <c r="B2604" s="3" t="s">
        <v>4</v>
      </c>
      <c r="C2604" s="2" t="str">
        <f ca="1">IFERROR(__xludf.DUMMYFUNCTION("GOOGLETRANSLATE(A2604,""bn"",""en"")"),"A single desire to travel")</f>
        <v>A single desire to travel</v>
      </c>
    </row>
    <row r="2605" spans="1:3" ht="15" x14ac:dyDescent="0.25">
      <c r="A2605" s="3" t="s">
        <v>2602</v>
      </c>
      <c r="B2605" s="3" t="s">
        <v>4</v>
      </c>
      <c r="C2605" s="2" t="str">
        <f ca="1">IFERROR(__xludf.DUMMYFUNCTION("GOOGLETRANSLATE(A2605,""bn"",""en"")"),"Using the keyboard")</f>
        <v>Using the keyboard</v>
      </c>
    </row>
    <row r="2606" spans="1:3" ht="15" x14ac:dyDescent="0.25">
      <c r="A2606" s="3" t="s">
        <v>2603</v>
      </c>
      <c r="B2606" s="3" t="s">
        <v>4</v>
      </c>
      <c r="C2606" s="2" t="str">
        <f ca="1">IFERROR(__xludf.DUMMYFUNCTION("GOOGLETRANSLATE(A2606,""bn"",""en"")"),"Take a picture with the camera")</f>
        <v>Take a picture with the camera</v>
      </c>
    </row>
    <row r="2607" spans="1:3" ht="15" x14ac:dyDescent="0.25">
      <c r="A2607" s="3" t="s">
        <v>2604</v>
      </c>
      <c r="B2607" s="3" t="s">
        <v>4</v>
      </c>
      <c r="C2607" s="2" t="str">
        <f ca="1">IFERROR(__xludf.DUMMYFUNCTION("GOOGLETRANSLATE(A2607,""bn"",""en"")"),"Linux operating system")</f>
        <v>Linux operating system</v>
      </c>
    </row>
    <row r="2608" spans="1:3" ht="15" x14ac:dyDescent="0.25">
      <c r="A2608" s="3" t="s">
        <v>2605</v>
      </c>
      <c r="B2608" s="3" t="s">
        <v>4</v>
      </c>
      <c r="C2608" s="2" t="str">
        <f ca="1">IFERROR(__xludf.DUMMYFUNCTION("GOOGLETRANSLATE(A2608,""bn"",""en"")"),"I have read the news on the internet")</f>
        <v>I have read the news on the internet</v>
      </c>
    </row>
    <row r="2609" spans="1:3" ht="15" x14ac:dyDescent="0.25">
      <c r="A2609" s="3" t="s">
        <v>2606</v>
      </c>
      <c r="B2609" s="3" t="s">
        <v>4</v>
      </c>
      <c r="C2609" s="2" t="str">
        <f ca="1">IFERROR(__xludf.DUMMYFUNCTION("GOOGLETRANSLATE(A2609,""bn"",""en"")"),"I have lived a disciplined life")</f>
        <v>I have lived a disciplined life</v>
      </c>
    </row>
    <row r="2610" spans="1:3" ht="15" x14ac:dyDescent="0.25">
      <c r="A2610" s="3" t="s">
        <v>2607</v>
      </c>
      <c r="B2610" s="3" t="s">
        <v>4</v>
      </c>
      <c r="C2610" s="2" t="str">
        <f ca="1">IFERROR(__xludf.DUMMYFUNCTION("GOOGLETRANSLATE(A2610,""bn"",""en"")"),"We are researching")</f>
        <v>We are researching</v>
      </c>
    </row>
    <row r="2611" spans="1:3" ht="15" x14ac:dyDescent="0.25">
      <c r="A2611" s="3" t="s">
        <v>2608</v>
      </c>
      <c r="B2611" s="3" t="s">
        <v>4</v>
      </c>
      <c r="C2611" s="2" t="str">
        <f ca="1">IFERROR(__xludf.DUMMYFUNCTION("GOOGLETRANSLATE(A2611,""bn"",""en"")"),"We have received research incentives")</f>
        <v>We have received research incentives</v>
      </c>
    </row>
    <row r="2612" spans="1:3" ht="15" x14ac:dyDescent="0.25">
      <c r="A2612" s="3" t="s">
        <v>2609</v>
      </c>
      <c r="B2612" s="3" t="s">
        <v>4</v>
      </c>
      <c r="C2612" s="2" t="str">
        <f ca="1">IFERROR(__xludf.DUMMYFUNCTION("GOOGLETRANSLATE(A2612,""bn"",""en"")"),"The price is increasing in the market")</f>
        <v>The price is increasing in the market</v>
      </c>
    </row>
    <row r="2613" spans="1:3" ht="15" x14ac:dyDescent="0.25">
      <c r="A2613" s="3" t="s">
        <v>2610</v>
      </c>
      <c r="B2613" s="3" t="s">
        <v>4</v>
      </c>
      <c r="C2613" s="2" t="str">
        <f ca="1">IFERROR(__xludf.DUMMYFUNCTION("GOOGLETRANSLATE(A2613,""bn"",""en"")"),"The teachers did the research")</f>
        <v>The teachers did the research</v>
      </c>
    </row>
    <row r="2614" spans="1:3" ht="15" x14ac:dyDescent="0.25">
      <c r="A2614" s="3" t="s">
        <v>2611</v>
      </c>
      <c r="B2614" s="3" t="s">
        <v>4</v>
      </c>
      <c r="C2614" s="2" t="str">
        <f ca="1">IFERROR(__xludf.DUMMYFUNCTION("GOOGLETRANSLATE(A2614,""bn"",""en"")"),"I enjoy traveling")</f>
        <v>I enjoy traveling</v>
      </c>
    </row>
    <row r="2615" spans="1:3" ht="15" x14ac:dyDescent="0.25">
      <c r="A2615" s="3" t="s">
        <v>2612</v>
      </c>
      <c r="B2615" s="3" t="s">
        <v>4</v>
      </c>
      <c r="C2615" s="2" t="str">
        <f ca="1">IFERROR(__xludf.DUMMYFUNCTION("GOOGLETRANSLATE(A2615,""bn"",""en"")"),"People have met")</f>
        <v>People have met</v>
      </c>
    </row>
    <row r="2616" spans="1:3" ht="15" x14ac:dyDescent="0.25">
      <c r="A2616" s="3" t="s">
        <v>2613</v>
      </c>
      <c r="B2616" s="3" t="s">
        <v>4</v>
      </c>
      <c r="C2616" s="2" t="str">
        <f ca="1">IFERROR(__xludf.DUMMYFUNCTION("GOOGLETRANSLATE(A2616,""bn"",""en"")"),"The book is the development of intelligence")</f>
        <v>The book is the development of intelligence</v>
      </c>
    </row>
    <row r="2617" spans="1:3" ht="15" x14ac:dyDescent="0.25">
      <c r="A2617" s="3" t="s">
        <v>2614</v>
      </c>
      <c r="B2617" s="3" t="s">
        <v>4</v>
      </c>
      <c r="C2617" s="2" t="str">
        <f ca="1">IFERROR(__xludf.DUMMYFUNCTION("GOOGLETRANSLATE(A2617,""bn"",""en"")"),"you do the math")</f>
        <v>you do the math</v>
      </c>
    </row>
    <row r="2618" spans="1:3" ht="15" x14ac:dyDescent="0.25">
      <c r="A2618" s="3" t="s">
        <v>2615</v>
      </c>
      <c r="B2618" s="3" t="s">
        <v>4</v>
      </c>
      <c r="C2618" s="2" t="str">
        <f ca="1">IFERROR(__xludf.DUMMYFUNCTION("GOOGLETRANSLATE(A2618,""bn"",""en"")"),"you are learning numbers")</f>
        <v>you are learning numbers</v>
      </c>
    </row>
    <row r="2619" spans="1:3" ht="15" x14ac:dyDescent="0.25">
      <c r="A2619" s="3" t="s">
        <v>2616</v>
      </c>
      <c r="B2619" s="3" t="s">
        <v>4</v>
      </c>
      <c r="C2619" s="2" t="str">
        <f ca="1">IFERROR(__xludf.DUMMYFUNCTION("GOOGLETRANSLATE(A2619,""bn"",""en"")"),"The price was increasing in the market")</f>
        <v>The price was increasing in the market</v>
      </c>
    </row>
    <row r="2620" spans="1:3" ht="15" x14ac:dyDescent="0.25">
      <c r="A2620" s="3" t="s">
        <v>2617</v>
      </c>
      <c r="B2620" s="3" t="s">
        <v>4</v>
      </c>
      <c r="C2620" s="2" t="str">
        <f ca="1">IFERROR(__xludf.DUMMYFUNCTION("GOOGLETRANSLATE(A2620,""bn"",""en"")"),"The news is spreading")</f>
        <v>The news is spreading</v>
      </c>
    </row>
    <row r="2621" spans="1:3" ht="15" x14ac:dyDescent="0.25">
      <c r="A2621" s="3" t="s">
        <v>2618</v>
      </c>
      <c r="B2621" s="3" t="s">
        <v>4</v>
      </c>
      <c r="C2621" s="2" t="str">
        <f ca="1">IFERROR(__xludf.DUMMYFUNCTION("GOOGLETRANSLATE(A2621,""bn"",""en"")"),"I played sports in college")</f>
        <v>I played sports in college</v>
      </c>
    </row>
    <row r="2622" spans="1:3" ht="15" x14ac:dyDescent="0.25">
      <c r="A2622" s="3" t="s">
        <v>2619</v>
      </c>
      <c r="B2622" s="3" t="s">
        <v>4</v>
      </c>
      <c r="C2622" s="2" t="str">
        <f ca="1">IFERROR(__xludf.DUMMYFUNCTION("GOOGLETRANSLATE(A2622,""bn"",""en"")"),"It takes a lot of time to download the software")</f>
        <v>It takes a lot of time to download the software</v>
      </c>
    </row>
    <row r="2623" spans="1:3" ht="15" x14ac:dyDescent="0.25">
      <c r="A2623" s="3" t="s">
        <v>2620</v>
      </c>
      <c r="B2623" s="3" t="s">
        <v>4</v>
      </c>
      <c r="C2623" s="2" t="str">
        <f ca="1">IFERROR(__xludf.DUMMYFUNCTION("GOOGLETRANSLATE(A2623,""bn"",""en"")"),"Introducing the product")</f>
        <v>Introducing the product</v>
      </c>
    </row>
    <row r="2624" spans="1:3" ht="15" x14ac:dyDescent="0.25">
      <c r="A2624" s="3" t="s">
        <v>2621</v>
      </c>
      <c r="B2624" s="3" t="s">
        <v>4</v>
      </c>
      <c r="C2624" s="2" t="str">
        <f ca="1">IFERROR(__xludf.DUMMYFUNCTION("GOOGLETRANSLATE(A2624,""bn"",""en"")"),"Listening to music on bluetooth speaker")</f>
        <v>Listening to music on bluetooth speaker</v>
      </c>
    </row>
    <row r="2625" spans="1:3" ht="15" x14ac:dyDescent="0.25">
      <c r="A2625" s="3" t="s">
        <v>2622</v>
      </c>
      <c r="B2625" s="3" t="s">
        <v>4</v>
      </c>
      <c r="C2625" s="2" t="str">
        <f ca="1">IFERROR(__xludf.DUMMYFUNCTION("GOOGLETRANSLATE(A2625,""bn"",""en"")"),"Syndication is difficult in grammar")</f>
        <v>Syndication is difficult in grammar</v>
      </c>
    </row>
    <row r="2626" spans="1:3" ht="15" x14ac:dyDescent="0.25">
      <c r="A2626" s="3" t="s">
        <v>2623</v>
      </c>
      <c r="B2626" s="3" t="s">
        <v>4</v>
      </c>
      <c r="C2626" s="2" t="str">
        <f ca="1">IFERROR(__xludf.DUMMYFUNCTION("GOOGLETRANSLATE(A2626,""bn"",""en"")"),"I don't want to read sandhi in grammar")</f>
        <v>I don't want to read sandhi in grammar</v>
      </c>
    </row>
    <row r="2627" spans="1:3" ht="15" x14ac:dyDescent="0.25">
      <c r="A2627" s="3" t="s">
        <v>2624</v>
      </c>
      <c r="B2627" s="3" t="s">
        <v>4</v>
      </c>
      <c r="C2627" s="2" t="str">
        <f ca="1">IFERROR(__xludf.DUMMYFUNCTION("GOOGLETRANSLATE(A2627,""bn"",""en"")"),"Using eReader")</f>
        <v>Using eReader</v>
      </c>
    </row>
    <row r="2628" spans="1:3" ht="15" x14ac:dyDescent="0.25">
      <c r="A2628" s="3" t="s">
        <v>2625</v>
      </c>
      <c r="B2628" s="3" t="s">
        <v>4</v>
      </c>
      <c r="C2628" s="2" t="str">
        <f ca="1">IFERROR(__xludf.DUMMYFUNCTION("GOOGLETRANSLATE(A2628,""bn"",""en"")"),"Search on Google")</f>
        <v>Search on Google</v>
      </c>
    </row>
    <row r="2629" spans="1:3" ht="15" x14ac:dyDescent="0.25">
      <c r="A2629" s="3" t="s">
        <v>2626</v>
      </c>
      <c r="B2629" s="3" t="s">
        <v>4</v>
      </c>
      <c r="C2629" s="2" t="str">
        <f ca="1">IFERROR(__xludf.DUMMYFUNCTION("GOOGLETRANSLATE(A2629,""bn"",""en"")"),"He read the Quran")</f>
        <v>He read the Quran</v>
      </c>
    </row>
    <row r="2630" spans="1:3" ht="15" x14ac:dyDescent="0.25">
      <c r="A2630" s="3" t="s">
        <v>2627</v>
      </c>
      <c r="B2630" s="3" t="s">
        <v>4</v>
      </c>
      <c r="C2630" s="2" t="str">
        <f ca="1">IFERROR(__xludf.DUMMYFUNCTION("GOOGLETRANSLATE(A2630,""bn"",""en"")"),"Sending messages daily")</f>
        <v>Sending messages daily</v>
      </c>
    </row>
    <row r="2631" spans="1:3" ht="15" x14ac:dyDescent="0.25">
      <c r="A2631" s="3" t="s">
        <v>2628</v>
      </c>
      <c r="B2631" s="3" t="s">
        <v>4</v>
      </c>
      <c r="C2631" s="2" t="str">
        <f ca="1">IFERROR(__xludf.DUMMYFUNCTION("GOOGLETRANSLATE(A2631,""bn"",""en"")"),"Passbook is a required document")</f>
        <v>Passbook is a required document</v>
      </c>
    </row>
    <row r="2632" spans="1:3" ht="15" x14ac:dyDescent="0.25">
      <c r="A2632" s="3" t="s">
        <v>2629</v>
      </c>
      <c r="B2632" s="3" t="s">
        <v>4</v>
      </c>
      <c r="C2632" s="2" t="str">
        <f ca="1">IFERROR(__xludf.DUMMYFUNCTION("GOOGLETRANSLATE(A2632,""bn"",""en"")"),"Buy a laptop")</f>
        <v>Buy a laptop</v>
      </c>
    </row>
    <row r="2633" spans="1:3" ht="15" x14ac:dyDescent="0.25">
      <c r="A2633" s="3" t="s">
        <v>2630</v>
      </c>
      <c r="B2633" s="3" t="s">
        <v>4</v>
      </c>
      <c r="C2633" s="2" t="str">
        <f ca="1">IFERROR(__xludf.DUMMYFUNCTION("GOOGLETRANSLATE(A2633,""bn"",""en"")"),"He is learning numbers")</f>
        <v>He is learning numbers</v>
      </c>
    </row>
    <row r="2634" spans="1:3" ht="15" x14ac:dyDescent="0.25">
      <c r="A2634" s="3" t="s">
        <v>2631</v>
      </c>
      <c r="B2634" s="3" t="s">
        <v>4</v>
      </c>
      <c r="C2634" s="2" t="str">
        <f ca="1">IFERROR(__xludf.DUMMYFUNCTION("GOOGLETRANSLATE(A2634,""bn"",""en"")"),"I want to see the Taj Mahal")</f>
        <v>I want to see the Taj Mahal</v>
      </c>
    </row>
    <row r="2635" spans="1:3" ht="15" x14ac:dyDescent="0.25">
      <c r="A2635" s="3" t="s">
        <v>2632</v>
      </c>
      <c r="B2635" s="3" t="s">
        <v>4</v>
      </c>
      <c r="C2635" s="2" t="str">
        <f ca="1">IFERROR(__xludf.DUMMYFUNCTION("GOOGLETRANSLATE(A2635,""bn"",""en"")"),"He has written essays")</f>
        <v>He has written essays</v>
      </c>
    </row>
    <row r="2636" spans="1:3" ht="15" x14ac:dyDescent="0.25">
      <c r="A2636" s="3" t="s">
        <v>2633</v>
      </c>
      <c r="B2636" s="3" t="s">
        <v>4</v>
      </c>
      <c r="C2636" s="2" t="str">
        <f ca="1">IFERROR(__xludf.DUMMYFUNCTION("GOOGLETRANSLATE(A2636,""bn"",""en"")"),"He did the math")</f>
        <v>He did the math</v>
      </c>
    </row>
    <row r="2637" spans="1:3" ht="15" x14ac:dyDescent="0.25">
      <c r="A2637" s="3" t="s">
        <v>2634</v>
      </c>
      <c r="B2637" s="3" t="s">
        <v>4</v>
      </c>
      <c r="C2637" s="2" t="str">
        <f ca="1">IFERROR(__xludf.DUMMYFUNCTION("GOOGLETRANSLATE(A2637,""bn"",""en"")"),"The meeting of the Prime Minister was held")</f>
        <v>The meeting of the Prime Minister was held</v>
      </c>
    </row>
    <row r="2638" spans="1:3" ht="15" x14ac:dyDescent="0.25">
      <c r="A2638" s="3" t="s">
        <v>2635</v>
      </c>
      <c r="B2638" s="3" t="s">
        <v>4</v>
      </c>
      <c r="C2638" s="2" t="str">
        <f ca="1">IFERROR(__xludf.DUMMYFUNCTION("GOOGLETRANSLATE(A2638,""bn"",""en"")"),"Always keep account updated to avail benefits")</f>
        <v>Always keep account updated to avail benefits</v>
      </c>
    </row>
    <row r="2639" spans="1:3" ht="15" x14ac:dyDescent="0.25">
      <c r="A2639" s="3" t="s">
        <v>2636</v>
      </c>
      <c r="B2639" s="3" t="s">
        <v>4</v>
      </c>
      <c r="C2639" s="2" t="str">
        <f ca="1">IFERROR(__xludf.DUMMYFUNCTION("GOOGLETRANSLATE(A2639,""bn"",""en"")"),"Bank loans are decreasing")</f>
        <v>Bank loans are decreasing</v>
      </c>
    </row>
    <row r="2640" spans="1:3" ht="15" x14ac:dyDescent="0.25">
      <c r="A2640" s="3" t="s">
        <v>2637</v>
      </c>
      <c r="B2640" s="3" t="s">
        <v>4</v>
      </c>
      <c r="C2640" s="2" t="str">
        <f ca="1">IFERROR(__xludf.DUMMYFUNCTION("GOOGLETRANSLATE(A2640,""bn"",""en"")"),"I've been to the rainforest")</f>
        <v>I've been to the rainforest</v>
      </c>
    </row>
    <row r="2641" spans="1:3" ht="15" x14ac:dyDescent="0.25">
      <c r="A2641" s="3" t="s">
        <v>2638</v>
      </c>
      <c r="B2641" s="3" t="s">
        <v>4</v>
      </c>
      <c r="C2641" s="2" t="str">
        <f ca="1">IFERROR(__xludf.DUMMYFUNCTION("GOOGLETRANSLATE(A2641,""bn"",""en"")"),"Google phones are expensive")</f>
        <v>Google phones are expensive</v>
      </c>
    </row>
    <row r="2642" spans="1:3" ht="15" x14ac:dyDescent="0.25">
      <c r="A2642" s="3" t="s">
        <v>2639</v>
      </c>
      <c r="B2642" s="3" t="s">
        <v>4</v>
      </c>
      <c r="C2642" s="2" t="str">
        <f ca="1">IFERROR(__xludf.DUMMYFUNCTION("GOOGLETRANSLATE(A2642,""bn"",""en"")"),"I am going to open an account to deposit money")</f>
        <v>I am going to open an account to deposit money</v>
      </c>
    </row>
    <row r="2643" spans="1:3" ht="15" x14ac:dyDescent="0.25">
      <c r="A2643" s="3" t="s">
        <v>2640</v>
      </c>
      <c r="B2643" s="3" t="s">
        <v>4</v>
      </c>
      <c r="C2643" s="2" t="str">
        <f ca="1">IFERROR(__xludf.DUMMYFUNCTION("GOOGLETRANSLATE(A2643,""bn"",""en"")"),"Kashmir is heaven on earth")</f>
        <v>Kashmir is heaven on earth</v>
      </c>
    </row>
    <row r="2644" spans="1:3" ht="15" x14ac:dyDescent="0.25">
      <c r="A2644" s="3" t="s">
        <v>2641</v>
      </c>
      <c r="B2644" s="3" t="s">
        <v>4</v>
      </c>
      <c r="C2644" s="2" t="str">
        <f ca="1">IFERROR(__xludf.DUMMYFUNCTION("GOOGLETRANSLATE(A2644,""bn"",""en"")"),"Have a credit card")</f>
        <v>Have a credit card</v>
      </c>
    </row>
    <row r="2645" spans="1:3" ht="15" x14ac:dyDescent="0.25">
      <c r="A2645" s="3" t="s">
        <v>2642</v>
      </c>
      <c r="B2645" s="3" t="s">
        <v>4</v>
      </c>
      <c r="C2645" s="2" t="str">
        <f ca="1">IFERROR(__xludf.DUMMYFUNCTION("GOOGLETRANSLATE(A2645,""bn"",""en"")"),"He read the paper")</f>
        <v>He read the paper</v>
      </c>
    </row>
    <row r="2646" spans="1:3" ht="15" x14ac:dyDescent="0.25">
      <c r="A2646" s="3" t="s">
        <v>2643</v>
      </c>
      <c r="B2646" s="3" t="s">
        <v>4</v>
      </c>
      <c r="C2646" s="2" t="str">
        <f ca="1">IFERROR(__xludf.DUMMYFUNCTION("GOOGLETRANSLATE(A2646,""bn"",""en"")"),"Teachers are working hard")</f>
        <v>Teachers are working hard</v>
      </c>
    </row>
    <row r="2647" spans="1:3" ht="15" x14ac:dyDescent="0.25">
      <c r="A2647" s="3" t="s">
        <v>2644</v>
      </c>
      <c r="B2647" s="3" t="s">
        <v>4</v>
      </c>
      <c r="C2647" s="2" t="str">
        <f ca="1">IFERROR(__xludf.DUMMYFUNCTION("GOOGLETRANSLATE(A2647,""bn"",""en"")"),"Elimination is the factory")</f>
        <v>Elimination is the factory</v>
      </c>
    </row>
    <row r="2648" spans="1:3" ht="15" x14ac:dyDescent="0.25">
      <c r="A2648" s="3" t="s">
        <v>2645</v>
      </c>
      <c r="B2648" s="3" t="s">
        <v>4</v>
      </c>
      <c r="C2648" s="2" t="str">
        <f ca="1">IFERROR(__xludf.DUMMYFUNCTION("GOOGLETRANSLATE(A2648,""bn"",""en"")"),"The singular creativity of technology")</f>
        <v>The singular creativity of technology</v>
      </c>
    </row>
    <row r="2649" spans="1:3" ht="15" x14ac:dyDescent="0.25">
      <c r="A2649" s="3" t="s">
        <v>2646</v>
      </c>
      <c r="B2649" s="3" t="s">
        <v>4</v>
      </c>
      <c r="C2649" s="2" t="str">
        <f ca="1">IFERROR(__xludf.DUMMYFUNCTION("GOOGLETRANSLATE(A2649,""bn"",""en"")"),"speak against")</f>
        <v>speak against</v>
      </c>
    </row>
    <row r="2650" spans="1:3" ht="15" x14ac:dyDescent="0.25">
      <c r="A2650" s="3" t="s">
        <v>2647</v>
      </c>
      <c r="B2650" s="3" t="s">
        <v>4</v>
      </c>
      <c r="C2650" s="2" t="str">
        <f ca="1">IFERROR(__xludf.DUMMYFUNCTION("GOOGLETRANSLATE(A2650,""bn"",""en"")"),"There are many compilers in the market")</f>
        <v>There are many compilers in the market</v>
      </c>
    </row>
    <row r="2651" spans="1:3" ht="15" x14ac:dyDescent="0.25">
      <c r="A2651" s="3" t="s">
        <v>2648</v>
      </c>
      <c r="B2651" s="3" t="s">
        <v>4</v>
      </c>
      <c r="C2651" s="2" t="str">
        <f ca="1">IFERROR(__xludf.DUMMYFUNCTION("GOOGLETRANSLATE(A2651,""bn"",""en"")"),"I am taking example")</f>
        <v>I am taking example</v>
      </c>
    </row>
    <row r="2652" spans="1:3" ht="15" x14ac:dyDescent="0.25">
      <c r="A2652" s="3" t="s">
        <v>2649</v>
      </c>
      <c r="B2652" s="3" t="s">
        <v>4</v>
      </c>
      <c r="C2652" s="2" t="str">
        <f ca="1">IFERROR(__xludf.DUMMYFUNCTION("GOOGLETRANSLATE(A2652,""bn"",""en"")"),"Windows is getting popular")</f>
        <v>Windows is getting popular</v>
      </c>
    </row>
    <row r="2653" spans="1:3" ht="15" x14ac:dyDescent="0.25">
      <c r="A2653" s="3" t="s">
        <v>2650</v>
      </c>
      <c r="B2653" s="3" t="s">
        <v>4</v>
      </c>
      <c r="C2653" s="2" t="str">
        <f ca="1">IFERROR(__xludf.DUMMYFUNCTION("GOOGLETRANSLATE(A2653,""bn"",""en"")"),"Digital meter trouble")</f>
        <v>Digital meter trouble</v>
      </c>
    </row>
    <row r="2654" spans="1:3" ht="15" x14ac:dyDescent="0.25">
      <c r="A2654" s="3" t="s">
        <v>2651</v>
      </c>
      <c r="B2654" s="3" t="s">
        <v>4</v>
      </c>
      <c r="C2654" s="2" t="str">
        <f ca="1">IFERROR(__xludf.DUMMYFUNCTION("GOOGLETRANSLATE(A2654,""bn"",""en"")"),"using rom")</f>
        <v>using rom</v>
      </c>
    </row>
    <row r="2655" spans="1:3" ht="15" x14ac:dyDescent="0.25">
      <c r="A2655" s="3" t="s">
        <v>2652</v>
      </c>
      <c r="B2655" s="3" t="s">
        <v>4</v>
      </c>
      <c r="C2655" s="2" t="str">
        <f ca="1">IFERROR(__xludf.DUMMYFUNCTION("GOOGLETRANSLATE(A2655,""bn"",""en"")"),"I use wifi")</f>
        <v>I use wifi</v>
      </c>
    </row>
    <row r="2656" spans="1:3" ht="15" x14ac:dyDescent="0.25">
      <c r="A2656" s="3" t="s">
        <v>2653</v>
      </c>
      <c r="B2656" s="3" t="s">
        <v>4</v>
      </c>
      <c r="C2656" s="2" t="str">
        <f ca="1">IFERROR(__xludf.DUMMYFUNCTION("GOOGLETRANSLATE(A2656,""bn"",""en"")"),"Taught Arabic")</f>
        <v>Taught Arabic</v>
      </c>
    </row>
    <row r="2657" spans="1:3" ht="15" x14ac:dyDescent="0.25">
      <c r="A2657" s="3" t="s">
        <v>2654</v>
      </c>
      <c r="B2657" s="3" t="s">
        <v>4</v>
      </c>
      <c r="C2657" s="2" t="str">
        <f ca="1">IFERROR(__xludf.DUMMYFUNCTION("GOOGLETRANSLATE(A2657,""bn"",""en"")"),"I used desktop")</f>
        <v>I used desktop</v>
      </c>
    </row>
    <row r="2658" spans="1:3" ht="15" x14ac:dyDescent="0.25">
      <c r="A2658" s="3" t="s">
        <v>2655</v>
      </c>
      <c r="B2658" s="3" t="s">
        <v>4</v>
      </c>
      <c r="C2658" s="2" t="str">
        <f ca="1">IFERROR(__xludf.DUMMYFUNCTION("GOOGLETRANSLATE(A2658,""bn"",""en"")"),"Used ROM")</f>
        <v>Used ROM</v>
      </c>
    </row>
    <row r="2659" spans="1:3" ht="15" x14ac:dyDescent="0.25">
      <c r="A2659" s="3" t="s">
        <v>2656</v>
      </c>
      <c r="B2659" s="3" t="s">
        <v>4</v>
      </c>
      <c r="C2659" s="2" t="str">
        <f ca="1">IFERROR(__xludf.DUMMYFUNCTION("GOOGLETRANSLATE(A2659,""bn"",""en"")"),"Education reduces poverty")</f>
        <v>Education reduces poverty</v>
      </c>
    </row>
    <row r="2660" spans="1:3" ht="15" x14ac:dyDescent="0.25">
      <c r="A2660" s="3" t="s">
        <v>2657</v>
      </c>
      <c r="B2660" s="3" t="s">
        <v>4</v>
      </c>
      <c r="C2660" s="2" t="str">
        <f ca="1">IFERROR(__xludf.DUMMYFUNCTION("GOOGLETRANSLATE(A2660,""bn"",""en"")"),"Diagnosing the disease")</f>
        <v>Diagnosing the disease</v>
      </c>
    </row>
    <row r="2661" spans="1:3" ht="15" x14ac:dyDescent="0.25">
      <c r="A2661" s="3" t="s">
        <v>2658</v>
      </c>
      <c r="B2661" s="3" t="s">
        <v>4</v>
      </c>
      <c r="C2661" s="2" t="str">
        <f ca="1">IFERROR(__xludf.DUMMYFUNCTION("GOOGLETRANSLATE(A2661,""bn"",""en"")"),"Watching the game regularly")</f>
        <v>Watching the game regularly</v>
      </c>
    </row>
    <row r="2662" spans="1:3" ht="15" x14ac:dyDescent="0.25">
      <c r="A2662" s="3" t="s">
        <v>2659</v>
      </c>
      <c r="B2662" s="3" t="s">
        <v>4</v>
      </c>
      <c r="C2662" s="2" t="str">
        <f ca="1">IFERROR(__xludf.DUMMYFUNCTION("GOOGLETRANSLATE(A2662,""bn"",""en"")"),"I give bank service")</f>
        <v>I give bank service</v>
      </c>
    </row>
    <row r="2663" spans="1:3" ht="15" x14ac:dyDescent="0.25">
      <c r="A2663" s="3" t="s">
        <v>2660</v>
      </c>
      <c r="B2663" s="3" t="s">
        <v>4</v>
      </c>
      <c r="C2663" s="2" t="str">
        <f ca="1">IFERROR(__xludf.DUMMYFUNCTION("GOOGLETRANSLATE(A2663,""bn"",""en"")"),"Increasing confidence in travel")</f>
        <v>Increasing confidence in travel</v>
      </c>
    </row>
    <row r="2664" spans="1:3" ht="15" x14ac:dyDescent="0.25">
      <c r="A2664" s="3" t="s">
        <v>2661</v>
      </c>
      <c r="B2664" s="3" t="s">
        <v>4</v>
      </c>
      <c r="C2664" s="2" t="str">
        <f ca="1">IFERROR(__xludf.DUMMYFUNCTION("GOOGLETRANSLATE(A2664,""bn"",""en"")"),"Students are playing Hadudu")</f>
        <v>Students are playing Hadudu</v>
      </c>
    </row>
    <row r="2665" spans="1:3" ht="15" x14ac:dyDescent="0.25">
      <c r="A2665" s="3" t="s">
        <v>2662</v>
      </c>
      <c r="B2665" s="3" t="s">
        <v>4</v>
      </c>
      <c r="C2665" s="2" t="str">
        <f ca="1">IFERROR(__xludf.DUMMYFUNCTION("GOOGLETRANSLATE(A2665,""bn"",""en"")"),"New technology is coming")</f>
        <v>New technology is coming</v>
      </c>
    </row>
    <row r="2666" spans="1:3" ht="15" x14ac:dyDescent="0.25">
      <c r="A2666" s="3" t="s">
        <v>2663</v>
      </c>
      <c r="B2666" s="3" t="s">
        <v>4</v>
      </c>
      <c r="C2666" s="2" t="str">
        <f ca="1">IFERROR(__xludf.DUMMYFUNCTION("GOOGLETRANSLATE(A2666,""bn"",""en"")"),"GPS service is useful")</f>
        <v>GPS service is useful</v>
      </c>
    </row>
    <row r="2667" spans="1:3" ht="15" x14ac:dyDescent="0.25">
      <c r="A2667" s="3" t="s">
        <v>2664</v>
      </c>
      <c r="B2667" s="3" t="s">
        <v>4</v>
      </c>
      <c r="C2667" s="2" t="str">
        <f ca="1">IFERROR(__xludf.DUMMYFUNCTION("GOOGLETRANSLATE(A2667,""bn"",""en"")"),"Depositing money")</f>
        <v>Depositing money</v>
      </c>
    </row>
    <row r="2668" spans="1:3" ht="15" x14ac:dyDescent="0.25">
      <c r="A2668" s="3" t="s">
        <v>2665</v>
      </c>
      <c r="B2668" s="3" t="s">
        <v>4</v>
      </c>
      <c r="C2668" s="2" t="str">
        <f ca="1">IFERROR(__xludf.DUMMYFUNCTION("GOOGLETRANSLATE(A2668,""bn"",""en"")"),"I enjoy listening to stories on mobile")</f>
        <v>I enjoy listening to stories on mobile</v>
      </c>
    </row>
    <row r="2669" spans="1:3" ht="15" x14ac:dyDescent="0.25">
      <c r="A2669" s="3" t="s">
        <v>2666</v>
      </c>
      <c r="B2669" s="3" t="s">
        <v>4</v>
      </c>
      <c r="C2669" s="2" t="str">
        <f ca="1">IFERROR(__xludf.DUMMYFUNCTION("GOOGLETRANSLATE(A2669,""bn"",""en"")"),"The travel memory is increasing")</f>
        <v>The travel memory is increasing</v>
      </c>
    </row>
    <row r="2670" spans="1:3" ht="15" x14ac:dyDescent="0.25">
      <c r="A2670" s="3" t="s">
        <v>2667</v>
      </c>
      <c r="B2670" s="3" t="s">
        <v>4</v>
      </c>
      <c r="C2670" s="2" t="str">
        <f ca="1">IFERROR(__xludf.DUMMYFUNCTION("GOOGLETRANSLATE(A2670,""bn"",""en"")"),"you learn numbers")</f>
        <v>you learn numbers</v>
      </c>
    </row>
    <row r="2671" spans="1:3" ht="15" x14ac:dyDescent="0.25">
      <c r="A2671" s="3" t="s">
        <v>2668</v>
      </c>
      <c r="B2671" s="3" t="s">
        <v>4</v>
      </c>
      <c r="C2671" s="2" t="str">
        <f ca="1">IFERROR(__xludf.DUMMYFUNCTION("GOOGLETRANSLATE(A2671,""bn"",""en"")"),"He learns computer")</f>
        <v>He learns computer</v>
      </c>
    </row>
    <row r="2672" spans="1:3" ht="15" x14ac:dyDescent="0.25">
      <c r="A2672" s="3" t="s">
        <v>2669</v>
      </c>
      <c r="B2672" s="3" t="s">
        <v>4</v>
      </c>
      <c r="C2672" s="2" t="str">
        <f ca="1">IFERROR(__xludf.DUMMYFUNCTION("GOOGLETRANSLATE(A2672,""bn"",""en"")"),"Let's start the journey")</f>
        <v>Let's start the journey</v>
      </c>
    </row>
    <row r="2673" spans="1:3" ht="15" x14ac:dyDescent="0.25">
      <c r="A2673" s="3" t="s">
        <v>2670</v>
      </c>
      <c r="B2673" s="3" t="s">
        <v>4</v>
      </c>
      <c r="C2673" s="2" t="str">
        <f ca="1">IFERROR(__xludf.DUMMYFUNCTION("GOOGLETRANSLATE(A2673,""bn"",""en"")"),"I am ordering the ebook")</f>
        <v>I am ordering the ebook</v>
      </c>
    </row>
    <row r="2674" spans="1:3" ht="15" x14ac:dyDescent="0.25">
      <c r="A2674" s="3" t="s">
        <v>2671</v>
      </c>
      <c r="B2674" s="3" t="s">
        <v>4</v>
      </c>
      <c r="C2674" s="2" t="str">
        <f ca="1">IFERROR(__xludf.DUMMYFUNCTION("GOOGLETRANSLATE(A2674,""bn"",""en"")"),"I have paid zakat")</f>
        <v>I have paid zakat</v>
      </c>
    </row>
    <row r="2675" spans="1:3" ht="15" x14ac:dyDescent="0.25">
      <c r="A2675" s="3" t="s">
        <v>2672</v>
      </c>
      <c r="B2675" s="3" t="s">
        <v>4</v>
      </c>
      <c r="C2675" s="2" t="str">
        <f ca="1">IFERROR(__xludf.DUMMYFUNCTION("GOOGLETRANSLATE(A2675,""bn"",""en"")"),"Do mobile banking")</f>
        <v>Do mobile banking</v>
      </c>
    </row>
    <row r="2676" spans="1:3" ht="15" x14ac:dyDescent="0.25">
      <c r="A2676" s="3" t="s">
        <v>2673</v>
      </c>
      <c r="B2676" s="3" t="s">
        <v>4</v>
      </c>
      <c r="C2676" s="2" t="str">
        <f ca="1">IFERROR(__xludf.DUMMYFUNCTION("GOOGLETRANSLATE(A2676,""bn"",""en"")"),"Market prices are falling")</f>
        <v>Market prices are falling</v>
      </c>
    </row>
    <row r="2677" spans="1:3" ht="15" x14ac:dyDescent="0.25">
      <c r="A2677" s="3" t="s">
        <v>2674</v>
      </c>
      <c r="B2677" s="3" t="s">
        <v>4</v>
      </c>
      <c r="C2677" s="2" t="str">
        <f ca="1">IFERROR(__xludf.DUMMYFUNCTION("GOOGLETRANSLATE(A2677,""bn"",""en"")"),"Analyzing the website")</f>
        <v>Analyzing the website</v>
      </c>
    </row>
    <row r="2678" spans="1:3" ht="15" x14ac:dyDescent="0.25">
      <c r="A2678" s="3" t="s">
        <v>2675</v>
      </c>
      <c r="B2678" s="3" t="s">
        <v>4</v>
      </c>
      <c r="C2678" s="2" t="str">
        <f ca="1">IFERROR(__xludf.DUMMYFUNCTION("GOOGLETRANSLATE(A2678,""bn"",""en"")"),"WhatsApp is owned by Facebook")</f>
        <v>WhatsApp is owned by Facebook</v>
      </c>
    </row>
    <row r="2679" spans="1:3" ht="15" x14ac:dyDescent="0.25">
      <c r="A2679" s="3" t="s">
        <v>2676</v>
      </c>
      <c r="B2679" s="3" t="s">
        <v>4</v>
      </c>
      <c r="C2679" s="2" t="str">
        <f ca="1">IFERROR(__xludf.DUMMYFUNCTION("GOOGLETRANSLATE(A2679,""bn"",""en"")"),"He is an adventure traveller")</f>
        <v>He is an adventure traveller</v>
      </c>
    </row>
    <row r="2680" spans="1:3" ht="15" x14ac:dyDescent="0.25">
      <c r="A2680" s="3" t="s">
        <v>2677</v>
      </c>
      <c r="B2680" s="3" t="s">
        <v>4</v>
      </c>
      <c r="C2680" s="2" t="str">
        <f ca="1">IFERROR(__xludf.DUMMYFUNCTION("GOOGLETRANSLATE(A2680,""bn"",""en"")"),"The number of hackers is increasing")</f>
        <v>The number of hackers is increasing</v>
      </c>
    </row>
    <row r="2681" spans="1:3" ht="15" x14ac:dyDescent="0.25">
      <c r="A2681" s="3" t="s">
        <v>2678</v>
      </c>
      <c r="B2681" s="3" t="s">
        <v>4</v>
      </c>
      <c r="C2681" s="2" t="str">
        <f ca="1">IFERROR(__xludf.DUMMYFUNCTION("GOOGLETRANSLATE(A2681,""bn"",""en"")"),"Peace of mind in travel")</f>
        <v>Peace of mind in travel</v>
      </c>
    </row>
    <row r="2682" spans="1:3" ht="15" x14ac:dyDescent="0.25">
      <c r="A2682" s="3" t="s">
        <v>2679</v>
      </c>
      <c r="B2682" s="3" t="s">
        <v>4</v>
      </c>
      <c r="C2682" s="2" t="str">
        <f ca="1">IFERROR(__xludf.DUMMYFUNCTION("GOOGLETRANSLATE(A2682,""bn"",""en"")"),"I watch games regularly")</f>
        <v>I watch games regularly</v>
      </c>
    </row>
    <row r="2683" spans="1:3" ht="15" x14ac:dyDescent="0.25">
      <c r="A2683" s="3" t="s">
        <v>2680</v>
      </c>
      <c r="B2683" s="3" t="s">
        <v>4</v>
      </c>
      <c r="C2683" s="2" t="str">
        <f ca="1">IFERROR(__xludf.DUMMYFUNCTION("GOOGLETRANSLATE(A2683,""bn"",""en"")"),"I am taking pictures on the laptop")</f>
        <v>I am taking pictures on the laptop</v>
      </c>
    </row>
    <row r="2684" spans="1:3" ht="15" x14ac:dyDescent="0.25">
      <c r="A2684" s="3" t="s">
        <v>2681</v>
      </c>
      <c r="B2684" s="3" t="s">
        <v>4</v>
      </c>
      <c r="C2684" s="2" t="str">
        <f ca="1">IFERROR(__xludf.DUMMYFUNCTION("GOOGLETRANSLATE(A2684,""bn"",""en"")"),"Got good compliments")</f>
        <v>Got good compliments</v>
      </c>
    </row>
    <row r="2685" spans="1:3" ht="15" x14ac:dyDescent="0.25">
      <c r="A2685" s="3" t="s">
        <v>2682</v>
      </c>
      <c r="B2685" s="3" t="s">
        <v>4</v>
      </c>
      <c r="C2685" s="2" t="str">
        <f ca="1">IFERROR(__xludf.DUMMYFUNCTION("GOOGLETRANSLATE(A2685,""bn"",""en"")"),"Showing support")</f>
        <v>Showing support</v>
      </c>
    </row>
    <row r="2686" spans="1:3" ht="15" x14ac:dyDescent="0.25">
      <c r="A2686" s="3" t="s">
        <v>2683</v>
      </c>
      <c r="B2686" s="3" t="s">
        <v>4</v>
      </c>
      <c r="C2686" s="2" t="str">
        <f ca="1">IFERROR(__xludf.DUMMYFUNCTION("GOOGLETRANSLATE(A2686,""bn"",""en"")"),"Watching different videos")</f>
        <v>Watching different videos</v>
      </c>
    </row>
    <row r="2687" spans="1:3" ht="15" x14ac:dyDescent="0.25">
      <c r="A2687" s="3" t="s">
        <v>2684</v>
      </c>
      <c r="B2687" s="3" t="s">
        <v>4</v>
      </c>
      <c r="C2687" s="2" t="str">
        <f ca="1">IFERROR(__xludf.DUMMYFUNCTION("GOOGLETRANSLATE(A2687,""bn"",""en"")"),"Now traveling is expensive")</f>
        <v>Now traveling is expensive</v>
      </c>
    </row>
    <row r="2688" spans="1:3" ht="15" x14ac:dyDescent="0.25">
      <c r="A2688" s="3" t="s">
        <v>2685</v>
      </c>
      <c r="B2688" s="3" t="s">
        <v>4</v>
      </c>
      <c r="C2688" s="2" t="str">
        <f ca="1">IFERROR(__xludf.DUMMYFUNCTION("GOOGLETRANSLATE(A2688,""bn"",""en"")"),"I don't see pictures on the laptop")</f>
        <v>I don't see pictures on the laptop</v>
      </c>
    </row>
    <row r="2689" spans="1:3" ht="15" x14ac:dyDescent="0.25">
      <c r="A2689" s="3" t="s">
        <v>2686</v>
      </c>
      <c r="B2689" s="3" t="s">
        <v>4</v>
      </c>
      <c r="C2689" s="2" t="str">
        <f ca="1">IFERROR(__xludf.DUMMYFUNCTION("GOOGLETRANSLATE(A2689,""bn"",""en"")"),"I use the radio")</f>
        <v>I use the radio</v>
      </c>
    </row>
    <row r="2690" spans="1:3" ht="15" x14ac:dyDescent="0.25">
      <c r="A2690" s="3" t="s">
        <v>2687</v>
      </c>
      <c r="B2690" s="3" t="s">
        <v>4</v>
      </c>
      <c r="C2690" s="2" t="str">
        <f ca="1">IFERROR(__xludf.DUMMYFUNCTION("GOOGLETRANSLATE(A2690,""bn"",""en"")"),"I am using apple phone")</f>
        <v>I am using apple phone</v>
      </c>
    </row>
    <row r="2691" spans="1:3" ht="15" x14ac:dyDescent="0.25">
      <c r="A2691" s="3" t="s">
        <v>2688</v>
      </c>
      <c r="B2691" s="3" t="s">
        <v>4</v>
      </c>
      <c r="C2691" s="2" t="str">
        <f ca="1">IFERROR(__xludf.DUMMYFUNCTION("GOOGLETRANSLATE(A2691,""bn"",""en"")"),"Playing high skill games")</f>
        <v>Playing high skill games</v>
      </c>
    </row>
    <row r="2692" spans="1:3" ht="15" x14ac:dyDescent="0.25">
      <c r="A2692" s="3" t="s">
        <v>2689</v>
      </c>
      <c r="B2692" s="3" t="s">
        <v>4</v>
      </c>
      <c r="C2692" s="2" t="str">
        <f ca="1">IFERROR(__xludf.DUMMYFUNCTION("GOOGLETRANSLATE(A2692,""bn"",""en"")"),"I found peace in retirement")</f>
        <v>I found peace in retirement</v>
      </c>
    </row>
    <row r="2693" spans="1:3" ht="15" x14ac:dyDescent="0.25">
      <c r="A2693" s="3" t="s">
        <v>2690</v>
      </c>
      <c r="B2693" s="3" t="s">
        <v>4</v>
      </c>
      <c r="C2693" s="2" t="str">
        <f ca="1">IFERROR(__xludf.DUMMYFUNCTION("GOOGLETRANSLATE(A2693,""bn"",""en"")"),"The operating system is secure")</f>
        <v>The operating system is secure</v>
      </c>
    </row>
    <row r="2694" spans="1:3" ht="15" x14ac:dyDescent="0.25">
      <c r="A2694" s="3" t="s">
        <v>2691</v>
      </c>
      <c r="B2694" s="3" t="s">
        <v>4</v>
      </c>
      <c r="C2694" s="2" t="str">
        <f ca="1">IFERROR(__xludf.DUMMYFUNCTION("GOOGLETRANSLATE(A2694,""bn"",""en"")"),"Bought a new laptop for learning work")</f>
        <v>Bought a new laptop for learning work</v>
      </c>
    </row>
    <row r="2695" spans="1:3" ht="15" x14ac:dyDescent="0.25">
      <c r="A2695" s="3" t="s">
        <v>2692</v>
      </c>
      <c r="B2695" s="3" t="s">
        <v>4</v>
      </c>
      <c r="C2695" s="2" t="str">
        <f ca="1">IFERROR(__xludf.DUMMYFUNCTION("GOOGLETRANSLATE(A2695,""bn"",""en"")"),"I used a drone")</f>
        <v>I used a drone</v>
      </c>
    </row>
    <row r="2696" spans="1:3" ht="15" x14ac:dyDescent="0.25">
      <c r="A2696" s="3" t="s">
        <v>2693</v>
      </c>
      <c r="B2696" s="3" t="s">
        <v>4</v>
      </c>
      <c r="C2696" s="2" t="str">
        <f ca="1">IFERROR(__xludf.DUMMYFUNCTION("GOOGLETRANSLATE(A2696,""bn"",""en"")"),"I find peace in retirement")</f>
        <v>I find peace in retirement</v>
      </c>
    </row>
    <row r="2697" spans="1:3" ht="15" x14ac:dyDescent="0.25">
      <c r="A2697" s="3" t="s">
        <v>2694</v>
      </c>
      <c r="B2697" s="3" t="s">
        <v>4</v>
      </c>
      <c r="C2697" s="2" t="str">
        <f ca="1">IFERROR(__xludf.DUMMYFUNCTION("GOOGLETRANSLATE(A2697,""bn"",""en"")"),"Earned money")</f>
        <v>Earned money</v>
      </c>
    </row>
    <row r="2698" spans="1:3" ht="15" x14ac:dyDescent="0.25">
      <c r="A2698" s="3" t="s">
        <v>2695</v>
      </c>
      <c r="B2698" s="3" t="s">
        <v>4</v>
      </c>
      <c r="C2698" s="2" t="str">
        <f ca="1">IFERROR(__xludf.DUMMYFUNCTION("GOOGLETRANSLATE(A2698,""bn"",""en"")"),"Using a router")</f>
        <v>Using a router</v>
      </c>
    </row>
    <row r="2699" spans="1:3" ht="15" x14ac:dyDescent="0.25">
      <c r="A2699" s="3" t="s">
        <v>2696</v>
      </c>
      <c r="B2699" s="3" t="s">
        <v>4</v>
      </c>
      <c r="C2699" s="2" t="str">
        <f ca="1">IFERROR(__xludf.DUMMYFUNCTION("GOOGLETRANSLATE(A2699,""bn"",""en"")"),"I am suffering in my student life")</f>
        <v>I am suffering in my student life</v>
      </c>
    </row>
    <row r="2700" spans="1:3" ht="15" x14ac:dyDescent="0.25">
      <c r="A2700" s="3" t="s">
        <v>2697</v>
      </c>
      <c r="B2700" s="3" t="s">
        <v>4</v>
      </c>
      <c r="C2700" s="2" t="str">
        <f ca="1">IFERROR(__xludf.DUMMYFUNCTION("GOOGLETRANSLATE(A2700,""bn"",""en"")"),"Food is depleted")</f>
        <v>Food is depleted</v>
      </c>
    </row>
    <row r="2701" spans="1:3" ht="15" x14ac:dyDescent="0.25">
      <c r="A2701" s="3" t="s">
        <v>2698</v>
      </c>
      <c r="B2701" s="3" t="s">
        <v>4</v>
      </c>
      <c r="C2701" s="2" t="str">
        <f ca="1">IFERROR(__xludf.DUMMYFUNCTION("GOOGLETRANSLATE(A2701,""bn"",""en"")"),"I love sea travel")</f>
        <v>I love sea travel</v>
      </c>
    </row>
    <row r="2702" spans="1:3" ht="15" x14ac:dyDescent="0.25">
      <c r="A2702" s="3" t="s">
        <v>2699</v>
      </c>
      <c r="B2702" s="3" t="s">
        <v>4</v>
      </c>
      <c r="C2702" s="2" t="str">
        <f ca="1">IFERROR(__xludf.DUMMYFUNCTION("GOOGLETRANSLATE(A2702,""bn"",""en"")"),"doing a course")</f>
        <v>doing a course</v>
      </c>
    </row>
    <row r="2703" spans="1:3" ht="15" x14ac:dyDescent="0.25">
      <c r="A2703" s="3" t="s">
        <v>2700</v>
      </c>
      <c r="B2703" s="3" t="s">
        <v>4</v>
      </c>
      <c r="C2703" s="2" t="str">
        <f ca="1">IFERROR(__xludf.DUMMYFUNCTION("GOOGLETRANSLATE(A2703,""bn"",""en"")"),"I give regular videos")</f>
        <v>I give regular videos</v>
      </c>
    </row>
    <row r="2704" spans="1:3" ht="15" x14ac:dyDescent="0.25">
      <c r="A2704" s="3" t="s">
        <v>2701</v>
      </c>
      <c r="B2704" s="3" t="s">
        <v>4</v>
      </c>
      <c r="C2704" s="2" t="str">
        <f ca="1">IFERROR(__xludf.DUMMYFUNCTION("GOOGLETRANSLATE(A2704,""bn"",""en"")"),"I prayed")</f>
        <v>I prayed</v>
      </c>
    </row>
    <row r="2705" spans="1:3" ht="15" x14ac:dyDescent="0.25">
      <c r="A2705" s="3" t="s">
        <v>2702</v>
      </c>
      <c r="B2705" s="3" t="s">
        <v>4</v>
      </c>
      <c r="C2705" s="2" t="str">
        <f ca="1">IFERROR(__xludf.DUMMYFUNCTION("GOOGLETRANSLATE(A2705,""bn"",""en"")"),"Use credit")</f>
        <v>Use credit</v>
      </c>
    </row>
    <row r="2706" spans="1:3" ht="15" x14ac:dyDescent="0.25">
      <c r="A2706" s="3" t="s">
        <v>2703</v>
      </c>
      <c r="B2706" s="3" t="s">
        <v>4</v>
      </c>
      <c r="C2706" s="2" t="str">
        <f ca="1">IFERROR(__xludf.DUMMYFUNCTION("GOOGLETRANSLATE(A2706,""bn"",""en"")"),"There are six components of food")</f>
        <v>There are six components of food</v>
      </c>
    </row>
    <row r="2707" spans="1:3" ht="15" x14ac:dyDescent="0.25">
      <c r="A2707" s="3" t="s">
        <v>2704</v>
      </c>
      <c r="B2707" s="3" t="s">
        <v>4</v>
      </c>
      <c r="C2707" s="2" t="str">
        <f ca="1">IFERROR(__xludf.DUMMYFUNCTION("GOOGLETRANSLATE(A2707,""bn"",""en"")"),"Food ingredients are well known")</f>
        <v>Food ingredients are well known</v>
      </c>
    </row>
    <row r="2708" spans="1:3" ht="15" x14ac:dyDescent="0.25">
      <c r="A2708" s="3" t="s">
        <v>2705</v>
      </c>
      <c r="B2708" s="3" t="s">
        <v>4</v>
      </c>
      <c r="C2708" s="2" t="str">
        <f ca="1">IFERROR(__xludf.DUMMYFUNCTION("GOOGLETRANSLATE(A2708,""bn"",""en"")"),"Deep forest is beautiful")</f>
        <v>Deep forest is beautiful</v>
      </c>
    </row>
    <row r="2709" spans="1:3" ht="15" x14ac:dyDescent="0.25">
      <c r="A2709" s="3" t="s">
        <v>2706</v>
      </c>
      <c r="B2709" s="3" t="s">
        <v>4</v>
      </c>
      <c r="C2709" s="2" t="str">
        <f ca="1">IFERROR(__xludf.DUMMYFUNCTION("GOOGLETRANSLATE(A2709,""bn"",""en"")"),"Read Quran regularly")</f>
        <v>Read Quran regularly</v>
      </c>
    </row>
    <row r="2710" spans="1:3" ht="15" x14ac:dyDescent="0.25">
      <c r="A2710" s="3" t="s">
        <v>2707</v>
      </c>
      <c r="B2710" s="3" t="s">
        <v>4</v>
      </c>
      <c r="C2710" s="2" t="str">
        <f ca="1">IFERROR(__xludf.DUMMYFUNCTION("GOOGLETRANSLATE(A2710,""bn"",""en"")"),"The sea is spreading softness")</f>
        <v>The sea is spreading softness</v>
      </c>
    </row>
    <row r="2711" spans="1:3" ht="15" x14ac:dyDescent="0.25">
      <c r="A2711" s="3" t="s">
        <v>2708</v>
      </c>
      <c r="B2711" s="3" t="s">
        <v>4</v>
      </c>
      <c r="C2711" s="2" t="str">
        <f ca="1">IFERROR(__xludf.DUMMYFUNCTION("GOOGLETRANSLATE(A2711,""bn"",""en"")"),"I am watching the news on television")</f>
        <v>I am watching the news on television</v>
      </c>
    </row>
    <row r="2712" spans="1:3" ht="15" x14ac:dyDescent="0.25">
      <c r="A2712" s="3" t="s">
        <v>2709</v>
      </c>
      <c r="B2712" s="3" t="s">
        <v>4</v>
      </c>
      <c r="C2712" s="2" t="str">
        <f ca="1">IFERROR(__xludf.DUMMYFUNCTION("GOOGLETRANSLATE(A2712,""bn"",""en"")"),"I am doing online course")</f>
        <v>I am doing online course</v>
      </c>
    </row>
    <row r="2713" spans="1:3" ht="15" x14ac:dyDescent="0.25">
      <c r="A2713" s="3" t="s">
        <v>2710</v>
      </c>
      <c r="B2713" s="3" t="s">
        <v>4</v>
      </c>
      <c r="C2713" s="2" t="str">
        <f ca="1">IFERROR(__xludf.DUMMYFUNCTION("GOOGLETRANSLATE(A2713,""bn"",""en"")"),"The meeting of the Prime Minister was held")</f>
        <v>The meeting of the Prime Minister was held</v>
      </c>
    </row>
    <row r="2714" spans="1:3" ht="15" x14ac:dyDescent="0.25">
      <c r="A2714" s="3" t="s">
        <v>2711</v>
      </c>
      <c r="B2714" s="3" t="s">
        <v>4</v>
      </c>
      <c r="C2714" s="2" t="str">
        <f ca="1">IFERROR(__xludf.DUMMYFUNCTION("GOOGLETRANSLATE(A2714,""bn"",""en"")"),"I have done well in my studies")</f>
        <v>I have done well in my studies</v>
      </c>
    </row>
    <row r="2715" spans="1:3" ht="15" x14ac:dyDescent="0.25">
      <c r="A2715" s="3" t="s">
        <v>2712</v>
      </c>
      <c r="B2715" s="3" t="s">
        <v>4</v>
      </c>
      <c r="C2715" s="2" t="str">
        <f ca="1">IFERROR(__xludf.DUMMYFUNCTION("GOOGLETRANSLATE(A2715,""bn"",""en"")"),"Traveller, synonymous with traveller")</f>
        <v>Traveller, synonymous with traveller</v>
      </c>
    </row>
    <row r="2716" spans="1:3" ht="15" x14ac:dyDescent="0.25">
      <c r="A2716" s="3" t="s">
        <v>2713</v>
      </c>
      <c r="B2716" s="3" t="s">
        <v>4</v>
      </c>
      <c r="C2716" s="2" t="str">
        <f ca="1">IFERROR(__xludf.DUMMYFUNCTION("GOOGLETRANSLATE(A2716,""bn"",""en"")"),"Got good compliments")</f>
        <v>Got good compliments</v>
      </c>
    </row>
    <row r="2717" spans="1:3" ht="15" x14ac:dyDescent="0.25">
      <c r="A2717" s="3" t="s">
        <v>2714</v>
      </c>
      <c r="B2717" s="3" t="s">
        <v>4</v>
      </c>
      <c r="C2717" s="2" t="str">
        <f ca="1">IFERROR(__xludf.DUMMYFUNCTION("GOOGLETRANSLATE(A2717,""bn"",""en"")"),"Flowers radiate fascination")</f>
        <v>Flowers radiate fascination</v>
      </c>
    </row>
    <row r="2718" spans="1:3" ht="15" x14ac:dyDescent="0.25">
      <c r="A2718" s="3" t="s">
        <v>2715</v>
      </c>
      <c r="B2718" s="3" t="s">
        <v>4</v>
      </c>
      <c r="C2718" s="2" t="str">
        <f ca="1">IFERROR(__xludf.DUMMYFUNCTION("GOOGLETRANSLATE(A2718,""bn"",""en"")"),"By studying science")</f>
        <v>By studying science</v>
      </c>
    </row>
    <row r="2719" spans="1:3" ht="15" x14ac:dyDescent="0.25">
      <c r="A2719" s="3" t="s">
        <v>2716</v>
      </c>
      <c r="B2719" s="3" t="s">
        <v>4</v>
      </c>
      <c r="C2719" s="2" t="str">
        <f ca="1">IFERROR(__xludf.DUMMYFUNCTION("GOOGLETRANSLATE(A2719,""bn"",""en"")"),"I enjoy traveling")</f>
        <v>I enjoy traveling</v>
      </c>
    </row>
    <row r="2720" spans="1:3" ht="15" x14ac:dyDescent="0.25">
      <c r="A2720" s="3" t="s">
        <v>2717</v>
      </c>
      <c r="B2720" s="3" t="s">
        <v>4</v>
      </c>
      <c r="C2720" s="2" t="str">
        <f ca="1">IFERROR(__xludf.DUMMYFUNCTION("GOOGLETRANSLATE(A2720,""bn"",""en"")"),"Computers understand binary")</f>
        <v>Computers understand binary</v>
      </c>
    </row>
    <row r="2721" spans="1:3" ht="15" x14ac:dyDescent="0.25">
      <c r="A2721" s="3" t="s">
        <v>2718</v>
      </c>
      <c r="B2721" s="3" t="s">
        <v>4</v>
      </c>
      <c r="C2721" s="2" t="str">
        <f ca="1">IFERROR(__xludf.DUMMYFUNCTION("GOOGLETRANSLATE(A2721,""bn"",""en"")"),"Binary base is two")</f>
        <v>Binary base is two</v>
      </c>
    </row>
    <row r="2722" spans="1:3" ht="15" x14ac:dyDescent="0.25">
      <c r="A2722" s="3" t="s">
        <v>2719</v>
      </c>
      <c r="B2722" s="3" t="s">
        <v>4</v>
      </c>
      <c r="C2722" s="2" t="str">
        <f ca="1">IFERROR(__xludf.DUMMYFUNCTION("GOOGLETRANSLATE(A2722,""bn"",""en"")"),"He is succeeding")</f>
        <v>He is succeeding</v>
      </c>
    </row>
    <row r="2723" spans="1:3" ht="15" x14ac:dyDescent="0.25">
      <c r="A2723" s="3" t="s">
        <v>2720</v>
      </c>
      <c r="B2723" s="3" t="s">
        <v>4</v>
      </c>
      <c r="C2723" s="2" t="str">
        <f ca="1">IFERROR(__xludf.DUMMYFUNCTION("GOOGLETRANSLATE(A2723,""bn"",""en"")"),"I am praying")</f>
        <v>I am praying</v>
      </c>
    </row>
    <row r="2724" spans="1:3" ht="15" x14ac:dyDescent="0.25">
      <c r="A2724" s="3" t="s">
        <v>2721</v>
      </c>
      <c r="B2724" s="3" t="s">
        <v>4</v>
      </c>
      <c r="C2724" s="2" t="str">
        <f ca="1">IFERROR(__xludf.DUMMYFUNCTION("GOOGLETRANSLATE(A2724,""bn"",""en"")"),"I wrote poetry in my spare time")</f>
        <v>I wrote poetry in my spare time</v>
      </c>
    </row>
    <row r="2725" spans="1:3" ht="15" x14ac:dyDescent="0.25">
      <c r="A2725" s="3" t="s">
        <v>2722</v>
      </c>
      <c r="B2725" s="3" t="s">
        <v>4</v>
      </c>
      <c r="C2725" s="2" t="str">
        <f ca="1">IFERROR(__xludf.DUMMYFUNCTION("GOOGLETRANSLATE(A2725,""bn"",""en"")"),"i read english")</f>
        <v>i read english</v>
      </c>
    </row>
    <row r="2726" spans="1:3" ht="15" x14ac:dyDescent="0.25">
      <c r="A2726" s="3" t="s">
        <v>2723</v>
      </c>
      <c r="B2726" s="3" t="s">
        <v>4</v>
      </c>
      <c r="C2726" s="2" t="str">
        <f ca="1">IFERROR(__xludf.DUMMYFUNCTION("GOOGLETRANSLATE(A2726,""bn"",""en"")"),"I am using the software")</f>
        <v>I am using the software</v>
      </c>
    </row>
    <row r="2727" spans="1:3" ht="15" x14ac:dyDescent="0.25">
      <c r="A2727" s="3" t="s">
        <v>2724</v>
      </c>
      <c r="B2727" s="3" t="s">
        <v>4</v>
      </c>
      <c r="C2727" s="2" t="str">
        <f ca="1">IFERROR(__xludf.DUMMYFUNCTION("GOOGLETRANSLATE(A2727,""bn"",""en"")"),"i am studying english")</f>
        <v>i am studying english</v>
      </c>
    </row>
    <row r="2728" spans="1:3" ht="15" x14ac:dyDescent="0.25">
      <c r="A2728" s="3" t="s">
        <v>2725</v>
      </c>
      <c r="B2728" s="3" t="s">
        <v>4</v>
      </c>
      <c r="C2728" s="2" t="str">
        <f ca="1">IFERROR(__xludf.DUMMYFUNCTION("GOOGLETRANSLATE(A2728,""bn"",""en"")"),"I eat in the college cafeteria")</f>
        <v>I eat in the college cafeteria</v>
      </c>
    </row>
    <row r="2729" spans="1:3" ht="15" x14ac:dyDescent="0.25">
      <c r="A2729" s="3" t="s">
        <v>2726</v>
      </c>
      <c r="B2729" s="3" t="s">
        <v>4</v>
      </c>
      <c r="C2729" s="2" t="str">
        <f ca="1">IFERROR(__xludf.DUMMYFUNCTION("GOOGLETRANSLATE(A2729,""bn"",""en"")"),"Watch movies on laptop")</f>
        <v>Watch movies on laptop</v>
      </c>
    </row>
    <row r="2730" spans="1:3" ht="15" x14ac:dyDescent="0.25">
      <c r="A2730" s="3" t="s">
        <v>2727</v>
      </c>
      <c r="B2730" s="3" t="s">
        <v>4</v>
      </c>
      <c r="C2730" s="2" t="str">
        <f ca="1">IFERROR(__xludf.DUMMYFUNCTION("GOOGLETRANSLATE(A2730,""bn"",""en"")"),"Updating apps")</f>
        <v>Updating apps</v>
      </c>
    </row>
    <row r="2731" spans="1:3" ht="15" x14ac:dyDescent="0.25">
      <c r="A2731" s="3" t="s">
        <v>2728</v>
      </c>
      <c r="B2731" s="3" t="s">
        <v>4</v>
      </c>
      <c r="C2731" s="2" t="str">
        <f ca="1">IFERROR(__xludf.DUMMYFUNCTION("GOOGLETRANSLATE(A2731,""bn"",""en"")"),"Looking for sea oysters")</f>
        <v>Looking for sea oysters</v>
      </c>
    </row>
    <row r="2732" spans="1:3" ht="15" x14ac:dyDescent="0.25">
      <c r="A2732" s="3" t="s">
        <v>2729</v>
      </c>
      <c r="B2732" s="3" t="s">
        <v>4</v>
      </c>
      <c r="C2732" s="2" t="str">
        <f ca="1">IFERROR(__xludf.DUMMYFUNCTION("GOOGLETRANSLATE(A2732,""bn"",""en"")"),"I made a garland with sea shells")</f>
        <v>I made a garland with sea shells</v>
      </c>
    </row>
    <row r="2733" spans="1:3" ht="15" x14ac:dyDescent="0.25">
      <c r="A2733" s="3" t="s">
        <v>2730</v>
      </c>
      <c r="B2733" s="3" t="s">
        <v>4</v>
      </c>
      <c r="C2733" s="2" t="str">
        <f ca="1">IFERROR(__xludf.DUMMYFUNCTION("GOOGLETRANSLATE(A2733,""bn"",""en"")"),"Make statement of account")</f>
        <v>Make statement of account</v>
      </c>
    </row>
    <row r="2734" spans="1:3" ht="15" x14ac:dyDescent="0.25">
      <c r="A2734" s="3" t="s">
        <v>2731</v>
      </c>
      <c r="B2734" s="3" t="s">
        <v>4</v>
      </c>
      <c r="C2734" s="2" t="str">
        <f ca="1">IFERROR(__xludf.DUMMYFUNCTION("GOOGLETRANSLATE(A2734,""bn"",""en"")"),"Enjoyed the trip")</f>
        <v>Enjoyed the trip</v>
      </c>
    </row>
    <row r="2735" spans="1:3" ht="15" x14ac:dyDescent="0.25">
      <c r="A2735" s="3" t="s">
        <v>2732</v>
      </c>
      <c r="B2735" s="3" t="s">
        <v>4</v>
      </c>
      <c r="C2735" s="2" t="str">
        <f ca="1">IFERROR(__xludf.DUMMYFUNCTION("GOOGLETRANSLATE(A2735,""bn"",""en"")"),"Trade on Nex")</f>
        <v>Trade on Nex</v>
      </c>
    </row>
    <row r="2736" spans="1:3" ht="15" x14ac:dyDescent="0.25">
      <c r="A2736" s="3" t="s">
        <v>2733</v>
      </c>
      <c r="B2736" s="3" t="s">
        <v>4</v>
      </c>
      <c r="C2736" s="2" t="str">
        <f ca="1">IFERROR(__xludf.DUMMYFUNCTION("GOOGLETRANSLATE(A2736,""bn"",""en"")"),"Deposit account balance")</f>
        <v>Deposit account balance</v>
      </c>
    </row>
    <row r="2737" spans="1:3" ht="15" x14ac:dyDescent="0.25">
      <c r="A2737" s="3" t="s">
        <v>2734</v>
      </c>
      <c r="B2737" s="3" t="s">
        <v>4</v>
      </c>
      <c r="C2737" s="2" t="str">
        <f ca="1">IFERROR(__xludf.DUMMYFUNCTION("GOOGLETRANSLATE(A2737,""bn"",""en"")"),"Conducts business")</f>
        <v>Conducts business</v>
      </c>
    </row>
    <row r="2738" spans="1:3" ht="15" x14ac:dyDescent="0.25">
      <c r="A2738" s="3" t="s">
        <v>2735</v>
      </c>
      <c r="B2738" s="3" t="s">
        <v>4</v>
      </c>
      <c r="C2738" s="2" t="str">
        <f ca="1">IFERROR(__xludf.DUMMYFUNCTION("GOOGLETRANSLATE(A2738,""bn"",""en"")"),"Flowers are fragrant")</f>
        <v>Flowers are fragrant</v>
      </c>
    </row>
    <row r="2739" spans="1:3" ht="15" x14ac:dyDescent="0.25">
      <c r="A2739" s="3" t="s">
        <v>2736</v>
      </c>
      <c r="B2739" s="3" t="s">
        <v>4</v>
      </c>
      <c r="C2739" s="2" t="str">
        <f ca="1">IFERROR(__xludf.DUMMYFUNCTION("GOOGLETRANSLATE(A2739,""bn"",""en"")"),"I work in the organization")</f>
        <v>I work in the organization</v>
      </c>
    </row>
    <row r="2740" spans="1:3" ht="15" x14ac:dyDescent="0.25">
      <c r="A2740" s="3" t="s">
        <v>2737</v>
      </c>
      <c r="B2740" s="3" t="s">
        <v>4</v>
      </c>
      <c r="C2740" s="2" t="str">
        <f ca="1">IFERROR(__xludf.DUMMYFUNCTION("GOOGLETRANSLATE(A2740,""bn"",""en"")"),"I want to buy you a new laptop")</f>
        <v>I want to buy you a new laptop</v>
      </c>
    </row>
    <row r="2741" spans="1:3" ht="15" x14ac:dyDescent="0.25">
      <c r="A2741" s="3" t="s">
        <v>2738</v>
      </c>
      <c r="B2741" s="3" t="s">
        <v>4</v>
      </c>
      <c r="C2741" s="2" t="str">
        <f ca="1">IFERROR(__xludf.DUMMYFUNCTION("GOOGLETRANSLATE(A2741,""bn"",""en"")"),"Spain has a rich history")</f>
        <v>Spain has a rich history</v>
      </c>
    </row>
    <row r="2742" spans="1:3" ht="15" x14ac:dyDescent="0.25">
      <c r="A2742" s="3" t="s">
        <v>2739</v>
      </c>
      <c r="B2742" s="3" t="s">
        <v>4</v>
      </c>
      <c r="C2742" s="2" t="str">
        <f ca="1">IFERROR(__xludf.DUMMYFUNCTION("GOOGLETRANSLATE(A2742,""bn"",""en"")"),"Sending video")</f>
        <v>Sending video</v>
      </c>
    </row>
    <row r="2743" spans="1:3" ht="15" x14ac:dyDescent="0.25">
      <c r="A2743" s="3" t="s">
        <v>2740</v>
      </c>
      <c r="B2743" s="3" t="s">
        <v>4</v>
      </c>
      <c r="C2743" s="2" t="str">
        <f ca="1">IFERROR(__xludf.DUMMYFUNCTION("GOOGLETRANSLATE(A2743,""bn"",""en"")"),"You've got generations of prosperity")</f>
        <v>You've got generations of prosperity</v>
      </c>
    </row>
    <row r="2744" spans="1:3" ht="15" x14ac:dyDescent="0.25">
      <c r="A2744" s="3" t="s">
        <v>2741</v>
      </c>
      <c r="B2744" s="3" t="s">
        <v>4</v>
      </c>
      <c r="C2744" s="2" t="str">
        <f ca="1">IFERROR(__xludf.DUMMYFUNCTION("GOOGLETRANSLATE(A2744,""bn"",""en"")"),"Save the file")</f>
        <v>Save the file</v>
      </c>
    </row>
    <row r="2745" spans="1:3" ht="15" x14ac:dyDescent="0.25">
      <c r="A2745" s="3" t="s">
        <v>2742</v>
      </c>
      <c r="B2745" s="3" t="s">
        <v>4</v>
      </c>
      <c r="C2745" s="2" t="str">
        <f ca="1">IFERROR(__xludf.DUMMYFUNCTION("GOOGLETRANSLATE(A2745,""bn"",""en"")"),"Send information over the Internet")</f>
        <v>Send information over the Internet</v>
      </c>
    </row>
    <row r="2746" spans="1:3" ht="15" x14ac:dyDescent="0.25">
      <c r="A2746" s="3" t="s">
        <v>2743</v>
      </c>
      <c r="B2746" s="3" t="s">
        <v>4</v>
      </c>
      <c r="C2746" s="2" t="str">
        <f ca="1">IFERROR(__xludf.DUMMYFUNCTION("GOOGLETRANSLATE(A2746,""bn"",""en"")"),"I am swimming in the sea")</f>
        <v>I am swimming in the sea</v>
      </c>
    </row>
    <row r="2747" spans="1:3" ht="15" x14ac:dyDescent="0.25">
      <c r="A2747" s="3" t="s">
        <v>2744</v>
      </c>
      <c r="B2747" s="3" t="s">
        <v>4</v>
      </c>
      <c r="C2747" s="2" t="str">
        <f ca="1">IFERROR(__xludf.DUMMYFUNCTION("GOOGLETRANSLATE(A2747,""bn"",""en"")"),"Bank has given support")</f>
        <v>Bank has given support</v>
      </c>
    </row>
    <row r="2748" spans="1:3" ht="15" x14ac:dyDescent="0.25">
      <c r="A2748" s="3" t="s">
        <v>2745</v>
      </c>
      <c r="B2748" s="3" t="s">
        <v>4</v>
      </c>
      <c r="C2748" s="2" t="str">
        <f ca="1">IFERROR(__xludf.DUMMYFUNCTION("GOOGLETRANSLATE(A2748,""bn"",""en"")"),"Use the server")</f>
        <v>Use the server</v>
      </c>
    </row>
    <row r="2749" spans="1:3" ht="15" x14ac:dyDescent="0.25">
      <c r="A2749" s="3" t="s">
        <v>2746</v>
      </c>
      <c r="B2749" s="3" t="s">
        <v>4</v>
      </c>
      <c r="C2749" s="2" t="str">
        <f ca="1">IFERROR(__xludf.DUMMYFUNCTION("GOOGLETRANSLATE(A2749,""bn"",""en"")"),"Exchange accounts")</f>
        <v>Exchange accounts</v>
      </c>
    </row>
    <row r="2750" spans="1:3" ht="15" x14ac:dyDescent="0.25">
      <c r="A2750" s="3" t="s">
        <v>2747</v>
      </c>
      <c r="B2750" s="3" t="s">
        <v>4</v>
      </c>
      <c r="C2750" s="2" t="str">
        <f ca="1">IFERROR(__xludf.DUMMYFUNCTION("GOOGLETRANSLATE(A2750,""bn"",""en"")"),"Accepting banking services")</f>
        <v>Accepting banking services</v>
      </c>
    </row>
    <row r="2751" spans="1:3" ht="15" x14ac:dyDescent="0.25">
      <c r="A2751" s="3" t="s">
        <v>2748</v>
      </c>
      <c r="B2751" s="3" t="s">
        <v>4</v>
      </c>
      <c r="C2751" s="2" t="str">
        <f ca="1">IFERROR(__xludf.DUMMYFUNCTION("GOOGLETRANSLATE(A2751,""bn"",""en"")"),"Bank exam")</f>
        <v>Bank exam</v>
      </c>
    </row>
    <row r="2752" spans="1:3" ht="15" x14ac:dyDescent="0.25">
      <c r="A2752" s="3" t="s">
        <v>2749</v>
      </c>
      <c r="B2752" s="3" t="s">
        <v>4</v>
      </c>
      <c r="C2752" s="2" t="str">
        <f ca="1">IFERROR(__xludf.DUMMYFUNCTION("GOOGLETRANSLATE(A2752,""bn"",""en"")"),"I ordered the ebook")</f>
        <v>I ordered the ebook</v>
      </c>
    </row>
    <row r="2753" spans="1:3" ht="15" x14ac:dyDescent="0.25">
      <c r="A2753" s="3" t="s">
        <v>2750</v>
      </c>
      <c r="B2753" s="3" t="s">
        <v>4</v>
      </c>
      <c r="C2753" s="2" t="str">
        <f ca="1">IFERROR(__xludf.DUMMYFUNCTION("GOOGLETRANSLATE(A2753,""bn"",""en"")"),"College students have played")</f>
        <v>College students have played</v>
      </c>
    </row>
    <row r="2754" spans="1:3" ht="15" x14ac:dyDescent="0.25">
      <c r="A2754" s="3" t="s">
        <v>2751</v>
      </c>
      <c r="B2754" s="3" t="s">
        <v>4</v>
      </c>
      <c r="C2754" s="2" t="str">
        <f ca="1">IFERROR(__xludf.DUMMYFUNCTION("GOOGLETRANSLATE(A2754,""bn"",""en"")"),"Satellites are expensive things")</f>
        <v>Satellites are expensive things</v>
      </c>
    </row>
    <row r="2755" spans="1:3" ht="15" x14ac:dyDescent="0.25">
      <c r="A2755" s="3" t="s">
        <v>2752</v>
      </c>
      <c r="B2755" s="3" t="s">
        <v>4</v>
      </c>
      <c r="C2755" s="2" t="str">
        <f ca="1">IFERROR(__xludf.DUMMYFUNCTION("GOOGLETRANSLATE(A2755,""bn"",""en"")"),"Teachers doing research")</f>
        <v>Teachers doing research</v>
      </c>
    </row>
    <row r="2756" spans="1:3" ht="15" x14ac:dyDescent="0.25">
      <c r="A2756" s="3" t="s">
        <v>2753</v>
      </c>
      <c r="B2756" s="3" t="s">
        <v>4</v>
      </c>
      <c r="C2756" s="2" t="str">
        <f ca="1">IFERROR(__xludf.DUMMYFUNCTION("GOOGLETRANSLATE(A2756,""bn"",""en"")"),"Teachers have organized huge research")</f>
        <v>Teachers have organized huge research</v>
      </c>
    </row>
    <row r="2757" spans="1:3" ht="15" x14ac:dyDescent="0.25">
      <c r="A2757" s="3" t="s">
        <v>2754</v>
      </c>
      <c r="B2757" s="3" t="s">
        <v>4</v>
      </c>
      <c r="C2757" s="2" t="str">
        <f ca="1">IFERROR(__xludf.DUMMYFUNCTION("GOOGLETRANSLATE(A2757,""bn"",""en"")"),"Flowers are fragrant")</f>
        <v>Flowers are fragrant</v>
      </c>
    </row>
    <row r="2758" spans="1:3" ht="15" x14ac:dyDescent="0.25">
      <c r="A2758" s="3" t="s">
        <v>2755</v>
      </c>
      <c r="B2758" s="3" t="s">
        <v>4</v>
      </c>
      <c r="C2758" s="2" t="str">
        <f ca="1">IFERROR(__xludf.DUMMYFUNCTION("GOOGLETRANSLATE(A2758,""bn"",""en"")"),"Outsourcing work is coming")</f>
        <v>Outsourcing work is coming</v>
      </c>
    </row>
    <row r="2759" spans="1:3" ht="15" x14ac:dyDescent="0.25">
      <c r="A2759" s="3" t="s">
        <v>2756</v>
      </c>
      <c r="B2759" s="3" t="s">
        <v>4</v>
      </c>
      <c r="C2759" s="2" t="str">
        <f ca="1">IFERROR(__xludf.DUMMYFUNCTION("GOOGLETRANSLATE(A2759,""bn"",""en"")"),"Always love football")</f>
        <v>Always love football</v>
      </c>
    </row>
    <row r="2760" spans="1:3" ht="15" x14ac:dyDescent="0.25">
      <c r="A2760" s="3" t="s">
        <v>2757</v>
      </c>
      <c r="B2760" s="3" t="s">
        <v>4</v>
      </c>
      <c r="C2760" s="2" t="str">
        <f ca="1">IFERROR(__xludf.DUMMYFUNCTION("GOOGLETRANSLATE(A2760,""bn"",""en"")"),"I exercised regularly")</f>
        <v>I exercised regularly</v>
      </c>
    </row>
    <row r="2761" spans="1:3" ht="15" x14ac:dyDescent="0.25">
      <c r="A2761" s="3" t="s">
        <v>2758</v>
      </c>
      <c r="B2761" s="3" t="s">
        <v>4</v>
      </c>
      <c r="C2761" s="2" t="str">
        <f ca="1">IFERROR(__xludf.DUMMYFUNCTION("GOOGLETRANSLATE(A2761,""bn"",""en"")"),"Sports are physical exercises")</f>
        <v>Sports are physical exercises</v>
      </c>
    </row>
    <row r="2762" spans="1:3" ht="15" x14ac:dyDescent="0.25">
      <c r="A2762" s="3" t="s">
        <v>2759</v>
      </c>
      <c r="B2762" s="3" t="s">
        <v>4</v>
      </c>
      <c r="C2762" s="2" t="str">
        <f ca="1">IFERROR(__xludf.DUMMYFUNCTION("GOOGLETRANSLATE(A2762,""bn"",""en"")"),"There are cheaters in development")</f>
        <v>There are cheaters in development</v>
      </c>
    </row>
    <row r="2763" spans="1:3" ht="15" x14ac:dyDescent="0.25">
      <c r="A2763" s="3" t="s">
        <v>2760</v>
      </c>
      <c r="B2763" s="3" t="s">
        <v>4</v>
      </c>
      <c r="C2763" s="2" t="str">
        <f ca="1">IFERROR(__xludf.DUMMYFUNCTION("GOOGLETRANSLATE(A2763,""bn"",""en"")"),"Knowledge acquisition is necessary")</f>
        <v>Knowledge acquisition is necessary</v>
      </c>
    </row>
    <row r="2764" spans="1:3" ht="15" x14ac:dyDescent="0.25">
      <c r="A2764" s="3" t="s">
        <v>2761</v>
      </c>
      <c r="B2764" s="3" t="s">
        <v>4</v>
      </c>
      <c r="C2764" s="2" t="str">
        <f ca="1">IFERROR(__xludf.DUMMYFUNCTION("GOOGLETRANSLATE(A2764,""bn"",""en"")"),"Turn on GPS")</f>
        <v>Turn on GPS</v>
      </c>
    </row>
    <row r="2765" spans="1:3" ht="15" x14ac:dyDescent="0.25">
      <c r="A2765" s="3" t="s">
        <v>2762</v>
      </c>
      <c r="B2765" s="3" t="s">
        <v>4</v>
      </c>
      <c r="C2765" s="2" t="str">
        <f ca="1">IFERROR(__xludf.DUMMYFUNCTION("GOOGLETRANSLATE(A2765,""bn"",""en"")"),"I understand well")</f>
        <v>I understand well</v>
      </c>
    </row>
    <row r="2766" spans="1:3" ht="15" x14ac:dyDescent="0.25">
      <c r="A2766" s="3" t="s">
        <v>2763</v>
      </c>
      <c r="B2766" s="3" t="s">
        <v>4</v>
      </c>
      <c r="C2766" s="2" t="str">
        <f ca="1">IFERROR(__xludf.DUMMYFUNCTION("GOOGLETRANSLATE(A2766,""bn"",""en"")"),"Read this book")</f>
        <v>Read this book</v>
      </c>
    </row>
    <row r="2767" spans="1:3" ht="15" x14ac:dyDescent="0.25">
      <c r="A2767" s="3" t="s">
        <v>2764</v>
      </c>
      <c r="B2767" s="3" t="s">
        <v>4</v>
      </c>
      <c r="C2767" s="2" t="str">
        <f ca="1">IFERROR(__xludf.DUMMYFUNCTION("GOOGLETRANSLATE(A2767,""bn"",""en"")"),"you read in the morning")</f>
        <v>you read in the morning</v>
      </c>
    </row>
    <row r="2768" spans="1:3" ht="15" x14ac:dyDescent="0.25">
      <c r="A2768" s="3" t="s">
        <v>2765</v>
      </c>
      <c r="B2768" s="3" t="s">
        <v>4</v>
      </c>
      <c r="C2768" s="2" t="str">
        <f ca="1">IFERROR(__xludf.DUMMYFUNCTION("GOOGLETRANSLATE(A2768,""bn"",""en"")"),"Want a new gaming mouse")</f>
        <v>Want a new gaming mouse</v>
      </c>
    </row>
    <row r="2769" spans="1:3" ht="15" x14ac:dyDescent="0.25">
      <c r="A2769" s="3" t="s">
        <v>2766</v>
      </c>
      <c r="B2769" s="3" t="s">
        <v>4</v>
      </c>
      <c r="C2769" s="2" t="str">
        <f ca="1">IFERROR(__xludf.DUMMYFUNCTION("GOOGLETRANSLATE(A2769,""bn"",""en"")"),"Nexus is easy to use")</f>
        <v>Nexus is easy to use</v>
      </c>
    </row>
    <row r="2770" spans="1:3" ht="15" x14ac:dyDescent="0.25">
      <c r="A2770" s="3" t="s">
        <v>2767</v>
      </c>
      <c r="B2770" s="3" t="s">
        <v>4</v>
      </c>
      <c r="C2770" s="2" t="str">
        <f ca="1">IFERROR(__xludf.DUMMYFUNCTION("GOOGLETRANSLATE(A2770,""bn"",""en"")"),"i am thinking")</f>
        <v>i am thinking</v>
      </c>
    </row>
    <row r="2771" spans="1:3" ht="15" x14ac:dyDescent="0.25">
      <c r="A2771" s="3" t="s">
        <v>2768</v>
      </c>
      <c r="B2771" s="3" t="s">
        <v>4</v>
      </c>
      <c r="C2771" s="2" t="str">
        <f ca="1">IFERROR(__xludf.DUMMYFUNCTION("GOOGLETRANSLATE(A2771,""bn"",""en"")"),"Enjoying the trip")</f>
        <v>Enjoying the trip</v>
      </c>
    </row>
    <row r="2772" spans="1:3" ht="15" x14ac:dyDescent="0.25">
      <c r="A2772" s="3" t="s">
        <v>2769</v>
      </c>
      <c r="B2772" s="3" t="s">
        <v>4</v>
      </c>
      <c r="C2772" s="2" t="str">
        <f ca="1">IFERROR(__xludf.DUMMYFUNCTION("GOOGLETRANSLATE(A2772,""bn"",""en"")"),"Sundarbans has honey")</f>
        <v>Sundarbans has honey</v>
      </c>
    </row>
    <row r="2773" spans="1:3" ht="15" x14ac:dyDescent="0.25">
      <c r="A2773" s="3" t="s">
        <v>2770</v>
      </c>
      <c r="B2773" s="3" t="s">
        <v>4</v>
      </c>
      <c r="C2773" s="2" t="str">
        <f ca="1">IFERROR(__xludf.DUMMYFUNCTION("GOOGLETRANSLATE(A2773,""bn"",""en"")"),"Waves radiate fascination")</f>
        <v>Waves radiate fascination</v>
      </c>
    </row>
    <row r="2774" spans="1:3" ht="15" x14ac:dyDescent="0.25">
      <c r="A2774" s="3" t="s">
        <v>2771</v>
      </c>
      <c r="B2774" s="3" t="s">
        <v>4</v>
      </c>
      <c r="C2774" s="2" t="str">
        <f ca="1">IFERROR(__xludf.DUMMYFUNCTION("GOOGLETRANSLATE(A2774,""bn"",""en"")"),"The Prime Minister is having a meeting")</f>
        <v>The Prime Minister is having a meeting</v>
      </c>
    </row>
    <row r="2775" spans="1:3" ht="15" x14ac:dyDescent="0.25">
      <c r="A2775" s="3" t="s">
        <v>2772</v>
      </c>
      <c r="B2775" s="3" t="s">
        <v>4</v>
      </c>
      <c r="C2775" s="2" t="str">
        <f ca="1">IFERROR(__xludf.DUMMYFUNCTION("GOOGLETRANSLATE(A2775,""bn"",""en"")"),"Education is the means of improvement")</f>
        <v>Education is the means of improvement</v>
      </c>
    </row>
    <row r="2776" spans="1:3" ht="15" x14ac:dyDescent="0.25">
      <c r="A2776" s="3" t="s">
        <v>2773</v>
      </c>
      <c r="B2776" s="3" t="s">
        <v>4</v>
      </c>
      <c r="C2776" s="2" t="str">
        <f ca="1">IFERROR(__xludf.DUMMYFUNCTION("GOOGLETRANSLATE(A2776,""bn"",""en"")"),"We are studying science")</f>
        <v>We are studying science</v>
      </c>
    </row>
    <row r="2777" spans="1:3" ht="15" x14ac:dyDescent="0.25">
      <c r="A2777" s="3" t="s">
        <v>2774</v>
      </c>
      <c r="B2777" s="3" t="s">
        <v>4</v>
      </c>
      <c r="C2777" s="2" t="str">
        <f ca="1">IFERROR(__xludf.DUMMYFUNCTION("GOOGLETRANSLATE(A2777,""bn"",""en"")"),"Accept banking services")</f>
        <v>Accept banking services</v>
      </c>
    </row>
    <row r="2778" spans="1:3" ht="15" x14ac:dyDescent="0.25">
      <c r="A2778" s="3" t="s">
        <v>2775</v>
      </c>
      <c r="B2778" s="3" t="s">
        <v>4</v>
      </c>
      <c r="C2778" s="2" t="str">
        <f ca="1">IFERROR(__xludf.DUMMYFUNCTION("GOOGLETRANSLATE(A2778,""bn"",""en"")"),"History is being discussed")</f>
        <v>History is being discussed</v>
      </c>
    </row>
    <row r="2779" spans="1:3" ht="15" x14ac:dyDescent="0.25">
      <c r="A2779" s="3" t="s">
        <v>2776</v>
      </c>
      <c r="B2779" s="3" t="s">
        <v>4</v>
      </c>
      <c r="C2779" s="2" t="str">
        <f ca="1">IFERROR(__xludf.DUMMYFUNCTION("GOOGLETRANSLATE(A2779,""bn"",""en"")"),"I am using laptop")</f>
        <v>I am using laptop</v>
      </c>
    </row>
    <row r="2780" spans="1:3" ht="15" x14ac:dyDescent="0.25">
      <c r="A2780" s="3" t="s">
        <v>2777</v>
      </c>
      <c r="B2780" s="3" t="s">
        <v>4</v>
      </c>
      <c r="C2780" s="2" t="str">
        <f ca="1">IFERROR(__xludf.DUMMYFUNCTION("GOOGLETRANSLATE(A2780,""bn"",""en"")"),"I'm going to the Taj Mahal")</f>
        <v>I'm going to the Taj Mahal</v>
      </c>
    </row>
    <row r="2781" spans="1:3" ht="15" x14ac:dyDescent="0.25">
      <c r="A2781" s="3" t="s">
        <v>2778</v>
      </c>
      <c r="B2781" s="3" t="s">
        <v>4</v>
      </c>
      <c r="C2781" s="2" t="str">
        <f ca="1">IFERROR(__xludf.DUMMYFUNCTION("GOOGLETRANSLATE(A2781,""bn"",""en"")"),"Travel is liberating")</f>
        <v>Travel is liberating</v>
      </c>
    </row>
    <row r="2782" spans="1:3" ht="15" x14ac:dyDescent="0.25">
      <c r="A2782" s="3" t="s">
        <v>2779</v>
      </c>
      <c r="B2782" s="3" t="s">
        <v>4</v>
      </c>
      <c r="C2782" s="2" t="str">
        <f ca="1">IFERROR(__xludf.DUMMYFUNCTION("GOOGLETRANSLATE(A2782,""bn"",""en"")"),"We are succeeding")</f>
        <v>We are succeeding</v>
      </c>
    </row>
    <row r="2783" spans="1:3" ht="15" x14ac:dyDescent="0.25">
      <c r="A2783" s="3" t="s">
        <v>2780</v>
      </c>
      <c r="B2783" s="3" t="s">
        <v>4</v>
      </c>
      <c r="C2783" s="2" t="str">
        <f ca="1">IFERROR(__xludf.DUMMYFUNCTION("GOOGLETRANSLATE(A2783,""bn"",""en"")"),"Accepted banking services")</f>
        <v>Accepted banking services</v>
      </c>
    </row>
    <row r="2784" spans="1:3" ht="15" x14ac:dyDescent="0.25">
      <c r="A2784" s="3" t="s">
        <v>2781</v>
      </c>
      <c r="B2784" s="3" t="s">
        <v>4</v>
      </c>
      <c r="C2784" s="2" t="str">
        <f ca="1">IFERROR(__xludf.DUMMYFUNCTION("GOOGLETRANSLATE(A2784,""bn"",""en"")"),"He is leading by example")</f>
        <v>He is leading by example</v>
      </c>
    </row>
    <row r="2785" spans="1:3" ht="15" x14ac:dyDescent="0.25">
      <c r="A2785" s="3" t="s">
        <v>2782</v>
      </c>
      <c r="B2785" s="3" t="s">
        <v>4</v>
      </c>
      <c r="C2785" s="2" t="str">
        <f ca="1">IFERROR(__xludf.DUMMYFUNCTION("GOOGLETRANSLATE(A2785,""bn"",""en"")"),"People are becoming self-employed")</f>
        <v>People are becoming self-employed</v>
      </c>
    </row>
    <row r="2786" spans="1:3" ht="15" x14ac:dyDescent="0.25">
      <c r="A2786" s="3" t="s">
        <v>2783</v>
      </c>
      <c r="B2786" s="3" t="s">
        <v>4</v>
      </c>
      <c r="C2786" s="2" t="str">
        <f ca="1">IFERROR(__xludf.DUMMYFUNCTION("GOOGLETRANSLATE(A2786,""bn"",""en"")"),"I am reading the news now")</f>
        <v>I am reading the news now</v>
      </c>
    </row>
    <row r="2787" spans="1:3" ht="15" x14ac:dyDescent="0.25">
      <c r="A2787" s="3" t="s">
        <v>2784</v>
      </c>
      <c r="B2787" s="3" t="s">
        <v>4</v>
      </c>
      <c r="C2787" s="2" t="str">
        <f ca="1">IFERROR(__xludf.DUMMYFUNCTION("GOOGLETRANSLATE(A2787,""bn"",""en"")"),"Studying in college")</f>
        <v>Studying in college</v>
      </c>
    </row>
    <row r="2788" spans="1:3" ht="15" x14ac:dyDescent="0.25">
      <c r="A2788" s="3" t="s">
        <v>2785</v>
      </c>
      <c r="B2788" s="3" t="s">
        <v>4</v>
      </c>
      <c r="C2788" s="2" t="str">
        <f ca="1">IFERROR(__xludf.DUMMYFUNCTION("GOOGLETRANSLATE(A2788,""bn"",""en"")"),"Print the statement")</f>
        <v>Print the statement</v>
      </c>
    </row>
    <row r="2789" spans="1:3" ht="15" x14ac:dyDescent="0.25">
      <c r="A2789" s="3" t="s">
        <v>2786</v>
      </c>
      <c r="B2789" s="3" t="s">
        <v>4</v>
      </c>
      <c r="C2789" s="2" t="str">
        <f ca="1">IFERROR(__xludf.DUMMYFUNCTION("GOOGLETRANSLATE(A2789,""bn"",""en"")"),"History has been discussed")</f>
        <v>History has been discussed</v>
      </c>
    </row>
    <row r="2790" spans="1:3" ht="15" x14ac:dyDescent="0.25">
      <c r="A2790" s="3" t="s">
        <v>2787</v>
      </c>
      <c r="B2790" s="3" t="s">
        <v>4</v>
      </c>
      <c r="C2790" s="2" t="str">
        <f ca="1">IFERROR(__xludf.DUMMYFUNCTION("GOOGLETRANSLATE(A2790,""bn"",""en"")"),"E chest size is small")</f>
        <v>E chest size is small</v>
      </c>
    </row>
    <row r="2791" spans="1:3" ht="15" x14ac:dyDescent="0.25">
      <c r="A2791" s="3" t="s">
        <v>2788</v>
      </c>
      <c r="B2791" s="3" t="s">
        <v>4</v>
      </c>
      <c r="C2791" s="2" t="str">
        <f ca="1">IFERROR(__xludf.DUMMYFUNCTION("GOOGLETRANSLATE(A2791,""bn"",""en"")"),"Physical exercise in sports")</f>
        <v>Physical exercise in sports</v>
      </c>
    </row>
    <row r="2792" spans="1:3" ht="15" x14ac:dyDescent="0.25">
      <c r="A2792" s="3" t="s">
        <v>2789</v>
      </c>
      <c r="B2792" s="3" t="s">
        <v>4</v>
      </c>
      <c r="C2792" s="2" t="str">
        <f ca="1">IFERROR(__xludf.DUMMYFUNCTION("GOOGLETRANSLATE(A2792,""bn"",""en"")"),"Iodine opens the head")</f>
        <v>Iodine opens the head</v>
      </c>
    </row>
    <row r="2793" spans="1:3" ht="15" x14ac:dyDescent="0.25">
      <c r="A2793" s="3" t="s">
        <v>2790</v>
      </c>
      <c r="B2793" s="3" t="s">
        <v>4</v>
      </c>
      <c r="C2793" s="2" t="str">
        <f ca="1">IFERROR(__xludf.DUMMYFUNCTION("GOOGLETRANSLATE(A2793,""bn"",""en"")"),"Increased efficiency in travel")</f>
        <v>Increased efficiency in travel</v>
      </c>
    </row>
    <row r="2794" spans="1:3" ht="15" x14ac:dyDescent="0.25">
      <c r="A2794" s="3" t="s">
        <v>2791</v>
      </c>
      <c r="B2794" s="3" t="s">
        <v>4</v>
      </c>
      <c r="C2794" s="2" t="str">
        <f ca="1">IFERROR(__xludf.DUMMYFUNCTION("GOOGLETRANSLATE(A2794,""bn"",""en"")"),"Adulteration in market food")</f>
        <v>Adulteration in market food</v>
      </c>
    </row>
    <row r="2795" spans="1:3" ht="15" x14ac:dyDescent="0.25">
      <c r="A2795" s="3" t="s">
        <v>2792</v>
      </c>
      <c r="B2795" s="3" t="s">
        <v>4</v>
      </c>
      <c r="C2795" s="2" t="str">
        <f ca="1">IFERROR(__xludf.DUMMYFUNCTION("GOOGLETRANSLATE(A2795,""bn"",""en"")"),"Bank provides facilities")</f>
        <v>Bank provides facilities</v>
      </c>
    </row>
    <row r="2796" spans="1:3" ht="15" x14ac:dyDescent="0.25">
      <c r="A2796" s="3" t="s">
        <v>2793</v>
      </c>
      <c r="B2796" s="3" t="s">
        <v>4</v>
      </c>
      <c r="C2796" s="2" t="str">
        <f ca="1">IFERROR(__xludf.DUMMYFUNCTION("GOOGLETRANSLATE(A2796,""bn"",""en"")"),"Loans are being paid")</f>
        <v>Loans are being paid</v>
      </c>
    </row>
    <row r="2797" spans="1:3" ht="15" x14ac:dyDescent="0.25">
      <c r="A2797" s="3" t="s">
        <v>2794</v>
      </c>
      <c r="B2797" s="3" t="s">
        <v>4</v>
      </c>
      <c r="C2797" s="2" t="str">
        <f ca="1">IFERROR(__xludf.DUMMYFUNCTION("GOOGLETRANSLATE(A2797,""bn"",""en"")"),"The market price has increased")</f>
        <v>The market price has increased</v>
      </c>
    </row>
    <row r="2798" spans="1:3" ht="15" x14ac:dyDescent="0.25">
      <c r="A2798" s="3" t="s">
        <v>2795</v>
      </c>
      <c r="B2798" s="3" t="s">
        <v>4</v>
      </c>
      <c r="C2798" s="2" t="str">
        <f ca="1">IFERROR(__xludf.DUMMYFUNCTION("GOOGLETRANSLATE(A2798,""bn"",""en"")"),"Education is a source of power")</f>
        <v>Education is a source of power</v>
      </c>
    </row>
    <row r="2799" spans="1:3" ht="15" x14ac:dyDescent="0.25">
      <c r="A2799" s="3" t="s">
        <v>2796</v>
      </c>
      <c r="B2799" s="3" t="s">
        <v>4</v>
      </c>
      <c r="C2799" s="2" t="str">
        <f ca="1">IFERROR(__xludf.DUMMYFUNCTION("GOOGLETRANSLATE(A2799,""bn"",""en"")"),"Listening to music on laptop")</f>
        <v>Listening to music on laptop</v>
      </c>
    </row>
    <row r="2800" spans="1:3" ht="15" x14ac:dyDescent="0.25">
      <c r="A2800" s="3" t="s">
        <v>2797</v>
      </c>
      <c r="B2800" s="3" t="s">
        <v>4</v>
      </c>
      <c r="C2800" s="2" t="str">
        <f ca="1">IFERROR(__xludf.DUMMYFUNCTION("GOOGLETRANSLATE(A2800,""bn"",""en"")"),"People's discussion is going on")</f>
        <v>People's discussion is going on</v>
      </c>
    </row>
    <row r="2801" spans="1:3" ht="15" x14ac:dyDescent="0.25">
      <c r="A2801" s="3" t="s">
        <v>2798</v>
      </c>
      <c r="B2801" s="3" t="s">
        <v>4</v>
      </c>
      <c r="C2801" s="2" t="str">
        <f ca="1">IFERROR(__xludf.DUMMYFUNCTION("GOOGLETRANSLATE(A2801,""bn"",""en"")"),"Paying Zakat")</f>
        <v>Paying Zakat</v>
      </c>
    </row>
    <row r="2802" spans="1:3" ht="15" x14ac:dyDescent="0.25">
      <c r="A2802" s="3" t="s">
        <v>2799</v>
      </c>
      <c r="B2802" s="3" t="s">
        <v>4</v>
      </c>
      <c r="C2802" s="2" t="str">
        <f ca="1">IFERROR(__xludf.DUMMYFUNCTION("GOOGLETRANSLATE(A2802,""bn"",""en"")"),"try to learn")</f>
        <v>try to learn</v>
      </c>
    </row>
    <row r="2803" spans="1:3" ht="15" x14ac:dyDescent="0.25">
      <c r="A2803" s="3" t="s">
        <v>2800</v>
      </c>
      <c r="B2803" s="3" t="s">
        <v>4</v>
      </c>
      <c r="C2803" s="2" t="str">
        <f ca="1">IFERROR(__xludf.DUMMYFUNCTION("GOOGLETRANSLATE(A2803,""bn"",""en"")"),"Learning to use the camera")</f>
        <v>Learning to use the camera</v>
      </c>
    </row>
    <row r="2804" spans="1:3" ht="15" x14ac:dyDescent="0.25">
      <c r="A2804" s="3" t="s">
        <v>2801</v>
      </c>
      <c r="B2804" s="3" t="s">
        <v>4</v>
      </c>
      <c r="C2804" s="2" t="str">
        <f ca="1">IFERROR(__xludf.DUMMYFUNCTION("GOOGLETRANSLATE(A2804,""bn"",""en"")"),"Students are working hard")</f>
        <v>Students are working hard</v>
      </c>
    </row>
    <row r="2805" spans="1:3" ht="15" x14ac:dyDescent="0.25">
      <c r="A2805" s="3" t="s">
        <v>2802</v>
      </c>
      <c r="B2805" s="3" t="s">
        <v>4</v>
      </c>
      <c r="C2805" s="2" t="str">
        <f ca="1">IFERROR(__xludf.DUMMYFUNCTION("GOOGLETRANSLATE(A2805,""bn"",""en"")"),"I'm with the times")</f>
        <v>I'm with the times</v>
      </c>
    </row>
    <row r="2806" spans="1:3" ht="15" x14ac:dyDescent="0.25">
      <c r="A2806" s="3" t="s">
        <v>2803</v>
      </c>
      <c r="B2806" s="3" t="s">
        <v>4</v>
      </c>
      <c r="C2806" s="2" t="str">
        <f ca="1">IFERROR(__xludf.DUMMYFUNCTION("GOOGLETRANSLATE(A2806,""bn"",""en"")"),"I enjoy traveling")</f>
        <v>I enjoy traveling</v>
      </c>
    </row>
    <row r="2807" spans="1:3" ht="15" x14ac:dyDescent="0.25">
      <c r="A2807" s="3" t="s">
        <v>2804</v>
      </c>
      <c r="B2807" s="3" t="s">
        <v>4</v>
      </c>
      <c r="C2807" s="2" t="str">
        <f ca="1">IFERROR(__xludf.DUMMYFUNCTION("GOOGLETRANSLATE(A2807,""bn"",""en"")"),"Eat meals on time")</f>
        <v>Eat meals on time</v>
      </c>
    </row>
    <row r="2808" spans="1:3" ht="15" x14ac:dyDescent="0.25">
      <c r="A2808" s="3" t="s">
        <v>2805</v>
      </c>
      <c r="B2808" s="3" t="s">
        <v>4</v>
      </c>
      <c r="C2808" s="2" t="str">
        <f ca="1">IFERROR(__xludf.DUMMYFUNCTION("GOOGLETRANSLATE(A2808,""bn"",""en"")"),"Students are good at studies")</f>
        <v>Students are good at studies</v>
      </c>
    </row>
    <row r="2809" spans="1:3" ht="15" x14ac:dyDescent="0.25">
      <c r="A2809" s="3" t="s">
        <v>2806</v>
      </c>
      <c r="B2809" s="3" t="s">
        <v>4</v>
      </c>
      <c r="C2809" s="2" t="str">
        <f ca="1">IFERROR(__xludf.DUMMYFUNCTION("GOOGLETRANSLATE(A2809,""bn"",""en"")"),"I want to buy a gadget")</f>
        <v>I want to buy a gadget</v>
      </c>
    </row>
    <row r="2810" spans="1:3" ht="15" x14ac:dyDescent="0.25">
      <c r="A2810" s="3" t="s">
        <v>2807</v>
      </c>
      <c r="B2810" s="3" t="s">
        <v>4</v>
      </c>
      <c r="C2810" s="2" t="str">
        <f ca="1">IFERROR(__xludf.DUMMYFUNCTION("GOOGLETRANSLATE(A2810,""bn"",""en"")"),"Social discussion goes on")</f>
        <v>Social discussion goes on</v>
      </c>
    </row>
    <row r="2811" spans="1:3" ht="15" x14ac:dyDescent="0.25">
      <c r="A2811" s="3" t="s">
        <v>2808</v>
      </c>
      <c r="B2811" s="3" t="s">
        <v>4</v>
      </c>
      <c r="C2811" s="2" t="str">
        <f ca="1">IFERROR(__xludf.DUMMYFUNCTION("GOOGLETRANSLATE(A2811,""bn"",""en"")"),"Use a pan")</f>
        <v>Use a pan</v>
      </c>
    </row>
    <row r="2812" spans="1:3" ht="15" x14ac:dyDescent="0.25">
      <c r="A2812" s="3" t="s">
        <v>2809</v>
      </c>
      <c r="B2812" s="3" t="s">
        <v>4</v>
      </c>
      <c r="C2812" s="2" t="str">
        <f ca="1">IFERROR(__xludf.DUMMYFUNCTION("GOOGLETRANSLATE(A2812,""bn"",""en"")"),"A rocket has gone into space")</f>
        <v>A rocket has gone into space</v>
      </c>
    </row>
    <row r="2813" spans="1:3" ht="15" x14ac:dyDescent="0.25">
      <c r="A2813" s="3" t="s">
        <v>2810</v>
      </c>
      <c r="B2813" s="3" t="s">
        <v>4</v>
      </c>
      <c r="C2813" s="2" t="str">
        <f ca="1">IFERROR(__xludf.DUMMYFUNCTION("GOOGLETRANSLATE(A2813,""bn"",""en"")"),"Technology is the blessing of civilization")</f>
        <v>Technology is the blessing of civilization</v>
      </c>
    </row>
    <row r="2814" spans="1:3" ht="15" x14ac:dyDescent="0.25">
      <c r="A2814" s="3" t="s">
        <v>2811</v>
      </c>
      <c r="B2814" s="3" t="s">
        <v>4</v>
      </c>
      <c r="C2814" s="2" t="str">
        <f ca="1">IFERROR(__xludf.DUMMYFUNCTION("GOOGLETRANSLATE(A2814,""bn"",""en"")"),"I use a laptop")</f>
        <v>I use a laptop</v>
      </c>
    </row>
    <row r="2815" spans="1:3" ht="15" x14ac:dyDescent="0.25">
      <c r="A2815" s="3" t="s">
        <v>2812</v>
      </c>
      <c r="B2815" s="3" t="s">
        <v>4</v>
      </c>
      <c r="C2815" s="2" t="str">
        <f ca="1">IFERROR(__xludf.DUMMYFUNCTION("GOOGLETRANSLATE(A2815,""bn"",""en"")"),"Revenue is increasing")</f>
        <v>Revenue is increasing</v>
      </c>
    </row>
    <row r="2816" spans="1:3" ht="15" x14ac:dyDescent="0.25">
      <c r="A2816" s="3" t="s">
        <v>2813</v>
      </c>
      <c r="B2816" s="3" t="s">
        <v>4</v>
      </c>
      <c r="C2816" s="2" t="str">
        <f ca="1">IFERROR(__xludf.DUMMYFUNCTION("GOOGLETRANSLATE(A2816,""bn"",""en"")"),"Using apps")</f>
        <v>Using apps</v>
      </c>
    </row>
    <row r="2817" spans="1:3" ht="15" x14ac:dyDescent="0.25">
      <c r="A2817" s="3" t="s">
        <v>2814</v>
      </c>
      <c r="B2817" s="3" t="s">
        <v>4</v>
      </c>
      <c r="C2817" s="2" t="str">
        <f ca="1">IFERROR(__xludf.DUMMYFUNCTION("GOOGLETRANSLATE(A2817,""bn"",""en"")"),"Travel boosts morale")</f>
        <v>Travel boosts morale</v>
      </c>
    </row>
    <row r="2818" spans="1:3" ht="15" x14ac:dyDescent="0.25">
      <c r="A2818" s="3" t="s">
        <v>2815</v>
      </c>
      <c r="B2818" s="3" t="s">
        <v>4</v>
      </c>
      <c r="C2818" s="2" t="str">
        <f ca="1">IFERROR(__xludf.DUMMYFUNCTION("GOOGLETRANSLATE(A2818,""bn"",""en"")"),"He reads history")</f>
        <v>He reads history</v>
      </c>
    </row>
    <row r="2819" spans="1:3" ht="15" x14ac:dyDescent="0.25">
      <c r="A2819" s="3" t="s">
        <v>2816</v>
      </c>
      <c r="B2819" s="3" t="s">
        <v>4</v>
      </c>
      <c r="C2819" s="2" t="str">
        <f ca="1">IFERROR(__xludf.DUMMYFUNCTION("GOOGLETRANSLATE(A2819,""bn"",""en"")"),"Travel increases productivity")</f>
        <v>Travel increases productivity</v>
      </c>
    </row>
    <row r="2820" spans="1:3" ht="15" x14ac:dyDescent="0.25">
      <c r="A2820" s="3" t="s">
        <v>2817</v>
      </c>
      <c r="B2820" s="3" t="s">
        <v>4</v>
      </c>
      <c r="C2820" s="2" t="str">
        <f ca="1">IFERROR(__xludf.DUMMYFUNCTION("GOOGLETRANSLATE(A2820,""bn"",""en"")"),"Using robots")</f>
        <v>Using robots</v>
      </c>
    </row>
    <row r="2821" spans="1:3" ht="15" x14ac:dyDescent="0.25">
      <c r="A2821" s="3" t="s">
        <v>2818</v>
      </c>
      <c r="B2821" s="3" t="s">
        <v>4</v>
      </c>
      <c r="C2821" s="2" t="str">
        <f ca="1">IFERROR(__xludf.DUMMYFUNCTION("GOOGLETRANSLATE(A2821,""bn"",""en"")"),"I am doing well in studies")</f>
        <v>I am doing well in studies</v>
      </c>
    </row>
    <row r="2822" spans="1:3" ht="15" x14ac:dyDescent="0.25">
      <c r="A2822" s="3" t="s">
        <v>2819</v>
      </c>
      <c r="B2822" s="3" t="s">
        <v>4</v>
      </c>
      <c r="C2822" s="2" t="str">
        <f ca="1">IFERROR(__xludf.DUMMYFUNCTION("GOOGLETRANSLATE(A2822,""bn"",""en"")"),"Doing online training")</f>
        <v>Doing online training</v>
      </c>
    </row>
    <row r="2823" spans="1:3" ht="15" x14ac:dyDescent="0.25">
      <c r="A2823" s="3" t="s">
        <v>2820</v>
      </c>
      <c r="B2823" s="3" t="s">
        <v>4</v>
      </c>
      <c r="C2823" s="2" t="str">
        <f ca="1">IFERROR(__xludf.DUMMYFUNCTION("GOOGLETRANSLATE(A2823,""bn"",""en"")"),"Contacting the family")</f>
        <v>Contacting the family</v>
      </c>
    </row>
    <row r="2824" spans="1:3" ht="15" x14ac:dyDescent="0.25">
      <c r="A2824" s="3" t="s">
        <v>2821</v>
      </c>
      <c r="B2824" s="3" t="s">
        <v>4</v>
      </c>
      <c r="C2824" s="2" t="str">
        <f ca="1">IFERROR(__xludf.DUMMYFUNCTION("GOOGLETRANSLATE(A2824,""bn"",""en"")"),"waste time")</f>
        <v>waste time</v>
      </c>
    </row>
    <row r="2825" spans="1:3" ht="15" x14ac:dyDescent="0.25">
      <c r="A2825" s="3" t="s">
        <v>2822</v>
      </c>
      <c r="B2825" s="3" t="s">
        <v>4</v>
      </c>
      <c r="C2825" s="2" t="str">
        <f ca="1">IFERROR(__xludf.DUMMYFUNCTION("GOOGLETRANSLATE(A2825,""bn"",""en"")"),"Food provides energy")</f>
        <v>Food provides energy</v>
      </c>
    </row>
    <row r="2826" spans="1:3" ht="15" x14ac:dyDescent="0.25">
      <c r="A2826" s="3" t="s">
        <v>2823</v>
      </c>
      <c r="B2826" s="3" t="s">
        <v>4</v>
      </c>
      <c r="C2826" s="2" t="str">
        <f ca="1">IFERROR(__xludf.DUMMYFUNCTION("GOOGLETRANSLATE(A2826,""bn"",""en"")"),"Glucose is a carrier")</f>
        <v>Glucose is a carrier</v>
      </c>
    </row>
    <row r="2827" spans="1:3" ht="15" x14ac:dyDescent="0.25">
      <c r="A2827" s="3" t="s">
        <v>2824</v>
      </c>
      <c r="B2827" s="3" t="s">
        <v>4</v>
      </c>
      <c r="C2827" s="2" t="str">
        <f ca="1">IFERROR(__xludf.DUMMYFUNCTION("GOOGLETRANSLATE(A2827,""bn"",""en"")"),"Satellites are complex technology")</f>
        <v>Satellites are complex technology</v>
      </c>
    </row>
    <row r="2828" spans="1:3" ht="15" x14ac:dyDescent="0.25">
      <c r="A2828" s="3" t="s">
        <v>2825</v>
      </c>
      <c r="B2828" s="3" t="s">
        <v>4</v>
      </c>
      <c r="C2828" s="2" t="str">
        <f ca="1">IFERROR(__xludf.DUMMYFUNCTION("GOOGLETRANSLATE(A2828,""bn"",""en"")"),"Learning internet business")</f>
        <v>Learning internet business</v>
      </c>
    </row>
    <row r="2829" spans="1:3" ht="15" x14ac:dyDescent="0.25">
      <c r="A2829" s="3" t="s">
        <v>2826</v>
      </c>
      <c r="B2829" s="3" t="s">
        <v>4</v>
      </c>
      <c r="C2829" s="2" t="str">
        <f ca="1">IFERROR(__xludf.DUMMYFUNCTION("GOOGLETRANSLATE(A2829,""bn"",""en"")"),"Agriculture is improving")</f>
        <v>Agriculture is improving</v>
      </c>
    </row>
    <row r="2830" spans="1:3" ht="15" x14ac:dyDescent="0.25">
      <c r="A2830" s="3" t="s">
        <v>2827</v>
      </c>
      <c r="B2830" s="3" t="s">
        <v>4</v>
      </c>
      <c r="C2830" s="2" t="str">
        <f ca="1">IFERROR(__xludf.DUMMYFUNCTION("GOOGLETRANSLATE(A2830,""bn"",""en"")"),"Improves finances")</f>
        <v>Improves finances</v>
      </c>
    </row>
    <row r="2831" spans="1:3" ht="15" x14ac:dyDescent="0.25">
      <c r="A2831" s="3" t="s">
        <v>2828</v>
      </c>
      <c r="B2831" s="3" t="s">
        <v>4</v>
      </c>
      <c r="C2831" s="2" t="str">
        <f ca="1">IFERROR(__xludf.DUMMYFUNCTION("GOOGLETRANSLATE(A2831,""bn"",""en"")"),"Kanchenjunga, daughter of the Himalayas")</f>
        <v>Kanchenjunga, daughter of the Himalayas</v>
      </c>
    </row>
    <row r="2832" spans="1:3" ht="15" x14ac:dyDescent="0.25">
      <c r="A2832" s="3" t="s">
        <v>2829</v>
      </c>
      <c r="B2832" s="3" t="s">
        <v>4</v>
      </c>
      <c r="C2832" s="2" t="str">
        <f ca="1">IFERROR(__xludf.DUMMYFUNCTION("GOOGLETRANSLATE(A2832,""bn"",""en"")"),"Technology is always changing")</f>
        <v>Technology is always changing</v>
      </c>
    </row>
    <row r="2833" spans="1:3" ht="15" x14ac:dyDescent="0.25">
      <c r="A2833" s="3" t="s">
        <v>2830</v>
      </c>
      <c r="B2833" s="3" t="s">
        <v>4</v>
      </c>
      <c r="C2833" s="2" t="str">
        <f ca="1">IFERROR(__xludf.DUMMYFUNCTION("GOOGLETRANSLATE(A2833,""bn"",""en"")"),"can share")</f>
        <v>can share</v>
      </c>
    </row>
    <row r="2834" spans="1:3" ht="15" x14ac:dyDescent="0.25">
      <c r="A2834" s="3" t="s">
        <v>2831</v>
      </c>
      <c r="B2834" s="3" t="s">
        <v>4</v>
      </c>
      <c r="C2834" s="2" t="str">
        <f ca="1">IFERROR(__xludf.DUMMYFUNCTION("GOOGLETRANSLATE(A2834,""bn"",""en"")"),"Lined up and turned around")</f>
        <v>Lined up and turned around</v>
      </c>
    </row>
    <row r="2835" spans="1:3" ht="15" x14ac:dyDescent="0.25">
      <c r="A2835" s="3" t="s">
        <v>2832</v>
      </c>
      <c r="B2835" s="3" t="s">
        <v>4</v>
      </c>
      <c r="C2835" s="2" t="str">
        <f ca="1">IFERROR(__xludf.DUMMYFUNCTION("GOOGLETRANSLATE(A2835,""bn"",""en"")"),"I have talked")</f>
        <v>I have talked</v>
      </c>
    </row>
    <row r="2836" spans="1:3" ht="15" x14ac:dyDescent="0.25">
      <c r="A2836" s="3" t="s">
        <v>2833</v>
      </c>
      <c r="B2836" s="3" t="s">
        <v>4</v>
      </c>
      <c r="C2836" s="2" t="str">
        <f ca="1">IFERROR(__xludf.DUMMYFUNCTION("GOOGLETRANSLATE(A2836,""bn"",""en"")"),"Want to buy a camera")</f>
        <v>Want to buy a camera</v>
      </c>
    </row>
    <row r="2837" spans="1:3" ht="15" x14ac:dyDescent="0.25">
      <c r="A2837" s="3" t="s">
        <v>2834</v>
      </c>
      <c r="B2837" s="3" t="s">
        <v>4</v>
      </c>
      <c r="C2837" s="2" t="str">
        <f ca="1">IFERROR(__xludf.DUMMYFUNCTION("GOOGLETRANSLATE(A2837,""bn"",""en"")"),"I ate food on time")</f>
        <v>I ate food on time</v>
      </c>
    </row>
    <row r="2838" spans="1:3" ht="15" x14ac:dyDescent="0.25">
      <c r="A2838" s="3" t="s">
        <v>2835</v>
      </c>
      <c r="B2838" s="3" t="s">
        <v>4</v>
      </c>
      <c r="C2838" s="2" t="str">
        <f ca="1">IFERROR(__xludf.DUMMYFUNCTION("GOOGLETRANSLATE(A2838,""bn"",""en"")"),"I used Webwriter")</f>
        <v>I used Webwriter</v>
      </c>
    </row>
    <row r="2839" spans="1:3" ht="15" x14ac:dyDescent="0.25">
      <c r="A2839" s="3" t="s">
        <v>2836</v>
      </c>
      <c r="B2839" s="3" t="s">
        <v>4</v>
      </c>
      <c r="C2839" s="2" t="str">
        <f ca="1">IFERROR(__xludf.DUMMYFUNCTION("GOOGLETRANSLATE(A2839,""bn"",""en"")"),"I want to buy headphones")</f>
        <v>I want to buy headphones</v>
      </c>
    </row>
    <row r="2840" spans="1:3" ht="15" x14ac:dyDescent="0.25">
      <c r="A2840" s="3" t="s">
        <v>2837</v>
      </c>
      <c r="B2840" s="3" t="s">
        <v>4</v>
      </c>
      <c r="C2840" s="2" t="str">
        <f ca="1">IFERROR(__xludf.DUMMYFUNCTION("GOOGLETRANSLATE(A2840,""bn"",""en"")"),"He reads English")</f>
        <v>He reads English</v>
      </c>
    </row>
    <row r="2841" spans="1:3" ht="15" x14ac:dyDescent="0.25">
      <c r="A2841" s="3" t="s">
        <v>2838</v>
      </c>
      <c r="B2841" s="3" t="s">
        <v>4</v>
      </c>
      <c r="C2841" s="2" t="str">
        <f ca="1">IFERROR(__xludf.DUMMYFUNCTION("GOOGLETRANSLATE(A2841,""bn"",""en"")"),"I love cricket")</f>
        <v>I love cricket</v>
      </c>
    </row>
    <row r="2842" spans="1:3" ht="15" x14ac:dyDescent="0.25">
      <c r="A2842" s="3" t="s">
        <v>2839</v>
      </c>
      <c r="B2842" s="3" t="s">
        <v>4</v>
      </c>
      <c r="C2842" s="2" t="str">
        <f ca="1">IFERROR(__xludf.DUMMYFUNCTION("GOOGLETRANSLATE(A2842,""bn"",""en"")"),"Government has to be formed")</f>
        <v>Government has to be formed</v>
      </c>
    </row>
    <row r="2843" spans="1:3" ht="15" x14ac:dyDescent="0.25">
      <c r="A2843" s="3" t="s">
        <v>2840</v>
      </c>
      <c r="B2843" s="3" t="s">
        <v>4</v>
      </c>
      <c r="C2843" s="2" t="str">
        <f ca="1">IFERROR(__xludf.DUMMYFUNCTION("GOOGLETRANSLATE(A2843,""bn"",""en"")"),"I am buying a gaming mouse")</f>
        <v>I am buying a gaming mouse</v>
      </c>
    </row>
    <row r="2844" spans="1:3" ht="15" x14ac:dyDescent="0.25">
      <c r="A2844" s="3" t="s">
        <v>2841</v>
      </c>
      <c r="B2844" s="3" t="s">
        <v>4</v>
      </c>
      <c r="C2844" s="2" t="str">
        <f ca="1">IFERROR(__xludf.DUMMYFUNCTION("GOOGLETRANSLATE(A2844,""bn"",""en"")"),"Travel increases wisdom")</f>
        <v>Travel increases wisdom</v>
      </c>
    </row>
    <row r="2845" spans="1:3" ht="15" x14ac:dyDescent="0.25">
      <c r="A2845" s="3" t="s">
        <v>2842</v>
      </c>
      <c r="B2845" s="3" t="s">
        <v>4</v>
      </c>
      <c r="C2845" s="2" t="str">
        <f ca="1">IFERROR(__xludf.DUMMYFUNCTION("GOOGLETRANSLATE(A2845,""bn"",""en"")"),"I learn numbers")</f>
        <v>I learn numbers</v>
      </c>
    </row>
    <row r="2846" spans="1:3" ht="15" x14ac:dyDescent="0.25">
      <c r="A2846" s="3" t="s">
        <v>2843</v>
      </c>
      <c r="B2846" s="3" t="s">
        <v>4</v>
      </c>
      <c r="C2846" s="2" t="str">
        <f ca="1">IFERROR(__xludf.DUMMYFUNCTION("GOOGLETRANSLATE(A2846,""bn"",""en"")"),"Kyokradang is very beautiful")</f>
        <v>Kyokradang is very beautiful</v>
      </c>
    </row>
    <row r="2847" spans="1:3" ht="15" x14ac:dyDescent="0.25">
      <c r="A2847" s="3" t="s">
        <v>2844</v>
      </c>
      <c r="B2847" s="3" t="s">
        <v>4</v>
      </c>
      <c r="C2847" s="2" t="str">
        <f ca="1">IFERROR(__xludf.DUMMYFUNCTION("GOOGLETRANSLATE(A2847,""bn"",""en"")"),"you are succeeding")</f>
        <v>you are succeeding</v>
      </c>
    </row>
    <row r="2848" spans="1:3" ht="15" x14ac:dyDescent="0.25">
      <c r="A2848" s="3" t="s">
        <v>2845</v>
      </c>
      <c r="B2848" s="3" t="s">
        <v>4</v>
      </c>
      <c r="C2848" s="2" t="str">
        <f ca="1">IFERROR(__xludf.DUMMYFUNCTION("GOOGLETRANSLATE(A2848,""bn"",""en"")"),"Education is self-reliance")</f>
        <v>Education is self-reliance</v>
      </c>
    </row>
    <row r="2849" spans="1:3" ht="15" x14ac:dyDescent="0.25">
      <c r="A2849" s="3" t="s">
        <v>2846</v>
      </c>
      <c r="B2849" s="3" t="s">
        <v>4</v>
      </c>
      <c r="C2849" s="2" t="str">
        <f ca="1">IFERROR(__xludf.DUMMYFUNCTION("GOOGLETRANSLATE(A2849,""bn"",""en"")"),"Traveling to Canada is expensive")</f>
        <v>Traveling to Canada is expensive</v>
      </c>
    </row>
    <row r="2850" spans="1:3" ht="15" x14ac:dyDescent="0.25">
      <c r="A2850" s="3" t="s">
        <v>2847</v>
      </c>
      <c r="B2850" s="3" t="s">
        <v>4</v>
      </c>
      <c r="C2850" s="2" t="str">
        <f ca="1">IFERROR(__xludf.DUMMYFUNCTION("GOOGLETRANSLATE(A2850,""bn"",""en"")"),"I want to buy a camera")</f>
        <v>I want to buy a camera</v>
      </c>
    </row>
    <row r="2851" spans="1:3" ht="15" x14ac:dyDescent="0.25">
      <c r="A2851" s="3" t="s">
        <v>2848</v>
      </c>
      <c r="B2851" s="3" t="s">
        <v>4</v>
      </c>
      <c r="C2851" s="2" t="str">
        <f ca="1">IFERROR(__xludf.DUMMYFUNCTION("GOOGLETRANSLATE(A2851,""bn"",""en"")"),"I see a tiger in the forest")</f>
        <v>I see a tiger in the forest</v>
      </c>
    </row>
    <row r="2852" spans="1:3" ht="15" x14ac:dyDescent="0.25">
      <c r="A2852" s="3" t="s">
        <v>2849</v>
      </c>
      <c r="B2852" s="3" t="s">
        <v>4</v>
      </c>
      <c r="C2852" s="2" t="str">
        <f ca="1">IFERROR(__xludf.DUMMYFUNCTION("GOOGLETRANSLATE(A2852,""bn"",""en"")"),"Everyone went to the bank")</f>
        <v>Everyone went to the bank</v>
      </c>
    </row>
    <row r="2853" spans="1:3" ht="15" x14ac:dyDescent="0.25">
      <c r="A2853" s="3" t="s">
        <v>2850</v>
      </c>
      <c r="B2853" s="3" t="s">
        <v>4</v>
      </c>
      <c r="C2853" s="2" t="str">
        <f ca="1">IFERROR(__xludf.DUMMYFUNCTION("GOOGLETRANSLATE(A2853,""bn"",""en"")"),"do a course")</f>
        <v>do a course</v>
      </c>
    </row>
    <row r="2854" spans="1:3" ht="15" x14ac:dyDescent="0.25">
      <c r="A2854" s="3" t="s">
        <v>2851</v>
      </c>
      <c r="B2854" s="3" t="s">
        <v>4</v>
      </c>
      <c r="C2854" s="2" t="str">
        <f ca="1">IFERROR(__xludf.DUMMYFUNCTION("GOOGLETRANSLATE(A2854,""bn"",""en"")"),"They are traveling")</f>
        <v>They are traveling</v>
      </c>
    </row>
    <row r="2855" spans="1:3" ht="15" x14ac:dyDescent="0.25">
      <c r="A2855" s="3" t="s">
        <v>2852</v>
      </c>
      <c r="B2855" s="3" t="s">
        <v>4</v>
      </c>
      <c r="C2855" s="2" t="str">
        <f ca="1">IFERROR(__xludf.DUMMYFUNCTION("GOOGLETRANSLATE(A2855,""bn"",""en"")"),"Visited the college cafeteria")</f>
        <v>Visited the college cafeteria</v>
      </c>
    </row>
    <row r="2856" spans="1:3" ht="15" x14ac:dyDescent="0.25">
      <c r="A2856" s="3" t="s">
        <v>2853</v>
      </c>
      <c r="B2856" s="3" t="s">
        <v>4</v>
      </c>
      <c r="C2856" s="2" t="str">
        <f ca="1">IFERROR(__xludf.DUMMYFUNCTION("GOOGLETRANSLATE(A2856,""bn"",""en"")"),"I am using e-book")</f>
        <v>I am using e-book</v>
      </c>
    </row>
    <row r="2857" spans="1:3" ht="15" x14ac:dyDescent="0.25">
      <c r="A2857" s="3" t="s">
        <v>2854</v>
      </c>
      <c r="B2857" s="3" t="s">
        <v>4</v>
      </c>
      <c r="C2857" s="2" t="str">
        <f ca="1">IFERROR(__xludf.DUMMYFUNCTION("GOOGLETRANSLATE(A2857,""bn"",""en"")"),"Spread the news")</f>
        <v>Spread the news</v>
      </c>
    </row>
    <row r="2858" spans="1:3" ht="15" x14ac:dyDescent="0.25">
      <c r="A2858" s="3" t="s">
        <v>2855</v>
      </c>
      <c r="B2858" s="3" t="s">
        <v>4</v>
      </c>
      <c r="C2858" s="2" t="str">
        <f ca="1">IFERROR(__xludf.DUMMYFUNCTION("GOOGLETRANSLATE(A2858,""bn"",""en"")"),"I wrote notes")</f>
        <v>I wrote notes</v>
      </c>
    </row>
    <row r="2859" spans="1:3" ht="15" x14ac:dyDescent="0.25">
      <c r="A2859" s="3" t="s">
        <v>2856</v>
      </c>
      <c r="B2859" s="3" t="s">
        <v>4</v>
      </c>
      <c r="C2859" s="2" t="str">
        <f ca="1">IFERROR(__xludf.DUMMYFUNCTION("GOOGLETRANSLATE(A2859,""bn"",""en"")"),"Travel is changing")</f>
        <v>Travel is changing</v>
      </c>
    </row>
    <row r="2860" spans="1:3" ht="15" x14ac:dyDescent="0.25">
      <c r="A2860" s="3" t="s">
        <v>2857</v>
      </c>
      <c r="B2860" s="3" t="s">
        <v>4</v>
      </c>
      <c r="C2860" s="2" t="str">
        <f ca="1">IFERROR(__xludf.DUMMYFUNCTION("GOOGLETRANSLATE(A2860,""bn"",""en"")"),"Pay attention to studies")</f>
        <v>Pay attention to studies</v>
      </c>
    </row>
    <row r="2861" spans="1:3" ht="15" x14ac:dyDescent="0.25">
      <c r="A2861" s="3" t="s">
        <v>2858</v>
      </c>
      <c r="B2861" s="3" t="s">
        <v>4</v>
      </c>
      <c r="C2861" s="2" t="str">
        <f ca="1">IFERROR(__xludf.DUMMYFUNCTION("GOOGLETRANSLATE(A2861,""bn"",""en"")"),"Education through technology")</f>
        <v>Education through technology</v>
      </c>
    </row>
    <row r="2862" spans="1:3" ht="15" x14ac:dyDescent="0.25">
      <c r="A2862" s="3" t="s">
        <v>2859</v>
      </c>
      <c r="B2862" s="3" t="s">
        <v>4</v>
      </c>
      <c r="C2862" s="2" t="str">
        <f ca="1">IFERROR(__xludf.DUMMYFUNCTION("GOOGLETRANSLATE(A2862,""bn"",""en"")"),"Education is physical improvement")</f>
        <v>Education is physical improvement</v>
      </c>
    </row>
    <row r="2863" spans="1:3" ht="15" x14ac:dyDescent="0.25">
      <c r="A2863" s="3" t="s">
        <v>2860</v>
      </c>
      <c r="B2863" s="3" t="s">
        <v>4</v>
      </c>
      <c r="C2863" s="2" t="str">
        <f ca="1">IFERROR(__xludf.DUMMYFUNCTION("GOOGLETRANSLATE(A2863,""bn"",""en"")"),"I paid attention to studies")</f>
        <v>I paid attention to studies</v>
      </c>
    </row>
    <row r="2864" spans="1:3" ht="15" x14ac:dyDescent="0.25">
      <c r="A2864" s="3" t="s">
        <v>2861</v>
      </c>
      <c r="B2864" s="3" t="s">
        <v>4</v>
      </c>
      <c r="C2864" s="2" t="str">
        <f ca="1">IFERROR(__xludf.DUMMYFUNCTION("GOOGLETRANSLATE(A2864,""bn"",""en"")"),"A celebration takes place")</f>
        <v>A celebration takes place</v>
      </c>
    </row>
    <row r="2865" spans="1:3" ht="15" x14ac:dyDescent="0.25">
      <c r="A2865" s="3" t="s">
        <v>2862</v>
      </c>
      <c r="B2865" s="3" t="s">
        <v>4</v>
      </c>
      <c r="C2865" s="2" t="str">
        <f ca="1">IFERROR(__xludf.DUMMYFUNCTION("GOOGLETRANSLATE(A2865,""bn"",""en"")"),"I used a floppy disk")</f>
        <v>I used a floppy disk</v>
      </c>
    </row>
    <row r="2866" spans="1:3" ht="15" x14ac:dyDescent="0.25">
      <c r="A2866" s="3" t="s">
        <v>2863</v>
      </c>
      <c r="B2866" s="3" t="s">
        <v>4</v>
      </c>
      <c r="C2866" s="2" t="str">
        <f ca="1">IFERROR(__xludf.DUMMYFUNCTION("GOOGLETRANSLATE(A2866,""bn"",""en"")"),"Investments are reaching the country")</f>
        <v>Investments are reaching the country</v>
      </c>
    </row>
    <row r="2867" spans="1:3" ht="15" x14ac:dyDescent="0.25">
      <c r="A2867" s="3" t="s">
        <v>2864</v>
      </c>
      <c r="B2867" s="3" t="s">
        <v>4</v>
      </c>
      <c r="C2867" s="2" t="str">
        <f ca="1">IFERROR(__xludf.DUMMYFUNCTION("GOOGLETRANSLATE(A2867,""bn"",""en"")"),"He reads poetry")</f>
        <v>He reads poetry</v>
      </c>
    </row>
    <row r="2868" spans="1:3" ht="15" x14ac:dyDescent="0.25">
      <c r="A2868" s="3" t="s">
        <v>2865</v>
      </c>
      <c r="B2868" s="3" t="s">
        <v>4</v>
      </c>
      <c r="C2868" s="2" t="str">
        <f ca="1">IFERROR(__xludf.DUMMYFUNCTION("GOOGLETRANSLATE(A2868,""bn"",""en"")"),"He is reading history carefully")</f>
        <v>He is reading history carefully</v>
      </c>
    </row>
    <row r="2869" spans="1:3" ht="15" x14ac:dyDescent="0.25">
      <c r="A2869" s="3" t="s">
        <v>2866</v>
      </c>
      <c r="B2869" s="3" t="s">
        <v>4</v>
      </c>
      <c r="C2869" s="2" t="str">
        <f ca="1">IFERROR(__xludf.DUMMYFUNCTION("GOOGLETRANSLATE(A2869,""bn"",""en"")"),"I want benefits in life")</f>
        <v>I want benefits in life</v>
      </c>
    </row>
    <row r="2870" spans="1:3" ht="15" x14ac:dyDescent="0.25">
      <c r="A2870" s="3" t="s">
        <v>2867</v>
      </c>
      <c r="B2870" s="3" t="s">
        <v>4</v>
      </c>
      <c r="C2870" s="2" t="str">
        <f ca="1">IFERROR(__xludf.DUMMYFUNCTION("GOOGLETRANSLATE(A2870,""bn"",""en"")"),"I am reading a novel")</f>
        <v>I am reading a novel</v>
      </c>
    </row>
    <row r="2871" spans="1:3" ht="15" x14ac:dyDescent="0.25">
      <c r="A2871" s="3" t="s">
        <v>2868</v>
      </c>
      <c r="B2871" s="3" t="s">
        <v>4</v>
      </c>
      <c r="C2871" s="2" t="str">
        <f ca="1">IFERROR(__xludf.DUMMYFUNCTION("GOOGLETRANSLATE(A2871,""bn"",""en"")"),"Tesla is a technology giant")</f>
        <v>Tesla is a technology giant</v>
      </c>
    </row>
    <row r="2872" spans="1:3" ht="15" x14ac:dyDescent="0.25">
      <c r="A2872" s="3" t="s">
        <v>2869</v>
      </c>
      <c r="B2872" s="3" t="s">
        <v>4</v>
      </c>
      <c r="C2872" s="2" t="str">
        <f ca="1">IFERROR(__xludf.DUMMYFUNCTION("GOOGLETRANSLATE(A2872,""bn"",""en"")"),"Provides additional benefits")</f>
        <v>Provides additional benefits</v>
      </c>
    </row>
    <row r="2873" spans="1:3" ht="15" x14ac:dyDescent="0.25">
      <c r="A2873" s="3" t="s">
        <v>2870</v>
      </c>
      <c r="B2873" s="3" t="s">
        <v>4</v>
      </c>
      <c r="C2873" s="2" t="str">
        <f ca="1">IFERROR(__xludf.DUMMYFUNCTION("GOOGLETRANSLATE(A2873,""bn"",""en"")"),"Product is being produced")</f>
        <v>Product is being produced</v>
      </c>
    </row>
    <row r="2874" spans="1:3" ht="15" x14ac:dyDescent="0.25">
      <c r="A2874" s="3" t="s">
        <v>2871</v>
      </c>
      <c r="B2874" s="3" t="s">
        <v>4</v>
      </c>
      <c r="C2874" s="2" t="str">
        <f ca="1">IFERROR(__xludf.DUMMYFUNCTION("GOOGLETRANSLATE(A2874,""bn"",""en"")"),"i am going to school")</f>
        <v>i am going to school</v>
      </c>
    </row>
    <row r="2875" spans="1:3" ht="15" x14ac:dyDescent="0.25">
      <c r="A2875" s="3" t="s">
        <v>2872</v>
      </c>
      <c r="B2875" s="3" t="s">
        <v>4</v>
      </c>
      <c r="C2875" s="2" t="str">
        <f ca="1">IFERROR(__xludf.DUMMYFUNCTION("GOOGLETRANSLATE(A2875,""bn"",""en"")"),"I found peace in the journey")</f>
        <v>I found peace in the journey</v>
      </c>
    </row>
    <row r="2876" spans="1:3" ht="15" x14ac:dyDescent="0.25">
      <c r="A2876" s="3" t="s">
        <v>2873</v>
      </c>
      <c r="B2876" s="3" t="s">
        <v>4</v>
      </c>
      <c r="C2876" s="2" t="str">
        <f ca="1">IFERROR(__xludf.DUMMYFUNCTION("GOOGLETRANSLATE(A2876,""bn"",""en"")"),"I visited the bank")</f>
        <v>I visited the bank</v>
      </c>
    </row>
    <row r="2877" spans="1:3" ht="15" x14ac:dyDescent="0.25">
      <c r="A2877" s="3" t="s">
        <v>2874</v>
      </c>
      <c r="B2877" s="3" t="s">
        <v>4</v>
      </c>
      <c r="C2877" s="2" t="str">
        <f ca="1">IFERROR(__xludf.DUMMYFUNCTION("GOOGLETRANSLATE(A2877,""bn"",""en"")"),"Politics is changing")</f>
        <v>Politics is changing</v>
      </c>
    </row>
    <row r="2878" spans="1:3" ht="15" x14ac:dyDescent="0.25">
      <c r="A2878" s="3" t="s">
        <v>2875</v>
      </c>
      <c r="B2878" s="3" t="s">
        <v>4</v>
      </c>
      <c r="C2878" s="2" t="str">
        <f ca="1">IFERROR(__xludf.DUMMYFUNCTION("GOOGLETRANSLATE(A2878,""bn"",""en"")"),"GPS is turned on")</f>
        <v>GPS is turned on</v>
      </c>
    </row>
    <row r="2879" spans="1:3" ht="15" x14ac:dyDescent="0.25">
      <c r="A2879" s="3" t="s">
        <v>2876</v>
      </c>
      <c r="B2879" s="3" t="s">
        <v>4</v>
      </c>
      <c r="C2879" s="2" t="str">
        <f ca="1">IFERROR(__xludf.DUMMYFUNCTION("GOOGLETRANSLATE(A2879,""bn"",""en"")"),"I gave regular videos")</f>
        <v>I gave regular videos</v>
      </c>
    </row>
    <row r="2880" spans="1:3" ht="15" x14ac:dyDescent="0.25">
      <c r="A2880" s="3" t="s">
        <v>2877</v>
      </c>
      <c r="B2880" s="3" t="s">
        <v>4</v>
      </c>
      <c r="C2880" s="2" t="str">
        <f ca="1">IFERROR(__xludf.DUMMYFUNCTION("GOOGLETRANSLATE(A2880,""bn"",""en"")"),"The boy is addicted to the internet")</f>
        <v>The boy is addicted to the internet</v>
      </c>
    </row>
    <row r="2881" spans="1:3" ht="15" x14ac:dyDescent="0.25">
      <c r="A2881" s="3" t="s">
        <v>2878</v>
      </c>
      <c r="B2881" s="3" t="s">
        <v>4</v>
      </c>
      <c r="C2881" s="2" t="str">
        <f ca="1">IFERROR(__xludf.DUMMYFUNCTION("GOOGLETRANSLATE(A2881,""bn"",""en"")"),"Education is flourishing")</f>
        <v>Education is flourishing</v>
      </c>
    </row>
    <row r="2882" spans="1:3" ht="15" x14ac:dyDescent="0.25">
      <c r="A2882" s="3" t="s">
        <v>2879</v>
      </c>
      <c r="B2882" s="3" t="s">
        <v>4</v>
      </c>
      <c r="C2882" s="2" t="str">
        <f ca="1">IFERROR(__xludf.DUMMYFUNCTION("GOOGLETRANSLATE(A2882,""bn"",""en"")"),"I started traveling")</f>
        <v>I started traveling</v>
      </c>
    </row>
    <row r="2883" spans="1:3" ht="15" x14ac:dyDescent="0.25">
      <c r="A2883" s="3" t="s">
        <v>2880</v>
      </c>
      <c r="B2883" s="3" t="s">
        <v>4</v>
      </c>
      <c r="C2883" s="2" t="str">
        <f ca="1">IFERROR(__xludf.DUMMYFUNCTION("GOOGLETRANSLATE(A2883,""bn"",""en"")"),"Increases employee value")</f>
        <v>Increases employee value</v>
      </c>
    </row>
    <row r="2884" spans="1:3" ht="15" x14ac:dyDescent="0.25">
      <c r="A2884" s="3" t="s">
        <v>2881</v>
      </c>
      <c r="B2884" s="3" t="s">
        <v>4</v>
      </c>
      <c r="C2884" s="2" t="str">
        <f ca="1">IFERROR(__xludf.DUMMYFUNCTION("GOOGLETRANSLATE(A2884,""bn"",""en"")"),"Reading news on the internet")</f>
        <v>Reading news on the internet</v>
      </c>
    </row>
    <row r="2885" spans="1:3" ht="15" x14ac:dyDescent="0.25">
      <c r="A2885" s="3" t="s">
        <v>2882</v>
      </c>
      <c r="B2885" s="3" t="s">
        <v>4</v>
      </c>
      <c r="C2885" s="2" t="str">
        <f ca="1">IFERROR(__xludf.DUMMYFUNCTION("GOOGLETRANSLATE(A2885,""bn"",""en"")"),"Travel boosts confidence")</f>
        <v>Travel boosts confidence</v>
      </c>
    </row>
    <row r="2886" spans="1:3" ht="15" x14ac:dyDescent="0.25">
      <c r="A2886" s="3" t="s">
        <v>2883</v>
      </c>
      <c r="B2886" s="3" t="s">
        <v>4</v>
      </c>
      <c r="C2886" s="2" t="str">
        <f ca="1">IFERROR(__xludf.DUMMYFUNCTION("GOOGLETRANSLATE(A2886,""bn"",""en"")"),"I want to see the Taj Mahal")</f>
        <v>I want to see the Taj Mahal</v>
      </c>
    </row>
    <row r="2887" spans="1:3" ht="15" x14ac:dyDescent="0.25">
      <c r="A2887" s="3" t="s">
        <v>2884</v>
      </c>
      <c r="B2887" s="3" t="s">
        <v>4</v>
      </c>
      <c r="C2887" s="2" t="str">
        <f ca="1">IFERROR(__xludf.DUMMYFUNCTION("GOOGLETRANSLATE(A2887,""bn"",""en"")"),"I see a bear in the forest")</f>
        <v>I see a bear in the forest</v>
      </c>
    </row>
    <row r="2888" spans="1:3" ht="15" x14ac:dyDescent="0.25">
      <c r="A2888" s="3" t="s">
        <v>2885</v>
      </c>
      <c r="B2888" s="3" t="s">
        <v>4</v>
      </c>
      <c r="C2888" s="2" t="str">
        <f ca="1">IFERROR(__xludf.DUMMYFUNCTION("GOOGLETRANSLATE(A2888,""bn"",""en"")"),"I used the camera")</f>
        <v>I used the camera</v>
      </c>
    </row>
    <row r="2889" spans="1:3" ht="15" x14ac:dyDescent="0.25">
      <c r="A2889" s="3" t="s">
        <v>2886</v>
      </c>
      <c r="B2889" s="3" t="s">
        <v>4</v>
      </c>
      <c r="C2889" s="2" t="str">
        <f ca="1">IFERROR(__xludf.DUMMYFUNCTION("GOOGLETRANSLATE(A2889,""bn"",""en"")"),"Prime Minister discusses")</f>
        <v>Prime Minister discusses</v>
      </c>
    </row>
    <row r="2890" spans="1:3" ht="15" x14ac:dyDescent="0.25">
      <c r="A2890" s="3" t="s">
        <v>2887</v>
      </c>
      <c r="B2890" s="3" t="s">
        <v>4</v>
      </c>
      <c r="C2890" s="2" t="str">
        <f ca="1">IFERROR(__xludf.DUMMYFUNCTION("GOOGLETRANSLATE(A2890,""bn"",""en"")"),"Testing the software")</f>
        <v>Testing the software</v>
      </c>
    </row>
    <row r="2891" spans="1:3" ht="15" x14ac:dyDescent="0.25">
      <c r="A2891" s="3" t="s">
        <v>2888</v>
      </c>
      <c r="B2891" s="3" t="s">
        <v>4</v>
      </c>
      <c r="C2891" s="2" t="str">
        <f ca="1">IFERROR(__xludf.DUMMYFUNCTION("GOOGLETRANSLATE(A2891,""bn"",""en"")"),"I am opening a bank account")</f>
        <v>I am opening a bank account</v>
      </c>
    </row>
    <row r="2892" spans="1:3" ht="15" x14ac:dyDescent="0.25">
      <c r="A2892" s="3" t="s">
        <v>2889</v>
      </c>
      <c r="B2892" s="3" t="s">
        <v>4</v>
      </c>
      <c r="C2892" s="2" t="str">
        <f ca="1">IFERROR(__xludf.DUMMYFUNCTION("GOOGLETRANSLATE(A2892,""bn"",""en"")"),"Generations are getting rich")</f>
        <v>Generations are getting rich</v>
      </c>
    </row>
    <row r="2893" spans="1:3" ht="15" x14ac:dyDescent="0.25">
      <c r="A2893" s="3" t="s">
        <v>2890</v>
      </c>
      <c r="B2893" s="3" t="s">
        <v>4</v>
      </c>
      <c r="C2893" s="2" t="str">
        <f ca="1">IFERROR(__xludf.DUMMYFUNCTION("GOOGLETRANSLATE(A2893,""bn"",""en"")"),"There is financial prosperity")</f>
        <v>There is financial prosperity</v>
      </c>
    </row>
    <row r="2894" spans="1:3" ht="15" x14ac:dyDescent="0.25">
      <c r="A2894" s="3" t="s">
        <v>2891</v>
      </c>
      <c r="B2894" s="3" t="s">
        <v>4</v>
      </c>
      <c r="C2894" s="2" t="str">
        <f ca="1">IFERROR(__xludf.DUMMYFUNCTION("GOOGLETRANSLATE(A2894,""bn"",""en"")"),"AI programs are popular")</f>
        <v>AI programs are popular</v>
      </c>
    </row>
    <row r="2895" spans="1:3" ht="15" x14ac:dyDescent="0.25">
      <c r="A2895" s="3" t="s">
        <v>2892</v>
      </c>
      <c r="B2895" s="3" t="s">
        <v>4</v>
      </c>
      <c r="C2895" s="2" t="str">
        <f ca="1">IFERROR(__xludf.DUMMYFUNCTION("GOOGLETRANSLATE(A2895,""bn"",""en"")"),"Taking IT training")</f>
        <v>Taking IT training</v>
      </c>
    </row>
    <row r="2896" spans="1:3" ht="15" x14ac:dyDescent="0.25">
      <c r="A2896" s="3" t="s">
        <v>2893</v>
      </c>
      <c r="B2896" s="3" t="s">
        <v>4</v>
      </c>
      <c r="C2896" s="2" t="str">
        <f ca="1">IFERROR(__xludf.DUMMYFUNCTION("GOOGLETRANSLATE(A2896,""bn"",""en"")"),"Seeking honest advice")</f>
        <v>Seeking honest advice</v>
      </c>
    </row>
    <row r="2897" spans="1:3" ht="15" x14ac:dyDescent="0.25">
      <c r="A2897" s="3" t="s">
        <v>2894</v>
      </c>
      <c r="B2897" s="3" t="s">
        <v>4</v>
      </c>
      <c r="C2897" s="2" t="str">
        <f ca="1">IFERROR(__xludf.DUMMYFUNCTION("GOOGLETRANSLATE(A2897,""bn"",""en"")"),"Parties have vowed")</f>
        <v>Parties have vowed</v>
      </c>
    </row>
    <row r="2898" spans="1:3" ht="15" x14ac:dyDescent="0.25">
      <c r="A2898" s="3" t="s">
        <v>2895</v>
      </c>
      <c r="B2898" s="3" t="s">
        <v>4</v>
      </c>
      <c r="C2898" s="2" t="str">
        <f ca="1">IFERROR(__xludf.DUMMYFUNCTION("GOOGLETRANSLATE(A2898,""bn"",""en"")"),"By sending money")</f>
        <v>By sending money</v>
      </c>
    </row>
    <row r="2899" spans="1:3" ht="15" x14ac:dyDescent="0.25">
      <c r="A2899" s="3" t="s">
        <v>2896</v>
      </c>
      <c r="B2899" s="3" t="s">
        <v>4</v>
      </c>
      <c r="C2899" s="2" t="str">
        <f ca="1">IFERROR(__xludf.DUMMYFUNCTION("GOOGLETRANSLATE(A2899,""bn"",""en"")"),"Solve the problem")</f>
        <v>Solve the problem</v>
      </c>
    </row>
    <row r="2900" spans="1:3" ht="15" x14ac:dyDescent="0.25">
      <c r="A2900" s="3" t="s">
        <v>2897</v>
      </c>
      <c r="B2900" s="3" t="s">
        <v>4</v>
      </c>
      <c r="C2900" s="2" t="str">
        <f ca="1">IFERROR(__xludf.DUMMYFUNCTION("GOOGLETRANSLATE(A2900,""bn"",""en"")"),"Lean muscle")</f>
        <v>Lean muscle</v>
      </c>
    </row>
    <row r="2901" spans="1:3" ht="15" x14ac:dyDescent="0.25">
      <c r="A2901" s="3" t="s">
        <v>2898</v>
      </c>
      <c r="B2901" s="3" t="s">
        <v>4</v>
      </c>
      <c r="C2901" s="2" t="str">
        <f ca="1">IFERROR(__xludf.DUMMYFUNCTION("GOOGLETRANSLATE(A2901,""bn"",""en"")"),"I am reading the story")</f>
        <v>I am reading the story</v>
      </c>
    </row>
    <row r="2902" spans="1:3" ht="15" x14ac:dyDescent="0.25">
      <c r="A2902" s="3" t="s">
        <v>2899</v>
      </c>
      <c r="B2902" s="3" t="s">
        <v>4</v>
      </c>
      <c r="C2902" s="2" t="str">
        <f ca="1">IFERROR(__xludf.DUMMYFUNCTION("GOOGLETRANSLATE(A2902,""bn"",""en"")"),"Can send email")</f>
        <v>Can send email</v>
      </c>
    </row>
    <row r="2903" spans="1:3" ht="15" x14ac:dyDescent="0.25">
      <c r="A2903" s="3" t="s">
        <v>2900</v>
      </c>
      <c r="B2903" s="3" t="s">
        <v>4</v>
      </c>
      <c r="C2903" s="2" t="str">
        <f ca="1">IFERROR(__xludf.DUMMYFUNCTION("GOOGLETRANSLATE(A2903,""bn"",""en"")"),"I like traveling")</f>
        <v>I like traveling</v>
      </c>
    </row>
    <row r="2904" spans="1:3" ht="15" x14ac:dyDescent="0.25">
      <c r="A2904" s="3" t="s">
        <v>2901</v>
      </c>
      <c r="B2904" s="3" t="s">
        <v>4</v>
      </c>
      <c r="C2904" s="2" t="str">
        <f ca="1">IFERROR(__xludf.DUMMYFUNCTION("GOOGLETRANSLATE(A2904,""bn"",""en"")"),"He writes essays")</f>
        <v>He writes essays</v>
      </c>
    </row>
    <row r="2905" spans="1:3" ht="15" x14ac:dyDescent="0.25">
      <c r="A2905" s="3" t="s">
        <v>2902</v>
      </c>
      <c r="B2905" s="3" t="s">
        <v>4</v>
      </c>
      <c r="C2905" s="2" t="str">
        <f ca="1">IFERROR(__xludf.DUMMYFUNCTION("GOOGLETRANSLATE(A2905,""bn"",""en"")"),"you go to school")</f>
        <v>you go to school</v>
      </c>
    </row>
    <row r="2906" spans="1:3" ht="15" x14ac:dyDescent="0.25">
      <c r="A2906" s="3" t="s">
        <v>2903</v>
      </c>
      <c r="B2906" s="3" t="s">
        <v>4</v>
      </c>
      <c r="C2906" s="2" t="str">
        <f ca="1">IFERROR(__xludf.DUMMYFUNCTION("GOOGLETRANSLATE(A2906,""bn"",""en"")"),"Using IoT")</f>
        <v>Using IoT</v>
      </c>
    </row>
    <row r="2907" spans="1:3" ht="15" x14ac:dyDescent="0.25">
      <c r="A2907" s="3" t="s">
        <v>2904</v>
      </c>
      <c r="B2907" s="3" t="s">
        <v>4</v>
      </c>
      <c r="C2907" s="2" t="str">
        <f ca="1">IFERROR(__xludf.DUMMYFUNCTION("GOOGLETRANSLATE(A2907,""bn"",""en"")"),"I worked in a bank")</f>
        <v>I worked in a bank</v>
      </c>
    </row>
    <row r="2908" spans="1:3" ht="15" x14ac:dyDescent="0.25">
      <c r="A2908" s="3" t="s">
        <v>2905</v>
      </c>
      <c r="B2908" s="3" t="s">
        <v>4</v>
      </c>
      <c r="C2908" s="2" t="str">
        <f ca="1">IFERROR(__xludf.DUMMYFUNCTION("GOOGLETRANSLATE(A2908,""bn"",""en"")"),"spoke against")</f>
        <v>spoke against</v>
      </c>
    </row>
    <row r="2909" spans="1:3" ht="15" x14ac:dyDescent="0.25">
      <c r="A2909" s="3" t="s">
        <v>2906</v>
      </c>
      <c r="B2909" s="3" t="s">
        <v>4</v>
      </c>
      <c r="C2909" s="2" t="str">
        <f ca="1">IFERROR(__xludf.DUMMYFUNCTION("GOOGLETRANSLATE(A2909,""bn"",""en"")"),"Using GPS")</f>
        <v>Using GPS</v>
      </c>
    </row>
    <row r="2910" spans="1:3" ht="15" x14ac:dyDescent="0.25">
      <c r="A2910" s="3" t="s">
        <v>2907</v>
      </c>
      <c r="B2910" s="3" t="s">
        <v>4</v>
      </c>
      <c r="C2910" s="2" t="str">
        <f ca="1">IFERROR(__xludf.DUMMYFUNCTION("GOOGLETRANSLATE(A2910,""bn"",""en"")"),"I read the story")</f>
        <v>I read the story</v>
      </c>
    </row>
    <row r="2911" spans="1:3" ht="15" x14ac:dyDescent="0.25">
      <c r="A2911" s="3" t="s">
        <v>2908</v>
      </c>
      <c r="B2911" s="3" t="s">
        <v>4</v>
      </c>
      <c r="C2911" s="2" t="str">
        <f ca="1">IFERROR(__xludf.DUMMYFUNCTION("GOOGLETRANSLATE(A2911,""bn"",""en"")"),"Studying using internet")</f>
        <v>Studying using internet</v>
      </c>
    </row>
    <row r="2912" spans="1:3" ht="15" x14ac:dyDescent="0.25">
      <c r="A2912" s="3" t="s">
        <v>2909</v>
      </c>
      <c r="B2912" s="3" t="s">
        <v>4</v>
      </c>
      <c r="C2912" s="2" t="str">
        <f ca="1">IFERROR(__xludf.DUMMYFUNCTION("GOOGLETRANSLATE(A2912,""bn"",""en"")"),"I am traveling by sea")</f>
        <v>I am traveling by sea</v>
      </c>
    </row>
    <row r="2913" spans="1:3" ht="15" x14ac:dyDescent="0.25">
      <c r="A2913" s="3" t="s">
        <v>2910</v>
      </c>
      <c r="B2913" s="3" t="s">
        <v>4</v>
      </c>
      <c r="C2913" s="2" t="str">
        <f ca="1">IFERROR(__xludf.DUMMYFUNCTION("GOOGLETRANSLATE(A2913,""bn"",""en"")"),"I am buying a new phone")</f>
        <v>I am buying a new phone</v>
      </c>
    </row>
    <row r="2914" spans="1:3" ht="15" x14ac:dyDescent="0.25">
      <c r="A2914" s="3" t="s">
        <v>2911</v>
      </c>
      <c r="B2914" s="3" t="s">
        <v>4</v>
      </c>
      <c r="C2914" s="2" t="str">
        <f ca="1">IFERROR(__xludf.DUMMYFUNCTION("GOOGLETRANSLATE(A2914,""bn"",""en"")"),"Traveling is part of life")</f>
        <v>Traveling is part of life</v>
      </c>
    </row>
    <row r="2915" spans="1:3" ht="15" x14ac:dyDescent="0.25">
      <c r="A2915" s="3" t="s">
        <v>2912</v>
      </c>
      <c r="B2915" s="3" t="s">
        <v>4</v>
      </c>
      <c r="C2915" s="2" t="str">
        <f ca="1">IFERROR(__xludf.DUMMYFUNCTION("GOOGLETRANSLATE(A2915,""bn"",""en"")"),"I read novels")</f>
        <v>I read novels</v>
      </c>
    </row>
    <row r="2916" spans="1:3" ht="15" x14ac:dyDescent="0.25">
      <c r="A2916" s="3" t="s">
        <v>2913</v>
      </c>
      <c r="B2916" s="3" t="s">
        <v>4</v>
      </c>
      <c r="C2916" s="2" t="str">
        <f ca="1">IFERROR(__xludf.DUMMYFUNCTION("GOOGLETRANSLATE(A2916,""bn"",""en"")"),"Loans are increasing")</f>
        <v>Loans are increasing</v>
      </c>
    </row>
    <row r="2917" spans="1:3" ht="15" x14ac:dyDescent="0.25">
      <c r="A2917" s="3" t="s">
        <v>2914</v>
      </c>
      <c r="B2917" s="3" t="s">
        <v>4</v>
      </c>
      <c r="C2917" s="2" t="str">
        <f ca="1">IFERROR(__xludf.DUMMYFUNCTION("GOOGLETRANSLATE(A2917,""bn"",""en"")"),"I like flowers")</f>
        <v>I like flowers</v>
      </c>
    </row>
    <row r="2918" spans="1:3" ht="15" x14ac:dyDescent="0.25">
      <c r="A2918" s="3" t="s">
        <v>2915</v>
      </c>
      <c r="B2918" s="3" t="s">
        <v>4</v>
      </c>
      <c r="C2918" s="2" t="str">
        <f ca="1">IFERROR(__xludf.DUMMYFUNCTION("GOOGLETRANSLATE(A2918,""bn"",""en"")"),"Want improvement in production")</f>
        <v>Want improvement in production</v>
      </c>
    </row>
    <row r="2919" spans="1:3" ht="15" x14ac:dyDescent="0.25">
      <c r="A2919" s="3" t="s">
        <v>2916</v>
      </c>
      <c r="B2919" s="3" t="s">
        <v>4</v>
      </c>
      <c r="C2919" s="2" t="str">
        <f ca="1">IFERROR(__xludf.DUMMYFUNCTION("GOOGLETRANSLATE(A2919,""bn"",""en"")"),"Taking pictures with the camera")</f>
        <v>Taking pictures with the camera</v>
      </c>
    </row>
    <row r="2920" spans="1:3" ht="15" x14ac:dyDescent="0.25">
      <c r="A2920" s="3" t="s">
        <v>2917</v>
      </c>
      <c r="B2920" s="3" t="s">
        <v>4</v>
      </c>
      <c r="C2920" s="2" t="str">
        <f ca="1">IFERROR(__xludf.DUMMYFUNCTION("GOOGLETRANSLATE(A2920,""bn"",""en"")"),"I write notes")</f>
        <v>I write notes</v>
      </c>
    </row>
    <row r="2921" spans="1:3" ht="15" x14ac:dyDescent="0.25">
      <c r="A2921" s="3" t="s">
        <v>2918</v>
      </c>
      <c r="B2921" s="3" t="s">
        <v>4</v>
      </c>
      <c r="C2921" s="2" t="str">
        <f ca="1">IFERROR(__xludf.DUMMYFUNCTION("GOOGLETRANSLATE(A2921,""bn"",""en"")"),"The growth process is ongoing")</f>
        <v>The growth process is ongoing</v>
      </c>
    </row>
    <row r="2922" spans="1:3" ht="15" x14ac:dyDescent="0.25">
      <c r="A2922" s="3" t="s">
        <v>2919</v>
      </c>
      <c r="B2922" s="3" t="s">
        <v>4</v>
      </c>
      <c r="C2922" s="2" t="str">
        <f ca="1">IFERROR(__xludf.DUMMYFUNCTION("GOOGLETRANSLATE(A2922,""bn"",""en"")"),"Education creates prosperity")</f>
        <v>Education creates prosperity</v>
      </c>
    </row>
    <row r="2923" spans="1:3" ht="15" x14ac:dyDescent="0.25">
      <c r="A2923" s="3" t="s">
        <v>2920</v>
      </c>
      <c r="B2923" s="3" t="s">
        <v>4</v>
      </c>
      <c r="C2923" s="2" t="str">
        <f ca="1">IFERROR(__xludf.DUMMYFUNCTION("GOOGLETRANSLATE(A2923,""bn"",""en"")"),"I like politics")</f>
        <v>I like politics</v>
      </c>
    </row>
    <row r="2924" spans="1:3" ht="15" x14ac:dyDescent="0.25">
      <c r="A2924" s="3" t="s">
        <v>2921</v>
      </c>
      <c r="B2924" s="3" t="s">
        <v>4</v>
      </c>
      <c r="C2924" s="2" t="str">
        <f ca="1">IFERROR(__xludf.DUMMYFUNCTION("GOOGLETRANSLATE(A2924,""bn"",""en"")"),"Twitter is a popular platform")</f>
        <v>Twitter is a popular platform</v>
      </c>
    </row>
    <row r="2925" spans="1:3" ht="15" x14ac:dyDescent="0.25">
      <c r="A2925" s="3" t="s">
        <v>2922</v>
      </c>
      <c r="B2925" s="3" t="s">
        <v>4</v>
      </c>
      <c r="C2925" s="2" t="str">
        <f ca="1">IFERROR(__xludf.DUMMYFUNCTION("GOOGLETRANSLATE(A2925,""bn"",""en"")"),"wants to improve")</f>
        <v>wants to improve</v>
      </c>
    </row>
    <row r="2926" spans="1:3" ht="15" x14ac:dyDescent="0.25">
      <c r="A2926" s="3" t="s">
        <v>2923</v>
      </c>
      <c r="B2926" s="3" t="s">
        <v>4</v>
      </c>
      <c r="C2926" s="2" t="str">
        <f ca="1">IFERROR(__xludf.DUMMYFUNCTION("GOOGLETRANSLATE(A2926,""bn"",""en"")"),"Government provides benefits")</f>
        <v>Government provides benefits</v>
      </c>
    </row>
    <row r="2927" spans="1:3" ht="15" x14ac:dyDescent="0.25">
      <c r="A2927" s="3" t="s">
        <v>2924</v>
      </c>
      <c r="B2927" s="3" t="s">
        <v>4</v>
      </c>
      <c r="C2927" s="2" t="str">
        <f ca="1">IFERROR(__xludf.DUMMYFUNCTION("GOOGLETRANSLATE(A2927,""bn"",""en"")"),"want to download")</f>
        <v>want to download</v>
      </c>
    </row>
    <row r="2928" spans="1:3" ht="15" x14ac:dyDescent="0.25">
      <c r="A2928" s="3" t="s">
        <v>2925</v>
      </c>
      <c r="B2928" s="3" t="s">
        <v>4</v>
      </c>
      <c r="C2928" s="2" t="str">
        <f ca="1">IFERROR(__xludf.DUMMYFUNCTION("GOOGLETRANSLATE(A2928,""bn"",""en"")"),"i go to school")</f>
        <v>i go to school</v>
      </c>
    </row>
    <row r="2929" spans="1:3" ht="15" x14ac:dyDescent="0.25">
      <c r="A2929" s="3" t="s">
        <v>2926</v>
      </c>
      <c r="B2929" s="3" t="s">
        <v>4</v>
      </c>
      <c r="C2929" s="2" t="str">
        <f ca="1">IFERROR(__xludf.DUMMYFUNCTION("GOOGLETRANSLATE(A2929,""bn"",""en"")"),"Going on an educational trip")</f>
        <v>Going on an educational trip</v>
      </c>
    </row>
    <row r="2930" spans="1:3" ht="15" x14ac:dyDescent="0.25">
      <c r="A2930" s="3" t="s">
        <v>2927</v>
      </c>
      <c r="B2930" s="3" t="s">
        <v>4</v>
      </c>
      <c r="C2930" s="2" t="str">
        <f ca="1">IFERROR(__xludf.DUMMYFUNCTION("GOOGLETRANSLATE(A2930,""bn"",""en"")"),"pay to paypal")</f>
        <v>pay to paypal</v>
      </c>
    </row>
    <row r="2931" spans="1:3" ht="15" x14ac:dyDescent="0.25">
      <c r="A2931" s="3" t="s">
        <v>2928</v>
      </c>
      <c r="B2931" s="3" t="s">
        <v>4</v>
      </c>
      <c r="C2931" s="2" t="str">
        <f ca="1">IFERROR(__xludf.DUMMYFUNCTION("GOOGLETRANSLATE(A2931,""bn"",""en"")"),"Going on vacation")</f>
        <v>Going on vacation</v>
      </c>
    </row>
    <row r="2932" spans="1:3" ht="15" x14ac:dyDescent="0.25">
      <c r="A2932" s="3" t="s">
        <v>2929</v>
      </c>
      <c r="B2932" s="3" t="s">
        <v>4</v>
      </c>
      <c r="C2932" s="2" t="str">
        <f ca="1">IFERROR(__xludf.DUMMYFUNCTION("GOOGLETRANSLATE(A2932,""bn"",""en"")"),"you read the book")</f>
        <v>you read the book</v>
      </c>
    </row>
    <row r="2933" spans="1:3" ht="15" x14ac:dyDescent="0.25">
      <c r="A2933" s="3" t="s">
        <v>2930</v>
      </c>
      <c r="B2933" s="3" t="s">
        <v>4</v>
      </c>
      <c r="C2933" s="2" t="str">
        <f ca="1">IFERROR(__xludf.DUMMYFUNCTION("GOOGLETRANSLATE(A2933,""bn"",""en"")"),"Octal's base is eight")</f>
        <v>Octal's base is eight</v>
      </c>
    </row>
    <row r="2934" spans="1:3" ht="15" x14ac:dyDescent="0.25">
      <c r="A2934" s="3" t="s">
        <v>2931</v>
      </c>
      <c r="B2934" s="3" t="s">
        <v>4</v>
      </c>
      <c r="C2934" s="2" t="str">
        <f ca="1">IFERROR(__xludf.DUMMYFUNCTION("GOOGLETRANSLATE(A2934,""bn"",""en"")"),"I have been to Kashmir")</f>
        <v>I have been to Kashmir</v>
      </c>
    </row>
    <row r="2935" spans="1:3" ht="15" x14ac:dyDescent="0.25">
      <c r="A2935" s="3" t="s">
        <v>2932</v>
      </c>
      <c r="B2935" s="3" t="s">
        <v>4</v>
      </c>
      <c r="C2935" s="2" t="str">
        <f ca="1">IFERROR(__xludf.DUMMYFUNCTION("GOOGLETRANSLATE(A2935,""bn"",""en"")"),"He is a meritorious scholar")</f>
        <v>He is a meritorious scholar</v>
      </c>
    </row>
    <row r="2936" spans="1:3" ht="15" x14ac:dyDescent="0.25">
      <c r="A2936" s="3" t="s">
        <v>2933</v>
      </c>
      <c r="B2936" s="3" t="s">
        <v>4</v>
      </c>
      <c r="C2936" s="2" t="str">
        <f ca="1">IFERROR(__xludf.DUMMYFUNCTION("GOOGLETRANSLATE(A2936,""bn"",""en"")"),"Loans are decreasing")</f>
        <v>Loans are decreasing</v>
      </c>
    </row>
    <row r="2937" spans="1:3" ht="15" x14ac:dyDescent="0.25">
      <c r="A2937" s="3" t="s">
        <v>2934</v>
      </c>
      <c r="B2937" s="3" t="s">
        <v>4</v>
      </c>
      <c r="C2937" s="2" t="str">
        <f ca="1">IFERROR(__xludf.DUMMYFUNCTION("GOOGLETRANSLATE(A2937,""bn"",""en"")"),"Using smart tv")</f>
        <v>Using smart tv</v>
      </c>
    </row>
    <row r="2938" spans="1:3" ht="15" x14ac:dyDescent="0.25">
      <c r="A2938" s="3" t="s">
        <v>2935</v>
      </c>
      <c r="B2938" s="3" t="s">
        <v>4</v>
      </c>
      <c r="C2938" s="2" t="str">
        <f ca="1">IFERROR(__xludf.DUMMYFUNCTION("GOOGLETRANSLATE(A2938,""bn"",""en"")"),"Bank supports")</f>
        <v>Bank supports</v>
      </c>
    </row>
    <row r="2939" spans="1:3" ht="15" x14ac:dyDescent="0.25">
      <c r="A2939" s="3" t="s">
        <v>2936</v>
      </c>
      <c r="B2939" s="3" t="s">
        <v>4</v>
      </c>
      <c r="C2939" s="2" t="str">
        <f ca="1">IFERROR(__xludf.DUMMYFUNCTION("GOOGLETRANSLATE(A2939,""bn"",""en"")"),"No loan facility")</f>
        <v>No loan facility</v>
      </c>
    </row>
    <row r="2940" spans="1:3" ht="15" x14ac:dyDescent="0.25">
      <c r="A2940" s="3" t="s">
        <v>2937</v>
      </c>
      <c r="B2940" s="3" t="s">
        <v>4</v>
      </c>
      <c r="C2940" s="2" t="str">
        <f ca="1">IFERROR(__xludf.DUMMYFUNCTION("GOOGLETRANSLATE(A2940,""bn"",""en"")"),"I came to open an account for you")</f>
        <v>I came to open an account for you</v>
      </c>
    </row>
    <row r="2941" spans="1:3" ht="15" x14ac:dyDescent="0.25">
      <c r="A2941" s="3" t="s">
        <v>2938</v>
      </c>
      <c r="B2941" s="3" t="s">
        <v>4</v>
      </c>
      <c r="C2941" s="2" t="str">
        <f ca="1">IFERROR(__xludf.DUMMYFUNCTION("GOOGLETRANSLATE(A2941,""bn"",""en"")"),"Buy new gadgets")</f>
        <v>Buy new gadgets</v>
      </c>
    </row>
    <row r="2942" spans="1:3" ht="15" x14ac:dyDescent="0.25">
      <c r="A2942" s="3" t="s">
        <v>2939</v>
      </c>
      <c r="B2942" s="3" t="s">
        <v>4</v>
      </c>
      <c r="C2942" s="2" t="str">
        <f ca="1">IFERROR(__xludf.DUMMYFUNCTION("GOOGLETRANSLATE(A2942,""bn"",""en"")"),"I am using a smartphone")</f>
        <v>I am using a smartphone</v>
      </c>
    </row>
    <row r="2943" spans="1:3" ht="15" x14ac:dyDescent="0.25">
      <c r="A2943" s="3" t="s">
        <v>2940</v>
      </c>
      <c r="B2943" s="3" t="s">
        <v>4</v>
      </c>
      <c r="C2943" s="2" t="str">
        <f ca="1">IFERROR(__xludf.DUMMYFUNCTION("GOOGLETRANSLATE(A2943,""bn"",""en"")"),"Increasing efficiency in travel")</f>
        <v>Increasing efficiency in travel</v>
      </c>
    </row>
    <row r="2944" spans="1:3" ht="15" x14ac:dyDescent="0.25">
      <c r="A2944" s="3" t="s">
        <v>2941</v>
      </c>
      <c r="B2944" s="3" t="s">
        <v>4</v>
      </c>
      <c r="C2944" s="2" t="str">
        <f ca="1">IFERROR(__xludf.DUMMYFUNCTION("GOOGLETRANSLATE(A2944,""bn"",""en"")"),"Paying the check")</f>
        <v>Paying the check</v>
      </c>
    </row>
    <row r="2945" spans="1:3" ht="15" x14ac:dyDescent="0.25">
      <c r="A2945" s="3" t="s">
        <v>2942</v>
      </c>
      <c r="B2945" s="3" t="s">
        <v>4</v>
      </c>
      <c r="C2945" s="2" t="str">
        <f ca="1">IFERROR(__xludf.DUMMYFUNCTION("GOOGLETRANSLATE(A2945,""bn"",""en"")"),"Advance in career")</f>
        <v>Advance in career</v>
      </c>
    </row>
    <row r="2946" spans="1:3" ht="15" x14ac:dyDescent="0.25">
      <c r="A2946" s="3" t="s">
        <v>2943</v>
      </c>
      <c r="B2946" s="3" t="s">
        <v>4</v>
      </c>
      <c r="C2946" s="2" t="str">
        <f ca="1">IFERROR(__xludf.DUMMYFUNCTION("GOOGLETRANSLATE(A2946,""bn"",""en"")"),"He makes websites")</f>
        <v>He makes websites</v>
      </c>
    </row>
    <row r="2947" spans="1:3" ht="15" x14ac:dyDescent="0.25">
      <c r="A2947" s="3" t="s">
        <v>2944</v>
      </c>
      <c r="B2947" s="3" t="s">
        <v>4</v>
      </c>
      <c r="C2947" s="2" t="str">
        <f ca="1">IFERROR(__xludf.DUMMYFUNCTION("GOOGLETRANSLATE(A2947,""bn"",""en"")"),"I like politics")</f>
        <v>I like politics</v>
      </c>
    </row>
    <row r="2948" spans="1:3" ht="15" x14ac:dyDescent="0.25">
      <c r="A2948" s="3" t="s">
        <v>2945</v>
      </c>
      <c r="B2948" s="3" t="s">
        <v>4</v>
      </c>
      <c r="C2948" s="2" t="str">
        <f ca="1">IFERROR(__xludf.DUMMYFUNCTION("GOOGLETRANSLATE(A2948,""bn"",""en"")"),"i make noise")</f>
        <v>i make noise</v>
      </c>
    </row>
    <row r="2949" spans="1:3" ht="15" x14ac:dyDescent="0.25">
      <c r="A2949" s="3" t="s">
        <v>2946</v>
      </c>
      <c r="B2949" s="3" t="s">
        <v>4</v>
      </c>
      <c r="C2949" s="2" t="str">
        <f ca="1">IFERROR(__xludf.DUMMYFUNCTION("GOOGLETRANSLATE(A2949,""bn"",""en"")"),"I like gadgets")</f>
        <v>I like gadgets</v>
      </c>
    </row>
    <row r="2950" spans="1:3" ht="15" x14ac:dyDescent="0.25">
      <c r="A2950" s="3" t="s">
        <v>2947</v>
      </c>
      <c r="B2950" s="3" t="s">
        <v>4</v>
      </c>
      <c r="C2950" s="2" t="str">
        <f ca="1">IFERROR(__xludf.DUMMYFUNCTION("GOOGLETRANSLATE(A2950,""bn"",""en"")"),"Finding peace")</f>
        <v>Finding peace</v>
      </c>
    </row>
    <row r="2951" spans="1:3" ht="15" x14ac:dyDescent="0.25">
      <c r="A2951" s="3" t="s">
        <v>2948</v>
      </c>
      <c r="B2951" s="3" t="s">
        <v>4</v>
      </c>
      <c r="C2951" s="2" t="str">
        <f ca="1">IFERROR(__xludf.DUMMYFUNCTION("GOOGLETRANSLATE(A2951,""bn"",""en"")"),"Children play tennis")</f>
        <v>Children play tennis</v>
      </c>
    </row>
    <row r="2952" spans="1:3" ht="15" x14ac:dyDescent="0.25">
      <c r="A2952" s="3" t="s">
        <v>2949</v>
      </c>
      <c r="B2952" s="3" t="s">
        <v>4</v>
      </c>
      <c r="C2952" s="2" t="str">
        <f ca="1">IFERROR(__xludf.DUMMYFUNCTION("GOOGLETRANSLATE(A2952,""bn"",""en"")"),"We studied science")</f>
        <v>We studied science</v>
      </c>
    </row>
    <row r="2953" spans="1:3" ht="15" x14ac:dyDescent="0.25">
      <c r="A2953" s="3" t="s">
        <v>2950</v>
      </c>
      <c r="B2953" s="3" t="s">
        <v>4</v>
      </c>
      <c r="C2953" s="2" t="str">
        <f ca="1">IFERROR(__xludf.DUMMYFUNCTION("GOOGLETRANSLATE(A2953,""bn"",""en"")"),"We seek pleasure")</f>
        <v>We seek pleasure</v>
      </c>
    </row>
    <row r="2954" spans="1:3" ht="15" x14ac:dyDescent="0.25">
      <c r="A2954" s="3" t="s">
        <v>2951</v>
      </c>
      <c r="B2954" s="3" t="s">
        <v>4</v>
      </c>
      <c r="C2954" s="2" t="str">
        <f ca="1">IFERROR(__xludf.DUMMYFUNCTION("GOOGLETRANSLATE(A2954,""bn"",""en"")"),"Send money to Rocket")</f>
        <v>Send money to Rocket</v>
      </c>
    </row>
    <row r="2955" spans="1:3" ht="15" x14ac:dyDescent="0.25">
      <c r="A2955" s="3" t="s">
        <v>2952</v>
      </c>
      <c r="B2955" s="3" t="s">
        <v>4</v>
      </c>
      <c r="C2955" s="2" t="str">
        <f ca="1">IFERROR(__xludf.DUMMYFUNCTION("GOOGLETRANSLATE(A2955,""bn"",""en"")"),"Education is the face of light")</f>
        <v>Education is the face of light</v>
      </c>
    </row>
    <row r="2956" spans="1:3" ht="15" x14ac:dyDescent="0.25">
      <c r="A2956" s="3" t="s">
        <v>2953</v>
      </c>
      <c r="B2956" s="3" t="s">
        <v>4</v>
      </c>
      <c r="C2956" s="2" t="str">
        <f ca="1">IFERROR(__xludf.DUMMYFUNCTION("GOOGLETRANSLATE(A2956,""bn"",""en"")"),"Electricity production is increasing")</f>
        <v>Electricity production is increasing</v>
      </c>
    </row>
    <row r="2957" spans="1:3" ht="15" x14ac:dyDescent="0.25">
      <c r="A2957" s="3" t="s">
        <v>2954</v>
      </c>
      <c r="B2957" s="3" t="s">
        <v>4</v>
      </c>
      <c r="C2957" s="2" t="str">
        <f ca="1">IFERROR(__xludf.DUMMYFUNCTION("GOOGLETRANSLATE(A2957,""bn"",""en"")"),"Infrastructure grows")</f>
        <v>Infrastructure grows</v>
      </c>
    </row>
    <row r="2958" spans="1:3" ht="15" x14ac:dyDescent="0.25">
      <c r="A2958" s="3" t="s">
        <v>2955</v>
      </c>
      <c r="B2958" s="3" t="s">
        <v>4</v>
      </c>
      <c r="C2958" s="2" t="str">
        <f ca="1">IFERROR(__xludf.DUMMYFUNCTION("GOOGLETRANSLATE(A2958,""bn"",""en"")"),"The government is helping")</f>
        <v>The government is helping</v>
      </c>
    </row>
    <row r="2959" spans="1:3" ht="15" x14ac:dyDescent="0.25">
      <c r="A2959" s="3" t="s">
        <v>2956</v>
      </c>
      <c r="B2959" s="3" t="s">
        <v>4</v>
      </c>
      <c r="C2959" s="2" t="str">
        <f ca="1">IFERROR(__xludf.DUMMYFUNCTION("GOOGLETRANSLATE(A2959,""bn"",""en"")"),"Prime Minister discussed")</f>
        <v>Prime Minister discussed</v>
      </c>
    </row>
    <row r="2960" spans="1:3" ht="15" x14ac:dyDescent="0.25">
      <c r="A2960" s="3" t="s">
        <v>2957</v>
      </c>
      <c r="B2960" s="3" t="s">
        <v>4</v>
      </c>
      <c r="C2960" s="2" t="str">
        <f ca="1">IFERROR(__xludf.DUMMYFUNCTION("GOOGLETRANSLATE(A2960,""bn"",""en"")"),"I am crossing the sea")</f>
        <v>I am crossing the sea</v>
      </c>
    </row>
    <row r="2961" spans="1:3" ht="15" x14ac:dyDescent="0.25">
      <c r="A2961" s="3" t="s">
        <v>2958</v>
      </c>
      <c r="B2961" s="3" t="s">
        <v>4</v>
      </c>
      <c r="C2961" s="2" t="str">
        <f ca="1">IFERROR(__xludf.DUMMYFUNCTION("GOOGLETRANSLATE(A2961,""bn"",""en"")"),"Education brings prosperity")</f>
        <v>Education brings prosperity</v>
      </c>
    </row>
    <row r="2962" spans="1:3" ht="15" x14ac:dyDescent="0.25">
      <c r="A2962" s="3" t="s">
        <v>2959</v>
      </c>
      <c r="B2962" s="3" t="s">
        <v>4</v>
      </c>
      <c r="C2962" s="2" t="str">
        <f ca="1">IFERROR(__xludf.DUMMYFUNCTION("GOOGLETRANSLATE(A2962,""bn"",""en"")"),"Spent time in media")</f>
        <v>Spent time in media</v>
      </c>
    </row>
    <row r="2963" spans="1:3" ht="15" x14ac:dyDescent="0.25">
      <c r="A2963" s="3" t="s">
        <v>2960</v>
      </c>
      <c r="B2963" s="3" t="s">
        <v>4</v>
      </c>
      <c r="C2963" s="2" t="str">
        <f ca="1">IFERROR(__xludf.DUMMYFUNCTION("GOOGLETRANSLATE(A2963,""bn"",""en"")"),"you study english")</f>
        <v>you study english</v>
      </c>
    </row>
    <row r="2964" spans="1:3" ht="15" x14ac:dyDescent="0.25">
      <c r="A2964" s="3" t="s">
        <v>2961</v>
      </c>
      <c r="B2964" s="3" t="s">
        <v>4</v>
      </c>
      <c r="C2964" s="2" t="str">
        <f ca="1">IFERROR(__xludf.DUMMYFUNCTION("GOOGLETRANSLATE(A2964,""bn"",""en"")"),"I want to buy a phone")</f>
        <v>I want to buy a phone</v>
      </c>
    </row>
    <row r="2965" spans="1:3" ht="15" x14ac:dyDescent="0.25">
      <c r="A2965" s="3" t="s">
        <v>2962</v>
      </c>
      <c r="B2965" s="3" t="s">
        <v>4</v>
      </c>
      <c r="C2965" s="2" t="str">
        <f ca="1">IFERROR(__xludf.DUMMYFUNCTION("GOOGLETRANSLATE(A2965,""bn"",""en"")"),"Get success in hard work")</f>
        <v>Get success in hard work</v>
      </c>
    </row>
    <row r="2966" spans="1:3" ht="15" x14ac:dyDescent="0.25">
      <c r="A2966" s="3" t="s">
        <v>2963</v>
      </c>
      <c r="B2966" s="3" t="s">
        <v>4</v>
      </c>
      <c r="C2966" s="2" t="str">
        <f ca="1">IFERROR(__xludf.DUMMYFUNCTION("GOOGLETRANSLATE(A2966,""bn"",""en"")"),"Withdrawing money")</f>
        <v>Withdrawing money</v>
      </c>
    </row>
    <row r="2967" spans="1:3" ht="15" x14ac:dyDescent="0.25">
      <c r="A2967" s="3" t="s">
        <v>2964</v>
      </c>
      <c r="B2967" s="3" t="s">
        <v>4</v>
      </c>
      <c r="C2967" s="2" t="str">
        <f ca="1">IFERROR(__xludf.DUMMYFUNCTION("GOOGLETRANSLATE(A2967,""bn"",""en"")"),"Writing emails easily")</f>
        <v>Writing emails easily</v>
      </c>
    </row>
    <row r="2968" spans="1:3" ht="15" x14ac:dyDescent="0.25">
      <c r="A2968" s="3" t="s">
        <v>2965</v>
      </c>
      <c r="B2968" s="3" t="s">
        <v>4</v>
      </c>
      <c r="C2968" s="2" t="str">
        <f ca="1">IFERROR(__xludf.DUMMYFUNCTION("GOOGLETRANSLATE(A2968,""bn"",""en"")"),"you are reading a book")</f>
        <v>you are reading a book</v>
      </c>
    </row>
    <row r="2969" spans="1:3" ht="15" x14ac:dyDescent="0.25">
      <c r="A2969" s="3" t="s">
        <v>2966</v>
      </c>
      <c r="B2969" s="3" t="s">
        <v>4</v>
      </c>
      <c r="C2969" s="2" t="str">
        <f ca="1">IFERROR(__xludf.DUMMYFUNCTION("GOOGLETRANSLATE(A2969,""bn"",""en"")"),"Teams are replacing")</f>
        <v>Teams are replacing</v>
      </c>
    </row>
    <row r="2970" spans="1:3" ht="15" x14ac:dyDescent="0.25">
      <c r="A2970" s="3" t="s">
        <v>2967</v>
      </c>
      <c r="B2970" s="3" t="s">
        <v>4</v>
      </c>
      <c r="C2970" s="2" t="str">
        <f ca="1">IFERROR(__xludf.DUMMYFUNCTION("GOOGLETRANSLATE(A2970,""bn"",""en"")"),"You got the result")</f>
        <v>You got the result</v>
      </c>
    </row>
    <row r="2971" spans="1:3" ht="15" x14ac:dyDescent="0.25">
      <c r="A2971" s="3" t="s">
        <v>2968</v>
      </c>
      <c r="B2971" s="3" t="s">
        <v>4</v>
      </c>
      <c r="C2971" s="2" t="str">
        <f ca="1">IFERROR(__xludf.DUMMYFUNCTION("GOOGLETRANSLATE(A2971,""bn"",""en"")"),"Keep money in the account")</f>
        <v>Keep money in the account</v>
      </c>
    </row>
    <row r="2972" spans="1:3" ht="15" x14ac:dyDescent="0.25">
      <c r="A2972" s="3" t="s">
        <v>2969</v>
      </c>
      <c r="B2972" s="3" t="s">
        <v>4</v>
      </c>
      <c r="C2972" s="2" t="str">
        <f ca="1">IFERROR(__xludf.DUMMYFUNCTION("GOOGLETRANSLATE(A2972,""bn"",""en"")"),"I added myself")</f>
        <v>I added myself</v>
      </c>
    </row>
    <row r="2973" spans="1:3" ht="15" x14ac:dyDescent="0.25">
      <c r="A2973" s="3" t="s">
        <v>2970</v>
      </c>
      <c r="B2973" s="3" t="s">
        <v>4</v>
      </c>
      <c r="C2973" s="2" t="str">
        <f ca="1">IFERROR(__xludf.DUMMYFUNCTION("GOOGLETRANSLATE(A2973,""bn"",""en"")"),"Everyone has seen the game")</f>
        <v>Everyone has seen the game</v>
      </c>
    </row>
    <row r="2974" spans="1:3" ht="15" x14ac:dyDescent="0.25">
      <c r="A2974" s="3" t="s">
        <v>2971</v>
      </c>
      <c r="B2974" s="3" t="s">
        <v>4</v>
      </c>
      <c r="C2974" s="2" t="str">
        <f ca="1">IFERROR(__xludf.DUMMYFUNCTION("GOOGLETRANSLATE(A2974,""bn"",""en"")"),"The product has been introduced")</f>
        <v>The product has been introduced</v>
      </c>
    </row>
    <row r="2975" spans="1:3" ht="15" x14ac:dyDescent="0.25">
      <c r="A2975" s="3" t="s">
        <v>2972</v>
      </c>
      <c r="B2975" s="3" t="s">
        <v>4</v>
      </c>
      <c r="C2975" s="2" t="str">
        <f ca="1">IFERROR(__xludf.DUMMYFUNCTION("GOOGLETRANSLATE(A2975,""bn"",""en"")"),"Using touchpad")</f>
        <v>Using touchpad</v>
      </c>
    </row>
    <row r="2976" spans="1:3" ht="15" x14ac:dyDescent="0.25">
      <c r="A2976" s="3" t="s">
        <v>2973</v>
      </c>
      <c r="B2976" s="3" t="s">
        <v>4</v>
      </c>
      <c r="C2976" s="2" t="str">
        <f ca="1">IFERROR(__xludf.DUMMYFUNCTION("GOOGLETRANSLATE(A2976,""bn"",""en"")"),"Education brings prosperity")</f>
        <v>Education brings prosperity</v>
      </c>
    </row>
    <row r="2977" spans="1:3" ht="15" x14ac:dyDescent="0.25">
      <c r="A2977" s="3" t="s">
        <v>2974</v>
      </c>
      <c r="B2977" s="3" t="s">
        <v>4</v>
      </c>
      <c r="C2977" s="2" t="str">
        <f ca="1">IFERROR(__xludf.DUMMYFUNCTION("GOOGLETRANSLATE(A2977,""bn"",""en"")"),"They write poetry")</f>
        <v>They write poetry</v>
      </c>
    </row>
    <row r="2978" spans="1:3" ht="15" x14ac:dyDescent="0.25">
      <c r="A2978" s="3" t="s">
        <v>2975</v>
      </c>
      <c r="B2978" s="3" t="s">
        <v>4</v>
      </c>
      <c r="C2978" s="2" t="str">
        <f ca="1">IFERROR(__xludf.DUMMYFUNCTION("GOOGLETRANSLATE(A2978,""bn"",""en"")"),"GPS is starting")</f>
        <v>GPS is starting</v>
      </c>
    </row>
    <row r="2979" spans="1:3" ht="15" x14ac:dyDescent="0.25">
      <c r="A2979" s="3" t="s">
        <v>2976</v>
      </c>
      <c r="B2979" s="3" t="s">
        <v>4</v>
      </c>
      <c r="C2979" s="2" t="str">
        <f ca="1">IFERROR(__xludf.DUMMYFUNCTION("GOOGLETRANSLATE(A2979,""bn"",""en"")"),"The circus is going on in politics")</f>
        <v>The circus is going on in politics</v>
      </c>
    </row>
    <row r="2980" spans="1:3" ht="15" x14ac:dyDescent="0.25">
      <c r="A2980" s="3" t="s">
        <v>2977</v>
      </c>
      <c r="B2980" s="3" t="s">
        <v>4</v>
      </c>
      <c r="C2980" s="2" t="str">
        <f ca="1">IFERROR(__xludf.DUMMYFUNCTION("GOOGLETRANSLATE(A2980,""bn"",""en"")"),"Enjoy the media")</f>
        <v>Enjoy the media</v>
      </c>
    </row>
    <row r="2981" spans="1:3" ht="15" x14ac:dyDescent="0.25">
      <c r="A2981" s="3" t="s">
        <v>2978</v>
      </c>
      <c r="B2981" s="3" t="s">
        <v>4</v>
      </c>
      <c r="C2981" s="2" t="str">
        <f ca="1">IFERROR(__xludf.DUMMYFUNCTION("GOOGLETRANSLATE(A2981,""bn"",""en"")"),"I used GPS")</f>
        <v>I used GPS</v>
      </c>
    </row>
    <row r="2982" spans="1:3" ht="15" x14ac:dyDescent="0.25">
      <c r="A2982" s="3" t="s">
        <v>2979</v>
      </c>
      <c r="B2982" s="3" t="s">
        <v>4</v>
      </c>
      <c r="C2982" s="2" t="str">
        <f ca="1">IFERROR(__xludf.DUMMYFUNCTION("GOOGLETRANSLATE(A2982,""bn"",""en"")"),"Radio messages broadcast news daily")</f>
        <v>Radio messages broadcast news daily</v>
      </c>
    </row>
    <row r="2983" spans="1:3" ht="15" x14ac:dyDescent="0.25">
      <c r="A2983" s="3" t="s">
        <v>2980</v>
      </c>
      <c r="B2983" s="3" t="s">
        <v>4</v>
      </c>
      <c r="C2983" s="2" t="str">
        <f ca="1">IFERROR(__xludf.DUMMYFUNCTION("GOOGLETRANSLATE(A2983,""bn"",""en"")"),"Joined the job")</f>
        <v>Joined the job</v>
      </c>
    </row>
    <row r="2984" spans="1:3" ht="15" x14ac:dyDescent="0.25">
      <c r="A2984" s="3" t="s">
        <v>2981</v>
      </c>
      <c r="B2984" s="3" t="s">
        <v>4</v>
      </c>
      <c r="C2984" s="2" t="str">
        <f ca="1">IFERROR(__xludf.DUMMYFUNCTION("GOOGLETRANSLATE(A2984,""bn"",""en"")"),"Students are reading the story")</f>
        <v>Students are reading the story</v>
      </c>
    </row>
    <row r="2985" spans="1:3" ht="15" x14ac:dyDescent="0.25">
      <c r="A2985" s="3" t="s">
        <v>2982</v>
      </c>
      <c r="B2985" s="3" t="s">
        <v>4</v>
      </c>
      <c r="C2985" s="2" t="str">
        <f ca="1">IFERROR(__xludf.DUMMYFUNCTION("GOOGLETRANSLATE(A2985,""bn"",""en"")"),"Technology is a brain game")</f>
        <v>Technology is a brain game</v>
      </c>
    </row>
    <row r="2986" spans="1:3" ht="15" x14ac:dyDescent="0.25">
      <c r="A2986" s="3" t="s">
        <v>2983</v>
      </c>
      <c r="B2986" s="3" t="s">
        <v>4</v>
      </c>
      <c r="C2986" s="2" t="str">
        <f ca="1">IFERROR(__xludf.DUMMYFUNCTION("GOOGLETRANSLATE(A2986,""bn"",""en"")"),"He played games")</f>
        <v>He played games</v>
      </c>
    </row>
    <row r="2987" spans="1:3" ht="15" x14ac:dyDescent="0.25">
      <c r="A2987" s="3" t="s">
        <v>2984</v>
      </c>
      <c r="B2987" s="3" t="s">
        <v>4</v>
      </c>
      <c r="C2987" s="2" t="str">
        <f ca="1">IFERROR(__xludf.DUMMYFUNCTION("GOOGLETRANSLATE(A2987,""bn"",""en"")"),"I read stories")</f>
        <v>I read stories</v>
      </c>
    </row>
    <row r="2988" spans="1:3" ht="15" x14ac:dyDescent="0.25">
      <c r="A2988" s="3" t="s">
        <v>2985</v>
      </c>
      <c r="B2988" s="3" t="s">
        <v>4</v>
      </c>
      <c r="C2988" s="2" t="str">
        <f ca="1">IFERROR(__xludf.DUMMYFUNCTION("GOOGLETRANSLATE(A2988,""bn"",""en"")"),"speaking against")</f>
        <v>speaking against</v>
      </c>
    </row>
    <row r="2989" spans="1:3" ht="15" x14ac:dyDescent="0.25">
      <c r="A2989" s="3" t="s">
        <v>2986</v>
      </c>
      <c r="B2989" s="3" t="s">
        <v>4</v>
      </c>
      <c r="C2989" s="2" t="str">
        <f ca="1">IFERROR(__xludf.DUMMYFUNCTION("GOOGLETRANSLATE(A2989,""bn"",""en"")"),"Students work hard")</f>
        <v>Students work hard</v>
      </c>
    </row>
    <row r="2990" spans="1:3" ht="15" x14ac:dyDescent="0.25">
      <c r="A2990" s="3" t="s">
        <v>2987</v>
      </c>
      <c r="B2990" s="3" t="s">
        <v>4</v>
      </c>
      <c r="C2990" s="2" t="str">
        <f ca="1">IFERROR(__xludf.DUMMYFUNCTION("GOOGLETRANSLATE(A2990,""bn"",""en"")"),"Rockets are expensive technology")</f>
        <v>Rockets are expensive technology</v>
      </c>
    </row>
    <row r="2991" spans="1:3" ht="15" x14ac:dyDescent="0.25">
      <c r="A2991" s="3" t="s">
        <v>2988</v>
      </c>
      <c r="B2991" s="3" t="s">
        <v>4</v>
      </c>
      <c r="C2991" s="2" t="str">
        <f ca="1">IFERROR(__xludf.DUMMYFUNCTION("GOOGLETRANSLATE(A2991,""bn"",""en"")"),"Problems with your development")</f>
        <v>Problems with your development</v>
      </c>
    </row>
    <row r="2992" spans="1:3" ht="15" x14ac:dyDescent="0.25">
      <c r="A2992" s="3" t="s">
        <v>2989</v>
      </c>
      <c r="B2992" s="3" t="s">
        <v>4</v>
      </c>
      <c r="C2992" s="2" t="str">
        <f ca="1">IFERROR(__xludf.DUMMYFUNCTION("GOOGLETRANSLATE(A2992,""bn"",""en"")"),"Update the identity card")</f>
        <v>Update the identity card</v>
      </c>
    </row>
    <row r="2993" spans="1:3" ht="15" x14ac:dyDescent="0.25">
      <c r="A2993" s="3" t="s">
        <v>2990</v>
      </c>
      <c r="B2993" s="3" t="s">
        <v>4</v>
      </c>
      <c r="C2993" s="2" t="str">
        <f ca="1">IFERROR(__xludf.DUMMYFUNCTION("GOOGLETRANSLATE(A2993,""bn"",""en"")"),"I want to find technology")</f>
        <v>I want to find technology</v>
      </c>
    </row>
    <row r="2994" spans="1:3" ht="15" x14ac:dyDescent="0.25">
      <c r="A2994" s="3" t="s">
        <v>2991</v>
      </c>
      <c r="B2994" s="3" t="s">
        <v>4</v>
      </c>
      <c r="C2994" s="2" t="str">
        <f ca="1">IFERROR(__xludf.DUMMYFUNCTION("GOOGLETRANSLATE(A2994,""bn"",""en"")"),"Using memory card")</f>
        <v>Using memory card</v>
      </c>
    </row>
    <row r="2995" spans="1:3" ht="15" x14ac:dyDescent="0.25">
      <c r="A2995" s="3" t="s">
        <v>2992</v>
      </c>
      <c r="B2995" s="3" t="s">
        <v>4</v>
      </c>
      <c r="C2995" s="2" t="str">
        <f ca="1">IFERROR(__xludf.DUMMYFUNCTION("GOOGLETRANSLATE(A2995,""bn"",""en"")"),"Sending money to Bikash")</f>
        <v>Sending money to Bikash</v>
      </c>
    </row>
    <row r="2996" spans="1:3" ht="15" x14ac:dyDescent="0.25">
      <c r="A2996" s="3" t="s">
        <v>2993</v>
      </c>
      <c r="B2996" s="3" t="s">
        <v>4</v>
      </c>
      <c r="C2996" s="2" t="str">
        <f ca="1">IFERROR(__xludf.DUMMYFUNCTION("GOOGLETRANSLATE(A2996,""bn"",""en"")"),"The technology is easy to use")</f>
        <v>The technology is easy to use</v>
      </c>
    </row>
    <row r="2997" spans="1:3" ht="15" x14ac:dyDescent="0.25">
      <c r="A2997" s="3" t="s">
        <v>2994</v>
      </c>
      <c r="B2997" s="3" t="s">
        <v>4</v>
      </c>
      <c r="C2997" s="2" t="str">
        <f ca="1">IFERROR(__xludf.DUMMYFUNCTION("GOOGLETRANSLATE(A2997,""bn"",""en"")"),"Education increases human intelligence")</f>
        <v>Education increases human intelligence</v>
      </c>
    </row>
    <row r="2998" spans="1:3" ht="15" x14ac:dyDescent="0.25">
      <c r="A2998" s="3" t="s">
        <v>2995</v>
      </c>
      <c r="B2998" s="3" t="s">
        <v>4</v>
      </c>
      <c r="C2998" s="2" t="str">
        <f ca="1">IFERROR(__xludf.DUMMYFUNCTION("GOOGLETRANSLATE(A2998,""bn"",""en"")"),"I use Google")</f>
        <v>I use Google</v>
      </c>
    </row>
    <row r="2999" spans="1:3" ht="15" x14ac:dyDescent="0.25">
      <c r="A2999" s="3" t="s">
        <v>2996</v>
      </c>
      <c r="B2999" s="3" t="s">
        <v>4</v>
      </c>
      <c r="C2999" s="2" t="str">
        <f ca="1">IFERROR(__xludf.DUMMYFUNCTION("GOOGLETRANSLATE(A2999,""bn"",""en"")"),"Online course")</f>
        <v>Online course</v>
      </c>
    </row>
    <row r="3000" spans="1:3" ht="15" x14ac:dyDescent="0.25">
      <c r="A3000" s="3" t="s">
        <v>2997</v>
      </c>
      <c r="B3000" s="3" t="s">
        <v>4</v>
      </c>
      <c r="C3000" s="2" t="str">
        <f ca="1">IFERROR(__xludf.DUMMYFUNCTION("GOOGLETRANSLATE(A3000,""bn"",""en"")"),"Students read poetry")</f>
        <v>Students read poetry</v>
      </c>
    </row>
    <row r="3001" spans="1:3" ht="15" x14ac:dyDescent="0.25">
      <c r="A3001" s="3" t="s">
        <v>2998</v>
      </c>
      <c r="B3001" s="3" t="s">
        <v>4</v>
      </c>
      <c r="C3001" s="2" t="str">
        <f ca="1">IFERROR(__xludf.DUMMYFUNCTION("GOOGLETRANSLATE(A3001,""bn"",""en"")"),"The discussion has been done by the people")</f>
        <v>The discussion has been done by the people</v>
      </c>
    </row>
    <row r="3002" spans="1:3" ht="15" x14ac:dyDescent="0.25">
      <c r="A3002" s="3" t="s">
        <v>2999</v>
      </c>
      <c r="B3002" s="3" t="s">
        <v>4</v>
      </c>
      <c r="C3002" s="2" t="str">
        <f ca="1">IFERROR(__xludf.DUMMYFUNCTION("GOOGLETRANSLATE(A3002,""bn"",""en"")"),"Always read the news")</f>
        <v>Always read the news</v>
      </c>
    </row>
    <row r="3003" spans="1:3" ht="15" x14ac:dyDescent="0.25">
      <c r="A3003" s="3" t="s">
        <v>3000</v>
      </c>
      <c r="B3003" s="3" t="s">
        <v>4</v>
      </c>
      <c r="C3003" s="2" t="str">
        <f ca="1">IFERROR(__xludf.DUMMYFUNCTION("GOOGLETRANSLATE(A3003,""bn"",""en"")"),"Chandrayaan three of India")</f>
        <v>Chandrayaan three of India</v>
      </c>
    </row>
    <row r="3004" spans="1:3" ht="15" x14ac:dyDescent="0.25">
      <c r="A3004" s="3" t="s">
        <v>3001</v>
      </c>
      <c r="B3004" s="3" t="s">
        <v>4</v>
      </c>
      <c r="C3004" s="2" t="str">
        <f ca="1">IFERROR(__xludf.DUMMYFUNCTION("GOOGLETRANSLATE(A3004,""bn"",""en"")"),"Students have worked hard")</f>
        <v>Students have worked hard</v>
      </c>
    </row>
    <row r="3005" spans="1:3" ht="15" x14ac:dyDescent="0.25">
      <c r="A3005" s="3" t="s">
        <v>3002</v>
      </c>
      <c r="B3005" s="3" t="s">
        <v>4</v>
      </c>
      <c r="C3005" s="2" t="str">
        <f ca="1">IFERROR(__xludf.DUMMYFUNCTION("GOOGLETRANSLATE(A3005,""bn"",""en"")"),"Learn Internet Business")</f>
        <v>Learn Internet Business</v>
      </c>
    </row>
    <row r="3006" spans="1:3" ht="15" x14ac:dyDescent="0.25">
      <c r="A3006" s="3" t="s">
        <v>3003</v>
      </c>
      <c r="B3006" s="3" t="s">
        <v>4</v>
      </c>
      <c r="C3006" s="2" t="str">
        <f ca="1">IFERROR(__xludf.DUMMYFUNCTION("GOOGLETRANSLATE(A3006,""bn"",""en"")"),"Amazon is located in Brazil")</f>
        <v>Amazon is located in Brazil</v>
      </c>
    </row>
    <row r="3007" spans="1:3" ht="15" x14ac:dyDescent="0.25">
      <c r="A3007" s="3" t="s">
        <v>3004</v>
      </c>
      <c r="B3007" s="3" t="s">
        <v>4</v>
      </c>
      <c r="C3007" s="2" t="str">
        <f ca="1">IFERROR(__xludf.DUMMYFUNCTION("GOOGLETRANSLATE(A3007,""bn"",""en"")"),"Anarchy these days")</f>
        <v>Anarchy these days</v>
      </c>
    </row>
    <row r="3008" spans="1:3" ht="15" x14ac:dyDescent="0.25">
      <c r="A3008" s="3" t="s">
        <v>3005</v>
      </c>
      <c r="B3008" s="3" t="s">
        <v>4</v>
      </c>
      <c r="C3008" s="2" t="str">
        <f ca="1">IFERROR(__xludf.DUMMYFUNCTION("GOOGLETRANSLATE(A3008,""bn"",""en"")"),"Cardamom reduces weight")</f>
        <v>Cardamom reduces weight</v>
      </c>
    </row>
    <row r="3009" spans="1:3" ht="15" x14ac:dyDescent="0.25">
      <c r="A3009" s="3" t="s">
        <v>3006</v>
      </c>
      <c r="B3009" s="3" t="s">
        <v>4</v>
      </c>
      <c r="C3009" s="2" t="str">
        <f ca="1">IFERROR(__xludf.DUMMYFUNCTION("GOOGLETRANSLATE(A3009,""bn"",""en"")"),"Controversial market going on")</f>
        <v>Controversial market going on</v>
      </c>
    </row>
    <row r="3010" spans="1:3" ht="15" x14ac:dyDescent="0.25">
      <c r="A3010" s="3" t="s">
        <v>3007</v>
      </c>
      <c r="B3010" s="3" t="s">
        <v>4</v>
      </c>
      <c r="C3010" s="2" t="str">
        <f ca="1">IFERROR(__xludf.DUMMYFUNCTION("GOOGLETRANSLATE(A3010,""bn"",""en"")"),"Find a good friend")</f>
        <v>Find a good friend</v>
      </c>
    </row>
    <row r="3011" spans="1:3" ht="15" x14ac:dyDescent="0.25">
      <c r="A3011" s="3" t="s">
        <v>3008</v>
      </c>
      <c r="B3011" s="3" t="s">
        <v>4</v>
      </c>
      <c r="C3011" s="2" t="str">
        <f ca="1">IFERROR(__xludf.DUMMYFUNCTION("GOOGLETRANSLATE(A3011,""bn"",""en"")"),"Increase the quality of education")</f>
        <v>Increase the quality of education</v>
      </c>
    </row>
    <row r="3012" spans="1:3" ht="15" x14ac:dyDescent="0.25">
      <c r="A3012" s="3" t="s">
        <v>3009</v>
      </c>
      <c r="B3012" s="3" t="s">
        <v>4</v>
      </c>
      <c r="C3012" s="2" t="str">
        <f ca="1">IFERROR(__xludf.DUMMYFUNCTION("GOOGLETRANSLATE(A3012,""bn"",""en"")"),"Now let's travel")</f>
        <v>Now let's travel</v>
      </c>
    </row>
    <row r="3013" spans="1:3" ht="15" x14ac:dyDescent="0.25">
      <c r="A3013" s="3" t="s">
        <v>3010</v>
      </c>
      <c r="B3013" s="3" t="s">
        <v>4</v>
      </c>
      <c r="C3013" s="2" t="str">
        <f ca="1">IFERROR(__xludf.DUMMYFUNCTION("GOOGLETRANSLATE(A3013,""bn"",""en"")"),"Correct the account")</f>
        <v>Correct the account</v>
      </c>
    </row>
    <row r="3014" spans="1:3" ht="15" x14ac:dyDescent="0.25">
      <c r="A3014" s="3" t="s">
        <v>3011</v>
      </c>
      <c r="B3014" s="3" t="s">
        <v>4</v>
      </c>
      <c r="C3014" s="2" t="str">
        <f ca="1">IFERROR(__xludf.DUMMYFUNCTION("GOOGLETRANSLATE(A3014,""bn"",""en"")"),"Politics has been debated")</f>
        <v>Politics has been debated</v>
      </c>
    </row>
    <row r="3015" spans="1:3" ht="15" x14ac:dyDescent="0.25">
      <c r="A3015" s="3" t="s">
        <v>3012</v>
      </c>
      <c r="B3015" s="3" t="s">
        <v>4</v>
      </c>
      <c r="C3015" s="2" t="str">
        <f ca="1">IFERROR(__xludf.DUMMYFUNCTION("GOOGLETRANSLATE(A3015,""bn"",""en"")"),"I like gadgets")</f>
        <v>I like gadgets</v>
      </c>
    </row>
    <row r="3016" spans="1:3" ht="15" x14ac:dyDescent="0.25">
      <c r="A3016" s="3" t="s">
        <v>3013</v>
      </c>
      <c r="B3016" s="3" t="s">
        <v>4</v>
      </c>
      <c r="C3016" s="2" t="str">
        <f ca="1">IFERROR(__xludf.DUMMYFUNCTION("GOOGLETRANSLATE(A3016,""bn"",""en"")"),"Salary has increased")</f>
        <v>Salary has increased</v>
      </c>
    </row>
    <row r="3017" spans="1:3" ht="15" x14ac:dyDescent="0.25">
      <c r="A3017" s="3" t="s">
        <v>3014</v>
      </c>
      <c r="B3017" s="3" t="s">
        <v>4</v>
      </c>
      <c r="C3017" s="2" t="str">
        <f ca="1">IFERROR(__xludf.DUMMYFUNCTION("GOOGLETRANSLATE(A3017,""bn"",""en"")"),"The problem is being solved")</f>
        <v>The problem is being solved</v>
      </c>
    </row>
    <row r="3018" spans="1:3" ht="15" x14ac:dyDescent="0.25">
      <c r="A3018" s="3" t="s">
        <v>3015</v>
      </c>
      <c r="B3018" s="3" t="s">
        <v>4</v>
      </c>
      <c r="C3018" s="2" t="str">
        <f ca="1">IFERROR(__xludf.DUMMYFUNCTION("GOOGLETRANSLATE(A3018,""bn"",""en"")"),"Looking for honest advice")</f>
        <v>Looking for honest advice</v>
      </c>
    </row>
    <row r="3019" spans="1:3" ht="15" x14ac:dyDescent="0.25">
      <c r="A3019" s="3" t="s">
        <v>3016</v>
      </c>
      <c r="B3019" s="3" t="s">
        <v>4</v>
      </c>
      <c r="C3019" s="2" t="str">
        <f ca="1">IFERROR(__xludf.DUMMYFUNCTION("GOOGLETRANSLATE(A3019,""bn"",""en"")"),"I have built an Islamic life")</f>
        <v>I have built an Islamic life</v>
      </c>
    </row>
    <row r="3020" spans="1:3" ht="15" x14ac:dyDescent="0.25">
      <c r="A3020" s="3" t="s">
        <v>3017</v>
      </c>
      <c r="B3020" s="3" t="s">
        <v>4</v>
      </c>
      <c r="C3020" s="2" t="str">
        <f ca="1">IFERROR(__xludf.DUMMYFUNCTION("GOOGLETRANSLATE(A3020,""bn"",""en"")"),"There are mountains in Sajeke")</f>
        <v>There are mountains in Sajeke</v>
      </c>
    </row>
    <row r="3021" spans="1:3" ht="15" x14ac:dyDescent="0.25">
      <c r="A3021" s="3" t="s">
        <v>3018</v>
      </c>
      <c r="B3021" s="3" t="s">
        <v>4</v>
      </c>
      <c r="C3021" s="2" t="str">
        <f ca="1">IFERROR(__xludf.DUMMYFUNCTION("GOOGLETRANSLATE(A3021,""bn"",""en"")"),"buying a phone")</f>
        <v>buying a phone</v>
      </c>
    </row>
    <row r="3022" spans="1:3" ht="15" x14ac:dyDescent="0.25">
      <c r="A3022" s="3" t="s">
        <v>3019</v>
      </c>
      <c r="B3022" s="3" t="s">
        <v>4</v>
      </c>
      <c r="C3022" s="2" t="str">
        <f ca="1">IFERROR(__xludf.DUMMYFUNCTION("GOOGLETRANSLATE(A3022,""bn"",""en"")"),"Vegetables are protective foods")</f>
        <v>Vegetables are protective foods</v>
      </c>
    </row>
    <row r="3023" spans="1:3" ht="15" x14ac:dyDescent="0.25">
      <c r="A3023" s="3" t="s">
        <v>3020</v>
      </c>
      <c r="B3023" s="3" t="s">
        <v>4</v>
      </c>
      <c r="C3023" s="2" t="str">
        <f ca="1">IFERROR(__xludf.DUMMYFUNCTION("GOOGLETRANSLATE(A3023,""bn"",""en"")"),"I am writing notes")</f>
        <v>I am writing notes</v>
      </c>
    </row>
    <row r="3024" spans="1:3" ht="15" x14ac:dyDescent="0.25">
      <c r="A3024" s="3" t="s">
        <v>3021</v>
      </c>
      <c r="B3024" s="3" t="s">
        <v>4</v>
      </c>
      <c r="C3024" s="2" t="str">
        <f ca="1">IFERROR(__xludf.DUMMYFUNCTION("GOOGLETRANSLATE(A3024,""bn"",""en"")"),"you study english")</f>
        <v>you study english</v>
      </c>
    </row>
    <row r="3025" spans="1:3" ht="15" x14ac:dyDescent="0.25">
      <c r="A3025" s="3" t="s">
        <v>3022</v>
      </c>
      <c r="B3025" s="3" t="s">
        <v>4</v>
      </c>
      <c r="C3025" s="2" t="str">
        <f ca="1">IFERROR(__xludf.DUMMYFUNCTION("GOOGLETRANSLATE(A3025,""bn"",""en"")"),"Exercising in sports")</f>
        <v>Exercising in sports</v>
      </c>
    </row>
    <row r="3026" spans="1:3" ht="15" x14ac:dyDescent="0.25">
      <c r="A3026" s="3" t="s">
        <v>3023</v>
      </c>
      <c r="B3026" s="3" t="s">
        <v>4</v>
      </c>
      <c r="C3026" s="2" t="str">
        <f ca="1">IFERROR(__xludf.DUMMYFUNCTION("GOOGLETRANSLATE(A3026,""bn"",""en"")"),"Advance in knowledge")</f>
        <v>Advance in knowledge</v>
      </c>
    </row>
    <row r="3027" spans="1:3" ht="15" x14ac:dyDescent="0.25">
      <c r="A3027" s="3" t="s">
        <v>3024</v>
      </c>
      <c r="B3027" s="3" t="s">
        <v>4</v>
      </c>
      <c r="C3027" s="2" t="str">
        <f ca="1">IFERROR(__xludf.DUMMYFUNCTION("GOOGLETRANSLATE(A3027,""bn"",""en"")"),"Pay the check")</f>
        <v>Pay the check</v>
      </c>
    </row>
    <row r="3028" spans="1:3" ht="15" x14ac:dyDescent="0.25">
      <c r="A3028" s="3" t="s">
        <v>3025</v>
      </c>
      <c r="B3028" s="3" t="s">
        <v>4</v>
      </c>
      <c r="C3028" s="2" t="str">
        <f ca="1">IFERROR(__xludf.DUMMYFUNCTION("GOOGLETRANSLATE(A3028,""bn"",""en"")"),"Read internet email")</f>
        <v>Read internet email</v>
      </c>
    </row>
    <row r="3029" spans="1:3" ht="15" x14ac:dyDescent="0.25">
      <c r="A3029" s="3" t="s">
        <v>3026</v>
      </c>
      <c r="B3029" s="3" t="s">
        <v>4</v>
      </c>
      <c r="C3029" s="2" t="str">
        <f ca="1">IFERROR(__xludf.DUMMYFUNCTION("GOOGLETRANSLATE(A3029,""bn"",""en"")"),"Education is the door to life")</f>
        <v>Education is the door to life</v>
      </c>
    </row>
    <row r="3030" spans="1:3" ht="15" x14ac:dyDescent="0.25">
      <c r="A3030" s="3" t="s">
        <v>3027</v>
      </c>
      <c r="B3030" s="3" t="s">
        <v>4</v>
      </c>
      <c r="C3030" s="2" t="str">
        <f ca="1">IFERROR(__xludf.DUMMYFUNCTION("GOOGLETRANSLATE(A3030,""bn"",""en"")"),"I am reading history")</f>
        <v>I am reading history</v>
      </c>
    </row>
    <row r="3031" spans="1:3" ht="15" x14ac:dyDescent="0.25">
      <c r="A3031" s="3" t="s">
        <v>3028</v>
      </c>
      <c r="B3031" s="3" t="s">
        <v>4</v>
      </c>
      <c r="C3031" s="2" t="str">
        <f ca="1">IFERROR(__xludf.DUMMYFUNCTION("GOOGLETRANSLATE(A3031,""bn"",""en"")"),"He blogs")</f>
        <v>He blogs</v>
      </c>
    </row>
    <row r="3032" spans="1:3" ht="15" x14ac:dyDescent="0.25">
      <c r="A3032" s="3" t="s">
        <v>3029</v>
      </c>
      <c r="B3032" s="3" t="s">
        <v>4</v>
      </c>
      <c r="C3032" s="2" t="str">
        <f ca="1">IFERROR(__xludf.DUMMYFUNCTION("GOOGLETRANSLATE(A3032,""bn"",""en"")"),"I have created an account")</f>
        <v>I have created an account</v>
      </c>
    </row>
    <row r="3033" spans="1:3" ht="15" x14ac:dyDescent="0.25">
      <c r="A3033" s="3" t="s">
        <v>3030</v>
      </c>
      <c r="B3033" s="3" t="s">
        <v>4</v>
      </c>
      <c r="C3033" s="2" t="str">
        <f ca="1">IFERROR(__xludf.DUMMYFUNCTION("GOOGLETRANSLATE(A3033,""bn"",""en"")"),"Verify the bank")</f>
        <v>Verify the bank</v>
      </c>
    </row>
    <row r="3034" spans="1:3" ht="15" x14ac:dyDescent="0.25">
      <c r="A3034" s="3" t="s">
        <v>3031</v>
      </c>
      <c r="B3034" s="3" t="s">
        <v>4</v>
      </c>
      <c r="C3034" s="2" t="str">
        <f ca="1">IFERROR(__xludf.DUMMYFUNCTION("GOOGLETRANSLATE(A3034,""bn"",""en"")"),"Using the server")</f>
        <v>Using the server</v>
      </c>
    </row>
    <row r="3035" spans="1:3" ht="15" x14ac:dyDescent="0.25">
      <c r="A3035" s="3" t="s">
        <v>3032</v>
      </c>
      <c r="B3035" s="3" t="s">
        <v>4</v>
      </c>
      <c r="C3035" s="2" t="str">
        <f ca="1">IFERROR(__xludf.DUMMYFUNCTION("GOOGLETRANSLATE(A3035,""bn"",""en"")"),"Exchange messages")</f>
        <v>Exchange messages</v>
      </c>
    </row>
    <row r="3036" spans="1:3" ht="15" x14ac:dyDescent="0.25">
      <c r="A3036" s="3" t="s">
        <v>3033</v>
      </c>
      <c r="B3036" s="3" t="s">
        <v>4</v>
      </c>
      <c r="C3036" s="2" t="str">
        <f ca="1">IFERROR(__xludf.DUMMYFUNCTION("GOOGLETRANSLATE(A3036,""bn"",""en"")"),"Sonnets are difficult to understand")</f>
        <v>Sonnets are difficult to understand</v>
      </c>
    </row>
    <row r="3037" spans="1:3" ht="15" x14ac:dyDescent="0.25">
      <c r="A3037" s="3" t="s">
        <v>3034</v>
      </c>
      <c r="B3037" s="3" t="s">
        <v>4</v>
      </c>
      <c r="C3037" s="2" t="str">
        <f ca="1">IFERROR(__xludf.DUMMYFUNCTION("GOOGLETRANSLATE(A3037,""bn"",""en"")"),"Trying to learn the subject")</f>
        <v>Trying to learn the subject</v>
      </c>
    </row>
    <row r="3038" spans="1:3" ht="15" x14ac:dyDescent="0.25">
      <c r="A3038" s="3" t="s">
        <v>3035</v>
      </c>
      <c r="B3038" s="3" t="s">
        <v>4</v>
      </c>
      <c r="C3038" s="2" t="str">
        <f ca="1">IFERROR(__xludf.DUMMYFUNCTION("GOOGLETRANSLATE(A3038,""bn"",""en"")"),"Enjoyed the song")</f>
        <v>Enjoyed the song</v>
      </c>
    </row>
    <row r="3039" spans="1:3" ht="15" x14ac:dyDescent="0.25">
      <c r="A3039" s="3" t="s">
        <v>3036</v>
      </c>
      <c r="B3039" s="3" t="s">
        <v>4</v>
      </c>
      <c r="C3039" s="2" t="str">
        <f ca="1">IFERROR(__xludf.DUMMYFUNCTION("GOOGLETRANSLATE(A3039,""bn"",""en"")"),"Clyde competing is expensive")</f>
        <v>Clyde competing is expensive</v>
      </c>
    </row>
    <row r="3040" spans="1:3" ht="15" x14ac:dyDescent="0.25">
      <c r="A3040" s="3" t="s">
        <v>3037</v>
      </c>
      <c r="B3040" s="3" t="s">
        <v>4</v>
      </c>
      <c r="C3040" s="2" t="str">
        <f ca="1">IFERROR(__xludf.DUMMYFUNCTION("GOOGLETRANSLATE(A3040,""bn"",""en"")"),"Pay on card")</f>
        <v>Pay on card</v>
      </c>
    </row>
    <row r="3041" spans="1:3" ht="15" x14ac:dyDescent="0.25">
      <c r="A3041" s="3" t="s">
        <v>3038</v>
      </c>
      <c r="B3041" s="3" t="s">
        <v>4</v>
      </c>
      <c r="C3041" s="2" t="str">
        <f ca="1">IFERROR(__xludf.DUMMYFUNCTION("GOOGLETRANSLATE(A3041,""bn"",""en"")"),"I am visiting the bank")</f>
        <v>I am visiting the bank</v>
      </c>
    </row>
    <row r="3042" spans="1:3" ht="15" x14ac:dyDescent="0.25">
      <c r="A3042" s="3" t="s">
        <v>3039</v>
      </c>
      <c r="B3042" s="3" t="s">
        <v>4</v>
      </c>
      <c r="C3042" s="2" t="str">
        <f ca="1">IFERROR(__xludf.DUMMYFUNCTION("GOOGLETRANSLATE(A3042,""bn"",""en"")"),"There are tigers in the forest")</f>
        <v>There are tigers in the forest</v>
      </c>
    </row>
    <row r="3043" spans="1:3" ht="15" x14ac:dyDescent="0.25">
      <c r="A3043" s="3" t="s">
        <v>3040</v>
      </c>
      <c r="B3043" s="3" t="s">
        <v>4</v>
      </c>
      <c r="C3043" s="2" t="str">
        <f ca="1">IFERROR(__xludf.DUMMYFUNCTION("GOOGLETRANSLATE(A3043,""bn"",""en"")"),"Reject the loan")</f>
        <v>Reject the loan</v>
      </c>
    </row>
    <row r="3044" spans="1:3" ht="15" x14ac:dyDescent="0.25">
      <c r="A3044" s="3" t="s">
        <v>3041</v>
      </c>
      <c r="B3044" s="3" t="s">
        <v>4</v>
      </c>
      <c r="C3044" s="2" t="str">
        <f ca="1">IFERROR(__xludf.DUMMYFUNCTION("GOOGLETRANSLATE(A3044,""bn"",""en"")"),"I pray")</f>
        <v>I pray</v>
      </c>
    </row>
    <row r="3045" spans="1:3" ht="15" x14ac:dyDescent="0.25">
      <c r="A3045" s="3" t="s">
        <v>3042</v>
      </c>
      <c r="B3045" s="3" t="s">
        <v>4</v>
      </c>
      <c r="C3045" s="2" t="str">
        <f ca="1">IFERROR(__xludf.DUMMYFUNCTION("GOOGLETRANSLATE(A3045,""bn"",""en"")"),"He is writing notes")</f>
        <v>He is writing notes</v>
      </c>
    </row>
    <row r="3046" spans="1:3" ht="15" x14ac:dyDescent="0.25">
      <c r="A3046" s="3" t="s">
        <v>3043</v>
      </c>
      <c r="B3046" s="3" t="s">
        <v>4</v>
      </c>
      <c r="C3046" s="2" t="str">
        <f ca="1">IFERROR(__xludf.DUMMYFUNCTION("GOOGLETRANSLATE(A3046,""bn"",""en"")"),"you read the book")</f>
        <v>you read the book</v>
      </c>
    </row>
    <row r="3047" spans="1:3" ht="15" x14ac:dyDescent="0.25">
      <c r="A3047" s="3" t="s">
        <v>3044</v>
      </c>
      <c r="B3047" s="3" t="s">
        <v>4</v>
      </c>
      <c r="C3047" s="2" t="str">
        <f ca="1">IFERROR(__xludf.DUMMYFUNCTION("GOOGLETRANSLATE(A3047,""bn"",""en"")"),"Autonomous production is on the rise")</f>
        <v>Autonomous production is on the rise</v>
      </c>
    </row>
    <row r="3048" spans="1:3" ht="15" x14ac:dyDescent="0.25">
      <c r="A3048" s="3" t="s">
        <v>3045</v>
      </c>
      <c r="B3048" s="3" t="s">
        <v>4</v>
      </c>
      <c r="C3048" s="2" t="str">
        <f ca="1">IFERROR(__xludf.DUMMYFUNCTION("GOOGLETRANSLATE(A3048,""bn"",""en"")"),"Do complex calculations")</f>
        <v>Do complex calculations</v>
      </c>
    </row>
    <row r="3049" spans="1:3" ht="15" x14ac:dyDescent="0.25">
      <c r="A3049" s="3" t="s">
        <v>3046</v>
      </c>
      <c r="B3049" s="3" t="s">
        <v>4</v>
      </c>
      <c r="C3049" s="2" t="str">
        <f ca="1">IFERROR(__xludf.DUMMYFUNCTION("GOOGLETRANSLATE(A3049,""bn"",""en"")"),"Let's go to politics")</f>
        <v>Let's go to politics</v>
      </c>
    </row>
    <row r="3050" spans="1:3" ht="15" x14ac:dyDescent="0.25">
      <c r="A3050" s="3" t="s">
        <v>3047</v>
      </c>
      <c r="B3050" s="3" t="s">
        <v>4</v>
      </c>
      <c r="C3050" s="2" t="str">
        <f ca="1">IFERROR(__xludf.DUMMYFUNCTION("GOOGLETRANSLATE(A3050,""bn"",""en"")"),"I am buying a new laptop")</f>
        <v>I am buying a new laptop</v>
      </c>
    </row>
    <row r="3051" spans="1:3" ht="15" x14ac:dyDescent="0.25">
      <c r="A3051" s="3" t="s">
        <v>3048</v>
      </c>
      <c r="B3051" s="3" t="s">
        <v>4</v>
      </c>
      <c r="C3051" s="2" t="str">
        <f ca="1">IFERROR(__xludf.DUMMYFUNCTION("GOOGLETRANSLATE(A3051,""bn"",""en"")"),"Voting effectively")</f>
        <v>Voting effectively</v>
      </c>
    </row>
    <row r="3052" spans="1:3" ht="15" x14ac:dyDescent="0.25">
      <c r="A3052" s="3" t="s">
        <v>3049</v>
      </c>
      <c r="B3052" s="3" t="s">
        <v>4</v>
      </c>
      <c r="C3052" s="2" t="str">
        <f ca="1">IFERROR(__xludf.DUMMYFUNCTION("GOOGLETRANSLATE(A3052,""bn"",""en"")"),"Now I want the website")</f>
        <v>Now I want the website</v>
      </c>
    </row>
    <row r="3053" spans="1:3" ht="15" x14ac:dyDescent="0.25">
      <c r="A3053" s="3" t="s">
        <v>3050</v>
      </c>
      <c r="B3053" s="3" t="s">
        <v>4</v>
      </c>
      <c r="C3053" s="2" t="str">
        <f ca="1">IFERROR(__xludf.DUMMYFUNCTION("GOOGLETRANSLATE(A3053,""bn"",""en"")"),"Maintain order")</f>
        <v>Maintain order</v>
      </c>
    </row>
    <row r="3054" spans="1:3" ht="15" x14ac:dyDescent="0.25">
      <c r="A3054" s="3" t="s">
        <v>3051</v>
      </c>
      <c r="B3054" s="3" t="s">
        <v>4</v>
      </c>
      <c r="C3054" s="2" t="str">
        <f ca="1">IFERROR(__xludf.DUMMYFUNCTION("GOOGLETRANSLATE(A3054,""bn"",""en"")"),"can email")</f>
        <v>can email</v>
      </c>
    </row>
    <row r="3055" spans="1:3" ht="15" x14ac:dyDescent="0.25">
      <c r="A3055" s="3" t="s">
        <v>3052</v>
      </c>
      <c r="B3055" s="3" t="s">
        <v>4</v>
      </c>
      <c r="C3055" s="2" t="str">
        <f ca="1">IFERROR(__xludf.DUMMYFUNCTION("GOOGLETRANSLATE(A3055,""bn"",""en"")"),"i am making noise")</f>
        <v>i am making noise</v>
      </c>
    </row>
    <row r="3056" spans="1:3" ht="15" x14ac:dyDescent="0.25">
      <c r="A3056" s="3" t="s">
        <v>3053</v>
      </c>
      <c r="B3056" s="3" t="s">
        <v>4</v>
      </c>
      <c r="C3056" s="2" t="str">
        <f ca="1">IFERROR(__xludf.DUMMYFUNCTION("GOOGLETRANSLATE(A3056,""bn"",""en"")"),"Everyone is going to the bank")</f>
        <v>Everyone is going to the bank</v>
      </c>
    </row>
    <row r="3057" spans="1:3" ht="15" x14ac:dyDescent="0.25">
      <c r="A3057" s="3" t="s">
        <v>3054</v>
      </c>
      <c r="B3057" s="3" t="s">
        <v>4</v>
      </c>
      <c r="C3057" s="2" t="str">
        <f ca="1">IFERROR(__xludf.DUMMYFUNCTION("GOOGLETRANSLATE(A3057,""bn"",""en"")"),"Carbohydrates are nutrients")</f>
        <v>Carbohydrates are nutrients</v>
      </c>
    </row>
    <row r="3058" spans="1:3" ht="15" x14ac:dyDescent="0.25">
      <c r="A3058" s="3" t="s">
        <v>3055</v>
      </c>
      <c r="B3058" s="3" t="s">
        <v>4</v>
      </c>
      <c r="C3058" s="2" t="str">
        <f ca="1">IFERROR(__xludf.DUMMYFUNCTION("GOOGLETRANSLATE(A3058,""bn"",""en"")"),"The element of happiness is travel")</f>
        <v>The element of happiness is travel</v>
      </c>
    </row>
    <row r="3059" spans="1:3" ht="15" x14ac:dyDescent="0.25">
      <c r="A3059" s="3" t="s">
        <v>3056</v>
      </c>
      <c r="B3059" s="3" t="s">
        <v>4</v>
      </c>
      <c r="C3059" s="2" t="str">
        <f ca="1">IFERROR(__xludf.DUMMYFUNCTION("GOOGLETRANSLATE(A3059,""bn"",""en"")"),"I do outsourcing")</f>
        <v>I do outsourcing</v>
      </c>
    </row>
    <row r="3060" spans="1:3" ht="15" x14ac:dyDescent="0.25">
      <c r="A3060" s="3" t="s">
        <v>3057</v>
      </c>
      <c r="B3060" s="3" t="s">
        <v>4</v>
      </c>
      <c r="C3060" s="2" t="str">
        <f ca="1">IFERROR(__xludf.DUMMYFUNCTION("GOOGLETRANSLATE(A3060,""bn"",""en"")"),"Sending information over the Internet")</f>
        <v>Sending information over the Internet</v>
      </c>
    </row>
    <row r="3061" spans="1:3" ht="15" x14ac:dyDescent="0.25">
      <c r="A3061" s="3" t="s">
        <v>3058</v>
      </c>
      <c r="B3061" s="3" t="s">
        <v>4</v>
      </c>
      <c r="C3061" s="2" t="str">
        <f ca="1">IFERROR(__xludf.DUMMYFUNCTION("GOOGLETRANSLATE(A3061,""bn"",""en"")"),"No digital camera")</f>
        <v>No digital camera</v>
      </c>
    </row>
    <row r="3062" spans="1:3" ht="15" x14ac:dyDescent="0.25">
      <c r="A3062" s="3" t="s">
        <v>3059</v>
      </c>
      <c r="B3062" s="3" t="s">
        <v>4</v>
      </c>
      <c r="C3062" s="2" t="str">
        <f ca="1">IFERROR(__xludf.DUMMYFUNCTION("GOOGLETRANSLATE(A3062,""bn"",""en"")"),"I am programming")</f>
        <v>I am programming</v>
      </c>
    </row>
    <row r="3063" spans="1:3" ht="15" x14ac:dyDescent="0.25">
      <c r="A3063" s="3" t="s">
        <v>3060</v>
      </c>
      <c r="B3063" s="3" t="s">
        <v>4</v>
      </c>
      <c r="C3063" s="2" t="str">
        <f ca="1">IFERROR(__xludf.DUMMYFUNCTION("GOOGLETRANSLATE(A3063,""bn"",""en"")"),"Life is a travel favorite")</f>
        <v>Life is a travel favorite</v>
      </c>
    </row>
    <row r="3064" spans="1:3" ht="15" x14ac:dyDescent="0.25">
      <c r="A3064" s="3" t="s">
        <v>3061</v>
      </c>
      <c r="B3064" s="3" t="s">
        <v>4</v>
      </c>
      <c r="C3064" s="2" t="str">
        <f ca="1">IFERROR(__xludf.DUMMYFUNCTION("GOOGLETRANSLATE(A3064,""bn"",""en"")"),"Check balance")</f>
        <v>Check balance</v>
      </c>
    </row>
    <row r="3065" spans="1:3" ht="15" x14ac:dyDescent="0.25">
      <c r="A3065" s="3" t="s">
        <v>3062</v>
      </c>
      <c r="B3065" s="3" t="s">
        <v>4</v>
      </c>
      <c r="C3065" s="2" t="str">
        <f ca="1">IFERROR(__xludf.DUMMYFUNCTION("GOOGLETRANSLATE(A3065,""bn"",""en"")"),"Creating an account")</f>
        <v>Creating an account</v>
      </c>
    </row>
    <row r="3066" spans="1:3" ht="15" x14ac:dyDescent="0.25">
      <c r="A3066" s="3" t="s">
        <v>3063</v>
      </c>
      <c r="B3066" s="3" t="s">
        <v>4</v>
      </c>
      <c r="C3066" s="2" t="str">
        <f ca="1">IFERROR(__xludf.DUMMYFUNCTION("GOOGLETRANSLATE(A3066,""bn"",""en"")"),"Bank account")</f>
        <v>Bank account</v>
      </c>
    </row>
    <row r="3067" spans="1:3" ht="15" x14ac:dyDescent="0.25">
      <c r="A3067" s="3" t="s">
        <v>3064</v>
      </c>
      <c r="B3067" s="3" t="s">
        <v>4</v>
      </c>
      <c r="C3067" s="2" t="str">
        <f ca="1">IFERROR(__xludf.DUMMYFUNCTION("GOOGLETRANSLATE(A3067,""bn"",""en"")"),"Travel is liberating")</f>
        <v>Travel is liberating</v>
      </c>
    </row>
    <row r="3068" spans="1:3" ht="15" x14ac:dyDescent="0.25">
      <c r="A3068" s="3" t="s">
        <v>3065</v>
      </c>
      <c r="B3068" s="3" t="s">
        <v>4</v>
      </c>
      <c r="C3068" s="2" t="str">
        <f ca="1">IFERROR(__xludf.DUMMYFUNCTION("GOOGLETRANSLATE(A3068,""bn"",""en"")"),"using card")</f>
        <v>using card</v>
      </c>
    </row>
    <row r="3069" spans="1:3" ht="15" x14ac:dyDescent="0.25">
      <c r="A3069" s="3" t="s">
        <v>3066</v>
      </c>
      <c r="B3069" s="3" t="s">
        <v>4</v>
      </c>
      <c r="C3069" s="2" t="str">
        <f ca="1">IFERROR(__xludf.DUMMYFUNCTION("GOOGLETRANSLATE(A3069,""bn"",""en"")"),"Love food is expensive")</f>
        <v>Love food is expensive</v>
      </c>
    </row>
    <row r="3070" spans="1:3" ht="15" x14ac:dyDescent="0.25">
      <c r="A3070" s="3" t="s">
        <v>3067</v>
      </c>
      <c r="B3070" s="3" t="s">
        <v>4</v>
      </c>
      <c r="C3070" s="2" t="str">
        <f ca="1">IFERROR(__xludf.DUMMYFUNCTION("GOOGLETRANSLATE(A3070,""bn"",""en"")"),"Discussing politics")</f>
        <v>Discussing politics</v>
      </c>
    </row>
    <row r="3071" spans="1:3" ht="15" x14ac:dyDescent="0.25">
      <c r="A3071" s="3" t="s">
        <v>3068</v>
      </c>
      <c r="B3071" s="3" t="s">
        <v>4</v>
      </c>
      <c r="C3071" s="2" t="str">
        <f ca="1">IFERROR(__xludf.DUMMYFUNCTION("GOOGLETRANSLATE(A3071,""bn"",""en"")"),"Tried the software")</f>
        <v>Tried the software</v>
      </c>
    </row>
    <row r="3072" spans="1:3" ht="15" x14ac:dyDescent="0.25">
      <c r="A3072" s="3" t="s">
        <v>3069</v>
      </c>
      <c r="B3072" s="3" t="s">
        <v>4</v>
      </c>
      <c r="C3072" s="2" t="str">
        <f ca="1">IFERROR(__xludf.DUMMYFUNCTION("GOOGLETRANSLATE(A3072,""bn"",""en"")"),"i am traveling")</f>
        <v>i am traveling</v>
      </c>
    </row>
    <row r="3073" spans="1:3" ht="15" x14ac:dyDescent="0.25">
      <c r="A3073" s="3" t="s">
        <v>3070</v>
      </c>
      <c r="B3073" s="3" t="s">
        <v>4</v>
      </c>
      <c r="C3073" s="2" t="str">
        <f ca="1">IFERROR(__xludf.DUMMYFUNCTION("GOOGLETRANSLATE(A3073,""bn"",""en"")"),"He plays tennis")</f>
        <v>He plays tennis</v>
      </c>
    </row>
    <row r="3074" spans="1:3" ht="15" x14ac:dyDescent="0.25">
      <c r="A3074" s="3" t="s">
        <v>3071</v>
      </c>
      <c r="B3074" s="3" t="s">
        <v>4</v>
      </c>
      <c r="C3074" s="2" t="str">
        <f ca="1">IFERROR(__xludf.DUMMYFUNCTION("GOOGLETRANSLATE(A3074,""bn"",""en"")"),"People walk on the beach")</f>
        <v>People walk on the beach</v>
      </c>
    </row>
    <row r="3075" spans="1:3" ht="15" x14ac:dyDescent="0.25">
      <c r="A3075" s="3" t="s">
        <v>3072</v>
      </c>
      <c r="B3075" s="3" t="s">
        <v>4</v>
      </c>
      <c r="C3075" s="2" t="str">
        <f ca="1">IFERROR(__xludf.DUMMYFUNCTION("GOOGLETRANSLATE(A3075,""bn"",""en"")"),"They ski")</f>
        <v>They ski</v>
      </c>
    </row>
    <row r="3076" spans="1:3" ht="15" x14ac:dyDescent="0.25">
      <c r="A3076" s="3" t="s">
        <v>3073</v>
      </c>
      <c r="B3076" s="3" t="s">
        <v>4</v>
      </c>
      <c r="C3076" s="2" t="str">
        <f ca="1">IFERROR(__xludf.DUMMYFUNCTION("GOOGLETRANSLATE(A3076,""bn"",""en"")"),"Get banking facilities")</f>
        <v>Get banking facilities</v>
      </c>
    </row>
    <row r="3077" spans="1:3" ht="15" x14ac:dyDescent="0.25">
      <c r="A3077" s="3" t="s">
        <v>3074</v>
      </c>
      <c r="B3077" s="3" t="s">
        <v>4</v>
      </c>
      <c r="C3077" s="2" t="str">
        <f ca="1">IFERROR(__xludf.DUMMYFUNCTION("GOOGLETRANSLATE(A3077,""bn"",""en"")"),"Sania is playing badminton")</f>
        <v>Sania is playing badminton</v>
      </c>
    </row>
    <row r="3078" spans="1:3" ht="15" x14ac:dyDescent="0.25">
      <c r="A3078" s="3" t="s">
        <v>3075</v>
      </c>
      <c r="B3078" s="3" t="s">
        <v>4</v>
      </c>
      <c r="C3078" s="2" t="str">
        <f ca="1">IFERROR(__xludf.DUMMYFUNCTION("GOOGLETRANSLATE(A3078,""bn"",""en"")"),"Come read with confidence")</f>
        <v>Come read with confidence</v>
      </c>
    </row>
    <row r="3079" spans="1:3" ht="15" x14ac:dyDescent="0.25">
      <c r="A3079" s="3" t="s">
        <v>3076</v>
      </c>
      <c r="B3079" s="3" t="s">
        <v>4</v>
      </c>
      <c r="C3079" s="2" t="str">
        <f ca="1">IFERROR(__xludf.DUMMYFUNCTION("GOOGLETRANSLATE(A3079,""bn"",""en"")"),"Corruption has been practiced in the cabinet")</f>
        <v>Corruption has been practiced in the cabinet</v>
      </c>
    </row>
    <row r="3080" spans="1:3" ht="15" x14ac:dyDescent="0.25">
      <c r="A3080" s="3" t="s">
        <v>3077</v>
      </c>
      <c r="B3080" s="3" t="s">
        <v>4</v>
      </c>
      <c r="C3080" s="2" t="str">
        <f ca="1">IFERROR(__xludf.DUMMYFUNCTION("GOOGLETRANSLATE(A3080,""bn"",""en"")"),"Is the market doing well?")</f>
        <v>Is the market doing well?</v>
      </c>
    </row>
    <row r="3081" spans="1:3" ht="15" x14ac:dyDescent="0.25">
      <c r="A3081" s="3" t="s">
        <v>3078</v>
      </c>
      <c r="B3081" s="3" t="s">
        <v>4</v>
      </c>
      <c r="C3081" s="2" t="str">
        <f ca="1">IFERROR(__xludf.DUMMYFUNCTION("GOOGLETRANSLATE(A3081,""bn"",""en"")"),"Hi-tech companies are innovative in design")</f>
        <v>Hi-tech companies are innovative in design</v>
      </c>
    </row>
    <row r="3082" spans="1:3" ht="15" x14ac:dyDescent="0.25">
      <c r="A3082" s="3" t="s">
        <v>3079</v>
      </c>
      <c r="B3082" s="3" t="s">
        <v>4</v>
      </c>
      <c r="C3082" s="2" t="str">
        <f ca="1">IFERROR(__xludf.DUMMYFUNCTION("GOOGLETRANSLATE(A3082,""bn"",""en"")"),"Good results are success")</f>
        <v>Good results are success</v>
      </c>
    </row>
    <row r="3083" spans="1:3" ht="15" x14ac:dyDescent="0.25">
      <c r="A3083" s="3" t="s">
        <v>3080</v>
      </c>
      <c r="B3083" s="3" t="s">
        <v>4</v>
      </c>
      <c r="C3083" s="2" t="str">
        <f ca="1">IFERROR(__xludf.DUMMYFUNCTION("GOOGLETRANSLATE(A3083,""bn"",""en"")"),"Environmental education care for nature")</f>
        <v>Environmental education care for nature</v>
      </c>
    </row>
    <row r="3084" spans="1:3" ht="15" x14ac:dyDescent="0.25">
      <c r="A3084" s="3" t="s">
        <v>3081</v>
      </c>
      <c r="B3084" s="3" t="s">
        <v>4</v>
      </c>
      <c r="C3084" s="2" t="str">
        <f ca="1">IFERROR(__xludf.DUMMYFUNCTION("GOOGLETRANSLATE(A3084,""bn"",""en"")"),"Asha is Bhosle's most adorable")</f>
        <v>Asha is Bhosle's most adorable</v>
      </c>
    </row>
    <row r="3085" spans="1:3" ht="15" x14ac:dyDescent="0.25">
      <c r="A3085" s="3" t="s">
        <v>3082</v>
      </c>
      <c r="B3085" s="3" t="s">
        <v>4</v>
      </c>
      <c r="C3085" s="2" t="str">
        <f ca="1">IFERROR(__xludf.DUMMYFUNCTION("GOOGLETRANSLATE(A3085,""bn"",""en"")"),"Drive safely to reach the hotel")</f>
        <v>Drive safely to reach the hotel</v>
      </c>
    </row>
    <row r="3086" spans="1:3" ht="15" x14ac:dyDescent="0.25">
      <c r="A3086" s="3" t="s">
        <v>3083</v>
      </c>
      <c r="B3086" s="3" t="s">
        <v>4</v>
      </c>
      <c r="C3086" s="2" t="str">
        <f ca="1">IFERROR(__xludf.DUMMYFUNCTION("GOOGLETRANSLATE(A3086,""bn"",""en"")"),"The government is improving the stimulus")</f>
        <v>The government is improving the stimulus</v>
      </c>
    </row>
    <row r="3087" spans="1:3" ht="15" x14ac:dyDescent="0.25">
      <c r="A3087" s="3" t="s">
        <v>3084</v>
      </c>
      <c r="B3087" s="3" t="s">
        <v>4</v>
      </c>
      <c r="C3087" s="2" t="str">
        <f ca="1">IFERROR(__xludf.DUMMYFUNCTION("GOOGLETRANSLATE(A3087,""bn"",""en"")"),"Exams are proof of knowledge")</f>
        <v>Exams are proof of knowledge</v>
      </c>
    </row>
    <row r="3088" spans="1:3" ht="15" x14ac:dyDescent="0.25">
      <c r="A3088" s="3" t="s">
        <v>3085</v>
      </c>
      <c r="B3088" s="3" t="s">
        <v>4</v>
      </c>
      <c r="C3088" s="2" t="str">
        <f ca="1">IFERROR(__xludf.DUMMYFUNCTION("GOOGLETRANSLATE(A3088,""bn"",""en"")"),"Read an ancient epic")</f>
        <v>Read an ancient epic</v>
      </c>
    </row>
    <row r="3089" spans="1:3" ht="15" x14ac:dyDescent="0.25">
      <c r="A3089" s="3" t="s">
        <v>3086</v>
      </c>
      <c r="B3089" s="3" t="s">
        <v>4</v>
      </c>
      <c r="C3089" s="2" t="str">
        <f ca="1">IFERROR(__xludf.DUMMYFUNCTION("GOOGLETRANSLATE(A3089,""bn"",""en"")"),"Shipyard is developing in Khulna")</f>
        <v>Shipyard is developing in Khulna</v>
      </c>
    </row>
    <row r="3090" spans="1:3" ht="15" x14ac:dyDescent="0.25">
      <c r="A3090" s="3" t="s">
        <v>3087</v>
      </c>
      <c r="B3090" s="3" t="s">
        <v>4</v>
      </c>
      <c r="C3090" s="2" t="str">
        <f ca="1">IFERROR(__xludf.DUMMYFUNCTION("GOOGLETRANSLATE(A3090,""bn"",""en"")"),"Cocos Islands are part of Australia")</f>
        <v>Cocos Islands are part of Australia</v>
      </c>
    </row>
    <row r="3091" spans="1:3" ht="15" x14ac:dyDescent="0.25">
      <c r="A3091" s="3" t="s">
        <v>3088</v>
      </c>
      <c r="B3091" s="3" t="s">
        <v>4</v>
      </c>
      <c r="C3091" s="2" t="str">
        <f ca="1">IFERROR(__xludf.DUMMYFUNCTION("GOOGLETRANSLATE(A3091,""bn"",""en"")"),"Influence students")</f>
        <v>Influence students</v>
      </c>
    </row>
    <row r="3092" spans="1:3" ht="15" x14ac:dyDescent="0.25">
      <c r="A3092" s="3" t="s">
        <v>3089</v>
      </c>
      <c r="B3092" s="3" t="s">
        <v>4</v>
      </c>
      <c r="C3092" s="2" t="str">
        <f ca="1">IFERROR(__xludf.DUMMYFUNCTION("GOOGLETRANSLATE(A3092,""bn"",""en"")"),"A simple problem in math")</f>
        <v>A simple problem in math</v>
      </c>
    </row>
    <row r="3093" spans="1:3" ht="15" x14ac:dyDescent="0.25">
      <c r="A3093" s="3" t="s">
        <v>3090</v>
      </c>
      <c r="B3093" s="3" t="s">
        <v>4</v>
      </c>
      <c r="C3093" s="2" t="str">
        <f ca="1">IFERROR(__xludf.DUMMYFUNCTION("GOOGLETRANSLATE(A3093,""bn"",""en"")"),"Set your financial goals")</f>
        <v>Set your financial goals</v>
      </c>
    </row>
    <row r="3094" spans="1:3" ht="15" x14ac:dyDescent="0.25">
      <c r="A3094" s="3" t="s">
        <v>3091</v>
      </c>
      <c r="B3094" s="3" t="s">
        <v>4</v>
      </c>
      <c r="C3094" s="2" t="str">
        <f ca="1">IFERROR(__xludf.DUMMYFUNCTION("GOOGLETRANSLATE(A3094,""bn"",""en"")"),"Stay healthy tourist judge")</f>
        <v>Stay healthy tourist judge</v>
      </c>
    </row>
    <row r="3095" spans="1:3" ht="15" x14ac:dyDescent="0.25">
      <c r="A3095" s="3" t="s">
        <v>3092</v>
      </c>
      <c r="B3095" s="3" t="s">
        <v>4</v>
      </c>
      <c r="C3095" s="2" t="str">
        <f ca="1">IFERROR(__xludf.DUMMYFUNCTION("GOOGLETRANSLATE(A3095,""bn"",""en"")"),"Create credit account")</f>
        <v>Create credit account</v>
      </c>
    </row>
    <row r="3096" spans="1:3" ht="15" x14ac:dyDescent="0.25">
      <c r="A3096" s="3" t="s">
        <v>3093</v>
      </c>
      <c r="B3096" s="3" t="s">
        <v>4</v>
      </c>
      <c r="C3096" s="2" t="str">
        <f ca="1">IFERROR(__xludf.DUMMYFUNCTION("GOOGLETRANSLATE(A3096,""bn"",""en"")"),"The story is presented")</f>
        <v>The story is presented</v>
      </c>
    </row>
    <row r="3097" spans="1:3" ht="15" x14ac:dyDescent="0.25">
      <c r="A3097" s="3" t="s">
        <v>3094</v>
      </c>
      <c r="B3097" s="3" t="s">
        <v>4</v>
      </c>
      <c r="C3097" s="2" t="str">
        <f ca="1">IFERROR(__xludf.DUMMYFUNCTION("GOOGLETRANSLATE(A3097,""bn"",""en"")"),"Designing interfaces and interactions is good")</f>
        <v>Designing interfaces and interactions is good</v>
      </c>
    </row>
    <row r="3098" spans="1:3" ht="15" x14ac:dyDescent="0.25">
      <c r="A3098" s="3" t="s">
        <v>3095</v>
      </c>
      <c r="B3098" s="3" t="s">
        <v>4</v>
      </c>
      <c r="C3098" s="2" t="str">
        <f ca="1">IFERROR(__xludf.DUMMYFUNCTION("GOOGLETRANSLATE(A3098,""bn"",""en"")"),"Have multiple bank accounts")</f>
        <v>Have multiple bank accounts</v>
      </c>
    </row>
    <row r="3099" spans="1:3" ht="15" x14ac:dyDescent="0.25">
      <c r="A3099" s="3" t="s">
        <v>3096</v>
      </c>
      <c r="B3099" s="3" t="s">
        <v>4</v>
      </c>
      <c r="C3099" s="2" t="str">
        <f ca="1">IFERROR(__xludf.DUMMYFUNCTION("GOOGLETRANSLATE(A3099,""bn"",""en"")"),"Various roads are like Gandharva")</f>
        <v>Various roads are like Gandharva</v>
      </c>
    </row>
    <row r="3100" spans="1:3" ht="15" x14ac:dyDescent="0.25">
      <c r="A3100" s="3" t="s">
        <v>3097</v>
      </c>
      <c r="B3100" s="3" t="s">
        <v>4</v>
      </c>
      <c r="C3100" s="2" t="str">
        <f ca="1">IFERROR(__xludf.DUMMYFUNCTION("GOOGLETRANSLATE(A3100,""bn"",""en"")"),"Talk to an expert")</f>
        <v>Talk to an expert</v>
      </c>
    </row>
    <row r="3101" spans="1:3" ht="15" x14ac:dyDescent="0.25">
      <c r="A3101" s="3" t="s">
        <v>3098</v>
      </c>
      <c r="B3101" s="3" t="s">
        <v>4</v>
      </c>
      <c r="C3101" s="2" t="str">
        <f ca="1">IFERROR(__xludf.DUMMYFUNCTION("GOOGLETRANSLATE(A3101,""bn"",""en"")"),"Health education is healthy living")</f>
        <v>Health education is healthy living</v>
      </c>
    </row>
    <row r="3102" spans="1:3" ht="15" x14ac:dyDescent="0.25">
      <c r="A3102" s="3" t="s">
        <v>3099</v>
      </c>
      <c r="B3102" s="3" t="s">
        <v>4</v>
      </c>
      <c r="C3102" s="2" t="str">
        <f ca="1">IFERROR(__xludf.DUMMYFUNCTION("GOOGLETRANSLATE(A3102,""bn"",""en"")"),"Chairman of Bank Saksharik Durbar")</f>
        <v>Chairman of Bank Saksharik Durbar</v>
      </c>
    </row>
    <row r="3103" spans="1:3" ht="15" x14ac:dyDescent="0.25">
      <c r="A3103" s="3" t="s">
        <v>3100</v>
      </c>
      <c r="B3103" s="3" t="s">
        <v>4</v>
      </c>
      <c r="C3103" s="2" t="str">
        <f ca="1">IFERROR(__xludf.DUMMYFUNCTION("GOOGLETRANSLATE(A3103,""bn"",""en"")"),"Rhythm is the silence of the sound")</f>
        <v>Rhythm is the silence of the sound</v>
      </c>
    </row>
    <row r="3104" spans="1:3" ht="15" x14ac:dyDescent="0.25">
      <c r="A3104" s="3" t="s">
        <v>3101</v>
      </c>
      <c r="B3104" s="3" t="s">
        <v>4</v>
      </c>
      <c r="C3104" s="2" t="str">
        <f ca="1">IFERROR(__xludf.DUMMYFUNCTION("GOOGLETRANSLATE(A3104,""bn"",""en"")"),"Visit ancient temples")</f>
        <v>Visit ancient temples</v>
      </c>
    </row>
    <row r="3105" spans="1:3" ht="15" x14ac:dyDescent="0.25">
      <c r="A3105" s="3" t="s">
        <v>3102</v>
      </c>
      <c r="B3105" s="3" t="s">
        <v>4</v>
      </c>
      <c r="C3105" s="2" t="str">
        <f ca="1">IFERROR(__xludf.DUMMYFUNCTION("GOOGLETRANSLATE(A3105,""bn"",""en"")"),"I am professional in tennis")</f>
        <v>I am professional in tennis</v>
      </c>
    </row>
    <row r="3106" spans="1:3" ht="15" x14ac:dyDescent="0.25">
      <c r="A3106" s="3" t="s">
        <v>3103</v>
      </c>
      <c r="B3106" s="3" t="s">
        <v>4</v>
      </c>
      <c r="C3106" s="2" t="str">
        <f ca="1">IFERROR(__xludf.DUMMYFUNCTION("GOOGLETRANSLATE(A3106,""bn"",""en"")"),"Mystery and thriller music")</f>
        <v>Mystery and thriller music</v>
      </c>
    </row>
    <row r="3107" spans="1:3" ht="15" x14ac:dyDescent="0.25">
      <c r="A3107" s="3" t="s">
        <v>3104</v>
      </c>
      <c r="B3107" s="3" t="s">
        <v>4</v>
      </c>
      <c r="C3107" s="2" t="str">
        <f ca="1">IFERROR(__xludf.DUMMYFUNCTION("GOOGLETRANSLATE(A3107,""bn"",""en"")"),"Past and future stories of love")</f>
        <v>Past and future stories of love</v>
      </c>
    </row>
    <row r="3108" spans="1:3" ht="15" x14ac:dyDescent="0.25">
      <c r="A3108" s="3" t="s">
        <v>3105</v>
      </c>
      <c r="B3108" s="3" t="s">
        <v>4</v>
      </c>
      <c r="C3108" s="2" t="str">
        <f ca="1">IFERROR(__xludf.DUMMYFUNCTION("GOOGLETRANSLATE(A3108,""bn"",""en"")"),"Bring new products to market")</f>
        <v>Bring new products to market</v>
      </c>
    </row>
    <row r="3109" spans="1:3" ht="15" x14ac:dyDescent="0.25">
      <c r="A3109" s="3" t="s">
        <v>3106</v>
      </c>
      <c r="B3109" s="3" t="s">
        <v>4</v>
      </c>
      <c r="C3109" s="2" t="str">
        <f ca="1">IFERROR(__xludf.DUMMYFUNCTION("GOOGLETRANSLATE(A3109,""bn"",""en"")"),"Go on holiday")</f>
        <v>Go on holiday</v>
      </c>
    </row>
    <row r="3110" spans="1:3" ht="15" x14ac:dyDescent="0.25">
      <c r="A3110" s="3" t="s">
        <v>3107</v>
      </c>
      <c r="B3110" s="3" t="s">
        <v>4</v>
      </c>
      <c r="C3110" s="2" t="str">
        <f ca="1">IFERROR(__xludf.DUMMYFUNCTION("GOOGLETRANSLATE(A3110,""bn"",""en"")"),"Mobile application development has started for everyone")</f>
        <v>Mobile application development has started for everyone</v>
      </c>
    </row>
    <row r="3111" spans="1:3" ht="15" x14ac:dyDescent="0.25">
      <c r="A3111" s="3" t="s">
        <v>3108</v>
      </c>
      <c r="B3111" s="3" t="s">
        <v>4</v>
      </c>
      <c r="C3111" s="2" t="str">
        <f ca="1">IFERROR(__xludf.DUMMYFUNCTION("GOOGLETRANSLATE(A3111,""bn"",""en"")"),"Rent a car at the railway station")</f>
        <v>Rent a car at the railway station</v>
      </c>
    </row>
    <row r="3112" spans="1:3" ht="15" x14ac:dyDescent="0.25">
      <c r="A3112" s="3" t="s">
        <v>3109</v>
      </c>
      <c r="B3112" s="3" t="s">
        <v>4</v>
      </c>
      <c r="C3112" s="2" t="str">
        <f ca="1">IFERROR(__xludf.DUMMYFUNCTION("GOOGLETRANSLATE(A3112,""bn"",""en"")"),"Himel Haasan's musical photography")</f>
        <v>Himel Haasan's musical photography</v>
      </c>
    </row>
    <row r="3113" spans="1:3" ht="15" x14ac:dyDescent="0.25">
      <c r="A3113" s="3" t="s">
        <v>3110</v>
      </c>
      <c r="B3113" s="3" t="s">
        <v>4</v>
      </c>
      <c r="C3113" s="2" t="str">
        <f ca="1">IFERROR(__xludf.DUMMYFUNCTION("GOOGLETRANSLATE(A3113,""bn"",""en"")"),"The hundred tournament is about to start")</f>
        <v>The hundred tournament is about to start</v>
      </c>
    </row>
    <row r="3114" spans="1:3" ht="15" x14ac:dyDescent="0.25">
      <c r="A3114" s="3" t="s">
        <v>3111</v>
      </c>
      <c r="B3114" s="3" t="s">
        <v>4</v>
      </c>
      <c r="C3114" s="2" t="str">
        <f ca="1">IFERROR(__xludf.DUMMYFUNCTION("GOOGLETRANSLATE(A3114,""bn"",""en"")"),"Teaching science with technology")</f>
        <v>Teaching science with technology</v>
      </c>
    </row>
    <row r="3115" spans="1:3" ht="15" x14ac:dyDescent="0.25">
      <c r="A3115" s="3" t="s">
        <v>3112</v>
      </c>
      <c r="B3115" s="3" t="s">
        <v>4</v>
      </c>
      <c r="C3115" s="2" t="str">
        <f ca="1">IFERROR(__xludf.DUMMYFUNCTION("GOOGLETRANSLATE(A3115,""bn"",""en"")"),"Golden healthy beaches in the south")</f>
        <v>Golden healthy beaches in the south</v>
      </c>
    </row>
    <row r="3116" spans="1:3" ht="15" x14ac:dyDescent="0.25">
      <c r="A3116" s="3" t="s">
        <v>3113</v>
      </c>
      <c r="B3116" s="3" t="s">
        <v>4</v>
      </c>
      <c r="C3116" s="2" t="str">
        <f ca="1">IFERROR(__xludf.DUMMYFUNCTION("GOOGLETRANSLATE(A3116,""bn"",""en"")"),"He has his moments in character")</f>
        <v>He has his moments in character</v>
      </c>
    </row>
    <row r="3117" spans="1:3" ht="15" x14ac:dyDescent="0.25">
      <c r="A3117" s="3" t="s">
        <v>3114</v>
      </c>
      <c r="B3117" s="3" t="s">
        <v>4</v>
      </c>
      <c r="C3117" s="2" t="str">
        <f ca="1">IFERROR(__xludf.DUMMYFUNCTION("GOOGLETRANSLATE(A3117,""bn"",""en"")"),"Go cycling away")</f>
        <v>Go cycling away</v>
      </c>
    </row>
    <row r="3118" spans="1:3" ht="15" x14ac:dyDescent="0.25">
      <c r="A3118" s="3" t="s">
        <v>3115</v>
      </c>
      <c r="B3118" s="3" t="s">
        <v>4</v>
      </c>
      <c r="C3118" s="2" t="str">
        <f ca="1">IFERROR(__xludf.DUMMYFUNCTION("GOOGLETRANSLATE(A3118,""bn"",""en"")"),"The scenery was beautiful in its entirety")</f>
        <v>The scenery was beautiful in its entirety</v>
      </c>
    </row>
    <row r="3119" spans="1:3" ht="15" x14ac:dyDescent="0.25">
      <c r="A3119" s="3" t="s">
        <v>3116</v>
      </c>
      <c r="B3119" s="3" t="s">
        <v>4</v>
      </c>
      <c r="C3119" s="2" t="str">
        <f ca="1">IFERROR(__xludf.DUMMYFUNCTION("GOOGLETRANSLATE(A3119,""bn"",""en"")"),"Education is a tool for social change")</f>
        <v>Education is a tool for social change</v>
      </c>
    </row>
    <row r="3120" spans="1:3" ht="15" x14ac:dyDescent="0.25">
      <c r="A3120" s="3" t="s">
        <v>3117</v>
      </c>
      <c r="B3120" s="3" t="s">
        <v>4</v>
      </c>
      <c r="C3120" s="2" t="str">
        <f ca="1">IFERROR(__xludf.DUMMYFUNCTION("GOOGLETRANSLATE(A3120,""bn"",""en"")"),"They are raising new projects")</f>
        <v>They are raising new projects</v>
      </c>
    </row>
    <row r="3121" spans="1:3" ht="15" x14ac:dyDescent="0.25">
      <c r="A3121" s="3" t="s">
        <v>3118</v>
      </c>
      <c r="B3121" s="3" t="s">
        <v>4</v>
      </c>
      <c r="C3121" s="2" t="str">
        <f ca="1">IFERROR(__xludf.DUMMYFUNCTION("GOOGLETRANSLATE(A3121,""bn"",""en"")"),"Weird science fiction movie")</f>
        <v>Weird science fiction movie</v>
      </c>
    </row>
    <row r="3122" spans="1:3" ht="15" x14ac:dyDescent="0.25">
      <c r="A3122" s="3" t="s">
        <v>3119</v>
      </c>
      <c r="B3122" s="3" t="s">
        <v>4</v>
      </c>
      <c r="C3122" s="2" t="str">
        <f ca="1">IFERROR(__xludf.DUMMYFUNCTION("GOOGLETRANSLATE(A3122,""bn"",""en"")"),"Revisit your budget")</f>
        <v>Revisit your budget</v>
      </c>
    </row>
    <row r="3123" spans="1:3" ht="15" x14ac:dyDescent="0.25">
      <c r="A3123" s="3" t="s">
        <v>3120</v>
      </c>
      <c r="B3123" s="3" t="s">
        <v>4</v>
      </c>
      <c r="C3123" s="2" t="str">
        <f ca="1">IFERROR(__xludf.DUMMYFUNCTION("GOOGLETRANSLATE(A3123,""bn"",""en"")"),"Understanding in the Math hobby")</f>
        <v>Understanding in the Math hobby</v>
      </c>
    </row>
    <row r="3124" spans="1:3" ht="15" x14ac:dyDescent="0.25">
      <c r="A3124" s="3" t="s">
        <v>3121</v>
      </c>
      <c r="B3124" s="3" t="s">
        <v>4</v>
      </c>
      <c r="C3124" s="2" t="str">
        <f ca="1">IFERROR(__xludf.DUMMYFUNCTION("GOOGLETRANSLATE(A3124,""bn"",""en"")"),"Reading books requires good looks")</f>
        <v>Reading books requires good looks</v>
      </c>
    </row>
    <row r="3125" spans="1:3" ht="15" x14ac:dyDescent="0.25">
      <c r="A3125" s="3" t="s">
        <v>3122</v>
      </c>
      <c r="B3125" s="3" t="s">
        <v>4</v>
      </c>
      <c r="C3125" s="2" t="str">
        <f ca="1">IFERROR(__xludf.DUMMYFUNCTION("GOOGLETRANSLATE(A3125,""bn"",""en"")"),"Education is the tool of human progress")</f>
        <v>Education is the tool of human progress</v>
      </c>
    </row>
    <row r="3126" spans="1:3" ht="15" x14ac:dyDescent="0.25">
      <c r="A3126" s="3" t="s">
        <v>3123</v>
      </c>
      <c r="B3126" s="3" t="s">
        <v>4</v>
      </c>
      <c r="C3126" s="2" t="str">
        <f ca="1">IFERROR(__xludf.DUMMYFUNCTION("GOOGLETRANSLATE(A3126,""bn"",""en"")"),"Let the goal of education be fulfilled")</f>
        <v>Let the goal of education be fulfilled</v>
      </c>
    </row>
    <row r="3127" spans="1:3" ht="15" x14ac:dyDescent="0.25">
      <c r="A3127" s="3" t="s">
        <v>3124</v>
      </c>
      <c r="B3127" s="3" t="s">
        <v>4</v>
      </c>
      <c r="C3127" s="2" t="str">
        <f ca="1">IFERROR(__xludf.DUMMYFUNCTION("GOOGLETRANSLATE(A3127,""bn"",""en"")"),"Travel larger")</f>
        <v>Travel larger</v>
      </c>
    </row>
    <row r="3128" spans="1:3" ht="15" x14ac:dyDescent="0.25">
      <c r="A3128" s="3" t="s">
        <v>3125</v>
      </c>
      <c r="B3128" s="3" t="s">
        <v>4</v>
      </c>
      <c r="C3128" s="2" t="str">
        <f ca="1">IFERROR(__xludf.DUMMYFUNCTION("GOOGLETRANSLATE(A3128,""bn"",""en"")"),"Life is happy with education")</f>
        <v>Life is happy with education</v>
      </c>
    </row>
    <row r="3129" spans="1:3" ht="15" x14ac:dyDescent="0.25">
      <c r="A3129" s="3" t="s">
        <v>3126</v>
      </c>
      <c r="B3129" s="3" t="s">
        <v>4</v>
      </c>
      <c r="C3129" s="2" t="str">
        <f ca="1">IFERROR(__xludf.DUMMYFUNCTION("GOOGLETRANSLATE(A3129,""bn"",""en"")"),"Explore clothing initiatives")</f>
        <v>Explore clothing initiatives</v>
      </c>
    </row>
    <row r="3130" spans="1:3" ht="15" x14ac:dyDescent="0.25">
      <c r="A3130" s="3" t="s">
        <v>3127</v>
      </c>
      <c r="B3130" s="3" t="s">
        <v>4</v>
      </c>
      <c r="C3130" s="2" t="str">
        <f ca="1">IFERROR(__xludf.DUMMYFUNCTION("GOOGLETRANSLATE(A3130,""bn"",""en"")"),"A movie watching season")</f>
        <v>A movie watching season</v>
      </c>
    </row>
    <row r="3131" spans="1:3" ht="15" x14ac:dyDescent="0.25">
      <c r="A3131" s="3" t="s">
        <v>3128</v>
      </c>
      <c r="B3131" s="3" t="s">
        <v>4</v>
      </c>
      <c r="C3131" s="2" t="str">
        <f ca="1">IFERROR(__xludf.DUMMYFUNCTION("GOOGLETRANSLATE(A3131,""bn"",""en"")"),"Using smart city technology")</f>
        <v>Using smart city technology</v>
      </c>
    </row>
    <row r="3132" spans="1:3" ht="15" x14ac:dyDescent="0.25">
      <c r="A3132" s="3" t="s">
        <v>3129</v>
      </c>
      <c r="B3132" s="3" t="s">
        <v>4</v>
      </c>
      <c r="C3132" s="2" t="str">
        <f ca="1">IFERROR(__xludf.DUMMYFUNCTION("GOOGLETRANSLATE(A3132,""bn"",""en"")"),"Account statement checking has started")</f>
        <v>Account statement checking has started</v>
      </c>
    </row>
    <row r="3133" spans="1:3" ht="15" x14ac:dyDescent="0.25">
      <c r="A3133" s="3" t="s">
        <v>3130</v>
      </c>
      <c r="B3133" s="3" t="s">
        <v>4</v>
      </c>
      <c r="C3133" s="2" t="str">
        <f ca="1">IFERROR(__xludf.DUMMYFUNCTION("GOOGLETRANSLATE(A3133,""bn"",""en"")"),"Check the account statement")</f>
        <v>Check the account statement</v>
      </c>
    </row>
    <row r="3134" spans="1:3" ht="15" x14ac:dyDescent="0.25">
      <c r="A3134" s="3" t="s">
        <v>3131</v>
      </c>
      <c r="B3134" s="3" t="s">
        <v>4</v>
      </c>
      <c r="C3134" s="2" t="str">
        <f ca="1">IFERROR(__xludf.DUMMYFUNCTION("GOOGLETRANSLATE(A3134,""bn"",""en"")"),"Exchange foreign currency")</f>
        <v>Exchange foreign currency</v>
      </c>
    </row>
    <row r="3135" spans="1:3" ht="15" x14ac:dyDescent="0.25">
      <c r="A3135" s="3" t="s">
        <v>3132</v>
      </c>
      <c r="B3135" s="3" t="s">
        <v>4</v>
      </c>
      <c r="C3135" s="2" t="str">
        <f ca="1">IFERROR(__xludf.DUMMYFUNCTION("GOOGLETRANSLATE(A3135,""bn"",""en"")"),"Get help with the calculation process")</f>
        <v>Get help with the calculation process</v>
      </c>
    </row>
    <row r="3136" spans="1:3" ht="15" x14ac:dyDescent="0.25">
      <c r="A3136" s="3" t="s">
        <v>3133</v>
      </c>
      <c r="B3136" s="3" t="s">
        <v>4</v>
      </c>
      <c r="C3136" s="2" t="str">
        <f ca="1">IFERROR(__xludf.DUMMYFUNCTION("GOOGLETRANSLATE(A3136,""bn"",""en"")"),"Hockey is a game of dilemmas")</f>
        <v>Hockey is a game of dilemmas</v>
      </c>
    </row>
    <row r="3137" spans="1:3" ht="15" x14ac:dyDescent="0.25">
      <c r="A3137" s="3" t="s">
        <v>3134</v>
      </c>
      <c r="B3137" s="3" t="s">
        <v>4</v>
      </c>
      <c r="C3137" s="2" t="str">
        <f ca="1">IFERROR(__xludf.DUMMYFUNCTION("GOOGLETRANSLATE(A3137,""bn"",""en"")"),"Learning to grip the golf ball")</f>
        <v>Learning to grip the golf ball</v>
      </c>
    </row>
    <row r="3138" spans="1:3" ht="15" x14ac:dyDescent="0.25">
      <c r="A3138" s="3" t="s">
        <v>3135</v>
      </c>
      <c r="B3138" s="3" t="s">
        <v>4</v>
      </c>
      <c r="C3138" s="2" t="str">
        <f ca="1">IFERROR(__xludf.DUMMYFUNCTION("GOOGLETRANSLATE(A3138,""bn"",""en"")"),"Matara University is located in Iceland")</f>
        <v>Matara University is located in Iceland</v>
      </c>
    </row>
    <row r="3139" spans="1:3" ht="15" x14ac:dyDescent="0.25">
      <c r="A3139" s="3" t="s">
        <v>3136</v>
      </c>
      <c r="B3139" s="3" t="s">
        <v>4</v>
      </c>
      <c r="C3139" s="2" t="str">
        <f ca="1">IFERROR(__xludf.DUMMYFUNCTION("GOOGLETRANSLATE(A3139,""bn"",""en"")"),"Fishing requires peace")</f>
        <v>Fishing requires peace</v>
      </c>
    </row>
    <row r="3140" spans="1:3" ht="15" x14ac:dyDescent="0.25">
      <c r="A3140" s="3" t="s">
        <v>3137</v>
      </c>
      <c r="B3140" s="3" t="s">
        <v>4</v>
      </c>
      <c r="C3140" s="2" t="str">
        <f ca="1">IFERROR(__xludf.DUMMYFUNCTION("GOOGLETRANSLATE(A3140,""bn"",""en"")"),"Education for technology")</f>
        <v>Education for technology</v>
      </c>
    </row>
    <row r="3141" spans="1:3" ht="15" x14ac:dyDescent="0.25">
      <c r="A3141" s="3" t="s">
        <v>3138</v>
      </c>
      <c r="B3141" s="3" t="s">
        <v>4</v>
      </c>
      <c r="C3141" s="2" t="str">
        <f ca="1">IFERROR(__xludf.DUMMYFUNCTION("GOOGLETRANSLATE(A3141,""bn"",""en"")"),"Fun in Bengali folk music")</f>
        <v>Fun in Bengali folk music</v>
      </c>
    </row>
    <row r="3142" spans="1:3" ht="15" x14ac:dyDescent="0.25">
      <c r="A3142" s="3" t="s">
        <v>3139</v>
      </c>
      <c r="B3142" s="3" t="s">
        <v>4</v>
      </c>
      <c r="C3142" s="2" t="str">
        <f ca="1">IFERROR(__xludf.DUMMYFUNCTION("GOOGLETRANSLATE(A3142,""bn"",""en"")"),"Joint protest in the legal field is strong")</f>
        <v>Joint protest in the legal field is strong</v>
      </c>
    </row>
    <row r="3143" spans="1:3" ht="15" x14ac:dyDescent="0.25">
      <c r="A3143" s="3" t="s">
        <v>3140</v>
      </c>
      <c r="B3143" s="3" t="s">
        <v>4</v>
      </c>
      <c r="C3143" s="2" t="str">
        <f ca="1">IFERROR(__xludf.DUMMYFUNCTION("GOOGLETRANSLATE(A3143,""bn"",""en"")"),"Fishing game with peace of mind")</f>
        <v>Fishing game with peace of mind</v>
      </c>
    </row>
    <row r="3144" spans="1:3" ht="15" x14ac:dyDescent="0.25">
      <c r="A3144" s="3" t="s">
        <v>3141</v>
      </c>
      <c r="B3144" s="3" t="s">
        <v>4</v>
      </c>
      <c r="C3144" s="2" t="str">
        <f ca="1">IFERROR(__xludf.DUMMYFUNCTION("GOOGLETRANSLATE(A3144,""bn"",""en"")"),"Loan disbursement facility throughout the day")</f>
        <v>Loan disbursement facility throughout the day</v>
      </c>
    </row>
    <row r="3145" spans="1:3" ht="15" x14ac:dyDescent="0.25">
      <c r="A3145" s="3" t="s">
        <v>3142</v>
      </c>
      <c r="B3145" s="3" t="s">
        <v>4</v>
      </c>
      <c r="C3145" s="2" t="str">
        <f ca="1">IFERROR(__xludf.DUMMYFUNCTION("GOOGLETRANSLATE(A3145,""bn"",""en"")"),"Street children play in the park")</f>
        <v>Street children play in the park</v>
      </c>
    </row>
    <row r="3146" spans="1:3" ht="15" x14ac:dyDescent="0.25">
      <c r="A3146" s="3" t="s">
        <v>3143</v>
      </c>
      <c r="B3146" s="3" t="s">
        <v>4</v>
      </c>
      <c r="C3146" s="2" t="str">
        <f ca="1">IFERROR(__xludf.DUMMYFUNCTION("GOOGLETRANSLATE(A3146,""bn"",""en"")"),"Increase money savings")</f>
        <v>Increase money savings</v>
      </c>
    </row>
    <row r="3147" spans="1:3" ht="15" x14ac:dyDescent="0.25">
      <c r="A3147" s="3" t="s">
        <v>3144</v>
      </c>
      <c r="B3147" s="3" t="s">
        <v>4</v>
      </c>
      <c r="C3147" s="2" t="str">
        <f ca="1">IFERROR(__xludf.DUMMYFUNCTION("GOOGLETRANSLATE(A3147,""bn"",""en"")"),"New hero movie is coming")</f>
        <v>New hero movie is coming</v>
      </c>
    </row>
    <row r="3148" spans="1:3" ht="15" x14ac:dyDescent="0.25">
      <c r="A3148" s="3" t="s">
        <v>3145</v>
      </c>
      <c r="B3148" s="3" t="s">
        <v>4</v>
      </c>
      <c r="C3148" s="2" t="str">
        <f ca="1">IFERROR(__xludf.DUMMYFUNCTION("GOOGLETRANSLATE(A3148,""bn"",""en"")"),"Government policies require management")</f>
        <v>Government policies require management</v>
      </c>
    </row>
    <row r="3149" spans="1:3" ht="15" x14ac:dyDescent="0.25">
      <c r="A3149" s="3" t="s">
        <v>3146</v>
      </c>
      <c r="B3149" s="3" t="s">
        <v>4</v>
      </c>
      <c r="C3149" s="2" t="str">
        <f ca="1">IFERROR(__xludf.DUMMYFUNCTION("GOOGLETRANSLATE(A3149,""bn"",""en"")"),"Playing tennis is very caring")</f>
        <v>Playing tennis is very caring</v>
      </c>
    </row>
    <row r="3150" spans="1:3" ht="15" x14ac:dyDescent="0.25">
      <c r="A3150" s="3" t="s">
        <v>3147</v>
      </c>
      <c r="B3150" s="3" t="s">
        <v>4</v>
      </c>
      <c r="C3150" s="2" t="str">
        <f ca="1">IFERROR(__xludf.DUMMYFUNCTION("GOOGLETRANSLATE(A3150,""bn"",""en"")"),"Vote for better country")</f>
        <v>Vote for better country</v>
      </c>
    </row>
    <row r="3151" spans="1:3" ht="15" x14ac:dyDescent="0.25">
      <c r="A3151" s="3" t="s">
        <v>3148</v>
      </c>
      <c r="B3151" s="3" t="s">
        <v>4</v>
      </c>
      <c r="C3151" s="2" t="str">
        <f ca="1">IFERROR(__xludf.DUMMYFUNCTION("GOOGLETRANSLATE(A3151,""bn"",""en"")"),"Bat and ball in cricket")</f>
        <v>Bat and ball in cricket</v>
      </c>
    </row>
    <row r="3152" spans="1:3" ht="15" x14ac:dyDescent="0.25">
      <c r="A3152" s="3" t="s">
        <v>3149</v>
      </c>
      <c r="B3152" s="3" t="s">
        <v>4</v>
      </c>
      <c r="C3152" s="2" t="str">
        <f ca="1">IFERROR(__xludf.DUMMYFUNCTION("GOOGLETRANSLATE(A3152,""bn"",""en"")"),"ML and Deep Learning")</f>
        <v>ML and Deep Learning</v>
      </c>
    </row>
    <row r="3153" spans="1:3" ht="15" x14ac:dyDescent="0.25">
      <c r="A3153" s="3" t="s">
        <v>3150</v>
      </c>
      <c r="B3153" s="3" t="s">
        <v>4</v>
      </c>
      <c r="C3153" s="2" t="str">
        <f ca="1">IFERROR(__xludf.DUMMYFUNCTION("GOOGLETRANSLATE(A3153,""bn"",""en"")"),"Listen carefully in class")</f>
        <v>Listen carefully in class</v>
      </c>
    </row>
    <row r="3154" spans="1:3" ht="15" x14ac:dyDescent="0.25">
      <c r="A3154" s="3" t="s">
        <v>3151</v>
      </c>
      <c r="B3154" s="3" t="s">
        <v>4</v>
      </c>
      <c r="C3154" s="2" t="str">
        <f ca="1">IFERROR(__xludf.DUMMYFUNCTION("GOOGLETRANSLATE(A3154,""bn"",""en"")"),"Missouri River in North America")</f>
        <v>Missouri River in North America</v>
      </c>
    </row>
    <row r="3155" spans="1:3" ht="15" x14ac:dyDescent="0.25">
      <c r="A3155" s="3" t="s">
        <v>3152</v>
      </c>
      <c r="B3155" s="3" t="s">
        <v>4</v>
      </c>
      <c r="C3155" s="2" t="str">
        <f ca="1">IFERROR(__xludf.DUMMYFUNCTION("GOOGLETRANSLATE(A3155,""bn"",""en"")"),"Policy change is required")</f>
        <v>Policy change is required</v>
      </c>
    </row>
    <row r="3156" spans="1:3" ht="15" x14ac:dyDescent="0.25">
      <c r="A3156" s="3" t="s">
        <v>3153</v>
      </c>
      <c r="B3156" s="3" t="s">
        <v>4</v>
      </c>
      <c r="C3156" s="2" t="str">
        <f ca="1">IFERROR(__xludf.DUMMYFUNCTION("GOOGLETRANSLATE(A3156,""bn"",""en"")"),"A melodious festival organized every year")</f>
        <v>A melodious festival organized every year</v>
      </c>
    </row>
    <row r="3157" spans="1:3" ht="15" x14ac:dyDescent="0.25">
      <c r="A3157" s="3" t="s">
        <v>3154</v>
      </c>
      <c r="B3157" s="3" t="s">
        <v>4</v>
      </c>
      <c r="C3157" s="2" t="str">
        <f ca="1">IFERROR(__xludf.DUMMYFUNCTION("GOOGLETRANSLATE(A3157,""bn"",""en"")"),"Follow the education system")</f>
        <v>Follow the education system</v>
      </c>
    </row>
    <row r="3158" spans="1:3" ht="15" x14ac:dyDescent="0.25">
      <c r="A3158" s="3" t="s">
        <v>3155</v>
      </c>
      <c r="B3158" s="3" t="s">
        <v>4</v>
      </c>
      <c r="C3158" s="2" t="str">
        <f ca="1">IFERROR(__xludf.DUMMYFUNCTION("GOOGLETRANSLATE(A3158,""bn"",""en"")"),"Web hosting on multiple platforms")</f>
        <v>Web hosting on multiple platforms</v>
      </c>
    </row>
    <row r="3159" spans="1:3" ht="15" x14ac:dyDescent="0.25">
      <c r="A3159" s="3" t="s">
        <v>3156</v>
      </c>
      <c r="B3159" s="3" t="s">
        <v>4</v>
      </c>
      <c r="C3159" s="2" t="str">
        <f ca="1">IFERROR(__xludf.DUMMYFUNCTION("GOOGLETRANSLATE(A3159,""bn"",""en"")"),"Observe market familiarity")</f>
        <v>Observe market familiarity</v>
      </c>
    </row>
    <row r="3160" spans="1:3" ht="15" x14ac:dyDescent="0.25">
      <c r="A3160" s="3" t="s">
        <v>3157</v>
      </c>
      <c r="B3160" s="3" t="s">
        <v>4</v>
      </c>
      <c r="C3160" s="2" t="str">
        <f ca="1">IFERROR(__xludf.DUMMYFUNCTION("GOOGLETRANSLATE(A3160,""bn"",""en"")"),"Use accounting software")</f>
        <v>Use accounting software</v>
      </c>
    </row>
    <row r="3161" spans="1:3" ht="15" x14ac:dyDescent="0.25">
      <c r="A3161" s="3" t="s">
        <v>3158</v>
      </c>
      <c r="B3161" s="3" t="s">
        <v>4</v>
      </c>
      <c r="C3161" s="2" t="str">
        <f ca="1">IFERROR(__xludf.DUMMYFUNCTION("GOOGLETRANSLATE(A3161,""bn"",""en"")"),"He is lost in love")</f>
        <v>He is lost in love</v>
      </c>
    </row>
    <row r="3162" spans="1:3" ht="15" x14ac:dyDescent="0.25">
      <c r="A3162" s="3" t="s">
        <v>3159</v>
      </c>
      <c r="B3162" s="3" t="s">
        <v>4</v>
      </c>
      <c r="C3162" s="2" t="str">
        <f ca="1">IFERROR(__xludf.DUMMYFUNCTION("GOOGLETRANSLATE(A3162,""bn"",""en"")"),"Sundarbans have flood animals")</f>
        <v>Sundarbans have flood animals</v>
      </c>
    </row>
    <row r="3163" spans="1:3" ht="15" x14ac:dyDescent="0.25">
      <c r="A3163" s="3" t="s">
        <v>3160</v>
      </c>
      <c r="B3163" s="3" t="s">
        <v>4</v>
      </c>
      <c r="C3163" s="2" t="str">
        <f ca="1">IFERROR(__xludf.DUMMYFUNCTION("GOOGLETRANSLATE(A3163,""bn"",""en"")"),"Life floats in the poet's song")</f>
        <v>Life floats in the poet's song</v>
      </c>
    </row>
    <row r="3164" spans="1:3" ht="15" x14ac:dyDescent="0.25">
      <c r="A3164" s="3" t="s">
        <v>3161</v>
      </c>
      <c r="B3164" s="3" t="s">
        <v>4</v>
      </c>
      <c r="C3164" s="2" t="str">
        <f ca="1">IFERROR(__xludf.DUMMYFUNCTION("GOOGLETRANSLATE(A3164,""bn"",""en"")"),"Be the weird movie experience")</f>
        <v>Be the weird movie experience</v>
      </c>
    </row>
    <row r="3165" spans="1:3" ht="15" x14ac:dyDescent="0.25">
      <c r="A3165" s="3" t="s">
        <v>3162</v>
      </c>
      <c r="B3165" s="3" t="s">
        <v>4</v>
      </c>
      <c r="C3165" s="2" t="str">
        <f ca="1">IFERROR(__xludf.DUMMYFUNCTION("GOOGLETRANSLATE(A3165,""bn"",""en"")"),"Indian Maya in Baul Song")</f>
        <v>Indian Maya in Baul Song</v>
      </c>
    </row>
    <row r="3166" spans="1:3" ht="15" x14ac:dyDescent="0.25">
      <c r="A3166" s="3" t="s">
        <v>3163</v>
      </c>
      <c r="B3166" s="3" t="s">
        <v>4</v>
      </c>
      <c r="C3166" s="2" t="str">
        <f ca="1">IFERROR(__xludf.DUMMYFUNCTION("GOOGLETRANSLATE(A3166,""bn"",""en"")"),"Baul song refers to kinship")</f>
        <v>Baul song refers to kinship</v>
      </c>
    </row>
    <row r="3167" spans="1:3" ht="15" x14ac:dyDescent="0.25">
      <c r="A3167" s="3" t="s">
        <v>3164</v>
      </c>
      <c r="B3167" s="3" t="s">
        <v>4</v>
      </c>
      <c r="C3167" s="2" t="str">
        <f ca="1">IFERROR(__xludf.DUMMYFUNCTION("GOOGLETRANSLATE(A3167,""bn"",""en"")"),"Viral Content Marketing Trends")</f>
        <v>Viral Content Marketing Trends</v>
      </c>
    </row>
    <row r="3168" spans="1:3" ht="15" x14ac:dyDescent="0.25">
      <c r="A3168" s="3" t="s">
        <v>3165</v>
      </c>
      <c r="B3168" s="3" t="s">
        <v>4</v>
      </c>
      <c r="C3168" s="2" t="str">
        <f ca="1">IFERROR(__xludf.DUMMYFUNCTION("GOOGLETRANSLATE(A3168,""bn"",""en"")"),"Gain new friends in travel")</f>
        <v>Gain new friends in travel</v>
      </c>
    </row>
    <row r="3169" spans="1:3" ht="15" x14ac:dyDescent="0.25">
      <c r="A3169" s="3" t="s">
        <v>3166</v>
      </c>
      <c r="B3169" s="3" t="s">
        <v>4</v>
      </c>
      <c r="C3169" s="2" t="str">
        <f ca="1">IFERROR(__xludf.DUMMYFUNCTION("GOOGLETRANSLATE(A3169,""bn"",""en"")"),"Mexico City is North America")</f>
        <v>Mexico City is North America</v>
      </c>
    </row>
    <row r="3170" spans="1:3" ht="15" x14ac:dyDescent="0.25">
      <c r="A3170" s="3" t="s">
        <v>3167</v>
      </c>
      <c r="B3170" s="3" t="s">
        <v>4</v>
      </c>
      <c r="C3170" s="2" t="str">
        <f ca="1">IFERROR(__xludf.DUMMYFUNCTION("GOOGLETRANSLATE(A3170,""bn"",""en"")"),"Special effects in sci-fi movies")</f>
        <v>Special effects in sci-fi movies</v>
      </c>
    </row>
    <row r="3171" spans="1:3" ht="15" x14ac:dyDescent="0.25">
      <c r="A3171" s="3" t="s">
        <v>3168</v>
      </c>
      <c r="B3171" s="3" t="s">
        <v>4</v>
      </c>
      <c r="C3171" s="2" t="str">
        <f ca="1">IFERROR(__xludf.DUMMYFUNCTION("GOOGLETRANSLATE(A3171,""bn"",""en"")"),"Jodha movie is releasing")</f>
        <v>Jodha movie is releasing</v>
      </c>
    </row>
    <row r="3172" spans="1:3" ht="15" x14ac:dyDescent="0.25">
      <c r="A3172" s="3" t="s">
        <v>3169</v>
      </c>
      <c r="B3172" s="3" t="s">
        <v>4</v>
      </c>
      <c r="C3172" s="2" t="str">
        <f ca="1">IFERROR(__xludf.DUMMYFUNCTION("GOOGLETRANSLATE(A3172,""bn"",""en"")"),"There is love in Sohag's music")</f>
        <v>There is love in Sohag's music</v>
      </c>
    </row>
    <row r="3173" spans="1:3" ht="15" x14ac:dyDescent="0.25">
      <c r="A3173" s="3" t="s">
        <v>3170</v>
      </c>
      <c r="B3173" s="3" t="s">
        <v>4</v>
      </c>
      <c r="C3173" s="2" t="str">
        <f ca="1">IFERROR(__xludf.DUMMYFUNCTION("GOOGLETRANSLATE(A3173,""bn"",""en"")"),"There is richness in harvest music")</f>
        <v>There is richness in harvest music</v>
      </c>
    </row>
    <row r="3174" spans="1:3" ht="15" x14ac:dyDescent="0.25">
      <c r="A3174" s="3" t="s">
        <v>3171</v>
      </c>
      <c r="B3174" s="3" t="s">
        <v>4</v>
      </c>
      <c r="C3174" s="2" t="str">
        <f ca="1">IFERROR(__xludf.DUMMYFUNCTION("GOOGLETRANSLATE(A3174,""bn"",""en"")"),"Romantic love full of melody")</f>
        <v>Romantic love full of melody</v>
      </c>
    </row>
    <row r="3175" spans="1:3" ht="15" x14ac:dyDescent="0.25">
      <c r="A3175" s="3" t="s">
        <v>3172</v>
      </c>
      <c r="B3175" s="3" t="s">
        <v>4</v>
      </c>
      <c r="C3175" s="2" t="str">
        <f ca="1">IFERROR(__xludf.DUMMYFUNCTION("GOOGLETRANSLATE(A3175,""bn"",""en"")"),"Take the market price scenario")</f>
        <v>Take the market price scenario</v>
      </c>
    </row>
    <row r="3176" spans="1:3" ht="15" x14ac:dyDescent="0.25">
      <c r="A3176" s="3" t="s">
        <v>3173</v>
      </c>
      <c r="B3176" s="3" t="s">
        <v>4</v>
      </c>
      <c r="C3176" s="2" t="str">
        <f ca="1">IFERROR(__xludf.DUMMYFUNCTION("GOOGLETRANSLATE(A3176,""bn"",""en"")"),"Be sure to cover the market")</f>
        <v>Be sure to cover the market</v>
      </c>
    </row>
    <row r="3177" spans="1:3" ht="15" x14ac:dyDescent="0.25">
      <c r="A3177" s="3" t="s">
        <v>3174</v>
      </c>
      <c r="B3177" s="3" t="s">
        <v>4</v>
      </c>
      <c r="C3177" s="2" t="str">
        <f ca="1">IFERROR(__xludf.DUMMYFUNCTION("GOOGLETRANSLATE(A3177,""bn"",""en"")"),"The currency angle is not decreasing either")</f>
        <v>The currency angle is not decreasing either</v>
      </c>
    </row>
    <row r="3178" spans="1:3" ht="15" x14ac:dyDescent="0.25">
      <c r="A3178" s="3" t="s">
        <v>3175</v>
      </c>
      <c r="B3178" s="3" t="s">
        <v>4</v>
      </c>
      <c r="C3178" s="2" t="str">
        <f ca="1">IFERROR(__xludf.DUMMYFUNCTION("GOOGLETRANSLATE(A3178,""bn"",""en"")"),"Conducting sovereign votes is easy")</f>
        <v>Conducting sovereign votes is easy</v>
      </c>
    </row>
    <row r="3179" spans="1:3" ht="15" x14ac:dyDescent="0.25">
      <c r="A3179" s="3" t="s">
        <v>3176</v>
      </c>
      <c r="B3179" s="3" t="s">
        <v>4</v>
      </c>
      <c r="C3179" s="2" t="str">
        <f ca="1">IFERROR(__xludf.DUMMYFUNCTION("GOOGLETRANSLATE(A3179,""bn"",""en"")"),"Tour the city of Daruchchi")</f>
        <v>Tour the city of Daruchchi</v>
      </c>
    </row>
    <row r="3180" spans="1:3" ht="15" x14ac:dyDescent="0.25">
      <c r="A3180" s="3" t="s">
        <v>3177</v>
      </c>
      <c r="B3180" s="3" t="s">
        <v>4</v>
      </c>
      <c r="C3180" s="2" t="str">
        <f ca="1">IFERROR(__xludf.DUMMYFUNCTION("GOOGLETRANSLATE(A3180,""bn"",""en"")"),"Party support to the government")</f>
        <v>Party support to the government</v>
      </c>
    </row>
    <row r="3181" spans="1:3" ht="15" x14ac:dyDescent="0.25">
      <c r="A3181" s="3" t="s">
        <v>3178</v>
      </c>
      <c r="B3181" s="3" t="s">
        <v>4</v>
      </c>
      <c r="C3181" s="2" t="str">
        <f ca="1">IFERROR(__xludf.DUMMYFUNCTION("GOOGLETRANSLATE(A3181,""bn"",""en"")"),"The presidential election is coming up")</f>
        <v>The presidential election is coming up</v>
      </c>
    </row>
    <row r="3182" spans="1:3" ht="15" x14ac:dyDescent="0.25">
      <c r="A3182" s="3" t="s">
        <v>3179</v>
      </c>
      <c r="B3182" s="3" t="s">
        <v>4</v>
      </c>
      <c r="C3182" s="2" t="str">
        <f ca="1">IFERROR(__xludf.DUMMYFUNCTION("GOOGLETRANSLATE(A3182,""bn"",""en"")"),"The sweetness of the melody fills the sky")</f>
        <v>The sweetness of the melody fills the sky</v>
      </c>
    </row>
    <row r="3183" spans="1:3" ht="15" x14ac:dyDescent="0.25">
      <c r="A3183" s="3" t="s">
        <v>3180</v>
      </c>
      <c r="B3183" s="3" t="s">
        <v>4</v>
      </c>
      <c r="C3183" s="2" t="str">
        <f ca="1">IFERROR(__xludf.DUMMYFUNCTION("GOOGLETRANSLATE(A3183,""bn"",""en"")"),"Lata Mangeshkar gives melodious tunes")</f>
        <v>Lata Mangeshkar gives melodious tunes</v>
      </c>
    </row>
    <row r="3184" spans="1:3" ht="15" x14ac:dyDescent="0.25">
      <c r="A3184" s="3" t="s">
        <v>3181</v>
      </c>
      <c r="B3184" s="3" t="s">
        <v>4</v>
      </c>
      <c r="C3184" s="2" t="str">
        <f ca="1">IFERROR(__xludf.DUMMYFUNCTION("GOOGLETRANSLATE(A3184,""bn"",""en"")"),"Enhance machine learning")</f>
        <v>Enhance machine learning</v>
      </c>
    </row>
    <row r="3185" spans="1:3" ht="15" x14ac:dyDescent="0.25">
      <c r="A3185" s="3" t="s">
        <v>3182</v>
      </c>
      <c r="B3185" s="3" t="s">
        <v>4</v>
      </c>
      <c r="C3185" s="2" t="str">
        <f ca="1">IFERROR(__xludf.DUMMYFUNCTION("GOOGLETRANSLATE(A3185,""bn"",""en"")"),"Education builds human society")</f>
        <v>Education builds human society</v>
      </c>
    </row>
    <row r="3186" spans="1:3" ht="15" x14ac:dyDescent="0.25">
      <c r="A3186" s="3" t="s">
        <v>3183</v>
      </c>
      <c r="B3186" s="3" t="s">
        <v>4</v>
      </c>
      <c r="C3186" s="2" t="str">
        <f ca="1">IFERROR(__xludf.DUMMYFUNCTION("GOOGLETRANSLATE(A3186,""bn"",""en"")"),"Take corporate manpower tenders")</f>
        <v>Take corporate manpower tenders</v>
      </c>
    </row>
    <row r="3187" spans="1:3" ht="15" x14ac:dyDescent="0.25">
      <c r="A3187" s="3" t="s">
        <v>3184</v>
      </c>
      <c r="B3187" s="3" t="s">
        <v>4</v>
      </c>
      <c r="C3187" s="2" t="str">
        <f ca="1">IFERROR(__xludf.DUMMYFUNCTION("GOOGLETRANSLATE(A3187,""bn"",""en"")"),"Efficient and Innovative Programmer")</f>
        <v>Efficient and Innovative Programmer</v>
      </c>
    </row>
    <row r="3188" spans="1:3" ht="15" x14ac:dyDescent="0.25">
      <c r="A3188" s="3" t="s">
        <v>3185</v>
      </c>
      <c r="B3188" s="3" t="s">
        <v>4</v>
      </c>
      <c r="C3188" s="2" t="str">
        <f ca="1">IFERROR(__xludf.DUMMYFUNCTION("GOOGLETRANSLATE(A3188,""bn"",""en"")"),"Photographs are made across the city")</f>
        <v>Photographs are made across the city</v>
      </c>
    </row>
    <row r="3189" spans="1:3" ht="15" x14ac:dyDescent="0.25">
      <c r="A3189" s="3" t="s">
        <v>3186</v>
      </c>
      <c r="B3189" s="3" t="s">
        <v>4</v>
      </c>
      <c r="C3189" s="2" t="str">
        <f ca="1">IFERROR(__xludf.DUMMYFUNCTION("GOOGLETRANSLATE(A3189,""bn"",""en"")"),"Computer gaming and gameplay")</f>
        <v>Computer gaming and gameplay</v>
      </c>
    </row>
    <row r="3190" spans="1:3" ht="15" x14ac:dyDescent="0.25">
      <c r="A3190" s="3" t="s">
        <v>3187</v>
      </c>
      <c r="B3190" s="3" t="s">
        <v>4</v>
      </c>
      <c r="C3190" s="2" t="str">
        <f ca="1">IFERROR(__xludf.DUMMYFUNCTION("GOOGLETRANSLATE(A3190,""bn"",""en"")"),"He is strongly addicted to music")</f>
        <v>He is strongly addicted to music</v>
      </c>
    </row>
    <row r="3191" spans="1:3" ht="15" x14ac:dyDescent="0.25">
      <c r="A3191" s="3" t="s">
        <v>3188</v>
      </c>
      <c r="B3191" s="3" t="s">
        <v>4</v>
      </c>
      <c r="C3191" s="2" t="str">
        <f ca="1">IFERROR(__xludf.DUMMYFUNCTION("GOOGLETRANSLATE(A3191,""bn"",""en"")"),"I want to play badminton")</f>
        <v>I want to play badminton</v>
      </c>
    </row>
    <row r="3192" spans="1:3" ht="15" x14ac:dyDescent="0.25">
      <c r="A3192" s="3" t="s">
        <v>3189</v>
      </c>
      <c r="B3192" s="3" t="s">
        <v>4</v>
      </c>
      <c r="C3192" s="2" t="str">
        <f ca="1">IFERROR(__xludf.DUMMYFUNCTION("GOOGLETRANSLATE(A3192,""bn"",""en"")"),"Provide market fit")</f>
        <v>Provide market fit</v>
      </c>
    </row>
    <row r="3193" spans="1:3" ht="15" x14ac:dyDescent="0.25">
      <c r="A3193" s="3" t="s">
        <v>3190</v>
      </c>
      <c r="B3193" s="3" t="s">
        <v>4</v>
      </c>
      <c r="C3193" s="2" t="str">
        <f ca="1">IFERROR(__xludf.DUMMYFUNCTION("GOOGLETRANSLATE(A3193,""bn"",""en"")"),"Preparing to divide into political parties")</f>
        <v>Preparing to divide into political parties</v>
      </c>
    </row>
    <row r="3194" spans="1:3" ht="15" x14ac:dyDescent="0.25">
      <c r="A3194" s="3" t="s">
        <v>3191</v>
      </c>
      <c r="B3194" s="3" t="s">
        <v>4</v>
      </c>
      <c r="C3194" s="2" t="str">
        <f ca="1">IFERROR(__xludf.DUMMYFUNCTION("GOOGLETRANSLATE(A3194,""bn"",""en"")"),"Use debit card")</f>
        <v>Use debit card</v>
      </c>
    </row>
    <row r="3195" spans="1:3" ht="15" x14ac:dyDescent="0.25">
      <c r="A3195" s="3" t="s">
        <v>3192</v>
      </c>
      <c r="B3195" s="3" t="s">
        <v>4</v>
      </c>
      <c r="C3195" s="2" t="str">
        <f ca="1">IFERROR(__xludf.DUMMYFUNCTION("GOOGLETRANSLATE(A3195,""bn"",""en"")"),"I took an umbrella when it rained")</f>
        <v>I took an umbrella when it rained</v>
      </c>
    </row>
    <row r="3196" spans="1:3" ht="15" x14ac:dyDescent="0.25">
      <c r="A3196" s="3" t="s">
        <v>3193</v>
      </c>
      <c r="B3196" s="3" t="s">
        <v>4</v>
      </c>
      <c r="C3196" s="2" t="str">
        <f ca="1">IFERROR(__xludf.DUMMYFUNCTION("GOOGLETRANSLATE(A3196,""bn"",""en"")"),"There is a huge market interest")</f>
        <v>There is a huge market interest</v>
      </c>
    </row>
    <row r="3197" spans="1:3" ht="15" x14ac:dyDescent="0.25">
      <c r="A3197" s="3" t="s">
        <v>3194</v>
      </c>
      <c r="B3197" s="3" t="s">
        <v>4</v>
      </c>
      <c r="C3197" s="2" t="str">
        <f ca="1">IFERROR(__xludf.DUMMYFUNCTION("GOOGLETRANSLATE(A3197,""bn"",""en"")"),"View pointset securely on the train")</f>
        <v>View pointset securely on the train</v>
      </c>
    </row>
    <row r="3198" spans="1:3" ht="15" x14ac:dyDescent="0.25">
      <c r="A3198" s="3" t="s">
        <v>3195</v>
      </c>
      <c r="B3198" s="3" t="s">
        <v>4</v>
      </c>
      <c r="C3198" s="2" t="str">
        <f ca="1">IFERROR(__xludf.DUMMYFUNCTION("GOOGLETRANSLATE(A3198,""bn"",""en"")"),"Bangla full of Sumantra's melody")</f>
        <v>Bangla full of Sumantra's melody</v>
      </c>
    </row>
    <row r="3199" spans="1:3" ht="15" x14ac:dyDescent="0.25">
      <c r="A3199" s="3" t="s">
        <v>3196</v>
      </c>
      <c r="B3199" s="3" t="s">
        <v>4</v>
      </c>
      <c r="C3199" s="2" t="str">
        <f ca="1">IFERROR(__xludf.DUMMYFUNCTION("GOOGLETRANSLATE(A3199,""bn"",""en"")"),"Grape loading is popular in Naogaon")</f>
        <v>Grape loading is popular in Naogaon</v>
      </c>
    </row>
    <row r="3200" spans="1:3" ht="15" x14ac:dyDescent="0.25">
      <c r="A3200" s="3" t="s">
        <v>3197</v>
      </c>
      <c r="B3200" s="3" t="s">
        <v>4</v>
      </c>
      <c r="C3200" s="2" t="str">
        <f ca="1">IFERROR(__xludf.DUMMYFUNCTION("GOOGLETRANSLATE(A3200,""bn"",""en"")"),"A meeting of MPs has been held")</f>
        <v>A meeting of MPs has been held</v>
      </c>
    </row>
    <row r="3201" spans="1:3" ht="15" x14ac:dyDescent="0.25">
      <c r="A3201" s="3" t="s">
        <v>3198</v>
      </c>
      <c r="B3201" s="3" t="s">
        <v>4</v>
      </c>
      <c r="C3201" s="2" t="str">
        <f ca="1">IFERROR(__xludf.DUMMYFUNCTION("GOOGLETRANSLATE(A3201,""bn"",""en"")"),"Run the business well")</f>
        <v>Run the business well</v>
      </c>
    </row>
    <row r="3202" spans="1:3" ht="15" x14ac:dyDescent="0.25">
      <c r="A3202" s="3" t="s">
        <v>3199</v>
      </c>
      <c r="B3202" s="3" t="s">
        <v>4</v>
      </c>
      <c r="C3202" s="2" t="str">
        <f ca="1">IFERROR(__xludf.DUMMYFUNCTION("GOOGLETRANSLATE(A3202,""bn"",""en"")"),"The sun rises in the east in the morning")</f>
        <v>The sun rises in the east in the morning</v>
      </c>
    </row>
    <row r="3203" spans="1:3" ht="15" x14ac:dyDescent="0.25">
      <c r="A3203" s="3" t="s">
        <v>3200</v>
      </c>
      <c r="B3203" s="3" t="s">
        <v>4</v>
      </c>
      <c r="C3203" s="2" t="str">
        <f ca="1">IFERROR(__xludf.DUMMYFUNCTION("GOOGLETRANSLATE(A3203,""bn"",""en"")"),"The women's soccer team is strong")</f>
        <v>The women's soccer team is strong</v>
      </c>
    </row>
    <row r="3204" spans="1:3" ht="15" x14ac:dyDescent="0.25">
      <c r="A3204" s="3" t="s">
        <v>3201</v>
      </c>
      <c r="B3204" s="3" t="s">
        <v>4</v>
      </c>
      <c r="C3204" s="2" t="str">
        <f ca="1">IFERROR(__xludf.DUMMYFUNCTION("GOOGLETRANSLATE(A3204,""bn"",""en"")"),"Easy access to news on the internet")</f>
        <v>Easy access to news on the internet</v>
      </c>
    </row>
    <row r="3205" spans="1:3" ht="15" x14ac:dyDescent="0.25">
      <c r="A3205" s="3" t="s">
        <v>3202</v>
      </c>
      <c r="B3205" s="3" t="s">
        <v>4</v>
      </c>
      <c r="C3205" s="2" t="str">
        <f ca="1">IFERROR(__xludf.DUMMYFUNCTION("GOOGLETRANSLATE(A3205,""bn"",""en"")"),"He loves music")</f>
        <v>He loves music</v>
      </c>
    </row>
    <row r="3206" spans="1:3" ht="15" x14ac:dyDescent="0.25">
      <c r="A3206" s="3" t="s">
        <v>3203</v>
      </c>
      <c r="B3206" s="3" t="s">
        <v>4</v>
      </c>
      <c r="C3206" s="2" t="str">
        <f ca="1">IFERROR(__xludf.DUMMYFUNCTION("GOOGLETRANSLATE(A3206,""bn"",""en"")"),"CAD Design and Prototyping")</f>
        <v>CAD Design and Prototyping</v>
      </c>
    </row>
    <row r="3207" spans="1:3" ht="15" x14ac:dyDescent="0.25">
      <c r="A3207" s="3" t="s">
        <v>3204</v>
      </c>
      <c r="B3207" s="3" t="s">
        <v>4</v>
      </c>
      <c r="C3207" s="2" t="str">
        <f ca="1">IFERROR(__xludf.DUMMYFUNCTION("GOOGLETRANSLATE(A3207,""bn"",""en"")"),"Ensure generational protection")</f>
        <v>Ensure generational protection</v>
      </c>
    </row>
    <row r="3208" spans="1:3" ht="15" x14ac:dyDescent="0.25">
      <c r="A3208" s="3" t="s">
        <v>3205</v>
      </c>
      <c r="B3208" s="3" t="s">
        <v>4</v>
      </c>
      <c r="C3208" s="2" t="str">
        <f ca="1">IFERROR(__xludf.DUMMYFUNCTION("GOOGLETRANSLATE(A3208,""bn"",""en"")"),"Rainfed growth system")</f>
        <v>Rainfed growth system</v>
      </c>
    </row>
    <row r="3209" spans="1:3" ht="15" x14ac:dyDescent="0.25">
      <c r="A3209" s="3" t="s">
        <v>3206</v>
      </c>
      <c r="B3209" s="3" t="s">
        <v>4</v>
      </c>
      <c r="C3209" s="2" t="str">
        <f ca="1">IFERROR(__xludf.DUMMYFUNCTION("GOOGLETRANSLATE(A3209,""bn"",""en"")"),"It is important to hear people's greetings")</f>
        <v>It is important to hear people's greetings</v>
      </c>
    </row>
    <row r="3210" spans="1:3" ht="15" x14ac:dyDescent="0.25">
      <c r="A3210" s="3" t="s">
        <v>3207</v>
      </c>
      <c r="B3210" s="3" t="s">
        <v>4</v>
      </c>
      <c r="C3210" s="2" t="str">
        <f ca="1">IFERROR(__xludf.DUMMYFUNCTION("GOOGLETRANSLATE(A3210,""bn"",""en"")"),"The party is in the waves of Mridanga")</f>
        <v>The party is in the waves of Mridanga</v>
      </c>
    </row>
    <row r="3211" spans="1:3" ht="15" x14ac:dyDescent="0.25">
      <c r="A3211" s="3" t="s">
        <v>3208</v>
      </c>
      <c r="B3211" s="3" t="s">
        <v>4</v>
      </c>
      <c r="C3211" s="2" t="str">
        <f ca="1">IFERROR(__xludf.DUMMYFUNCTION("GOOGLETRANSLATE(A3211,""bn"",""en"")"),"The story of the movie is very interesting")</f>
        <v>The story of the movie is very interesting</v>
      </c>
    </row>
    <row r="3212" spans="1:3" ht="15" x14ac:dyDescent="0.25">
      <c r="A3212" s="3" t="s">
        <v>3209</v>
      </c>
      <c r="B3212" s="3" t="s">
        <v>4</v>
      </c>
      <c r="C3212" s="2" t="str">
        <f ca="1">IFERROR(__xludf.DUMMYFUNCTION("GOOGLETRANSLATE(A3212,""bn"",""en"")"),"Better to play on the tennis court")</f>
        <v>Better to play on the tennis court</v>
      </c>
    </row>
    <row r="3213" spans="1:3" ht="15" x14ac:dyDescent="0.25">
      <c r="A3213" s="3" t="s">
        <v>3210</v>
      </c>
      <c r="B3213" s="3" t="s">
        <v>4</v>
      </c>
      <c r="C3213" s="2" t="str">
        <f ca="1">IFERROR(__xludf.DUMMYFUNCTION("GOOGLETRANSLATE(A3213,""bn"",""en"")"),"The apparel industry is booming")</f>
        <v>The apparel industry is booming</v>
      </c>
    </row>
    <row r="3214" spans="1:3" ht="15" x14ac:dyDescent="0.25">
      <c r="A3214" s="3" t="s">
        <v>3211</v>
      </c>
      <c r="B3214" s="3" t="s">
        <v>4</v>
      </c>
      <c r="C3214" s="2" t="str">
        <f ca="1">IFERROR(__xludf.DUMMYFUNCTION("GOOGLETRANSLATE(A3214,""bn"",""en"")"),"Leader meeting is over")</f>
        <v>Leader meeting is over</v>
      </c>
    </row>
    <row r="3215" spans="1:3" ht="15" x14ac:dyDescent="0.25">
      <c r="A3215" s="3" t="s">
        <v>3212</v>
      </c>
      <c r="B3215" s="3" t="s">
        <v>4</v>
      </c>
      <c r="C3215" s="2" t="str">
        <f ca="1">IFERROR(__xludf.DUMMYFUNCTION("GOOGLETRANSLATE(A3215,""bn"",""en"")"),"There is a debate between the MPs")</f>
        <v>There is a debate between the MPs</v>
      </c>
    </row>
    <row r="3216" spans="1:3" ht="15" x14ac:dyDescent="0.25">
      <c r="A3216" s="3" t="s">
        <v>3213</v>
      </c>
      <c r="B3216" s="3" t="s">
        <v>4</v>
      </c>
      <c r="C3216" s="2" t="str">
        <f ca="1">IFERROR(__xludf.DUMMYFUNCTION("GOOGLETRANSLATE(A3216,""bn"",""en"")"),"Travel the infinite ocean")</f>
        <v>Travel the infinite ocean</v>
      </c>
    </row>
    <row r="3217" spans="1:3" ht="15" x14ac:dyDescent="0.25">
      <c r="A3217" s="3" t="s">
        <v>3214</v>
      </c>
      <c r="B3217" s="3" t="s">
        <v>4</v>
      </c>
      <c r="C3217" s="2" t="str">
        <f ca="1">IFERROR(__xludf.DUMMYFUNCTION("GOOGLETRANSLATE(A3217,""bn"",""en"")"),"View your monitoring status")</f>
        <v>View your monitoring status</v>
      </c>
    </row>
    <row r="3218" spans="1:3" ht="15" x14ac:dyDescent="0.25">
      <c r="A3218" s="3" t="s">
        <v>3215</v>
      </c>
      <c r="B3218" s="3" t="s">
        <v>4</v>
      </c>
      <c r="C3218" s="2" t="str">
        <f ca="1">IFERROR(__xludf.DUMMYFUNCTION("GOOGLETRANSLATE(A3218,""bn"",""en"")"),"Interesting stories are pictures")</f>
        <v>Interesting stories are pictures</v>
      </c>
    </row>
    <row r="3219" spans="1:3" ht="15" x14ac:dyDescent="0.25">
      <c r="A3219" s="3" t="s">
        <v>3216</v>
      </c>
      <c r="B3219" s="3" t="s">
        <v>4</v>
      </c>
      <c r="C3219" s="2" t="str">
        <f ca="1">IFERROR(__xludf.DUMMYFUNCTION("GOOGLETRANSLATE(A3219,""bn"",""en"")"),"Take a personal loan")</f>
        <v>Take a personal loan</v>
      </c>
    </row>
    <row r="3220" spans="1:3" ht="15" x14ac:dyDescent="0.25">
      <c r="A3220" s="3" t="s">
        <v>3217</v>
      </c>
      <c r="B3220" s="3" t="s">
        <v>4</v>
      </c>
      <c r="C3220" s="2" t="str">
        <f ca="1">IFERROR(__xludf.DUMMYFUNCTION("GOOGLETRANSLATE(A3220,""bn"",""en"")"),"Keep the market value as it should")</f>
        <v>Keep the market value as it should</v>
      </c>
    </row>
    <row r="3221" spans="1:3" ht="15" x14ac:dyDescent="0.25">
      <c r="A3221" s="3" t="s">
        <v>3218</v>
      </c>
      <c r="B3221" s="3" t="s">
        <v>4</v>
      </c>
      <c r="C3221" s="2" t="str">
        <f ca="1">IFERROR(__xludf.DUMMYFUNCTION("GOOGLETRANSLATE(A3221,""bn"",""en"")"),"Get cyber security training")</f>
        <v>Get cyber security training</v>
      </c>
    </row>
    <row r="3222" spans="1:3" ht="15" x14ac:dyDescent="0.25">
      <c r="A3222" s="3" t="s">
        <v>3219</v>
      </c>
      <c r="B3222" s="3" t="s">
        <v>4</v>
      </c>
      <c r="C3222" s="2" t="str">
        <f ca="1">IFERROR(__xludf.DUMMYFUNCTION("GOOGLETRANSLATE(A3222,""bn"",""en"")"),"Send money to expatriate workers")</f>
        <v>Send money to expatriate workers</v>
      </c>
    </row>
    <row r="3223" spans="1:3" ht="15" x14ac:dyDescent="0.25">
      <c r="A3223" s="3" t="s">
        <v>3220</v>
      </c>
      <c r="B3223" s="3" t="s">
        <v>4</v>
      </c>
      <c r="C3223" s="2" t="str">
        <f ca="1">IFERROR(__xludf.DUMMYFUNCTION("GOOGLETRANSLATE(A3223,""bn"",""en"")"),"Value formation in education")</f>
        <v>Value formation in education</v>
      </c>
    </row>
    <row r="3224" spans="1:3" ht="15" x14ac:dyDescent="0.25">
      <c r="A3224" s="3" t="s">
        <v>3221</v>
      </c>
      <c r="B3224" s="3" t="s">
        <v>4</v>
      </c>
      <c r="C3224" s="2" t="str">
        <f ca="1">IFERROR(__xludf.DUMMYFUNCTION("GOOGLETRANSLATE(A3224,""bn"",""en"")"),"A suitable communication network")</f>
        <v>A suitable communication network</v>
      </c>
    </row>
    <row r="3225" spans="1:3" ht="15" x14ac:dyDescent="0.25">
      <c r="A3225" s="3" t="s">
        <v>3222</v>
      </c>
      <c r="B3225" s="3" t="s">
        <v>4</v>
      </c>
      <c r="C3225" s="2" t="str">
        <f ca="1">IFERROR(__xludf.DUMMYFUNCTION("GOOGLETRANSLATE(A3225,""bn"",""en"")"),"Emotional moment to skate")</f>
        <v>Emotional moment to skate</v>
      </c>
    </row>
    <row r="3226" spans="1:3" ht="15" x14ac:dyDescent="0.25">
      <c r="A3226" s="3" t="s">
        <v>3223</v>
      </c>
      <c r="B3226" s="3" t="s">
        <v>4</v>
      </c>
      <c r="C3226" s="2" t="str">
        <f ca="1">IFERROR(__xludf.DUMMYFUNCTION("GOOGLETRANSLATE(A3226,""bn"",""en"")"),"Sundarban Mangal Kshetra in Bangladesh")</f>
        <v>Sundarban Mangal Kshetra in Bangladesh</v>
      </c>
    </row>
    <row r="3227" spans="1:3" ht="15" x14ac:dyDescent="0.25">
      <c r="A3227" s="3" t="s">
        <v>3224</v>
      </c>
      <c r="B3227" s="3" t="s">
        <v>4</v>
      </c>
      <c r="C3227" s="2" t="str">
        <f ca="1">IFERROR(__xludf.DUMMYFUNCTION("GOOGLETRANSLATE(A3227,""bn"",""en"")"),"Dhaka is full of cultural sounds")</f>
        <v>Dhaka is full of cultural sounds</v>
      </c>
    </row>
    <row r="3228" spans="1:3" ht="15" x14ac:dyDescent="0.25">
      <c r="A3228" s="3" t="s">
        <v>3225</v>
      </c>
      <c r="B3228" s="3" t="s">
        <v>4</v>
      </c>
      <c r="C3228" s="2" t="str">
        <f ca="1">IFERROR(__xludf.DUMMYFUNCTION("GOOGLETRANSLATE(A3228,""bn"",""en"")"),"Children played in the park")</f>
        <v>Children played in the park</v>
      </c>
    </row>
    <row r="3229" spans="1:3" ht="15" x14ac:dyDescent="0.25">
      <c r="A3229" s="3" t="s">
        <v>3226</v>
      </c>
      <c r="B3229" s="3" t="s">
        <v>4</v>
      </c>
      <c r="C3229" s="2" t="str">
        <f ca="1">IFERROR(__xludf.DUMMYFUNCTION("GOOGLETRANSLATE(A3229,""bn"",""en"")"),"Improve writing skills")</f>
        <v>Improve writing skills</v>
      </c>
    </row>
    <row r="3230" spans="1:3" ht="15" x14ac:dyDescent="0.25">
      <c r="A3230" s="3" t="s">
        <v>3227</v>
      </c>
      <c r="B3230" s="3" t="s">
        <v>4</v>
      </c>
      <c r="C3230" s="2" t="str">
        <f ca="1">IFERROR(__xludf.DUMMYFUNCTION("GOOGLETRANSLATE(A3230,""bn"",""en"")"),"Mohana's vocals in the music concert")</f>
        <v>Mohana's vocals in the music concert</v>
      </c>
    </row>
    <row r="3231" spans="1:3" ht="15" x14ac:dyDescent="0.25">
      <c r="A3231" s="3" t="s">
        <v>3228</v>
      </c>
      <c r="B3231" s="3" t="s">
        <v>4</v>
      </c>
      <c r="C3231" s="2" t="str">
        <f ca="1">IFERROR(__xludf.DUMMYFUNCTION("GOOGLETRANSLATE(A3231,""bn"",""en"")"),"Kneeling towards the ghost")</f>
        <v>Kneeling towards the ghost</v>
      </c>
    </row>
    <row r="3232" spans="1:3" ht="15" x14ac:dyDescent="0.25">
      <c r="A3232" s="3" t="s">
        <v>3229</v>
      </c>
      <c r="B3232" s="3" t="s">
        <v>4</v>
      </c>
      <c r="C3232" s="2" t="str">
        <f ca="1">IFERROR(__xludf.DUMMYFUNCTION("GOOGLETRANSLATE(A3232,""bn"",""en"")"),"Follow travel safety")</f>
        <v>Follow travel safety</v>
      </c>
    </row>
    <row r="3233" spans="1:3" ht="15" x14ac:dyDescent="0.25">
      <c r="A3233" s="3" t="s">
        <v>3230</v>
      </c>
      <c r="B3233" s="3" t="s">
        <v>4</v>
      </c>
      <c r="C3233" s="2" t="str">
        <f ca="1">IFERROR(__xludf.DUMMYFUNCTION("GOOGLETRANSLATE(A3233,""bn"",""en"")"),"Political responsibility in the budget")</f>
        <v>Political responsibility in the budget</v>
      </c>
    </row>
    <row r="3234" spans="1:3" ht="15" x14ac:dyDescent="0.25">
      <c r="A3234" s="3" t="s">
        <v>3231</v>
      </c>
      <c r="B3234" s="3" t="s">
        <v>4</v>
      </c>
      <c r="C3234" s="2" t="str">
        <f ca="1">IFERROR(__xludf.DUMMYFUNCTION("GOOGLETRANSLATE(A3234,""bn"",""en"")"),"Preparation of a famous heroine")</f>
        <v>Preparation of a famous heroine</v>
      </c>
    </row>
    <row r="3235" spans="1:3" ht="15" x14ac:dyDescent="0.25">
      <c r="A3235" s="3" t="s">
        <v>3232</v>
      </c>
      <c r="B3235" s="3" t="s">
        <v>4</v>
      </c>
      <c r="C3235" s="2" t="str">
        <f ca="1">IFERROR(__xludf.DUMMYFUNCTION("GOOGLETRANSLATE(A3235,""bn"",""en"")"),"Watched classic movies")</f>
        <v>Watched classic movies</v>
      </c>
    </row>
    <row r="3236" spans="1:3" ht="15" x14ac:dyDescent="0.25">
      <c r="A3236" s="3" t="s">
        <v>3233</v>
      </c>
      <c r="B3236" s="3" t="s">
        <v>4</v>
      </c>
      <c r="C3236" s="2" t="str">
        <f ca="1">IFERROR(__xludf.DUMMYFUNCTION("GOOGLETRANSLATE(A3236,""bn"",""en"")"),"I like cycling")</f>
        <v>I like cycling</v>
      </c>
    </row>
    <row r="3237" spans="1:3" ht="15" x14ac:dyDescent="0.25">
      <c r="A3237" s="3" t="s">
        <v>3234</v>
      </c>
      <c r="B3237" s="3" t="s">
        <v>4</v>
      </c>
      <c r="C3237" s="2" t="str">
        <f ca="1">IFERROR(__xludf.DUMMYFUNCTION("GOOGLETRANSLATE(A3237,""bn"",""en"")"),"He is full of music")</f>
        <v>He is full of music</v>
      </c>
    </row>
    <row r="3238" spans="1:3" ht="15" x14ac:dyDescent="0.25">
      <c r="A3238" s="3" t="s">
        <v>3235</v>
      </c>
      <c r="B3238" s="3" t="s">
        <v>4</v>
      </c>
      <c r="C3238" s="2" t="str">
        <f ca="1">IFERROR(__xludf.DUMMYFUNCTION("GOOGLETRANSLATE(A3238,""bn"",""en"")"),"Provide loan approval")</f>
        <v>Provide loan approval</v>
      </c>
    </row>
    <row r="3239" spans="1:3" ht="15" x14ac:dyDescent="0.25">
      <c r="A3239" s="3" t="s">
        <v>3236</v>
      </c>
      <c r="B3239" s="3" t="s">
        <v>4</v>
      </c>
      <c r="C3239" s="2" t="str">
        <f ca="1">IFERROR(__xludf.DUMMYFUNCTION("GOOGLETRANSLATE(A3239,""bn"",""en"")"),"I lost my debit card")</f>
        <v>I lost my debit card</v>
      </c>
    </row>
    <row r="3240" spans="1:3" ht="15" x14ac:dyDescent="0.25">
      <c r="A3240" s="3" t="s">
        <v>3237</v>
      </c>
      <c r="B3240" s="3" t="s">
        <v>4</v>
      </c>
      <c r="C3240" s="2" t="str">
        <f ca="1">IFERROR(__xludf.DUMMYFUNCTION("GOOGLETRANSLATE(A3240,""bn"",""en"")"),"Check the currency flow")</f>
        <v>Check the currency flow</v>
      </c>
    </row>
    <row r="3241" spans="1:3" ht="15" x14ac:dyDescent="0.25">
      <c r="A3241" s="3" t="s">
        <v>3238</v>
      </c>
      <c r="B3241" s="3" t="s">
        <v>4</v>
      </c>
      <c r="C3241" s="2" t="str">
        <f ca="1">IFERROR(__xludf.DUMMYFUNCTION("GOOGLETRANSLATE(A3241,""bn"",""en"")"),"Learning English has become important")</f>
        <v>Learning English has become important</v>
      </c>
    </row>
    <row r="3242" spans="1:3" ht="15" x14ac:dyDescent="0.25">
      <c r="A3242" s="3" t="s">
        <v>3239</v>
      </c>
      <c r="B3242" s="3" t="s">
        <v>4</v>
      </c>
      <c r="C3242" s="2" t="str">
        <f ca="1">IFERROR(__xludf.DUMMYFUNCTION("GOOGLETRANSLATE(A3242,""bn"",""en"")"),"Learning history is knowing the past")</f>
        <v>Learning history is knowing the past</v>
      </c>
    </row>
    <row r="3243" spans="1:3" ht="15" x14ac:dyDescent="0.25">
      <c r="A3243" s="3" t="s">
        <v>3240</v>
      </c>
      <c r="B3243" s="3" t="s">
        <v>4</v>
      </c>
      <c r="C3243" s="2" t="str">
        <f ca="1">IFERROR(__xludf.DUMMYFUNCTION("GOOGLETRANSLATE(A3243,""bn"",""en"")"),"Power problem and government")</f>
        <v>Power problem and government</v>
      </c>
    </row>
    <row r="3244" spans="1:3" ht="15" x14ac:dyDescent="0.25">
      <c r="A3244" s="3" t="s">
        <v>3241</v>
      </c>
      <c r="B3244" s="3" t="s">
        <v>4</v>
      </c>
      <c r="C3244" s="2" t="str">
        <f ca="1">IFERROR(__xludf.DUMMYFUNCTION("GOOGLETRANSLATE(A3244,""bn"",""en"")"),"World Banking System Modernization")</f>
        <v>World Banking System Modernization</v>
      </c>
    </row>
    <row r="3245" spans="1:3" ht="15" x14ac:dyDescent="0.25">
      <c r="A3245" s="3" t="s">
        <v>3242</v>
      </c>
      <c r="B3245" s="3" t="s">
        <v>4</v>
      </c>
      <c r="C3245" s="2" t="str">
        <f ca="1">IFERROR(__xludf.DUMMYFUNCTION("GOOGLETRANSLATE(A3245,""bn"",""en"")"),"Home loan facility")</f>
        <v>Home loan facility</v>
      </c>
    </row>
    <row r="3246" spans="1:3" ht="15" x14ac:dyDescent="0.25">
      <c r="A3246" s="3" t="s">
        <v>3243</v>
      </c>
      <c r="B3246" s="3" t="s">
        <v>4</v>
      </c>
      <c r="C3246" s="2" t="str">
        <f ca="1">IFERROR(__xludf.DUMMYFUNCTION("GOOGLETRANSLATE(A3246,""bn"",""en"")"),"Better methods are needed in the study")</f>
        <v>Better methods are needed in the study</v>
      </c>
    </row>
    <row r="3247" spans="1:3" ht="15" x14ac:dyDescent="0.25">
      <c r="A3247" s="3" t="s">
        <v>3244</v>
      </c>
      <c r="B3247" s="3" t="s">
        <v>4</v>
      </c>
      <c r="C3247" s="2" t="str">
        <f ca="1">IFERROR(__xludf.DUMMYFUNCTION("GOOGLETRANSLATE(A3247,""bn"",""en"")"),"Happy falling in love")</f>
        <v>Happy falling in love</v>
      </c>
    </row>
    <row r="3248" spans="1:3" ht="15" x14ac:dyDescent="0.25">
      <c r="A3248" s="3" t="s">
        <v>3245</v>
      </c>
      <c r="B3248" s="3" t="s">
        <v>4</v>
      </c>
      <c r="C3248" s="2" t="str">
        <f ca="1">IFERROR(__xludf.DUMMYFUNCTION("GOOGLETRANSLATE(A3248,""bn"",""en"")"),"Our market is growing well")</f>
        <v>Our market is growing well</v>
      </c>
    </row>
    <row r="3249" spans="1:3" ht="15" x14ac:dyDescent="0.25">
      <c r="A3249" s="3" t="s">
        <v>3246</v>
      </c>
      <c r="B3249" s="3" t="s">
        <v>4</v>
      </c>
      <c r="C3249" s="2" t="str">
        <f ca="1">IFERROR(__xludf.DUMMYFUNCTION("GOOGLETRANSLATE(A3249,""bn"",""en"")"),"Various options to withdraw money")</f>
        <v>Various options to withdraw money</v>
      </c>
    </row>
    <row r="3250" spans="1:3" ht="15" x14ac:dyDescent="0.25">
      <c r="A3250" s="3" t="s">
        <v>3247</v>
      </c>
      <c r="B3250" s="3" t="s">
        <v>4</v>
      </c>
      <c r="C3250" s="2" t="str">
        <f ca="1">IFERROR(__xludf.DUMMYFUNCTION("GOOGLETRANSLATE(A3250,""bn"",""en"")"),"Chilli production in Barguna")</f>
        <v>Chilli production in Barguna</v>
      </c>
    </row>
    <row r="3251" spans="1:3" ht="15" x14ac:dyDescent="0.25">
      <c r="A3251" s="3" t="s">
        <v>3248</v>
      </c>
      <c r="B3251" s="3" t="s">
        <v>4</v>
      </c>
      <c r="C3251" s="2" t="str">
        <f ca="1">IFERROR(__xludf.DUMMYFUNCTION("GOOGLETRANSLATE(A3251,""bn"",""en"")"),"Acquiring Computer Science Techniques")</f>
        <v>Acquiring Computer Science Techniques</v>
      </c>
    </row>
    <row r="3252" spans="1:3" ht="15" x14ac:dyDescent="0.25">
      <c r="A3252" s="3" t="s">
        <v>3249</v>
      </c>
      <c r="B3252" s="3" t="s">
        <v>4</v>
      </c>
      <c r="C3252" s="2" t="str">
        <f ca="1">IFERROR(__xludf.DUMMYFUNCTION("GOOGLETRANSLATE(A3252,""bn"",""en"")"),"Increase in income from abroad")</f>
        <v>Increase in income from abroad</v>
      </c>
    </row>
    <row r="3253" spans="1:3" ht="15" x14ac:dyDescent="0.25">
      <c r="A3253" s="3" t="s">
        <v>3250</v>
      </c>
      <c r="B3253" s="3" t="s">
        <v>4</v>
      </c>
      <c r="C3253" s="2" t="str">
        <f ca="1">IFERROR(__xludf.DUMMYFUNCTION("GOOGLETRANSLATE(A3253,""bn"",""en"")"),"Cloud Computing Technology Essence")</f>
        <v>Cloud Computing Technology Essence</v>
      </c>
    </row>
    <row r="3254" spans="1:3" ht="15" x14ac:dyDescent="0.25">
      <c r="A3254" s="3" t="s">
        <v>3251</v>
      </c>
      <c r="B3254" s="3" t="s">
        <v>4</v>
      </c>
      <c r="C3254" s="2" t="str">
        <f ca="1">IFERROR(__xludf.DUMMYFUNCTION("GOOGLETRANSLATE(A3254,""bn"",""en"")"),"His tone is heart-wrenching")</f>
        <v>His tone is heart-wrenching</v>
      </c>
    </row>
    <row r="3255" spans="1:3" ht="15" x14ac:dyDescent="0.25">
      <c r="A3255" s="3" t="s">
        <v>3252</v>
      </c>
      <c r="B3255" s="3" t="s">
        <v>4</v>
      </c>
      <c r="C3255" s="2" t="str">
        <f ca="1">IFERROR(__xludf.DUMMYFUNCTION("GOOGLETRANSLATE(A3255,""bn"",""en"")"),"Preparing to play bowling")</f>
        <v>Preparing to play bowling</v>
      </c>
    </row>
    <row r="3256" spans="1:3" ht="15" x14ac:dyDescent="0.25">
      <c r="A3256" s="3" t="s">
        <v>3253</v>
      </c>
      <c r="B3256" s="3" t="s">
        <v>4</v>
      </c>
      <c r="C3256" s="2" t="str">
        <f ca="1">IFERROR(__xludf.DUMMYFUNCTION("GOOGLETRANSLATE(A3256,""bn"",""en"")"),"Reach the ancient temple")</f>
        <v>Reach the ancient temple</v>
      </c>
    </row>
    <row r="3257" spans="1:3" ht="15" x14ac:dyDescent="0.25">
      <c r="A3257" s="3" t="s">
        <v>3254</v>
      </c>
      <c r="B3257" s="3" t="s">
        <v>4</v>
      </c>
      <c r="C3257" s="2" t="str">
        <f ca="1">IFERROR(__xludf.DUMMYFUNCTION("GOOGLETRANSLATE(A3257,""bn"",""en"")"),"Social service project is being launched")</f>
        <v>Social service project is being launched</v>
      </c>
    </row>
    <row r="3258" spans="1:3" ht="15" x14ac:dyDescent="0.25">
      <c r="A3258" s="3" t="s">
        <v>3255</v>
      </c>
      <c r="B3258" s="3" t="s">
        <v>4</v>
      </c>
      <c r="C3258" s="2" t="str">
        <f ca="1">IFERROR(__xludf.DUMMYFUNCTION("GOOGLETRANSLATE(A3258,""bn"",""en"")"),"Love quotes in beautiful music")</f>
        <v>Love quotes in beautiful music</v>
      </c>
    </row>
    <row r="3259" spans="1:3" ht="15" x14ac:dyDescent="0.25">
      <c r="A3259" s="3" t="s">
        <v>3256</v>
      </c>
      <c r="B3259" s="3" t="s">
        <v>4</v>
      </c>
      <c r="C3259" s="2" t="str">
        <f ca="1">IFERROR(__xludf.DUMMYFUNCTION("GOOGLETRANSLATE(A3259,""bn"",""en"")"),"Banking ID is required")</f>
        <v>Banking ID is required</v>
      </c>
    </row>
    <row r="3260" spans="1:3" ht="15" x14ac:dyDescent="0.25">
      <c r="A3260" s="3" t="s">
        <v>3257</v>
      </c>
      <c r="B3260" s="3" t="s">
        <v>4</v>
      </c>
      <c r="C3260" s="2" t="str">
        <f ca="1">IFERROR(__xludf.DUMMYFUNCTION("GOOGLETRANSLATE(A3260,""bn"",""en"")"),"Celebrating excellence in science")</f>
        <v>Celebrating excellence in science</v>
      </c>
    </row>
    <row r="3261" spans="1:3" ht="15" x14ac:dyDescent="0.25">
      <c r="A3261" s="3" t="s">
        <v>3258</v>
      </c>
      <c r="B3261" s="3" t="s">
        <v>4</v>
      </c>
      <c r="C3261" s="2" t="str">
        <f ca="1">IFERROR(__xludf.DUMMYFUNCTION("GOOGLETRANSLATE(A3261,""bn"",""en"")"),"See Market efficiency debate")</f>
        <v>See Market efficiency debate</v>
      </c>
    </row>
    <row r="3262" spans="1:3" ht="15" x14ac:dyDescent="0.25">
      <c r="A3262" s="3" t="s">
        <v>3259</v>
      </c>
      <c r="B3262" s="3" t="s">
        <v>4</v>
      </c>
      <c r="C3262" s="2" t="str">
        <f ca="1">IFERROR(__xludf.DUMMYFUNCTION("GOOGLETRANSLATE(A3262,""bn"",""en"")"),"Discussion position in Parliament is required")</f>
        <v>Discussion position in Parliament is required</v>
      </c>
    </row>
    <row r="3263" spans="1:3" ht="15" x14ac:dyDescent="0.25">
      <c r="A3263" s="3" t="s">
        <v>3260</v>
      </c>
      <c r="B3263" s="3" t="s">
        <v>4</v>
      </c>
      <c r="C3263" s="2" t="str">
        <f ca="1">IFERROR(__xludf.DUMMYFUNCTION("GOOGLETRANSLATE(A3263,""bn"",""en"")"),"Manage financial policy")</f>
        <v>Manage financial policy</v>
      </c>
    </row>
    <row r="3264" spans="1:3" ht="15" x14ac:dyDescent="0.25">
      <c r="A3264" s="3" t="s">
        <v>3261</v>
      </c>
      <c r="B3264" s="3" t="s">
        <v>4</v>
      </c>
      <c r="C3264" s="2" t="str">
        <f ca="1">IFERROR(__xludf.DUMMYFUNCTION("GOOGLETRANSLATE(A3264,""bn"",""en"")"),"I want to be a teacher")</f>
        <v>I want to be a teacher</v>
      </c>
    </row>
    <row r="3265" spans="1:3" ht="15" x14ac:dyDescent="0.25">
      <c r="A3265" s="3" t="s">
        <v>3262</v>
      </c>
      <c r="B3265" s="3" t="s">
        <v>4</v>
      </c>
      <c r="C3265" s="2" t="str">
        <f ca="1">IFERROR(__xludf.DUMMYFUNCTION("GOOGLETRANSLATE(A3265,""bn"",""en"")"),"Make high holdings of value")</f>
        <v>Make high holdings of value</v>
      </c>
    </row>
    <row r="3266" spans="1:3" ht="15" x14ac:dyDescent="0.25">
      <c r="A3266" s="3" t="s">
        <v>3263</v>
      </c>
      <c r="B3266" s="3" t="s">
        <v>4</v>
      </c>
      <c r="C3266" s="2" t="str">
        <f ca="1">IFERROR(__xludf.DUMMYFUNCTION("GOOGLETRANSLATE(A3266,""bn"",""en"")"),"Cricket is very popular in Bangladesh")</f>
        <v>Cricket is very popular in Bangladesh</v>
      </c>
    </row>
    <row r="3267" spans="1:3" ht="15" x14ac:dyDescent="0.25">
      <c r="A3267" s="3" t="s">
        <v>3264</v>
      </c>
      <c r="B3267" s="3" t="s">
        <v>4</v>
      </c>
      <c r="C3267" s="2" t="str">
        <f ca="1">IFERROR(__xludf.DUMMYFUNCTION("GOOGLETRANSLATE(A3267,""bn"",""en"")"),"Develop a business strategy")</f>
        <v>Develop a business strategy</v>
      </c>
    </row>
    <row r="3268" spans="1:3" ht="15" x14ac:dyDescent="0.25">
      <c r="A3268" s="3" t="s">
        <v>3265</v>
      </c>
      <c r="B3268" s="3" t="s">
        <v>4</v>
      </c>
      <c r="C3268" s="2" t="str">
        <f ca="1">IFERROR(__xludf.DUMMYFUNCTION("GOOGLETRANSLATE(A3268,""bn"",""en"")"),"Political skills training is required")</f>
        <v>Political skills training is required</v>
      </c>
    </row>
    <row r="3269" spans="1:3" ht="15" x14ac:dyDescent="0.25">
      <c r="A3269" s="3" t="s">
        <v>3266</v>
      </c>
      <c r="B3269" s="3" t="s">
        <v>4</v>
      </c>
      <c r="C3269" s="2" t="str">
        <f ca="1">IFERROR(__xludf.DUMMYFUNCTION("GOOGLETRANSLATE(A3269,""bn"",""en"")"),"Email the account statement")</f>
        <v>Email the account statement</v>
      </c>
    </row>
    <row r="3270" spans="1:3" ht="15" x14ac:dyDescent="0.25">
      <c r="A3270" s="3" t="s">
        <v>3267</v>
      </c>
      <c r="B3270" s="3" t="s">
        <v>4</v>
      </c>
      <c r="C3270" s="2" t="str">
        <f ca="1">IFERROR(__xludf.DUMMYFUNCTION("GOOGLETRANSLATE(A3270,""bn"",""en"")"),"Bathe in the blue sea")</f>
        <v>Bathe in the blue sea</v>
      </c>
    </row>
    <row r="3271" spans="1:3" ht="15" x14ac:dyDescent="0.25">
      <c r="A3271" s="3" t="s">
        <v>3268</v>
      </c>
      <c r="B3271" s="3" t="s">
        <v>4</v>
      </c>
      <c r="C3271" s="2" t="str">
        <f ca="1">IFERROR(__xludf.DUMMYFUNCTION("GOOGLETRANSLATE(A3271,""bn"",""en"")"),"The camera lens captures the image")</f>
        <v>The camera lens captures the image</v>
      </c>
    </row>
    <row r="3272" spans="1:3" ht="15" x14ac:dyDescent="0.25">
      <c r="A3272" s="3" t="s">
        <v>3269</v>
      </c>
      <c r="B3272" s="3" t="s">
        <v>4</v>
      </c>
      <c r="C3272" s="2" t="str">
        <f ca="1">IFERROR(__xludf.DUMMYFUNCTION("GOOGLETRANSLATE(A3272,""bn"",""en"")"),"Prepare business well")</f>
        <v>Prepare business well</v>
      </c>
    </row>
    <row r="3273" spans="1:3" ht="15" x14ac:dyDescent="0.25">
      <c r="A3273" s="3" t="s">
        <v>3270</v>
      </c>
      <c r="B3273" s="3" t="s">
        <v>4</v>
      </c>
      <c r="C3273" s="2" t="str">
        <f ca="1">IFERROR(__xludf.DUMMYFUNCTION("GOOGLETRANSLATE(A3273,""bn"",""en"")"),"Agree on the loan facility")</f>
        <v>Agree on the loan facility</v>
      </c>
    </row>
    <row r="3274" spans="1:3" ht="15" x14ac:dyDescent="0.25">
      <c r="A3274" s="3" t="s">
        <v>3271</v>
      </c>
      <c r="B3274" s="3" t="s">
        <v>4</v>
      </c>
      <c r="C3274" s="2" t="str">
        <f ca="1">IFERROR(__xludf.DUMMYFUNCTION("GOOGLETRANSLATE(A3274,""bn"",""en"")"),"Strong value is accepted")</f>
        <v>Strong value is accepted</v>
      </c>
    </row>
    <row r="3275" spans="1:3" ht="15" x14ac:dyDescent="0.25">
      <c r="A3275" s="3" t="s">
        <v>3272</v>
      </c>
      <c r="B3275" s="3" t="s">
        <v>4</v>
      </c>
      <c r="C3275" s="2" t="str">
        <f ca="1">IFERROR(__xludf.DUMMYFUNCTION("GOOGLETRANSLATE(A3275,""bn"",""en"")"),"Learning programming in computer languages")</f>
        <v>Learning programming in computer languages</v>
      </c>
    </row>
    <row r="3276" spans="1:3" ht="15" x14ac:dyDescent="0.25">
      <c r="A3276" s="3" t="s">
        <v>3273</v>
      </c>
      <c r="B3276" s="3" t="s">
        <v>4</v>
      </c>
      <c r="C3276" s="2" t="str">
        <f ca="1">IFERROR(__xludf.DUMMYFUNCTION("GOOGLETRANSLATE(A3276,""bn"",""en"")"),"Integrating education with technology")</f>
        <v>Integrating education with technology</v>
      </c>
    </row>
    <row r="3277" spans="1:3" ht="15" x14ac:dyDescent="0.25">
      <c r="A3277" s="3" t="s">
        <v>3274</v>
      </c>
      <c r="B3277" s="3" t="s">
        <v>4</v>
      </c>
      <c r="C3277" s="2" t="str">
        <f ca="1">IFERROR(__xludf.DUMMYFUNCTION("GOOGLETRANSLATE(A3277,""bn"",""en"")"),"We are driving at night")</f>
        <v>We are driving at night</v>
      </c>
    </row>
    <row r="3278" spans="1:3" ht="15" x14ac:dyDescent="0.25">
      <c r="A3278" s="3" t="s">
        <v>3275</v>
      </c>
      <c r="B3278" s="3" t="s">
        <v>4</v>
      </c>
      <c r="C3278" s="2" t="str">
        <f ca="1">IFERROR(__xludf.DUMMYFUNCTION("GOOGLETRANSLATE(A3278,""bn"",""en"")"),"Computer networking is on the rise")</f>
        <v>Computer networking is on the rise</v>
      </c>
    </row>
    <row r="3279" spans="1:3" ht="15" x14ac:dyDescent="0.25">
      <c r="A3279" s="3" t="s">
        <v>3276</v>
      </c>
      <c r="B3279" s="3" t="s">
        <v>4</v>
      </c>
      <c r="C3279" s="2" t="str">
        <f ca="1">IFERROR(__xludf.DUMMYFUNCTION("GOOGLETRANSLATE(A3279,""bn"",""en"")"),"Experience stargazing at night")</f>
        <v>Experience stargazing at night</v>
      </c>
    </row>
    <row r="3280" spans="1:3" ht="15" x14ac:dyDescent="0.25">
      <c r="A3280" s="3" t="s">
        <v>3277</v>
      </c>
      <c r="B3280" s="3" t="s">
        <v>4</v>
      </c>
      <c r="C3280" s="2" t="str">
        <f ca="1">IFERROR(__xludf.DUMMYFUNCTION("GOOGLETRANSLATE(A3280,""bn"",""en"")"),"Website development for students")</f>
        <v>Website development for students</v>
      </c>
    </row>
    <row r="3281" spans="1:3" ht="15" x14ac:dyDescent="0.25">
      <c r="A3281" s="3" t="s">
        <v>3278</v>
      </c>
      <c r="B3281" s="3" t="s">
        <v>4</v>
      </c>
      <c r="C3281" s="2" t="str">
        <f ca="1">IFERROR(__xludf.DUMMYFUNCTION("GOOGLETRANSLATE(A3281,""bn"",""en"")"),"Go for a bike ride")</f>
        <v>Go for a bike ride</v>
      </c>
    </row>
    <row r="3282" spans="1:3" ht="15" x14ac:dyDescent="0.25">
      <c r="A3282" s="3" t="s">
        <v>3279</v>
      </c>
      <c r="B3282" s="3" t="s">
        <v>4</v>
      </c>
      <c r="C3282" s="2" t="str">
        <f ca="1">IFERROR(__xludf.DUMMYFUNCTION("GOOGLETRANSLATE(A3282,""bn"",""en"")"),"Let the currency exchange be healthy")</f>
        <v>Let the currency exchange be healthy</v>
      </c>
    </row>
    <row r="3283" spans="1:3" ht="15" x14ac:dyDescent="0.25">
      <c r="A3283" s="3" t="s">
        <v>3280</v>
      </c>
      <c r="B3283" s="3" t="s">
        <v>4</v>
      </c>
      <c r="C3283" s="2" t="str">
        <f ca="1">IFERROR(__xludf.DUMMYFUNCTION("GOOGLETRANSLATE(A3283,""bn"",""en"")"),"Use data analytics")</f>
        <v>Use data analytics</v>
      </c>
    </row>
    <row r="3284" spans="1:3" ht="15" x14ac:dyDescent="0.25">
      <c r="A3284" s="3" t="s">
        <v>3281</v>
      </c>
      <c r="B3284" s="3" t="s">
        <v>4</v>
      </c>
      <c r="C3284" s="2" t="str">
        <f ca="1">IFERROR(__xludf.DUMMYFUNCTION("GOOGLETRANSLATE(A3284,""bn"",""en"")"),"Musical stage in golden days")</f>
        <v>Musical stage in golden days</v>
      </c>
    </row>
    <row r="3285" spans="1:3" ht="15" x14ac:dyDescent="0.25">
      <c r="A3285" s="3" t="s">
        <v>3282</v>
      </c>
      <c r="B3285" s="3" t="s">
        <v>4</v>
      </c>
      <c r="C3285" s="2" t="str">
        <f ca="1">IFERROR(__xludf.DUMMYFUNCTION("GOOGLETRANSLATE(A3285,""bn"",""en"")"),"Credit card required")</f>
        <v>Credit card required</v>
      </c>
    </row>
    <row r="3286" spans="1:3" ht="15" x14ac:dyDescent="0.25">
      <c r="A3286" s="3" t="s">
        <v>3283</v>
      </c>
      <c r="B3286" s="3" t="s">
        <v>4</v>
      </c>
      <c r="C3286" s="2" t="str">
        <f ca="1">IFERROR(__xludf.DUMMYFUNCTION("GOOGLETRANSLATE(A3286,""bn"",""en"")"),"Travel to archaeological sites")</f>
        <v>Travel to archaeological sites</v>
      </c>
    </row>
    <row r="3287" spans="1:3" ht="15" x14ac:dyDescent="0.25">
      <c r="A3287" s="3" t="s">
        <v>3284</v>
      </c>
      <c r="B3287" s="3" t="s">
        <v>4</v>
      </c>
      <c r="C3287" s="2" t="str">
        <f ca="1">IFERROR(__xludf.DUMMYFUNCTION("GOOGLETRANSLATE(A3287,""bn"",""en"")"),"Baul music has passion")</f>
        <v>Baul music has passion</v>
      </c>
    </row>
    <row r="3288" spans="1:3" ht="15" x14ac:dyDescent="0.25">
      <c r="A3288" s="3" t="s">
        <v>3285</v>
      </c>
      <c r="B3288" s="3" t="s">
        <v>4</v>
      </c>
      <c r="C3288" s="2" t="str">
        <f ca="1">IFERROR(__xludf.DUMMYFUNCTION("GOOGLETRANSLATE(A3288,""bn"",""en"")"),"He is floating in tune")</f>
        <v>He is floating in tune</v>
      </c>
    </row>
    <row r="3289" spans="1:3" ht="15" x14ac:dyDescent="0.25">
      <c r="A3289" s="3" t="s">
        <v>3286</v>
      </c>
      <c r="B3289" s="3" t="s">
        <v>4</v>
      </c>
      <c r="C3289" s="2" t="str">
        <f ca="1">IFERROR(__xludf.DUMMYFUNCTION("GOOGLETRANSLATE(A3289,""bn"",""en"")"),"Teaching pathology in science")</f>
        <v>Teaching pathology in science</v>
      </c>
    </row>
    <row r="3290" spans="1:3" ht="15" x14ac:dyDescent="0.25">
      <c r="A3290" s="3" t="s">
        <v>3287</v>
      </c>
      <c r="B3290" s="3" t="s">
        <v>4</v>
      </c>
      <c r="C3290" s="2" t="str">
        <f ca="1">IFERROR(__xludf.DUMMYFUNCTION("GOOGLETRANSLATE(A3290,""bn"",""en"")"),"Want greater leadership skills")</f>
        <v>Want greater leadership skills</v>
      </c>
    </row>
    <row r="3291" spans="1:3" ht="15" x14ac:dyDescent="0.25">
      <c r="A3291" s="3" t="s">
        <v>3288</v>
      </c>
      <c r="B3291" s="3" t="s">
        <v>4</v>
      </c>
      <c r="C3291" s="2" t="str">
        <f ca="1">IFERROR(__xludf.DUMMYFUNCTION("GOOGLETRANSLATE(A3291,""bn"",""en"")"),"Brazil is at the top in football")</f>
        <v>Brazil is at the top in football</v>
      </c>
    </row>
    <row r="3292" spans="1:3" ht="15" x14ac:dyDescent="0.25">
      <c r="A3292" s="3" t="s">
        <v>3289</v>
      </c>
      <c r="B3292" s="3" t="s">
        <v>4</v>
      </c>
      <c r="C3292" s="2" t="str">
        <f ca="1">IFERROR(__xludf.DUMMYFUNCTION("GOOGLETRANSLATE(A3292,""bn"",""en"")"),"Education is everyone's right")</f>
        <v>Education is everyone's right</v>
      </c>
    </row>
    <row r="3293" spans="1:3" ht="15" x14ac:dyDescent="0.25">
      <c r="A3293" s="3" t="s">
        <v>3290</v>
      </c>
      <c r="B3293" s="3" t="s">
        <v>4</v>
      </c>
      <c r="C3293" s="2" t="str">
        <f ca="1">IFERROR(__xludf.DUMMYFUNCTION("GOOGLETRANSLATE(A3293,""bn"",""en"")"),"The beauty of the melody floats in anger")</f>
        <v>The beauty of the melody floats in anger</v>
      </c>
    </row>
    <row r="3294" spans="1:3" ht="15" x14ac:dyDescent="0.25">
      <c r="A3294" s="3" t="s">
        <v>3291</v>
      </c>
      <c r="B3294" s="3" t="s">
        <v>4</v>
      </c>
      <c r="C3294" s="2" t="str">
        <f ca="1">IFERROR(__xludf.DUMMYFUNCTION("GOOGLETRANSLATE(A3294,""bn"",""en"")"),"Student learning is important")</f>
        <v>Student learning is important</v>
      </c>
    </row>
    <row r="3295" spans="1:3" ht="15" x14ac:dyDescent="0.25">
      <c r="A3295" s="3" t="s">
        <v>3292</v>
      </c>
      <c r="B3295" s="3" t="s">
        <v>4</v>
      </c>
      <c r="C3295" s="2" t="str">
        <f ca="1">IFERROR(__xludf.DUMMYFUNCTION("GOOGLETRANSLATE(A3295,""bn"",""en"")"),"It is raining")</f>
        <v>It is raining</v>
      </c>
    </row>
    <row r="3296" spans="1:3" ht="15" x14ac:dyDescent="0.25">
      <c r="A3296" s="3" t="s">
        <v>3293</v>
      </c>
      <c r="B3296" s="3" t="s">
        <v>4</v>
      </c>
      <c r="C3296" s="2" t="str">
        <f ca="1">IFERROR(__xludf.DUMMYFUNCTION("GOOGLETRANSLATE(A3296,""bn"",""en"")"),"Corona awareness campaign of the government")</f>
        <v>Corona awareness campaign of the government</v>
      </c>
    </row>
    <row r="3297" spans="1:3" ht="15" x14ac:dyDescent="0.25">
      <c r="A3297" s="3" t="s">
        <v>3294</v>
      </c>
      <c r="B3297" s="3" t="s">
        <v>4</v>
      </c>
      <c r="C3297" s="2" t="str">
        <f ca="1">IFERROR(__xludf.DUMMYFUNCTION("GOOGLETRANSLATE(A3297,""bn"",""en"")"),"The bloodless island of Sri Lanka is in the north")</f>
        <v>The bloodless island of Sri Lanka is in the north</v>
      </c>
    </row>
    <row r="3298" spans="1:3" ht="15" x14ac:dyDescent="0.25">
      <c r="A3298" s="3" t="s">
        <v>3295</v>
      </c>
      <c r="B3298" s="3" t="s">
        <v>4</v>
      </c>
      <c r="C3298" s="2" t="str">
        <f ca="1">IFERROR(__xludf.DUMMYFUNCTION("GOOGLETRANSLATE(A3298,""bn"",""en"")"),"Visit the Old Durbar")</f>
        <v>Visit the Old Durbar</v>
      </c>
    </row>
    <row r="3299" spans="1:3" ht="15" x14ac:dyDescent="0.25">
      <c r="A3299" s="3" t="s">
        <v>3296</v>
      </c>
      <c r="B3299" s="3" t="s">
        <v>4</v>
      </c>
      <c r="C3299" s="2" t="str">
        <f ca="1">IFERROR(__xludf.DUMMYFUNCTION("GOOGLETRANSLATE(A3299,""bn"",""en"")"),"Support for artists and republics")</f>
        <v>Support for artists and republics</v>
      </c>
    </row>
    <row r="3300" spans="1:3" ht="15" x14ac:dyDescent="0.25">
      <c r="A3300" s="3" t="s">
        <v>3297</v>
      </c>
      <c r="B3300" s="3" t="s">
        <v>4</v>
      </c>
      <c r="C3300" s="2" t="str">
        <f ca="1">IFERROR(__xludf.DUMMYFUNCTION("GOOGLETRANSLATE(A3300,""bn"",""en"")"),"Students need to be motivated")</f>
        <v>Students need to be motivated</v>
      </c>
    </row>
    <row r="3301" spans="1:3" ht="15" x14ac:dyDescent="0.25">
      <c r="A3301" s="3" t="s">
        <v>3298</v>
      </c>
      <c r="B3301" s="3" t="s">
        <v>4</v>
      </c>
      <c r="C3301" s="2" t="str">
        <f ca="1">IFERROR(__xludf.DUMMYFUNCTION("GOOGLETRANSLATE(A3301,""bn"",""en"")"),"Monte Carlo is located in Switzerland")</f>
        <v>Monte Carlo is located in Switzerland</v>
      </c>
    </row>
    <row r="3302" spans="1:3" ht="15" x14ac:dyDescent="0.25">
      <c r="A3302" s="3" t="s">
        <v>3299</v>
      </c>
      <c r="B3302" s="3" t="s">
        <v>4</v>
      </c>
      <c r="C3302" s="2" t="str">
        <f ca="1">IFERROR(__xludf.DUMMYFUNCTION("GOOGLETRANSLATE(A3302,""bn"",""en"")"),"The game of tennis is always interesting")</f>
        <v>The game of tennis is always interesting</v>
      </c>
    </row>
    <row r="3303" spans="1:3" ht="15" x14ac:dyDescent="0.25">
      <c r="A3303" s="3" t="s">
        <v>3300</v>
      </c>
      <c r="B3303" s="3" t="s">
        <v>4</v>
      </c>
      <c r="C3303" s="2" t="str">
        <f ca="1">IFERROR(__xludf.DUMMYFUNCTION("GOOGLETRANSLATE(A3303,""bn"",""en"")"),"Visit the local market")</f>
        <v>Visit the local market</v>
      </c>
    </row>
    <row r="3304" spans="1:3" ht="15" x14ac:dyDescent="0.25">
      <c r="A3304" s="3" t="s">
        <v>3301</v>
      </c>
      <c r="B3304" s="3" t="s">
        <v>4</v>
      </c>
      <c r="C3304" s="2" t="str">
        <f ca="1">IFERROR(__xludf.DUMMYFUNCTION("GOOGLETRANSLATE(A3304,""bn"",""en"")"),"How is the financial situation?")</f>
        <v>How is the financial situation?</v>
      </c>
    </row>
    <row r="3305" spans="1:3" ht="15" x14ac:dyDescent="0.25">
      <c r="A3305" s="3" t="s">
        <v>3302</v>
      </c>
      <c r="B3305" s="3" t="s">
        <v>4</v>
      </c>
      <c r="C3305" s="2" t="str">
        <f ca="1">IFERROR(__xludf.DUMMYFUNCTION("GOOGLETRANSLATE(A3305,""bn"",""en"")"),"Improve network security")</f>
        <v>Improve network security</v>
      </c>
    </row>
    <row r="3306" spans="1:3" ht="15" x14ac:dyDescent="0.25">
      <c r="A3306" s="3" t="s">
        <v>3303</v>
      </c>
      <c r="B3306" s="3" t="s">
        <v>4</v>
      </c>
      <c r="C3306" s="2" t="str">
        <f ca="1">IFERROR(__xludf.DUMMYFUNCTION("GOOGLETRANSLATE(A3306,""bn"",""en"")"),"Mobile banking is booming")</f>
        <v>Mobile banking is booming</v>
      </c>
    </row>
    <row r="3307" spans="1:3" ht="15" x14ac:dyDescent="0.25">
      <c r="A3307" s="3" t="s">
        <v>3304</v>
      </c>
      <c r="B3307" s="3" t="s">
        <v>4</v>
      </c>
      <c r="C3307" s="2" t="str">
        <f ca="1">IFERROR(__xludf.DUMMYFUNCTION("GOOGLETRANSLATE(A3307,""bn"",""en"")"),"Political programs are becoming popular")</f>
        <v>Political programs are becoming popular</v>
      </c>
    </row>
    <row r="3308" spans="1:3" ht="15" x14ac:dyDescent="0.25">
      <c r="A3308" s="3" t="s">
        <v>3305</v>
      </c>
      <c r="B3308" s="3" t="s">
        <v>4</v>
      </c>
      <c r="C3308" s="2" t="str">
        <f ca="1">IFERROR(__xludf.DUMMYFUNCTION("GOOGLETRANSLATE(A3308,""bn"",""en"")"),"Review currency sources")</f>
        <v>Review currency sources</v>
      </c>
    </row>
    <row r="3309" spans="1:3" ht="15" x14ac:dyDescent="0.25">
      <c r="A3309" s="3" t="s">
        <v>3306</v>
      </c>
      <c r="B3309" s="3" t="s">
        <v>4</v>
      </c>
      <c r="C3309" s="2" t="str">
        <f ca="1">IFERROR(__xludf.DUMMYFUNCTION("GOOGLETRANSLATE(A3309,""bn"",""en"")"),"Whether there is market growth")</f>
        <v>Whether there is market growth</v>
      </c>
    </row>
    <row r="3310" spans="1:3" ht="15" x14ac:dyDescent="0.25">
      <c r="A3310" s="3" t="s">
        <v>3307</v>
      </c>
      <c r="B3310" s="3" t="s">
        <v>4</v>
      </c>
      <c r="C3310" s="2" t="str">
        <f ca="1">IFERROR(__xludf.DUMMYFUNCTION("GOOGLETRANSLATE(A3310,""bn"",""en"")"),"Production and cultivation improvement")</f>
        <v>Production and cultivation improvement</v>
      </c>
    </row>
    <row r="3311" spans="1:3" ht="15" x14ac:dyDescent="0.25">
      <c r="A3311" s="3" t="s">
        <v>3308</v>
      </c>
      <c r="B3311" s="3" t="s">
        <v>4</v>
      </c>
      <c r="C3311" s="2" t="str">
        <f ca="1">IFERROR(__xludf.DUMMYFUNCTION("GOOGLETRANSLATE(A3311,""bn"",""en"")"),"Create banking facilities")</f>
        <v>Create banking facilities</v>
      </c>
    </row>
    <row r="3312" spans="1:3" ht="15" x14ac:dyDescent="0.25">
      <c r="A3312" s="3" t="s">
        <v>3309</v>
      </c>
      <c r="B3312" s="3" t="s">
        <v>4</v>
      </c>
      <c r="C3312" s="2" t="str">
        <f ca="1">IFERROR(__xludf.DUMMYFUNCTION("GOOGLETRANSLATE(A3312,""bn"",""en"")"),"Prepare for market conditions")</f>
        <v>Prepare for market conditions</v>
      </c>
    </row>
    <row r="3313" spans="1:3" ht="15" x14ac:dyDescent="0.25">
      <c r="A3313" s="3" t="s">
        <v>3310</v>
      </c>
      <c r="B3313" s="3" t="s">
        <v>4</v>
      </c>
      <c r="C3313" s="2" t="str">
        <f ca="1">IFERROR(__xludf.DUMMYFUNCTION("GOOGLETRANSLATE(A3313,""bn"",""en"")"),"The acting was perfect")</f>
        <v>The acting was perfect</v>
      </c>
    </row>
    <row r="3314" spans="1:3" ht="15" x14ac:dyDescent="0.25">
      <c r="A3314" s="3" t="s">
        <v>3311</v>
      </c>
      <c r="B3314" s="3" t="s">
        <v>4</v>
      </c>
      <c r="C3314" s="2" t="str">
        <f ca="1">IFERROR(__xludf.DUMMYFUNCTION("GOOGLETRANSLATE(A3314,""bn"",""en"")"),"Superstar acting in a special role")</f>
        <v>Superstar acting in a special role</v>
      </c>
    </row>
    <row r="3315" spans="1:3" ht="15" x14ac:dyDescent="0.25">
      <c r="A3315" s="3" t="s">
        <v>3312</v>
      </c>
      <c r="B3315" s="3" t="s">
        <v>4</v>
      </c>
      <c r="C3315" s="2" t="str">
        <f ca="1">IFERROR(__xludf.DUMMYFUNCTION("GOOGLETRANSLATE(A3315,""bn"",""en"")"),"Football is fun at the World Cup")</f>
        <v>Football is fun at the World Cup</v>
      </c>
    </row>
    <row r="3316" spans="1:3" ht="15" x14ac:dyDescent="0.25">
      <c r="A3316" s="3" t="s">
        <v>3313</v>
      </c>
      <c r="B3316" s="3" t="s">
        <v>4</v>
      </c>
      <c r="C3316" s="2" t="str">
        <f ca="1">IFERROR(__xludf.DUMMYFUNCTION("GOOGLETRANSLATE(A3316,""bn"",""en"")"),"Support bank branches")</f>
        <v>Support bank branches</v>
      </c>
    </row>
    <row r="3317" spans="1:3" ht="15" x14ac:dyDescent="0.25">
      <c r="A3317" s="3" t="s">
        <v>3314</v>
      </c>
      <c r="B3317" s="3" t="s">
        <v>4</v>
      </c>
      <c r="C3317" s="2" t="str">
        <f ca="1">IFERROR(__xludf.DUMMYFUNCTION("GOOGLETRANSLATE(A3317,""bn"",""en"")"),"Take a stroll among the betel leaves")</f>
        <v>Take a stroll among the betel leaves</v>
      </c>
    </row>
    <row r="3318" spans="1:3" ht="15" x14ac:dyDescent="0.25">
      <c r="A3318" s="3" t="s">
        <v>3315</v>
      </c>
      <c r="B3318" s="3" t="s">
        <v>4</v>
      </c>
      <c r="C3318" s="2" t="str">
        <f ca="1">IFERROR(__xludf.DUMMYFUNCTION("GOOGLETRANSLATE(A3318,""bn"",""en"")"),"Flash skills in basketball")</f>
        <v>Flash skills in basketball</v>
      </c>
    </row>
    <row r="3319" spans="1:3" ht="15" x14ac:dyDescent="0.25">
      <c r="A3319" s="3" t="s">
        <v>3316</v>
      </c>
      <c r="B3319" s="3" t="s">
        <v>4</v>
      </c>
      <c r="C3319" s="2" t="str">
        <f ca="1">IFERROR(__xludf.DUMMYFUNCTION("GOOGLETRANSLATE(A3319,""bn"",""en"")"),"Pictures full of laughter")</f>
        <v>Pictures full of laughter</v>
      </c>
    </row>
    <row r="3320" spans="1:3" ht="15" x14ac:dyDescent="0.25">
      <c r="A3320" s="3" t="s">
        <v>3317</v>
      </c>
      <c r="B3320" s="3" t="s">
        <v>4</v>
      </c>
      <c r="C3320" s="2" t="str">
        <f ca="1">IFERROR(__xludf.DUMMYFUNCTION("GOOGLETRANSLATE(A3320,""bn"",""en"")"),"Demonstration of bowling skills in cricket")</f>
        <v>Demonstration of bowling skills in cricket</v>
      </c>
    </row>
    <row r="3321" spans="1:3" ht="15" x14ac:dyDescent="0.25">
      <c r="A3321" s="3" t="s">
        <v>3318</v>
      </c>
      <c r="B3321" s="3" t="s">
        <v>4</v>
      </c>
      <c r="C3321" s="2" t="str">
        <f ca="1">IFERROR(__xludf.DUMMYFUNCTION("GOOGLETRANSLATE(A3321,""bn"",""en"")"),"Exploring hybrid computing technologies")</f>
        <v>Exploring hybrid computing technologies</v>
      </c>
    </row>
    <row r="3322" spans="1:3" ht="15" x14ac:dyDescent="0.25">
      <c r="A3322" s="3" t="s">
        <v>3319</v>
      </c>
      <c r="B3322" s="3" t="s">
        <v>4</v>
      </c>
      <c r="C3322" s="2" t="str">
        <f ca="1">IFERROR(__xludf.DUMMYFUNCTION("GOOGLETRANSLATE(A3322,""bn"",""en"")"),"Come with a friend")</f>
        <v>Come with a friend</v>
      </c>
    </row>
    <row r="3323" spans="1:3" ht="15" x14ac:dyDescent="0.25">
      <c r="A3323" s="3" t="s">
        <v>3320</v>
      </c>
      <c r="B3323" s="3" t="s">
        <v>4</v>
      </c>
      <c r="C3323" s="2" t="str">
        <f ca="1">IFERROR(__xludf.DUMMYFUNCTION("GOOGLETRANSLATE(A3323,""bn"",""en"")"),"Check your finances")</f>
        <v>Check your finances</v>
      </c>
    </row>
    <row r="3324" spans="1:3" ht="15" x14ac:dyDescent="0.25">
      <c r="A3324" s="3" t="s">
        <v>3321</v>
      </c>
      <c r="B3324" s="3" t="s">
        <v>4</v>
      </c>
      <c r="C3324" s="2" t="str">
        <f ca="1">IFERROR(__xludf.DUMMYFUNCTION("GOOGLETRANSLATE(A3324,""bn"",""en"")"),"Further increase in government schemes")</f>
        <v>Further increase in government schemes</v>
      </c>
    </row>
    <row r="3325" spans="1:3" ht="15" x14ac:dyDescent="0.25">
      <c r="A3325" s="3" t="s">
        <v>3322</v>
      </c>
      <c r="B3325" s="3" t="s">
        <v>4</v>
      </c>
      <c r="C3325" s="2" t="str">
        <f ca="1">IFERROR(__xludf.DUMMYFUNCTION("GOOGLETRANSLATE(A3325,""bn"",""en"")"),"Visit an ancient temple")</f>
        <v>Visit an ancient temple</v>
      </c>
    </row>
    <row r="3326" spans="1:3" ht="15" x14ac:dyDescent="0.25">
      <c r="A3326" s="3" t="s">
        <v>3323</v>
      </c>
      <c r="B3326" s="3" t="s">
        <v>4</v>
      </c>
      <c r="C3326" s="2" t="str">
        <f ca="1">IFERROR(__xludf.DUMMYFUNCTION("GOOGLETRANSLATE(A3326,""bn"",""en"")"),"Designing Critical Information Systems")</f>
        <v>Designing Critical Information Systems</v>
      </c>
    </row>
    <row r="3327" spans="1:3" ht="15" x14ac:dyDescent="0.25">
      <c r="A3327" s="3" t="s">
        <v>3324</v>
      </c>
      <c r="B3327" s="3" t="s">
        <v>4</v>
      </c>
      <c r="C3327" s="2" t="str">
        <f ca="1">IFERROR(__xludf.DUMMYFUNCTION("GOOGLETRANSLATE(A3327,""bn"",""en"")"),"Coding and programming techniques")</f>
        <v>Coding and programming techniques</v>
      </c>
    </row>
    <row r="3328" spans="1:3" ht="15" x14ac:dyDescent="0.25">
      <c r="A3328" s="3" t="s">
        <v>3325</v>
      </c>
      <c r="B3328" s="3" t="s">
        <v>4</v>
      </c>
      <c r="C3328" s="2" t="str">
        <f ca="1">IFERROR(__xludf.DUMMYFUNCTION("GOOGLETRANSLATE(A3328,""bn"",""en"")"),"Coastal people are in danger")</f>
        <v>Coastal people are in danger</v>
      </c>
    </row>
    <row r="3329" spans="1:3" ht="15" x14ac:dyDescent="0.25">
      <c r="A3329" s="3" t="s">
        <v>3326</v>
      </c>
      <c r="B3329" s="3" t="s">
        <v>4</v>
      </c>
      <c r="C3329" s="2" t="str">
        <f ca="1">IFERROR(__xludf.DUMMYFUNCTION("GOOGLETRANSLATE(A3329,""bn"",""en"")"),"Deposit the money in the bank")</f>
        <v>Deposit the money in the bank</v>
      </c>
    </row>
    <row r="3330" spans="1:3" ht="15" x14ac:dyDescent="0.25">
      <c r="A3330" s="3" t="s">
        <v>3327</v>
      </c>
      <c r="B3330" s="3" t="s">
        <v>4</v>
      </c>
      <c r="C3330" s="2" t="str">
        <f ca="1">IFERROR(__xludf.DUMMYFUNCTION("GOOGLETRANSLATE(A3330,""bn"",""en"")"),"Customer came to deposit money")</f>
        <v>Customer came to deposit money</v>
      </c>
    </row>
    <row r="3331" spans="1:3" ht="15" x14ac:dyDescent="0.25">
      <c r="A3331" s="3" t="s">
        <v>3328</v>
      </c>
      <c r="B3331" s="3" t="s">
        <v>4</v>
      </c>
      <c r="C3331" s="2" t="str">
        <f ca="1">IFERROR(__xludf.DUMMYFUNCTION("GOOGLETRANSLATE(A3331,""bn"",""en"")"),"Study in digital classroom")</f>
        <v>Study in digital classroom</v>
      </c>
    </row>
    <row r="3332" spans="1:3" ht="15" x14ac:dyDescent="0.25">
      <c r="A3332" s="3" t="s">
        <v>3329</v>
      </c>
      <c r="B3332" s="3" t="s">
        <v>4</v>
      </c>
      <c r="C3332" s="2" t="str">
        <f ca="1">IFERROR(__xludf.DUMMYFUNCTION("GOOGLETRANSLATE(A3332,""bn"",""en"")"),"Visit Mahakal temple")</f>
        <v>Visit Mahakal temple</v>
      </c>
    </row>
    <row r="3333" spans="1:3" ht="15" x14ac:dyDescent="0.25">
      <c r="A3333" s="3" t="s">
        <v>3330</v>
      </c>
      <c r="B3333" s="3" t="s">
        <v>4</v>
      </c>
      <c r="C3333" s="2" t="str">
        <f ca="1">IFERROR(__xludf.DUMMYFUNCTION("GOOGLETRANSLATE(A3333,""bn"",""en"")"),"The content is being practiced in the conference")</f>
        <v>The content is being practiced in the conference</v>
      </c>
    </row>
    <row r="3334" spans="1:3" ht="15" x14ac:dyDescent="0.25">
      <c r="A3334" s="3" t="s">
        <v>3331</v>
      </c>
      <c r="B3334" s="3" t="s">
        <v>4</v>
      </c>
      <c r="C3334" s="2" t="str">
        <f ca="1">IFERROR(__xludf.DUMMYFUNCTION("GOOGLETRANSLATE(A3334,""bn"",""en"")"),"The sweetness of Eastern Shruti is infinite")</f>
        <v>The sweetness of Eastern Shruti is infinite</v>
      </c>
    </row>
    <row r="3335" spans="1:3" ht="15" x14ac:dyDescent="0.25">
      <c r="A3335" s="3" t="s">
        <v>3332</v>
      </c>
      <c r="B3335" s="3" t="s">
        <v>4</v>
      </c>
      <c r="C3335" s="2" t="str">
        <f ca="1">IFERROR(__xludf.DUMMYFUNCTION("GOOGLETRANSLATE(A3335,""bn"",""en"")"),"Norway is full of island feelings")</f>
        <v>Norway is full of island feelings</v>
      </c>
    </row>
    <row r="3336" spans="1:3" ht="15" x14ac:dyDescent="0.25">
      <c r="A3336" s="3" t="s">
        <v>3333</v>
      </c>
      <c r="B3336" s="3" t="s">
        <v>4</v>
      </c>
      <c r="C3336" s="2" t="str">
        <f ca="1">IFERROR(__xludf.DUMMYFUNCTION("GOOGLETRANSLATE(A3336,""bn"",""en"")"),"The football game has been amazing")</f>
        <v>The football game has been amazing</v>
      </c>
    </row>
    <row r="3337" spans="1:3" ht="15" x14ac:dyDescent="0.25">
      <c r="A3337" s="3" t="s">
        <v>3334</v>
      </c>
      <c r="B3337" s="3" t="s">
        <v>4</v>
      </c>
      <c r="C3337" s="2" t="str">
        <f ca="1">IFERROR(__xludf.DUMMYFUNCTION("GOOGLETRANSLATE(A3337,""bn"",""en"")"),"Online learning opportunities are increasing")</f>
        <v>Online learning opportunities are increasing</v>
      </c>
    </row>
    <row r="3338" spans="1:3" ht="15" x14ac:dyDescent="0.25">
      <c r="A3338" s="3" t="s">
        <v>3335</v>
      </c>
      <c r="B3338" s="3" t="s">
        <v>4</v>
      </c>
      <c r="C3338" s="2" t="str">
        <f ca="1">IFERROR(__xludf.DUMMYFUNCTION("GOOGLETRANSLATE(A3338,""bn"",""en"")"),"Creating advanced machine intelligence")</f>
        <v>Creating advanced machine intelligence</v>
      </c>
    </row>
    <row r="3339" spans="1:3" ht="15" x14ac:dyDescent="0.25">
      <c r="A3339" s="3" t="s">
        <v>3336</v>
      </c>
      <c r="B3339" s="3" t="s">
        <v>4</v>
      </c>
      <c r="C3339" s="2" t="str">
        <f ca="1">IFERROR(__xludf.DUMMYFUNCTION("GOOGLETRANSLATE(A3339,""bn"",""en"")"),"The party is strong with lots of votes")</f>
        <v>The party is strong with lots of votes</v>
      </c>
    </row>
    <row r="3340" spans="1:3" ht="15" x14ac:dyDescent="0.25">
      <c r="A3340" s="3" t="s">
        <v>3337</v>
      </c>
      <c r="B3340" s="3" t="s">
        <v>4</v>
      </c>
      <c r="C3340" s="2" t="str">
        <f ca="1">IFERROR(__xludf.DUMMYFUNCTION("GOOGLETRANSLATE(A3340,""bn"",""en"")"),"There are dirty discussions in the parliament")</f>
        <v>There are dirty discussions in the parliament</v>
      </c>
    </row>
    <row r="3341" spans="1:3" ht="15" x14ac:dyDescent="0.25">
      <c r="A3341" s="3" t="s">
        <v>3338</v>
      </c>
      <c r="B3341" s="3" t="s">
        <v>4</v>
      </c>
      <c r="C3341" s="2" t="str">
        <f ca="1">IFERROR(__xludf.DUMMYFUNCTION("GOOGLETRANSLATE(A3341,""bn"",""en"")"),"Endurance players are better")</f>
        <v>Endurance players are better</v>
      </c>
    </row>
    <row r="3342" spans="1:3" ht="15" x14ac:dyDescent="0.25">
      <c r="A3342" s="3" t="s">
        <v>3339</v>
      </c>
      <c r="B3342" s="3" t="s">
        <v>4</v>
      </c>
      <c r="C3342" s="2" t="str">
        <f ca="1">IFERROR(__xludf.DUMMYFUNCTION("GOOGLETRANSLATE(A3342,""bn"",""en"")"),"Invest personal capital")</f>
        <v>Invest personal capital</v>
      </c>
    </row>
    <row r="3343" spans="1:3" ht="15" x14ac:dyDescent="0.25">
      <c r="A3343" s="3" t="s">
        <v>3340</v>
      </c>
      <c r="B3343" s="3" t="s">
        <v>4</v>
      </c>
      <c r="C3343" s="2" t="str">
        <f ca="1">IFERROR(__xludf.DUMMYFUNCTION("GOOGLETRANSLATE(A3343,""bn"",""en"")"),"Having fun learning gymnastics")</f>
        <v>Having fun learning gymnastics</v>
      </c>
    </row>
    <row r="3344" spans="1:3" ht="15" x14ac:dyDescent="0.25">
      <c r="A3344" s="3" t="s">
        <v>3341</v>
      </c>
      <c r="B3344" s="3" t="s">
        <v>4</v>
      </c>
      <c r="C3344" s="2" t="str">
        <f ca="1">IFERROR(__xludf.DUMMYFUNCTION("GOOGLETRANSLATE(A3344,""bn"",""en"")"),"Work in economical colors")</f>
        <v>Work in economical colors</v>
      </c>
    </row>
    <row r="3345" spans="1:3" ht="15" x14ac:dyDescent="0.25">
      <c r="A3345" s="3" t="s">
        <v>3342</v>
      </c>
      <c r="B3345" s="3" t="s">
        <v>4</v>
      </c>
      <c r="C3345" s="2" t="str">
        <f ca="1">IFERROR(__xludf.DUMMYFUNCTION("GOOGLETRANSLATE(A3345,""bn"",""en"")"),"Swimming started")</f>
        <v>Swimming started</v>
      </c>
    </row>
    <row r="3346" spans="1:3" ht="15" x14ac:dyDescent="0.25">
      <c r="A3346" s="3" t="s">
        <v>3343</v>
      </c>
      <c r="B3346" s="3" t="s">
        <v>4</v>
      </c>
      <c r="C3346" s="2" t="str">
        <f ca="1">IFERROR(__xludf.DUMMYFUNCTION("GOOGLETRANSLATE(A3346,""bn"",""en"")"),"Understand the textbook properly")</f>
        <v>Understand the textbook properly</v>
      </c>
    </row>
    <row r="3347" spans="1:3" ht="15" x14ac:dyDescent="0.25">
      <c r="A3347" s="3" t="s">
        <v>3344</v>
      </c>
      <c r="B3347" s="3" t="s">
        <v>4</v>
      </c>
      <c r="C3347" s="2" t="str">
        <f ca="1">IFERROR(__xludf.DUMMYFUNCTION("GOOGLETRANSLATE(A3347,""bn"",""en"")"),"Social learning is for everyone")</f>
        <v>Social learning is for everyone</v>
      </c>
    </row>
    <row r="3348" spans="1:3" ht="15" x14ac:dyDescent="0.25">
      <c r="A3348" s="3" t="s">
        <v>3345</v>
      </c>
      <c r="B3348" s="3" t="s">
        <v>4</v>
      </c>
      <c r="C3348" s="2" t="str">
        <f ca="1">IFERROR(__xludf.DUMMYFUNCTION("GOOGLETRANSLATE(A3348,""bn"",""en"")"),"Compose the tune of the flute")</f>
        <v>Compose the tune of the flute</v>
      </c>
    </row>
    <row r="3349" spans="1:3" ht="15" x14ac:dyDescent="0.25">
      <c r="A3349" s="3" t="s">
        <v>3346</v>
      </c>
      <c r="B3349" s="3" t="s">
        <v>4</v>
      </c>
      <c r="C3349" s="2" t="str">
        <f ca="1">IFERROR(__xludf.DUMMYFUNCTION("GOOGLETRANSLATE(A3349,""bn"",""en"")"),"This is a secure transaction")</f>
        <v>This is a secure transaction</v>
      </c>
    </row>
    <row r="3350" spans="1:3" ht="15" x14ac:dyDescent="0.25">
      <c r="A3350" s="3" t="s">
        <v>3347</v>
      </c>
      <c r="B3350" s="3" t="s">
        <v>4</v>
      </c>
      <c r="C3350" s="2" t="str">
        <f ca="1">IFERROR(__xludf.DUMMYFUNCTION("GOOGLETRANSLATE(A3350,""bn"",""en"")"),"The United States has the Grand Canyon")</f>
        <v>The United States has the Grand Canyon</v>
      </c>
    </row>
    <row r="3351" spans="1:3" ht="15" x14ac:dyDescent="0.25">
      <c r="A3351" s="3" t="s">
        <v>3348</v>
      </c>
      <c r="B3351" s="3" t="s">
        <v>4</v>
      </c>
      <c r="C3351" s="2" t="str">
        <f ca="1">IFERROR(__xludf.DUMMYFUNCTION("GOOGLETRANSLATE(A3351,""bn"",""en"")"),"Growth is for yourself")</f>
        <v>Growth is for yourself</v>
      </c>
    </row>
    <row r="3352" spans="1:3" ht="15" x14ac:dyDescent="0.25">
      <c r="A3352" s="3" t="s">
        <v>3349</v>
      </c>
      <c r="B3352" s="3" t="s">
        <v>4</v>
      </c>
      <c r="C3352" s="2" t="str">
        <f ca="1">IFERROR(__xludf.DUMMYFUNCTION("GOOGLETRANSLATE(A3352,""bn"",""en"")"),"Hitting the ball on the tennis court")</f>
        <v>Hitting the ball on the tennis court</v>
      </c>
    </row>
    <row r="3353" spans="1:3" ht="15" x14ac:dyDescent="0.25">
      <c r="A3353" s="3" t="s">
        <v>3350</v>
      </c>
      <c r="B3353" s="3" t="s">
        <v>4</v>
      </c>
      <c r="C3353" s="2" t="str">
        <f ca="1">IFERROR(__xludf.DUMMYFUNCTION("GOOGLETRANSLATE(A3353,""bn"",""en"")"),"Travel seamlessly in tune")</f>
        <v>Travel seamlessly in tune</v>
      </c>
    </row>
    <row r="3354" spans="1:3" ht="15" x14ac:dyDescent="0.25">
      <c r="A3354" s="3" t="s">
        <v>3351</v>
      </c>
      <c r="B3354" s="3" t="s">
        <v>4</v>
      </c>
      <c r="C3354" s="2" t="str">
        <f ca="1">IFERROR(__xludf.DUMMYFUNCTION("GOOGLETRANSLATE(A3354,""bn"",""en"")"),"Cycling with beauty")</f>
        <v>Cycling with beauty</v>
      </c>
    </row>
    <row r="3355" spans="1:3" ht="15" x14ac:dyDescent="0.25">
      <c r="A3355" s="3" t="s">
        <v>3352</v>
      </c>
      <c r="B3355" s="3" t="s">
        <v>4</v>
      </c>
      <c r="C3355" s="2" t="str">
        <f ca="1">IFERROR(__xludf.DUMMYFUNCTION("GOOGLETRANSLATE(A3355,""bn"",""en"")"),"Gymnastics is hard to learn")</f>
        <v>Gymnastics is hard to learn</v>
      </c>
    </row>
    <row r="3356" spans="1:3" ht="15" x14ac:dyDescent="0.25">
      <c r="A3356" s="3" t="s">
        <v>3353</v>
      </c>
      <c r="B3356" s="3" t="s">
        <v>4</v>
      </c>
      <c r="C3356" s="2" t="str">
        <f ca="1">IFERROR(__xludf.DUMMYFUNCTION("GOOGLETRANSLATE(A3356,""bn"",""en"")"),"It was a particularly successful speech")</f>
        <v>It was a particularly successful speech</v>
      </c>
    </row>
    <row r="3357" spans="1:3" ht="15" x14ac:dyDescent="0.25">
      <c r="A3357" s="3" t="s">
        <v>3354</v>
      </c>
      <c r="B3357" s="3" t="s">
        <v>4</v>
      </c>
      <c r="C3357" s="2" t="str">
        <f ca="1">IFERROR(__xludf.DUMMYFUNCTION("GOOGLETRANSLATE(A3357,""bn"",""en"")"),"Ghosts have stories")</f>
        <v>Ghosts have stories</v>
      </c>
    </row>
    <row r="3358" spans="1:3" ht="15" x14ac:dyDescent="0.25">
      <c r="A3358" s="3" t="s">
        <v>3355</v>
      </c>
      <c r="B3358" s="3" t="s">
        <v>4</v>
      </c>
      <c r="C3358" s="2" t="str">
        <f ca="1">IFERROR(__xludf.DUMMYFUNCTION("GOOGLETRANSLATE(A3358,""bn"",""en"")"),"The hockey game is coming again")</f>
        <v>The hockey game is coming again</v>
      </c>
    </row>
    <row r="3359" spans="1:3" ht="15" x14ac:dyDescent="0.25">
      <c r="A3359" s="3" t="s">
        <v>3356</v>
      </c>
      <c r="B3359" s="3" t="s">
        <v>4</v>
      </c>
      <c r="C3359" s="2" t="str">
        <f ca="1">IFERROR(__xludf.DUMMYFUNCTION("GOOGLETRANSLATE(A3359,""bn"",""en"")"),"The game of soccer is highly reflective")</f>
        <v>The game of soccer is highly reflective</v>
      </c>
    </row>
    <row r="3360" spans="1:3" ht="15" x14ac:dyDescent="0.25">
      <c r="A3360" s="3" t="s">
        <v>3357</v>
      </c>
      <c r="B3360" s="3" t="s">
        <v>4</v>
      </c>
      <c r="C3360" s="2" t="str">
        <f ca="1">IFERROR(__xludf.DUMMYFUNCTION("GOOGLETRANSLATE(A3360,""bn"",""en"")"),"Travel to larger cities")</f>
        <v>Travel to larger cities</v>
      </c>
    </row>
    <row r="3361" spans="1:3" ht="15" x14ac:dyDescent="0.25">
      <c r="A3361" s="3" t="s">
        <v>3358</v>
      </c>
      <c r="B3361" s="3" t="s">
        <v>4</v>
      </c>
      <c r="C3361" s="2" t="str">
        <f ca="1">IFERROR(__xludf.DUMMYFUNCTION("GOOGLETRANSLATE(A3361,""bn"",""en"")"),"Goals are created in football")</f>
        <v>Goals are created in football</v>
      </c>
    </row>
    <row r="3362" spans="1:3" ht="15" x14ac:dyDescent="0.25">
      <c r="A3362" s="3" t="s">
        <v>3359</v>
      </c>
      <c r="B3362" s="3" t="s">
        <v>4</v>
      </c>
      <c r="C3362" s="2" t="str">
        <f ca="1">IFERROR(__xludf.DUMMYFUNCTION("GOOGLETRANSLATE(A3362,""bn"",""en"")"),"Cricket asked to bat")</f>
        <v>Cricket asked to bat</v>
      </c>
    </row>
    <row r="3363" spans="1:3" ht="15" x14ac:dyDescent="0.25">
      <c r="A3363" s="3" t="s">
        <v>3360</v>
      </c>
      <c r="B3363" s="3" t="s">
        <v>4</v>
      </c>
      <c r="C3363" s="2" t="str">
        <f ca="1">IFERROR(__xludf.DUMMYFUNCTION("GOOGLETRANSLATE(A3363,""bn"",""en"")"),"Workers have productive power")</f>
        <v>Workers have productive power</v>
      </c>
    </row>
    <row r="3364" spans="1:3" ht="15" x14ac:dyDescent="0.25">
      <c r="A3364" s="3" t="s">
        <v>3361</v>
      </c>
      <c r="B3364" s="3" t="s">
        <v>4</v>
      </c>
      <c r="C3364" s="2" t="str">
        <f ca="1">IFERROR(__xludf.DUMMYFUNCTION("GOOGLETRANSLATE(A3364,""bn"",""en"")"),"Government is increasing progress")</f>
        <v>Government is increasing progress</v>
      </c>
    </row>
    <row r="3365" spans="1:3" ht="15" x14ac:dyDescent="0.25">
      <c r="A3365" s="3" t="s">
        <v>3362</v>
      </c>
      <c r="B3365" s="3" t="s">
        <v>4</v>
      </c>
      <c r="C3365" s="2" t="str">
        <f ca="1">IFERROR(__xludf.DUMMYFUNCTION("GOOGLETRANSLATE(A3365,""bn"",""en"")"),"Fun in playing hockey")</f>
        <v>Fun in playing hockey</v>
      </c>
    </row>
    <row r="3366" spans="1:3" ht="15" x14ac:dyDescent="0.25">
      <c r="A3366" s="3" t="s">
        <v>3363</v>
      </c>
      <c r="B3366" s="3" t="s">
        <v>4</v>
      </c>
      <c r="C3366" s="2" t="str">
        <f ca="1">IFERROR(__xludf.DUMMYFUNCTION("GOOGLETRANSLATE(A3366,""bn"",""en"")"),"Comilla has a huge hawrah")</f>
        <v>Comilla has a huge hawrah</v>
      </c>
    </row>
    <row r="3367" spans="1:3" ht="15" x14ac:dyDescent="0.25">
      <c r="A3367" s="3" t="s">
        <v>3364</v>
      </c>
      <c r="B3367" s="3" t="s">
        <v>4</v>
      </c>
      <c r="C3367" s="2" t="str">
        <f ca="1">IFERROR(__xludf.DUMMYFUNCTION("GOOGLETRANSLATE(A3367,""bn"",""en"")"),"Guri Mille in skating")</f>
        <v>Guri Mille in skating</v>
      </c>
    </row>
    <row r="3368" spans="1:3" ht="15" x14ac:dyDescent="0.25">
      <c r="A3368" s="3" t="s">
        <v>3365</v>
      </c>
      <c r="B3368" s="3" t="s">
        <v>4</v>
      </c>
      <c r="C3368" s="2" t="str">
        <f ca="1">IFERROR(__xludf.DUMMYFUNCTION("GOOGLETRANSLATE(A3368,""bn"",""en"")"),"Stay in a romantic hotel")</f>
        <v>Stay in a romantic hotel</v>
      </c>
    </row>
    <row r="3369" spans="1:3" ht="15" x14ac:dyDescent="0.25">
      <c r="A3369" s="3" t="s">
        <v>3366</v>
      </c>
      <c r="B3369" s="3" t="s">
        <v>4</v>
      </c>
      <c r="C3369" s="2" t="str">
        <f ca="1">IFERROR(__xludf.DUMMYFUNCTION("GOOGLETRANSLATE(A3369,""bn"",""en"")"),"Good to play Sunday ball")</f>
        <v>Good to play Sunday ball</v>
      </c>
    </row>
    <row r="3370" spans="1:3" ht="15" x14ac:dyDescent="0.25">
      <c r="A3370" s="3" t="s">
        <v>3367</v>
      </c>
      <c r="B3370" s="3" t="s">
        <v>4</v>
      </c>
      <c r="C3370" s="2" t="str">
        <f ca="1">IFERROR(__xludf.DUMMYFUNCTION("GOOGLETRANSLATE(A3370,""bn"",""en"")"),"The world economy is booming")</f>
        <v>The world economy is booming</v>
      </c>
    </row>
    <row r="3371" spans="1:3" ht="15" x14ac:dyDescent="0.25">
      <c r="A3371" s="3" t="s">
        <v>3368</v>
      </c>
      <c r="B3371" s="3" t="s">
        <v>4</v>
      </c>
      <c r="C3371" s="2" t="str">
        <f ca="1">IFERROR(__xludf.DUMMYFUNCTION("GOOGLETRANSLATE(A3371,""bn"",""en"")"),"People are having fun in the park")</f>
        <v>People are having fun in the park</v>
      </c>
    </row>
    <row r="3372" spans="1:3" ht="15" x14ac:dyDescent="0.25">
      <c r="A3372" s="3" t="s">
        <v>3369</v>
      </c>
      <c r="B3372" s="3" t="s">
        <v>4</v>
      </c>
      <c r="C3372" s="2" t="str">
        <f ca="1">IFERROR(__xludf.DUMMYFUNCTION("GOOGLETRANSLATE(A3372,""bn"",""en"")"),"Character development is quite selfish")</f>
        <v>Character development is quite selfish</v>
      </c>
    </row>
    <row r="3373" spans="1:3" ht="15" x14ac:dyDescent="0.25">
      <c r="A3373" s="3" t="s">
        <v>3370</v>
      </c>
      <c r="B3373" s="3" t="s">
        <v>4</v>
      </c>
      <c r="C3373" s="2" t="str">
        <f ca="1">IFERROR(__xludf.DUMMYFUNCTION("GOOGLETRANSLATE(A3373,""bn"",""en"")"),"Education is a guide in life")</f>
        <v>Education is a guide in life</v>
      </c>
    </row>
    <row r="3374" spans="1:3" ht="15" x14ac:dyDescent="0.25">
      <c r="A3374" s="3" t="s">
        <v>3371</v>
      </c>
      <c r="B3374" s="3" t="s">
        <v>4</v>
      </c>
      <c r="C3374" s="2" t="str">
        <f ca="1">IFERROR(__xludf.DUMMYFUNCTION("GOOGLETRANSLATE(A3374,""bn"",""en"")"),"Tour Suzuki's growth city")</f>
        <v>Tour Suzuki's growth city</v>
      </c>
    </row>
    <row r="3375" spans="1:3" ht="15" x14ac:dyDescent="0.25">
      <c r="A3375" s="3" t="s">
        <v>3372</v>
      </c>
      <c r="B3375" s="3" t="s">
        <v>4</v>
      </c>
      <c r="C3375" s="2" t="str">
        <f ca="1">IFERROR(__xludf.DUMMYFUNCTION("GOOGLETRANSLATE(A3375,""bn"",""en"")"),"New cyber security technologies")</f>
        <v>New cyber security technologies</v>
      </c>
    </row>
    <row r="3376" spans="1:3" ht="15" x14ac:dyDescent="0.25">
      <c r="A3376" s="3" t="s">
        <v>3373</v>
      </c>
      <c r="B3376" s="3" t="s">
        <v>4</v>
      </c>
      <c r="C3376" s="2" t="str">
        <f ca="1">IFERROR(__xludf.DUMMYFUNCTION("GOOGLETRANSLATE(A3376,""bn"",""en"")"),"Hold on to the ghost stories")</f>
        <v>Hold on to the ghost stories</v>
      </c>
    </row>
    <row r="3377" spans="1:3" ht="15" x14ac:dyDescent="0.25">
      <c r="A3377" s="3" t="s">
        <v>3374</v>
      </c>
      <c r="B3377" s="3" t="s">
        <v>4</v>
      </c>
      <c r="C3377" s="2" t="str">
        <f ca="1">IFERROR(__xludf.DUMMYFUNCTION("GOOGLETRANSLATE(A3377,""bn"",""en"")"),"Fly in a hot air balloon")</f>
        <v>Fly in a hot air balloon</v>
      </c>
    </row>
    <row r="3378" spans="1:3" ht="15" x14ac:dyDescent="0.25">
      <c r="A3378" s="3" t="s">
        <v>3375</v>
      </c>
      <c r="B3378" s="3" t="s">
        <v>4</v>
      </c>
      <c r="C3378" s="2" t="str">
        <f ca="1">IFERROR(__xludf.DUMMYFUNCTION("GOOGLETRANSLATE(A3378,""bn"",""en"")"),"Take the guide for help")</f>
        <v>Take the guide for help</v>
      </c>
    </row>
    <row r="3379" spans="1:3" ht="15" x14ac:dyDescent="0.25">
      <c r="A3379" s="3" t="s">
        <v>3376</v>
      </c>
      <c r="B3379" s="3" t="s">
        <v>4</v>
      </c>
      <c r="C3379" s="2" t="str">
        <f ca="1">IFERROR(__xludf.DUMMYFUNCTION("GOOGLETRANSLATE(A3379,""bn"",""en"")"),"Knowledge enlightens the mind")</f>
        <v>Knowledge enlightens the mind</v>
      </c>
    </row>
    <row r="3380" spans="1:3" ht="15" x14ac:dyDescent="0.25">
      <c r="A3380" s="3" t="s">
        <v>3377</v>
      </c>
      <c r="B3380" s="3" t="s">
        <v>4</v>
      </c>
      <c r="C3380" s="2" t="str">
        <f ca="1">IFERROR(__xludf.DUMMYFUNCTION("GOOGLETRANSLATE(A3380,""bn"",""en"")"),"His heart is full of music")</f>
        <v>His heart is full of music</v>
      </c>
    </row>
    <row r="3381" spans="1:3" ht="15" x14ac:dyDescent="0.25">
      <c r="A3381" s="3" t="s">
        <v>3378</v>
      </c>
      <c r="B3381" s="3" t="s">
        <v>4</v>
      </c>
      <c r="C3381" s="2" t="str">
        <f ca="1">IFERROR(__xludf.DUMMYFUNCTION("GOOGLETRANSLATE(A3381,""bn"",""en"")"),"Use your e-banking")</f>
        <v>Use your e-banking</v>
      </c>
    </row>
    <row r="3382" spans="1:3" ht="15" x14ac:dyDescent="0.25">
      <c r="A3382" s="3" t="s">
        <v>3379</v>
      </c>
      <c r="B3382" s="3" t="s">
        <v>4</v>
      </c>
      <c r="C3382" s="2" t="str">
        <f ca="1">IFERROR(__xludf.DUMMYFUNCTION("GOOGLETRANSLATE(A3382,""bn"",""en"")"),"Balochistan is located next to the country")</f>
        <v>Balochistan is located next to the country</v>
      </c>
    </row>
    <row r="3383" spans="1:3" ht="15" x14ac:dyDescent="0.25">
      <c r="A3383" s="3" t="s">
        <v>3380</v>
      </c>
      <c r="B3383" s="3" t="s">
        <v>4</v>
      </c>
      <c r="C3383" s="2" t="str">
        <f ca="1">IFERROR(__xludf.DUMMYFUNCTION("GOOGLETRANSLATE(A3383,""bn"",""en"")"),"Internet connected devices are increasing")</f>
        <v>Internet connected devices are increasing</v>
      </c>
    </row>
    <row r="3384" spans="1:3" ht="15" x14ac:dyDescent="0.25">
      <c r="A3384" s="3" t="s">
        <v>3381</v>
      </c>
      <c r="B3384" s="3" t="s">
        <v>4</v>
      </c>
      <c r="C3384" s="2" t="str">
        <f ca="1">IFERROR(__xludf.DUMMYFUNCTION("GOOGLETRANSLATE(A3384,""bn"",""en"")"),"A life of tuneful music")</f>
        <v>A life of tuneful music</v>
      </c>
    </row>
    <row r="3385" spans="1:3" ht="15" x14ac:dyDescent="0.25">
      <c r="A3385" s="3" t="s">
        <v>3382</v>
      </c>
      <c r="B3385" s="3" t="s">
        <v>4</v>
      </c>
      <c r="C3385" s="2" t="str">
        <f ca="1">IFERROR(__xludf.DUMMYFUNCTION("GOOGLETRANSLATE(A3385,""bn"",""en"")"),"Fountain of happiness in the beautiful music")</f>
        <v>Fountain of happiness in the beautiful music</v>
      </c>
    </row>
    <row r="3386" spans="1:3" ht="15" x14ac:dyDescent="0.25">
      <c r="A3386" s="3" t="s">
        <v>3383</v>
      </c>
      <c r="B3386" s="3" t="s">
        <v>4</v>
      </c>
      <c r="C3386" s="2" t="str">
        <f ca="1">IFERROR(__xludf.DUMMYFUNCTION("GOOGLETRANSLATE(A3386,""bn"",""en"")"),"It was really a delicious song")</f>
        <v>It was really a delicious song</v>
      </c>
    </row>
    <row r="3387" spans="1:3" ht="15" x14ac:dyDescent="0.25">
      <c r="A3387" s="3" t="s">
        <v>3384</v>
      </c>
      <c r="B3387" s="3" t="s">
        <v>4</v>
      </c>
      <c r="C3387" s="2" t="str">
        <f ca="1">IFERROR(__xludf.DUMMYFUNCTION("GOOGLETRANSLATE(A3387,""bn"",""en"")"),"It is a new bank")</f>
        <v>It is a new bank</v>
      </c>
    </row>
    <row r="3388" spans="1:3" ht="15" x14ac:dyDescent="0.25">
      <c r="A3388" s="3" t="s">
        <v>3385</v>
      </c>
      <c r="B3388" s="3" t="s">
        <v>4</v>
      </c>
      <c r="C3388" s="2" t="str">
        <f ca="1">IFERROR(__xludf.DUMMYFUNCTION("GOOGLETRANSLATE(A3388,""bn"",""en"")"),"Neta class is getting support")</f>
        <v>Neta class is getting support</v>
      </c>
    </row>
    <row r="3389" spans="1:3" ht="15" x14ac:dyDescent="0.25">
      <c r="A3389" s="3" t="s">
        <v>3386</v>
      </c>
      <c r="B3389" s="3" t="s">
        <v>4</v>
      </c>
      <c r="C3389" s="2" t="str">
        <f ca="1">IFERROR(__xludf.DUMMYFUNCTION("GOOGLETRANSLATE(A3389,""bn"",""en"")"),"Computer Forensics Training Course")</f>
        <v>Computer Forensics Training Course</v>
      </c>
    </row>
    <row r="3390" spans="1:3" ht="15" x14ac:dyDescent="0.25">
      <c r="A3390" s="3" t="s">
        <v>3387</v>
      </c>
      <c r="B3390" s="3" t="s">
        <v>4</v>
      </c>
      <c r="C3390" s="2" t="str">
        <f ca="1">IFERROR(__xludf.DUMMYFUNCTION("GOOGLETRANSLATE(A3390,""bn"",""en"")"),"The school has the necessary software")</f>
        <v>The school has the necessary software</v>
      </c>
    </row>
    <row r="3391" spans="1:3" ht="15" x14ac:dyDescent="0.25">
      <c r="A3391" s="3" t="s">
        <v>3388</v>
      </c>
      <c r="B3391" s="3" t="s">
        <v>4</v>
      </c>
      <c r="C3391" s="2" t="str">
        <f ca="1">IFERROR(__xludf.DUMMYFUNCTION("GOOGLETRANSLATE(A3391,""bn"",""en"")"),"Do weather software development")</f>
        <v>Do weather software development</v>
      </c>
    </row>
    <row r="3392" spans="1:3" ht="15" x14ac:dyDescent="0.25">
      <c r="A3392" s="3" t="s">
        <v>3389</v>
      </c>
      <c r="B3392" s="3" t="s">
        <v>4</v>
      </c>
      <c r="C3392" s="2" t="str">
        <f ca="1">IFERROR(__xludf.DUMMYFUNCTION("GOOGLETRANSLATE(A3392,""bn"",""en"")"),"The sweet sound of the sitar")</f>
        <v>The sweet sound of the sitar</v>
      </c>
    </row>
    <row r="3393" spans="1:3" ht="15" x14ac:dyDescent="0.25">
      <c r="A3393" s="3" t="s">
        <v>3390</v>
      </c>
      <c r="B3393" s="3" t="s">
        <v>4</v>
      </c>
      <c r="C3393" s="2" t="str">
        <f ca="1">IFERROR(__xludf.DUMMYFUNCTION("GOOGLETRANSLATE(A3393,""bn"",""en"")"),"Details about loan facility")</f>
        <v>Details about loan facility</v>
      </c>
    </row>
    <row r="3394" spans="1:3" ht="15" x14ac:dyDescent="0.25">
      <c r="A3394" s="3" t="s">
        <v>3391</v>
      </c>
      <c r="B3394" s="3" t="s">
        <v>4</v>
      </c>
      <c r="C3394" s="2" t="str">
        <f ca="1">IFERROR(__xludf.DUMMYFUNCTION("GOOGLETRANSLATE(A3394,""bn"",""en"")"),"Providing robotic programming courses")</f>
        <v>Providing robotic programming courses</v>
      </c>
    </row>
    <row r="3395" spans="1:3" ht="15" x14ac:dyDescent="0.25">
      <c r="A3395" s="3" t="s">
        <v>3392</v>
      </c>
      <c r="B3395" s="3" t="s">
        <v>4</v>
      </c>
      <c r="C3395" s="2" t="str">
        <f ca="1">IFERROR(__xludf.DUMMYFUNCTION("GOOGLETRANSLATE(A3395,""bn"",""en"")"),"We go to see the river")</f>
        <v>We go to see the river</v>
      </c>
    </row>
    <row r="3396" spans="1:3" ht="15" x14ac:dyDescent="0.25">
      <c r="A3396" s="3" t="s">
        <v>3393</v>
      </c>
      <c r="B3396" s="3" t="s">
        <v>4</v>
      </c>
      <c r="C3396" s="2" t="str">
        <f ca="1">IFERROR(__xludf.DUMMYFUNCTION("GOOGLETRANSLATE(A3396,""bn"",""en"")"),"Give comprehensive education in science")</f>
        <v>Give comprehensive education in science</v>
      </c>
    </row>
    <row r="3397" spans="1:3" ht="15" x14ac:dyDescent="0.25">
      <c r="A3397" s="3" t="s">
        <v>3394</v>
      </c>
      <c r="B3397" s="3" t="s">
        <v>4</v>
      </c>
      <c r="C3397" s="2" t="str">
        <f ca="1">IFERROR(__xludf.DUMMYFUNCTION("GOOGLETRANSLATE(A3397,""bn"",""en"")"),"The development of education is the development of the country")</f>
        <v>The development of education is the development of the country</v>
      </c>
    </row>
    <row r="3398" spans="1:3" ht="15" x14ac:dyDescent="0.25">
      <c r="A3398" s="3" t="s">
        <v>3395</v>
      </c>
      <c r="B3398" s="3" t="s">
        <v>4</v>
      </c>
      <c r="C3398" s="2" t="str">
        <f ca="1">IFERROR(__xludf.DUMMYFUNCTION("GOOGLETRANSLATE(A3398,""bn"",""en"")"),"Travel in natural beauty")</f>
        <v>Travel in natural beauty</v>
      </c>
    </row>
    <row r="3399" spans="1:3" ht="15" x14ac:dyDescent="0.25">
      <c r="A3399" s="3" t="s">
        <v>3396</v>
      </c>
      <c r="B3399" s="3" t="s">
        <v>4</v>
      </c>
      <c r="C3399" s="2" t="str">
        <f ca="1">IFERROR(__xludf.DUMMYFUNCTION("GOOGLETRANSLATE(A3399,""bn"",""en"")"),"Increase education in the budget")</f>
        <v>Increase education in the budget</v>
      </c>
    </row>
    <row r="3400" spans="1:3" ht="15" x14ac:dyDescent="0.25">
      <c r="A3400" s="3" t="s">
        <v>3397</v>
      </c>
      <c r="B3400" s="3" t="s">
        <v>4</v>
      </c>
      <c r="C3400" s="2" t="str">
        <f ca="1">IFERROR(__xludf.DUMMYFUNCTION("GOOGLETRANSLATE(A3400,""bn"",""en"")"),"Enter check book number")</f>
        <v>Enter check book number</v>
      </c>
    </row>
    <row r="3401" spans="1:3" ht="15" x14ac:dyDescent="0.25">
      <c r="A3401" s="3" t="s">
        <v>3398</v>
      </c>
      <c r="B3401" s="3" t="s">
        <v>4</v>
      </c>
      <c r="C3401" s="2" t="str">
        <f ca="1">IFERROR(__xludf.DUMMYFUNCTION("GOOGLETRANSLATE(A3401,""bn"",""en"")"),"The film has received excellent reviews")</f>
        <v>The film has received excellent reviews</v>
      </c>
    </row>
    <row r="3402" spans="1:3" ht="15" x14ac:dyDescent="0.25">
      <c r="A3402" s="3" t="s">
        <v>3399</v>
      </c>
      <c r="B3402" s="3" t="s">
        <v>4</v>
      </c>
      <c r="C3402" s="2" t="str">
        <f ca="1">IFERROR(__xludf.DUMMYFUNCTION("GOOGLETRANSLATE(A3402,""bn"",""en"")"),"Improving the education system")</f>
        <v>Improving the education system</v>
      </c>
    </row>
    <row r="3403" spans="1:3" ht="15" x14ac:dyDescent="0.25">
      <c r="A3403" s="3" t="s">
        <v>3400</v>
      </c>
      <c r="B3403" s="3" t="s">
        <v>4</v>
      </c>
      <c r="C3403" s="2" t="str">
        <f ca="1">IFERROR(__xludf.DUMMYFUNCTION("GOOGLETRANSLATE(A3403,""bn"",""en"")"),"Revise cyber physics")</f>
        <v>Revise cyber physics</v>
      </c>
    </row>
    <row r="3404" spans="1:3" ht="15" x14ac:dyDescent="0.25">
      <c r="A3404" s="3" t="s">
        <v>3401</v>
      </c>
      <c r="B3404" s="3" t="s">
        <v>4</v>
      </c>
      <c r="C3404" s="2" t="str">
        <f ca="1">IFERROR(__xludf.DUMMYFUNCTION("GOOGLETRANSLATE(A3404,""bn"",""en"")"),"Ammunition is useful as a savings")</f>
        <v>Ammunition is useful as a savings</v>
      </c>
    </row>
    <row r="3405" spans="1:3" ht="15" x14ac:dyDescent="0.25">
      <c r="A3405" s="3" t="s">
        <v>3402</v>
      </c>
      <c r="B3405" s="3" t="s">
        <v>4</v>
      </c>
      <c r="C3405" s="2" t="str">
        <f ca="1">IFERROR(__xludf.DUMMYFUNCTION("GOOGLETRANSLATE(A3405,""bn"",""en"")"),"There is a sense of pleasure in mistakes")</f>
        <v>There is a sense of pleasure in mistakes</v>
      </c>
    </row>
    <row r="3406" spans="1:3" ht="15" x14ac:dyDescent="0.25">
      <c r="A3406" s="3" t="s">
        <v>3403</v>
      </c>
      <c r="B3406" s="3" t="s">
        <v>4</v>
      </c>
      <c r="C3406" s="2" t="str">
        <f ca="1">IFERROR(__xludf.DUMMYFUNCTION("GOOGLETRANSLATE(A3406,""bn"",""en"")"),"Mahabharata mountain is in India")</f>
        <v>Mahabharata mountain is in India</v>
      </c>
    </row>
    <row r="3407" spans="1:3" ht="15" x14ac:dyDescent="0.25">
      <c r="A3407" s="3" t="s">
        <v>3404</v>
      </c>
      <c r="B3407" s="3" t="s">
        <v>4</v>
      </c>
      <c r="C3407" s="2" t="str">
        <f ca="1">IFERROR(__xludf.DUMMYFUNCTION("GOOGLETRANSLATE(A3407,""bn"",""en"")"),"Have a peaceful stay at the hotel")</f>
        <v>Have a peaceful stay at the hotel</v>
      </c>
    </row>
    <row r="3408" spans="1:3" ht="15" x14ac:dyDescent="0.25">
      <c r="A3408" s="3" t="s">
        <v>3405</v>
      </c>
      <c r="B3408" s="3" t="s">
        <v>4</v>
      </c>
      <c r="C3408" s="2" t="str">
        <f ca="1">IFERROR(__xludf.DUMMYFUNCTION("GOOGLETRANSLATE(A3408,""bn"",""en"")"),"Visit different colored bazaars")</f>
        <v>Visit different colored bazaars</v>
      </c>
    </row>
    <row r="3409" spans="1:3" ht="15" x14ac:dyDescent="0.25">
      <c r="A3409" s="3" t="s">
        <v>3406</v>
      </c>
      <c r="B3409" s="3" t="s">
        <v>4</v>
      </c>
      <c r="C3409" s="2" t="str">
        <f ca="1">IFERROR(__xludf.DUMMYFUNCTION("GOOGLETRANSLATE(A3409,""bn"",""en"")"),"Server Side Scripting Training")</f>
        <v>Server Side Scripting Training</v>
      </c>
    </row>
    <row r="3410" spans="1:3" ht="15" x14ac:dyDescent="0.25">
      <c r="A3410" s="3" t="s">
        <v>3407</v>
      </c>
      <c r="B3410" s="3" t="s">
        <v>4</v>
      </c>
      <c r="C3410" s="2" t="str">
        <f ca="1">IFERROR(__xludf.DUMMYFUNCTION("GOOGLETRANSLATE(A3410,""bn"",""en"")"),"In folk music we are in language")</f>
        <v>In folk music we are in language</v>
      </c>
    </row>
    <row r="3411" spans="1:3" ht="15" x14ac:dyDescent="0.25">
      <c r="A3411" s="3" t="s">
        <v>3408</v>
      </c>
      <c r="B3411" s="3" t="s">
        <v>4</v>
      </c>
      <c r="C3411" s="2" t="str">
        <f ca="1">IFERROR(__xludf.DUMMYFUNCTION("GOOGLETRANSLATE(A3411,""bn"",""en"")"),"Check your income")</f>
        <v>Check your income</v>
      </c>
    </row>
    <row r="3412" spans="1:3" ht="15" x14ac:dyDescent="0.25">
      <c r="A3412" s="3" t="s">
        <v>3409</v>
      </c>
      <c r="B3412" s="3" t="s">
        <v>4</v>
      </c>
      <c r="C3412" s="2" t="str">
        <f ca="1">IFERROR(__xludf.DUMMYFUNCTION("GOOGLETRANSLATE(A3412,""bn"",""en"")"),"How will the balance be protected?")</f>
        <v>How will the balance be protected?</v>
      </c>
    </row>
    <row r="3413" spans="1:3" ht="15" x14ac:dyDescent="0.25">
      <c r="A3413" s="3" t="s">
        <v>3410</v>
      </c>
      <c r="B3413" s="3" t="s">
        <v>4</v>
      </c>
      <c r="C3413" s="2" t="str">
        <f ca="1">IFERROR(__xludf.DUMMYFUNCTION("GOOGLETRANSLATE(A3413,""bn"",""en"")"),"Visit the Science Museum")</f>
        <v>Visit the Science Museum</v>
      </c>
    </row>
    <row r="3414" spans="1:3" ht="15" x14ac:dyDescent="0.25">
      <c r="A3414" s="3" t="s">
        <v>3411</v>
      </c>
      <c r="B3414" s="3" t="s">
        <v>4</v>
      </c>
      <c r="C3414" s="2" t="str">
        <f ca="1">IFERROR(__xludf.DUMMYFUNCTION("GOOGLETRANSLATE(A3414,""bn"",""en"")"),"Print the bank statement")</f>
        <v>Print the bank statement</v>
      </c>
    </row>
    <row r="3415" spans="1:3" ht="15" x14ac:dyDescent="0.25">
      <c r="A3415" s="3" t="s">
        <v>3412</v>
      </c>
      <c r="B3415" s="3" t="s">
        <v>4</v>
      </c>
      <c r="C3415" s="2" t="str">
        <f ca="1">IFERROR(__xludf.DUMMYFUNCTION("GOOGLETRANSLATE(A3415,""bn"",""en"")"),"Watch the movie trailer now")</f>
        <v>Watch the movie trailer now</v>
      </c>
    </row>
    <row r="3416" spans="1:3" ht="15" x14ac:dyDescent="0.25">
      <c r="A3416" s="3" t="s">
        <v>3413</v>
      </c>
      <c r="B3416" s="3" t="s">
        <v>4</v>
      </c>
      <c r="C3416" s="2" t="str">
        <f ca="1">IFERROR(__xludf.DUMMYFUNCTION("GOOGLETRANSLATE(A3416,""bn"",""en"")"),"Practice improves skills")</f>
        <v>Practice improves skills</v>
      </c>
    </row>
    <row r="3417" spans="1:3" ht="15" x14ac:dyDescent="0.25">
      <c r="A3417" s="3" t="s">
        <v>3414</v>
      </c>
      <c r="B3417" s="3" t="s">
        <v>4</v>
      </c>
      <c r="C3417" s="2" t="str">
        <f ca="1">IFERROR(__xludf.DUMMYFUNCTION("GOOGLETRANSLATE(A3417,""bn"",""en"")"),"Grief needs to be prepared")</f>
        <v>Grief needs to be prepared</v>
      </c>
    </row>
    <row r="3418" spans="1:3" ht="15" x14ac:dyDescent="0.25">
      <c r="A3418" s="3" t="s">
        <v>3415</v>
      </c>
      <c r="B3418" s="3" t="s">
        <v>4</v>
      </c>
      <c r="C3418" s="2" t="str">
        <f ca="1">IFERROR(__xludf.DUMMYFUNCTION("GOOGLETRANSLATE(A3418,""bn"",""en"")"),"Sweet tone in Bengali songs")</f>
        <v>Sweet tone in Bengali songs</v>
      </c>
    </row>
    <row r="3419" spans="1:3" ht="15" x14ac:dyDescent="0.25">
      <c r="A3419" s="3" t="s">
        <v>3416</v>
      </c>
      <c r="B3419" s="3" t="s">
        <v>4</v>
      </c>
      <c r="C3419" s="2" t="str">
        <f ca="1">IFERROR(__xludf.DUMMYFUNCTION("GOOGLETRANSLATE(A3419,""bn"",""en"")"),"The musical feeling reaches the heart")</f>
        <v>The musical feeling reaches the heart</v>
      </c>
    </row>
    <row r="3420" spans="1:3" ht="15" x14ac:dyDescent="0.25">
      <c r="A3420" s="3" t="s">
        <v>3417</v>
      </c>
      <c r="B3420" s="3" t="s">
        <v>4</v>
      </c>
      <c r="C3420" s="2" t="str">
        <f ca="1">IFERROR(__xludf.DUMMYFUNCTION("GOOGLETRANSLATE(A3420,""bn"",""en"")"),"Guyana is located in South America")</f>
        <v>Guyana is located in South America</v>
      </c>
    </row>
    <row r="3421" spans="1:3" ht="15" x14ac:dyDescent="0.25">
      <c r="A3421" s="3" t="s">
        <v>3418</v>
      </c>
      <c r="B3421" s="3" t="s">
        <v>4</v>
      </c>
      <c r="C3421" s="2" t="str">
        <f ca="1">IFERROR(__xludf.DUMMYFUNCTION("GOOGLETRANSLATE(A3421,""bn"",""en"")"),"Have to wait on the way")</f>
        <v>Have to wait on the way</v>
      </c>
    </row>
    <row r="3422" spans="1:3" ht="15" x14ac:dyDescent="0.25">
      <c r="A3422" s="3" t="s">
        <v>3419</v>
      </c>
      <c r="B3422" s="3" t="s">
        <v>4</v>
      </c>
      <c r="C3422" s="2" t="str">
        <f ca="1">IFERROR(__xludf.DUMMYFUNCTION("GOOGLETRANSLATE(A3422,""bn"",""en"")"),"Go to hilly areas during monsoons")</f>
        <v>Go to hilly areas during monsoons</v>
      </c>
    </row>
    <row r="3423" spans="1:3" ht="15" x14ac:dyDescent="0.25">
      <c r="A3423" s="3" t="s">
        <v>3420</v>
      </c>
      <c r="B3423" s="3" t="s">
        <v>4</v>
      </c>
      <c r="C3423" s="2" t="str">
        <f ca="1">IFERROR(__xludf.DUMMYFUNCTION("GOOGLETRANSLATE(A3423,""bn"",""en"")"),"The economy is healthy")</f>
        <v>The economy is healthy</v>
      </c>
    </row>
    <row r="3424" spans="1:3" ht="15" x14ac:dyDescent="0.25">
      <c r="A3424" s="3" t="s">
        <v>3421</v>
      </c>
      <c r="B3424" s="3" t="s">
        <v>4</v>
      </c>
      <c r="C3424" s="2" t="str">
        <f ca="1">IFERROR(__xludf.DUMMYFUNCTION("GOOGLETRANSLATE(A3424,""bn"",""en"")"),"There is waste in the construction sector")</f>
        <v>There is waste in the construction sector</v>
      </c>
    </row>
    <row r="3425" spans="1:3" ht="15" x14ac:dyDescent="0.25">
      <c r="A3425" s="3" t="s">
        <v>3422</v>
      </c>
      <c r="B3425" s="3" t="s">
        <v>4</v>
      </c>
      <c r="C3425" s="2" t="str">
        <f ca="1">IFERROR(__xludf.DUMMYFUNCTION("GOOGLETRANSLATE(A3425,""bn"",""en"")"),"The audience enjoyed the ride")</f>
        <v>The audience enjoyed the ride</v>
      </c>
    </row>
    <row r="3426" spans="1:3" ht="15" x14ac:dyDescent="0.25">
      <c r="A3426" s="3" t="s">
        <v>3423</v>
      </c>
      <c r="B3426" s="3" t="s">
        <v>4</v>
      </c>
      <c r="C3426" s="2" t="str">
        <f ca="1">IFERROR(__xludf.DUMMYFUNCTION("GOOGLETRANSLATE(A3426,""bn"",""en"")"),"Social Media Promotion Techniques")</f>
        <v>Social Media Promotion Techniques</v>
      </c>
    </row>
    <row r="3427" spans="1:3" ht="15" x14ac:dyDescent="0.25">
      <c r="A3427" s="3" t="s">
        <v>3424</v>
      </c>
      <c r="B3427" s="3" t="s">
        <v>4</v>
      </c>
      <c r="C3427" s="2" t="str">
        <f ca="1">IFERROR(__xludf.DUMMYFUNCTION("GOOGLETRANSLATE(A3427,""bn"",""en"")"),"Bat in cricket on Thursday")</f>
        <v>Bat in cricket on Thursday</v>
      </c>
    </row>
    <row r="3428" spans="1:3" ht="15" x14ac:dyDescent="0.25">
      <c r="A3428" s="3" t="s">
        <v>3425</v>
      </c>
      <c r="B3428" s="3" t="s">
        <v>4</v>
      </c>
      <c r="C3428" s="2" t="str">
        <f ca="1">IFERROR(__xludf.DUMMYFUNCTION("GOOGLETRANSLATE(A3428,""bn"",""en"")"),"Visiting old sights")</f>
        <v>Visiting old sights</v>
      </c>
    </row>
    <row r="3429" spans="1:3" ht="15" x14ac:dyDescent="0.25">
      <c r="A3429" s="3" t="s">
        <v>3426</v>
      </c>
      <c r="B3429" s="3" t="s">
        <v>4</v>
      </c>
      <c r="C3429" s="2" t="str">
        <f ca="1">IFERROR(__xludf.DUMMYFUNCTION("GOOGLETRANSLATE(A3429,""bn"",""en"")"),"Cyberphysics and Quantum Computing")</f>
        <v>Cyberphysics and Quantum Computing</v>
      </c>
    </row>
    <row r="3430" spans="1:3" ht="15" x14ac:dyDescent="0.25">
      <c r="A3430" s="3" t="s">
        <v>3427</v>
      </c>
      <c r="B3430" s="3" t="s">
        <v>4</v>
      </c>
      <c r="C3430" s="2" t="str">
        <f ca="1">IFERROR(__xludf.DUMMYFUNCTION("GOOGLETRANSLATE(A3430,""bn"",""en"")"),"A change in leadership is needed")</f>
        <v>A change in leadership is needed</v>
      </c>
    </row>
    <row r="3431" spans="1:3" ht="15" x14ac:dyDescent="0.25">
      <c r="A3431" s="3" t="s">
        <v>3428</v>
      </c>
      <c r="B3431" s="3" t="s">
        <v>4</v>
      </c>
      <c r="C3431" s="2" t="str">
        <f ca="1">IFERROR(__xludf.DUMMYFUNCTION("GOOGLETRANSLATE(A3431,""bn"",""en"")"),"Played in the World Cup")</f>
        <v>Played in the World Cup</v>
      </c>
    </row>
    <row r="3432" spans="1:3" ht="15" x14ac:dyDescent="0.25">
      <c r="A3432" s="3" t="s">
        <v>3429</v>
      </c>
      <c r="B3432" s="3" t="s">
        <v>4</v>
      </c>
      <c r="C3432" s="2" t="str">
        <f ca="1">IFERROR(__xludf.DUMMYFUNCTION("GOOGLETRANSLATE(A3432,""bn"",""en"")"),"Increase the calculation correctly")</f>
        <v>Increase the calculation correctly</v>
      </c>
    </row>
    <row r="3433" spans="1:3" ht="15" x14ac:dyDescent="0.25">
      <c r="A3433" s="3" t="s">
        <v>3430</v>
      </c>
      <c r="B3433" s="3" t="s">
        <v>4</v>
      </c>
      <c r="C3433" s="2" t="str">
        <f ca="1">IFERROR(__xludf.DUMMYFUNCTION("GOOGLETRANSLATE(A3433,""bn"",""en"")"),"Study computer science at university")</f>
        <v>Study computer science at university</v>
      </c>
    </row>
    <row r="3434" spans="1:3" ht="15" x14ac:dyDescent="0.25">
      <c r="A3434" s="3" t="s">
        <v>3431</v>
      </c>
      <c r="B3434" s="3" t="s">
        <v>4</v>
      </c>
      <c r="C3434" s="2" t="str">
        <f ca="1">IFERROR(__xludf.DUMMYFUNCTION("GOOGLETRANSLATE(A3434,""bn"",""en"")"),"The alarm is playing like rain")</f>
        <v>The alarm is playing like rain</v>
      </c>
    </row>
    <row r="3435" spans="1:3" ht="15" x14ac:dyDescent="0.25">
      <c r="A3435" s="3" t="s">
        <v>3432</v>
      </c>
      <c r="B3435" s="3" t="s">
        <v>4</v>
      </c>
      <c r="C3435" s="2" t="str">
        <f ca="1">IFERROR(__xludf.DUMMYFUNCTION("GOOGLETRANSLATE(A3435,""bn"",""en"")"),"Computer hardware design")</f>
        <v>Computer hardware design</v>
      </c>
    </row>
    <row r="3436" spans="1:3" ht="15" x14ac:dyDescent="0.25">
      <c r="A3436" s="3" t="s">
        <v>3433</v>
      </c>
      <c r="B3436" s="3" t="s">
        <v>4</v>
      </c>
      <c r="C3436" s="2" t="str">
        <f ca="1">IFERROR(__xludf.DUMMYFUNCTION("GOOGLETRANSLATE(A3436,""bn"",""en"")"),"Crazy love story needed")</f>
        <v>Crazy love story needed</v>
      </c>
    </row>
    <row r="3437" spans="1:3" ht="15" x14ac:dyDescent="0.25">
      <c r="A3437" s="3" t="s">
        <v>3434</v>
      </c>
      <c r="B3437" s="3" t="s">
        <v>4</v>
      </c>
      <c r="C3437" s="2" t="str">
        <f ca="1">IFERROR(__xludf.DUMMYFUNCTION("GOOGLETRANSLATE(A3437,""bn"",""en"")"),"The Missouri River is out in the Midwest")</f>
        <v>The Missouri River is out in the Midwest</v>
      </c>
    </row>
    <row r="3438" spans="1:3" ht="15" x14ac:dyDescent="0.25">
      <c r="A3438" s="3" t="s">
        <v>3435</v>
      </c>
      <c r="B3438" s="3" t="s">
        <v>4</v>
      </c>
      <c r="C3438" s="2" t="str">
        <f ca="1">IFERROR(__xludf.DUMMYFUNCTION("GOOGLETRANSLATE(A3438,""bn"",""en"")"),"Modify the account if necessary")</f>
        <v>Modify the account if necessary</v>
      </c>
    </row>
    <row r="3439" spans="1:3" ht="15" x14ac:dyDescent="0.25">
      <c r="A3439" s="3" t="s">
        <v>3436</v>
      </c>
      <c r="B3439" s="3" t="s">
        <v>4</v>
      </c>
      <c r="C3439" s="2" t="str">
        <f ca="1">IFERROR(__xludf.DUMMYFUNCTION("GOOGLETRANSLATE(A3439,""bn"",""en"")"),"Open bank account easily")</f>
        <v>Open bank account easily</v>
      </c>
    </row>
    <row r="3440" spans="1:3" ht="15" x14ac:dyDescent="0.25">
      <c r="A3440" s="3" t="s">
        <v>3437</v>
      </c>
      <c r="B3440" s="3" t="s">
        <v>4</v>
      </c>
      <c r="C3440" s="2" t="str">
        <f ca="1">IFERROR(__xludf.DUMMYFUNCTION("GOOGLETRANSLATE(A3440,""bn"",""en"")"),"Based on true events")</f>
        <v>Based on true events</v>
      </c>
    </row>
    <row r="3441" spans="1:3" ht="15" x14ac:dyDescent="0.25">
      <c r="A3441" s="3" t="s">
        <v>3438</v>
      </c>
      <c r="B3441" s="3" t="s">
        <v>4</v>
      </c>
      <c r="C3441" s="2" t="str">
        <f ca="1">IFERROR(__xludf.DUMMYFUNCTION("GOOGLETRANSLATE(A3441,""bn"",""en"")"),"New initiatives in data science")</f>
        <v>New initiatives in data science</v>
      </c>
    </row>
    <row r="3442" spans="1:3" ht="15" x14ac:dyDescent="0.25">
      <c r="A3442" s="3" t="s">
        <v>3439</v>
      </c>
      <c r="B3442" s="3" t="s">
        <v>4</v>
      </c>
      <c r="C3442" s="2" t="str">
        <f ca="1">IFERROR(__xludf.DUMMYFUNCTION("GOOGLETRANSLATE(A3442,""bn"",""en"")"),"The government is improving a lot")</f>
        <v>The government is improving a lot</v>
      </c>
    </row>
    <row r="3443" spans="1:3" ht="15" x14ac:dyDescent="0.25">
      <c r="A3443" s="3" t="s">
        <v>3440</v>
      </c>
      <c r="B3443" s="3" t="s">
        <v>4</v>
      </c>
      <c r="C3443" s="2" t="str">
        <f ca="1">IFERROR(__xludf.DUMMYFUNCTION("GOOGLETRANSLATE(A3443,""bn"",""en"")"),"Support your business")</f>
        <v>Support your business</v>
      </c>
    </row>
    <row r="3444" spans="1:3" ht="15" x14ac:dyDescent="0.25">
      <c r="A3444" s="3" t="s">
        <v>3441</v>
      </c>
      <c r="B3444" s="3" t="s">
        <v>4</v>
      </c>
      <c r="C3444" s="2" t="str">
        <f ca="1">IFERROR(__xludf.DUMMYFUNCTION("GOOGLETRANSLATE(A3444,""bn"",""en"")"),"Expert data visualization techniques")</f>
        <v>Expert data visualization techniques</v>
      </c>
    </row>
    <row r="3445" spans="1:3" ht="15" x14ac:dyDescent="0.25">
      <c r="A3445" s="3" t="s">
        <v>3442</v>
      </c>
      <c r="B3445" s="3" t="s">
        <v>4</v>
      </c>
      <c r="C3445" s="2" t="str">
        <f ca="1">IFERROR(__xludf.DUMMYFUNCTION("GOOGLETRANSLATE(A3445,""bn"",""en"")"),"Go sightseeing by plane")</f>
        <v>Go sightseeing by plane</v>
      </c>
    </row>
    <row r="3446" spans="1:3" ht="15" x14ac:dyDescent="0.25">
      <c r="A3446" s="3" t="s">
        <v>3443</v>
      </c>
      <c r="B3446" s="3" t="s">
        <v>4</v>
      </c>
      <c r="C3446" s="2" t="str">
        <f ca="1">IFERROR(__xludf.DUMMYFUNCTION("GOOGLETRANSLATE(A3446,""bn"",""en"")"),"The teachers in the school are very supportive")</f>
        <v>The teachers in the school are very supportive</v>
      </c>
    </row>
    <row r="3447" spans="1:3" ht="15" x14ac:dyDescent="0.25">
      <c r="A3447" s="3" t="s">
        <v>3444</v>
      </c>
      <c r="B3447" s="3" t="s">
        <v>4</v>
      </c>
      <c r="C3447" s="2" t="str">
        <f ca="1">IFERROR(__xludf.DUMMYFUNCTION("GOOGLETRANSLATE(A3447,""bn"",""en"")"),"The sitar is playing in a melodious rhythm")</f>
        <v>The sitar is playing in a melodious rhythm</v>
      </c>
    </row>
    <row r="3448" spans="1:3" ht="15" x14ac:dyDescent="0.25">
      <c r="A3448" s="3" t="s">
        <v>3445</v>
      </c>
      <c r="B3448" s="3" t="s">
        <v>4</v>
      </c>
      <c r="C3448" s="2" t="str">
        <f ca="1">IFERROR(__xludf.DUMMYFUNCTION("GOOGLETRANSLATE(A3448,""bn"",""en"")"),"Commercial cooperation is increasing")</f>
        <v>Commercial cooperation is increasing</v>
      </c>
    </row>
    <row r="3449" spans="1:3" ht="15" x14ac:dyDescent="0.25">
      <c r="A3449" s="3" t="s">
        <v>3446</v>
      </c>
      <c r="B3449" s="3" t="s">
        <v>4</v>
      </c>
      <c r="C3449" s="2" t="str">
        <f ca="1">IFERROR(__xludf.DUMMYFUNCTION("GOOGLETRANSLATE(A3449,""bn"",""en"")"),"Formula racing is my favorite")</f>
        <v>Formula racing is my favorite</v>
      </c>
    </row>
    <row r="3450" spans="1:3" ht="15" x14ac:dyDescent="0.25">
      <c r="A3450" s="3" t="s">
        <v>3447</v>
      </c>
      <c r="B3450" s="3" t="s">
        <v>4</v>
      </c>
      <c r="C3450" s="2" t="str">
        <f ca="1">IFERROR(__xludf.DUMMYFUNCTION("GOOGLETRANSLATE(A3450,""bn"",""en"")"),"Use interface design")</f>
        <v>Use interface design</v>
      </c>
    </row>
    <row r="3451" spans="1:3" ht="15" x14ac:dyDescent="0.25">
      <c r="A3451" s="3" t="s">
        <v>3448</v>
      </c>
      <c r="B3451" s="3" t="s">
        <v>4</v>
      </c>
      <c r="C3451" s="2" t="str">
        <f ca="1">IFERROR(__xludf.DUMMYFUNCTION("GOOGLETRANSLATE(A3451,""bn"",""en"")"),"Improvements have been made in the current curriculum")</f>
        <v>Improvements have been made in the current curriculum</v>
      </c>
    </row>
    <row r="3452" spans="1:3" ht="15" x14ac:dyDescent="0.25">
      <c r="A3452" s="3" t="s">
        <v>3449</v>
      </c>
      <c r="B3452" s="3" t="s">
        <v>4</v>
      </c>
      <c r="C3452" s="2" t="str">
        <f ca="1">IFERROR(__xludf.DUMMYFUNCTION("GOOGLETRANSLATE(A3452,""bn"",""en"")"),"Study the market chart")</f>
        <v>Study the market chart</v>
      </c>
    </row>
    <row r="3453" spans="1:3" ht="15" x14ac:dyDescent="0.25">
      <c r="A3453" s="3" t="s">
        <v>3450</v>
      </c>
      <c r="B3453" s="3" t="s">
        <v>4</v>
      </c>
      <c r="C3453" s="2" t="str">
        <f ca="1">IFERROR(__xludf.DUMMYFUNCTION("GOOGLETRANSLATE(A3453,""bn"",""en"")"),"Simplify installment management")</f>
        <v>Simplify installment management</v>
      </c>
    </row>
    <row r="3454" spans="1:3" ht="15" x14ac:dyDescent="0.25">
      <c r="A3454" s="3" t="s">
        <v>3451</v>
      </c>
      <c r="B3454" s="3" t="s">
        <v>4</v>
      </c>
      <c r="C3454" s="2" t="str">
        <f ca="1">IFERROR(__xludf.DUMMYFUNCTION("GOOGLETRANSLATE(A3454,""bn"",""en"")"),"Visit the fort at the new location")</f>
        <v>Visit the fort at the new location</v>
      </c>
    </row>
    <row r="3455" spans="1:3" ht="15" x14ac:dyDescent="0.25">
      <c r="A3455" s="3" t="s">
        <v>3452</v>
      </c>
      <c r="B3455" s="3" t="s">
        <v>4</v>
      </c>
      <c r="C3455" s="2" t="str">
        <f ca="1">IFERROR(__xludf.DUMMYFUNCTION("GOOGLETRANSLATE(A3455,""bn"",""en"")"),"As mythical as the melodious rain")</f>
        <v>As mythical as the melodious rain</v>
      </c>
    </row>
    <row r="3456" spans="1:3" ht="15" x14ac:dyDescent="0.25">
      <c r="A3456" s="3" t="s">
        <v>3453</v>
      </c>
      <c r="B3456" s="3" t="s">
        <v>4</v>
      </c>
      <c r="C3456" s="2" t="str">
        <f ca="1">IFERROR(__xludf.DUMMYFUNCTION("GOOGLETRANSLATE(A3456,""bn"",""en"")"),"Strong institutions are important in elections")</f>
        <v>Strong institutions are important in elections</v>
      </c>
    </row>
    <row r="3457" spans="1:3" ht="15" x14ac:dyDescent="0.25">
      <c r="A3457" s="3" t="s">
        <v>3454</v>
      </c>
      <c r="B3457" s="3" t="s">
        <v>4</v>
      </c>
      <c r="C3457" s="2" t="str">
        <f ca="1">IFERROR(__xludf.DUMMYFUNCTION("GOOGLETRANSLATE(A3457,""bn"",""en"")"),"Playing football is endless joy")</f>
        <v>Playing football is endless joy</v>
      </c>
    </row>
    <row r="3458" spans="1:3" ht="15" x14ac:dyDescent="0.25">
      <c r="A3458" s="3" t="s">
        <v>3455</v>
      </c>
      <c r="B3458" s="3" t="s">
        <v>4</v>
      </c>
      <c r="C3458" s="2" t="str">
        <f ca="1">IFERROR(__xludf.DUMMYFUNCTION("GOOGLETRANSLATE(A3458,""bn"",""en"")"),"The Nilgiri mountains are located in Bangladesh")</f>
        <v>The Nilgiri mountains are located in Bangladesh</v>
      </c>
    </row>
    <row r="3459" spans="1:3" ht="15" x14ac:dyDescent="0.25">
      <c r="A3459" s="3" t="s">
        <v>3456</v>
      </c>
      <c r="B3459" s="3" t="s">
        <v>4</v>
      </c>
      <c r="C3459" s="2" t="str">
        <f ca="1">IFERROR(__xludf.DUMMYFUNCTION("GOOGLETRANSLATE(A3459,""bn"",""en"")"),"Everyone's heart is full")</f>
        <v>Everyone's heart is full</v>
      </c>
    </row>
    <row r="3460" spans="1:3" ht="15" x14ac:dyDescent="0.25">
      <c r="A3460" s="3" t="s">
        <v>3457</v>
      </c>
      <c r="B3460" s="3" t="s">
        <v>4</v>
      </c>
      <c r="C3460" s="2" t="str">
        <f ca="1">IFERROR(__xludf.DUMMYFUNCTION("GOOGLETRANSLATE(A3460,""bn"",""en"")"),"Need to open bank account")</f>
        <v>Need to open bank account</v>
      </c>
    </row>
    <row r="3461" spans="1:3" ht="15" x14ac:dyDescent="0.25">
      <c r="A3461" s="3" t="s">
        <v>3458</v>
      </c>
      <c r="B3461" s="3" t="s">
        <v>4</v>
      </c>
      <c r="C3461" s="2" t="str">
        <f ca="1">IFERROR(__xludf.DUMMYFUNCTION("GOOGLETRANSLATE(A3461,""bn"",""en"")"),"Learning design is improving")</f>
        <v>Learning design is improving</v>
      </c>
    </row>
    <row r="3462" spans="1:3" ht="15" x14ac:dyDescent="0.25">
      <c r="A3462" s="3" t="s">
        <v>3459</v>
      </c>
      <c r="B3462" s="3" t="s">
        <v>4</v>
      </c>
      <c r="C3462" s="2" t="str">
        <f ca="1">IFERROR(__xludf.DUMMYFUNCTION("GOOGLETRANSLATE(A3462,""bn"",""en"")"),"Virtual reality continues to evolve")</f>
        <v>Virtual reality continues to evolve</v>
      </c>
    </row>
    <row r="3463" spans="1:3" ht="15" x14ac:dyDescent="0.25">
      <c r="A3463" s="3" t="s">
        <v>3460</v>
      </c>
      <c r="B3463" s="3" t="s">
        <v>4</v>
      </c>
      <c r="C3463" s="2" t="str">
        <f ca="1">IFERROR(__xludf.DUMMYFUNCTION("GOOGLETRANSLATE(A3463,""bn"",""en"")"),"Original baul music is unique")</f>
        <v>Original baul music is unique</v>
      </c>
    </row>
    <row r="3464" spans="1:3" ht="15" x14ac:dyDescent="0.25">
      <c r="A3464" s="3" t="s">
        <v>3461</v>
      </c>
      <c r="B3464" s="3" t="s">
        <v>4</v>
      </c>
      <c r="C3464" s="2" t="str">
        <f ca="1">IFERROR(__xludf.DUMMYFUNCTION("GOOGLETRANSLATE(A3464,""bn"",""en"")"),"Golf playing plateau is popular")</f>
        <v>Golf playing plateau is popular</v>
      </c>
    </row>
    <row r="3465" spans="1:3" ht="15" x14ac:dyDescent="0.25">
      <c r="A3465" s="3" t="s">
        <v>3462</v>
      </c>
      <c r="B3465" s="3" t="s">
        <v>4</v>
      </c>
      <c r="C3465" s="2" t="str">
        <f ca="1">IFERROR(__xludf.DUMMYFUNCTION("GOOGLETRANSLATE(A3465,""bn"",""en"")"),"Vote in the election everyone")</f>
        <v>Vote in the election everyone</v>
      </c>
    </row>
    <row r="3466" spans="1:3" ht="15" x14ac:dyDescent="0.25">
      <c r="A3466" s="3" t="s">
        <v>3463</v>
      </c>
      <c r="B3466" s="3" t="s">
        <v>4</v>
      </c>
      <c r="C3466" s="2" t="str">
        <f ca="1">IFERROR(__xludf.DUMMYFUNCTION("GOOGLETRANSLATE(A3466,""bn"",""en"")"),"Rabindranath's sweetness in Bengali music")</f>
        <v>Rabindranath's sweetness in Bengali music</v>
      </c>
    </row>
    <row r="3467" spans="1:3" ht="15" x14ac:dyDescent="0.25">
      <c r="A3467" s="3" t="s">
        <v>3464</v>
      </c>
      <c r="B3467" s="3" t="s">
        <v>4</v>
      </c>
      <c r="C3467" s="2" t="str">
        <f ca="1">IFERROR(__xludf.DUMMYFUNCTION("GOOGLETRANSLATE(A3467,""bn"",""en"")"),"Hold the travel bag properly")</f>
        <v>Hold the travel bag properly</v>
      </c>
    </row>
    <row r="3468" spans="1:3" ht="15" x14ac:dyDescent="0.25">
      <c r="A3468" s="3" t="s">
        <v>3465</v>
      </c>
      <c r="B3468" s="3" t="s">
        <v>4</v>
      </c>
      <c r="C3468" s="2" t="str">
        <f ca="1">IFERROR(__xludf.DUMMYFUNCTION("GOOGLETRANSLATE(A3468,""bn"",""en"")"),"True story in his life")</f>
        <v>True story in his life</v>
      </c>
    </row>
    <row r="3469" spans="1:3" ht="15" x14ac:dyDescent="0.25">
      <c r="A3469" s="3" t="s">
        <v>3466</v>
      </c>
      <c r="B3469" s="3" t="s">
        <v>4</v>
      </c>
      <c r="C3469" s="2" t="str">
        <f ca="1">IFERROR(__xludf.DUMMYFUNCTION("GOOGLETRANSLATE(A3469,""bn"",""en"")"),"Bank investment is helping")</f>
        <v>Bank investment is helping</v>
      </c>
    </row>
    <row r="3470" spans="1:3" ht="15" x14ac:dyDescent="0.25">
      <c r="A3470" s="3" t="s">
        <v>3467</v>
      </c>
      <c r="B3470" s="3" t="s">
        <v>4</v>
      </c>
      <c r="C3470" s="2" t="str">
        <f ca="1">IFERROR(__xludf.DUMMYFUNCTION("GOOGLETRANSLATE(A3470,""bn"",""en"")"),"Read to increase knowledge")</f>
        <v>Read to increase knowledge</v>
      </c>
    </row>
    <row r="3471" spans="1:3" ht="15" x14ac:dyDescent="0.25">
      <c r="A3471" s="3" t="s">
        <v>3468</v>
      </c>
      <c r="B3471" s="3" t="s">
        <v>4</v>
      </c>
      <c r="C3471" s="2" t="str">
        <f ca="1">IFERROR(__xludf.DUMMYFUNCTION("GOOGLETRANSLATE(A3471,""bn"",""en"")"),"There is a special greatness in the character")</f>
        <v>There is a special greatness in the character</v>
      </c>
    </row>
    <row r="3472" spans="1:3" ht="15" x14ac:dyDescent="0.25">
      <c r="A3472" s="3" t="s">
        <v>3469</v>
      </c>
      <c r="B3472" s="3" t="s">
        <v>4</v>
      </c>
      <c r="C3472" s="2" t="str">
        <f ca="1">IFERROR(__xludf.DUMMYFUNCTION("GOOGLETRANSLATE(A3472,""bn"",""en"")"),"Party programs focus on people")</f>
        <v>Party programs focus on people</v>
      </c>
    </row>
    <row r="3473" spans="1:3" ht="15" x14ac:dyDescent="0.25">
      <c r="A3473" s="3" t="s">
        <v>3470</v>
      </c>
      <c r="B3473" s="3" t="s">
        <v>4</v>
      </c>
      <c r="C3473" s="2" t="str">
        <f ca="1">IFERROR(__xludf.DUMMYFUNCTION("GOOGLETRANSLATE(A3473,""bn"",""en"")"),"Ride bigger hills")</f>
        <v>Ride bigger hills</v>
      </c>
    </row>
    <row r="3474" spans="1:3" ht="15" x14ac:dyDescent="0.25">
      <c r="A3474" s="3" t="s">
        <v>3471</v>
      </c>
      <c r="B3474" s="3" t="s">
        <v>4</v>
      </c>
      <c r="C3474" s="2" t="str">
        <f ca="1">IFERROR(__xludf.DUMMYFUNCTION("GOOGLETRANSLATE(A3474,""bn"",""en"")"),"Cycling gives good news")</f>
        <v>Cycling gives good news</v>
      </c>
    </row>
    <row r="3475" spans="1:3" ht="15" x14ac:dyDescent="0.25">
      <c r="A3475" s="3" t="s">
        <v>3472</v>
      </c>
      <c r="B3475" s="3" t="s">
        <v>4</v>
      </c>
      <c r="C3475" s="2" t="str">
        <f ca="1">IFERROR(__xludf.DUMMYFUNCTION("GOOGLETRANSLATE(A3475,""bn"",""en"")"),"Get the opportunity to withdraw money")</f>
        <v>Get the opportunity to withdraw money</v>
      </c>
    </row>
    <row r="3476" spans="1:3" ht="15" x14ac:dyDescent="0.25">
      <c r="A3476" s="3" t="s">
        <v>3473</v>
      </c>
      <c r="B3476" s="3" t="s">
        <v>4</v>
      </c>
      <c r="C3476" s="2" t="str">
        <f ca="1">IFERROR(__xludf.DUMMYFUNCTION("GOOGLETRANSLATE(A3476,""bn"",""en"")"),"Fish are entering the sea")</f>
        <v>Fish are entering the sea</v>
      </c>
    </row>
    <row r="3477" spans="1:3" ht="15" x14ac:dyDescent="0.25">
      <c r="A3477" s="3" t="s">
        <v>3474</v>
      </c>
      <c r="B3477" s="3" t="s">
        <v>4</v>
      </c>
      <c r="C3477" s="2" t="str">
        <f ca="1">IFERROR(__xludf.DUMMYFUNCTION("GOOGLETRANSLATE(A3477,""bn"",""en"")"),"Advanced commercial skills")</f>
        <v>Advanced commercial skills</v>
      </c>
    </row>
    <row r="3478" spans="1:3" ht="15" x14ac:dyDescent="0.25">
      <c r="A3478" s="3" t="s">
        <v>3475</v>
      </c>
      <c r="B3478" s="3" t="s">
        <v>4</v>
      </c>
      <c r="C3478" s="2" t="str">
        <f ca="1">IFERROR(__xludf.DUMMYFUNCTION("GOOGLETRANSLATE(A3478,""bn"",""en"")"),"Golf is played on the plateau")</f>
        <v>Golf is played on the plateau</v>
      </c>
    </row>
    <row r="3479" spans="1:3" ht="15" x14ac:dyDescent="0.25">
      <c r="A3479" s="3" t="s">
        <v>3476</v>
      </c>
      <c r="B3479" s="3" t="s">
        <v>4</v>
      </c>
      <c r="C3479" s="2" t="str">
        <f ca="1">IFERROR(__xludf.DUMMYFUNCTION("GOOGLETRANSLATE(A3479,""bn"",""en"")"),"The leader gave a powerful speech")</f>
        <v>The leader gave a powerful speech</v>
      </c>
    </row>
    <row r="3480" spans="1:3" ht="15" x14ac:dyDescent="0.25">
      <c r="A3480" s="3" t="s">
        <v>3477</v>
      </c>
      <c r="B3480" s="3" t="s">
        <v>4</v>
      </c>
      <c r="C3480" s="2" t="str">
        <f ca="1">IFERROR(__xludf.DUMMYFUNCTION("GOOGLETRANSLATE(A3480,""bn"",""en"")"),"Education is useful for children")</f>
        <v>Education is useful for children</v>
      </c>
    </row>
    <row r="3481" spans="1:3" ht="15" x14ac:dyDescent="0.25">
      <c r="A3481" s="3" t="s">
        <v>3478</v>
      </c>
      <c r="B3481" s="3" t="s">
        <v>4</v>
      </c>
      <c r="C3481" s="2" t="str">
        <f ca="1">IFERROR(__xludf.DUMMYFUNCTION("GOOGLETRANSLATE(A3481,""bn"",""en"")"),"Visit Kabir Kabiraj")</f>
        <v>Visit Kabir Kabiraj</v>
      </c>
    </row>
    <row r="3482" spans="1:3" ht="15" x14ac:dyDescent="0.25">
      <c r="A3482" s="3" t="s">
        <v>3479</v>
      </c>
      <c r="B3482" s="3" t="s">
        <v>4</v>
      </c>
      <c r="C3482" s="2" t="str">
        <f ca="1">IFERROR(__xludf.DUMMYFUNCTION("GOOGLETRANSLATE(A3482,""bn"",""en"")"),"Learn about the country")</f>
        <v>Learn about the country</v>
      </c>
    </row>
    <row r="3483" spans="1:3" ht="15" x14ac:dyDescent="0.25">
      <c r="A3483" s="3" t="s">
        <v>3480</v>
      </c>
      <c r="B3483" s="3" t="s">
        <v>4</v>
      </c>
      <c r="C3483" s="2" t="str">
        <f ca="1">IFERROR(__xludf.DUMMYFUNCTION("GOOGLETRANSLATE(A3483,""bn"",""en"")"),"A superhero is a great hero")</f>
        <v>A superhero is a great hero</v>
      </c>
    </row>
    <row r="3484" spans="1:3" ht="15" x14ac:dyDescent="0.25">
      <c r="A3484" s="3" t="s">
        <v>3481</v>
      </c>
      <c r="B3484" s="3" t="s">
        <v>4</v>
      </c>
      <c r="C3484" s="2" t="str">
        <f ca="1">IFERROR(__xludf.DUMMYFUNCTION("GOOGLETRANSLATE(A3484,""bn"",""en"")"),"Latif Shah Rukh sings")</f>
        <v>Latif Shah Rukh sings</v>
      </c>
    </row>
    <row r="3485" spans="1:3" ht="15" x14ac:dyDescent="0.25">
      <c r="A3485" s="3" t="s">
        <v>3482</v>
      </c>
      <c r="B3485" s="3" t="s">
        <v>4</v>
      </c>
      <c r="C3485" s="2" t="str">
        <f ca="1">IFERROR(__xludf.DUMMYFUNCTION("GOOGLETRANSLATE(A3485,""bn"",""en"")"),"Provide bank account code")</f>
        <v>Provide bank account code</v>
      </c>
    </row>
    <row r="3486" spans="1:3" ht="15" x14ac:dyDescent="0.25">
      <c r="A3486" s="3" t="s">
        <v>3483</v>
      </c>
      <c r="B3486" s="3" t="s">
        <v>4</v>
      </c>
      <c r="C3486" s="2" t="str">
        <f ca="1">IFERROR(__xludf.DUMMYFUNCTION("GOOGLETRANSLATE(A3486,""bn"",""en"")"),"There are tons of comedy films going on")</f>
        <v>There are tons of comedy films going on</v>
      </c>
    </row>
    <row r="3487" spans="1:3" ht="15" x14ac:dyDescent="0.25">
      <c r="A3487" s="3" t="s">
        <v>3484</v>
      </c>
      <c r="B3487" s="3" t="s">
        <v>4</v>
      </c>
      <c r="C3487" s="2" t="str">
        <f ca="1">IFERROR(__xludf.DUMMYFUNCTION("GOOGLETRANSLATE(A3487,""bn"",""en"")"),"Military preparations and politics")</f>
        <v>Military preparations and politics</v>
      </c>
    </row>
    <row r="3488" spans="1:3" ht="15" x14ac:dyDescent="0.25">
      <c r="A3488" s="3" t="s">
        <v>3485</v>
      </c>
      <c r="B3488" s="3" t="s">
        <v>4</v>
      </c>
      <c r="C3488" s="2" t="str">
        <f ca="1">IFERROR(__xludf.DUMMYFUNCTION("GOOGLETRANSLATE(A3488,""bn"",""en"")"),"Drink the water of river Ganga")</f>
        <v>Drink the water of river Ganga</v>
      </c>
    </row>
    <row r="3489" spans="1:3" ht="15" x14ac:dyDescent="0.25">
      <c r="A3489" s="3" t="s">
        <v>3486</v>
      </c>
      <c r="B3489" s="3" t="s">
        <v>4</v>
      </c>
      <c r="C3489" s="2" t="str">
        <f ca="1">IFERROR(__xludf.DUMMYFUNCTION("GOOGLETRANSLATE(A3489,""bn"",""en"")"),"River Ganga is the main river of India")</f>
        <v>River Ganga is the main river of India</v>
      </c>
    </row>
    <row r="3490" spans="1:3" ht="15" x14ac:dyDescent="0.25">
      <c r="A3490" s="3" t="s">
        <v>3487</v>
      </c>
      <c r="B3490" s="3" t="s">
        <v>4</v>
      </c>
      <c r="C3490" s="2" t="str">
        <f ca="1">IFERROR(__xludf.DUMMYFUNCTION("GOOGLETRANSLATE(A3490,""bn"",""en"")"),"Nature is full of music")</f>
        <v>Nature is full of music</v>
      </c>
    </row>
    <row r="3491" spans="1:3" ht="15" x14ac:dyDescent="0.25">
      <c r="A3491" s="3" t="s">
        <v>3488</v>
      </c>
      <c r="B3491" s="3" t="s">
        <v>4</v>
      </c>
      <c r="C3491" s="2" t="str">
        <f ca="1">IFERROR(__xludf.DUMMYFUNCTION("GOOGLETRANSLATE(A3491,""bn"",""en"")"),"Teaching difficult subjects easily")</f>
        <v>Teaching difficult subjects easily</v>
      </c>
    </row>
    <row r="3492" spans="1:3" ht="15" x14ac:dyDescent="0.25">
      <c r="A3492" s="3" t="s">
        <v>3489</v>
      </c>
      <c r="B3492" s="3" t="s">
        <v>4</v>
      </c>
      <c r="C3492" s="2" t="str">
        <f ca="1">IFERROR(__xludf.DUMMYFUNCTION("GOOGLETRANSLATE(A3492,""bn"",""en"")"),"Niagara Falls is famous in America")</f>
        <v>Niagara Falls is famous in America</v>
      </c>
    </row>
    <row r="3493" spans="1:3" ht="15" x14ac:dyDescent="0.25">
      <c r="A3493" s="3" t="s">
        <v>3490</v>
      </c>
      <c r="B3493" s="3" t="s">
        <v>4</v>
      </c>
      <c r="C3493" s="2" t="str">
        <f ca="1">IFERROR(__xludf.DUMMYFUNCTION("GOOGLETRANSLATE(A3493,""bn"",""en"")"),"A feeling of learning through the teacher")</f>
        <v>A feeling of learning through the teacher</v>
      </c>
    </row>
    <row r="3494" spans="1:3" ht="15" x14ac:dyDescent="0.25">
      <c r="A3494" s="3" t="s">
        <v>3491</v>
      </c>
      <c r="B3494" s="3" t="s">
        <v>4</v>
      </c>
      <c r="C3494" s="2" t="str">
        <f ca="1">IFERROR(__xludf.DUMMYFUNCTION("GOOGLETRANSLATE(A3494,""bn"",""en"")"),"Eager to learn new things")</f>
        <v>Eager to learn new things</v>
      </c>
    </row>
    <row r="3495" spans="1:3" ht="15" x14ac:dyDescent="0.25">
      <c r="A3495" s="3" t="s">
        <v>3492</v>
      </c>
      <c r="B3495" s="3" t="s">
        <v>4</v>
      </c>
      <c r="C3495" s="2" t="str">
        <f ca="1">IFERROR(__xludf.DUMMYFUNCTION("GOOGLETRANSLATE(A3495,""bn"",""en"")"),"Teachers teach students learn")</f>
        <v>Teachers teach students learn</v>
      </c>
    </row>
    <row r="3496" spans="1:3" ht="15" x14ac:dyDescent="0.25">
      <c r="A3496" s="3" t="s">
        <v>3493</v>
      </c>
      <c r="B3496" s="3" t="s">
        <v>4</v>
      </c>
      <c r="C3496" s="2" t="str">
        <f ca="1">IFERROR(__xludf.DUMMYFUNCTION("GOOGLETRANSLATE(A3496,""bn"",""en"")"),"Be your reliable accountant")</f>
        <v>Be your reliable accountant</v>
      </c>
    </row>
    <row r="3497" spans="1:3" ht="15" x14ac:dyDescent="0.25">
      <c r="A3497" s="3" t="s">
        <v>3494</v>
      </c>
      <c r="B3497" s="3" t="s">
        <v>4</v>
      </c>
      <c r="C3497" s="2" t="str">
        <f ca="1">IFERROR(__xludf.DUMMYFUNCTION("GOOGLETRANSLATE(A3497,""bn"",""en"")"),"Let Jhuma be sung by Satar")</f>
        <v>Let Jhuma be sung by Satar</v>
      </c>
    </row>
    <row r="3498" spans="1:3" ht="15" x14ac:dyDescent="0.25">
      <c r="A3498" s="3" t="s">
        <v>3495</v>
      </c>
      <c r="B3498" s="3" t="s">
        <v>4</v>
      </c>
      <c r="C3498" s="2" t="str">
        <f ca="1">IFERROR(__xludf.DUMMYFUNCTION("GOOGLETRANSLATE(A3498,""bn"",""en"")"),"Relax in the nature park")</f>
        <v>Relax in the nature park</v>
      </c>
    </row>
    <row r="3499" spans="1:3" ht="15" x14ac:dyDescent="0.25">
      <c r="A3499" s="3" t="s">
        <v>3496</v>
      </c>
      <c r="B3499" s="3" t="s">
        <v>4</v>
      </c>
      <c r="C3499" s="2" t="str">
        <f ca="1">IFERROR(__xludf.DUMMYFUNCTION("GOOGLETRANSLATE(A3499,""bn"",""en"")"),"The soundtrack of the film is amazing")</f>
        <v>The soundtrack of the film is amazing</v>
      </c>
    </row>
    <row r="3500" spans="1:3" ht="15" x14ac:dyDescent="0.25">
      <c r="A3500" s="3" t="s">
        <v>3497</v>
      </c>
      <c r="B3500" s="3" t="s">
        <v>4</v>
      </c>
      <c r="C3500" s="2" t="str">
        <f ca="1">IFERROR(__xludf.DUMMYFUNCTION("GOOGLETRANSLATE(A3500,""bn"",""en"")"),"The government is concerned about communal problems")</f>
        <v>The government is concerned about communal problems</v>
      </c>
    </row>
    <row r="3501" spans="1:3" ht="15" x14ac:dyDescent="0.25">
      <c r="A3501" s="3" t="s">
        <v>3498</v>
      </c>
      <c r="B3501" s="3" t="s">
        <v>4</v>
      </c>
      <c r="C3501" s="2" t="str">
        <f ca="1">IFERROR(__xludf.DUMMYFUNCTION("GOOGLETRANSLATE(A3501,""bn"",""en"")"),"Exciting times at tennis matches")</f>
        <v>Exciting times at tennis matches</v>
      </c>
    </row>
    <row r="3502" spans="1:3" ht="15" x14ac:dyDescent="0.25">
      <c r="A3502" s="3" t="s">
        <v>3499</v>
      </c>
      <c r="B3502" s="3" t="s">
        <v>4</v>
      </c>
      <c r="C3502" s="2" t="str">
        <f ca="1">IFERROR(__xludf.DUMMYFUNCTION("GOOGLETRANSLATE(A3502,""bn"",""en"")"),"Foreign currency is flowing")</f>
        <v>Foreign currency is flowing</v>
      </c>
    </row>
    <row r="3503" spans="1:3" ht="15" x14ac:dyDescent="0.25">
      <c r="A3503" s="3" t="s">
        <v>3500</v>
      </c>
      <c r="B3503" s="3" t="s">
        <v>4</v>
      </c>
      <c r="C3503" s="2" t="str">
        <f ca="1">IFERROR(__xludf.DUMMYFUNCTION("GOOGLETRANSLATE(A3503,""bn"",""en"")"),"Infinite wind in the Amazon jungle")</f>
        <v>Infinite wind in the Amazon jungle</v>
      </c>
    </row>
    <row r="3504" spans="1:3" ht="15" x14ac:dyDescent="0.25">
      <c r="A3504" s="3" t="s">
        <v>3501</v>
      </c>
      <c r="B3504" s="3" t="s">
        <v>4</v>
      </c>
      <c r="C3504" s="2" t="str">
        <f ca="1">IFERROR(__xludf.DUMMYFUNCTION("GOOGLETRANSLATE(A3504,""bn"",""en"")"),"Profits are paid monthly")</f>
        <v>Profits are paid monthly</v>
      </c>
    </row>
    <row r="3505" spans="1:3" ht="15" x14ac:dyDescent="0.25">
      <c r="A3505" s="3" t="s">
        <v>3502</v>
      </c>
      <c r="B3505" s="3" t="s">
        <v>4</v>
      </c>
      <c r="C3505" s="2" t="str">
        <f ca="1">IFERROR(__xludf.DUMMYFUNCTION("GOOGLETRANSLATE(A3505,""bn"",""en"")"),"It rains more in the Himalayas")</f>
        <v>It rains more in the Himalayas</v>
      </c>
    </row>
    <row r="3506" spans="1:3" ht="15" x14ac:dyDescent="0.25">
      <c r="A3506" s="3" t="s">
        <v>3503</v>
      </c>
      <c r="B3506" s="3" t="s">
        <v>4</v>
      </c>
      <c r="C3506" s="2" t="str">
        <f ca="1">IFERROR(__xludf.DUMMYFUNCTION("GOOGLETRANSLATE(A3506,""bn"",""en"")"),"Secretary General has been appointed to the team")</f>
        <v>Secretary General has been appointed to the team</v>
      </c>
    </row>
    <row r="3507" spans="1:3" ht="15" x14ac:dyDescent="0.25">
      <c r="A3507" s="3" t="s">
        <v>3504</v>
      </c>
      <c r="B3507" s="3" t="s">
        <v>4</v>
      </c>
      <c r="C3507" s="2" t="str">
        <f ca="1">IFERROR(__xludf.DUMMYFUNCTION("GOOGLETRANSLATE(A3507,""bn"",""en"")"),"The teacher guides the students")</f>
        <v>The teacher guides the students</v>
      </c>
    </row>
    <row r="3508" spans="1:3" ht="15" x14ac:dyDescent="0.25">
      <c r="A3508" s="3" t="s">
        <v>3505</v>
      </c>
      <c r="B3508" s="3" t="s">
        <v>4</v>
      </c>
      <c r="C3508" s="2" t="str">
        <f ca="1">IFERROR(__xludf.DUMMYFUNCTION("GOOGLETRANSLATE(A3508,""bn"",""en"")"),"Evaluate investment returns")</f>
        <v>Evaluate investment returns</v>
      </c>
    </row>
    <row r="3509" spans="1:3" ht="15" x14ac:dyDescent="0.25">
      <c r="A3509" s="3" t="s">
        <v>3506</v>
      </c>
      <c r="B3509" s="3" t="s">
        <v>4</v>
      </c>
      <c r="C3509" s="2" t="str">
        <f ca="1">IFERROR(__xludf.DUMMYFUNCTION("GOOGLETRANSLATE(A3509,""bn"",""en"")"),"Studying online is easy")</f>
        <v>Studying online is easy</v>
      </c>
    </row>
    <row r="3510" spans="1:3" ht="15" x14ac:dyDescent="0.25">
      <c r="A3510" s="3" t="s">
        <v>3507</v>
      </c>
      <c r="B3510" s="3" t="s">
        <v>4</v>
      </c>
      <c r="C3510" s="2" t="str">
        <f ca="1">IFERROR(__xludf.DUMMYFUNCTION("GOOGLETRANSLATE(A3510,""bn"",""en"")"),"Physics is my choice")</f>
        <v>Physics is my choice</v>
      </c>
    </row>
    <row r="3511" spans="1:3" ht="15" x14ac:dyDescent="0.25">
      <c r="A3511" s="3" t="s">
        <v>3508</v>
      </c>
      <c r="B3511" s="3" t="s">
        <v>4</v>
      </c>
      <c r="C3511" s="2" t="str">
        <f ca="1">IFERROR(__xludf.DUMMYFUNCTION("GOOGLETRANSLATE(A3511,""bn"",""en"")"),"There is an increase in howar in Sylhet")</f>
        <v>There is an increase in howar in Sylhet</v>
      </c>
    </row>
    <row r="3512" spans="1:3" ht="15" x14ac:dyDescent="0.25">
      <c r="A3512" s="3" t="s">
        <v>3509</v>
      </c>
      <c r="B3512" s="3" t="s">
        <v>4</v>
      </c>
      <c r="C3512" s="2" t="str">
        <f ca="1">IFERROR(__xludf.DUMMYFUNCTION("GOOGLETRANSLATE(A3512,""bn"",""en"")"),"History tells about the role of computers")</f>
        <v>History tells about the role of computers</v>
      </c>
    </row>
    <row r="3513" spans="1:3" ht="15" x14ac:dyDescent="0.25">
      <c r="A3513" s="3" t="s">
        <v>3510</v>
      </c>
      <c r="B3513" s="3" t="s">
        <v>4</v>
      </c>
      <c r="C3513" s="2" t="str">
        <f ca="1">IFERROR(__xludf.DUMMYFUNCTION("GOOGLETRANSLATE(A3513,""bn"",""en"")"),"Guide to Usability Design")</f>
        <v>Guide to Usability Design</v>
      </c>
    </row>
    <row r="3514" spans="1:3" ht="15" x14ac:dyDescent="0.25">
      <c r="A3514" s="3" t="s">
        <v>3511</v>
      </c>
      <c r="B3514" s="3" t="s">
        <v>4</v>
      </c>
      <c r="C3514" s="2" t="str">
        <f ca="1">IFERROR(__xludf.DUMMYFUNCTION("GOOGLETRANSLATE(A3514,""bn"",""en"")"),"Loan sentiment has decreased ahead")</f>
        <v>Loan sentiment has decreased ahead</v>
      </c>
    </row>
    <row r="3515" spans="1:3" ht="15" x14ac:dyDescent="0.25">
      <c r="A3515" s="3" t="s">
        <v>3512</v>
      </c>
      <c r="B3515" s="3" t="s">
        <v>4</v>
      </c>
      <c r="C3515" s="2" t="str">
        <f ca="1">IFERROR(__xludf.DUMMYFUNCTION("GOOGLETRANSLATE(A3515,""bn"",""en"")"),"Education improves society")</f>
        <v>Education improves society</v>
      </c>
    </row>
    <row r="3516" spans="1:3" ht="15" x14ac:dyDescent="0.25">
      <c r="A3516" s="3" t="s">
        <v>3513</v>
      </c>
      <c r="B3516" s="3" t="s">
        <v>4</v>
      </c>
      <c r="C3516" s="2" t="str">
        <f ca="1">IFERROR(__xludf.DUMMYFUNCTION("GOOGLETRANSLATE(A3516,""bn"",""en"")"),"Education changes the face of society")</f>
        <v>Education changes the face of society</v>
      </c>
    </row>
    <row r="3517" spans="1:3" ht="15" x14ac:dyDescent="0.25">
      <c r="A3517" s="3" t="s">
        <v>3514</v>
      </c>
      <c r="B3517" s="3" t="s">
        <v>4</v>
      </c>
      <c r="C3517" s="2" t="str">
        <f ca="1">IFERROR(__xludf.DUMMYFUNCTION("GOOGLETRANSLATE(A3517,""bn"",""en"")"),"Golf is a heart-changing game")</f>
        <v>Golf is a heart-changing game</v>
      </c>
    </row>
    <row r="3518" spans="1:3" ht="15" x14ac:dyDescent="0.25">
      <c r="A3518" s="3" t="s">
        <v>3515</v>
      </c>
      <c r="B3518" s="3" t="s">
        <v>4</v>
      </c>
      <c r="C3518" s="2" t="str">
        <f ca="1">IFERROR(__xludf.DUMMYFUNCTION("GOOGLETRANSLATE(A3518,""bn"",""en"")"),"Can't go wrong with the rating")</f>
        <v>Can't go wrong with the rating</v>
      </c>
    </row>
    <row r="3519" spans="1:3" ht="15" x14ac:dyDescent="0.25">
      <c r="A3519" s="3" t="s">
        <v>3516</v>
      </c>
      <c r="B3519" s="3" t="s">
        <v>4</v>
      </c>
      <c r="C3519" s="2" t="str">
        <f ca="1">IFERROR(__xludf.DUMMYFUNCTION("GOOGLETRANSLATE(A3519,""bn"",""en"")"),"A vaccine development is underway")</f>
        <v>A vaccine development is underway</v>
      </c>
    </row>
    <row r="3520" spans="1:3" ht="15" x14ac:dyDescent="0.25">
      <c r="A3520" s="3" t="s">
        <v>3517</v>
      </c>
      <c r="B3520" s="3" t="s">
        <v>4</v>
      </c>
      <c r="C3520" s="2" t="str">
        <f ca="1">IFERROR(__xludf.DUMMYFUNCTION("GOOGLETRANSLATE(A3520,""bn"",""en"")"),"Internet of Things support")</f>
        <v>Internet of Things support</v>
      </c>
    </row>
    <row r="3521" spans="1:3" ht="15" x14ac:dyDescent="0.25">
      <c r="A3521" s="3" t="s">
        <v>3518</v>
      </c>
      <c r="B3521" s="3" t="s">
        <v>4</v>
      </c>
      <c r="C3521" s="2" t="str">
        <f ca="1">IFERROR(__xludf.DUMMYFUNCTION("GOOGLETRANSLATE(A3521,""bn"",""en"")"),"Learning art is appreciating beauty")</f>
        <v>Learning art is appreciating beauty</v>
      </c>
    </row>
    <row r="3522" spans="1:3" ht="15" x14ac:dyDescent="0.25">
      <c r="A3522" s="3" t="s">
        <v>3519</v>
      </c>
      <c r="B3522" s="3" t="s">
        <v>4</v>
      </c>
      <c r="C3522" s="2" t="str">
        <f ca="1">IFERROR(__xludf.DUMMYFUNCTION("GOOGLETRANSLATE(A3522,""bn"",""en"")"),"Audit technology in initiative")</f>
        <v>Audit technology in initiative</v>
      </c>
    </row>
    <row r="3523" spans="1:3" ht="15" x14ac:dyDescent="0.25">
      <c r="A3523" s="3" t="s">
        <v>3520</v>
      </c>
      <c r="B3523" s="3" t="s">
        <v>4</v>
      </c>
      <c r="C3523" s="2" t="str">
        <f ca="1">IFERROR(__xludf.DUMMYFUNCTION("GOOGLETRANSLATE(A3523,""bn"",""en"")"),"Be careful with taxes")</f>
        <v>Be careful with taxes</v>
      </c>
    </row>
    <row r="3524" spans="1:3" ht="15" x14ac:dyDescent="0.25">
      <c r="A3524" s="3" t="s">
        <v>3521</v>
      </c>
      <c r="B3524" s="3" t="s">
        <v>4</v>
      </c>
      <c r="C3524" s="2" t="str">
        <f ca="1">IFERROR(__xludf.DUMMYFUNCTION("GOOGLETRANSLATE(A3524,""bn"",""en"")"),"We have traveled to different countries")</f>
        <v>We have traveled to different countries</v>
      </c>
    </row>
    <row r="3525" spans="1:3" ht="15" x14ac:dyDescent="0.25">
      <c r="A3525" s="3" t="s">
        <v>3522</v>
      </c>
      <c r="B3525" s="3" t="s">
        <v>4</v>
      </c>
      <c r="C3525" s="2" t="str">
        <f ca="1">IFERROR(__xludf.DUMMYFUNCTION("GOOGLETRANSLATE(A3525,""bn"",""en"")"),"The Sahara is the largest deadliest desert")</f>
        <v>The Sahara is the largest deadliest desert</v>
      </c>
    </row>
    <row r="3526" spans="1:3" ht="15" x14ac:dyDescent="0.25">
      <c r="A3526" s="3" t="s">
        <v>3523</v>
      </c>
      <c r="B3526" s="3" t="s">
        <v>4</v>
      </c>
      <c r="C3526" s="2" t="str">
        <f ca="1">IFERROR(__xludf.DUMMYFUNCTION("GOOGLETRANSLATE(A3526,""bn"",""en"")"),"Madakkai Island is a natural beauty")</f>
        <v>Madakkai Island is a natural beauty</v>
      </c>
    </row>
    <row r="3527" spans="1:3" ht="15" x14ac:dyDescent="0.25">
      <c r="A3527" s="3" t="s">
        <v>3524</v>
      </c>
      <c r="B3527" s="3" t="s">
        <v>4</v>
      </c>
      <c r="C3527" s="2" t="str">
        <f ca="1">IFERROR(__xludf.DUMMYFUNCTION("GOOGLETRANSLATE(A3527,""bn"",""en"")"),"Conduct market research")</f>
        <v>Conduct market research</v>
      </c>
    </row>
    <row r="3528" spans="1:3" ht="15" x14ac:dyDescent="0.25">
      <c r="A3528" s="3" t="s">
        <v>3525</v>
      </c>
      <c r="B3528" s="3" t="s">
        <v>4</v>
      </c>
      <c r="C3528" s="2" t="str">
        <f ca="1">IFERROR(__xludf.DUMMYFUNCTION("GOOGLETRANSLATE(A3528,""bn"",""en"")"),"Travel by train with passion")</f>
        <v>Travel by train with passion</v>
      </c>
    </row>
    <row r="3529" spans="1:3" ht="15" x14ac:dyDescent="0.25">
      <c r="A3529" s="3" t="s">
        <v>3526</v>
      </c>
      <c r="B3529" s="3" t="s">
        <v>4</v>
      </c>
      <c r="C3529" s="2" t="str">
        <f ca="1">IFERROR(__xludf.DUMMYFUNCTION("GOOGLETRANSLATE(A3529,""bn"",""en"")"),"I like bowling")</f>
        <v>I like bowling</v>
      </c>
    </row>
    <row r="3530" spans="1:3" ht="15" x14ac:dyDescent="0.25">
      <c r="A3530" s="3" t="s">
        <v>3527</v>
      </c>
      <c r="B3530" s="3" t="s">
        <v>4</v>
      </c>
      <c r="C3530" s="2" t="str">
        <f ca="1">IFERROR(__xludf.DUMMYFUNCTION("GOOGLETRANSLATE(A3530,""bn"",""en"")"),"Home loan applied for")</f>
        <v>Home loan applied for</v>
      </c>
    </row>
    <row r="3531" spans="1:3" ht="15" x14ac:dyDescent="0.25">
      <c r="A3531" s="3" t="s">
        <v>3528</v>
      </c>
      <c r="B3531" s="3" t="s">
        <v>4</v>
      </c>
      <c r="C3531" s="2" t="str">
        <f ca="1">IFERROR(__xludf.DUMMYFUNCTION("GOOGLETRANSLATE(A3531,""bn"",""en"")"),"Increased conflict in verbal communication")</f>
        <v>Increased conflict in verbal communication</v>
      </c>
    </row>
    <row r="3532" spans="1:3" ht="15" x14ac:dyDescent="0.25">
      <c r="A3532" s="3" t="s">
        <v>3529</v>
      </c>
      <c r="B3532" s="3" t="s">
        <v>4</v>
      </c>
      <c r="C3532" s="2" t="str">
        <f ca="1">IFERROR(__xludf.DUMMYFUNCTION("GOOGLETRANSLATE(A3532,""bn"",""en"")"),"Cricket is a special game")</f>
        <v>Cricket is a special game</v>
      </c>
    </row>
    <row r="3533" spans="1:3" ht="15" x14ac:dyDescent="0.25">
      <c r="A3533" s="3" t="s">
        <v>3530</v>
      </c>
      <c r="B3533" s="3" t="s">
        <v>4</v>
      </c>
      <c r="C3533" s="2" t="str">
        <f ca="1">IFERROR(__xludf.DUMMYFUNCTION("GOOGLETRANSLATE(A3533,""bn"",""en"")"),"Online classes are convenient")</f>
        <v>Online classes are convenient</v>
      </c>
    </row>
    <row r="3534" spans="1:3" ht="15" x14ac:dyDescent="0.25">
      <c r="A3534" s="3" t="s">
        <v>3531</v>
      </c>
      <c r="B3534" s="3" t="s">
        <v>4</v>
      </c>
      <c r="C3534" s="2" t="str">
        <f ca="1">IFERROR(__xludf.DUMMYFUNCTION("GOOGLETRANSLATE(A3534,""bn"",""en"")"),"Football match is for you")</f>
        <v>Football match is for you</v>
      </c>
    </row>
    <row r="3535" spans="1:3" ht="15" x14ac:dyDescent="0.25">
      <c r="A3535" s="3" t="s">
        <v>3532</v>
      </c>
      <c r="B3535" s="3" t="s">
        <v>4</v>
      </c>
      <c r="C3535" s="2" t="str">
        <f ca="1">IFERROR(__xludf.DUMMYFUNCTION("GOOGLETRANSLATE(A3535,""bn"",""en"")"),"Experience local music")</f>
        <v>Experience local music</v>
      </c>
    </row>
    <row r="3536" spans="1:3" ht="15" x14ac:dyDescent="0.25">
      <c r="A3536" s="3" t="s">
        <v>3533</v>
      </c>
      <c r="B3536" s="3" t="s">
        <v>4</v>
      </c>
      <c r="C3536" s="2" t="str">
        <f ca="1">IFERROR(__xludf.DUMMYFUNCTION("GOOGLETRANSLATE(A3536,""bn"",""en"")"),"I can't play badminton")</f>
        <v>I can't play badminton</v>
      </c>
    </row>
    <row r="3537" spans="1:3" ht="15" x14ac:dyDescent="0.25">
      <c r="A3537" s="3" t="s">
        <v>3534</v>
      </c>
      <c r="B3537" s="3" t="s">
        <v>4</v>
      </c>
      <c r="C3537" s="2" t="str">
        <f ca="1">IFERROR(__xludf.DUMMYFUNCTION("GOOGLETRANSLATE(A3537,""bn"",""en"")"),"Badminton match has started")</f>
        <v>Badminton match has started</v>
      </c>
    </row>
    <row r="3538" spans="1:3" ht="15" x14ac:dyDescent="0.25">
      <c r="A3538" s="3" t="s">
        <v>3535</v>
      </c>
      <c r="B3538" s="3" t="s">
        <v>4</v>
      </c>
      <c r="C3538" s="2" t="str">
        <f ca="1">IFERROR(__xludf.DUMMYFUNCTION("GOOGLETRANSLATE(A3538,""bn"",""en"")"),"A message in his life")</f>
        <v>A message in his life</v>
      </c>
    </row>
    <row r="3539" spans="1:3" ht="15" x14ac:dyDescent="0.25">
      <c r="A3539" s="3" t="s">
        <v>3536</v>
      </c>
      <c r="B3539" s="3" t="s">
        <v>4</v>
      </c>
      <c r="C3539" s="2" t="str">
        <f ca="1">IFERROR(__xludf.DUMMYFUNCTION("GOOGLETRANSLATE(A3539,""bn"",""en"")"),"Formula races are good to watch")</f>
        <v>Formula races are good to watch</v>
      </c>
    </row>
    <row r="3540" spans="1:3" ht="15" x14ac:dyDescent="0.25">
      <c r="A3540" s="3" t="s">
        <v>3537</v>
      </c>
      <c r="B3540" s="3" t="s">
        <v>4</v>
      </c>
      <c r="C3540" s="2" t="str">
        <f ca="1">IFERROR(__xludf.DUMMYFUNCTION("GOOGLETRANSLATE(A3540,""bn"",""en"")"),"Love is noble in Lopamudra's song")</f>
        <v>Love is noble in Lopamudra's song</v>
      </c>
    </row>
    <row r="3541" spans="1:3" ht="15" x14ac:dyDescent="0.25">
      <c r="A3541" s="3" t="s">
        <v>3538</v>
      </c>
      <c r="B3541" s="3" t="s">
        <v>4</v>
      </c>
      <c r="C3541" s="2" t="str">
        <f ca="1">IFERROR(__xludf.DUMMYFUNCTION("GOOGLETRANSLATE(A3541,""bn"",""en"")"),"Custom software development projects")</f>
        <v>Custom software development projects</v>
      </c>
    </row>
    <row r="3542" spans="1:3" ht="15" x14ac:dyDescent="0.25">
      <c r="A3542" s="3" t="s">
        <v>3539</v>
      </c>
      <c r="B3542" s="3" t="s">
        <v>4</v>
      </c>
      <c r="C3542" s="2" t="str">
        <f ca="1">IFERROR(__xludf.DUMMYFUNCTION("GOOGLETRANSLATE(A3542,""bn"",""en"")"),"Run safe own initiative")</f>
        <v>Run safe own initiative</v>
      </c>
    </row>
    <row r="3543" spans="1:3" ht="15" x14ac:dyDescent="0.25">
      <c r="A3543" s="3" t="s">
        <v>3540</v>
      </c>
      <c r="B3543" s="3" t="s">
        <v>4</v>
      </c>
      <c r="C3543" s="2" t="str">
        <f ca="1">IFERROR(__xludf.DUMMYFUNCTION("GOOGLETRANSLATE(A3543,""bn"",""en"")"),"Basic Algorithm Development Training")</f>
        <v>Basic Algorithm Development Training</v>
      </c>
    </row>
    <row r="3544" spans="1:3" ht="15" x14ac:dyDescent="0.25">
      <c r="A3544" s="3" t="s">
        <v>3541</v>
      </c>
      <c r="B3544" s="3" t="s">
        <v>4</v>
      </c>
      <c r="C3544" s="2" t="str">
        <f ca="1">IFERROR(__xludf.DUMMYFUNCTION("GOOGLETRANSLATE(A3544,""bn"",""en"")"),"Singing in Rabindra Sangeet is excellent")</f>
        <v>Singing in Rabindra Sangeet is excellent</v>
      </c>
    </row>
    <row r="3545" spans="1:3" ht="15" x14ac:dyDescent="0.25">
      <c r="A3545" s="3" t="s">
        <v>3542</v>
      </c>
      <c r="B3545" s="3" t="s">
        <v>4</v>
      </c>
      <c r="C3545" s="2" t="str">
        <f ca="1">IFERROR(__xludf.DUMMYFUNCTION("GOOGLETRANSLATE(A3545,""bn"",""en"")"),"New policies are formulated in administration")</f>
        <v>New policies are formulated in administration</v>
      </c>
    </row>
    <row r="3546" spans="1:3" ht="15" x14ac:dyDescent="0.25">
      <c r="A3546" s="3" t="s">
        <v>3543</v>
      </c>
      <c r="B3546" s="3" t="s">
        <v>4</v>
      </c>
      <c r="C3546" s="2" t="str">
        <f ca="1">IFERROR(__xludf.DUMMYFUNCTION("GOOGLETRANSLATE(A3546,""bn"",""en"")"),"Consider market weather")</f>
        <v>Consider market weather</v>
      </c>
    </row>
    <row r="3547" spans="1:3" ht="15" x14ac:dyDescent="0.25">
      <c r="A3547" s="3" t="s">
        <v>3544</v>
      </c>
      <c r="B3547" s="3" t="s">
        <v>4</v>
      </c>
      <c r="C3547" s="2" t="str">
        <f ca="1">IFERROR(__xludf.DUMMYFUNCTION("GOOGLETRANSLATE(A3547,""bn"",""en"")"),"Mobile Application Design Guide")</f>
        <v>Mobile Application Design Guide</v>
      </c>
    </row>
    <row r="3548" spans="1:3" ht="15" x14ac:dyDescent="0.25">
      <c r="A3548" s="3" t="s">
        <v>3545</v>
      </c>
      <c r="B3548" s="3" t="s">
        <v>4</v>
      </c>
      <c r="C3548" s="2" t="str">
        <f ca="1">IFERROR(__xludf.DUMMYFUNCTION("GOOGLETRANSLATE(A3548,""bn"",""en"")"),"New products are coming to the market")</f>
        <v>New products are coming to the market</v>
      </c>
    </row>
    <row r="3549" spans="1:3" ht="15" x14ac:dyDescent="0.25">
      <c r="A3549" s="3" t="s">
        <v>3546</v>
      </c>
      <c r="B3549" s="3" t="s">
        <v>4</v>
      </c>
      <c r="C3549" s="2" t="str">
        <f ca="1">IFERROR(__xludf.DUMMYFUNCTION("GOOGLETRANSLATE(A3549,""bn"",""en"")"),"The right book for travel")</f>
        <v>The right book for travel</v>
      </c>
    </row>
    <row r="3550" spans="1:3" ht="15" x14ac:dyDescent="0.25">
      <c r="A3550" s="3" t="s">
        <v>3547</v>
      </c>
      <c r="B3550" s="3" t="s">
        <v>4</v>
      </c>
      <c r="C3550" s="2" t="str">
        <f ca="1">IFERROR(__xludf.DUMMYFUNCTION("GOOGLETRANSLATE(A3550,""bn"",""en"")"),"Travel has personal needs")</f>
        <v>Travel has personal needs</v>
      </c>
    </row>
    <row r="3551" spans="1:3" ht="15" x14ac:dyDescent="0.25">
      <c r="A3551" s="3" t="s">
        <v>3548</v>
      </c>
      <c r="B3551" s="3" t="s">
        <v>4</v>
      </c>
      <c r="C3551" s="2" t="str">
        <f ca="1">IFERROR(__xludf.DUMMYFUNCTION("GOOGLETRANSLATE(A3551,""bn"",""en"")"),"Have a sweet day at the beach")</f>
        <v>Have a sweet day at the beach</v>
      </c>
    </row>
    <row r="3552" spans="1:3" ht="15" x14ac:dyDescent="0.25">
      <c r="A3552" s="3" t="s">
        <v>3549</v>
      </c>
      <c r="B3552" s="3" t="s">
        <v>4</v>
      </c>
      <c r="C3552" s="2" t="str">
        <f ca="1">IFERROR(__xludf.DUMMYFUNCTION("GOOGLETRANSLATE(A3552,""bn"",""en"")"),"Pay the bank bill")</f>
        <v>Pay the bank bill</v>
      </c>
    </row>
    <row r="3553" spans="1:3" ht="15" x14ac:dyDescent="0.25">
      <c r="A3553" s="3" t="s">
        <v>3550</v>
      </c>
      <c r="B3553" s="3" t="s">
        <v>4</v>
      </c>
      <c r="C3553" s="2" t="str">
        <f ca="1">IFERROR(__xludf.DUMMYFUNCTION("GOOGLETRANSLATE(A3553,""bn"",""en"")"),"This is for personal loans")</f>
        <v>This is for personal loans</v>
      </c>
    </row>
    <row r="3554" spans="1:3" ht="15" x14ac:dyDescent="0.25">
      <c r="A3554" s="3" t="s">
        <v>3551</v>
      </c>
      <c r="B3554" s="3" t="s">
        <v>4</v>
      </c>
      <c r="C3554" s="2" t="str">
        <f ca="1">IFERROR(__xludf.DUMMYFUNCTION("GOOGLETRANSLATE(A3554,""bn"",""en"")"),"Corona cases of students in the university")</f>
        <v>Corona cases of students in the university</v>
      </c>
    </row>
    <row r="3555" spans="1:3" ht="15" x14ac:dyDescent="0.25">
      <c r="A3555" s="3" t="s">
        <v>3552</v>
      </c>
      <c r="B3555" s="3" t="s">
        <v>4</v>
      </c>
      <c r="C3555" s="2" t="str">
        <f ca="1">IFERROR(__xludf.DUMMYFUNCTION("GOOGLETRANSLATE(A3555,""bn"",""en"")"),"Save as savings")</f>
        <v>Save as savings</v>
      </c>
    </row>
    <row r="3556" spans="1:3" ht="15" x14ac:dyDescent="0.25">
      <c r="A3556" s="3" t="s">
        <v>3553</v>
      </c>
      <c r="B3556" s="3" t="s">
        <v>4</v>
      </c>
      <c r="C3556" s="2" t="str">
        <f ca="1">IFERROR(__xludf.DUMMYFUNCTION("GOOGLETRANSLATE(A3556,""bn"",""en"")"),"Use mobile banking")</f>
        <v>Use mobile banking</v>
      </c>
    </row>
    <row r="3557" spans="1:3" ht="15" x14ac:dyDescent="0.25">
      <c r="A3557" s="3" t="s">
        <v>3554</v>
      </c>
      <c r="B3557" s="3" t="s">
        <v>4</v>
      </c>
      <c r="C3557" s="2" t="str">
        <f ca="1">IFERROR(__xludf.DUMMYFUNCTION("GOOGLETRANSLATE(A3557,""bn"",""en"")"),"Growth and progress of government")</f>
        <v>Growth and progress of government</v>
      </c>
    </row>
    <row r="3558" spans="1:3" ht="15" x14ac:dyDescent="0.25">
      <c r="A3558" s="3" t="s">
        <v>3555</v>
      </c>
      <c r="B3558" s="3" t="s">
        <v>4</v>
      </c>
      <c r="C3558" s="2" t="str">
        <f ca="1">IFERROR(__xludf.DUMMYFUNCTION("GOOGLETRANSLATE(A3558,""bn"",""en"")"),"Sundarbans extends from India to Bangladesh")</f>
        <v>Sundarbans extends from India to Bangladesh</v>
      </c>
    </row>
    <row r="3559" spans="1:3" ht="15" x14ac:dyDescent="0.25">
      <c r="A3559" s="3" t="s">
        <v>3556</v>
      </c>
      <c r="B3559" s="3" t="s">
        <v>4</v>
      </c>
      <c r="C3559" s="2" t="str">
        <f ca="1">IFERROR(__xludf.DUMMYFUNCTION("GOOGLETRANSLATE(A3559,""bn"",""en"")"),"Proper plan for travel")</f>
        <v>Proper plan for travel</v>
      </c>
    </row>
    <row r="3560" spans="1:3" ht="15" x14ac:dyDescent="0.25">
      <c r="A3560" s="3" t="s">
        <v>3557</v>
      </c>
      <c r="B3560" s="3" t="s">
        <v>4</v>
      </c>
      <c r="C3560" s="2" t="str">
        <f ca="1">IFERROR(__xludf.DUMMYFUNCTION("GOOGLETRANSLATE(A3560,""bn"",""en"")"),"Obtain account statement")</f>
        <v>Obtain account statement</v>
      </c>
    </row>
    <row r="3561" spans="1:3" ht="15" x14ac:dyDescent="0.25">
      <c r="A3561" s="3" t="s">
        <v>3558</v>
      </c>
      <c r="B3561" s="3" t="s">
        <v>4</v>
      </c>
      <c r="C3561" s="2" t="str">
        <f ca="1">IFERROR(__xludf.DUMMYFUNCTION("GOOGLETRANSLATE(A3561,""bn"",""en"")"),"Book various tours")</f>
        <v>Book various tours</v>
      </c>
    </row>
    <row r="3562" spans="1:3" ht="15" x14ac:dyDescent="0.25">
      <c r="A3562" s="3" t="s">
        <v>3559</v>
      </c>
      <c r="B3562" s="3" t="s">
        <v>4</v>
      </c>
      <c r="C3562" s="2" t="str">
        <f ca="1">IFERROR(__xludf.DUMMYFUNCTION("GOOGLETRANSLATE(A3562,""bn"",""en"")"),"Veena Bad is colored with anger")</f>
        <v>Veena Bad is colored with anger</v>
      </c>
    </row>
    <row r="3563" spans="1:3" ht="15" x14ac:dyDescent="0.25">
      <c r="A3563" s="3" t="s">
        <v>3560</v>
      </c>
      <c r="B3563" s="3" t="s">
        <v>4</v>
      </c>
      <c r="C3563" s="2" t="str">
        <f ca="1">IFERROR(__xludf.DUMMYFUNCTION("GOOGLETRANSLATE(A3563,""bn"",""en"")"),"Create soundscapes")</f>
        <v>Create soundscapes</v>
      </c>
    </row>
    <row r="3564" spans="1:3" ht="15" x14ac:dyDescent="0.25">
      <c r="A3564" s="3" t="s">
        <v>3561</v>
      </c>
      <c r="B3564" s="3" t="s">
        <v>4</v>
      </c>
      <c r="C3564" s="2" t="str">
        <f ca="1">IFERROR(__xludf.DUMMYFUNCTION("GOOGLETRANSLATE(A3564,""bn"",""en"")"),"Appreciation of administrative skills")</f>
        <v>Appreciation of administrative skills</v>
      </c>
    </row>
    <row r="3565" spans="1:3" ht="15" x14ac:dyDescent="0.25">
      <c r="A3565" s="3" t="s">
        <v>3562</v>
      </c>
      <c r="B3565" s="3" t="s">
        <v>4</v>
      </c>
      <c r="C3565" s="2" t="str">
        <f ca="1">IFERROR(__xludf.DUMMYFUNCTION("GOOGLETRANSLATE(A3565,""bn"",""en"")"),"History of computer science is great")</f>
        <v>History of computer science is great</v>
      </c>
    </row>
    <row r="3566" spans="1:3" ht="15" x14ac:dyDescent="0.25">
      <c r="A3566" s="3" t="s">
        <v>3563</v>
      </c>
      <c r="B3566" s="3" t="s">
        <v>4</v>
      </c>
      <c r="C3566" s="2" t="str">
        <f ca="1">IFERROR(__xludf.DUMMYFUNCTION("GOOGLETRANSLATE(A3566,""bn"",""en"")"),"The bank has mobile banking")</f>
        <v>The bank has mobile banking</v>
      </c>
    </row>
    <row r="3567" spans="1:3" ht="15" x14ac:dyDescent="0.25">
      <c r="A3567" s="3" t="s">
        <v>3564</v>
      </c>
      <c r="B3567" s="3" t="s">
        <v>4</v>
      </c>
      <c r="C3567" s="2" t="str">
        <f ca="1">IFERROR(__xludf.DUMMYFUNCTION("GOOGLETRANSLATE(A3567,""bn"",""en"")"),"Stay cool in tourist hotels")</f>
        <v>Stay cool in tourist hotels</v>
      </c>
    </row>
    <row r="3568" spans="1:3" ht="15" x14ac:dyDescent="0.25">
      <c r="A3568" s="3" t="s">
        <v>3565</v>
      </c>
      <c r="B3568" s="3" t="s">
        <v>4</v>
      </c>
      <c r="C3568" s="2" t="str">
        <f ca="1">IFERROR(__xludf.DUMMYFUNCTION("GOOGLETRANSLATE(A3568,""bn"",""en"")"),"Submit as a loan")</f>
        <v>Submit as a loan</v>
      </c>
    </row>
    <row r="3569" spans="1:3" ht="15" x14ac:dyDescent="0.25">
      <c r="A3569" s="3" t="s">
        <v>3566</v>
      </c>
      <c r="B3569" s="3" t="s">
        <v>4</v>
      </c>
      <c r="C3569" s="2" t="str">
        <f ca="1">IFERROR(__xludf.DUMMYFUNCTION("GOOGLETRANSLATE(A3569,""bn"",""en"")"),"The movie has a popular cast")</f>
        <v>The movie has a popular cast</v>
      </c>
    </row>
    <row r="3570" spans="1:3" ht="15" x14ac:dyDescent="0.25">
      <c r="A3570" s="3" t="s">
        <v>3567</v>
      </c>
      <c r="B3570" s="3" t="s">
        <v>4</v>
      </c>
      <c r="C3570" s="2" t="str">
        <f ca="1">IFERROR(__xludf.DUMMYFUNCTION("GOOGLETRANSLATE(A3570,""bn"",""en"")"),"Calculate Home Loan")</f>
        <v>Calculate Home Loan</v>
      </c>
    </row>
    <row r="3571" spans="1:3" ht="15" x14ac:dyDescent="0.25">
      <c r="A3571" s="3" t="s">
        <v>3568</v>
      </c>
      <c r="B3571" s="3" t="s">
        <v>4</v>
      </c>
      <c r="C3571" s="2" t="str">
        <f ca="1">IFERROR(__xludf.DUMMYFUNCTION("GOOGLETRANSLATE(A3571,""bn"",""en"")"),"Love is forever in the song of the heart")</f>
        <v>Love is forever in the song of the heart</v>
      </c>
    </row>
    <row r="3572" spans="1:3" ht="15" x14ac:dyDescent="0.25">
      <c r="A3572" s="3" t="s">
        <v>3569</v>
      </c>
      <c r="B3572" s="3" t="s">
        <v>4</v>
      </c>
      <c r="C3572" s="2" t="str">
        <f ca="1">IFERROR(__xludf.DUMMYFUNCTION("GOOGLETRANSLATE(A3572,""bn"",""en"")"),"Comedy movie full of humor")</f>
        <v>Comedy movie full of humor</v>
      </c>
    </row>
    <row r="3573" spans="1:3" ht="15" x14ac:dyDescent="0.25">
      <c r="A3573" s="3" t="s">
        <v>3570</v>
      </c>
      <c r="B3573" s="3" t="s">
        <v>4</v>
      </c>
      <c r="C3573" s="2" t="str">
        <f ca="1">IFERROR(__xludf.DUMMYFUNCTION("GOOGLETRANSLATE(A3573,""bn"",""en"")"),"Garbage fairs abound in Rajbari")</f>
        <v>Garbage fairs abound in Rajbari</v>
      </c>
    </row>
    <row r="3574" spans="1:3" ht="15" x14ac:dyDescent="0.25">
      <c r="A3574" s="3" t="s">
        <v>3571</v>
      </c>
      <c r="B3574" s="3" t="s">
        <v>4</v>
      </c>
      <c r="C3574" s="2" t="str">
        <f ca="1">IFERROR(__xludf.DUMMYFUNCTION("GOOGLETRANSLATE(A3574,""bn"",""en"")"),"Ergonomics and Quantum Computing")</f>
        <v>Ergonomics and Quantum Computing</v>
      </c>
    </row>
    <row r="3575" spans="1:3" ht="15" x14ac:dyDescent="0.25">
      <c r="A3575" s="3" t="s">
        <v>3572</v>
      </c>
      <c r="B3575" s="3" t="s">
        <v>4</v>
      </c>
      <c r="C3575" s="2" t="str">
        <f ca="1">IFERROR(__xludf.DUMMYFUNCTION("GOOGLETRANSLATE(A3575,""bn"",""en"")"),"Krishna's flute sounds sweetly")</f>
        <v>Krishna's flute sounds sweetly</v>
      </c>
    </row>
    <row r="3576" spans="1:3" ht="15" x14ac:dyDescent="0.25">
      <c r="A3576" s="3" t="s">
        <v>3573</v>
      </c>
      <c r="B3576" s="3" t="s">
        <v>4</v>
      </c>
      <c r="C3576" s="2" t="str">
        <f ca="1">IFERROR(__xludf.DUMMYFUNCTION("GOOGLETRANSLATE(A3576,""bn"",""en"")"),"The heroine took the role carefully")</f>
        <v>The heroine took the role carefully</v>
      </c>
    </row>
    <row r="3577" spans="1:3" ht="15" x14ac:dyDescent="0.25">
      <c r="A3577" s="3" t="s">
        <v>3574</v>
      </c>
      <c r="B3577" s="3" t="s">
        <v>4</v>
      </c>
      <c r="C3577" s="2" t="str">
        <f ca="1">IFERROR(__xludf.DUMMYFUNCTION("GOOGLETRANSLATE(A3577,""bn"",""en"")"),"Cooperation if you want peace in war")</f>
        <v>Cooperation if you want peace in war</v>
      </c>
    </row>
    <row r="3578" spans="1:3" ht="15" x14ac:dyDescent="0.25">
      <c r="A3578" s="3" t="s">
        <v>3575</v>
      </c>
      <c r="B3578" s="3" t="s">
        <v>4</v>
      </c>
      <c r="C3578" s="2" t="str">
        <f ca="1">IFERROR(__xludf.DUMMYFUNCTION("GOOGLETRANSLATE(A3578,""bn"",""en"")"),"Acquiring knowledge through education")</f>
        <v>Acquiring knowledge through education</v>
      </c>
    </row>
    <row r="3579" spans="1:3" ht="15" x14ac:dyDescent="0.25">
      <c r="A3579" s="3" t="s">
        <v>3576</v>
      </c>
      <c r="B3579" s="3" t="s">
        <v>4</v>
      </c>
      <c r="C3579" s="2" t="str">
        <f ca="1">IFERROR(__xludf.DUMMYFUNCTION("GOOGLETRANSLATE(A3579,""bn"",""en"")"),"Advance bank loan")</f>
        <v>Advance bank loan</v>
      </c>
    </row>
    <row r="3580" spans="1:3" ht="15" x14ac:dyDescent="0.25">
      <c r="A3580" s="3" t="s">
        <v>3577</v>
      </c>
      <c r="B3580" s="3" t="s">
        <v>4</v>
      </c>
      <c r="C3580" s="2" t="str">
        <f ca="1">IFERROR(__xludf.DUMMYFUNCTION("GOOGLETRANSLATE(A3580,""bn"",""en"")"),"Scoring with swimmers")</f>
        <v>Scoring with swimmers</v>
      </c>
    </row>
    <row r="3581" spans="1:3" ht="15" x14ac:dyDescent="0.25">
      <c r="A3581" s="3" t="s">
        <v>3578</v>
      </c>
      <c r="B3581" s="3" t="s">
        <v>4</v>
      </c>
      <c r="C3581" s="2" t="str">
        <f ca="1">IFERROR(__xludf.DUMMYFUNCTION("GOOGLETRANSLATE(A3581,""bn"",""en"")"),"It is realistic to see the picture of Ramyahas")</f>
        <v>It is realistic to see the picture of Ramyahas</v>
      </c>
    </row>
    <row r="3582" spans="1:3" ht="15" x14ac:dyDescent="0.25">
      <c r="A3582" s="3" t="s">
        <v>3579</v>
      </c>
      <c r="B3582" s="3" t="s">
        <v>4</v>
      </c>
      <c r="C3582" s="2" t="str">
        <f ca="1">IFERROR(__xludf.DUMMYFUNCTION("GOOGLETRANSLATE(A3582,""bn"",""en"")"),"Avoid overcharges")</f>
        <v>Avoid overcharges</v>
      </c>
    </row>
    <row r="3583" spans="1:3" ht="15" x14ac:dyDescent="0.25">
      <c r="A3583" s="3" t="s">
        <v>3580</v>
      </c>
      <c r="B3583" s="3" t="s">
        <v>4</v>
      </c>
      <c r="C3583" s="2" t="str">
        <f ca="1">IFERROR(__xludf.DUMMYFUNCTION("GOOGLETRANSLATE(A3583,""bn"",""en"")"),"It is a selfish movie")</f>
        <v>It is a selfish movie</v>
      </c>
    </row>
    <row r="3584" spans="1:3" ht="15" x14ac:dyDescent="0.25">
      <c r="A3584" s="3" t="s">
        <v>3581</v>
      </c>
      <c r="B3584" s="3" t="s">
        <v>4</v>
      </c>
      <c r="C3584" s="2" t="str">
        <f ca="1">IFERROR(__xludf.DUMMYFUNCTION("GOOGLETRANSLATE(A3584,""bn"",""en"")"),"Government is running new projects")</f>
        <v>Government is running new projects</v>
      </c>
    </row>
    <row r="3585" spans="1:3" ht="15" x14ac:dyDescent="0.25">
      <c r="A3585" s="3" t="s">
        <v>3582</v>
      </c>
      <c r="B3585" s="3" t="s">
        <v>4</v>
      </c>
      <c r="C3585" s="2" t="str">
        <f ca="1">IFERROR(__xludf.DUMMYFUNCTION("GOOGLETRANSLATE(A3585,""bn"",""en"")"),"Learn to browse the internet")</f>
        <v>Learn to browse the internet</v>
      </c>
    </row>
    <row r="3586" spans="1:3" ht="15" x14ac:dyDescent="0.25">
      <c r="A3586" s="3" t="s">
        <v>3583</v>
      </c>
      <c r="B3586" s="3" t="s">
        <v>4</v>
      </c>
      <c r="C3586" s="2" t="str">
        <f ca="1">IFERROR(__xludf.DUMMYFUNCTION("GOOGLETRANSLATE(A3586,""bn"",""en"")"),"An angry tone is playing")</f>
        <v>An angry tone is playing</v>
      </c>
    </row>
    <row r="3587" spans="1:3" ht="15" x14ac:dyDescent="0.25">
      <c r="A3587" s="3" t="s">
        <v>3584</v>
      </c>
      <c r="B3587" s="3" t="s">
        <v>4</v>
      </c>
      <c r="C3587" s="2" t="str">
        <f ca="1">IFERROR(__xludf.DUMMYFUNCTION("GOOGLETRANSLATE(A3587,""bn"",""en"")"),"Sitting on the shore watching the sea")</f>
        <v>Sitting on the shore watching the sea</v>
      </c>
    </row>
    <row r="3588" spans="1:3" ht="15" x14ac:dyDescent="0.25">
      <c r="A3588" s="3" t="s">
        <v>3585</v>
      </c>
      <c r="B3588" s="3" t="s">
        <v>4</v>
      </c>
      <c r="C3588" s="2" t="str">
        <f ca="1">IFERROR(__xludf.DUMMYFUNCTION("GOOGLETRANSLATE(A3588,""bn"",""en"")"),"The debate in Parliament is going on verbally")</f>
        <v>The debate in Parliament is going on verbally</v>
      </c>
    </row>
    <row r="3589" spans="1:3" ht="15" x14ac:dyDescent="0.25">
      <c r="A3589" s="3" t="s">
        <v>3586</v>
      </c>
      <c r="B3589" s="3" t="s">
        <v>4</v>
      </c>
      <c r="C3589" s="2" t="str">
        <f ca="1">IFERROR(__xludf.DUMMYFUNCTION("GOOGLETRANSLATE(A3589,""bn"",""en"")"),"The province of Quebec is located in Canada")</f>
        <v>The province of Quebec is located in Canada</v>
      </c>
    </row>
    <row r="3590" spans="1:3" ht="15" x14ac:dyDescent="0.25">
      <c r="A3590" s="3" t="s">
        <v>3587</v>
      </c>
      <c r="B3590" s="3" t="s">
        <v>4</v>
      </c>
      <c r="C3590" s="2" t="str">
        <f ca="1">IFERROR(__xludf.DUMMYFUNCTION("GOOGLETRANSLATE(A3590,""bn"",""en"")"),"Increase budget requirements")</f>
        <v>Increase budget requirements</v>
      </c>
    </row>
    <row r="3591" spans="1:3" ht="15" x14ac:dyDescent="0.25">
      <c r="A3591" s="3" t="s">
        <v>3588</v>
      </c>
      <c r="B3591" s="3" t="s">
        <v>4</v>
      </c>
      <c r="C3591" s="2" t="str">
        <f ca="1">IFERROR(__xludf.DUMMYFUNCTION("GOOGLETRANSLATE(A3591,""bn"",""en"")"),"Advances in data scanning technology")</f>
        <v>Advances in data scanning technology</v>
      </c>
    </row>
    <row r="3592" spans="1:3" ht="15" x14ac:dyDescent="0.25">
      <c r="A3592" s="3" t="s">
        <v>3589</v>
      </c>
      <c r="B3592" s="3" t="s">
        <v>4</v>
      </c>
      <c r="C3592" s="2" t="str">
        <f ca="1">IFERROR(__xludf.DUMMYFUNCTION("GOOGLETRANSLATE(A3592,""bn"",""en"")"),"The flute sounds in Vrindavan")</f>
        <v>The flute sounds in Vrindavan</v>
      </c>
    </row>
    <row r="3593" spans="1:3" ht="15" x14ac:dyDescent="0.25">
      <c r="A3593" s="3" t="s">
        <v>3590</v>
      </c>
      <c r="B3593" s="3" t="s">
        <v>4</v>
      </c>
      <c r="C3593" s="2" t="str">
        <f ca="1">IFERROR(__xludf.DUMMYFUNCTION("GOOGLETRANSLATE(A3593,""bn"",""en"")"),"Sign the purchase and sale agreement")</f>
        <v>Sign the purchase and sale agreement</v>
      </c>
    </row>
    <row r="3594" spans="1:3" ht="15" x14ac:dyDescent="0.25">
      <c r="A3594" s="3" t="s">
        <v>3591</v>
      </c>
      <c r="B3594" s="3" t="s">
        <v>4</v>
      </c>
      <c r="C3594" s="2" t="str">
        <f ca="1">IFERROR(__xludf.DUMMYFUNCTION("GOOGLETRANSLATE(A3594,""bn"",""en"")"),"Get credit card opportunities")</f>
        <v>Get credit card opportunities</v>
      </c>
    </row>
    <row r="3595" spans="1:3" ht="15" x14ac:dyDescent="0.25">
      <c r="A3595" s="3" t="s">
        <v>3592</v>
      </c>
      <c r="B3595" s="3" t="s">
        <v>4</v>
      </c>
      <c r="C3595" s="2" t="str">
        <f ca="1">IFERROR(__xludf.DUMMYFUNCTION("GOOGLETRANSLATE(A3595,""bn"",""en"")"),"We are traveling by train")</f>
        <v>We are traveling by train</v>
      </c>
    </row>
    <row r="3596" spans="1:3" ht="15" x14ac:dyDescent="0.25">
      <c r="A3596" s="3" t="s">
        <v>3593</v>
      </c>
      <c r="B3596" s="3" t="s">
        <v>4</v>
      </c>
      <c r="C3596" s="2" t="str">
        <f ca="1">IFERROR(__xludf.DUMMYFUNCTION("GOOGLETRANSLATE(A3596,""bn"",""en"")"),"Shankar Ravi's music floats")</f>
        <v>Shankar Ravi's music floats</v>
      </c>
    </row>
    <row r="3597" spans="1:3" ht="15" x14ac:dyDescent="0.25">
      <c r="A3597" s="3" t="s">
        <v>3594</v>
      </c>
      <c r="B3597" s="3" t="s">
        <v>4</v>
      </c>
      <c r="C3597" s="2" t="str">
        <f ca="1">IFERROR(__xludf.DUMMYFUNCTION("GOOGLETRANSLATE(A3597,""bn"",""en"")"),"Professional techniques in web development")</f>
        <v>Professional techniques in web development</v>
      </c>
    </row>
    <row r="3598" spans="1:3" ht="15" x14ac:dyDescent="0.25">
      <c r="A3598" s="3" t="s">
        <v>3595</v>
      </c>
      <c r="B3598" s="3" t="s">
        <v>4</v>
      </c>
      <c r="C3598" s="2" t="str">
        <f ca="1">IFERROR(__xludf.DUMMYFUNCTION("GOOGLETRANSLATE(A3598,""bn"",""en"")"),"Keep your bank account safe")</f>
        <v>Keep your bank account safe</v>
      </c>
    </row>
    <row r="3599" spans="1:3" ht="15" x14ac:dyDescent="0.25">
      <c r="A3599" s="3" t="s">
        <v>3596</v>
      </c>
      <c r="B3599" s="3" t="s">
        <v>4</v>
      </c>
      <c r="C3599" s="2" t="str">
        <f ca="1">IFERROR(__xludf.DUMMYFUNCTION("GOOGLETRANSLATE(A3599,""bn"",""en"")"),"His voice charms the world")</f>
        <v>His voice charms the world</v>
      </c>
    </row>
    <row r="3600" spans="1:3" ht="15" x14ac:dyDescent="0.25">
      <c r="A3600" s="3" t="s">
        <v>3597</v>
      </c>
      <c r="B3600" s="3" t="s">
        <v>4</v>
      </c>
      <c r="C3600" s="2" t="str">
        <f ca="1">IFERROR(__xludf.DUMMYFUNCTION("GOOGLETRANSLATE(A3600,""bn"",""en"")"),"New movie released")</f>
        <v>New movie released</v>
      </c>
    </row>
    <row r="3601" spans="1:3" ht="15" x14ac:dyDescent="0.25">
      <c r="A3601" s="3" t="s">
        <v>3598</v>
      </c>
      <c r="B3601" s="3" t="s">
        <v>4</v>
      </c>
      <c r="C3601" s="2" t="str">
        <f ca="1">IFERROR(__xludf.DUMMYFUNCTION("GOOGLETRANSLATE(A3601,""bn"",""en"")"),"Personal protection during travel")</f>
        <v>Personal protection during travel</v>
      </c>
    </row>
    <row r="3602" spans="1:3" ht="15" x14ac:dyDescent="0.25">
      <c r="A3602" s="3" t="s">
        <v>3599</v>
      </c>
      <c r="B3602" s="3" t="s">
        <v>4</v>
      </c>
      <c r="C3602" s="2" t="str">
        <f ca="1">IFERROR(__xludf.DUMMYFUNCTION("GOOGLETRANSLATE(A3602,""bn"",""en"")"),"The exchange of initiatives is increasing")</f>
        <v>The exchange of initiatives is increasing</v>
      </c>
    </row>
    <row r="3603" spans="1:3" ht="15" x14ac:dyDescent="0.25">
      <c r="A3603" s="3" t="s">
        <v>3600</v>
      </c>
      <c r="B3603" s="3" t="s">
        <v>4</v>
      </c>
      <c r="C3603" s="2" t="str">
        <f ca="1">IFERROR(__xludf.DUMMYFUNCTION("GOOGLETRANSLATE(A3603,""bn"",""en"")"),"The soundtrack is classic at heart")</f>
        <v>The soundtrack is classic at heart</v>
      </c>
    </row>
    <row r="3604" spans="1:3" ht="15" x14ac:dyDescent="0.25">
      <c r="A3604" s="3" t="s">
        <v>3601</v>
      </c>
      <c r="B3604" s="3" t="s">
        <v>4</v>
      </c>
      <c r="C3604" s="2" t="str">
        <f ca="1">IFERROR(__xludf.DUMMYFUNCTION("GOOGLETRANSLATE(A3604,""bn"",""en"")"),"Advances in wireless networking technology")</f>
        <v>Advances in wireless networking technology</v>
      </c>
    </row>
    <row r="3605" spans="1:3" ht="15" x14ac:dyDescent="0.25">
      <c r="A3605" s="3" t="s">
        <v>3602</v>
      </c>
      <c r="B3605" s="3" t="s">
        <v>4</v>
      </c>
      <c r="C3605" s="2" t="str">
        <f ca="1">IFERROR(__xludf.DUMMYFUNCTION("GOOGLETRANSLATE(A3605,""bn"",""en"")"),"Golf is a very relaxing game")</f>
        <v>Golf is a very relaxing game</v>
      </c>
    </row>
    <row r="3606" spans="1:3" ht="15" x14ac:dyDescent="0.25">
      <c r="A3606" s="3" t="s">
        <v>3603</v>
      </c>
      <c r="B3606" s="3" t="s">
        <v>4</v>
      </c>
      <c r="C3606" s="2" t="str">
        <f ca="1">IFERROR(__xludf.DUMMYFUNCTION("GOOGLETRANSLATE(A3606,""bn"",""en"")"),"Computational Machine Learning Algorithms")</f>
        <v>Computational Machine Learning Algorithms</v>
      </c>
    </row>
    <row r="3607" spans="1:3" ht="15" x14ac:dyDescent="0.25">
      <c r="A3607" s="3" t="s">
        <v>3604</v>
      </c>
      <c r="B3607" s="3" t="s">
        <v>4</v>
      </c>
      <c r="C3607" s="2" t="str">
        <f ca="1">IFERROR(__xludf.DUMMYFUNCTION("GOOGLETRANSLATE(A3607,""bn"",""en"")"),"See the stars at night")</f>
        <v>See the stars at night</v>
      </c>
    </row>
    <row r="3608" spans="1:3" ht="15" x14ac:dyDescent="0.25">
      <c r="A3608" s="3" t="s">
        <v>3605</v>
      </c>
      <c r="B3608" s="3" t="s">
        <v>4</v>
      </c>
      <c r="C3608" s="2" t="str">
        <f ca="1">IFERROR(__xludf.DUMMYFUNCTION("GOOGLETRANSLATE(A3608,""bn"",""en"")"),"Take a trip to the beach")</f>
        <v>Take a trip to the beach</v>
      </c>
    </row>
    <row r="3609" spans="1:3" ht="15" x14ac:dyDescent="0.25">
      <c r="A3609" s="3" t="s">
        <v>3606</v>
      </c>
      <c r="B3609" s="3" t="s">
        <v>4</v>
      </c>
      <c r="C3609" s="2" t="str">
        <f ca="1">IFERROR(__xludf.DUMMYFUNCTION("GOOGLETRANSLATE(A3609,""bn"",""en"")"),"A new movie is coming in the event")</f>
        <v>A new movie is coming in the event</v>
      </c>
    </row>
    <row r="3610" spans="1:3" ht="15" x14ac:dyDescent="0.25">
      <c r="A3610" s="3" t="s">
        <v>3607</v>
      </c>
      <c r="B3610" s="3" t="s">
        <v>4</v>
      </c>
      <c r="C3610" s="2" t="str">
        <f ca="1">IFERROR(__xludf.DUMMYFUNCTION("GOOGLETRANSLATE(A3610,""bn"",""en"")"),"Fear again before the exam")</f>
        <v>Fear again before the exam</v>
      </c>
    </row>
    <row r="3611" spans="1:3" ht="15" x14ac:dyDescent="0.25">
      <c r="A3611" s="3" t="s">
        <v>3608</v>
      </c>
      <c r="B3611" s="3" t="s">
        <v>4</v>
      </c>
      <c r="C3611" s="2" t="str">
        <f ca="1">IFERROR(__xludf.DUMMYFUNCTION("GOOGLETRANSLATE(A3611,""bn"",""en"")"),"Mother language song with flute melody")</f>
        <v>Mother language song with flute melody</v>
      </c>
    </row>
    <row r="3612" spans="1:3" ht="15" x14ac:dyDescent="0.25">
      <c r="A3612" s="3" t="s">
        <v>3609</v>
      </c>
      <c r="B3612" s="3" t="s">
        <v>4</v>
      </c>
      <c r="C3612" s="2" t="str">
        <f ca="1">IFERROR(__xludf.DUMMYFUNCTION("GOOGLETRANSLATE(A3612,""bn"",""en"")"),"Bagerhat waterfall is getting sick")</f>
        <v>Bagerhat waterfall is getting sick</v>
      </c>
    </row>
    <row r="3613" spans="1:3" ht="15" x14ac:dyDescent="0.25">
      <c r="A3613" s="3" t="s">
        <v>3610</v>
      </c>
      <c r="B3613" s="3" t="s">
        <v>4</v>
      </c>
      <c r="C3613" s="2" t="str">
        <f ca="1">IFERROR(__xludf.DUMMYFUNCTION("GOOGLETRANSLATE(A3613,""bn"",""en"")"),"Buke Preme Candy Mystery")</f>
        <v>Buke Preme Candy Mystery</v>
      </c>
    </row>
    <row r="3614" spans="1:3" ht="15" x14ac:dyDescent="0.25">
      <c r="A3614" s="3" t="s">
        <v>3611</v>
      </c>
      <c r="B3614" s="3" t="s">
        <v>4</v>
      </c>
      <c r="C3614" s="2" t="str">
        <f ca="1">IFERROR(__xludf.DUMMYFUNCTION("GOOGLETRANSLATE(A3614,""bn"",""en"")"),"Superhero character life journey begins")</f>
        <v>Superhero character life journey begins</v>
      </c>
    </row>
    <row r="3615" spans="1:3" ht="15" x14ac:dyDescent="0.25">
      <c r="A3615" s="3" t="s">
        <v>3612</v>
      </c>
      <c r="B3615" s="3" t="s">
        <v>4</v>
      </c>
      <c r="C3615" s="2" t="str">
        <f ca="1">IFERROR(__xludf.DUMMYFUNCTION("GOOGLETRANSLATE(A3615,""bn"",""en"")"),"Street children are playing in the park")</f>
        <v>Street children are playing in the park</v>
      </c>
    </row>
    <row r="3616" spans="1:3" ht="15" x14ac:dyDescent="0.25">
      <c r="A3616" s="3" t="s">
        <v>3613</v>
      </c>
      <c r="B3616" s="3" t="s">
        <v>4</v>
      </c>
      <c r="C3616" s="2" t="str">
        <f ca="1">IFERROR(__xludf.DUMMYFUNCTION("GOOGLETRANSLATE(A3616,""bn"",""en"")"),"The economy is gaining strength")</f>
        <v>The economy is gaining strength</v>
      </c>
    </row>
    <row r="3617" spans="1:3" ht="15" x14ac:dyDescent="0.25">
      <c r="A3617" s="3" t="s">
        <v>3614</v>
      </c>
      <c r="B3617" s="3" t="s">
        <v>4</v>
      </c>
      <c r="C3617" s="2" t="str">
        <f ca="1">IFERROR(__xludf.DUMMYFUNCTION("GOOGLETRANSLATE(A3617,""bn"",""en"")"),"The World Cup has been won")</f>
        <v>The World Cup has been won</v>
      </c>
    </row>
    <row r="3618" spans="1:3" ht="15" x14ac:dyDescent="0.25">
      <c r="A3618" s="3" t="s">
        <v>3615</v>
      </c>
      <c r="B3618" s="3" t="s">
        <v>4</v>
      </c>
      <c r="C3618" s="2" t="str">
        <f ca="1">IFERROR(__xludf.DUMMYFUNCTION("GOOGLETRANSLATE(A3618,""bn"",""en"")"),"Mystery man is absolutely fashionable")</f>
        <v>Mystery man is absolutely fashionable</v>
      </c>
    </row>
    <row r="3619" spans="1:3" ht="15" x14ac:dyDescent="0.25">
      <c r="A3619" s="3" t="s">
        <v>3616</v>
      </c>
      <c r="B3619" s="3" t="s">
        <v>4</v>
      </c>
      <c r="C3619" s="2" t="str">
        <f ca="1">IFERROR(__xludf.DUMMYFUNCTION("GOOGLETRANSLATE(A3619,""bn"",""en"")"),"Trekking around the local mountains")</f>
        <v>Trekking around the local mountains</v>
      </c>
    </row>
    <row r="3620" spans="1:3" ht="15" x14ac:dyDescent="0.25">
      <c r="A3620" s="3" t="s">
        <v>3617</v>
      </c>
      <c r="B3620" s="3" t="s">
        <v>4</v>
      </c>
      <c r="C3620" s="2" t="str">
        <f ca="1">IFERROR(__xludf.DUMMYFUNCTION("GOOGLETRANSLATE(A3620,""bn"",""en"")"),"There are opportunities for recruitment")</f>
        <v>There are opportunities for recruitment</v>
      </c>
    </row>
    <row r="3621" spans="1:3" ht="15" x14ac:dyDescent="0.25">
      <c r="A3621" s="3" t="s">
        <v>3618</v>
      </c>
      <c r="B3621" s="3" t="s">
        <v>4</v>
      </c>
      <c r="C3621" s="2" t="str">
        <f ca="1">IFERROR(__xludf.DUMMYFUNCTION("GOOGLETRANSLATE(A3621,""bn"",""en"")"),"Create market resistance")</f>
        <v>Create market resistance</v>
      </c>
    </row>
    <row r="3622" spans="1:3" ht="15" x14ac:dyDescent="0.25">
      <c r="A3622" s="3" t="s">
        <v>3619</v>
      </c>
      <c r="B3622" s="3" t="s">
        <v>4</v>
      </c>
      <c r="C3622" s="2" t="str">
        <f ca="1">IFERROR(__xludf.DUMMYFUNCTION("GOOGLETRANSLATE(A3622,""bn"",""en"")"),"The Fiji Islands are located in the Pacific")</f>
        <v>The Fiji Islands are located in the Pacific</v>
      </c>
    </row>
    <row r="3623" spans="1:3" ht="15" x14ac:dyDescent="0.25">
      <c r="A3623" s="3" t="s">
        <v>3620</v>
      </c>
      <c r="B3623" s="3" t="s">
        <v>4</v>
      </c>
      <c r="C3623" s="2" t="str">
        <f ca="1">IFERROR(__xludf.DUMMYFUNCTION("GOOGLETRANSLATE(A3623,""bn"",""en"")"),"Go to a country like Hungary")</f>
        <v>Go to a country like Hungary</v>
      </c>
    </row>
    <row r="3624" spans="1:3" ht="15" x14ac:dyDescent="0.25">
      <c r="A3624" s="3" t="s">
        <v>3621</v>
      </c>
      <c r="B3624" s="3" t="s">
        <v>4</v>
      </c>
      <c r="C3624" s="2" t="str">
        <f ca="1">IFERROR(__xludf.DUMMYFUNCTION("GOOGLETRANSLATE(A3624,""bn"",""en"")"),"Debt sentiment is not approved")</f>
        <v>Debt sentiment is not approved</v>
      </c>
    </row>
    <row r="3625" spans="1:3" ht="15" x14ac:dyDescent="0.25">
      <c r="A3625" s="3" t="s">
        <v>3622</v>
      </c>
      <c r="B3625" s="3" t="s">
        <v>4</v>
      </c>
      <c r="C3625" s="2" t="str">
        <f ca="1">IFERROR(__xludf.DUMMYFUNCTION("GOOGLETRANSLATE(A3625,""bn"",""en"")"),"Ride the mountain road")</f>
        <v>Ride the mountain road</v>
      </c>
    </row>
    <row r="3626" spans="1:3" ht="15" x14ac:dyDescent="0.25">
      <c r="A3626" s="3" t="s">
        <v>3623</v>
      </c>
      <c r="B3626" s="3" t="s">
        <v>4</v>
      </c>
      <c r="C3626" s="2" t="str">
        <f ca="1">IFERROR(__xludf.DUMMYFUNCTION("GOOGLETRANSLATE(A3626,""bn"",""en"")"),"Cyberspace and Cyber ​​Security")</f>
        <v>Cyberspace and Cyber ​​Security</v>
      </c>
    </row>
    <row r="3627" spans="1:3" ht="15" x14ac:dyDescent="0.25">
      <c r="A3627" s="3" t="s">
        <v>3624</v>
      </c>
      <c r="B3627" s="3" t="s">
        <v>4</v>
      </c>
      <c r="C3627" s="2" t="str">
        <f ca="1">IFERROR(__xludf.DUMMYFUNCTION("GOOGLETRANSLATE(A3627,""bn"",""en"")"),"Networking security management is key")</f>
        <v>Networking security management is key</v>
      </c>
    </row>
    <row r="3628" spans="1:3" ht="15" x14ac:dyDescent="0.25">
      <c r="A3628" s="3" t="s">
        <v>3625</v>
      </c>
      <c r="B3628" s="3" t="s">
        <v>4</v>
      </c>
      <c r="C3628" s="2" t="str">
        <f ca="1">IFERROR(__xludf.DUMMYFUNCTION("GOOGLETRANSLATE(A3628,""bn"",""en"")"),"Hockey is colorful")</f>
        <v>Hockey is colorful</v>
      </c>
    </row>
    <row r="3629" spans="1:3" ht="15" x14ac:dyDescent="0.25">
      <c r="A3629" s="3" t="s">
        <v>3626</v>
      </c>
      <c r="B3629" s="3" t="s">
        <v>4</v>
      </c>
      <c r="C3629" s="2" t="str">
        <f ca="1">IFERROR(__xludf.DUMMYFUNCTION("GOOGLETRANSLATE(A3629,""bn"",""en"")"),"A heartwarming picture has been seen")</f>
        <v>A heartwarming picture has been seen</v>
      </c>
    </row>
    <row r="3630" spans="1:3" ht="15" x14ac:dyDescent="0.25">
      <c r="A3630" s="3" t="s">
        <v>3627</v>
      </c>
      <c r="B3630" s="3" t="s">
        <v>4</v>
      </c>
      <c r="C3630" s="2" t="str">
        <f ca="1">IFERROR(__xludf.DUMMYFUNCTION("GOOGLETRANSLATE(A3630,""bn"",""en"")"),"There is a car team in the Sahara")</f>
        <v>There is a car team in the Sahara</v>
      </c>
    </row>
    <row r="3631" spans="1:3" ht="15" x14ac:dyDescent="0.25">
      <c r="A3631" s="3" t="s">
        <v>3628</v>
      </c>
      <c r="B3631" s="3" t="s">
        <v>4</v>
      </c>
      <c r="C3631" s="2" t="str">
        <f ca="1">IFERROR(__xludf.DUMMYFUNCTION("GOOGLETRANSLATE(A3631,""bn"",""en"")"),"A fearless magician without hesitation")</f>
        <v>A fearless magician without hesitation</v>
      </c>
    </row>
    <row r="3632" spans="1:3" ht="15" x14ac:dyDescent="0.25">
      <c r="A3632" s="3" t="s">
        <v>3629</v>
      </c>
      <c r="B3632" s="3" t="s">
        <v>4</v>
      </c>
      <c r="C3632" s="2" t="str">
        <f ca="1">IFERROR(__xludf.DUMMYFUNCTION("GOOGLETRANSLATE(A3632,""bn"",""en"")"),"Cyber ​​physical security management")</f>
        <v>Cyber ​​physical security management</v>
      </c>
    </row>
    <row r="3633" spans="1:3" ht="15" x14ac:dyDescent="0.25">
      <c r="A3633" s="3" t="s">
        <v>3630</v>
      </c>
      <c r="B3633" s="3" t="s">
        <v>4</v>
      </c>
      <c r="C3633" s="2" t="str">
        <f ca="1">IFERROR(__xludf.DUMMYFUNCTION("GOOGLETRANSLATE(A3633,""bn"",""en"")"),"Be a popular leader")</f>
        <v>Be a popular leader</v>
      </c>
    </row>
    <row r="3634" spans="1:3" ht="15" x14ac:dyDescent="0.25">
      <c r="A3634" s="3" t="s">
        <v>3631</v>
      </c>
      <c r="B3634" s="3" t="s">
        <v>4</v>
      </c>
      <c r="C3634" s="2" t="str">
        <f ca="1">IFERROR(__xludf.DUMMYFUNCTION("GOOGLETRANSLATE(A3634,""bn"",""en"")"),"Prosperity is the preservation of human rights")</f>
        <v>Prosperity is the preservation of human rights</v>
      </c>
    </row>
    <row r="3635" spans="1:3" ht="15" x14ac:dyDescent="0.25">
      <c r="A3635" s="3" t="s">
        <v>3632</v>
      </c>
      <c r="B3635" s="3" t="s">
        <v>4</v>
      </c>
      <c r="C3635" s="2" t="str">
        <f ca="1">IFERROR(__xludf.DUMMYFUNCTION("GOOGLETRANSLATE(A3635,""bn"",""en"")"),"Get admission in higher education easily")</f>
        <v>Get admission in higher education easily</v>
      </c>
    </row>
    <row r="3636" spans="1:3" ht="15" x14ac:dyDescent="0.25">
      <c r="A3636" s="3" t="s">
        <v>3633</v>
      </c>
      <c r="B3636" s="3" t="s">
        <v>4</v>
      </c>
      <c r="C3636" s="2" t="str">
        <f ca="1">IFERROR(__xludf.DUMMYFUNCTION("GOOGLETRANSLATE(A3636,""bn"",""en"")"),"Full night stay at hotel")</f>
        <v>Full night stay at hotel</v>
      </c>
    </row>
    <row r="3637" spans="1:3" ht="15" x14ac:dyDescent="0.25">
      <c r="A3637" s="3" t="s">
        <v>3634</v>
      </c>
      <c r="B3637" s="3" t="s">
        <v>4</v>
      </c>
      <c r="C3637" s="2" t="str">
        <f ca="1">IFERROR(__xludf.DUMMYFUNCTION("GOOGLETRANSLATE(A3637,""bn"",""en"")"),"Maternity home is increasing in Khulna")</f>
        <v>Maternity home is increasing in Khulna</v>
      </c>
    </row>
    <row r="3638" spans="1:3" ht="15" x14ac:dyDescent="0.25">
      <c r="A3638" s="3" t="s">
        <v>3635</v>
      </c>
      <c r="B3638" s="3" t="s">
        <v>4</v>
      </c>
      <c r="C3638" s="2" t="str">
        <f ca="1">IFERROR(__xludf.DUMMYFUNCTION("GOOGLETRANSLATE(A3638,""bn"",""en"")"),"Gender equality is strong")</f>
        <v>Gender equality is strong</v>
      </c>
    </row>
    <row r="3639" spans="1:3" ht="15" x14ac:dyDescent="0.25">
      <c r="A3639" s="3" t="s">
        <v>3636</v>
      </c>
      <c r="B3639" s="3" t="s">
        <v>4</v>
      </c>
      <c r="C3639" s="2" t="str">
        <f ca="1">IFERROR(__xludf.DUMMYFUNCTION("GOOGLETRANSLATE(A3639,""bn"",""en"")"),"The illusion of song in Baul Bicher")</f>
        <v>The illusion of song in Baul Bicher</v>
      </c>
    </row>
    <row r="3640" spans="1:3" ht="15" x14ac:dyDescent="0.25">
      <c r="A3640" s="3" t="s">
        <v>3637</v>
      </c>
      <c r="B3640" s="3" t="s">
        <v>4</v>
      </c>
      <c r="C3640" s="2" t="str">
        <f ca="1">IFERROR(__xludf.DUMMYFUNCTION("GOOGLETRANSLATE(A3640,""bn"",""en"")"),"Suspend bank transactions")</f>
        <v>Suspend bank transactions</v>
      </c>
    </row>
    <row r="3641" spans="1:3" ht="15" x14ac:dyDescent="0.25">
      <c r="A3641" s="3" t="s">
        <v>3638</v>
      </c>
      <c r="B3641" s="3" t="s">
        <v>4</v>
      </c>
      <c r="C3641" s="2" t="str">
        <f ca="1">IFERROR(__xludf.DUMMYFUNCTION("GOOGLETRANSLATE(A3641,""bn"",""en"")"),"Monitor yourself in your studies")</f>
        <v>Monitor yourself in your studies</v>
      </c>
    </row>
    <row r="3642" spans="1:3" ht="15" x14ac:dyDescent="0.25">
      <c r="A3642" s="3" t="s">
        <v>3639</v>
      </c>
      <c r="B3642" s="3" t="s">
        <v>4</v>
      </c>
      <c r="C3642" s="2" t="str">
        <f ca="1">IFERROR(__xludf.DUMMYFUNCTION("GOOGLETRANSLATE(A3642,""bn"",""en"")"),"Hybrid mobile application development")</f>
        <v>Hybrid mobile application development</v>
      </c>
    </row>
    <row r="3643" spans="1:3" ht="15" x14ac:dyDescent="0.25">
      <c r="A3643" s="3" t="s">
        <v>3640</v>
      </c>
      <c r="B3643" s="3" t="s">
        <v>4</v>
      </c>
      <c r="C3643" s="2" t="str">
        <f ca="1">IFERROR(__xludf.DUMMYFUNCTION("GOOGLETRANSLATE(A3643,""bn"",""en"")"),"The world's largest waterfall")</f>
        <v>The world's largest waterfall</v>
      </c>
    </row>
    <row r="3644" spans="1:3" ht="15" x14ac:dyDescent="0.25">
      <c r="A3644" s="3" t="s">
        <v>3641</v>
      </c>
      <c r="B3644" s="3" t="s">
        <v>4</v>
      </c>
      <c r="C3644" s="2" t="str">
        <f ca="1">IFERROR(__xludf.DUMMYFUNCTION("GOOGLETRANSLATE(A3644,""bn"",""en"")"),"Institutions are being monitored")</f>
        <v>Institutions are being monitored</v>
      </c>
    </row>
    <row r="3645" spans="1:3" ht="15" x14ac:dyDescent="0.25">
      <c r="A3645" s="3" t="s">
        <v>3642</v>
      </c>
      <c r="B3645" s="3" t="s">
        <v>4</v>
      </c>
      <c r="C3645" s="2" t="str">
        <f ca="1">IFERROR(__xludf.DUMMYFUNCTION("GOOGLETRANSLATE(A3645,""bn"",""en"")"),"Taj Mahal Agra entrance in India")</f>
        <v>Taj Mahal Agra entrance in India</v>
      </c>
    </row>
    <row r="3646" spans="1:3" ht="15" x14ac:dyDescent="0.25">
      <c r="A3646" s="3" t="s">
        <v>3643</v>
      </c>
      <c r="B3646" s="3" t="s">
        <v>4</v>
      </c>
      <c r="C3646" s="2" t="str">
        <f ca="1">IFERROR(__xludf.DUMMYFUNCTION("GOOGLETRANSLATE(A3646,""bn"",""en"")"),"Banks provide multiple services")</f>
        <v>Banks provide multiple services</v>
      </c>
    </row>
    <row r="3647" spans="1:3" ht="15" x14ac:dyDescent="0.25">
      <c r="A3647" s="3" t="s">
        <v>3644</v>
      </c>
      <c r="B3647" s="3" t="s">
        <v>4</v>
      </c>
      <c r="C3647" s="2" t="str">
        <f ca="1">IFERROR(__xludf.DUMMYFUNCTION("GOOGLETRANSLATE(A3647,""bn"",""en"")"),"Sita sings in the sky")</f>
        <v>Sita sings in the sky</v>
      </c>
    </row>
    <row r="3648" spans="1:3" ht="15" x14ac:dyDescent="0.25">
      <c r="A3648" s="3" t="s">
        <v>3645</v>
      </c>
      <c r="B3648" s="3" t="s">
        <v>4</v>
      </c>
      <c r="C3648" s="2" t="str">
        <f ca="1">IFERROR(__xludf.DUMMYFUNCTION("GOOGLETRANSLATE(A3648,""bn"",""en"")"),"Horse racing is an experience")</f>
        <v>Horse racing is an experience</v>
      </c>
    </row>
    <row r="3649" spans="1:3" ht="15" x14ac:dyDescent="0.25">
      <c r="A3649" s="3" t="s">
        <v>3646</v>
      </c>
      <c r="B3649" s="3" t="s">
        <v>4</v>
      </c>
      <c r="C3649" s="2" t="str">
        <f ca="1">IFERROR(__xludf.DUMMYFUNCTION("GOOGLETRANSLATE(A3649,""bn"",""en"")"),"Learning mobile application development")</f>
        <v>Learning mobile application development</v>
      </c>
    </row>
    <row r="3650" spans="1:3" ht="15" x14ac:dyDescent="0.25">
      <c r="A3650" s="3" t="s">
        <v>3647</v>
      </c>
      <c r="B3650" s="3" t="s">
        <v>4</v>
      </c>
      <c r="C3650" s="2" t="str">
        <f ca="1">IFERROR(__xludf.DUMMYFUNCTION("GOOGLETRANSLATE(A3650,""bn"",""en"")"),"Peace is better than war")</f>
        <v>Peace is better than war</v>
      </c>
    </row>
    <row r="3651" spans="1:3" ht="15" x14ac:dyDescent="0.25">
      <c r="A3651" s="3" t="s">
        <v>3648</v>
      </c>
      <c r="B3651" s="3" t="s">
        <v>4</v>
      </c>
      <c r="C3651" s="2" t="str">
        <f ca="1">IFERROR(__xludf.DUMMYFUNCTION("GOOGLETRANSLATE(A3651,""bn"",""en"")"),"Get ready for loan consolidation")</f>
        <v>Get ready for loan consolidation</v>
      </c>
    </row>
    <row r="3652" spans="1:3" ht="15" x14ac:dyDescent="0.25">
      <c r="A3652" s="3" t="s">
        <v>3649</v>
      </c>
      <c r="B3652" s="3" t="s">
        <v>4</v>
      </c>
      <c r="C3652" s="2" t="str">
        <f ca="1">IFERROR(__xludf.DUMMYFUNCTION("GOOGLETRANSLATE(A3652,""bn"",""en"")"),"Education is the key to peace and prosperity")</f>
        <v>Education is the key to peace and prosperity</v>
      </c>
    </row>
    <row r="3653" spans="1:3" ht="15" x14ac:dyDescent="0.25">
      <c r="A3653" s="3" t="s">
        <v>3650</v>
      </c>
      <c r="B3653" s="3" t="s">
        <v>4</v>
      </c>
      <c r="C3653" s="2" t="str">
        <f ca="1">IFERROR(__xludf.DUMMYFUNCTION("GOOGLETRANSLATE(A3653,""bn"",""en"")"),"Make credit card transactions")</f>
        <v>Make credit card transactions</v>
      </c>
    </row>
    <row r="3654" spans="1:3" ht="15" x14ac:dyDescent="0.25">
      <c r="A3654" s="3" t="s">
        <v>3651</v>
      </c>
      <c r="B3654" s="3" t="s">
        <v>4</v>
      </c>
      <c r="C3654" s="2" t="str">
        <f ca="1">IFERROR(__xludf.DUMMYFUNCTION("GOOGLETRANSLATE(A3654,""bn"",""en"")"),"Location zone of the Russian steppes")</f>
        <v>Location zone of the Russian steppes</v>
      </c>
    </row>
    <row r="3655" spans="1:3" ht="15" x14ac:dyDescent="0.25">
      <c r="A3655" s="3" t="s">
        <v>3652</v>
      </c>
      <c r="B3655" s="3" t="s">
        <v>4</v>
      </c>
      <c r="C3655" s="2" t="str">
        <f ca="1">IFERROR(__xludf.DUMMYFUNCTION("GOOGLETRANSLATE(A3655,""bn"",""en"")"),"Excellent plot is absolutely spectacular")</f>
        <v>Excellent plot is absolutely spectacular</v>
      </c>
    </row>
    <row r="3656" spans="1:3" ht="15" x14ac:dyDescent="0.25">
      <c r="A3656" s="3" t="s">
        <v>3653</v>
      </c>
      <c r="B3656" s="3" t="s">
        <v>4</v>
      </c>
      <c r="C3656" s="2" t="str">
        <f ca="1">IFERROR(__xludf.DUMMYFUNCTION("GOOGLETRANSLATE(A3656,""bn"",""en"")"),"I love mountain biking")</f>
        <v>I love mountain biking</v>
      </c>
    </row>
    <row r="3657" spans="1:3" ht="15" x14ac:dyDescent="0.25">
      <c r="A3657" s="3" t="s">
        <v>3654</v>
      </c>
      <c r="B3657" s="3" t="s">
        <v>4</v>
      </c>
      <c r="C3657" s="2" t="str">
        <f ca="1">IFERROR(__xludf.DUMMYFUNCTION("GOOGLETRANSLATE(A3657,""bn"",""en"")"),"Students get education")</f>
        <v>Students get education</v>
      </c>
    </row>
    <row r="3658" spans="1:3" ht="15" x14ac:dyDescent="0.25">
      <c r="A3658" s="3" t="s">
        <v>3655</v>
      </c>
      <c r="B3658" s="3" t="s">
        <v>4</v>
      </c>
      <c r="C3658" s="2" t="str">
        <f ca="1">IFERROR(__xludf.DUMMYFUNCTION("GOOGLETRANSLATE(A3658,""bn"",""en"")"),"Withdraw money ready")</f>
        <v>Withdraw money ready</v>
      </c>
    </row>
    <row r="3659" spans="1:3" ht="15" x14ac:dyDescent="0.25">
      <c r="A3659" s="3" t="s">
        <v>3656</v>
      </c>
      <c r="B3659" s="3" t="s">
        <v>4</v>
      </c>
      <c r="C3659" s="2" t="str">
        <f ca="1">IFERROR(__xludf.DUMMYFUNCTION("GOOGLETRANSLATE(A3659,""bn"",""en"")"),"Spend the most necessary")</f>
        <v>Spend the most necessary</v>
      </c>
    </row>
    <row r="3660" spans="1:3" ht="15" x14ac:dyDescent="0.25">
      <c r="A3660" s="3" t="s">
        <v>3657</v>
      </c>
      <c r="B3660" s="3" t="s">
        <v>4</v>
      </c>
      <c r="C3660" s="2" t="str">
        <f ca="1">IFERROR(__xludf.DUMMYFUNCTION("GOOGLETRANSLATE(A3660,""bn"",""en"")"),"Bowling specialist in cricket")</f>
        <v>Bowling specialist in cricket</v>
      </c>
    </row>
    <row r="3661" spans="1:3" ht="15" x14ac:dyDescent="0.25">
      <c r="A3661" s="3" t="s">
        <v>3658</v>
      </c>
      <c r="B3661" s="3" t="s">
        <v>4</v>
      </c>
      <c r="C3661" s="2" t="str">
        <f ca="1">IFERROR(__xludf.DUMMYFUNCTION("GOOGLETRANSLATE(A3661,""bn"",""en"")"),"Home loan for self")</f>
        <v>Home loan for self</v>
      </c>
    </row>
    <row r="3662" spans="1:3" ht="15" x14ac:dyDescent="0.25">
      <c r="A3662" s="3" t="s">
        <v>3659</v>
      </c>
      <c r="B3662" s="3" t="s">
        <v>4</v>
      </c>
      <c r="C3662" s="2" t="str">
        <f ca="1">IFERROR(__xludf.DUMMYFUNCTION("GOOGLETRANSLATE(A3662,""bn"",""en"")"),"Political contributions through technology")</f>
        <v>Political contributions through technology</v>
      </c>
    </row>
    <row r="3663" spans="1:3" ht="15" x14ac:dyDescent="0.25">
      <c r="A3663" s="3" t="s">
        <v>3660</v>
      </c>
      <c r="B3663" s="3" t="s">
        <v>4</v>
      </c>
      <c r="C3663" s="2" t="str">
        <f ca="1">IFERROR(__xludf.DUMMYFUNCTION("GOOGLETRANSLATE(A3663,""bn"",""en"")"),"Travel to the top of the song")</f>
        <v>Travel to the top of the song</v>
      </c>
    </row>
    <row r="3664" spans="1:3" ht="15" x14ac:dyDescent="0.25">
      <c r="A3664" s="3" t="s">
        <v>3661</v>
      </c>
      <c r="B3664" s="3" t="s">
        <v>4</v>
      </c>
      <c r="C3664" s="2" t="str">
        <f ca="1">IFERROR(__xludf.DUMMYFUNCTION("GOOGLETRANSLATE(A3664,""bn"",""en"")"),"The market role is steadily building")</f>
        <v>The market role is steadily building</v>
      </c>
    </row>
    <row r="3665" spans="1:3" ht="15" x14ac:dyDescent="0.25">
      <c r="A3665" s="3" t="s">
        <v>3662</v>
      </c>
      <c r="B3665" s="3" t="s">
        <v>4</v>
      </c>
      <c r="C3665" s="2" t="str">
        <f ca="1">IFERROR(__xludf.DUMMYFUNCTION("GOOGLETRANSLATE(A3665,""bn"",""en"")"),"Talking about politics")</f>
        <v>Talking about politics</v>
      </c>
    </row>
    <row r="3666" spans="1:3" ht="15" x14ac:dyDescent="0.25">
      <c r="A3666" s="3" t="s">
        <v>3663</v>
      </c>
      <c r="B3666" s="3" t="s">
        <v>4</v>
      </c>
      <c r="C3666" s="2" t="str">
        <f ca="1">IFERROR(__xludf.DUMMYFUNCTION("GOOGLETRANSLATE(A3666,""bn"",""en"")"),"Standardize business processes")</f>
        <v>Standardize business processes</v>
      </c>
    </row>
    <row r="3667" spans="1:3" ht="15" x14ac:dyDescent="0.25">
      <c r="A3667" s="3" t="s">
        <v>3664</v>
      </c>
      <c r="B3667" s="3" t="s">
        <v>4</v>
      </c>
      <c r="C3667" s="2" t="str">
        <f ca="1">IFERROR(__xludf.DUMMYFUNCTION("GOOGLETRANSLATE(A3667,""bn"",""en"")"),"Golf is a fun game")</f>
        <v>Golf is a fun game</v>
      </c>
    </row>
    <row r="3668" spans="1:3" ht="15" x14ac:dyDescent="0.25">
      <c r="A3668" s="3" t="s">
        <v>3665</v>
      </c>
      <c r="B3668" s="3" t="s">
        <v>4</v>
      </c>
      <c r="C3668" s="2" t="str">
        <f ca="1">IFERROR(__xludf.DUMMYFUNCTION("GOOGLETRANSLATE(A3668,""bn"",""en"")"),"Trekking in the mountains is ideal")</f>
        <v>Trekking in the mountains is ideal</v>
      </c>
    </row>
    <row r="3669" spans="1:3" ht="15" x14ac:dyDescent="0.25">
      <c r="A3669" s="3" t="s">
        <v>3666</v>
      </c>
      <c r="B3669" s="3" t="s">
        <v>4</v>
      </c>
      <c r="C3669" s="2" t="str">
        <f ca="1">IFERROR(__xludf.DUMMYFUNCTION("GOOGLETRANSLATE(A3669,""bn"",""en"")"),"Obey market laws")</f>
        <v>Obey market laws</v>
      </c>
    </row>
    <row r="3670" spans="1:3" ht="15" x14ac:dyDescent="0.25">
      <c r="A3670" s="3" t="s">
        <v>3667</v>
      </c>
      <c r="B3670" s="3" t="s">
        <v>4</v>
      </c>
      <c r="C3670" s="2" t="str">
        <f ca="1">IFERROR(__xludf.DUMMYFUNCTION("GOOGLETRANSLATE(A3670,""bn"",""en"")"),"Update your taxes")</f>
        <v>Update your taxes</v>
      </c>
    </row>
    <row r="3671" spans="1:3" ht="15" x14ac:dyDescent="0.25">
      <c r="A3671" s="3" t="s">
        <v>3668</v>
      </c>
      <c r="B3671" s="3" t="s">
        <v>4</v>
      </c>
      <c r="C3671" s="2" t="str">
        <f ca="1">IFERROR(__xludf.DUMMYFUNCTION("GOOGLETRANSLATE(A3671,""bn"",""en"")"),"Let it be recited in the tune of revolution")</f>
        <v>Let it be recited in the tune of revolution</v>
      </c>
    </row>
    <row r="3672" spans="1:3" ht="15" x14ac:dyDescent="0.25">
      <c r="A3672" s="3" t="s">
        <v>3669</v>
      </c>
      <c r="B3672" s="3" t="s">
        <v>4</v>
      </c>
      <c r="C3672" s="2" t="str">
        <f ca="1">IFERROR(__xludf.DUMMYFUNCTION("GOOGLETRANSLATE(A3672,""bn"",""en"")"),"Use of camera protection technology")</f>
        <v>Use of camera protection technology</v>
      </c>
    </row>
    <row r="3673" spans="1:3" ht="15" x14ac:dyDescent="0.25">
      <c r="A3673" s="3" t="s">
        <v>3670</v>
      </c>
      <c r="B3673" s="3" t="s">
        <v>4</v>
      </c>
      <c r="C3673" s="2" t="str">
        <f ca="1">IFERROR(__xludf.DUMMYFUNCTION("GOOGLETRANSLATE(A3673,""bn"",""en"")"),"Correct the market position")</f>
        <v>Correct the market position</v>
      </c>
    </row>
    <row r="3674" spans="1:3" ht="15" x14ac:dyDescent="0.25">
      <c r="A3674" s="3" t="s">
        <v>3671</v>
      </c>
      <c r="B3674" s="3" t="s">
        <v>4</v>
      </c>
      <c r="C3674" s="2" t="str">
        <f ca="1">IFERROR(__xludf.DUMMYFUNCTION("GOOGLETRANSLATE(A3674,""bn"",""en"")"),"Higher secondary education is important")</f>
        <v>Higher secondary education is important</v>
      </c>
    </row>
    <row r="3675" spans="1:3" ht="15" x14ac:dyDescent="0.25">
      <c r="A3675" s="3" t="s">
        <v>3672</v>
      </c>
      <c r="B3675" s="3" t="s">
        <v>4</v>
      </c>
      <c r="C3675" s="2" t="str">
        <f ca="1">IFERROR(__xludf.DUMMYFUNCTION("GOOGLETRANSLATE(A3675,""bn"",""en"")"),"Save as own")</f>
        <v>Save as own</v>
      </c>
    </row>
    <row r="3676" spans="1:3" ht="15" x14ac:dyDescent="0.25">
      <c r="A3676" s="3" t="s">
        <v>3673</v>
      </c>
      <c r="B3676" s="3" t="s">
        <v>4</v>
      </c>
      <c r="C3676" s="2" t="str">
        <f ca="1">IFERROR(__xludf.DUMMYFUNCTION("GOOGLETRANSLATE(A3676,""bn"",""en"")"),"Have fun with Pratul's songs")</f>
        <v>Have fun with Pratul's songs</v>
      </c>
    </row>
    <row r="3677" spans="1:3" ht="15" x14ac:dyDescent="0.25">
      <c r="A3677" s="3" t="s">
        <v>3674</v>
      </c>
      <c r="B3677" s="3" t="s">
        <v>4</v>
      </c>
      <c r="C3677" s="2" t="str">
        <f ca="1">IFERROR(__xludf.DUMMYFUNCTION("GOOGLETRANSLATE(A3677,""bn"",""en"")"),"Find new ways to innovate")</f>
        <v>Find new ways to innovate</v>
      </c>
    </row>
    <row r="3678" spans="1:3" ht="15" x14ac:dyDescent="0.25">
      <c r="A3678" s="3" t="s">
        <v>3675</v>
      </c>
      <c r="B3678" s="3" t="s">
        <v>4</v>
      </c>
      <c r="C3678" s="2" t="str">
        <f ca="1">IFERROR(__xludf.DUMMYFUNCTION("GOOGLETRANSLATE(A3678,""bn"",""en"")"),"Visit new places")</f>
        <v>Visit new places</v>
      </c>
    </row>
    <row r="3679" spans="1:3" ht="15" x14ac:dyDescent="0.25">
      <c r="A3679" s="3" t="s">
        <v>3676</v>
      </c>
      <c r="B3679" s="3" t="s">
        <v>4</v>
      </c>
      <c r="C3679" s="2" t="str">
        <f ca="1">IFERROR(__xludf.DUMMYFUNCTION("GOOGLETRANSLATE(A3679,""bn"",""en"")"),"Open a bank account now")</f>
        <v>Open a bank account now</v>
      </c>
    </row>
    <row r="3680" spans="1:3" ht="15" x14ac:dyDescent="0.25">
      <c r="A3680" s="3" t="s">
        <v>3677</v>
      </c>
      <c r="B3680" s="3" t="s">
        <v>4</v>
      </c>
      <c r="C3680" s="2" t="str">
        <f ca="1">IFERROR(__xludf.DUMMYFUNCTION("GOOGLETRANSLATE(A3680,""bn"",""en"")"),"The prime minister is popular in the election")</f>
        <v>The prime minister is popular in the election</v>
      </c>
    </row>
    <row r="3681" spans="1:3" ht="15" x14ac:dyDescent="0.25">
      <c r="A3681" s="3" t="s">
        <v>3678</v>
      </c>
      <c r="B3681" s="3" t="s">
        <v>4</v>
      </c>
      <c r="C3681" s="2" t="str">
        <f ca="1">IFERROR(__xludf.DUMMYFUNCTION("GOOGLETRANSLATE(A3681,""bn"",""en"")"),"The Bay of Bengal borders on the south")</f>
        <v>The Bay of Bengal borders on the south</v>
      </c>
    </row>
    <row r="3682" spans="1:3" ht="15" x14ac:dyDescent="0.25">
      <c r="A3682" s="3" t="s">
        <v>3679</v>
      </c>
      <c r="B3682" s="3" t="s">
        <v>4</v>
      </c>
      <c r="C3682" s="2" t="str">
        <f ca="1">IFERROR(__xludf.DUMMYFUNCTION("GOOGLETRANSLATE(A3682,""bn"",""en"")"),"Party and government relations")</f>
        <v>Party and government relations</v>
      </c>
    </row>
    <row r="3683" spans="1:3" ht="15" x14ac:dyDescent="0.25">
      <c r="A3683" s="3" t="s">
        <v>3680</v>
      </c>
      <c r="B3683" s="3" t="s">
        <v>4</v>
      </c>
      <c r="C3683" s="2" t="str">
        <f ca="1">IFERROR(__xludf.DUMMYFUNCTION("GOOGLETRANSLATE(A3683,""bn"",""en"")"),"Credit card limit approval")</f>
        <v>Credit card limit approval</v>
      </c>
    </row>
    <row r="3684" spans="1:3" ht="15" x14ac:dyDescent="0.25">
      <c r="A3684" s="3" t="s">
        <v>3681</v>
      </c>
      <c r="B3684" s="3" t="s">
        <v>4</v>
      </c>
      <c r="C3684" s="2" t="str">
        <f ca="1">IFERROR(__xludf.DUMMYFUNCTION("GOOGLETRANSLATE(A3684,""bn"",""en"")"),"Monitor the market regularly")</f>
        <v>Monitor the market regularly</v>
      </c>
    </row>
    <row r="3685" spans="1:3" ht="15" x14ac:dyDescent="0.25">
      <c r="A3685" s="3" t="s">
        <v>3682</v>
      </c>
      <c r="B3685" s="3" t="s">
        <v>4</v>
      </c>
      <c r="C3685" s="2" t="str">
        <f ca="1">IFERROR(__xludf.DUMMYFUNCTION("GOOGLETRANSLATE(A3685,""bn"",""en"")"),"Have a wonderful time at the resort")</f>
        <v>Have a wonderful time at the resort</v>
      </c>
    </row>
    <row r="3686" spans="1:3" ht="15" x14ac:dyDescent="0.25">
      <c r="A3686" s="3" t="s">
        <v>3683</v>
      </c>
      <c r="B3686" s="3" t="s">
        <v>4</v>
      </c>
      <c r="C3686" s="2" t="str">
        <f ca="1">IFERROR(__xludf.DUMMYFUNCTION("GOOGLETRANSLATE(A3686,""bn"",""en"")"),"Tennis is a fun game")</f>
        <v>Tennis is a fun game</v>
      </c>
    </row>
    <row r="3687" spans="1:3" ht="15" x14ac:dyDescent="0.25">
      <c r="A3687" s="3" t="s">
        <v>3684</v>
      </c>
      <c r="B3687" s="3" t="s">
        <v>4</v>
      </c>
      <c r="C3687" s="2" t="str">
        <f ca="1">IFERROR(__xludf.DUMMYFUNCTION("GOOGLETRANSLATE(A3687,""bn"",""en"")"),"Keep track of technology")</f>
        <v>Keep track of technology</v>
      </c>
    </row>
    <row r="3688" spans="1:3" ht="15" x14ac:dyDescent="0.25">
      <c r="A3688" s="3" t="s">
        <v>3685</v>
      </c>
      <c r="B3688" s="3" t="s">
        <v>4</v>
      </c>
      <c r="C3688" s="2" t="str">
        <f ca="1">IFERROR(__xludf.DUMMYFUNCTION("GOOGLETRANSLATE(A3688,""bn"",""en"")"),"The piano is touching")</f>
        <v>The piano is touching</v>
      </c>
    </row>
    <row r="3689" spans="1:3" ht="15" x14ac:dyDescent="0.25">
      <c r="A3689" s="3" t="s">
        <v>3686</v>
      </c>
      <c r="B3689" s="3" t="s">
        <v>4</v>
      </c>
      <c r="C3689" s="2" t="str">
        <f ca="1">IFERROR(__xludf.DUMMYFUNCTION("GOOGLETRANSLATE(A3689,""bn"",""en"")"),"Walk along the river beach for sightseeing")</f>
        <v>Walk along the river beach for sightseeing</v>
      </c>
    </row>
    <row r="3690" spans="1:3" ht="15" x14ac:dyDescent="0.25">
      <c r="A3690" s="3" t="s">
        <v>3687</v>
      </c>
      <c r="B3690" s="3" t="s">
        <v>4</v>
      </c>
      <c r="C3690" s="2" t="str">
        <f ca="1">IFERROR(__xludf.DUMMYFUNCTION("GOOGLETRANSLATE(A3690,""bn"",""en"")"),"Pay installments as interest")</f>
        <v>Pay installments as interest</v>
      </c>
    </row>
    <row r="3691" spans="1:3" ht="15" x14ac:dyDescent="0.25">
      <c r="A3691" s="3" t="s">
        <v>3688</v>
      </c>
      <c r="B3691" s="3" t="s">
        <v>4</v>
      </c>
      <c r="C3691" s="2" t="str">
        <f ca="1">IFERROR(__xludf.DUMMYFUNCTION("GOOGLETRANSLATE(A3691,""bn"",""en"")"),"Improving data storage solutions")</f>
        <v>Improving data storage solutions</v>
      </c>
    </row>
    <row r="3692" spans="1:3" ht="15" x14ac:dyDescent="0.25">
      <c r="A3692" s="3" t="s">
        <v>3689</v>
      </c>
      <c r="B3692" s="3" t="s">
        <v>4</v>
      </c>
      <c r="C3692" s="2" t="str">
        <f ca="1">IFERROR(__xludf.DUMMYFUNCTION("GOOGLETRANSLATE(A3692,""bn"",""en"")"),"Feel the natural stimulation")</f>
        <v>Feel the natural stimulation</v>
      </c>
    </row>
    <row r="3693" spans="1:3" ht="15" x14ac:dyDescent="0.25">
      <c r="A3693" s="3" t="s">
        <v>3690</v>
      </c>
      <c r="B3693" s="3" t="s">
        <v>4</v>
      </c>
      <c r="C3693" s="2" t="str">
        <f ca="1">IFERROR(__xludf.DUMMYFUNCTION("GOOGLETRANSLATE(A3693,""bn"",""en"")"),"Emotions are rising as loans")</f>
        <v>Emotions are rising as loans</v>
      </c>
    </row>
    <row r="3694" spans="1:3" ht="15" x14ac:dyDescent="0.25">
      <c r="A3694" s="3" t="s">
        <v>3691</v>
      </c>
      <c r="B3694" s="3" t="s">
        <v>4</v>
      </c>
      <c r="C3694" s="2" t="str">
        <f ca="1">IFERROR(__xludf.DUMMYFUNCTION("GOOGLETRANSLATE(A3694,""bn"",""en"")"),"Take a long train ride")</f>
        <v>Take a long train ride</v>
      </c>
    </row>
    <row r="3695" spans="1:3" ht="15" x14ac:dyDescent="0.25">
      <c r="A3695" s="3" t="s">
        <v>3692</v>
      </c>
      <c r="B3695" s="3" t="s">
        <v>4</v>
      </c>
      <c r="C3695" s="2" t="str">
        <f ca="1">IFERROR(__xludf.DUMMYFUNCTION("GOOGLETRANSLATE(A3695,""bn"",""en"")"),"Forming a new partnership")</f>
        <v>Forming a new partnership</v>
      </c>
    </row>
    <row r="3696" spans="1:3" ht="15" x14ac:dyDescent="0.25">
      <c r="A3696" s="3" t="s">
        <v>3693</v>
      </c>
      <c r="B3696" s="3" t="s">
        <v>4</v>
      </c>
      <c r="C3696" s="2" t="str">
        <f ca="1">IFERROR(__xludf.DUMMYFUNCTION("GOOGLETRANSLATE(A3696,""bn"",""en"")"),"The sky is full of golden sounds")</f>
        <v>The sky is full of golden sounds</v>
      </c>
    </row>
    <row r="3697" spans="1:3" ht="15" x14ac:dyDescent="0.25">
      <c r="A3697" s="3" t="s">
        <v>3694</v>
      </c>
      <c r="B3697" s="3" t="s">
        <v>4</v>
      </c>
      <c r="C3697" s="2" t="str">
        <f ca="1">IFERROR(__xludf.DUMMYFUNCTION("GOOGLETRANSLATE(A3697,""bn"",""en"")"),"I'm walking in a park")</f>
        <v>I'm walking in a park</v>
      </c>
    </row>
    <row r="3698" spans="1:3" ht="15" x14ac:dyDescent="0.25">
      <c r="A3698" s="3" t="s">
        <v>3695</v>
      </c>
      <c r="B3698" s="3" t="s">
        <v>4</v>
      </c>
      <c r="C3698" s="2" t="str">
        <f ca="1">IFERROR(__xludf.DUMMYFUNCTION("GOOGLETRANSLATE(A3698,""bn"",""en"")"),"Self-reliant students thrive")</f>
        <v>Self-reliant students thrive</v>
      </c>
    </row>
    <row r="3699" spans="1:3" ht="15" x14ac:dyDescent="0.25">
      <c r="A3699" s="3" t="s">
        <v>3696</v>
      </c>
      <c r="B3699" s="3" t="s">
        <v>4</v>
      </c>
      <c r="C3699" s="2" t="str">
        <f ca="1">IFERROR(__xludf.DUMMYFUNCTION("GOOGLETRANSLATE(A3699,""bn"",""en"")"),"The initiative of the production team is welcome")</f>
        <v>The initiative of the production team is welcome</v>
      </c>
    </row>
    <row r="3700" spans="1:3" ht="15" x14ac:dyDescent="0.25">
      <c r="A3700" s="3" t="s">
        <v>3697</v>
      </c>
      <c r="B3700" s="3" t="s">
        <v>4</v>
      </c>
      <c r="C3700" s="2" t="str">
        <f ca="1">IFERROR(__xludf.DUMMYFUNCTION("GOOGLETRANSLATE(A3700,""bn"",""en"")"),"Leaders are honored each year")</f>
        <v>Leaders are honored each year</v>
      </c>
    </row>
    <row r="3701" spans="1:3" ht="15" x14ac:dyDescent="0.25">
      <c r="A3701" s="3" t="s">
        <v>3698</v>
      </c>
      <c r="B3701" s="3" t="s">
        <v>4</v>
      </c>
      <c r="C3701" s="2" t="str">
        <f ca="1">IFERROR(__xludf.DUMMYFUNCTION("GOOGLETRANSLATE(A3701,""bn"",""en"")"),"People are getting support in the polls")</f>
        <v>People are getting support in the polls</v>
      </c>
    </row>
    <row r="3702" spans="1:3" ht="15" x14ac:dyDescent="0.25">
      <c r="A3702" s="3" t="s">
        <v>3699</v>
      </c>
      <c r="B3702" s="3" t="s">
        <v>4</v>
      </c>
      <c r="C3702" s="2" t="str">
        <f ca="1">IFERROR(__xludf.DUMMYFUNCTION("GOOGLETRANSLATE(A3702,""bn"",""en"")"),"Resistance to elections is intensifying")</f>
        <v>Resistance to elections is intensifying</v>
      </c>
    </row>
    <row r="3703" spans="1:3" ht="15" x14ac:dyDescent="0.25">
      <c r="A3703" s="3" t="s">
        <v>3700</v>
      </c>
      <c r="B3703" s="3" t="s">
        <v>4</v>
      </c>
      <c r="C3703" s="2" t="str">
        <f ca="1">IFERROR(__xludf.DUMMYFUNCTION("GOOGLETRANSLATE(A3703,""bn"",""en"")"),"Smart Home Technology Prosperity")</f>
        <v>Smart Home Technology Prosperity</v>
      </c>
    </row>
    <row r="3704" spans="1:3" ht="15" x14ac:dyDescent="0.25">
      <c r="A3704" s="3" t="s">
        <v>3701</v>
      </c>
      <c r="B3704" s="3" t="s">
        <v>4</v>
      </c>
      <c r="C3704" s="2" t="str">
        <f ca="1">IFERROR(__xludf.DUMMYFUNCTION("GOOGLETRANSLATE(A3704,""bn"",""en"")"),"Feel the forecast in the market")</f>
        <v>Feel the forecast in the market</v>
      </c>
    </row>
    <row r="3705" spans="1:3" ht="15" x14ac:dyDescent="0.25">
      <c r="A3705" s="3" t="s">
        <v>3702</v>
      </c>
      <c r="B3705" s="3" t="s">
        <v>4</v>
      </c>
      <c r="C3705" s="2" t="str">
        <f ca="1">IFERROR(__xludf.DUMMYFUNCTION("GOOGLETRANSLATE(A3705,""bn"",""en"")"),"In the bank to do funny things")</f>
        <v>In the bank to do funny things</v>
      </c>
    </row>
    <row r="3706" spans="1:3" ht="15" x14ac:dyDescent="0.25">
      <c r="A3706" s="3" t="s">
        <v>3703</v>
      </c>
      <c r="B3706" s="3" t="s">
        <v>4</v>
      </c>
      <c r="C3706" s="2" t="str">
        <f ca="1">IFERROR(__xludf.DUMMYFUNCTION("GOOGLETRANSLATE(A3706,""bn"",""en"")"),"Music in Bangabandhu's way")</f>
        <v>Music in Bangabandhu's way</v>
      </c>
    </row>
    <row r="3707" spans="1:3" ht="15" x14ac:dyDescent="0.25">
      <c r="A3707" s="3" t="s">
        <v>3704</v>
      </c>
      <c r="B3707" s="3" t="s">
        <v>4</v>
      </c>
      <c r="C3707" s="2" t="str">
        <f ca="1">IFERROR(__xludf.DUMMYFUNCTION("GOOGLETRANSLATE(A3707,""bn"",""en"")"),"The Pacific Ocean is huge")</f>
        <v>The Pacific Ocean is huge</v>
      </c>
    </row>
    <row r="3708" spans="1:3" ht="15" x14ac:dyDescent="0.25">
      <c r="A3708" s="3" t="s">
        <v>3705</v>
      </c>
      <c r="B3708" s="3" t="s">
        <v>4</v>
      </c>
      <c r="C3708" s="2" t="str">
        <f ca="1">IFERROR(__xludf.DUMMYFUNCTION("GOOGLETRANSLATE(A3708,""bn"",""en"")"),"Project on Contracts in Science")</f>
        <v>Project on Contracts in Science</v>
      </c>
    </row>
    <row r="3709" spans="1:3" ht="15" x14ac:dyDescent="0.25">
      <c r="A3709" s="3" t="s">
        <v>3706</v>
      </c>
      <c r="B3709" s="3" t="s">
        <v>4</v>
      </c>
      <c r="C3709" s="2" t="str">
        <f ca="1">IFERROR(__xludf.DUMMYFUNCTION("GOOGLETRANSLATE(A3709,""bn"",""en"")"),"Continual conflict is extreme improvement")</f>
        <v>Continual conflict is extreme improvement</v>
      </c>
    </row>
    <row r="3710" spans="1:3" ht="15" x14ac:dyDescent="0.25">
      <c r="A3710" s="3" t="s">
        <v>3707</v>
      </c>
      <c r="B3710" s="3" t="s">
        <v>4</v>
      </c>
      <c r="C3710" s="2" t="str">
        <f ca="1">IFERROR(__xludf.DUMMYFUNCTION("GOOGLETRANSLATE(A3710,""bn"",""en"")"),"Surprises are far away in the World Cup")</f>
        <v>Surprises are far away in the World Cup</v>
      </c>
    </row>
    <row r="3711" spans="1:3" ht="15" x14ac:dyDescent="0.25">
      <c r="A3711" s="3" t="s">
        <v>3708</v>
      </c>
      <c r="B3711" s="3" t="s">
        <v>4</v>
      </c>
      <c r="C3711" s="2" t="str">
        <f ca="1">IFERROR(__xludf.DUMMYFUNCTION("GOOGLETRANSLATE(A3711,""bn"",""en"")"),"A musical tribute to Bangabandhu")</f>
        <v>A musical tribute to Bangabandhu</v>
      </c>
    </row>
    <row r="3712" spans="1:3" ht="15" x14ac:dyDescent="0.25">
      <c r="A3712" s="3" t="s">
        <v>3709</v>
      </c>
      <c r="B3712" s="3" t="s">
        <v>4</v>
      </c>
      <c r="C3712" s="2" t="str">
        <f ca="1">IFERROR(__xludf.DUMMYFUNCTION("GOOGLETRANSLATE(A3712,""bn"",""en"")"),"Legitimate support among leaders")</f>
        <v>Legitimate support among leaders</v>
      </c>
    </row>
    <row r="3713" spans="1:3" ht="15" x14ac:dyDescent="0.25">
      <c r="A3713" s="3" t="s">
        <v>3710</v>
      </c>
      <c r="B3713" s="3" t="s">
        <v>4</v>
      </c>
      <c r="C3713" s="2" t="str">
        <f ca="1">IFERROR(__xludf.DUMMYFUNCTION("GOOGLETRANSLATE(A3713,""bn"",""en"")"),"Whether the market is growing")</f>
        <v>Whether the market is growing</v>
      </c>
    </row>
    <row r="3714" spans="1:3" ht="15" x14ac:dyDescent="0.25">
      <c r="A3714" s="3" t="s">
        <v>3711</v>
      </c>
      <c r="B3714" s="3" t="s">
        <v>4</v>
      </c>
      <c r="C3714" s="2" t="str">
        <f ca="1">IFERROR(__xludf.DUMMYFUNCTION("GOOGLETRANSLATE(A3714,""bn"",""en"")"),"Its rain speed in tune")</f>
        <v>Its rain speed in tune</v>
      </c>
    </row>
    <row r="3715" spans="1:3" ht="15" x14ac:dyDescent="0.25">
      <c r="A3715" s="3" t="s">
        <v>3712</v>
      </c>
      <c r="B3715" s="3" t="s">
        <v>4</v>
      </c>
      <c r="C3715" s="2" t="str">
        <f ca="1">IFERROR(__xludf.DUMMYFUNCTION("GOOGLETRANSLATE(A3715,""bn"",""en"")"),"Currency exchange commission is high")</f>
        <v>Currency exchange commission is high</v>
      </c>
    </row>
    <row r="3716" spans="1:3" ht="15" x14ac:dyDescent="0.25">
      <c r="A3716" s="3" t="s">
        <v>3713</v>
      </c>
      <c r="B3716" s="3" t="s">
        <v>4</v>
      </c>
      <c r="C3716" s="2" t="str">
        <f ca="1">IFERROR(__xludf.DUMMYFUNCTION("GOOGLETRANSLATE(A3716,""bn"",""en"")"),"All students are motivated to study")</f>
        <v>All students are motivated to study</v>
      </c>
    </row>
    <row r="3717" spans="1:3" ht="15" x14ac:dyDescent="0.25">
      <c r="A3717" s="3" t="s">
        <v>3714</v>
      </c>
      <c r="B3717" s="3" t="s">
        <v>4</v>
      </c>
      <c r="C3717" s="2" t="str">
        <f ca="1">IFERROR(__xludf.DUMMYFUNCTION("GOOGLETRANSLATE(A3717,""bn"",""en"")"),"Learning through the right questions")</f>
        <v>Learning through the right questions</v>
      </c>
    </row>
    <row r="3718" spans="1:3" ht="15" x14ac:dyDescent="0.25">
      <c r="A3718" s="3" t="s">
        <v>3715</v>
      </c>
      <c r="B3718" s="3" t="s">
        <v>4</v>
      </c>
      <c r="C3718" s="2" t="str">
        <f ca="1">IFERROR(__xludf.DUMMYFUNCTION("GOOGLETRANSLATE(A3718,""bn"",""en"")"),"Loans are maturing")</f>
        <v>Loans are maturing</v>
      </c>
    </row>
    <row r="3719" spans="1:3" ht="15" x14ac:dyDescent="0.25">
      <c r="A3719" s="3" t="s">
        <v>3716</v>
      </c>
      <c r="B3719" s="3" t="s">
        <v>4</v>
      </c>
      <c r="C3719" s="2" t="str">
        <f ca="1">IFERROR(__xludf.DUMMYFUNCTION("GOOGLETRANSLATE(A3719,""bn"",""en"")"),"I went to a new country")</f>
        <v>I went to a new country</v>
      </c>
    </row>
    <row r="3720" spans="1:3" ht="15" x14ac:dyDescent="0.25">
      <c r="A3720" s="3" t="s">
        <v>3717</v>
      </c>
      <c r="B3720" s="3" t="s">
        <v>4</v>
      </c>
      <c r="C3720" s="2" t="str">
        <f ca="1">IFERROR(__xludf.DUMMYFUNCTION("GOOGLETRANSLATE(A3720,""bn"",""en"")"),"Multiple data storage solutions")</f>
        <v>Multiple data storage solutions</v>
      </c>
    </row>
    <row r="3721" spans="1:3" ht="15" x14ac:dyDescent="0.25">
      <c r="A3721" s="3" t="s">
        <v>3718</v>
      </c>
      <c r="B3721" s="3" t="s">
        <v>4</v>
      </c>
      <c r="C3721" s="2" t="str">
        <f ca="1">IFERROR(__xludf.DUMMYFUNCTION("GOOGLETRANSLATE(A3721,""bn"",""en"")"),"Presenting himself as Sujan")</f>
        <v>Presenting himself as Sujan</v>
      </c>
    </row>
    <row r="3722" spans="1:3" ht="15" x14ac:dyDescent="0.25">
      <c r="A3722" s="3" t="s">
        <v>3719</v>
      </c>
      <c r="B3722" s="3" t="s">
        <v>4</v>
      </c>
      <c r="C3722" s="2" t="str">
        <f ca="1">IFERROR(__xludf.DUMMYFUNCTION("GOOGLETRANSLATE(A3722,""bn"",""en"")"),"Business is growing")</f>
        <v>Business is growing</v>
      </c>
    </row>
    <row r="3723" spans="1:3" ht="15" x14ac:dyDescent="0.25">
      <c r="A3723" s="3" t="s">
        <v>3720</v>
      </c>
      <c r="B3723" s="3" t="s">
        <v>4</v>
      </c>
      <c r="C3723" s="2" t="str">
        <f ca="1">IFERROR(__xludf.DUMMYFUNCTION("GOOGLETRANSLATE(A3723,""bn"",""en"")"),"I am playing in the hockey match")</f>
        <v>I am playing in the hockey match</v>
      </c>
    </row>
    <row r="3724" spans="1:3" ht="15" x14ac:dyDescent="0.25">
      <c r="A3724" s="3" t="s">
        <v>3721</v>
      </c>
      <c r="B3724" s="3" t="s">
        <v>4</v>
      </c>
      <c r="C3724" s="2" t="str">
        <f ca="1">IFERROR(__xludf.DUMMYFUNCTION("GOOGLETRANSLATE(A3724,""bn"",""en"")"),"I break golf")</f>
        <v>I break golf</v>
      </c>
    </row>
    <row r="3725" spans="1:3" ht="15" x14ac:dyDescent="0.25">
      <c r="A3725" s="3" t="s">
        <v>3722</v>
      </c>
      <c r="B3725" s="3" t="s">
        <v>4</v>
      </c>
      <c r="C3725" s="2" t="str">
        <f ca="1">IFERROR(__xludf.DUMMYFUNCTION("GOOGLETRANSLATE(A3725,""bn"",""en"")"),"The preparation of the film has been excellent")</f>
        <v>The preparation of the film has been excellent</v>
      </c>
    </row>
    <row r="3726" spans="1:3" ht="15" x14ac:dyDescent="0.25">
      <c r="A3726" s="3" t="s">
        <v>3723</v>
      </c>
      <c r="B3726" s="3" t="s">
        <v>4</v>
      </c>
      <c r="C3726" s="2" t="str">
        <f ca="1">IFERROR(__xludf.DUMMYFUNCTION("GOOGLETRANSLATE(A3726,""bn"",""en"")"),"Administrative changes are possible on the state side")</f>
        <v>Administrative changes are possible on the state side</v>
      </c>
    </row>
    <row r="3727" spans="1:3" ht="15" x14ac:dyDescent="0.25">
      <c r="A3727" s="3" t="s">
        <v>3724</v>
      </c>
      <c r="B3727" s="3" t="s">
        <v>4</v>
      </c>
      <c r="C3727" s="2" t="str">
        <f ca="1">IFERROR(__xludf.DUMMYFUNCTION("GOOGLETRANSLATE(A3727,""bn"",""en"")"),"Manage bank accounts")</f>
        <v>Manage bank accounts</v>
      </c>
    </row>
    <row r="3728" spans="1:3" ht="15" x14ac:dyDescent="0.25">
      <c r="A3728" s="3" t="s">
        <v>3725</v>
      </c>
      <c r="B3728" s="3" t="s">
        <v>4</v>
      </c>
      <c r="C3728" s="2" t="str">
        <f ca="1">IFERROR(__xludf.DUMMYFUNCTION("GOOGLETRANSLATE(A3728,""bn"",""en"")"),"Arrange cash withdrawal")</f>
        <v>Arrange cash withdrawal</v>
      </c>
    </row>
    <row r="3729" spans="1:3" ht="15" x14ac:dyDescent="0.25">
      <c r="A3729" s="3" t="s">
        <v>3726</v>
      </c>
      <c r="B3729" s="3" t="s">
        <v>4</v>
      </c>
      <c r="C3729" s="2" t="str">
        <f ca="1">IFERROR(__xludf.DUMMYFUNCTION("GOOGLETRANSLATE(A3729,""bn"",""en"")"),"High health concerns in trains")</f>
        <v>High health concerns in trains</v>
      </c>
    </row>
    <row r="3730" spans="1:3" ht="15" x14ac:dyDescent="0.25">
      <c r="A3730" s="3" t="s">
        <v>3727</v>
      </c>
      <c r="B3730" s="3" t="s">
        <v>4</v>
      </c>
      <c r="C3730" s="2" t="str">
        <f ca="1">IFERROR(__xludf.DUMMYFUNCTION("GOOGLETRANSLATE(A3730,""bn"",""en"")"),"Drishti Mohan colorful picture")</f>
        <v>Drishti Mohan colorful picture</v>
      </c>
    </row>
    <row r="3731" spans="1:3" ht="15" x14ac:dyDescent="0.25">
      <c r="A3731" s="3" t="s">
        <v>3728</v>
      </c>
      <c r="B3731" s="3" t="s">
        <v>4</v>
      </c>
      <c r="C3731" s="2" t="str">
        <f ca="1">IFERROR(__xludf.DUMMYFUNCTION("GOOGLETRANSLATE(A3731,""bn"",""en"")"),"Build an investment portfolio")</f>
        <v>Build an investment portfolio</v>
      </c>
    </row>
    <row r="3732" spans="1:3" ht="15" x14ac:dyDescent="0.25">
      <c r="A3732" s="3" t="s">
        <v>3729</v>
      </c>
      <c r="B3732" s="3" t="s">
        <v>4</v>
      </c>
      <c r="C3732" s="2" t="str">
        <f ca="1">IFERROR(__xludf.DUMMYFUNCTION("GOOGLETRANSLATE(A3732,""bn"",""en"")"),"Math teaches rationality")</f>
        <v>Math teaches rationality</v>
      </c>
    </row>
    <row r="3733" spans="1:3" ht="15" x14ac:dyDescent="0.25">
      <c r="A3733" s="3" t="s">
        <v>3730</v>
      </c>
      <c r="B3733" s="3" t="s">
        <v>4</v>
      </c>
      <c r="C3733" s="2" t="str">
        <f ca="1">IFERROR(__xludf.DUMMYFUNCTION("GOOGLETRANSLATE(A3733,""bn"",""en"")"),"Playing golf is a hobby")</f>
        <v>Playing golf is a hobby</v>
      </c>
    </row>
    <row r="3734" spans="1:3" ht="15" x14ac:dyDescent="0.25">
      <c r="A3734" s="3" t="s">
        <v>3731</v>
      </c>
      <c r="B3734" s="3" t="s">
        <v>4</v>
      </c>
      <c r="C3734" s="2" t="str">
        <f ca="1">IFERROR(__xludf.DUMMYFUNCTION("GOOGLETRANSLATE(A3734,""bn"",""en"")"),"The tennis match was enjoyable")</f>
        <v>The tennis match was enjoyable</v>
      </c>
    </row>
    <row r="3735" spans="1:3" ht="15" x14ac:dyDescent="0.25">
      <c r="A3735" s="3" t="s">
        <v>3732</v>
      </c>
      <c r="B3735" s="3" t="s">
        <v>4</v>
      </c>
      <c r="C3735" s="2" t="str">
        <f ca="1">IFERROR(__xludf.DUMMYFUNCTION("GOOGLETRANSLATE(A3735,""bn"",""en"")"),"Education is the universal language of humanity")</f>
        <v>Education is the universal language of humanity</v>
      </c>
    </row>
    <row r="3736" spans="1:3" ht="15" x14ac:dyDescent="0.25">
      <c r="A3736" s="3" t="s">
        <v>3733</v>
      </c>
      <c r="B3736" s="3" t="s">
        <v>4</v>
      </c>
      <c r="C3736" s="2" t="str">
        <f ca="1">IFERROR(__xludf.DUMMYFUNCTION("GOOGLETRANSLATE(A3736,""bn"",""en"")"),"Hasan's life full of songs")</f>
        <v>Hasan's life full of songs</v>
      </c>
    </row>
    <row r="3737" spans="1:3" ht="15" x14ac:dyDescent="0.25">
      <c r="A3737" s="3" t="s">
        <v>3734</v>
      </c>
      <c r="B3737" s="3" t="s">
        <v>4</v>
      </c>
      <c r="C3737" s="2" t="str">
        <f ca="1">IFERROR(__xludf.DUMMYFUNCTION("GOOGLETRANSLATE(A3737,""bn"",""en"")"),"Web development has grown rapidly")</f>
        <v>Web development has grown rapidly</v>
      </c>
    </row>
    <row r="3738" spans="1:3" ht="15" x14ac:dyDescent="0.25">
      <c r="A3738" s="3" t="s">
        <v>3735</v>
      </c>
      <c r="B3738" s="3" t="s">
        <v>4</v>
      </c>
      <c r="C3738" s="2" t="str">
        <f ca="1">IFERROR(__xludf.DUMMYFUNCTION("GOOGLETRANSLATE(A3738,""bn"",""en"")"),"Course on Robotic Automation")</f>
        <v>Course on Robotic Automation</v>
      </c>
    </row>
    <row r="3739" spans="1:3" ht="15" x14ac:dyDescent="0.25">
      <c r="A3739" s="3" t="s">
        <v>3736</v>
      </c>
      <c r="B3739" s="3" t="s">
        <v>4</v>
      </c>
      <c r="C3739" s="2" t="str">
        <f ca="1">IFERROR(__xludf.DUMMYFUNCTION("GOOGLETRANSLATE(A3739,""bn"",""en"")"),"Download the account statement")</f>
        <v>Download the account statement</v>
      </c>
    </row>
    <row r="3740" spans="1:3" ht="15" x14ac:dyDescent="0.25">
      <c r="A3740" s="3" t="s">
        <v>3737</v>
      </c>
      <c r="B3740" s="3" t="s">
        <v>4</v>
      </c>
      <c r="C3740" s="2" t="str">
        <f ca="1">IFERROR(__xludf.DUMMYFUNCTION("GOOGLETRANSLATE(A3740,""bn"",""en"")"),"Feel the thought in the song")</f>
        <v>Feel the thought in the song</v>
      </c>
    </row>
    <row r="3741" spans="1:3" ht="15" x14ac:dyDescent="0.25">
      <c r="A3741" s="3" t="s">
        <v>3738</v>
      </c>
      <c r="B3741" s="3" t="s">
        <v>4</v>
      </c>
      <c r="C3741" s="2" t="str">
        <f ca="1">IFERROR(__xludf.DUMMYFUNCTION("GOOGLETRANSLATE(A3741,""bn"",""en"")"),"Start a foreign business")</f>
        <v>Start a foreign business</v>
      </c>
    </row>
    <row r="3742" spans="1:3" ht="15" x14ac:dyDescent="0.25">
      <c r="A3742" s="3" t="s">
        <v>3739</v>
      </c>
      <c r="B3742" s="3" t="s">
        <v>4</v>
      </c>
      <c r="C3742" s="2" t="str">
        <f ca="1">IFERROR(__xludf.DUMMYFUNCTION("GOOGLETRANSLATE(A3742,""bn"",""en"")"),"Sweet talk by Kumar Shanu")</f>
        <v>Sweet talk by Kumar Shanu</v>
      </c>
    </row>
    <row r="3743" spans="1:3" ht="15" x14ac:dyDescent="0.25">
      <c r="A3743" s="3" t="s">
        <v>3740</v>
      </c>
      <c r="B3743" s="3" t="s">
        <v>4</v>
      </c>
      <c r="C3743" s="2" t="str">
        <f ca="1">IFERROR(__xludf.DUMMYFUNCTION("GOOGLETRANSLATE(A3743,""bn"",""en"")"),"Visit the fish town")</f>
        <v>Visit the fish town</v>
      </c>
    </row>
    <row r="3744" spans="1:3" ht="15" x14ac:dyDescent="0.25">
      <c r="A3744" s="3" t="s">
        <v>3741</v>
      </c>
      <c r="B3744" s="3" t="s">
        <v>4</v>
      </c>
      <c r="C3744" s="2" t="str">
        <f ca="1">IFERROR(__xludf.DUMMYFUNCTION("GOOGLETRANSLATE(A3744,""bn"",""en"")"),"Kishore Kumar sings romantically")</f>
        <v>Kishore Kumar sings romantically</v>
      </c>
    </row>
    <row r="3745" spans="1:3" ht="15" x14ac:dyDescent="0.25">
      <c r="A3745" s="3" t="s">
        <v>3742</v>
      </c>
      <c r="B3745" s="3" t="s">
        <v>4</v>
      </c>
      <c r="C3745" s="2" t="str">
        <f ca="1">IFERROR(__xludf.DUMMYFUNCTION("GOOGLETRANSLATE(A3745,""bn"",""en"")"),"I am engrossed in Hasini's melody in my dreams")</f>
        <v>I am engrossed in Hasini's melody in my dreams</v>
      </c>
    </row>
    <row r="3746" spans="1:3" ht="15" x14ac:dyDescent="0.25">
      <c r="A3746" s="3" t="s">
        <v>3743</v>
      </c>
      <c r="B3746" s="3" t="s">
        <v>4</v>
      </c>
      <c r="C3746" s="2" t="str">
        <f ca="1">IFERROR(__xludf.DUMMYFUNCTION("GOOGLETRANSLATE(A3746,""bn"",""en"")"),"The Greek Islands are a unique place")</f>
        <v>The Greek Islands are a unique place</v>
      </c>
    </row>
    <row r="3747" spans="1:3" ht="15" x14ac:dyDescent="0.25">
      <c r="A3747" s="3" t="s">
        <v>3744</v>
      </c>
      <c r="B3747" s="3" t="s">
        <v>4</v>
      </c>
      <c r="C3747" s="2" t="str">
        <f ca="1">IFERROR(__xludf.DUMMYFUNCTION("GOOGLETRANSLATE(A3747,""bn"",""en"")"),"Music is his special love")</f>
        <v>Music is his special love</v>
      </c>
    </row>
    <row r="3748" spans="1:3" ht="15" x14ac:dyDescent="0.25">
      <c r="A3748" s="3" t="s">
        <v>3745</v>
      </c>
      <c r="B3748" s="3" t="s">
        <v>4</v>
      </c>
      <c r="C3748" s="2" t="str">
        <f ca="1">IFERROR(__xludf.DUMMYFUNCTION("GOOGLETRANSLATE(A3748,""bn"",""en"")"),"Learn something new every day")</f>
        <v>Learn something new every day</v>
      </c>
    </row>
    <row r="3749" spans="1:3" ht="15" x14ac:dyDescent="0.25">
      <c r="A3749" s="3" t="s">
        <v>3746</v>
      </c>
      <c r="B3749" s="3" t="s">
        <v>4</v>
      </c>
      <c r="C3749" s="2" t="str">
        <f ca="1">IFERROR(__xludf.DUMMYFUNCTION("GOOGLETRANSLATE(A3749,""bn"",""en"")"),"Take more photos while traveling")</f>
        <v>Take more photos while traveling</v>
      </c>
    </row>
    <row r="3750" spans="1:3" ht="15" x14ac:dyDescent="0.25">
      <c r="A3750" s="3" t="s">
        <v>3747</v>
      </c>
      <c r="B3750" s="3" t="s">
        <v>4</v>
      </c>
      <c r="C3750" s="2" t="str">
        <f ca="1">IFERROR(__xludf.DUMMYFUNCTION("GOOGLETRANSLATE(A3750,""bn"",""en"")"),"Enjoy the natural beauty")</f>
        <v>Enjoy the natural beauty</v>
      </c>
    </row>
    <row r="3751" spans="1:3" ht="15" x14ac:dyDescent="0.25">
      <c r="A3751" s="3" t="s">
        <v>3748</v>
      </c>
      <c r="B3751" s="3" t="s">
        <v>4</v>
      </c>
      <c r="C3751" s="2" t="str">
        <f ca="1">IFERROR(__xludf.DUMMYFUNCTION("GOOGLETRANSLATE(A3751,""bn"",""en"")"),"A classical flute playing")</f>
        <v>A classical flute playing</v>
      </c>
    </row>
    <row r="3752" spans="1:3" ht="15" x14ac:dyDescent="0.25">
      <c r="A3752" s="3" t="s">
        <v>3749</v>
      </c>
      <c r="B3752" s="3" t="s">
        <v>4</v>
      </c>
      <c r="C3752" s="2" t="str">
        <f ca="1">IFERROR(__xludf.DUMMYFUNCTION("GOOGLETRANSLATE(A3752,""bn"",""en"")"),"Bank Hub is growing rapidly")</f>
        <v>Bank Hub is growing rapidly</v>
      </c>
    </row>
    <row r="3753" spans="1:3" ht="15" x14ac:dyDescent="0.25">
      <c r="A3753" s="3" t="s">
        <v>3750</v>
      </c>
      <c r="B3753" s="3" t="s">
        <v>4</v>
      </c>
      <c r="C3753" s="2" t="str">
        <f ca="1">IFERROR(__xludf.DUMMYFUNCTION("GOOGLETRANSLATE(A3753,""bn"",""en"")"),"Growing Digital Marketing Trends")</f>
        <v>Growing Digital Marketing Trends</v>
      </c>
    </row>
    <row r="3754" spans="1:3" ht="15" x14ac:dyDescent="0.25">
      <c r="A3754" s="3" t="s">
        <v>3751</v>
      </c>
      <c r="B3754" s="3" t="s">
        <v>4</v>
      </c>
      <c r="C3754" s="2" t="str">
        <f ca="1">IFERROR(__xludf.DUMMYFUNCTION("GOOGLETRANSLATE(A3754,""bn"",""en"")"),"Lands in the province of Equatorial Guinea")</f>
        <v>Lands in the province of Equatorial Guinea</v>
      </c>
    </row>
    <row r="3755" spans="1:3" ht="15" x14ac:dyDescent="0.25">
      <c r="A3755" s="3" t="s">
        <v>3752</v>
      </c>
      <c r="B3755" s="3" t="s">
        <v>4</v>
      </c>
      <c r="C3755" s="2" t="str">
        <f ca="1">IFERROR(__xludf.DUMMYFUNCTION("GOOGLETRANSLATE(A3755,""bn"",""en"")"),"The film version of the play discussed")</f>
        <v>The film version of the play discussed</v>
      </c>
    </row>
    <row r="3756" spans="1:3" ht="15" x14ac:dyDescent="0.25">
      <c r="A3756" s="3" t="s">
        <v>3753</v>
      </c>
      <c r="B3756" s="3" t="s">
        <v>4</v>
      </c>
      <c r="C3756" s="2" t="str">
        <f ca="1">IFERROR(__xludf.DUMMYFUNCTION("GOOGLETRANSLATE(A3756,""bn"",""en"")"),"Internet Save Browsing Technology")</f>
        <v>Internet Save Browsing Technology</v>
      </c>
    </row>
    <row r="3757" spans="1:3" ht="15" x14ac:dyDescent="0.25">
      <c r="A3757" s="3" t="s">
        <v>3754</v>
      </c>
      <c r="B3757" s="3" t="s">
        <v>4</v>
      </c>
      <c r="C3757" s="2" t="str">
        <f ca="1">IFERROR(__xludf.DUMMYFUNCTION("GOOGLETRANSLATE(A3757,""bn"",""en"")"),"Pay the correct balance")</f>
        <v>Pay the correct balance</v>
      </c>
    </row>
    <row r="3758" spans="1:3" ht="15" x14ac:dyDescent="0.25">
      <c r="A3758" s="3" t="s">
        <v>3755</v>
      </c>
      <c r="B3758" s="3" t="s">
        <v>4</v>
      </c>
      <c r="C3758" s="2" t="str">
        <f ca="1">IFERROR(__xludf.DUMMYFUNCTION("GOOGLETRANSLATE(A3758,""bn"",""en"")"),"Students' opinions are addressed")</f>
        <v>Students' opinions are addressed</v>
      </c>
    </row>
    <row r="3759" spans="1:3" ht="15" x14ac:dyDescent="0.25">
      <c r="A3759" s="3" t="s">
        <v>3756</v>
      </c>
      <c r="B3759" s="3" t="s">
        <v>4</v>
      </c>
      <c r="C3759" s="2" t="str">
        <f ca="1">IFERROR(__xludf.DUMMYFUNCTION("GOOGLETRANSLATE(A3759,""bn"",""en"")"),"There have been major championships in the World Cup")</f>
        <v>There have been major championships in the World Cup</v>
      </c>
    </row>
    <row r="3760" spans="1:3" ht="15" x14ac:dyDescent="0.25">
      <c r="A3760" s="3" t="s">
        <v>3757</v>
      </c>
      <c r="B3760" s="3" t="s">
        <v>4</v>
      </c>
      <c r="C3760" s="2" t="str">
        <f ca="1">IFERROR(__xludf.DUMMYFUNCTION("GOOGLETRANSLATE(A3760,""bn"",""en"")"),"He went to the bird fair")</f>
        <v>He went to the bird fair</v>
      </c>
    </row>
    <row r="3761" spans="1:3" ht="15" x14ac:dyDescent="0.25">
      <c r="A3761" s="3" t="s">
        <v>3758</v>
      </c>
      <c r="B3761" s="3" t="s">
        <v>4</v>
      </c>
      <c r="C3761" s="2" t="str">
        <f ca="1">IFERROR(__xludf.DUMMYFUNCTION("GOOGLETRANSLATE(A3761,""bn"",""en"")"),"Tennis match looks exciting")</f>
        <v>Tennis match looks exciting</v>
      </c>
    </row>
    <row r="3762" spans="1:3" ht="15" x14ac:dyDescent="0.25">
      <c r="A3762" s="3" t="s">
        <v>3759</v>
      </c>
      <c r="B3762" s="3" t="s">
        <v>4</v>
      </c>
      <c r="C3762" s="2" t="str">
        <f ca="1">IFERROR(__xludf.DUMMYFUNCTION("GOOGLETRANSLATE(A3762,""bn"",""en"")"),"Education is the formation of human mind")</f>
        <v>Education is the formation of human mind</v>
      </c>
    </row>
    <row r="3763" spans="1:3" ht="15" x14ac:dyDescent="0.25">
      <c r="A3763" s="3" t="s">
        <v>3760</v>
      </c>
      <c r="B3763" s="3" t="s">
        <v>4</v>
      </c>
      <c r="C3763" s="2" t="str">
        <f ca="1">IFERROR(__xludf.DUMMYFUNCTION("GOOGLETRANSLATE(A3763,""bn"",""en"")"),"Everyone listens to love stories")</f>
        <v>Everyone listens to love stories</v>
      </c>
    </row>
    <row r="3764" spans="1:3" ht="15" x14ac:dyDescent="0.25">
      <c r="A3764" s="3" t="s">
        <v>3761</v>
      </c>
      <c r="B3764" s="3" t="s">
        <v>4</v>
      </c>
      <c r="C3764" s="2" t="str">
        <f ca="1">IFERROR(__xludf.DUMMYFUNCTION("GOOGLETRANSLATE(A3764,""bn"",""en"")"),"See Supernatural True Pictures")</f>
        <v>See Supernatural True Pictures</v>
      </c>
    </row>
    <row r="3765" spans="1:3" ht="15" x14ac:dyDescent="0.25">
      <c r="A3765" s="3" t="s">
        <v>3762</v>
      </c>
      <c r="B3765" s="3" t="s">
        <v>4</v>
      </c>
      <c r="C3765" s="2" t="str">
        <f ca="1">IFERROR(__xludf.DUMMYFUNCTION("GOOGLETRANSLATE(A3765,""bn"",""en"")"),"It's time to play hockey")</f>
        <v>It's time to play hockey</v>
      </c>
    </row>
    <row r="3766" spans="1:3" ht="15" x14ac:dyDescent="0.25">
      <c r="A3766" s="3" t="s">
        <v>3763</v>
      </c>
      <c r="B3766" s="3" t="s">
        <v>4</v>
      </c>
      <c r="C3766" s="2" t="str">
        <f ca="1">IFERROR(__xludf.DUMMYFUNCTION("GOOGLETRANSLATE(A3766,""bn"",""en"")"),"A happy life is in your own hands")</f>
        <v>A happy life is in your own hands</v>
      </c>
    </row>
    <row r="3767" spans="1:3" ht="15" x14ac:dyDescent="0.25">
      <c r="A3767" s="3" t="s">
        <v>3764</v>
      </c>
      <c r="B3767" s="3" t="s">
        <v>4</v>
      </c>
      <c r="C3767" s="2" t="str">
        <f ca="1">IFERROR(__xludf.DUMMYFUNCTION("GOOGLETRANSLATE(A3767,""bn"",""en"")"),"Noakhali is a river district")</f>
        <v>Noakhali is a river district</v>
      </c>
    </row>
    <row r="3768" spans="1:3" ht="15" x14ac:dyDescent="0.25">
      <c r="A3768" s="3" t="s">
        <v>3765</v>
      </c>
      <c r="B3768" s="3" t="s">
        <v>4</v>
      </c>
      <c r="C3768" s="2" t="str">
        <f ca="1">IFERROR(__xludf.DUMMYFUNCTION("GOOGLETRANSLATE(A3768,""bn"",""en"")"),"Be enlightened by his melody")</f>
        <v>Be enlightened by his melody</v>
      </c>
    </row>
    <row r="3769" spans="1:3" ht="15" x14ac:dyDescent="0.25">
      <c r="A3769" s="3" t="s">
        <v>3766</v>
      </c>
      <c r="B3769" s="3" t="s">
        <v>4</v>
      </c>
      <c r="C3769" s="2" t="str">
        <f ca="1">IFERROR(__xludf.DUMMYFUNCTION("GOOGLETRANSLATE(A3769,""bn"",""en"")"),"Comedy Din Din movie")</f>
        <v>Comedy Din Din movie</v>
      </c>
    </row>
    <row r="3770" spans="1:3" ht="15" x14ac:dyDescent="0.25">
      <c r="A3770" s="3" t="s">
        <v>3767</v>
      </c>
      <c r="B3770" s="3" t="s">
        <v>4</v>
      </c>
      <c r="C3770" s="2" t="str">
        <f ca="1">IFERROR(__xludf.DUMMYFUNCTION("GOOGLETRANSLATE(A3770,""bn"",""en"")"),"Election is coming vote")</f>
        <v>Election is coming vote</v>
      </c>
    </row>
    <row r="3771" spans="1:3" ht="15" x14ac:dyDescent="0.25">
      <c r="A3771" s="3" t="s">
        <v>3768</v>
      </c>
      <c r="B3771" s="3" t="s">
        <v>4</v>
      </c>
      <c r="C3771" s="2" t="str">
        <f ca="1">IFERROR(__xludf.DUMMYFUNCTION("GOOGLETRANSLATE(A3771,""bn"",""en"")"),"Analyze market initiatives")</f>
        <v>Analyze market initiatives</v>
      </c>
    </row>
    <row r="3772" spans="1:3" ht="15" x14ac:dyDescent="0.25">
      <c r="A3772" s="3" t="s">
        <v>3769</v>
      </c>
      <c r="B3772" s="3" t="s">
        <v>4</v>
      </c>
      <c r="C3772" s="2" t="str">
        <f ca="1">IFERROR(__xludf.DUMMYFUNCTION("GOOGLETRANSLATE(A3772,""bn"",""en"")"),"Worship Alka Yagni")</f>
        <v>Worship Alka Yagni</v>
      </c>
    </row>
    <row r="3773" spans="1:3" ht="15" x14ac:dyDescent="0.25">
      <c r="A3773" s="3" t="s">
        <v>3770</v>
      </c>
      <c r="B3773" s="3" t="s">
        <v>4</v>
      </c>
      <c r="C3773" s="2" t="str">
        <f ca="1">IFERROR(__xludf.DUMMYFUNCTION("GOOGLETRANSLATE(A3773,""bn"",""en"")"),"Experience trekking in the mountains")</f>
        <v>Experience trekking in the mountains</v>
      </c>
    </row>
    <row r="3774" spans="1:3" ht="15" x14ac:dyDescent="0.25">
      <c r="A3774" s="3" t="s">
        <v>3771</v>
      </c>
      <c r="B3774" s="3" t="s">
        <v>4</v>
      </c>
      <c r="C3774" s="2" t="str">
        <f ca="1">IFERROR(__xludf.DUMMYFUNCTION("GOOGLETRANSLATE(A3774,""bn"",""en"")"),"The most gentle in the world")</f>
        <v>The most gentle in the world</v>
      </c>
    </row>
    <row r="3775" spans="1:3" ht="15" x14ac:dyDescent="0.25">
      <c r="A3775" s="3" t="s">
        <v>3772</v>
      </c>
      <c r="B3775" s="3" t="s">
        <v>4</v>
      </c>
      <c r="C3775" s="2" t="str">
        <f ca="1">IFERROR(__xludf.DUMMYFUNCTION("GOOGLETRANSLATE(A3775,""bn"",""en"")"),"Teacher imparts knowledge")</f>
        <v>Teacher imparts knowledge</v>
      </c>
    </row>
    <row r="3776" spans="1:3" ht="15" x14ac:dyDescent="0.25">
      <c r="A3776" s="3" t="s">
        <v>3773</v>
      </c>
      <c r="B3776" s="3" t="s">
        <v>4</v>
      </c>
      <c r="C3776" s="2" t="str">
        <f ca="1">IFERROR(__xludf.DUMMYFUNCTION("GOOGLETRANSLATE(A3776,""bn"",""en"")"),"A sweet story of life")</f>
        <v>A sweet story of life</v>
      </c>
    </row>
    <row r="3777" spans="1:3" ht="15" x14ac:dyDescent="0.25">
      <c r="A3777" s="3" t="s">
        <v>3774</v>
      </c>
      <c r="B3777" s="3" t="s">
        <v>4</v>
      </c>
      <c r="C3777" s="2" t="str">
        <f ca="1">IFERROR(__xludf.DUMMYFUNCTION("GOOGLETRANSLATE(A3777,""bn"",""en"")"),"Go for a walk on the beach")</f>
        <v>Go for a walk on the beach</v>
      </c>
    </row>
    <row r="3778" spans="1:3" ht="15" x14ac:dyDescent="0.25">
      <c r="A3778" s="3" t="s">
        <v>3775</v>
      </c>
      <c r="B3778" s="3" t="s">
        <v>4</v>
      </c>
      <c r="C3778" s="2" t="str">
        <f ca="1">IFERROR(__xludf.DUMMYFUNCTION("GOOGLETRANSLATE(A3778,""bn"",""en"")"),"Golf is a beautiful game")</f>
        <v>Golf is a beautiful game</v>
      </c>
    </row>
    <row r="3779" spans="1:3" ht="15" x14ac:dyDescent="0.25">
      <c r="A3779" s="3" t="s">
        <v>3776</v>
      </c>
      <c r="B3779" s="3" t="s">
        <v>4</v>
      </c>
      <c r="C3779" s="2" t="str">
        <f ca="1">IFERROR(__xludf.DUMMYFUNCTION("GOOGLETRANSLATE(A3779,""bn"",""en"")"),"The student acquires knowledge")</f>
        <v>The student acquires knowledge</v>
      </c>
    </row>
    <row r="3780" spans="1:3" ht="15" x14ac:dyDescent="0.25">
      <c r="A3780" s="3" t="s">
        <v>3777</v>
      </c>
      <c r="B3780" s="3" t="s">
        <v>4</v>
      </c>
      <c r="C3780" s="2" t="str">
        <f ca="1">IFERROR(__xludf.DUMMYFUNCTION("GOOGLETRANSLATE(A3780,""bn"",""en"")"),"Infinite learning at the Science Museum")</f>
        <v>Infinite learning at the Science Museum</v>
      </c>
    </row>
    <row r="3781" spans="1:3" ht="15" x14ac:dyDescent="0.25">
      <c r="A3781" s="3" t="s">
        <v>3778</v>
      </c>
      <c r="B3781" s="3" t="s">
        <v>4</v>
      </c>
      <c r="C3781" s="2" t="str">
        <f ca="1">IFERROR(__xludf.DUMMYFUNCTION("GOOGLETRANSLATE(A3781,""bn"",""en"")"),"Law and order is necessary to establish a state")</f>
        <v>Law and order is necessary to establish a state</v>
      </c>
    </row>
    <row r="3782" spans="1:3" ht="15" x14ac:dyDescent="0.25">
      <c r="A3782" s="3" t="s">
        <v>3779</v>
      </c>
      <c r="B3782" s="3" t="s">
        <v>4</v>
      </c>
      <c r="C3782" s="2" t="str">
        <f ca="1">IFERROR(__xludf.DUMMYFUNCTION("GOOGLETRANSLATE(A3782,""bn"",""en"")"),"Desire dependent policy on citizenship")</f>
        <v>Desire dependent policy on citizenship</v>
      </c>
    </row>
    <row r="3783" spans="1:3" ht="15" x14ac:dyDescent="0.25">
      <c r="A3783" s="3" t="s">
        <v>3780</v>
      </c>
      <c r="B3783" s="3" t="s">
        <v>4</v>
      </c>
      <c r="C3783" s="2" t="str">
        <f ca="1">IFERROR(__xludf.DUMMYFUNCTION("GOOGLETRANSLATE(A3783,""bn"",""en"")"),"Nige speaks the Hispanic language")</f>
        <v>Nige speaks the Hispanic language</v>
      </c>
    </row>
    <row r="3784" spans="1:3" ht="15" x14ac:dyDescent="0.25">
      <c r="A3784" s="3" t="s">
        <v>3781</v>
      </c>
      <c r="B3784" s="3" t="s">
        <v>4</v>
      </c>
      <c r="C3784" s="2" t="str">
        <f ca="1">IFERROR(__xludf.DUMMYFUNCTION("GOOGLETRANSLATE(A3784,""bn"",""en"")"),"Elections are secured in public institutions")</f>
        <v>Elections are secured in public institutions</v>
      </c>
    </row>
    <row r="3785" spans="1:3" ht="15" x14ac:dyDescent="0.25">
      <c r="A3785" s="3" t="s">
        <v>3782</v>
      </c>
      <c r="B3785" s="3" t="s">
        <v>4</v>
      </c>
      <c r="C3785" s="2" t="str">
        <f ca="1">IFERROR(__xludf.DUMMYFUNCTION("GOOGLETRANSLATE(A3785,""bn"",""en"")"),"Attend conference at hotel")</f>
        <v>Attend conference at hotel</v>
      </c>
    </row>
    <row r="3786" spans="1:3" ht="15" x14ac:dyDescent="0.25">
      <c r="A3786" s="3" t="s">
        <v>3783</v>
      </c>
      <c r="B3786" s="3" t="s">
        <v>4</v>
      </c>
      <c r="C3786" s="2" t="str">
        <f ca="1">IFERROR(__xludf.DUMMYFUNCTION("GOOGLETRANSLATE(A3786,""bn"",""en"")"),"Build workers with initiative")</f>
        <v>Build workers with initiative</v>
      </c>
    </row>
    <row r="3787" spans="1:3" ht="15" x14ac:dyDescent="0.25">
      <c r="A3787" s="3" t="s">
        <v>3784</v>
      </c>
      <c r="B3787" s="3" t="s">
        <v>4</v>
      </c>
      <c r="C3787" s="2" t="str">
        <f ca="1">IFERROR(__xludf.DUMMYFUNCTION("GOOGLETRANSLATE(A3787,""bn"",""en"")"),"Medium press in oral speech")</f>
        <v>Medium press in oral speech</v>
      </c>
    </row>
    <row r="3788" spans="1:3" ht="15" x14ac:dyDescent="0.25">
      <c r="A3788" s="3" t="s">
        <v>3785</v>
      </c>
      <c r="B3788" s="3" t="s">
        <v>4</v>
      </c>
      <c r="C3788" s="2" t="str">
        <f ca="1">IFERROR(__xludf.DUMMYFUNCTION("GOOGLETRANSLATE(A3788,""bn"",""en"")"),"A colorful history of Wimbledon tennis")</f>
        <v>A colorful history of Wimbledon tennis</v>
      </c>
    </row>
    <row r="3789" spans="1:3" ht="15" x14ac:dyDescent="0.25">
      <c r="A3789" s="3" t="s">
        <v>3786</v>
      </c>
      <c r="B3789" s="3" t="s">
        <v>4</v>
      </c>
      <c r="C3789" s="2" t="str">
        <f ca="1">IFERROR(__xludf.DUMMYFUNCTION("GOOGLETRANSLATE(A3789,""bn"",""en"")"),"Hokkien Island is located in Indonesia")</f>
        <v>Hokkien Island is located in Indonesia</v>
      </c>
    </row>
    <row r="3790" spans="1:3" ht="15" x14ac:dyDescent="0.25">
      <c r="A3790" s="3" t="s">
        <v>3787</v>
      </c>
      <c r="B3790" s="3" t="s">
        <v>4</v>
      </c>
      <c r="C3790" s="2" t="str">
        <f ca="1">IFERROR(__xludf.DUMMYFUNCTION("GOOGLETRANSLATE(A3790,""bn"",""en"")"),"Melodic love music")</f>
        <v>Melodic love music</v>
      </c>
    </row>
    <row r="3791" spans="1:3" ht="15" x14ac:dyDescent="0.25">
      <c r="A3791" s="3" t="s">
        <v>3788</v>
      </c>
      <c r="B3791" s="3" t="s">
        <v>4</v>
      </c>
      <c r="C3791" s="2" t="str">
        <f ca="1">IFERROR(__xludf.DUMMYFUNCTION("GOOGLETRANSLATE(A3791,""bn"",""en"")"),"Search for growing markets")</f>
        <v>Search for growing markets</v>
      </c>
    </row>
    <row r="3792" spans="1:3" ht="15" x14ac:dyDescent="0.25">
      <c r="A3792" s="3" t="s">
        <v>3789</v>
      </c>
      <c r="B3792" s="3" t="s">
        <v>4</v>
      </c>
      <c r="C3792" s="2" t="str">
        <f ca="1">IFERROR(__xludf.DUMMYFUNCTION("GOOGLETRANSLATE(A3792,""bn"",""en"")"),"Demonstrated extra skill in athletics")</f>
        <v>Demonstrated extra skill in athletics</v>
      </c>
    </row>
    <row r="3793" spans="1:3" ht="15" x14ac:dyDescent="0.25">
      <c r="A3793" s="3" t="s">
        <v>3790</v>
      </c>
      <c r="B3793" s="3" t="s">
        <v>4</v>
      </c>
      <c r="C3793" s="2" t="str">
        <f ca="1">IFERROR(__xludf.DUMMYFUNCTION("GOOGLETRANSLATE(A3793,""bn"",""en"")"),"Acquire loan limited")</f>
        <v>Acquire loan limited</v>
      </c>
    </row>
    <row r="3794" spans="1:3" ht="15" x14ac:dyDescent="0.25">
      <c r="A3794" s="3" t="s">
        <v>3791</v>
      </c>
      <c r="B3794" s="3" t="s">
        <v>4</v>
      </c>
      <c r="C3794" s="2" t="str">
        <f ca="1">IFERROR(__xludf.DUMMYFUNCTION("GOOGLETRANSLATE(A3794,""bn"",""en"")"),"SEO Best Practices Guide")</f>
        <v>SEO Best Practices Guide</v>
      </c>
    </row>
    <row r="3795" spans="1:3" ht="15" x14ac:dyDescent="0.25">
      <c r="A3795" s="3" t="s">
        <v>3792</v>
      </c>
      <c r="B3795" s="3" t="s">
        <v>4</v>
      </c>
      <c r="C3795" s="2" t="str">
        <f ca="1">IFERROR(__xludf.DUMMYFUNCTION("GOOGLETRANSLATE(A3795,""bn"",""en"")"),"Phishing involves stealing information")</f>
        <v>Phishing involves stealing information</v>
      </c>
    </row>
    <row r="3796" spans="1:3" ht="15" x14ac:dyDescent="0.25">
      <c r="A3796" s="3" t="s">
        <v>3793</v>
      </c>
      <c r="B3796" s="3" t="s">
        <v>4</v>
      </c>
      <c r="C3796" s="2" t="str">
        <f ca="1">IFERROR(__xludf.DUMMYFUNCTION("GOOGLETRANSLATE(A3796,""bn"",""en"")"),"Account blocked")</f>
        <v>Account blocked</v>
      </c>
    </row>
    <row r="3797" spans="1:3" ht="15" x14ac:dyDescent="0.25">
      <c r="A3797" s="3" t="s">
        <v>3794</v>
      </c>
      <c r="B3797" s="3" t="s">
        <v>4</v>
      </c>
      <c r="C3797" s="2" t="str">
        <f ca="1">IFERROR(__xludf.DUMMYFUNCTION("GOOGLETRANSLATE(A3797,""bn"",""en"")"),"Presidential voting is going fast")</f>
        <v>Presidential voting is going fast</v>
      </c>
    </row>
    <row r="3798" spans="1:3" ht="15" x14ac:dyDescent="0.25">
      <c r="A3798" s="3" t="s">
        <v>3795</v>
      </c>
      <c r="B3798" s="3" t="s">
        <v>4</v>
      </c>
      <c r="C3798" s="2" t="str">
        <f ca="1">IFERROR(__xludf.DUMMYFUNCTION("GOOGLETRANSLATE(A3798,""bn"",""en"")"),"Sweet truth story picture")</f>
        <v>Sweet truth story picture</v>
      </c>
    </row>
    <row r="3799" spans="1:3" ht="15" x14ac:dyDescent="0.25">
      <c r="A3799" s="3" t="s">
        <v>3796</v>
      </c>
      <c r="B3799" s="3" t="s">
        <v>4</v>
      </c>
      <c r="C3799" s="2" t="str">
        <f ca="1">IFERROR(__xludf.DUMMYFUNCTION("GOOGLETRANSLATE(A3799,""bn"",""en"")"),"Running is a good exercise")</f>
        <v>Running is a good exercise</v>
      </c>
    </row>
    <row r="3800" spans="1:3" ht="15" x14ac:dyDescent="0.25">
      <c r="A3800" s="3" t="s">
        <v>3797</v>
      </c>
      <c r="B3800" s="3" t="s">
        <v>4</v>
      </c>
      <c r="C3800" s="2" t="str">
        <f ca="1">IFERROR(__xludf.DUMMYFUNCTION("GOOGLETRANSLATE(A3800,""bn"",""en"")"),"Fishing game for yourself")</f>
        <v>Fishing game for yourself</v>
      </c>
    </row>
    <row r="3801" spans="1:3" ht="15" x14ac:dyDescent="0.25">
      <c r="A3801" s="3" t="s">
        <v>3798</v>
      </c>
      <c r="B3801" s="3" t="s">
        <v>4</v>
      </c>
      <c r="C3801" s="2" t="str">
        <f ca="1">IFERROR(__xludf.DUMMYFUNCTION("GOOGLETRANSLATE(A3801,""bn"",""en"")"),"Come to constitutional business people")</f>
        <v>Come to constitutional business people</v>
      </c>
    </row>
    <row r="3802" spans="1:3" ht="15" x14ac:dyDescent="0.25">
      <c r="A3802" s="3" t="s">
        <v>3799</v>
      </c>
      <c r="B3802" s="3" t="s">
        <v>4</v>
      </c>
      <c r="C3802" s="2" t="str">
        <f ca="1">IFERROR(__xludf.DUMMYFUNCTION("GOOGLETRANSLATE(A3802,""bn"",""en"")"),"There is no discrimination in education")</f>
        <v>There is no discrimination in education</v>
      </c>
    </row>
    <row r="3803" spans="1:3" ht="15" x14ac:dyDescent="0.25">
      <c r="A3803" s="3" t="s">
        <v>3800</v>
      </c>
      <c r="B3803" s="3" t="s">
        <v>4</v>
      </c>
      <c r="C3803" s="2" t="str">
        <f ca="1">IFERROR(__xludf.DUMMYFUNCTION("GOOGLETRANSLATE(A3803,""bn"",""en"")"),"Thinking about technological advancements")</f>
        <v>Thinking about technological advancements</v>
      </c>
    </row>
    <row r="3804" spans="1:3" ht="15" x14ac:dyDescent="0.25">
      <c r="A3804" s="3" t="s">
        <v>3801</v>
      </c>
      <c r="B3804" s="3" t="s">
        <v>4</v>
      </c>
      <c r="C3804" s="2" t="str">
        <f ca="1">IFERROR(__xludf.DUMMYFUNCTION("GOOGLETRANSLATE(A3804,""bn"",""en"")"),"Discussion and debate in politics")</f>
        <v>Discussion and debate in politics</v>
      </c>
    </row>
    <row r="3805" spans="1:3" ht="15" x14ac:dyDescent="0.25">
      <c r="A3805" s="3" t="s">
        <v>3802</v>
      </c>
      <c r="B3805" s="3" t="s">
        <v>4</v>
      </c>
      <c r="C3805" s="2" t="str">
        <f ca="1">IFERROR(__xludf.DUMMYFUNCTION("GOOGLETRANSLATE(A3805,""bn"",""en"")"),"Events are happening in the mysterious mansion")</f>
        <v>Events are happening in the mysterious mansion</v>
      </c>
    </row>
    <row r="3806" spans="1:3" ht="15" x14ac:dyDescent="0.25">
      <c r="A3806" s="3" t="s">
        <v>3803</v>
      </c>
      <c r="B3806" s="3" t="s">
        <v>4</v>
      </c>
      <c r="C3806" s="2" t="str">
        <f ca="1">IFERROR(__xludf.DUMMYFUNCTION("GOOGLETRANSLATE(A3806,""bn"",""en"")"),"Increasing commercial activity")</f>
        <v>Increasing commercial activity</v>
      </c>
    </row>
    <row r="3807" spans="1:3" ht="15" x14ac:dyDescent="0.25">
      <c r="A3807" s="3" t="s">
        <v>3804</v>
      </c>
      <c r="B3807" s="3" t="s">
        <v>4</v>
      </c>
      <c r="C3807" s="2" t="str">
        <f ca="1">IFERROR(__xludf.DUMMYFUNCTION("GOOGLETRANSLATE(A3807,""bn"",""en"")"),"Mourning mother tongue in beautiful music")</f>
        <v>Mourning mother tongue in beautiful music</v>
      </c>
    </row>
    <row r="3808" spans="1:3" ht="15" x14ac:dyDescent="0.25">
      <c r="A3808" s="3" t="s">
        <v>3805</v>
      </c>
      <c r="B3808" s="3" t="s">
        <v>4</v>
      </c>
      <c r="C3808" s="2" t="str">
        <f ca="1">IFERROR(__xludf.DUMMYFUNCTION("GOOGLETRANSLATE(A3808,""bn"",""en"")"),"White birds are flying in the sea")</f>
        <v>White birds are flying in the sea</v>
      </c>
    </row>
    <row r="3809" spans="1:3" ht="15" x14ac:dyDescent="0.25">
      <c r="A3809" s="3" t="s">
        <v>3806</v>
      </c>
      <c r="B3809" s="3" t="s">
        <v>4</v>
      </c>
      <c r="C3809" s="2" t="str">
        <f ca="1">IFERROR(__xludf.DUMMYFUNCTION("GOOGLETRANSLATE(A3809,""bn"",""en"")"),"Be aware that the vote is coming")</f>
        <v>Be aware that the vote is coming</v>
      </c>
    </row>
    <row r="3810" spans="1:3" ht="15" x14ac:dyDescent="0.25">
      <c r="A3810" s="3" t="s">
        <v>3807</v>
      </c>
      <c r="B3810" s="3" t="s">
        <v>4</v>
      </c>
      <c r="C3810" s="2" t="str">
        <f ca="1">IFERROR(__xludf.DUMMYFUNCTION("GOOGLETRANSLATE(A3810,""bn"",""en"")"),"The inner joy of playing tennis")</f>
        <v>The inner joy of playing tennis</v>
      </c>
    </row>
    <row r="3811" spans="1:3" ht="15" x14ac:dyDescent="0.25">
      <c r="A3811" s="3" t="s">
        <v>3808</v>
      </c>
      <c r="B3811" s="3" t="s">
        <v>4</v>
      </c>
      <c r="C3811" s="2" t="str">
        <f ca="1">IFERROR(__xludf.DUMMYFUNCTION("GOOGLETRANSLATE(A3811,""bn"",""en"")"),"Boat park is increasing in Khulna")</f>
        <v>Boat park is increasing in Khulna</v>
      </c>
    </row>
    <row r="3812" spans="1:3" ht="15" x14ac:dyDescent="0.25">
      <c r="A3812" s="3" t="s">
        <v>3809</v>
      </c>
      <c r="B3812" s="3" t="s">
        <v>4</v>
      </c>
      <c r="C3812" s="2" t="str">
        <f ca="1">IFERROR(__xludf.DUMMYFUNCTION("GOOGLETRANSLATE(A3812,""bn"",""en"")"),"Show growth in business areas")</f>
        <v>Show growth in business areas</v>
      </c>
    </row>
    <row r="3813" spans="1:3" ht="15" x14ac:dyDescent="0.25">
      <c r="A3813" s="3" t="s">
        <v>3810</v>
      </c>
      <c r="B3813" s="3" t="s">
        <v>4</v>
      </c>
      <c r="C3813" s="2" t="str">
        <f ca="1">IFERROR(__xludf.DUMMYFUNCTION("GOOGLETRANSLATE(A3813,""bn"",""en"")"),"Commercial businesses are suffering")</f>
        <v>Commercial businesses are suffering</v>
      </c>
    </row>
    <row r="3814" spans="1:3" ht="15" x14ac:dyDescent="0.25">
      <c r="A3814" s="3" t="s">
        <v>3811</v>
      </c>
      <c r="B3814" s="3" t="s">
        <v>4</v>
      </c>
      <c r="C3814" s="2" t="str">
        <f ca="1">IFERROR(__xludf.DUMMYFUNCTION("GOOGLETRANSLATE(A3814,""bn"",""en"")"),"Social Organization Political Literacy")</f>
        <v>Social Organization Political Literacy</v>
      </c>
    </row>
    <row r="3815" spans="1:3" ht="15" x14ac:dyDescent="0.25">
      <c r="A3815" s="3" t="s">
        <v>3812</v>
      </c>
      <c r="B3815" s="3" t="s">
        <v>4</v>
      </c>
      <c r="C3815" s="2" t="str">
        <f ca="1">IFERROR(__xludf.DUMMYFUNCTION("GOOGLETRANSLATE(A3815,""bn"",""en"")"),"Learn to care for the environment")</f>
        <v>Learn to care for the environment</v>
      </c>
    </row>
    <row r="3816" spans="1:3" ht="15" x14ac:dyDescent="0.25">
      <c r="A3816" s="3" t="s">
        <v>3813</v>
      </c>
      <c r="B3816" s="3" t="s">
        <v>4</v>
      </c>
      <c r="C3816" s="2" t="str">
        <f ca="1">IFERROR(__xludf.DUMMYFUNCTION("GOOGLETRANSLATE(A3816,""bn"",""en"")"),"Joint preparations between MPs")</f>
        <v>Joint preparations between MPs</v>
      </c>
    </row>
    <row r="3817" spans="1:3" ht="15" x14ac:dyDescent="0.25">
      <c r="A3817" s="3" t="s">
        <v>3814</v>
      </c>
      <c r="B3817" s="3" t="s">
        <v>4</v>
      </c>
      <c r="C3817" s="2" t="str">
        <f ca="1">IFERROR(__xludf.DUMMYFUNCTION("GOOGLETRANSLATE(A3817,""bn"",""en"")"),"Kindred songs to the beat of the drum")</f>
        <v>Kindred songs to the beat of the drum</v>
      </c>
    </row>
    <row r="3818" spans="1:3" ht="15" x14ac:dyDescent="0.25">
      <c r="A3818" s="3" t="s">
        <v>3815</v>
      </c>
      <c r="B3818" s="3" t="s">
        <v>4</v>
      </c>
      <c r="C3818" s="2" t="str">
        <f ca="1">IFERROR(__xludf.DUMMYFUNCTION("GOOGLETRANSLATE(A3818,""bn"",""en"")"),"Let him be surprised by the tone")</f>
        <v>Let him be surprised by the tone</v>
      </c>
    </row>
    <row r="3819" spans="1:3" ht="15" x14ac:dyDescent="0.25">
      <c r="A3819" s="3" t="s">
        <v>3816</v>
      </c>
      <c r="B3819" s="3" t="s">
        <v>4</v>
      </c>
      <c r="C3819" s="2" t="str">
        <f ca="1">IFERROR(__xludf.DUMMYFUNCTION("GOOGLETRANSLATE(A3819,""bn"",""en"")"),"The debate against is ongoing")</f>
        <v>The debate against is ongoing</v>
      </c>
    </row>
    <row r="3820" spans="1:3" ht="15" x14ac:dyDescent="0.25">
      <c r="A3820" s="3" t="s">
        <v>3817</v>
      </c>
      <c r="B3820" s="3" t="s">
        <v>4</v>
      </c>
      <c r="C3820" s="2" t="str">
        <f ca="1">IFERROR(__xludf.DUMMYFUNCTION("GOOGLETRANSLATE(A3820,""bn"",""en"")"),"Increase safe capital")</f>
        <v>Increase safe capital</v>
      </c>
    </row>
    <row r="3821" spans="1:3" ht="15" x14ac:dyDescent="0.25">
      <c r="A3821" s="3" t="s">
        <v>3818</v>
      </c>
      <c r="B3821" s="3" t="s">
        <v>4</v>
      </c>
      <c r="C3821" s="2" t="str">
        <f ca="1">IFERROR(__xludf.DUMMYFUNCTION("GOOGLETRANSLATE(A3821,""bn"",""en"")"),"Stories help focus")</f>
        <v>Stories help focus</v>
      </c>
    </row>
    <row r="3822" spans="1:3" ht="15" x14ac:dyDescent="0.25">
      <c r="A3822" s="3" t="s">
        <v>3819</v>
      </c>
      <c r="B3822" s="3" t="s">
        <v>4</v>
      </c>
      <c r="C3822" s="2" t="str">
        <f ca="1">IFERROR(__xludf.DUMMYFUNCTION("GOOGLETRANSLATE(A3822,""bn"",""en"")"),"Feel the magic of the city")</f>
        <v>Feel the magic of the city</v>
      </c>
    </row>
    <row r="3823" spans="1:3" ht="15" x14ac:dyDescent="0.25">
      <c r="A3823" s="3" t="s">
        <v>3820</v>
      </c>
      <c r="B3823" s="3" t="s">
        <v>4</v>
      </c>
      <c r="C3823" s="2" t="str">
        <f ca="1">IFERROR(__xludf.DUMMYFUNCTION("GOOGLETRANSLATE(A3823,""bn"",""en"")"),"Withdrawal has been approved")</f>
        <v>Withdrawal has been approved</v>
      </c>
    </row>
    <row r="3824" spans="1:3" ht="15" x14ac:dyDescent="0.25">
      <c r="A3824" s="3" t="s">
        <v>3821</v>
      </c>
      <c r="B3824" s="3" t="s">
        <v>4</v>
      </c>
      <c r="C3824" s="2" t="str">
        <f ca="1">IFERROR(__xludf.DUMMYFUNCTION("GOOGLETRANSLATE(A3824,""bn"",""en"")"),"The budget has been increased")</f>
        <v>The budget has been increased</v>
      </c>
    </row>
    <row r="3825" spans="1:3" ht="15" x14ac:dyDescent="0.25">
      <c r="A3825" s="3" t="s">
        <v>3822</v>
      </c>
      <c r="B3825" s="3" t="s">
        <v>4</v>
      </c>
      <c r="C3825" s="2" t="str">
        <f ca="1">IFERROR(__xludf.DUMMYFUNCTION("GOOGLETRANSLATE(A3825,""bn"",""en"")"),"The subject is being discussed in Parliament")</f>
        <v>The subject is being discussed in Parliament</v>
      </c>
    </row>
    <row r="3826" spans="1:3" ht="15" x14ac:dyDescent="0.25">
      <c r="A3826" s="3" t="s">
        <v>3823</v>
      </c>
      <c r="B3826" s="3" t="s">
        <v>4</v>
      </c>
      <c r="C3826" s="2" t="str">
        <f ca="1">IFERROR(__xludf.DUMMYFUNCTION("GOOGLETRANSLATE(A3826,""bn"",""en"")"),"Improved user interface design")</f>
        <v>Improved user interface design</v>
      </c>
    </row>
    <row r="3827" spans="1:3" ht="15" x14ac:dyDescent="0.25">
      <c r="A3827" s="3" t="s">
        <v>3824</v>
      </c>
      <c r="B3827" s="3" t="s">
        <v>4</v>
      </c>
      <c r="C3827" s="2" t="str">
        <f ca="1">IFERROR(__xludf.DUMMYFUNCTION("GOOGLETRANSLATE(A3827,""bn"",""en"")"),"File taxes on time")</f>
        <v>File taxes on time</v>
      </c>
    </row>
    <row r="3828" spans="1:3" ht="15" x14ac:dyDescent="0.25">
      <c r="A3828" s="3" t="s">
        <v>3825</v>
      </c>
      <c r="B3828" s="3" t="s">
        <v>4</v>
      </c>
      <c r="C3828" s="2" t="str">
        <f ca="1">IFERROR(__xludf.DUMMYFUNCTION("GOOGLETRANSLATE(A3828,""bn"",""en"")"),"Enhance learning at book fairs")</f>
        <v>Enhance learning at book fairs</v>
      </c>
    </row>
    <row r="3829" spans="1:3" ht="15" x14ac:dyDescent="0.25">
      <c r="A3829" s="3" t="s">
        <v>3826</v>
      </c>
      <c r="B3829" s="3" t="s">
        <v>4</v>
      </c>
      <c r="C3829" s="2" t="str">
        <f ca="1">IFERROR(__xludf.DUMMYFUNCTION("GOOGLETRANSLATE(A3829,""bn"",""en"")"),"Enjoy the local cuisine")</f>
        <v>Enjoy the local cuisine</v>
      </c>
    </row>
    <row r="3830" spans="1:3" ht="15" x14ac:dyDescent="0.25">
      <c r="A3830" s="3" t="s">
        <v>3827</v>
      </c>
      <c r="B3830" s="3" t="s">
        <v>4</v>
      </c>
      <c r="C3830" s="2" t="str">
        <f ca="1">IFERROR(__xludf.DUMMYFUNCTION("GOOGLETRANSLATE(A3830,""bn"",""en"")"),"The film is good but funny")</f>
        <v>The film is good but funny</v>
      </c>
    </row>
    <row r="3831" spans="1:3" ht="15" x14ac:dyDescent="0.25">
      <c r="A3831" s="3" t="s">
        <v>3828</v>
      </c>
      <c r="B3831" s="3" t="s">
        <v>4</v>
      </c>
      <c r="C3831" s="2" t="str">
        <f ca="1">IFERROR(__xludf.DUMMYFUNCTION("GOOGLETRANSLATE(A3831,""bn"",""en"")"),"A dark story in the dawn of ghosts")</f>
        <v>A dark story in the dawn of ghosts</v>
      </c>
    </row>
    <row r="3832" spans="1:3" ht="15" x14ac:dyDescent="0.25">
      <c r="A3832" s="3" t="s">
        <v>3829</v>
      </c>
      <c r="B3832" s="3" t="s">
        <v>4</v>
      </c>
      <c r="C3832" s="2" t="str">
        <f ca="1">IFERROR(__xludf.DUMMYFUNCTION("GOOGLETRANSLATE(A3832,""bn"",""en"")"),"Account is being prepared")</f>
        <v>Account is being prepared</v>
      </c>
    </row>
    <row r="3833" spans="1:3" ht="15" x14ac:dyDescent="0.25">
      <c r="A3833" s="3" t="s">
        <v>3830</v>
      </c>
      <c r="B3833" s="3" t="s">
        <v>4</v>
      </c>
      <c r="C3833" s="2" t="str">
        <f ca="1">IFERROR(__xludf.DUMMYFUNCTION("GOOGLETRANSLATE(A3833,""bn"",""en"")"),"Shawn's life is full of melody")</f>
        <v>Shawn's life is full of melody</v>
      </c>
    </row>
    <row r="3834" spans="1:3" ht="15" x14ac:dyDescent="0.25">
      <c r="A3834" s="3" t="s">
        <v>3831</v>
      </c>
      <c r="B3834" s="3" t="s">
        <v>4</v>
      </c>
      <c r="C3834" s="2" t="str">
        <f ca="1">IFERROR(__xludf.DUMMYFUNCTION("GOOGLETRANSLATE(A3834,""bn"",""en"")"),"Sunday ball match at the venue")</f>
        <v>Sunday ball match at the venue</v>
      </c>
    </row>
    <row r="3835" spans="1:3" ht="15" x14ac:dyDescent="0.25">
      <c r="A3835" s="3" t="s">
        <v>3832</v>
      </c>
      <c r="B3835" s="3" t="s">
        <v>4</v>
      </c>
      <c r="C3835" s="2" t="str">
        <f ca="1">IFERROR(__xludf.DUMMYFUNCTION("GOOGLETRANSLATE(A3835,""bn"",""en"")"),"Becoming an expert in online learning")</f>
        <v>Becoming an expert in online learning</v>
      </c>
    </row>
    <row r="3836" spans="1:3" ht="15" x14ac:dyDescent="0.25">
      <c r="A3836" s="3" t="s">
        <v>3833</v>
      </c>
      <c r="B3836" s="3" t="s">
        <v>4</v>
      </c>
      <c r="C3836" s="2" t="str">
        <f ca="1">IFERROR(__xludf.DUMMYFUNCTION("GOOGLETRANSLATE(A3836,""bn"",""en"")"),"Mexico City is in Central America")</f>
        <v>Mexico City is in Central America</v>
      </c>
    </row>
    <row r="3837" spans="1:3" ht="15" x14ac:dyDescent="0.25">
      <c r="A3837" s="3" t="s">
        <v>3834</v>
      </c>
      <c r="B3837" s="3" t="s">
        <v>4</v>
      </c>
      <c r="C3837" s="2" t="str">
        <f ca="1">IFERROR(__xludf.DUMMYFUNCTION("GOOGLETRANSLATE(A3837,""bn"",""en"")"),"Education builds life")</f>
        <v>Education builds life</v>
      </c>
    </row>
    <row r="3838" spans="1:3" ht="15" x14ac:dyDescent="0.25">
      <c r="A3838" s="3" t="s">
        <v>3835</v>
      </c>
      <c r="B3838" s="3" t="s">
        <v>4</v>
      </c>
      <c r="C3838" s="2" t="str">
        <f ca="1">IFERROR(__xludf.DUMMYFUNCTION("GOOGLETRANSLATE(A3838,""bn"",""en"")"),"Heart touching movie with simple plot")</f>
        <v>Heart touching movie with simple plot</v>
      </c>
    </row>
    <row r="3839" spans="1:3" ht="15" x14ac:dyDescent="0.25">
      <c r="A3839" s="3" t="s">
        <v>3836</v>
      </c>
      <c r="B3839" s="3" t="s">
        <v>4</v>
      </c>
      <c r="C3839" s="2" t="str">
        <f ca="1">IFERROR(__xludf.DUMMYFUNCTION("GOOGLETRANSLATE(A3839,""bn"",""en"")"),"The bat is broken in cricket")</f>
        <v>The bat is broken in cricket</v>
      </c>
    </row>
    <row r="3840" spans="1:3" ht="15" x14ac:dyDescent="0.25">
      <c r="A3840" s="3" t="s">
        <v>3837</v>
      </c>
      <c r="B3840" s="3" t="s">
        <v>4</v>
      </c>
      <c r="C3840" s="2" t="str">
        <f ca="1">IFERROR(__xludf.DUMMYFUNCTION("GOOGLETRANSLATE(A3840,""bn"",""en"")"),"Exchange in capital shares")</f>
        <v>Exchange in capital shares</v>
      </c>
    </row>
    <row r="3841" spans="1:3" ht="15" x14ac:dyDescent="0.25">
      <c r="A3841" s="3" t="s">
        <v>3838</v>
      </c>
      <c r="B3841" s="3" t="s">
        <v>4</v>
      </c>
      <c r="C3841" s="2" t="str">
        <f ca="1">IFERROR(__xludf.DUMMYFUNCTION("GOOGLETRANSLATE(A3841,""bn"",""en"")"),"Take beautiful pictures at night")</f>
        <v>Take beautiful pictures at night</v>
      </c>
    </row>
    <row r="3842" spans="1:3" ht="15" x14ac:dyDescent="0.25">
      <c r="A3842" s="3" t="s">
        <v>3839</v>
      </c>
      <c r="B3842" s="3" t="s">
        <v>4</v>
      </c>
      <c r="C3842" s="2" t="str">
        <f ca="1">IFERROR(__xludf.DUMMYFUNCTION("GOOGLETRANSLATE(A3842,""bn"",""en"")"),"The island of Borneo is a Malaysian territory")</f>
        <v>The island of Borneo is a Malaysian territory</v>
      </c>
    </row>
    <row r="3843" spans="1:3" ht="15" x14ac:dyDescent="0.25">
      <c r="A3843" s="3" t="s">
        <v>3840</v>
      </c>
      <c r="B3843" s="3" t="s">
        <v>4</v>
      </c>
      <c r="C3843" s="2" t="str">
        <f ca="1">IFERROR(__xludf.DUMMYFUNCTION("GOOGLETRANSLATE(A3843,""bn"",""en"")"),"His latest film is amazing")</f>
        <v>His latest film is amazing</v>
      </c>
    </row>
    <row r="3844" spans="1:3" ht="15" x14ac:dyDescent="0.25">
      <c r="A3844" s="3" t="s">
        <v>3841</v>
      </c>
      <c r="B3844" s="3" t="s">
        <v>4</v>
      </c>
      <c r="C3844" s="2" t="str">
        <f ca="1">IFERROR(__xludf.DUMMYFUNCTION("GOOGLETRANSLATE(A3844,""bn"",""en"")"),"Confronting the increase in elections is in the past")</f>
        <v>Confronting the increase in elections is in the past</v>
      </c>
    </row>
    <row r="3845" spans="1:3" ht="15" x14ac:dyDescent="0.25">
      <c r="A3845" s="3" t="s">
        <v>3842</v>
      </c>
      <c r="B3845" s="3" t="s">
        <v>4</v>
      </c>
      <c r="C3845" s="2" t="str">
        <f ca="1">IFERROR(__xludf.DUMMYFUNCTION("GOOGLETRANSLATE(A3845,""bn"",""en"")"),"He is being discussed")</f>
        <v>He is being discussed</v>
      </c>
    </row>
    <row r="3846" spans="1:3" ht="15" x14ac:dyDescent="0.25">
      <c r="A3846" s="3" t="s">
        <v>3843</v>
      </c>
      <c r="B3846" s="3" t="s">
        <v>4</v>
      </c>
      <c r="C3846" s="2" t="str">
        <f ca="1">IFERROR(__xludf.DUMMYFUNCTION("GOOGLETRANSLATE(A3846,""bn"",""en"")"),"Cross hundreds of meters")</f>
        <v>Cross hundreds of meters</v>
      </c>
    </row>
    <row r="3847" spans="1:3" ht="15" x14ac:dyDescent="0.25">
      <c r="A3847" s="3" t="s">
        <v>3844</v>
      </c>
      <c r="B3847" s="3" t="s">
        <v>4</v>
      </c>
      <c r="C3847" s="2" t="str">
        <f ca="1">IFERROR(__xludf.DUMMYFUNCTION("GOOGLETRANSLATE(A3847,""bn"",""en"")"),"Politics is progress in protecting human rights")</f>
        <v>Politics is progress in protecting human rights</v>
      </c>
    </row>
    <row r="3848" spans="1:3" ht="15" x14ac:dyDescent="0.25">
      <c r="A3848" s="3" t="s">
        <v>3845</v>
      </c>
      <c r="B3848" s="3" t="s">
        <v>4</v>
      </c>
      <c r="C3848" s="2" t="str">
        <f ca="1">IFERROR(__xludf.DUMMYFUNCTION("GOOGLETRANSLATE(A3848,""bn"",""en"")"),"Bau Baumandal is a romantic comedy")</f>
        <v>Bau Baumandal is a romantic comedy</v>
      </c>
    </row>
    <row r="3849" spans="1:3" ht="15" x14ac:dyDescent="0.25">
      <c r="A3849" s="3" t="s">
        <v>3846</v>
      </c>
      <c r="B3849" s="3" t="s">
        <v>4</v>
      </c>
      <c r="C3849" s="2" t="str">
        <f ca="1">IFERROR(__xludf.DUMMYFUNCTION("GOOGLETRANSLATE(A3849,""bn"",""en"")"),"Squash has become difficult")</f>
        <v>Squash has become difficult</v>
      </c>
    </row>
    <row r="3850" spans="1:3" ht="15" x14ac:dyDescent="0.25">
      <c r="A3850" s="3" t="s">
        <v>3847</v>
      </c>
      <c r="B3850" s="3" t="s">
        <v>4</v>
      </c>
      <c r="C3850" s="2" t="str">
        <f ca="1">IFERROR(__xludf.DUMMYFUNCTION("GOOGLETRANSLATE(A3850,""bn"",""en"")"),"Brilliant performance in basketball match")</f>
        <v>Brilliant performance in basketball match</v>
      </c>
    </row>
    <row r="3851" spans="1:3" ht="15" x14ac:dyDescent="0.25">
      <c r="A3851" s="3" t="s">
        <v>3848</v>
      </c>
      <c r="B3851" s="3" t="s">
        <v>4</v>
      </c>
      <c r="C3851" s="2" t="str">
        <f ca="1">IFERROR(__xludf.DUMMYFUNCTION("GOOGLETRANSLATE(A3851,""bn"",""en"")"),"Attend economic conferences")</f>
        <v>Attend economic conferences</v>
      </c>
    </row>
    <row r="3852" spans="1:3" ht="15" x14ac:dyDescent="0.25">
      <c r="A3852" s="3" t="s">
        <v>3849</v>
      </c>
      <c r="B3852" s="3" t="s">
        <v>4</v>
      </c>
      <c r="C3852" s="2" t="str">
        <f ca="1">IFERROR(__xludf.DUMMYFUNCTION("GOOGLETRANSLATE(A3852,""bn"",""en"")"),"Providing cloud computing services")</f>
        <v>Providing cloud computing services</v>
      </c>
    </row>
    <row r="3853" spans="1:3" ht="15" x14ac:dyDescent="0.25">
      <c r="A3853" s="3" t="s">
        <v>3850</v>
      </c>
      <c r="B3853" s="3" t="s">
        <v>4</v>
      </c>
      <c r="C3853" s="2" t="str">
        <f ca="1">IFERROR(__xludf.DUMMYFUNCTION("GOOGLETRANSLATE(A3853,""bn"",""en"")"),"The World Cup was won")</f>
        <v>The World Cup was won</v>
      </c>
    </row>
    <row r="3854" spans="1:3" ht="15" x14ac:dyDescent="0.25">
      <c r="A3854" s="3" t="s">
        <v>3851</v>
      </c>
      <c r="B3854" s="3" t="s">
        <v>4</v>
      </c>
      <c r="C3854" s="2" t="str">
        <f ca="1">IFERROR(__xludf.DUMMYFUNCTION("GOOGLETRANSLATE(A3854,""bn"",""en"")"),"Kaziranga River flows in Myanmar")</f>
        <v>Kaziranga River flows in Myanmar</v>
      </c>
    </row>
    <row r="3855" spans="1:3" ht="15" x14ac:dyDescent="0.25">
      <c r="A3855" s="3" t="s">
        <v>3852</v>
      </c>
      <c r="B3855" s="3" t="s">
        <v>4</v>
      </c>
      <c r="C3855" s="2" t="str">
        <f ca="1">IFERROR(__xludf.DUMMYFUNCTION("GOOGLETRANSLATE(A3855,""bn"",""en"")"),"Start cycling")</f>
        <v>Start cycling</v>
      </c>
    </row>
    <row r="3856" spans="1:3" ht="15" x14ac:dyDescent="0.25">
      <c r="A3856" s="3" t="s">
        <v>3853</v>
      </c>
      <c r="B3856" s="3" t="s">
        <v>4</v>
      </c>
      <c r="C3856" s="2" t="str">
        <f ca="1">IFERROR(__xludf.DUMMYFUNCTION("GOOGLETRANSLATE(A3856,""bn"",""en"")"),"Is e-check required?")</f>
        <v>Is e-check required?</v>
      </c>
    </row>
    <row r="3857" spans="1:3" ht="15" x14ac:dyDescent="0.25">
      <c r="A3857" s="3" t="s">
        <v>3854</v>
      </c>
      <c r="B3857" s="3" t="s">
        <v>4</v>
      </c>
      <c r="C3857" s="2" t="str">
        <f ca="1">IFERROR(__xludf.DUMMYFUNCTION("GOOGLETRANSLATE(A3857,""bn"",""en"")"),"Your account is secure")</f>
        <v>Your account is secure</v>
      </c>
    </row>
    <row r="3858" spans="1:3" ht="15" x14ac:dyDescent="0.25">
      <c r="A3858" s="3" t="s">
        <v>3855</v>
      </c>
      <c r="B3858" s="3" t="s">
        <v>4</v>
      </c>
      <c r="C3858" s="2" t="str">
        <f ca="1">IFERROR(__xludf.DUMMYFUNCTION("GOOGLETRANSLATE(A3858,""bn"",""en"")"),"Boxing is fast paced")</f>
        <v>Boxing is fast paced</v>
      </c>
    </row>
    <row r="3859" spans="1:3" ht="15" x14ac:dyDescent="0.25">
      <c r="A3859" s="3" t="s">
        <v>3856</v>
      </c>
      <c r="B3859" s="3" t="s">
        <v>4</v>
      </c>
      <c r="C3859" s="2" t="str">
        <f ca="1">IFERROR(__xludf.DUMMYFUNCTION("GOOGLETRANSLATE(A3859,""bn"",""en"")"),"Study business at university")</f>
        <v>Study business at university</v>
      </c>
    </row>
    <row r="3860" spans="1:3" ht="15" x14ac:dyDescent="0.25">
      <c r="A3860" s="3" t="s">
        <v>3857</v>
      </c>
      <c r="B3860" s="3" t="s">
        <v>4</v>
      </c>
      <c r="C3860" s="2" t="str">
        <f ca="1">IFERROR(__xludf.DUMMYFUNCTION("GOOGLETRANSLATE(A3860,""bn"",""en"")"),"I am with the tour guide")</f>
        <v>I am with the tour guide</v>
      </c>
    </row>
    <row r="3861" spans="1:3" ht="15" x14ac:dyDescent="0.25">
      <c r="A3861" s="3" t="s">
        <v>3858</v>
      </c>
      <c r="B3861" s="3" t="s">
        <v>4</v>
      </c>
      <c r="C3861" s="2" t="str">
        <f ca="1">IFERROR(__xludf.DUMMYFUNCTION("GOOGLETRANSLATE(A3861,""bn"",""en"")"),"Growth towards teacher educators")</f>
        <v>Growth towards teacher educators</v>
      </c>
    </row>
    <row r="3862" spans="1:3" ht="15" x14ac:dyDescent="0.25">
      <c r="A3862" s="3" t="s">
        <v>3859</v>
      </c>
      <c r="B3862" s="3" t="s">
        <v>4</v>
      </c>
      <c r="C3862" s="2" t="str">
        <f ca="1">IFERROR(__xludf.DUMMYFUNCTION("GOOGLETRANSLATE(A3862,""bn"",""en"")"),"Ravindra mourns in music")</f>
        <v>Ravindra mourns in music</v>
      </c>
    </row>
    <row r="3863" spans="1:3" ht="15" x14ac:dyDescent="0.25">
      <c r="A3863" s="3" t="s">
        <v>3860</v>
      </c>
      <c r="B3863" s="3" t="s">
        <v>4</v>
      </c>
      <c r="C3863" s="2" t="str">
        <f ca="1">IFERROR(__xludf.DUMMYFUNCTION("GOOGLETRANSLATE(A3863,""bn"",""en"")"),"Be careful of economic anger")</f>
        <v>Be careful of economic anger</v>
      </c>
    </row>
    <row r="3864" spans="1:3" ht="15" x14ac:dyDescent="0.25">
      <c r="A3864" s="3" t="s">
        <v>3861</v>
      </c>
      <c r="B3864" s="3" t="s">
        <v>4</v>
      </c>
      <c r="C3864" s="2" t="str">
        <f ca="1">IFERROR(__xludf.DUMMYFUNCTION("GOOGLETRANSLATE(A3864,""bn"",""en"")"),"Control financial polarization")</f>
        <v>Control financial polarization</v>
      </c>
    </row>
    <row r="3865" spans="1:3" ht="15" x14ac:dyDescent="0.25">
      <c r="A3865" s="3" t="s">
        <v>3862</v>
      </c>
      <c r="B3865" s="3" t="s">
        <v>4</v>
      </c>
      <c r="C3865" s="2" t="str">
        <f ca="1">IFERROR(__xludf.DUMMYFUNCTION("GOOGLETRANSLATE(A3865,""bn"",""en"")"),"The Amazon is experiencing high flooding")</f>
        <v>The Amazon is experiencing high flooding</v>
      </c>
    </row>
    <row r="3866" spans="1:3" ht="15" x14ac:dyDescent="0.25">
      <c r="A3866" s="3" t="s">
        <v>3863</v>
      </c>
      <c r="B3866" s="3" t="s">
        <v>4</v>
      </c>
      <c r="C3866" s="2" t="str">
        <f ca="1">IFERROR(__xludf.DUMMYFUNCTION("GOOGLETRANSLATE(A3866,""bn"",""en"")"),"Reach World Historic Sites")</f>
        <v>Reach World Historic Sites</v>
      </c>
    </row>
    <row r="3867" spans="1:3" ht="15" x14ac:dyDescent="0.25">
      <c r="A3867" s="3" t="s">
        <v>3864</v>
      </c>
      <c r="B3867" s="3" t="s">
        <v>4</v>
      </c>
      <c r="C3867" s="2" t="str">
        <f ca="1">IFERROR(__xludf.DUMMYFUNCTION("GOOGLETRANSLATE(A3867,""bn"",""en"")"),"Stay overnight at the hotel safely")</f>
        <v>Stay overnight at the hotel safely</v>
      </c>
    </row>
    <row r="3868" spans="1:3" ht="15" x14ac:dyDescent="0.25">
      <c r="A3868" s="3" t="s">
        <v>3865</v>
      </c>
      <c r="B3868" s="3" t="s">
        <v>4</v>
      </c>
      <c r="C3868" s="2" t="str">
        <f ca="1">IFERROR(__xludf.DUMMYFUNCTION("GOOGLETRANSLATE(A3868,""bn"",""en"")"),"See growth in higher sectors")</f>
        <v>See growth in higher sectors</v>
      </c>
    </row>
    <row r="3869" spans="1:3" ht="15" x14ac:dyDescent="0.25">
      <c r="A3869" s="3" t="s">
        <v>3866</v>
      </c>
      <c r="B3869" s="3" t="s">
        <v>4</v>
      </c>
      <c r="C3869" s="2" t="str">
        <f ca="1">IFERROR(__xludf.DUMMYFUNCTION("GOOGLETRANSLATE(A3869,""bn"",""en"")"),"Confidence among MPs in Parliament")</f>
        <v>Confidence among MPs in Parliament</v>
      </c>
    </row>
    <row r="3870" spans="1:3" ht="15" x14ac:dyDescent="0.25">
      <c r="A3870" s="3" t="s">
        <v>3867</v>
      </c>
      <c r="B3870" s="3" t="s">
        <v>4</v>
      </c>
      <c r="C3870" s="2" t="str">
        <f ca="1">IFERROR(__xludf.DUMMYFUNCTION("GOOGLETRANSLATE(A3870,""bn"",""en"")"),"Start trekking in the mountains")</f>
        <v>Start trekking in the mountains</v>
      </c>
    </row>
    <row r="3871" spans="1:3" ht="15" x14ac:dyDescent="0.25">
      <c r="A3871" s="3" t="s">
        <v>3868</v>
      </c>
      <c r="B3871" s="3" t="s">
        <v>4</v>
      </c>
      <c r="C3871" s="2" t="str">
        <f ca="1">IFERROR(__xludf.DUMMYFUNCTION("GOOGLETRANSLATE(A3871,""bn"",""en"")"),"Clashes between factions are at an extreme")</f>
        <v>Clashes between factions are at an extreme</v>
      </c>
    </row>
    <row r="3872" spans="1:3" ht="15" x14ac:dyDescent="0.25">
      <c r="A3872" s="3" t="s">
        <v>3869</v>
      </c>
      <c r="B3872" s="3" t="s">
        <v>4</v>
      </c>
      <c r="C3872" s="2" t="str">
        <f ca="1">IFERROR(__xludf.DUMMYFUNCTION("GOOGLETRANSLATE(A3872,""bn"",""en"")"),"Get the right education")</f>
        <v>Get the right education</v>
      </c>
    </row>
    <row r="3873" spans="1:3" ht="15" x14ac:dyDescent="0.25">
      <c r="A3873" s="3" t="s">
        <v>3870</v>
      </c>
      <c r="B3873" s="3" t="s">
        <v>4</v>
      </c>
      <c r="C3873" s="2" t="str">
        <f ca="1">IFERROR(__xludf.DUMMYFUNCTION("GOOGLETRANSLATE(A3873,""bn"",""en"")"),"A new impetus is underway in Parliament")</f>
        <v>A new impetus is underway in Parliament</v>
      </c>
    </row>
    <row r="3874" spans="1:3" ht="15" x14ac:dyDescent="0.25">
      <c r="A3874" s="3" t="s">
        <v>3871</v>
      </c>
      <c r="B3874" s="3" t="s">
        <v>4</v>
      </c>
      <c r="C3874" s="2" t="str">
        <f ca="1">IFERROR(__xludf.DUMMYFUNCTION("GOOGLETRANSLATE(A3874,""bn"",""en"")"),"The film is in a laughing mood")</f>
        <v>The film is in a laughing mood</v>
      </c>
    </row>
    <row r="3875" spans="1:3" ht="15" x14ac:dyDescent="0.25">
      <c r="A3875" s="3" t="s">
        <v>3872</v>
      </c>
      <c r="B3875" s="3" t="s">
        <v>4</v>
      </c>
      <c r="C3875" s="2" t="str">
        <f ca="1">IFERROR(__xludf.DUMMYFUNCTION("GOOGLETRANSLATE(A3875,""bn"",""en"")"),"Visit the city park")</f>
        <v>Visit the city park</v>
      </c>
    </row>
    <row r="3876" spans="1:3" ht="15" x14ac:dyDescent="0.25">
      <c r="A3876" s="3" t="s">
        <v>3873</v>
      </c>
      <c r="B3876" s="3" t="s">
        <v>4</v>
      </c>
      <c r="C3876" s="2" t="str">
        <f ca="1">IFERROR(__xludf.DUMMYFUNCTION("GOOGLETRANSLATE(A3876,""bn"",""en"")"),"Museum visit is strange experience")</f>
        <v>Museum visit is strange experience</v>
      </c>
    </row>
    <row r="3877" spans="1:3" ht="15" x14ac:dyDescent="0.25">
      <c r="A3877" s="3" t="s">
        <v>3874</v>
      </c>
      <c r="B3877" s="3" t="s">
        <v>4</v>
      </c>
      <c r="C3877" s="2" t="str">
        <f ca="1">IFERROR(__xludf.DUMMYFUNCTION("GOOGLETRANSLATE(A3877,""bn"",""en"")"),"New preparations are being made in the parliament")</f>
        <v>New preparations are being made in the parliament</v>
      </c>
    </row>
    <row r="3878" spans="1:3" ht="15" x14ac:dyDescent="0.25">
      <c r="A3878" s="3" t="s">
        <v>3875</v>
      </c>
      <c r="B3878" s="3" t="s">
        <v>4</v>
      </c>
      <c r="C3878" s="2" t="str">
        <f ca="1">IFERROR(__xludf.DUMMYFUNCTION("GOOGLETRANSLATE(A3878,""bn"",""en"")"),"The science of advanced robotics is growing")</f>
        <v>The science of advanced robotics is growing</v>
      </c>
    </row>
    <row r="3879" spans="1:3" ht="15" x14ac:dyDescent="0.25">
      <c r="A3879" s="3" t="s">
        <v>3876</v>
      </c>
      <c r="B3879" s="3" t="s">
        <v>4</v>
      </c>
      <c r="C3879" s="2" t="str">
        <f ca="1">IFERROR(__xludf.DUMMYFUNCTION("GOOGLETRANSLATE(A3879,""bn"",""en"")"),"Enjoy motorcycle racing")</f>
        <v>Enjoy motorcycle racing</v>
      </c>
    </row>
    <row r="3880" spans="1:3" ht="15" x14ac:dyDescent="0.25">
      <c r="A3880" s="3" t="s">
        <v>3877</v>
      </c>
      <c r="B3880" s="3" t="s">
        <v>4</v>
      </c>
      <c r="C3880" s="2" t="str">
        <f ca="1">IFERROR(__xludf.DUMMYFUNCTION("GOOGLETRANSLATE(A3880,""bn"",""en"")"),"Expressing thoughts through music")</f>
        <v>Expressing thoughts through music</v>
      </c>
    </row>
    <row r="3881" spans="1:3" ht="15" x14ac:dyDescent="0.25">
      <c r="A3881" s="3" t="s">
        <v>3878</v>
      </c>
      <c r="B3881" s="3" t="s">
        <v>4</v>
      </c>
      <c r="C3881" s="2" t="str">
        <f ca="1">IFERROR(__xludf.DUMMYFUNCTION("GOOGLETRANSLATE(A3881,""bn"",""en"")"),"Sales in the market are increasing continuously")</f>
        <v>Sales in the market are increasing continuously</v>
      </c>
    </row>
    <row r="3882" spans="1:3" ht="15" x14ac:dyDescent="0.25">
      <c r="A3882" s="3" t="s">
        <v>3879</v>
      </c>
      <c r="B3882" s="3" t="s">
        <v>4</v>
      </c>
      <c r="C3882" s="2" t="str">
        <f ca="1">IFERROR(__xludf.DUMMYFUNCTION("GOOGLETRANSLATE(A3882,""bn"",""en"")"),"Approve outgoing transactions")</f>
        <v>Approve outgoing transactions</v>
      </c>
    </row>
    <row r="3883" spans="1:3" ht="15" x14ac:dyDescent="0.25">
      <c r="A3883" s="3" t="s">
        <v>3880</v>
      </c>
      <c r="B3883" s="3" t="s">
        <v>4</v>
      </c>
      <c r="C3883" s="2" t="str">
        <f ca="1">IFERROR(__xludf.DUMMYFUNCTION("GOOGLETRANSLATE(A3883,""bn"",""en"")"),"Big strike in cricket bat")</f>
        <v>Big strike in cricket bat</v>
      </c>
    </row>
    <row r="3884" spans="1:3" ht="15" x14ac:dyDescent="0.25">
      <c r="A3884" s="3" t="s">
        <v>3881</v>
      </c>
      <c r="B3884" s="3" t="s">
        <v>4</v>
      </c>
      <c r="C3884" s="2" t="str">
        <f ca="1">IFERROR(__xludf.DUMMYFUNCTION("GOOGLETRANSLATE(A3884,""bn"",""en"")"),"The song was really nice")</f>
        <v>The song was really nice</v>
      </c>
    </row>
    <row r="3885" spans="1:3" ht="15" x14ac:dyDescent="0.25">
      <c r="A3885" s="3" t="s">
        <v>3882</v>
      </c>
      <c r="B3885" s="3" t="s">
        <v>4</v>
      </c>
      <c r="C3885" s="2" t="str">
        <f ca="1">IFERROR(__xludf.DUMMYFUNCTION("GOOGLETRANSLATE(A3885,""bn"",""en"")"),"Go camping in nature")</f>
        <v>Go camping in nature</v>
      </c>
    </row>
    <row r="3886" spans="1:3" ht="15" x14ac:dyDescent="0.25">
      <c r="A3886" s="3" t="s">
        <v>3883</v>
      </c>
      <c r="B3886" s="3" t="s">
        <v>4</v>
      </c>
      <c r="C3886" s="2" t="str">
        <f ca="1">IFERROR(__xludf.DUMMYFUNCTION("GOOGLETRANSLATE(A3886,""bn"",""en"")"),"Debate is going on in Parliament now")</f>
        <v>Debate is going on in Parliament now</v>
      </c>
    </row>
    <row r="3887" spans="1:3" ht="15" x14ac:dyDescent="0.25">
      <c r="A3887" s="3" t="s">
        <v>3884</v>
      </c>
      <c r="B3887" s="3" t="s">
        <v>4</v>
      </c>
      <c r="C3887" s="2" t="str">
        <f ca="1">IFERROR(__xludf.DUMMYFUNCTION("GOOGLETRANSLATE(A3887,""bn"",""en"")"),"Playing badminton has never been easier")</f>
        <v>Playing badminton has never been easier</v>
      </c>
    </row>
    <row r="3888" spans="1:3" ht="15" x14ac:dyDescent="0.25">
      <c r="A3888" s="3" t="s">
        <v>3885</v>
      </c>
      <c r="B3888" s="3" t="s">
        <v>4</v>
      </c>
      <c r="C3888" s="2" t="str">
        <f ca="1">IFERROR(__xludf.DUMMYFUNCTION("GOOGLETRANSLATE(A3888,""bn"",""en"")"),"Enhance mobile security settings")</f>
        <v>Enhance mobile security settings</v>
      </c>
    </row>
    <row r="3889" spans="1:3" ht="15" x14ac:dyDescent="0.25">
      <c r="A3889" s="3" t="s">
        <v>3886</v>
      </c>
      <c r="B3889" s="3" t="s">
        <v>4</v>
      </c>
      <c r="C3889" s="2" t="str">
        <f ca="1">IFERROR(__xludf.DUMMYFUNCTION("GOOGLETRANSLATE(A3889,""bn"",""en"")"),"Consider sources of income")</f>
        <v>Consider sources of income</v>
      </c>
    </row>
    <row r="3890" spans="1:3" ht="15" x14ac:dyDescent="0.25">
      <c r="A3890" s="3" t="s">
        <v>3887</v>
      </c>
      <c r="B3890" s="3" t="s">
        <v>4</v>
      </c>
      <c r="C3890" s="2" t="str">
        <f ca="1">IFERROR(__xludf.DUMMYFUNCTION("GOOGLETRANSLATE(A3890,""bn"",""en"")"),"Boxing matches are endless fun")</f>
        <v>Boxing matches are endless fun</v>
      </c>
    </row>
    <row r="3891" spans="1:3" ht="15" x14ac:dyDescent="0.25">
      <c r="A3891" s="3" t="s">
        <v>3888</v>
      </c>
      <c r="B3891" s="3" t="s">
        <v>4</v>
      </c>
      <c r="C3891" s="2" t="str">
        <f ca="1">IFERROR(__xludf.DUMMYFUNCTION("GOOGLETRANSLATE(A3891,""bn"",""en"")"),"Take better economic action")</f>
        <v>Take better economic action</v>
      </c>
    </row>
    <row r="3892" spans="1:3" ht="15" x14ac:dyDescent="0.25">
      <c r="A3892" s="3" t="s">
        <v>3889</v>
      </c>
      <c r="B3892" s="3" t="s">
        <v>4</v>
      </c>
      <c r="C3892" s="2" t="str">
        <f ca="1">IFERROR(__xludf.DUMMYFUNCTION("GOOGLETRANSLATE(A3892,""bn"",""en"")"),"Go for a walk in the old quarter")</f>
        <v>Go for a walk in the old quarter</v>
      </c>
    </row>
    <row r="3893" spans="1:3" ht="15" x14ac:dyDescent="0.25">
      <c r="A3893" s="3" t="s">
        <v>3890</v>
      </c>
      <c r="B3893" s="3" t="s">
        <v>4</v>
      </c>
      <c r="C3893" s="2" t="str">
        <f ca="1">IFERROR(__xludf.DUMMYFUNCTION("GOOGLETRANSLATE(A3893,""bn"",""en"")"),"Power problem is being dealt with")</f>
        <v>Power problem is being dealt with</v>
      </c>
    </row>
    <row r="3894" spans="1:3" ht="15" x14ac:dyDescent="0.25">
      <c r="A3894" s="3" t="s">
        <v>3891</v>
      </c>
      <c r="B3894" s="3" t="s">
        <v>4</v>
      </c>
      <c r="C3894" s="2" t="str">
        <f ca="1">IFERROR(__xludf.DUMMYFUNCTION("GOOGLETRANSLATE(A3894,""bn"",""en"")"),"Experience the trail on a bike")</f>
        <v>Experience the trail on a bike</v>
      </c>
    </row>
    <row r="3895" spans="1:3" ht="15" x14ac:dyDescent="0.25">
      <c r="A3895" s="3" t="s">
        <v>3892</v>
      </c>
      <c r="B3895" s="3" t="s">
        <v>4</v>
      </c>
      <c r="C3895" s="2" t="str">
        <f ca="1">IFERROR(__xludf.DUMMYFUNCTION("GOOGLETRANSLATE(A3895,""bn"",""en"")"),"The heroine is acting amazingly")</f>
        <v>The heroine is acting amazingly</v>
      </c>
    </row>
    <row r="3896" spans="1:3" ht="15" x14ac:dyDescent="0.25">
      <c r="A3896" s="3" t="s">
        <v>3893</v>
      </c>
      <c r="B3896" s="3" t="s">
        <v>4</v>
      </c>
      <c r="C3896" s="2" t="str">
        <f ca="1">IFERROR(__xludf.DUMMYFUNCTION("GOOGLETRANSLATE(A3896,""bn"",""en"")"),"Providing support to joint ventures")</f>
        <v>Providing support to joint ventures</v>
      </c>
    </row>
    <row r="3897" spans="1:3" ht="15" x14ac:dyDescent="0.25">
      <c r="A3897" s="3" t="s">
        <v>3894</v>
      </c>
      <c r="B3897" s="3" t="s">
        <v>4</v>
      </c>
      <c r="C3897" s="2" t="str">
        <f ca="1">IFERROR(__xludf.DUMMYFUNCTION("GOOGLETRANSLATE(A3897,""bn"",""en"")"),"Education is a priceless asset")</f>
        <v>Education is a priceless asset</v>
      </c>
    </row>
    <row r="3898" spans="1:3" ht="15" x14ac:dyDescent="0.25">
      <c r="A3898" s="3" t="s">
        <v>3895</v>
      </c>
      <c r="B3898" s="3" t="s">
        <v>4</v>
      </c>
      <c r="C3898" s="2" t="str">
        <f ca="1">IFERROR(__xludf.DUMMYFUNCTION("GOOGLETRANSLATE(A3898,""bn"",""en"")"),"Participate in economic councils")</f>
        <v>Participate in economic councils</v>
      </c>
    </row>
    <row r="3899" spans="1:3" ht="15" x14ac:dyDescent="0.25">
      <c r="A3899" s="3" t="s">
        <v>3896</v>
      </c>
      <c r="B3899" s="3" t="s">
        <v>4</v>
      </c>
      <c r="C3899" s="2" t="str">
        <f ca="1">IFERROR(__xludf.DUMMYFUNCTION("GOOGLETRANSLATE(A3899,""bn"",""en"")"),"Hybrid Cyber ​​Additional Protection")</f>
        <v>Hybrid Cyber ​​Additional Protection</v>
      </c>
    </row>
    <row r="3900" spans="1:3" ht="15" x14ac:dyDescent="0.25">
      <c r="A3900" s="3" t="s">
        <v>3897</v>
      </c>
      <c r="B3900" s="3" t="s">
        <v>4</v>
      </c>
      <c r="C3900" s="2" t="str">
        <f ca="1">IFERROR(__xludf.DUMMYFUNCTION("GOOGLETRANSLATE(A3900,""bn"",""en"")"),"Industrial sector is growing in Narayanganj")</f>
        <v>Industrial sector is growing in Narayanganj</v>
      </c>
    </row>
    <row r="3901" spans="1:3" ht="15" x14ac:dyDescent="0.25">
      <c r="A3901" s="3" t="s">
        <v>3898</v>
      </c>
      <c r="B3901" s="3" t="s">
        <v>4</v>
      </c>
      <c r="C3901" s="2" t="str">
        <f ca="1">IFERROR(__xludf.DUMMYFUNCTION("GOOGLETRANSLATE(A3901,""bn"",""en"")"),"Teacher's application of creative teaching")</f>
        <v>Teacher's application of creative teaching</v>
      </c>
    </row>
    <row r="3902" spans="1:3" ht="15" x14ac:dyDescent="0.25">
      <c r="A3902" s="3" t="s">
        <v>3899</v>
      </c>
      <c r="B3902" s="3" t="s">
        <v>4</v>
      </c>
      <c r="C3902" s="2" t="str">
        <f ca="1">IFERROR(__xludf.DUMMYFUNCTION("GOOGLETRANSLATE(A3902,""bn"",""en"")"),"It is important to support human rights")</f>
        <v>It is important to support human rights</v>
      </c>
    </row>
    <row r="3903" spans="1:3" ht="15" x14ac:dyDescent="0.25">
      <c r="A3903" s="3" t="s">
        <v>3900</v>
      </c>
      <c r="B3903" s="3" t="s">
        <v>4</v>
      </c>
      <c r="C3903" s="2" t="str">
        <f ca="1">IFERROR(__xludf.DUMMYFUNCTION("GOOGLETRANSLATE(A3903,""bn"",""en"")"),"Released records at the box office")</f>
        <v>Released records at the box office</v>
      </c>
    </row>
    <row r="3904" spans="1:3" ht="15" x14ac:dyDescent="0.25">
      <c r="A3904" s="3" t="s">
        <v>3901</v>
      </c>
      <c r="B3904" s="3" t="s">
        <v>4</v>
      </c>
      <c r="C3904" s="2" t="str">
        <f ca="1">IFERROR(__xludf.DUMMYFUNCTION("GOOGLETRANSLATE(A3904,""bn"",""en"")"),"Come border with border")</f>
        <v>Come border with border</v>
      </c>
    </row>
    <row r="3905" spans="1:3" ht="15" x14ac:dyDescent="0.25">
      <c r="A3905" s="3" t="s">
        <v>3902</v>
      </c>
      <c r="B3905" s="3" t="s">
        <v>4</v>
      </c>
      <c r="C3905" s="2" t="str">
        <f ca="1">IFERROR(__xludf.DUMMYFUNCTION("GOOGLETRANSLATE(A3905,""bn"",""en"")"),"Configuring and managing servers")</f>
        <v>Configuring and managing servers</v>
      </c>
    </row>
    <row r="3906" spans="1:3" ht="15" x14ac:dyDescent="0.25">
      <c r="A3906" s="3" t="s">
        <v>3903</v>
      </c>
      <c r="B3906" s="3" t="s">
        <v>4</v>
      </c>
      <c r="C3906" s="2" t="str">
        <f ca="1">IFERROR(__xludf.DUMMYFUNCTION("GOOGLETRANSLATE(A3906,""bn"",""en"")"),"Advice to students interested in studying")</f>
        <v>Advice to students interested in studying</v>
      </c>
    </row>
    <row r="3907" spans="1:3" ht="15" x14ac:dyDescent="0.25">
      <c r="A3907" s="3" t="s">
        <v>3904</v>
      </c>
      <c r="B3907" s="3" t="s">
        <v>4</v>
      </c>
      <c r="C3907" s="2" t="str">
        <f ca="1">IFERROR(__xludf.DUMMYFUNCTION("GOOGLETRANSLATE(A3907,""bn"",""en"")"),"Multiple bank savings accounts")</f>
        <v>Multiple bank savings accounts</v>
      </c>
    </row>
    <row r="3908" spans="1:3" ht="15" x14ac:dyDescent="0.25">
      <c r="A3908" s="3" t="s">
        <v>3905</v>
      </c>
      <c r="B3908" s="3" t="s">
        <v>4</v>
      </c>
      <c r="C3908" s="2" t="str">
        <f ca="1">IFERROR(__xludf.DUMMYFUNCTION("GOOGLETRANSLATE(A3908,""bn"",""en"")"),"The lamp of education illuminates life")</f>
        <v>The lamp of education illuminates life</v>
      </c>
    </row>
    <row r="3909" spans="1:3" ht="15" x14ac:dyDescent="0.25">
      <c r="A3909" s="3" t="s">
        <v>3906</v>
      </c>
      <c r="B3909" s="3" t="s">
        <v>4</v>
      </c>
      <c r="C3909" s="2" t="str">
        <f ca="1">IFERROR(__xludf.DUMMYFUNCTION("GOOGLETRANSLATE(A3909,""bn"",""en"")"),"User Data Privacy Management")</f>
        <v>User Data Privacy Management</v>
      </c>
    </row>
    <row r="3910" spans="1:3" ht="15" x14ac:dyDescent="0.25">
      <c r="A3910" s="3" t="s">
        <v>3907</v>
      </c>
      <c r="B3910" s="3" t="s">
        <v>4</v>
      </c>
      <c r="C3910" s="2" t="str">
        <f ca="1">IFERROR(__xludf.DUMMYFUNCTION("GOOGLETRANSLATE(A3910,""bn"",""en"")"),"Order to raise capital")</f>
        <v>Order to raise capital</v>
      </c>
    </row>
    <row r="3911" spans="1:3" ht="15" x14ac:dyDescent="0.25">
      <c r="A3911" s="3" t="s">
        <v>3908</v>
      </c>
      <c r="B3911" s="3" t="s">
        <v>4</v>
      </c>
      <c r="C3911" s="2" t="str">
        <f ca="1">IFERROR(__xludf.DUMMYFUNCTION("GOOGLETRANSLATE(A3911,""bn"",""en"")"),"Empowerment through collaboration")</f>
        <v>Empowerment through collaboration</v>
      </c>
    </row>
    <row r="3912" spans="1:3" ht="15" x14ac:dyDescent="0.25">
      <c r="A3912" s="3" t="s">
        <v>3909</v>
      </c>
      <c r="B3912" s="3" t="s">
        <v>4</v>
      </c>
      <c r="C3912" s="2" t="str">
        <f ca="1">IFERROR(__xludf.DUMMYFUNCTION("GOOGLETRANSLATE(A3912,""bn"",""en"")"),"We go to see a mysterious movie")</f>
        <v>We go to see a mysterious movie</v>
      </c>
    </row>
    <row r="3913" spans="1:3" ht="15" x14ac:dyDescent="0.25">
      <c r="A3913" s="3" t="s">
        <v>3910</v>
      </c>
      <c r="B3913" s="3" t="s">
        <v>4</v>
      </c>
      <c r="C3913" s="2" t="str">
        <f ca="1">IFERROR(__xludf.DUMMYFUNCTION("GOOGLETRANSLATE(A3913,""bn"",""en"")"),"Join the party in Japan")</f>
        <v>Join the party in Japan</v>
      </c>
    </row>
    <row r="3914" spans="1:3" ht="15" x14ac:dyDescent="0.25">
      <c r="A3914" s="3" t="s">
        <v>3911</v>
      </c>
      <c r="B3914" s="3" t="s">
        <v>4</v>
      </c>
      <c r="C3914" s="2" t="str">
        <f ca="1">IFERROR(__xludf.DUMMYFUNCTION("GOOGLETRANSLATE(A3914,""bn"",""en"")"),"Learning sports is physical fitness")</f>
        <v>Learning sports is physical fitness</v>
      </c>
    </row>
    <row r="3915" spans="1:3" ht="15" x14ac:dyDescent="0.25">
      <c r="A3915" s="3" t="s">
        <v>3912</v>
      </c>
      <c r="B3915" s="3" t="s">
        <v>4</v>
      </c>
      <c r="C3915" s="2" t="str">
        <f ca="1">IFERROR(__xludf.DUMMYFUNCTION("GOOGLETRANSLATE(A3915,""bn"",""en"")"),"I want a loan")</f>
        <v>I want a loan</v>
      </c>
    </row>
    <row r="3916" spans="1:3" ht="15" x14ac:dyDescent="0.25">
      <c r="A3916" s="3" t="s">
        <v>3913</v>
      </c>
      <c r="B3916" s="3" t="s">
        <v>4</v>
      </c>
      <c r="C3916" s="2" t="str">
        <f ca="1">IFERROR(__xludf.DUMMYFUNCTION("GOOGLETRANSLATE(A3916,""bn"",""en"")"),"The labor of teachers is the future of the nation")</f>
        <v>The labor of teachers is the future of the nation</v>
      </c>
    </row>
    <row r="3917" spans="1:3" ht="15" x14ac:dyDescent="0.25">
      <c r="A3917" s="3" t="s">
        <v>3914</v>
      </c>
      <c r="B3917" s="3" t="s">
        <v>4</v>
      </c>
      <c r="C3917" s="2" t="str">
        <f ca="1">IFERROR(__xludf.DUMMYFUNCTION("GOOGLETRANSLATE(A3917,""bn"",""en"")"),"Fakir Lalan's song is full of emotion")</f>
        <v>Fakir Lalan's song is full of emotion</v>
      </c>
    </row>
    <row r="3918" spans="1:3" ht="15" x14ac:dyDescent="0.25">
      <c r="A3918" s="3" t="s">
        <v>3915</v>
      </c>
      <c r="B3918" s="3" t="s">
        <v>4</v>
      </c>
      <c r="C3918" s="2" t="str">
        <f ca="1">IFERROR(__xludf.DUMMYFUNCTION("GOOGLETRANSLATE(A3918,""bn"",""en"")"),"The Ganges River flows through Bangladesh")</f>
        <v>The Ganges River flows through Bangladesh</v>
      </c>
    </row>
    <row r="3919" spans="1:3" ht="15" x14ac:dyDescent="0.25">
      <c r="A3919" s="3" t="s">
        <v>3916</v>
      </c>
      <c r="B3919" s="3" t="s">
        <v>4</v>
      </c>
      <c r="C3919" s="2" t="str">
        <f ca="1">IFERROR(__xludf.DUMMYFUNCTION("GOOGLETRANSLATE(A3919,""bn"",""en"")"),"Perfect for skating")</f>
        <v>Perfect for skating</v>
      </c>
    </row>
    <row r="3920" spans="1:3" ht="15" x14ac:dyDescent="0.25">
      <c r="A3920" s="3" t="s">
        <v>3917</v>
      </c>
      <c r="B3920" s="3" t="s">
        <v>4</v>
      </c>
      <c r="C3920" s="2" t="str">
        <f ca="1">IFERROR(__xludf.DUMMYFUNCTION("GOOGLETRANSLATE(A3920,""bn"",""en"")"),"Get Home Loan Ready")</f>
        <v>Get Home Loan Ready</v>
      </c>
    </row>
    <row r="3921" spans="1:3" ht="15" x14ac:dyDescent="0.25">
      <c r="A3921" s="3" t="s">
        <v>3918</v>
      </c>
      <c r="B3921" s="3" t="s">
        <v>4</v>
      </c>
      <c r="C3921" s="2" t="str">
        <f ca="1">IFERROR(__xludf.DUMMYFUNCTION("GOOGLETRANSLATE(A3921,""bn"",""en"")"),"Go to Matiranga on holidays")</f>
        <v>Go to Matiranga on holidays</v>
      </c>
    </row>
    <row r="3922" spans="1:3" ht="15" x14ac:dyDescent="0.25">
      <c r="A3922" s="3" t="s">
        <v>3919</v>
      </c>
      <c r="B3922" s="3" t="s">
        <v>4</v>
      </c>
      <c r="C3922" s="2" t="str">
        <f ca="1">IFERROR(__xludf.DUMMYFUNCTION("GOOGLETRANSLATE(A3922,""bn"",""en"")"),"The government wants to monitor spending")</f>
        <v>The government wants to monitor spending</v>
      </c>
    </row>
    <row r="3923" spans="1:3" ht="15" x14ac:dyDescent="0.25">
      <c r="A3923" s="3" t="s">
        <v>3920</v>
      </c>
      <c r="B3923" s="3" t="s">
        <v>4</v>
      </c>
      <c r="C3923" s="2" t="str">
        <f ca="1">IFERROR(__xludf.DUMMYFUNCTION("GOOGLETRANSLATE(A3923,""bn"",""en"")"),"New innovations are emerging in research")</f>
        <v>New innovations are emerging in research</v>
      </c>
    </row>
    <row r="3924" spans="1:3" ht="15" x14ac:dyDescent="0.25">
      <c r="A3924" s="3" t="s">
        <v>3921</v>
      </c>
      <c r="B3924" s="3" t="s">
        <v>4</v>
      </c>
      <c r="C3924" s="2" t="str">
        <f ca="1">IFERROR(__xludf.DUMMYFUNCTION("GOOGLETRANSLATE(A3924,""bn"",""en"")"),"File your taxes")</f>
        <v>File your taxes</v>
      </c>
    </row>
    <row r="3925" spans="1:3" ht="15" x14ac:dyDescent="0.25">
      <c r="A3925" s="3" t="s">
        <v>3922</v>
      </c>
      <c r="B3925" s="3" t="s">
        <v>4</v>
      </c>
      <c r="C3925" s="2" t="str">
        <f ca="1">IFERROR(__xludf.DUMMYFUNCTION("GOOGLETRANSLATE(A3925,""bn"",""en"")"),"Join the team")</f>
        <v>Join the team</v>
      </c>
    </row>
    <row r="3926" spans="1:3" ht="15" x14ac:dyDescent="0.25">
      <c r="A3926" s="3" t="s">
        <v>3923</v>
      </c>
      <c r="B3926" s="3" t="s">
        <v>4</v>
      </c>
      <c r="C3926" s="2" t="str">
        <f ca="1">IFERROR(__xludf.DUMMYFUNCTION("GOOGLETRANSLATE(A3926,""bn"",""en"")"),"Experience the museum")</f>
        <v>Experience the museum</v>
      </c>
    </row>
    <row r="3927" spans="1:3" ht="15" x14ac:dyDescent="0.25">
      <c r="A3927" s="3" t="s">
        <v>3924</v>
      </c>
      <c r="B3927" s="3" t="s">
        <v>4</v>
      </c>
      <c r="C3927" s="2" t="str">
        <f ca="1">IFERROR(__xludf.DUMMYFUNCTION("GOOGLETRANSLATE(A3927,""bn"",""en"")"),"Demonstrated instructor skills")</f>
        <v>Demonstrated instructor skills</v>
      </c>
    </row>
    <row r="3928" spans="1:3" ht="15" x14ac:dyDescent="0.25">
      <c r="A3928" s="3" t="s">
        <v>3925</v>
      </c>
      <c r="B3928" s="3" t="s">
        <v>4</v>
      </c>
      <c r="C3928" s="2" t="str">
        <f ca="1">IFERROR(__xludf.DUMMYFUNCTION("GOOGLETRANSLATE(A3928,""bn"",""en"")"),"Must play golf once")</f>
        <v>Must play golf once</v>
      </c>
    </row>
    <row r="3929" spans="1:3" ht="15" x14ac:dyDescent="0.25">
      <c r="A3929" s="3" t="s">
        <v>3926</v>
      </c>
      <c r="B3929" s="3" t="s">
        <v>4</v>
      </c>
      <c r="C3929" s="2" t="str">
        <f ca="1">IFERROR(__xludf.DUMMYFUNCTION("GOOGLETRANSLATE(A3929,""bn"",""en"")"),"Build your own future")</f>
        <v>Build your own future</v>
      </c>
    </row>
    <row r="3930" spans="1:3" ht="15" x14ac:dyDescent="0.25">
      <c r="A3930" s="3" t="s">
        <v>3927</v>
      </c>
      <c r="B3930" s="3" t="s">
        <v>4</v>
      </c>
      <c r="C3930" s="2" t="str">
        <f ca="1">IFERROR(__xludf.DUMMYFUNCTION("GOOGLETRANSLATE(A3930,""bn"",""en"")"),"I love to play football")</f>
        <v>I love to play football</v>
      </c>
    </row>
    <row r="3931" spans="1:3" ht="15" x14ac:dyDescent="0.25">
      <c r="A3931" s="3" t="s">
        <v>3928</v>
      </c>
      <c r="B3931" s="3" t="s">
        <v>4</v>
      </c>
      <c r="C3931" s="2" t="str">
        <f ca="1">IFERROR(__xludf.DUMMYFUNCTION("GOOGLETRANSLATE(A3931,""bn"",""en"")"),"Election of municipalities among the people")</f>
        <v>Election of municipalities among the people</v>
      </c>
    </row>
    <row r="3932" spans="1:3" ht="15" x14ac:dyDescent="0.25">
      <c r="A3932" s="3" t="s">
        <v>3929</v>
      </c>
      <c r="B3932" s="3" t="s">
        <v>4</v>
      </c>
      <c r="C3932" s="2" t="str">
        <f ca="1">IFERROR(__xludf.DUMMYFUNCTION("GOOGLETRANSLATE(A3932,""bn"",""en"")"),"We are resolving the dispute")</f>
        <v>We are resolving the dispute</v>
      </c>
    </row>
    <row r="3933" spans="1:3" ht="15" x14ac:dyDescent="0.25">
      <c r="A3933" s="3" t="s">
        <v>3930</v>
      </c>
      <c r="B3933" s="3" t="s">
        <v>4</v>
      </c>
      <c r="C3933" s="2" t="str">
        <f ca="1">IFERROR(__xludf.DUMMYFUNCTION("GOOGLETRANSLATE(A3933,""bn"",""en"")"),"I love to play football")</f>
        <v>I love to play football</v>
      </c>
    </row>
    <row r="3934" spans="1:3" ht="15" x14ac:dyDescent="0.25">
      <c r="A3934" s="3" t="s">
        <v>3931</v>
      </c>
      <c r="B3934" s="3" t="s">
        <v>4</v>
      </c>
      <c r="C3934" s="2" t="str">
        <f ca="1">IFERROR(__xludf.DUMMYFUNCTION("GOOGLETRANSLATE(A3934,""bn"",""en"")"),"The mind is filled with the sweetness of the flute")</f>
        <v>The mind is filled with the sweetness of the flute</v>
      </c>
    </row>
    <row r="3935" spans="1:3" ht="15" x14ac:dyDescent="0.25">
      <c r="A3935" s="3" t="s">
        <v>3932</v>
      </c>
      <c r="B3935" s="3" t="s">
        <v>4</v>
      </c>
      <c r="C3935" s="2" t="str">
        <f ca="1">IFERROR(__xludf.DUMMYFUNCTION("GOOGLETRANSLATE(A3935,""bn"",""en"")"),"Aarti was intoxicated by the sweetness of the song")</f>
        <v>Aarti was intoxicated by the sweetness of the song</v>
      </c>
    </row>
    <row r="3936" spans="1:3" ht="15" x14ac:dyDescent="0.25">
      <c r="A3936" s="3" t="s">
        <v>3933</v>
      </c>
      <c r="B3936" s="3" t="s">
        <v>4</v>
      </c>
      <c r="C3936" s="2" t="str">
        <f ca="1">IFERROR(__xludf.DUMMYFUNCTION("GOOGLETRANSLATE(A3936,""bn"",""en"")"),"Tennis is fun to watch")</f>
        <v>Tennis is fun to watch</v>
      </c>
    </row>
    <row r="3937" spans="1:3" ht="15" x14ac:dyDescent="0.25">
      <c r="A3937" s="3" t="s">
        <v>3934</v>
      </c>
      <c r="B3937" s="3" t="s">
        <v>4</v>
      </c>
      <c r="C3937" s="2" t="str">
        <f ca="1">IFERROR(__xludf.DUMMYFUNCTION("GOOGLETRANSLATE(A3937,""bn"",""en"")"),"Education is progressing in Bangladesh")</f>
        <v>Education is progressing in Bangladesh</v>
      </c>
    </row>
    <row r="3938" spans="1:3" ht="15" x14ac:dyDescent="0.25">
      <c r="A3938" s="3" t="s">
        <v>3935</v>
      </c>
      <c r="B3938" s="3" t="s">
        <v>4</v>
      </c>
      <c r="C3938" s="2" t="str">
        <f ca="1">IFERROR(__xludf.DUMMYFUNCTION("GOOGLETRANSLATE(A3938,""bn"",""en"")"),"The budget of the film has been kept high")</f>
        <v>The budget of the film has been kept high</v>
      </c>
    </row>
    <row r="3939" spans="1:3" ht="15" x14ac:dyDescent="0.25">
      <c r="A3939" s="3" t="s">
        <v>3936</v>
      </c>
      <c r="B3939" s="3" t="s">
        <v>4</v>
      </c>
      <c r="C3939" s="2" t="str">
        <f ca="1">IFERROR(__xludf.DUMMYFUNCTION("GOOGLETRANSLATE(A3939,""bn"",""en"")"),"Learn hacking techniques from experts")</f>
        <v>Learn hacking techniques from experts</v>
      </c>
    </row>
    <row r="3940" spans="1:3" ht="15" x14ac:dyDescent="0.25">
      <c r="A3940" s="3" t="s">
        <v>3937</v>
      </c>
      <c r="B3940" s="3" t="s">
        <v>4</v>
      </c>
      <c r="C3940" s="2" t="str">
        <f ca="1">IFERROR(__xludf.DUMMYFUNCTION("GOOGLETRANSLATE(A3940,""bn"",""en"")"),"Dance is fun in Bangla Rakestra")</f>
        <v>Dance is fun in Bangla Rakestra</v>
      </c>
    </row>
    <row r="3941" spans="1:3" ht="15" x14ac:dyDescent="0.25">
      <c r="A3941" s="3" t="s">
        <v>3938</v>
      </c>
      <c r="B3941" s="3" t="s">
        <v>4</v>
      </c>
      <c r="C3941" s="2" t="str">
        <f ca="1">IFERROR(__xludf.DUMMYFUNCTION("GOOGLETRANSLATE(A3941,""bn"",""en"")"),"Launch Mobile Banking")</f>
        <v>Launch Mobile Banking</v>
      </c>
    </row>
    <row r="3942" spans="1:3" ht="15" x14ac:dyDescent="0.25">
      <c r="A3942" s="3" t="s">
        <v>3939</v>
      </c>
      <c r="B3942" s="3" t="s">
        <v>4</v>
      </c>
      <c r="C3942" s="2" t="str">
        <f ca="1">IFERROR(__xludf.DUMMYFUNCTION("GOOGLETRANSLATE(A3942,""bn"",""en"")"),"Forgot account password")</f>
        <v>Forgot account password</v>
      </c>
    </row>
    <row r="3943" spans="1:3" ht="15" x14ac:dyDescent="0.25">
      <c r="A3943" s="3" t="s">
        <v>3940</v>
      </c>
      <c r="B3943" s="3" t="s">
        <v>4</v>
      </c>
      <c r="C3943" s="2" t="str">
        <f ca="1">IFERROR(__xludf.DUMMYFUNCTION("GOOGLETRANSLATE(A3943,""bn"",""en"")"),"Market prices are rising")</f>
        <v>Market prices are rising</v>
      </c>
    </row>
    <row r="3944" spans="1:3" ht="15" x14ac:dyDescent="0.25">
      <c r="A3944" s="3" t="s">
        <v>3941</v>
      </c>
      <c r="B3944" s="3" t="s">
        <v>4</v>
      </c>
      <c r="C3944" s="2" t="str">
        <f ca="1">IFERROR(__xludf.DUMMYFUNCTION("GOOGLETRANSLATE(A3944,""bn"",""en"")"),"Teachers are skilled and trained")</f>
        <v>Teachers are skilled and trained</v>
      </c>
    </row>
    <row r="3945" spans="1:3" ht="15" x14ac:dyDescent="0.25">
      <c r="A3945" s="3" t="s">
        <v>3942</v>
      </c>
      <c r="B3945" s="3" t="s">
        <v>4</v>
      </c>
      <c r="C3945" s="2" t="str">
        <f ca="1">IFERROR(__xludf.DUMMYFUNCTION("GOOGLETRANSLATE(A3945,""bn"",""en"")"),"Advances in Artificial Intelligence")</f>
        <v>Advances in Artificial Intelligence</v>
      </c>
    </row>
    <row r="3946" spans="1:3" ht="15" x14ac:dyDescent="0.25">
      <c r="A3946" s="3" t="s">
        <v>3943</v>
      </c>
      <c r="B3946" s="3" t="s">
        <v>4</v>
      </c>
      <c r="C3946" s="2" t="str">
        <f ca="1">IFERROR(__xludf.DUMMYFUNCTION("GOOGLETRANSLATE(A3946,""bn"",""en"")"),"Green cloth in Bengali song")</f>
        <v>Green cloth in Bengali song</v>
      </c>
    </row>
    <row r="3947" spans="1:3" ht="15" x14ac:dyDescent="0.25">
      <c r="A3947" s="3" t="s">
        <v>3944</v>
      </c>
      <c r="B3947" s="3" t="s">
        <v>4</v>
      </c>
      <c r="C3947" s="2" t="str">
        <f ca="1">IFERROR(__xludf.DUMMYFUNCTION("GOOGLETRANSLATE(A3947,""bn"",""en"")"),"His voice is full")</f>
        <v>His voice is full</v>
      </c>
    </row>
    <row r="3948" spans="1:3" ht="15" x14ac:dyDescent="0.25">
      <c r="A3948" s="3" t="s">
        <v>3945</v>
      </c>
      <c r="B3948" s="3" t="s">
        <v>4</v>
      </c>
      <c r="C3948" s="2" t="str">
        <f ca="1">IFERROR(__xludf.DUMMYFUNCTION("GOOGLETRANSLATE(A3948,""bn"",""en"")"),"Can grow lemons in hedgerows")</f>
        <v>Can grow lemons in hedgerows</v>
      </c>
    </row>
    <row r="3949" spans="1:3" ht="15" x14ac:dyDescent="0.25">
      <c r="A3949" s="3" t="s">
        <v>3946</v>
      </c>
      <c r="B3949" s="3" t="s">
        <v>4</v>
      </c>
      <c r="C3949" s="2" t="str">
        <f ca="1">IFERROR(__xludf.DUMMYFUNCTION("GOOGLETRANSLATE(A3949,""bn"",""en"")"),"Data analytics skill development")</f>
        <v>Data analytics skill development</v>
      </c>
    </row>
    <row r="3950" spans="1:3" ht="15" x14ac:dyDescent="0.25">
      <c r="A3950" s="3" t="s">
        <v>3947</v>
      </c>
      <c r="B3950" s="3" t="s">
        <v>4</v>
      </c>
      <c r="C3950" s="2" t="str">
        <f ca="1">IFERROR(__xludf.DUMMYFUNCTION("GOOGLETRANSLATE(A3950,""bn"",""en"")"),"Anger's sweet radiance manifests")</f>
        <v>Anger's sweet radiance manifests</v>
      </c>
    </row>
    <row r="3951" spans="1:3" ht="15" x14ac:dyDescent="0.25">
      <c r="A3951" s="3" t="s">
        <v>3948</v>
      </c>
      <c r="B3951" s="3" t="s">
        <v>4</v>
      </c>
      <c r="C3951" s="2" t="str">
        <f ca="1">IFERROR(__xludf.DUMMYFUNCTION("GOOGLETRANSLATE(A3951,""bn"",""en"")"),"Be the primary predator exchange")</f>
        <v>Be the primary predator exchange</v>
      </c>
    </row>
    <row r="3952" spans="1:3" ht="15" x14ac:dyDescent="0.25">
      <c r="A3952" s="3" t="s">
        <v>3949</v>
      </c>
      <c r="B3952" s="3" t="s">
        <v>4</v>
      </c>
      <c r="C3952" s="2" t="str">
        <f ca="1">IFERROR(__xludf.DUMMYFUNCTION("GOOGLETRANSLATE(A3952,""bn"",""en"")"),"Education weapons away ignorance")</f>
        <v>Education weapons away ignorance</v>
      </c>
    </row>
    <row r="3953" spans="1:3" ht="15" x14ac:dyDescent="0.25">
      <c r="A3953" s="3" t="s">
        <v>3950</v>
      </c>
      <c r="B3953" s="3" t="s">
        <v>4</v>
      </c>
      <c r="C3953" s="2" t="str">
        <f ca="1">IFERROR(__xludf.DUMMYFUNCTION("GOOGLETRANSLATE(A3953,""bn"",""en"")"),"Protecting valuable assets")</f>
        <v>Protecting valuable assets</v>
      </c>
    </row>
    <row r="3954" spans="1:3" ht="15" x14ac:dyDescent="0.25">
      <c r="A3954" s="3" t="s">
        <v>3951</v>
      </c>
      <c r="B3954" s="3" t="s">
        <v>4</v>
      </c>
      <c r="C3954" s="2" t="str">
        <f ca="1">IFERROR(__xludf.DUMMYFUNCTION("GOOGLETRANSLATE(A3954,""bn"",""en"")"),"Touching the bat in cricket is fun")</f>
        <v>Touching the bat in cricket is fun</v>
      </c>
    </row>
    <row r="3955" spans="1:3" ht="15" x14ac:dyDescent="0.25">
      <c r="A3955" s="3" t="s">
        <v>3952</v>
      </c>
      <c r="B3955" s="3" t="s">
        <v>4</v>
      </c>
      <c r="C3955" s="2" t="str">
        <f ca="1">IFERROR(__xludf.DUMMYFUNCTION("GOOGLETRANSLATE(A3955,""bn"",""en"")"),"To provide quality education in education")</f>
        <v>To provide quality education in education</v>
      </c>
    </row>
    <row r="3956" spans="1:3" ht="15" x14ac:dyDescent="0.25">
      <c r="A3956" s="3" t="s">
        <v>3953</v>
      </c>
      <c r="B3956" s="3" t="s">
        <v>4</v>
      </c>
      <c r="C3956" s="2" t="str">
        <f ca="1">IFERROR(__xludf.DUMMYFUNCTION("GOOGLETRANSLATE(A3956,""bn"",""en"")"),"You can stay in Moulvibazar")</f>
        <v>You can stay in Moulvibazar</v>
      </c>
    </row>
    <row r="3957" spans="1:3" ht="15" x14ac:dyDescent="0.25">
      <c r="A3957" s="3" t="s">
        <v>3954</v>
      </c>
      <c r="B3957" s="3" t="s">
        <v>4</v>
      </c>
      <c r="C3957" s="2" t="str">
        <f ca="1">IFERROR(__xludf.DUMMYFUNCTION("GOOGLETRANSLATE(A3957,""bn"",""en"")"),"Sit comfortably on the train")</f>
        <v>Sit comfortably on the train</v>
      </c>
    </row>
    <row r="3958" spans="1:3" ht="15" x14ac:dyDescent="0.25">
      <c r="A3958" s="3" t="s">
        <v>3955</v>
      </c>
      <c r="B3958" s="3" t="s">
        <v>4</v>
      </c>
      <c r="C3958" s="2" t="str">
        <f ca="1">IFERROR(__xludf.DUMMYFUNCTION("GOOGLETRANSLATE(A3958,""bn"",""en"")"),"A checkerboard game is beautiful")</f>
        <v>A checkerboard game is beautiful</v>
      </c>
    </row>
    <row r="3959" spans="1:3" ht="15" x14ac:dyDescent="0.25">
      <c r="A3959" s="3" t="s">
        <v>3956</v>
      </c>
      <c r="B3959" s="3" t="s">
        <v>4</v>
      </c>
      <c r="C3959" s="2" t="str">
        <f ca="1">IFERROR(__xludf.DUMMYFUNCTION("GOOGLETRANSLATE(A3959,""bn"",""en"")"),"The music is playing in the song")</f>
        <v>The music is playing in the song</v>
      </c>
    </row>
    <row r="3960" spans="1:3" ht="15" x14ac:dyDescent="0.25">
      <c r="A3960" s="3" t="s">
        <v>3957</v>
      </c>
      <c r="B3960" s="3" t="s">
        <v>4</v>
      </c>
      <c r="C3960" s="2" t="str">
        <f ca="1">IFERROR(__xludf.DUMMYFUNCTION("GOOGLETRANSLATE(A3960,""bn"",""en"")"),"Build bonds with teachers")</f>
        <v>Build bonds with teachers</v>
      </c>
    </row>
    <row r="3961" spans="1:3" ht="15" x14ac:dyDescent="0.25">
      <c r="A3961" s="3" t="s">
        <v>3958</v>
      </c>
      <c r="B3961" s="3" t="s">
        <v>4</v>
      </c>
      <c r="C3961" s="2" t="str">
        <f ca="1">IFERROR(__xludf.DUMMYFUNCTION("GOOGLETRANSLATE(A3961,""bn"",""en"")"),"Bank Hub is growing")</f>
        <v>Bank Hub is growing</v>
      </c>
    </row>
    <row r="3962" spans="1:3" ht="15" x14ac:dyDescent="0.25">
      <c r="A3962" s="3" t="s">
        <v>3959</v>
      </c>
      <c r="B3962" s="3" t="s">
        <v>4</v>
      </c>
      <c r="C3962" s="2" t="str">
        <f ca="1">IFERROR(__xludf.DUMMYFUNCTION("GOOGLETRANSLATE(A3962,""bn"",""en"")"),"Current education should be easy")</f>
        <v>Current education should be easy</v>
      </c>
    </row>
    <row r="3963" spans="1:3" ht="15" x14ac:dyDescent="0.25">
      <c r="A3963" s="3" t="s">
        <v>3960</v>
      </c>
      <c r="B3963" s="3" t="s">
        <v>4</v>
      </c>
      <c r="C3963" s="2" t="str">
        <f ca="1">IFERROR(__xludf.DUMMYFUNCTION("GOOGLETRANSLATE(A3963,""bn"",""en"")"),"Support the initiative")</f>
        <v>Support the initiative</v>
      </c>
    </row>
    <row r="3964" spans="1:3" ht="15" x14ac:dyDescent="0.25">
      <c r="A3964" s="3" t="s">
        <v>3961</v>
      </c>
      <c r="B3964" s="3" t="s">
        <v>4</v>
      </c>
      <c r="C3964" s="2" t="str">
        <f ca="1">IFERROR(__xludf.DUMMYFUNCTION("GOOGLETRANSLATE(A3964,""bn"",""en"")"),"I want to see again")</f>
        <v>I want to see again</v>
      </c>
    </row>
    <row r="3965" spans="1:3" ht="15" x14ac:dyDescent="0.25">
      <c r="A3965" s="3" t="s">
        <v>3962</v>
      </c>
      <c r="B3965" s="3" t="s">
        <v>4</v>
      </c>
      <c r="C3965" s="2" t="str">
        <f ca="1">IFERROR(__xludf.DUMMYFUNCTION("GOOGLETRANSLATE(A3965,""bn"",""en"")"),"Politics is known to all")</f>
        <v>Politics is known to all</v>
      </c>
    </row>
    <row r="3966" spans="1:3" ht="15" x14ac:dyDescent="0.25">
      <c r="A3966" s="3" t="s">
        <v>3963</v>
      </c>
      <c r="B3966" s="3" t="s">
        <v>4</v>
      </c>
      <c r="C3966" s="2" t="str">
        <f ca="1">IFERROR(__xludf.DUMMYFUNCTION("GOOGLETRANSLATE(A3966,""bn"",""en"")"),"Read books while traveling")</f>
        <v>Read books while traveling</v>
      </c>
    </row>
    <row r="3967" spans="1:3" ht="15" x14ac:dyDescent="0.25">
      <c r="A3967" s="3" t="s">
        <v>3964</v>
      </c>
      <c r="B3967" s="3" t="s">
        <v>4</v>
      </c>
      <c r="C3967" s="2" t="str">
        <f ca="1">IFERROR(__xludf.DUMMYFUNCTION("GOOGLETRANSLATE(A3967,""bn"",""en"")"),"Winning by running in athletics")</f>
        <v>Winning by running in athletics</v>
      </c>
    </row>
    <row r="3968" spans="1:3" ht="15" x14ac:dyDescent="0.25">
      <c r="A3968" s="3" t="s">
        <v>3965</v>
      </c>
      <c r="B3968" s="3" t="s">
        <v>4</v>
      </c>
      <c r="C3968" s="2" t="str">
        <f ca="1">IFERROR(__xludf.DUMMYFUNCTION("GOOGLETRANSLATE(A3968,""bn"",""en"")"),"Walk on the stone path to tourism")</f>
        <v>Walk on the stone path to tourism</v>
      </c>
    </row>
    <row r="3969" spans="1:3" ht="15" x14ac:dyDescent="0.25">
      <c r="A3969" s="3" t="s">
        <v>3966</v>
      </c>
      <c r="B3969" s="3" t="s">
        <v>4</v>
      </c>
      <c r="C3969" s="2" t="str">
        <f ca="1">IFERROR(__xludf.DUMMYFUNCTION("GOOGLETRANSLATE(A3969,""bn"",""en"")"),"On the way to release with colorful tunes")</f>
        <v>On the way to release with colorful tunes</v>
      </c>
    </row>
    <row r="3970" spans="1:3" ht="15" x14ac:dyDescent="0.25">
      <c r="A3970" s="3" t="s">
        <v>3967</v>
      </c>
      <c r="B3970" s="3" t="s">
        <v>4</v>
      </c>
      <c r="C3970" s="2" t="str">
        <f ca="1">IFERROR(__xludf.DUMMYFUNCTION("GOOGLETRANSLATE(A3970,""bn"",""en"")"),"The heart is filled with the sound of gold")</f>
        <v>The heart is filled with the sound of gold</v>
      </c>
    </row>
    <row r="3971" spans="1:3" ht="15" x14ac:dyDescent="0.25">
      <c r="A3971" s="3" t="s">
        <v>3968</v>
      </c>
      <c r="B3971" s="3" t="s">
        <v>4</v>
      </c>
      <c r="C3971" s="2" t="str">
        <f ca="1">IFERROR(__xludf.DUMMYFUNCTION("GOOGLETRANSLATE(A3971,""bn"",""en"")"),"Improve the education system")</f>
        <v>Improve the education system</v>
      </c>
    </row>
    <row r="3972" spans="1:3" ht="15" x14ac:dyDescent="0.25">
      <c r="A3972" s="3" t="s">
        <v>3969</v>
      </c>
      <c r="B3972" s="3" t="s">
        <v>4</v>
      </c>
      <c r="C3972" s="2" t="str">
        <f ca="1">IFERROR(__xludf.DUMMYFUNCTION("GOOGLETRANSLATE(A3972,""bn"",""en"")"),"Politics is going strong in the country")</f>
        <v>Politics is going strong in the country</v>
      </c>
    </row>
    <row r="3973" spans="1:3" ht="15" x14ac:dyDescent="0.25">
      <c r="A3973" s="3" t="s">
        <v>3970</v>
      </c>
      <c r="B3973" s="3" t="s">
        <v>4</v>
      </c>
      <c r="C3973" s="2" t="str">
        <f ca="1">IFERROR(__xludf.DUMMYFUNCTION("GOOGLETRANSLATE(A3973,""bn"",""en"")"),"There is a lot of water in the sea")</f>
        <v>There is a lot of water in the sea</v>
      </c>
    </row>
    <row r="3974" spans="1:3" ht="15" x14ac:dyDescent="0.25">
      <c r="A3974" s="3" t="s">
        <v>3971</v>
      </c>
      <c r="B3974" s="3" t="s">
        <v>4</v>
      </c>
      <c r="C3974" s="2" t="str">
        <f ca="1">IFERROR(__xludf.DUMMYFUNCTION("GOOGLETRANSLATE(A3974,""bn"",""en"")"),"The high mountains of Ebredo are special")</f>
        <v>The high mountains of Ebredo are special</v>
      </c>
    </row>
    <row r="3975" spans="1:3" ht="15" x14ac:dyDescent="0.25">
      <c r="A3975" s="3" t="s">
        <v>3972</v>
      </c>
      <c r="B3975" s="3" t="s">
        <v>4</v>
      </c>
      <c r="C3975" s="2" t="str">
        <f ca="1">IFERROR(__xludf.DUMMYFUNCTION("GOOGLETRANSLATE(A3975,""bn"",""en"")"),"Institutional empathy among students")</f>
        <v>Institutional empathy among students</v>
      </c>
    </row>
    <row r="3976" spans="1:3" ht="15" x14ac:dyDescent="0.25">
      <c r="A3976" s="3" t="s">
        <v>3973</v>
      </c>
      <c r="B3976" s="3" t="s">
        <v>4</v>
      </c>
      <c r="C3976" s="2" t="str">
        <f ca="1">IFERROR(__xludf.DUMMYFUNCTION("GOOGLETRANSLATE(A3976,""bn"",""en"")"),"A cricket match is coming")</f>
        <v>A cricket match is coming</v>
      </c>
    </row>
    <row r="3977" spans="1:3" ht="15" x14ac:dyDescent="0.25">
      <c r="A3977" s="3" t="s">
        <v>3974</v>
      </c>
      <c r="B3977" s="3" t="s">
        <v>4</v>
      </c>
      <c r="C3977" s="2" t="str">
        <f ca="1">IFERROR(__xludf.DUMMYFUNCTION("GOOGLETRANSLATE(A3977,""bn"",""en"")"),"Pay the loan on time")</f>
        <v>Pay the loan on time</v>
      </c>
    </row>
    <row r="3978" spans="1:3" ht="15" x14ac:dyDescent="0.25">
      <c r="A3978" s="3" t="s">
        <v>3975</v>
      </c>
      <c r="B3978" s="3" t="s">
        <v>4</v>
      </c>
      <c r="C3978" s="2" t="str">
        <f ca="1">IFERROR(__xludf.DUMMYFUNCTION("GOOGLETRANSLATE(A3978,""bn"",""en"")"),"The story of bloodshed in Nachiketa's song")</f>
        <v>The story of bloodshed in Nachiketa's song</v>
      </c>
    </row>
    <row r="3979" spans="1:3" ht="15" x14ac:dyDescent="0.25">
      <c r="A3979" s="3" t="s">
        <v>3976</v>
      </c>
      <c r="B3979" s="3" t="s">
        <v>4</v>
      </c>
      <c r="C3979" s="2" t="str">
        <f ca="1">IFERROR(__xludf.DUMMYFUNCTION("GOOGLETRANSLATE(A3979,""bn"",""en"")"),"Take a motorcycle for a trip")</f>
        <v>Take a motorcycle for a trip</v>
      </c>
    </row>
    <row r="3980" spans="1:3" ht="15" x14ac:dyDescent="0.25">
      <c r="A3980" s="3" t="s">
        <v>3977</v>
      </c>
      <c r="B3980" s="3" t="s">
        <v>4</v>
      </c>
      <c r="C3980" s="2" t="str">
        <f ca="1">IFERROR(__xludf.DUMMYFUNCTION("GOOGLETRANSLATE(A3980,""bn"",""en"")"),"I went for a walk in the mountains")</f>
        <v>I went for a walk in the mountains</v>
      </c>
    </row>
    <row r="3981" spans="1:3" ht="15" x14ac:dyDescent="0.25">
      <c r="A3981" s="3" t="s">
        <v>3978</v>
      </c>
      <c r="B3981" s="3" t="s">
        <v>4</v>
      </c>
      <c r="C3981" s="2" t="str">
        <f ca="1">IFERROR(__xludf.DUMMYFUNCTION("GOOGLETRANSLATE(A3981,""bn"",""en"")"),"Computer Server Management Techniques")</f>
        <v>Computer Server Management Techniques</v>
      </c>
    </row>
    <row r="3982" spans="1:3" ht="15" x14ac:dyDescent="0.25">
      <c r="A3982" s="3" t="s">
        <v>3979</v>
      </c>
      <c r="B3982" s="3" t="s">
        <v>4</v>
      </c>
      <c r="C3982" s="2" t="str">
        <f ca="1">IFERROR(__xludf.DUMMYFUNCTION("GOOGLETRANSLATE(A3982,""bn"",""en"")"),"Provide correct bank details")</f>
        <v>Provide correct bank details</v>
      </c>
    </row>
    <row r="3983" spans="1:3" ht="15" x14ac:dyDescent="0.25">
      <c r="A3983" s="3" t="s">
        <v>3980</v>
      </c>
      <c r="B3983" s="3" t="s">
        <v>4</v>
      </c>
      <c r="C3983" s="2" t="str">
        <f ca="1">IFERROR(__xludf.DUMMYFUNCTION("GOOGLETRANSLATE(A3983,""bn"",""en"")"),"Check balance now")</f>
        <v>Check balance now</v>
      </c>
    </row>
    <row r="3984" spans="1:3" ht="15" x14ac:dyDescent="0.25">
      <c r="A3984" s="3" t="s">
        <v>3981</v>
      </c>
      <c r="B3984" s="3" t="s">
        <v>4</v>
      </c>
      <c r="C3984" s="2" t="str">
        <f ca="1">IFERROR(__xludf.DUMMYFUNCTION("GOOGLETRANSLATE(A3984,""bn"",""en"")"),"HR Programming in the Applied World")</f>
        <v>HR Programming in the Applied World</v>
      </c>
    </row>
    <row r="3985" spans="1:3" ht="15" x14ac:dyDescent="0.25">
      <c r="A3985" s="3" t="s">
        <v>3982</v>
      </c>
      <c r="B3985" s="3" t="s">
        <v>4</v>
      </c>
      <c r="C3985" s="2" t="str">
        <f ca="1">IFERROR(__xludf.DUMMYFUNCTION("GOOGLETRANSLATE(A3985,""bn"",""en"")"),"May your investment grow")</f>
        <v>May your investment grow</v>
      </c>
    </row>
    <row r="3986" spans="1:3" ht="15" x14ac:dyDescent="0.25">
      <c r="A3986" s="3" t="s">
        <v>3983</v>
      </c>
      <c r="B3986" s="3" t="s">
        <v>4</v>
      </c>
      <c r="C3986" s="2" t="str">
        <f ca="1">IFERROR(__xludf.DUMMYFUNCTION("GOOGLETRANSLATE(A3986,""bn"",""en"")"),"Credit card limit required")</f>
        <v>Credit card limit required</v>
      </c>
    </row>
    <row r="3987" spans="1:3" ht="15" x14ac:dyDescent="0.25">
      <c r="A3987" s="3" t="s">
        <v>3984</v>
      </c>
      <c r="B3987" s="3" t="s">
        <v>4</v>
      </c>
      <c r="C3987" s="2" t="str">
        <f ca="1">IFERROR(__xludf.DUMMYFUNCTION("GOOGLETRANSLATE(A3987,""bn"",""en"")"),"Machine learning models improve")</f>
        <v>Machine learning models improve</v>
      </c>
    </row>
    <row r="3988" spans="1:3" ht="15" x14ac:dyDescent="0.25">
      <c r="A3988" s="3" t="s">
        <v>3985</v>
      </c>
      <c r="B3988" s="3" t="s">
        <v>4</v>
      </c>
      <c r="C3988" s="2" t="str">
        <f ca="1">IFERROR(__xludf.DUMMYFUNCTION("GOOGLETRANSLATE(A3988,""bn"",""en"")"),"Finding peace in Rabindra Sangeet")</f>
        <v>Finding peace in Rabindra Sangeet</v>
      </c>
    </row>
    <row r="3989" spans="1:3" ht="15" x14ac:dyDescent="0.25">
      <c r="A3989" s="3" t="s">
        <v>3986</v>
      </c>
      <c r="B3989" s="3" t="s">
        <v>4</v>
      </c>
      <c r="C3989" s="2" t="str">
        <f ca="1">IFERROR(__xludf.DUMMYFUNCTION("GOOGLETRANSLATE(A3989,""bn"",""en"")"),"The Nile is a vast ocean")</f>
        <v>The Nile is a vast ocean</v>
      </c>
    </row>
    <row r="3990" spans="1:3" ht="15" x14ac:dyDescent="0.25">
      <c r="A3990" s="3" t="s">
        <v>3987</v>
      </c>
      <c r="B3990" s="3" t="s">
        <v>4</v>
      </c>
      <c r="C3990" s="2" t="str">
        <f ca="1">IFERROR(__xludf.DUMMYFUNCTION("GOOGLETRANSLATE(A3990,""bn"",""en"")"),"House loan sentiment is on the rise")</f>
        <v>House loan sentiment is on the rise</v>
      </c>
    </row>
    <row r="3991" spans="1:3" ht="15" x14ac:dyDescent="0.25">
      <c r="A3991" s="3" t="s">
        <v>3988</v>
      </c>
      <c r="B3991" s="3" t="s">
        <v>4</v>
      </c>
      <c r="C3991" s="2" t="str">
        <f ca="1">IFERROR(__xludf.DUMMYFUNCTION("GOOGLETRANSLATE(A3991,""bn"",""en"")"),"Use multiple hubs")</f>
        <v>Use multiple hubs</v>
      </c>
    </row>
    <row r="3992" spans="1:3" ht="15" x14ac:dyDescent="0.25">
      <c r="A3992" s="3" t="s">
        <v>3989</v>
      </c>
      <c r="B3992" s="3" t="s">
        <v>4</v>
      </c>
      <c r="C3992" s="2" t="str">
        <f ca="1">IFERROR(__xludf.DUMMYFUNCTION("GOOGLETRANSLATE(A3992,""bn"",""en"")"),"Everyone's favorite para thriller")</f>
        <v>Everyone's favorite para thriller</v>
      </c>
    </row>
    <row r="3993" spans="1:3" ht="15" x14ac:dyDescent="0.25">
      <c r="A3993" s="3" t="s">
        <v>3990</v>
      </c>
      <c r="B3993" s="3" t="s">
        <v>4</v>
      </c>
      <c r="C3993" s="2" t="str">
        <f ca="1">IFERROR(__xludf.DUMMYFUNCTION("GOOGLETRANSLATE(A3993,""bn"",""en"")"),"Sell ​​unused assets")</f>
        <v>Sell ​​unused assets</v>
      </c>
    </row>
    <row r="3994" spans="1:3" ht="15" x14ac:dyDescent="0.25">
      <c r="A3994" s="3" t="s">
        <v>3991</v>
      </c>
      <c r="B3994" s="3" t="s">
        <v>4</v>
      </c>
      <c r="C3994" s="2" t="str">
        <f ca="1">IFERROR(__xludf.DUMMYFUNCTION("GOOGLETRANSLATE(A3994,""bn"",""en"")"),"His comedy skills in films")</f>
        <v>His comedy skills in films</v>
      </c>
    </row>
    <row r="3995" spans="1:3" ht="15" x14ac:dyDescent="0.25">
      <c r="A3995" s="3" t="s">
        <v>3992</v>
      </c>
      <c r="B3995" s="3" t="s">
        <v>4</v>
      </c>
      <c r="C3995" s="2" t="str">
        <f ca="1">IFERROR(__xludf.DUMMYFUNCTION("GOOGLETRANSLATE(A3995,""bn"",""en"")"),"Well-known leaders are elected")</f>
        <v>Well-known leaders are elected</v>
      </c>
    </row>
    <row r="3996" spans="1:3" ht="15" x14ac:dyDescent="0.25">
      <c r="A3996" s="3" t="s">
        <v>3993</v>
      </c>
      <c r="B3996" s="3" t="s">
        <v>4</v>
      </c>
      <c r="C3996" s="2" t="str">
        <f ca="1">IFERROR(__xludf.DUMMYFUNCTION("GOOGLETRANSLATE(A3996,""bn"",""en"")"),"Mobile banking is evolving")</f>
        <v>Mobile banking is evolving</v>
      </c>
    </row>
    <row r="3997" spans="1:3" ht="15" x14ac:dyDescent="0.25">
      <c r="A3997" s="3" t="s">
        <v>3994</v>
      </c>
      <c r="B3997" s="3" t="s">
        <v>4</v>
      </c>
      <c r="C3997" s="2" t="str">
        <f ca="1">IFERROR(__xludf.DUMMYFUNCTION("GOOGLETRANSLATE(A3997,""bn"",""en"")"),"Enjoy growth opportunities")</f>
        <v>Enjoy growth opportunities</v>
      </c>
    </row>
    <row r="3998" spans="1:3" ht="15" x14ac:dyDescent="0.25">
      <c r="A3998" s="3" t="s">
        <v>3995</v>
      </c>
      <c r="B3998" s="3" t="s">
        <v>4</v>
      </c>
      <c r="C3998" s="2" t="str">
        <f ca="1">IFERROR(__xludf.DUMMYFUNCTION("GOOGLETRANSLATE(A3998,""bn"",""en"")"),"Let's move on to controversial growth")</f>
        <v>Let's move on to controversial growth</v>
      </c>
    </row>
    <row r="3999" spans="1:3" ht="15" x14ac:dyDescent="0.25">
      <c r="A3999" s="3" t="s">
        <v>3996</v>
      </c>
      <c r="B3999" s="3" t="s">
        <v>4</v>
      </c>
      <c r="C3999" s="2" t="str">
        <f ca="1">IFERROR(__xludf.DUMMYFUNCTION("GOOGLETRANSLATE(A3999,""bn"",""en"")"),"Debit card is lost")</f>
        <v>Debit card is lost</v>
      </c>
    </row>
    <row r="4000" spans="1:3" ht="15" x14ac:dyDescent="0.25">
      <c r="A4000" s="3" t="s">
        <v>3997</v>
      </c>
      <c r="B4000" s="3" t="s">
        <v>4</v>
      </c>
      <c r="C4000" s="2" t="str">
        <f ca="1">IFERROR(__xludf.DUMMYFUNCTION("GOOGLETRANSLATE(A4000,""bn"",""en"")"),"Buffaloes are seen in Feni")</f>
        <v>Buffaloes are seen in Feni</v>
      </c>
    </row>
    <row r="4001" spans="1:3" ht="15" x14ac:dyDescent="0.25">
      <c r="A4001" s="3" t="s">
        <v>3998</v>
      </c>
      <c r="B4001" s="3" t="s">
        <v>4</v>
      </c>
      <c r="C4001" s="2" t="str">
        <f ca="1">IFERROR(__xludf.DUMMYFUNCTION("GOOGLETRANSLATE(A4001,""bn"",""en"")"),"Pictures are a thrilling experience")</f>
        <v>Pictures are a thrilling experience</v>
      </c>
    </row>
    <row r="4002" spans="1:3" ht="15" x14ac:dyDescent="0.25">
      <c r="A4002" s="3" t="s">
        <v>3999</v>
      </c>
      <c r="B4002" s="3" t="s">
        <v>4</v>
      </c>
      <c r="C4002" s="2" t="str">
        <f ca="1">IFERROR(__xludf.DUMMYFUNCTION("GOOGLETRANSLATE(A4002,""bn"",""en"")"),"Visit ancient sites")</f>
        <v>Visit ancient sites</v>
      </c>
    </row>
    <row r="4003" spans="1:3" ht="15" x14ac:dyDescent="0.25">
      <c r="A4003" s="3" t="s">
        <v>4000</v>
      </c>
      <c r="B4003" s="3" t="s">
        <v>4</v>
      </c>
      <c r="C4003" s="2" t="str">
        <f ca="1">IFERROR(__xludf.DUMMYFUNCTION("GOOGLETRANSLATE(A4003,""bn"",""en"")"),"Business Application Development Guide")</f>
        <v>Business Application Development Guide</v>
      </c>
    </row>
    <row r="4004" spans="1:3" ht="15" x14ac:dyDescent="0.25">
      <c r="A4004" s="3" t="s">
        <v>4001</v>
      </c>
      <c r="B4004" s="3" t="s">
        <v>4</v>
      </c>
      <c r="C4004" s="2" t="str">
        <f ca="1">IFERROR(__xludf.DUMMYFUNCTION("GOOGLETRANSLATE(A4004,""bn"",""en"")"),"The camera also worked well")</f>
        <v>The camera also worked well</v>
      </c>
    </row>
    <row r="4005" spans="1:3" ht="15" x14ac:dyDescent="0.25">
      <c r="A4005" s="3" t="s">
        <v>4002</v>
      </c>
      <c r="B4005" s="3" t="s">
        <v>4</v>
      </c>
      <c r="C4005" s="2" t="str">
        <f ca="1">IFERROR(__xludf.DUMMYFUNCTION("GOOGLETRANSLATE(A4005,""bn"",""en"")"),"His mind is far away in music")</f>
        <v>His mind is far away in music</v>
      </c>
    </row>
    <row r="4006" spans="1:3" ht="15" x14ac:dyDescent="0.25">
      <c r="A4006" s="3" t="s">
        <v>4003</v>
      </c>
      <c r="B4006" s="3" t="s">
        <v>4</v>
      </c>
      <c r="C4006" s="2" t="str">
        <f ca="1">IFERROR(__xludf.DUMMYFUNCTION("GOOGLETRANSLATE(A4006,""bn"",""en"")"),"Use a credit card")</f>
        <v>Use a credit card</v>
      </c>
    </row>
    <row r="4007" spans="1:3" ht="15" x14ac:dyDescent="0.25">
      <c r="A4007" s="3" t="s">
        <v>4004</v>
      </c>
      <c r="B4007" s="3" t="s">
        <v>4</v>
      </c>
      <c r="C4007" s="2" t="str">
        <f ca="1">IFERROR(__xludf.DUMMYFUNCTION("GOOGLETRANSLATE(A4007,""bn"",""en"")"),"Promote efficient marketing")</f>
        <v>Promote efficient marketing</v>
      </c>
    </row>
    <row r="4008" spans="1:3" ht="15" x14ac:dyDescent="0.25">
      <c r="A4008" s="3" t="s">
        <v>4005</v>
      </c>
      <c r="B4008" s="3" t="s">
        <v>4</v>
      </c>
      <c r="C4008" s="2" t="str">
        <f ca="1">IFERROR(__xludf.DUMMYFUNCTION("GOOGLETRANSLATE(A4008,""bn"",""en"")"),"The movie plot looks interesting")</f>
        <v>The movie plot looks interesting</v>
      </c>
    </row>
    <row r="4009" spans="1:3" ht="15" x14ac:dyDescent="0.25">
      <c r="A4009" s="3" t="s">
        <v>4006</v>
      </c>
      <c r="B4009" s="3" t="s">
        <v>4</v>
      </c>
      <c r="C4009" s="2" t="str">
        <f ca="1">IFERROR(__xludf.DUMMYFUNCTION("GOOGLETRANSLATE(A4009,""bn"",""en"")"),"Sunday ball is fun to play")</f>
        <v>Sunday ball is fun to play</v>
      </c>
    </row>
    <row r="4010" spans="1:3" ht="15" x14ac:dyDescent="0.25">
      <c r="A4010" s="3" t="s">
        <v>4007</v>
      </c>
      <c r="B4010" s="3" t="s">
        <v>4</v>
      </c>
      <c r="C4010" s="2" t="str">
        <f ca="1">IFERROR(__xludf.DUMMYFUNCTION("GOOGLETRANSLATE(A4010,""bn"",""en"")"),"Study of computer networking technology")</f>
        <v>Study of computer networking technology</v>
      </c>
    </row>
    <row r="4011" spans="1:3" ht="15" x14ac:dyDescent="0.25">
      <c r="A4011" s="3" t="s">
        <v>4008</v>
      </c>
      <c r="B4011" s="3" t="s">
        <v>4</v>
      </c>
      <c r="C4011" s="2" t="str">
        <f ca="1">IFERROR(__xludf.DUMMYFUNCTION("GOOGLETRANSLATE(A4011,""bn"",""en"")"),"Bhotshagar is a mountain in northern Africa")</f>
        <v>Bhotshagar is a mountain in northern Africa</v>
      </c>
    </row>
    <row r="4012" spans="1:3" ht="15" x14ac:dyDescent="0.25">
      <c r="A4012" s="3" t="s">
        <v>4009</v>
      </c>
      <c r="B4012" s="3" t="s">
        <v>4</v>
      </c>
      <c r="C4012" s="2" t="str">
        <f ca="1">IFERROR(__xludf.DUMMYFUNCTION("GOOGLETRANSLATE(A4012,""bn"",""en"")"),"Design and Critical Applications")</f>
        <v>Design and Critical Applications</v>
      </c>
    </row>
    <row r="4013" spans="1:3" ht="15" x14ac:dyDescent="0.25">
      <c r="A4013" s="3" t="s">
        <v>4010</v>
      </c>
      <c r="B4013" s="3" t="s">
        <v>4</v>
      </c>
      <c r="C4013" s="2" t="str">
        <f ca="1">IFERROR(__xludf.DUMMYFUNCTION("GOOGLETRANSLATE(A4013,""bn"",""en"")"),"Loan sentiment is growing faster")</f>
        <v>Loan sentiment is growing faster</v>
      </c>
    </row>
    <row r="4014" spans="1:3" ht="15" x14ac:dyDescent="0.25">
      <c r="A4014" s="3" t="s">
        <v>4011</v>
      </c>
      <c r="B4014" s="3" t="s">
        <v>4</v>
      </c>
      <c r="C4014" s="2" t="str">
        <f ca="1">IFERROR(__xludf.DUMMYFUNCTION("GOOGLETRANSLATE(A4014,""bn"",""en"")"),"Greek Islands in the Mediterranean Sea")</f>
        <v>Greek Islands in the Mediterranean Sea</v>
      </c>
    </row>
    <row r="4015" spans="1:3" ht="15" x14ac:dyDescent="0.25">
      <c r="A4015" s="3" t="s">
        <v>4012</v>
      </c>
      <c r="B4015" s="3" t="s">
        <v>4</v>
      </c>
      <c r="C4015" s="2" t="str">
        <f ca="1">IFERROR(__xludf.DUMMYFUNCTION("GOOGLETRANSLATE(A4015,""bn"",""en"")"),"Indian team in ballball tactics")</f>
        <v>Indian team in ballball tactics</v>
      </c>
    </row>
    <row r="4016" spans="1:3" ht="15" x14ac:dyDescent="0.25">
      <c r="A4016" s="3" t="s">
        <v>4013</v>
      </c>
      <c r="B4016" s="3" t="s">
        <v>4</v>
      </c>
      <c r="C4016" s="2" t="str">
        <f ca="1">IFERROR(__xludf.DUMMYFUNCTION("GOOGLETRANSLATE(A4016,""bn"",""en"")"),"Business is growing almost tenfold")</f>
        <v>Business is growing almost tenfold</v>
      </c>
    </row>
    <row r="4017" spans="1:3" ht="15" x14ac:dyDescent="0.25">
      <c r="A4017" s="3" t="s">
        <v>4014</v>
      </c>
      <c r="B4017" s="3" t="s">
        <v>4</v>
      </c>
      <c r="C4017" s="2" t="str">
        <f ca="1">IFERROR(__xludf.DUMMYFUNCTION("GOOGLETRANSLATE(A4017,""bn"",""en"")"),"Travel in ancient traditions")</f>
        <v>Travel in ancient traditions</v>
      </c>
    </row>
    <row r="4018" spans="1:3" ht="15" x14ac:dyDescent="0.25">
      <c r="A4018" s="3" t="s">
        <v>4015</v>
      </c>
      <c r="B4018" s="3" t="s">
        <v>4</v>
      </c>
      <c r="C4018" s="2" t="str">
        <f ca="1">IFERROR(__xludf.DUMMYFUNCTION("GOOGLETRANSLATE(A4018,""bn"",""en"")"),"Have multiple credit cards")</f>
        <v>Have multiple credit cards</v>
      </c>
    </row>
    <row r="4019" spans="1:3" ht="15" x14ac:dyDescent="0.25">
      <c r="A4019" s="3" t="s">
        <v>4016</v>
      </c>
      <c r="B4019" s="3" t="s">
        <v>4</v>
      </c>
      <c r="C4019" s="2" t="str">
        <f ca="1">IFERROR(__xludf.DUMMYFUNCTION("GOOGLETRANSLATE(A4019,""bn"",""en"")"),"Cloud Computing and Serverless")</f>
        <v>Cloud Computing and Serverless</v>
      </c>
    </row>
    <row r="4020" spans="1:3" ht="15" x14ac:dyDescent="0.25">
      <c r="A4020" s="3" t="s">
        <v>4017</v>
      </c>
      <c r="B4020" s="3" t="s">
        <v>4</v>
      </c>
      <c r="C4020" s="2" t="str">
        <f ca="1">IFERROR(__xludf.DUMMYFUNCTION("GOOGLETRANSLATE(A4020,""bn"",""en"")"),"They caught the train in the city")</f>
        <v>They caught the train in the city</v>
      </c>
    </row>
    <row r="4021" spans="1:3" ht="15" x14ac:dyDescent="0.25">
      <c r="A4021" s="3" t="s">
        <v>4018</v>
      </c>
      <c r="B4021" s="3" t="s">
        <v>4</v>
      </c>
      <c r="C4021" s="2" t="str">
        <f ca="1">IFERROR(__xludf.DUMMYFUNCTION("GOOGLETRANSLATE(A4021,""bn"",""en"")"),"The sailor is leaving the boat in the sea")</f>
        <v>The sailor is leaving the boat in the sea</v>
      </c>
    </row>
    <row r="4022" spans="1:3" ht="15" x14ac:dyDescent="0.25">
      <c r="A4022" s="3" t="s">
        <v>4019</v>
      </c>
      <c r="B4022" s="3" t="s">
        <v>4</v>
      </c>
      <c r="C4022" s="2" t="str">
        <f ca="1">IFERROR(__xludf.DUMMYFUNCTION("GOOGLETRANSLATE(A4022,""bn"",""en"")"),"Increases in romantic dramas")</f>
        <v>Increases in romantic dramas</v>
      </c>
    </row>
    <row r="4023" spans="1:3" ht="15" x14ac:dyDescent="0.25">
      <c r="A4023" s="3" t="s">
        <v>4020</v>
      </c>
      <c r="B4023" s="3" t="s">
        <v>4</v>
      </c>
      <c r="C4023" s="2" t="str">
        <f ca="1">IFERROR(__xludf.DUMMYFUNCTION("GOOGLETRANSLATE(A4023,""bn"",""en"")"),"The sound is absolutely amazing")</f>
        <v>The sound is absolutely amazing</v>
      </c>
    </row>
    <row r="4024" spans="1:3" ht="15" x14ac:dyDescent="0.25">
      <c r="A4024" s="3" t="s">
        <v>4021</v>
      </c>
      <c r="B4024" s="3" t="s">
        <v>4</v>
      </c>
      <c r="C4024" s="2" t="str">
        <f ca="1">IFERROR(__xludf.DUMMYFUNCTION("GOOGLETRANSLATE(A4024,""bn"",""en"")"),"Hockey is a fast paced game")</f>
        <v>Hockey is a fast paced game</v>
      </c>
    </row>
    <row r="4025" spans="1:3" ht="15" x14ac:dyDescent="0.25">
      <c r="A4025" s="3" t="s">
        <v>4022</v>
      </c>
      <c r="B4025" s="3" t="s">
        <v>4</v>
      </c>
      <c r="C4025" s="2" t="str">
        <f ca="1">IFERROR(__xludf.DUMMYFUNCTION("GOOGLETRANSLATE(A4025,""bn"",""en"")"),"Quantum Computing and Catalysts")</f>
        <v>Quantum Computing and Catalysts</v>
      </c>
    </row>
    <row r="4026" spans="1:3" ht="15" x14ac:dyDescent="0.25">
      <c r="A4026" s="3" t="s">
        <v>4023</v>
      </c>
      <c r="B4026" s="3" t="s">
        <v>4</v>
      </c>
      <c r="C4026" s="2" t="str">
        <f ca="1">IFERROR(__xludf.DUMMYFUNCTION("GOOGLETRANSLATE(A4026,""bn"",""en"")"),"Information about cloud computing")</f>
        <v>Information about cloud computing</v>
      </c>
    </row>
    <row r="4027" spans="1:3" ht="15" x14ac:dyDescent="0.25">
      <c r="A4027" s="3" t="s">
        <v>4024</v>
      </c>
      <c r="B4027" s="3" t="s">
        <v>4</v>
      </c>
      <c r="C4027" s="2" t="str">
        <f ca="1">IFERROR(__xludf.DUMMYFUNCTION("GOOGLETRANSLATE(A4027,""bn"",""en"")"),"Ensuring justice in institutions")</f>
        <v>Ensuring justice in institutions</v>
      </c>
    </row>
    <row r="4028" spans="1:3" ht="15" x14ac:dyDescent="0.25">
      <c r="A4028" s="3" t="s">
        <v>4025</v>
      </c>
      <c r="B4028" s="3" t="s">
        <v>4</v>
      </c>
      <c r="C4028" s="2" t="str">
        <f ca="1">IFERROR(__xludf.DUMMYFUNCTION("GOOGLETRANSLATE(A4028,""bn"",""en"")"),"Install the banking app")</f>
        <v>Install the banking app</v>
      </c>
    </row>
    <row r="4029" spans="1:3" ht="15" x14ac:dyDescent="0.25">
      <c r="A4029" s="3" t="s">
        <v>4026</v>
      </c>
      <c r="B4029" s="3" t="s">
        <v>4</v>
      </c>
      <c r="C4029" s="2" t="str">
        <f ca="1">IFERROR(__xludf.DUMMYFUNCTION("GOOGLETRANSLATE(A4029,""bn"",""en"")"),"Horse racing is just a puzzle")</f>
        <v>Horse racing is just a puzzle</v>
      </c>
    </row>
    <row r="4030" spans="1:3" ht="15" x14ac:dyDescent="0.25">
      <c r="A4030" s="3" t="s">
        <v>4027</v>
      </c>
      <c r="B4030" s="3" t="s">
        <v>4</v>
      </c>
      <c r="C4030" s="2" t="str">
        <f ca="1">IFERROR(__xludf.DUMMYFUNCTION("GOOGLETRANSLATE(A4030,""bn"",""en"")"),"Charvita deadly flood in Barisal")</f>
        <v>Charvita deadly flood in Barisal</v>
      </c>
    </row>
    <row r="4031" spans="1:3" ht="15" x14ac:dyDescent="0.25">
      <c r="A4031" s="3" t="s">
        <v>4028</v>
      </c>
      <c r="B4031" s="3" t="s">
        <v>4</v>
      </c>
      <c r="C4031" s="2" t="str">
        <f ca="1">IFERROR(__xludf.DUMMYFUNCTION("GOOGLETRANSLATE(A4031,""bn"",""en"")"),"Do cycling for a long time")</f>
        <v>Do cycling for a long time</v>
      </c>
    </row>
    <row r="4032" spans="1:3" ht="15" x14ac:dyDescent="0.25">
      <c r="A4032" s="3" t="s">
        <v>4029</v>
      </c>
      <c r="B4032" s="3" t="s">
        <v>4</v>
      </c>
      <c r="C4032" s="2" t="str">
        <f ca="1">IFERROR(__xludf.DUMMYFUNCTION("GOOGLETRANSLATE(A4032,""bn"",""en"")"),"Digital Marketing Strategy Review")</f>
        <v>Digital Marketing Strategy Review</v>
      </c>
    </row>
    <row r="4033" spans="1:3" ht="15" x14ac:dyDescent="0.25">
      <c r="A4033" s="3" t="s">
        <v>4030</v>
      </c>
      <c r="B4033" s="3" t="s">
        <v>4</v>
      </c>
      <c r="C4033" s="2" t="str">
        <f ca="1">IFERROR(__xludf.DUMMYFUNCTION("GOOGLETRANSLATE(A4033,""bn"",""en"")"),"Vote for Comedy Warrior")</f>
        <v>Vote for Comedy Warrior</v>
      </c>
    </row>
    <row r="4034" spans="1:3" ht="15" x14ac:dyDescent="0.25">
      <c r="A4034" s="3" t="s">
        <v>4031</v>
      </c>
      <c r="B4034" s="3" t="s">
        <v>4</v>
      </c>
      <c r="C4034" s="2" t="str">
        <f ca="1">IFERROR(__xludf.DUMMYFUNCTION("GOOGLETRANSLATE(A4034,""bn"",""en"")"),"Falling in love can be strange")</f>
        <v>Falling in love can be strange</v>
      </c>
    </row>
    <row r="4035" spans="1:3" ht="15" x14ac:dyDescent="0.25">
      <c r="A4035" s="3" t="s">
        <v>4032</v>
      </c>
      <c r="B4035" s="3" t="s">
        <v>4</v>
      </c>
      <c r="C4035" s="2" t="str">
        <f ca="1">IFERROR(__xludf.DUMMYFUNCTION("GOOGLETRANSLATE(A4035,""bn"",""en"")"),"Practicing government policy")</f>
        <v>Practicing government policy</v>
      </c>
    </row>
    <row r="4036" spans="1:3" ht="15" x14ac:dyDescent="0.25">
      <c r="A4036" s="3" t="s">
        <v>4033</v>
      </c>
      <c r="B4036" s="3" t="s">
        <v>4</v>
      </c>
      <c r="C4036" s="2" t="str">
        <f ca="1">IFERROR(__xludf.DUMMYFUNCTION("GOOGLETRANSLATE(A4036,""bn"",""en"")"),"Do social responsibility")</f>
        <v>Do social responsibility</v>
      </c>
    </row>
    <row r="4037" spans="1:3" ht="15" x14ac:dyDescent="0.25">
      <c r="A4037" s="3" t="s">
        <v>4034</v>
      </c>
      <c r="B4037" s="3" t="s">
        <v>4</v>
      </c>
      <c r="C4037" s="2" t="str">
        <f ca="1">IFERROR(__xludf.DUMMYFUNCTION("GOOGLETRANSLATE(A4037,""bn"",""en"")"),"I am learning to play golf")</f>
        <v>I am learning to play golf</v>
      </c>
    </row>
    <row r="4038" spans="1:3" ht="15" x14ac:dyDescent="0.25">
      <c r="A4038" s="3" t="s">
        <v>4035</v>
      </c>
      <c r="B4038" s="3" t="s">
        <v>4</v>
      </c>
      <c r="C4038" s="2" t="str">
        <f ca="1">IFERROR(__xludf.DUMMYFUNCTION("GOOGLETRANSLATE(A4038,""bn"",""en"")"),"Participate in the world of music")</f>
        <v>Participate in the world of music</v>
      </c>
    </row>
    <row r="4039" spans="1:3" ht="15" x14ac:dyDescent="0.25">
      <c r="A4039" s="3" t="s">
        <v>4036</v>
      </c>
      <c r="B4039" s="3" t="s">
        <v>4</v>
      </c>
      <c r="C4039" s="2" t="str">
        <f ca="1">IFERROR(__xludf.DUMMYFUNCTION("GOOGLETRANSLATE(A4039,""bn"",""en"")"),"Our service is improving")</f>
        <v>Our service is improving</v>
      </c>
    </row>
    <row r="4040" spans="1:3" ht="15" x14ac:dyDescent="0.25">
      <c r="A4040" s="3" t="s">
        <v>4037</v>
      </c>
      <c r="B4040" s="3" t="s">
        <v>4</v>
      </c>
      <c r="C4040" s="2" t="str">
        <f ca="1">IFERROR(__xludf.DUMMYFUNCTION("GOOGLETRANSLATE(A4040,""bn"",""en"")"),"Review personal budget")</f>
        <v>Review personal budget</v>
      </c>
    </row>
    <row r="4041" spans="1:3" ht="15" x14ac:dyDescent="0.25">
      <c r="A4041" s="3" t="s">
        <v>4038</v>
      </c>
      <c r="B4041" s="3" t="s">
        <v>4</v>
      </c>
      <c r="C4041" s="2" t="str">
        <f ca="1">IFERROR(__xludf.DUMMYFUNCTION("GOOGLETRANSLATE(A4041,""bn"",""en"")"),"The heroine has done a wonderful performance")</f>
        <v>The heroine has done a wonderful performance</v>
      </c>
    </row>
    <row r="4042" spans="1:3" ht="15" x14ac:dyDescent="0.25">
      <c r="A4042" s="3" t="s">
        <v>4039</v>
      </c>
      <c r="B4042" s="3" t="s">
        <v>4</v>
      </c>
      <c r="C4042" s="2" t="str">
        <f ca="1">IFERROR(__xludf.DUMMYFUNCTION("GOOGLETRANSLATE(A4042,""bn"",""en"")"),"Use management software")</f>
        <v>Use management software</v>
      </c>
    </row>
    <row r="4043" spans="1:3" ht="15" x14ac:dyDescent="0.25">
      <c r="A4043" s="3" t="s">
        <v>4040</v>
      </c>
      <c r="B4043" s="3" t="s">
        <v>4</v>
      </c>
      <c r="C4043" s="2" t="str">
        <f ca="1">IFERROR(__xludf.DUMMYFUNCTION("GOOGLETRANSLATE(A4043,""bn"",""en"")"),"The Columbia River meets the Amazon")</f>
        <v>The Columbia River meets the Amazon</v>
      </c>
    </row>
    <row r="4044" spans="1:3" ht="15" x14ac:dyDescent="0.25">
      <c r="A4044" s="3" t="s">
        <v>4041</v>
      </c>
      <c r="B4044" s="3" t="s">
        <v>4</v>
      </c>
      <c r="C4044" s="2" t="str">
        <f ca="1">IFERROR(__xludf.DUMMYFUNCTION("GOOGLETRANSLATE(A4044,""bn"",""en"")"),"Easter Island is in the Pacific Ocean")</f>
        <v>Easter Island is in the Pacific Ocean</v>
      </c>
    </row>
    <row r="4045" spans="1:3" ht="15" x14ac:dyDescent="0.25">
      <c r="A4045" s="3" t="s">
        <v>4042</v>
      </c>
      <c r="B4045" s="3" t="s">
        <v>4</v>
      </c>
      <c r="C4045" s="2" t="str">
        <f ca="1">IFERROR(__xludf.DUMMYFUNCTION("GOOGLETRANSLATE(A4045,""bn"",""en"")"),"Apply for a loan")</f>
        <v>Apply for a loan</v>
      </c>
    </row>
    <row r="4046" spans="1:3" ht="15" x14ac:dyDescent="0.25">
      <c r="A4046" s="3" t="s">
        <v>4043</v>
      </c>
      <c r="B4046" s="3" t="s">
        <v>4</v>
      </c>
      <c r="C4046" s="2" t="str">
        <f ca="1">IFERROR(__xludf.DUMMYFUNCTION("GOOGLETRANSLATE(A4046,""bn"",""en"")"),"The movie is playing with favorite songs")</f>
        <v>The movie is playing with favorite songs</v>
      </c>
    </row>
    <row r="4047" spans="1:3" ht="15" x14ac:dyDescent="0.25">
      <c r="A4047" s="3" t="s">
        <v>4044</v>
      </c>
      <c r="B4047" s="3" t="s">
        <v>4</v>
      </c>
      <c r="C4047" s="2" t="str">
        <f ca="1">IFERROR(__xludf.DUMMYFUNCTION("GOOGLETRANSLATE(A4047,""bn"",""en"")"),"The Bengali heart trembles to the beat")</f>
        <v>The Bengali heart trembles to the beat</v>
      </c>
    </row>
    <row r="4048" spans="1:3" ht="15" x14ac:dyDescent="0.25">
      <c r="A4048" s="3" t="s">
        <v>4045</v>
      </c>
      <c r="B4048" s="3" t="s">
        <v>4</v>
      </c>
      <c r="C4048" s="2" t="str">
        <f ca="1">IFERROR(__xludf.DUMMYFUNCTION("GOOGLETRANSLATE(A4048,""bn"",""en"")"),"Take a gallery tour")</f>
        <v>Take a gallery tour</v>
      </c>
    </row>
    <row r="4049" spans="1:3" ht="15" x14ac:dyDescent="0.25">
      <c r="A4049" s="3" t="s">
        <v>4046</v>
      </c>
      <c r="B4049" s="3" t="s">
        <v>4</v>
      </c>
      <c r="C4049" s="2" t="str">
        <f ca="1">IFERROR(__xludf.DUMMYFUNCTION("GOOGLETRANSLATE(A4049,""bn"",""en"")"),"IoT and additive management")</f>
        <v>IoT and additive management</v>
      </c>
    </row>
    <row r="4050" spans="1:3" ht="15" x14ac:dyDescent="0.25">
      <c r="A4050" s="3" t="s">
        <v>4047</v>
      </c>
      <c r="B4050" s="3" t="s">
        <v>4</v>
      </c>
      <c r="C4050" s="2" t="str">
        <f ca="1">IFERROR(__xludf.DUMMYFUNCTION("GOOGLETRANSLATE(A4050,""bn"",""en"")"),"Education dispels darkness")</f>
        <v>Education dispels darkness</v>
      </c>
    </row>
    <row r="4051" spans="1:3" ht="15" x14ac:dyDescent="0.25">
      <c r="A4051" s="3" t="s">
        <v>4048</v>
      </c>
      <c r="B4051" s="3" t="s">
        <v>4</v>
      </c>
      <c r="C4051" s="2" t="str">
        <f ca="1">IFERROR(__xludf.DUMMYFUNCTION("GOOGLETRANSLATE(A4051,""bn"",""en"")"),"I love learning to skate")</f>
        <v>I love learning to skate</v>
      </c>
    </row>
    <row r="4052" spans="1:3" ht="15" x14ac:dyDescent="0.25">
      <c r="A4052" s="3" t="s">
        <v>4049</v>
      </c>
      <c r="B4052" s="3" t="s">
        <v>4</v>
      </c>
      <c r="C4052" s="2" t="str">
        <f ca="1">IFERROR(__xludf.DUMMYFUNCTION("GOOGLETRANSLATE(A4052,""bn"",""en"")"),"Hang out in the garden at night")</f>
        <v>Hang out in the garden at night</v>
      </c>
    </row>
    <row r="4053" spans="1:3" ht="15" x14ac:dyDescent="0.25">
      <c r="A4053" s="3" t="s">
        <v>4050</v>
      </c>
      <c r="B4053" s="3" t="s">
        <v>4</v>
      </c>
      <c r="C4053" s="2" t="str">
        <f ca="1">IFERROR(__xludf.DUMMYFUNCTION("GOOGLETRANSLATE(A4053,""bn"",""en"")"),"Set the tone with confidence")</f>
        <v>Set the tone with confidence</v>
      </c>
    </row>
    <row r="4054" spans="1:3" ht="15" x14ac:dyDescent="0.25">
      <c r="A4054" s="3" t="s">
        <v>4051</v>
      </c>
      <c r="B4054" s="3" t="s">
        <v>4</v>
      </c>
      <c r="C4054" s="2" t="str">
        <f ca="1">IFERROR(__xludf.DUMMYFUNCTION("GOOGLETRANSLATE(A4054,""bn"",""en"")"),"Use of Internet of Things")</f>
        <v>Use of Internet of Things</v>
      </c>
    </row>
    <row r="4055" spans="1:3" ht="15" x14ac:dyDescent="0.25">
      <c r="A4055" s="3" t="s">
        <v>4052</v>
      </c>
      <c r="B4055" s="3" t="s">
        <v>4</v>
      </c>
      <c r="C4055" s="2" t="str">
        <f ca="1">IFERROR(__xludf.DUMMYFUNCTION("GOOGLETRANSLATE(A4055,""bn"",""en"")"),"Counter Cyber ​​Attack Prevention")</f>
        <v>Counter Cyber ​​Attack Prevention</v>
      </c>
    </row>
    <row r="4056" spans="1:3" ht="15" x14ac:dyDescent="0.25">
      <c r="A4056" s="3" t="s">
        <v>4053</v>
      </c>
      <c r="B4056" s="3" t="s">
        <v>4</v>
      </c>
      <c r="C4056" s="2" t="str">
        <f ca="1">IFERROR(__xludf.DUMMYFUNCTION("GOOGLETRANSLATE(A4056,""bn"",""en"")"),"Kurishiya Island is a good news")</f>
        <v>Kurishiya Island is a good news</v>
      </c>
    </row>
    <row r="4057" spans="1:3" ht="15" x14ac:dyDescent="0.25">
      <c r="A4057" s="3" t="s">
        <v>4054</v>
      </c>
      <c r="B4057" s="3" t="s">
        <v>4</v>
      </c>
      <c r="C4057" s="2" t="str">
        <f ca="1">IFERROR(__xludf.DUMMYFUNCTION("GOOGLETRANSLATE(A4057,""bn"",""en"")"),"The casting looks absolutely brilliant")</f>
        <v>The casting looks absolutely brilliant</v>
      </c>
    </row>
    <row r="4058" spans="1:3" ht="15" x14ac:dyDescent="0.25">
      <c r="A4058" s="3" t="s">
        <v>4055</v>
      </c>
      <c r="B4058" s="3" t="s">
        <v>4</v>
      </c>
      <c r="C4058" s="2" t="str">
        <f ca="1">IFERROR(__xludf.DUMMYFUNCTION("GOOGLETRANSLATE(A4058,""bn"",""en"")"),"Well done to Bangladesh on the ball")</f>
        <v>Well done to Bangladesh on the ball</v>
      </c>
    </row>
    <row r="4059" spans="1:3" ht="15" x14ac:dyDescent="0.25">
      <c r="A4059" s="3" t="s">
        <v>4056</v>
      </c>
      <c r="B4059" s="3" t="s">
        <v>4</v>
      </c>
      <c r="C4059" s="2" t="str">
        <f ca="1">IFERROR(__xludf.DUMMYFUNCTION("GOOGLETRANSLATE(A4059,""bn"",""en"")"),"Government activities are helpful")</f>
        <v>Government activities are helpful</v>
      </c>
    </row>
    <row r="4060" spans="1:3" ht="15" x14ac:dyDescent="0.25">
      <c r="A4060" s="3" t="s">
        <v>4057</v>
      </c>
      <c r="B4060" s="3" t="s">
        <v>4</v>
      </c>
      <c r="C4060" s="2" t="str">
        <f ca="1">IFERROR(__xludf.DUMMYFUNCTION("GOOGLETRANSLATE(A4060,""bn"",""en"")"),"Hockey is for you")</f>
        <v>Hockey is for you</v>
      </c>
    </row>
    <row r="4061" spans="1:3" ht="15" x14ac:dyDescent="0.25">
      <c r="A4061" s="3" t="s">
        <v>4058</v>
      </c>
      <c r="B4061" s="3" t="s">
        <v>4</v>
      </c>
      <c r="C4061" s="2" t="str">
        <f ca="1">IFERROR(__xludf.DUMMYFUNCTION("GOOGLETRANSLATE(A4061,""bn"",""en"")"),"We bought the car")</f>
        <v>We bought the car</v>
      </c>
    </row>
    <row r="4062" spans="1:3" ht="15" x14ac:dyDescent="0.25">
      <c r="A4062" s="3" t="s">
        <v>4059</v>
      </c>
      <c r="B4062" s="3" t="s">
        <v>4</v>
      </c>
      <c r="C4062" s="2" t="str">
        <f ca="1">IFERROR(__xludf.DUMMYFUNCTION("GOOGLETRANSLATE(A4062,""bn"",""en"")"),"Cricket matches are fun to watch")</f>
        <v>Cricket matches are fun to watch</v>
      </c>
    </row>
    <row r="4063" spans="1:3" ht="15" x14ac:dyDescent="0.25">
      <c r="A4063" s="3" t="s">
        <v>4060</v>
      </c>
      <c r="B4063" s="3" t="s">
        <v>4</v>
      </c>
      <c r="C4063" s="2" t="str">
        <f ca="1">IFERROR(__xludf.DUMMYFUNCTION("GOOGLETRANSLATE(A4063,""bn"",""en"")"),"Implement personal finance")</f>
        <v>Implement personal finance</v>
      </c>
    </row>
    <row r="4064" spans="1:3" ht="15" x14ac:dyDescent="0.25">
      <c r="A4064" s="3" t="s">
        <v>4061</v>
      </c>
      <c r="B4064" s="3" t="s">
        <v>4</v>
      </c>
      <c r="C4064" s="2" t="str">
        <f ca="1">IFERROR(__xludf.DUMMYFUNCTION("GOOGLETRANSLATE(A4064,""bn"",""en"")"),"Harry Potter is coming")</f>
        <v>Harry Potter is coming</v>
      </c>
    </row>
    <row r="4065" spans="1:3" ht="15" x14ac:dyDescent="0.25">
      <c r="A4065" s="3" t="s">
        <v>4062</v>
      </c>
      <c r="B4065" s="3" t="s">
        <v>4</v>
      </c>
      <c r="C4065" s="2" t="str">
        <f ca="1">IFERROR(__xludf.DUMMYFUNCTION("GOOGLETRANSLATE(A4065,""bn"",""en"")"),"I am struggling to succeed")</f>
        <v>I am struggling to succeed</v>
      </c>
    </row>
    <row r="4066" spans="1:3" ht="15" x14ac:dyDescent="0.25">
      <c r="A4066" s="3" t="s">
        <v>4063</v>
      </c>
      <c r="B4066" s="3" t="s">
        <v>4</v>
      </c>
      <c r="C4066" s="2" t="str">
        <f ca="1">IFERROR(__xludf.DUMMYFUNCTION("GOOGLETRANSLATE(A4066,""bn"",""en"")"),"Politics determines policy")</f>
        <v>Politics determines policy</v>
      </c>
    </row>
    <row r="4067" spans="1:3" ht="15" x14ac:dyDescent="0.25">
      <c r="A4067" s="3" t="s">
        <v>4064</v>
      </c>
      <c r="B4067" s="3" t="s">
        <v>4</v>
      </c>
      <c r="C4067" s="2" t="str">
        <f ca="1">IFERROR(__xludf.DUMMYFUNCTION("GOOGLETRANSLATE(A4067,""bn"",""en"")"),"Everyone is trying to improve education")</f>
        <v>Everyone is trying to improve education</v>
      </c>
    </row>
    <row r="4068" spans="1:3" ht="15" x14ac:dyDescent="0.25">
      <c r="A4068" s="3" t="s">
        <v>4065</v>
      </c>
      <c r="B4068" s="3" t="s">
        <v>4</v>
      </c>
      <c r="C4068" s="2" t="str">
        <f ca="1">IFERROR(__xludf.DUMMYFUNCTION("GOOGLETRANSLATE(A4068,""bn"",""en"")"),"Skyfall sci-fi movie is coming")</f>
        <v>Skyfall sci-fi movie is coming</v>
      </c>
    </row>
    <row r="4069" spans="1:3" ht="15" x14ac:dyDescent="0.25">
      <c r="A4069" s="3" t="s">
        <v>4066</v>
      </c>
      <c r="B4069" s="3" t="s">
        <v>4</v>
      </c>
      <c r="C4069" s="2" t="str">
        <f ca="1">IFERROR(__xludf.DUMMYFUNCTION("GOOGLETRANSLATE(A4069,""bn"",""en"")"),"Education expands humanity")</f>
        <v>Education expands humanity</v>
      </c>
    </row>
    <row r="4070" spans="1:3" ht="15" x14ac:dyDescent="0.25">
      <c r="A4070" s="3" t="s">
        <v>4067</v>
      </c>
      <c r="B4070" s="3" t="s">
        <v>4</v>
      </c>
      <c r="C4070" s="2" t="str">
        <f ca="1">IFERROR(__xludf.DUMMYFUNCTION("GOOGLETRANSLATE(A4070,""bn"",""en"")"),"Use of accounting assistive technology")</f>
        <v>Use of accounting assistive technology</v>
      </c>
    </row>
    <row r="4071" spans="1:3" ht="15" x14ac:dyDescent="0.25">
      <c r="A4071" s="3" t="s">
        <v>4068</v>
      </c>
      <c r="B4071" s="3" t="s">
        <v>4</v>
      </c>
      <c r="C4071" s="2" t="str">
        <f ca="1">IFERROR(__xludf.DUMMYFUNCTION("GOOGLETRANSLATE(A4071,""bn"",""en"")"),"The increase in money seems ridiculous")</f>
        <v>The increase in money seems ridiculous</v>
      </c>
    </row>
    <row r="4072" spans="1:3" ht="15" x14ac:dyDescent="0.25">
      <c r="A4072" s="3" t="s">
        <v>4069</v>
      </c>
      <c r="B4072" s="3" t="s">
        <v>4</v>
      </c>
      <c r="C4072" s="2" t="str">
        <f ca="1">IFERROR(__xludf.DUMMYFUNCTION("GOOGLETRANSLATE(A4072,""bn"",""en"")"),"Kishore Kumar is busy talking")</f>
        <v>Kishore Kumar is busy talking</v>
      </c>
    </row>
    <row r="4073" spans="1:3" ht="15" x14ac:dyDescent="0.25">
      <c r="A4073" s="3" t="s">
        <v>4070</v>
      </c>
      <c r="B4073" s="3" t="s">
        <v>4</v>
      </c>
      <c r="C4073" s="2" t="str">
        <f ca="1">IFERROR(__xludf.DUMMYFUNCTION("GOOGLETRANSLATE(A4073,""bn"",""en"")"),"Use secure internet")</f>
        <v>Use secure internet</v>
      </c>
    </row>
    <row r="4074" spans="1:3" ht="15" x14ac:dyDescent="0.25">
      <c r="A4074" s="3" t="s">
        <v>4071</v>
      </c>
      <c r="B4074" s="3" t="s">
        <v>4</v>
      </c>
      <c r="C4074" s="2" t="str">
        <f ca="1">IFERROR(__xludf.DUMMYFUNCTION("GOOGLETRANSLATE(A4074,""bn"",""en"")"),"Music is his secondary language")</f>
        <v>Music is his secondary language</v>
      </c>
    </row>
    <row r="4075" spans="1:3" ht="15" x14ac:dyDescent="0.25">
      <c r="A4075" s="3" t="s">
        <v>4072</v>
      </c>
      <c r="B4075" s="3" t="s">
        <v>4</v>
      </c>
      <c r="C4075" s="2" t="str">
        <f ca="1">IFERROR(__xludf.DUMMYFUNCTION("GOOGLETRANSLATE(A4075,""bn"",""en"")"),"A picture in the past in life")</f>
        <v>A picture in the past in life</v>
      </c>
    </row>
    <row r="4076" spans="1:3" ht="15" x14ac:dyDescent="0.25">
      <c r="A4076" s="3" t="s">
        <v>4073</v>
      </c>
      <c r="B4076" s="3" t="s">
        <v>4</v>
      </c>
      <c r="C4076" s="2" t="str">
        <f ca="1">IFERROR(__xludf.DUMMYFUNCTION("GOOGLETRANSLATE(A4076,""bn"",""en"")"),"Combine science with technology")</f>
        <v>Combine science with technology</v>
      </c>
    </row>
    <row r="4077" spans="1:3" ht="15" x14ac:dyDescent="0.25">
      <c r="A4077" s="3" t="s">
        <v>4074</v>
      </c>
      <c r="B4077" s="3" t="s">
        <v>4</v>
      </c>
      <c r="C4077" s="2" t="str">
        <f ca="1">IFERROR(__xludf.DUMMYFUNCTION("GOOGLETRANSLATE(A4077,""bn"",""en"")"),"Check the bank branch")</f>
        <v>Check the bank branch</v>
      </c>
    </row>
    <row r="4078" spans="1:3" ht="15" x14ac:dyDescent="0.25">
      <c r="A4078" s="3" t="s">
        <v>4075</v>
      </c>
      <c r="B4078" s="3" t="s">
        <v>4</v>
      </c>
      <c r="C4078" s="2" t="str">
        <f ca="1">IFERROR(__xludf.DUMMYFUNCTION("GOOGLETRANSLATE(A4078,""bn"",""en"")"),"Secure your password")</f>
        <v>Secure your password</v>
      </c>
    </row>
    <row r="4079" spans="1:3" ht="15" x14ac:dyDescent="0.25">
      <c r="A4079" s="3" t="s">
        <v>4076</v>
      </c>
      <c r="B4079" s="3" t="s">
        <v>4</v>
      </c>
      <c r="C4079" s="2" t="str">
        <f ca="1">IFERROR(__xludf.DUMMYFUNCTION("GOOGLETRANSLATE(A4079,""bn"",""en"")"),"Travel to the land of birds")</f>
        <v>Travel to the land of birds</v>
      </c>
    </row>
    <row r="4080" spans="1:3" ht="15" x14ac:dyDescent="0.25">
      <c r="A4080" s="3" t="s">
        <v>4077</v>
      </c>
      <c r="B4080" s="3" t="s">
        <v>4</v>
      </c>
      <c r="C4080" s="2" t="str">
        <f ca="1">IFERROR(__xludf.DUMMYFUNCTION("GOOGLETRANSLATE(A4080,""bn"",""en"")"),"Feeling upset when swimming")</f>
        <v>Feeling upset when swimming</v>
      </c>
    </row>
    <row r="4081" spans="1:3" ht="15" x14ac:dyDescent="0.25">
      <c r="A4081" s="3" t="s">
        <v>4078</v>
      </c>
      <c r="B4081" s="3" t="s">
        <v>4</v>
      </c>
      <c r="C4081" s="2" t="str">
        <f ca="1">IFERROR(__xludf.DUMMYFUNCTION("GOOGLETRANSLATE(A4081,""bn"",""en"")"),"Travel with the flood")</f>
        <v>Travel with the flood</v>
      </c>
    </row>
    <row r="4082" spans="1:3" ht="15" x14ac:dyDescent="0.25">
      <c r="A4082" s="3" t="s">
        <v>4079</v>
      </c>
      <c r="B4082" s="3" t="s">
        <v>4</v>
      </c>
      <c r="C4082" s="2" t="str">
        <f ca="1">IFERROR(__xludf.DUMMYFUNCTION("GOOGLETRANSLATE(A4082,""bn"",""en"")"),"Be creative through education")</f>
        <v>Be creative through education</v>
      </c>
    </row>
    <row r="4083" spans="1:3" ht="15" x14ac:dyDescent="0.25">
      <c r="A4083" s="3" t="s">
        <v>4080</v>
      </c>
      <c r="B4083" s="3" t="s">
        <v>4</v>
      </c>
      <c r="C4083" s="2" t="str">
        <f ca="1">IFERROR(__xludf.DUMMYFUNCTION("GOOGLETRANSLATE(A4083,""bn"",""en"")"),"Order postcards today")</f>
        <v>Order postcards today</v>
      </c>
    </row>
    <row r="4084" spans="1:3" ht="15" x14ac:dyDescent="0.25">
      <c r="A4084" s="3" t="s">
        <v>4081</v>
      </c>
      <c r="B4084" s="3" t="s">
        <v>4</v>
      </c>
      <c r="C4084" s="2" t="str">
        <f ca="1">IFERROR(__xludf.DUMMYFUNCTION("GOOGLETRANSLATE(A4084,""bn"",""en"")"),"His best work is singing")</f>
        <v>His best work is singing</v>
      </c>
    </row>
    <row r="4085" spans="1:3" ht="15" x14ac:dyDescent="0.25">
      <c r="A4085" s="3" t="s">
        <v>4082</v>
      </c>
      <c r="B4085" s="3" t="s">
        <v>4</v>
      </c>
      <c r="C4085" s="2" t="str">
        <f ca="1">IFERROR(__xludf.DUMMYFUNCTION("GOOGLETRANSLATE(A4085,""bn"",""en"")"),"Work in an economic institution")</f>
        <v>Work in an economic institution</v>
      </c>
    </row>
    <row r="4086" spans="1:3" ht="15" x14ac:dyDescent="0.25">
      <c r="A4086" s="3" t="s">
        <v>4083</v>
      </c>
      <c r="B4086" s="3" t="s">
        <v>4</v>
      </c>
      <c r="C4086" s="2" t="str">
        <f ca="1">IFERROR(__xludf.DUMMYFUNCTION("GOOGLETRANSLATE(A4086,""bn"",""en"")"),"Thinking is growing through education")</f>
        <v>Thinking is growing through education</v>
      </c>
    </row>
    <row r="4087" spans="1:3" ht="15" x14ac:dyDescent="0.25">
      <c r="A4087" s="3" t="s">
        <v>4084</v>
      </c>
      <c r="B4087" s="3" t="s">
        <v>4</v>
      </c>
      <c r="C4087" s="2" t="str">
        <f ca="1">IFERROR(__xludf.DUMMYFUNCTION("GOOGLETRANSLATE(A4087,""bn"",""en"")"),"There are growing market trends")</f>
        <v>There are growing market trends</v>
      </c>
    </row>
    <row r="4088" spans="1:3" ht="15" x14ac:dyDescent="0.25">
      <c r="A4088" s="3" t="s">
        <v>4085</v>
      </c>
      <c r="B4088" s="3" t="s">
        <v>4</v>
      </c>
      <c r="C4088" s="2" t="str">
        <f ca="1">IFERROR(__xludf.DUMMYFUNCTION("GOOGLETRANSLATE(A4088,""bn"",""en"")"),"View Account Updates")</f>
        <v>View Account Updates</v>
      </c>
    </row>
    <row r="4089" spans="1:3" ht="15" x14ac:dyDescent="0.25">
      <c r="A4089" s="3" t="s">
        <v>4086</v>
      </c>
      <c r="B4089" s="3" t="s">
        <v>4</v>
      </c>
      <c r="C4089" s="2" t="str">
        <f ca="1">IFERROR(__xludf.DUMMYFUNCTION("GOOGLETRANSLATE(A4089,""bn"",""en"")"),"Immersed in Hemant Mukhopadhyay's music")</f>
        <v>Immersed in Hemant Mukhopadhyay's music</v>
      </c>
    </row>
    <row r="4090" spans="1:3" ht="15" x14ac:dyDescent="0.25">
      <c r="A4090" s="3" t="s">
        <v>4087</v>
      </c>
      <c r="B4090" s="3" t="s">
        <v>4</v>
      </c>
      <c r="C4090" s="2" t="str">
        <f ca="1">IFERROR(__xludf.DUMMYFUNCTION("GOOGLETRANSLATE(A4090,""bn"",""en"")"),"Preparations are underway to amend the constitution")</f>
        <v>Preparations are underway to amend the constitution</v>
      </c>
    </row>
    <row r="4091" spans="1:3" ht="15" x14ac:dyDescent="0.25">
      <c r="A4091" s="3" t="s">
        <v>4088</v>
      </c>
      <c r="B4091" s="3" t="s">
        <v>4</v>
      </c>
      <c r="C4091" s="2" t="str">
        <f ca="1">IFERROR(__xludf.DUMMYFUNCTION("GOOGLETRANSLATE(A4091,""bn"",""en"")"),"The character of the story is good")</f>
        <v>The character of the story is good</v>
      </c>
    </row>
    <row r="4092" spans="1:3" ht="15" x14ac:dyDescent="0.25">
      <c r="A4092" s="3" t="s">
        <v>4089</v>
      </c>
      <c r="B4092" s="3" t="s">
        <v>4</v>
      </c>
      <c r="C4092" s="2" t="str">
        <f ca="1">IFERROR(__xludf.DUMMYFUNCTION("GOOGLETRANSLATE(A4092,""bn"",""en"")"),"This is the mysterious plot")</f>
        <v>This is the mysterious plot</v>
      </c>
    </row>
    <row r="4093" spans="1:3" ht="15" x14ac:dyDescent="0.25">
      <c r="A4093" s="3" t="s">
        <v>4090</v>
      </c>
      <c r="B4093" s="3" t="s">
        <v>4</v>
      </c>
      <c r="C4093" s="2" t="str">
        <f ca="1">IFERROR(__xludf.DUMMYFUNCTION("GOOGLETRANSLATE(A4093,""bn"",""en"")"),"Vet the bank certificate")</f>
        <v>Vet the bank certificate</v>
      </c>
    </row>
    <row r="4094" spans="1:3" ht="15" x14ac:dyDescent="0.25">
      <c r="A4094" s="3" t="s">
        <v>4091</v>
      </c>
      <c r="B4094" s="3" t="s">
        <v>4</v>
      </c>
      <c r="C4094" s="2" t="str">
        <f ca="1">IFERROR(__xludf.DUMMYFUNCTION("GOOGLETRANSLATE(A4094,""bn"",""en"")"),"Responsibilities of political news organizations")</f>
        <v>Responsibilities of political news organizations</v>
      </c>
    </row>
    <row r="4095" spans="1:3" ht="15" x14ac:dyDescent="0.25">
      <c r="A4095" s="3" t="s">
        <v>4092</v>
      </c>
      <c r="B4095" s="3" t="s">
        <v>4</v>
      </c>
      <c r="C4095" s="2" t="str">
        <f ca="1">IFERROR(__xludf.DUMMYFUNCTION("GOOGLETRANSLATE(A4095,""bn"",""en"")"),"A talk on the beach")</f>
        <v>A talk on the beach</v>
      </c>
    </row>
    <row r="4096" spans="1:3" ht="15" x14ac:dyDescent="0.25">
      <c r="A4096" s="3" t="s">
        <v>4093</v>
      </c>
      <c r="B4096" s="3" t="s">
        <v>4</v>
      </c>
      <c r="C4096" s="2" t="str">
        <f ca="1">IFERROR(__xludf.DUMMYFUNCTION("GOOGLETRANSLATE(A4096,""bn"",""en"")"),"The sweetness of music in poet's literature")</f>
        <v>The sweetness of music in poet's literature</v>
      </c>
    </row>
    <row r="4097" spans="1:3" ht="15" x14ac:dyDescent="0.25">
      <c r="A4097" s="3" t="s">
        <v>4094</v>
      </c>
      <c r="B4097" s="3" t="s">
        <v>4</v>
      </c>
      <c r="C4097" s="2" t="str">
        <f ca="1">IFERROR(__xludf.DUMMYFUNCTION("GOOGLETRANSLATE(A4097,""bn"",""en"")"),"A love story in the middle of the circus")</f>
        <v>A love story in the middle of the circus</v>
      </c>
    </row>
    <row r="4098" spans="1:3" ht="15" x14ac:dyDescent="0.25">
      <c r="A4098" s="3" t="s">
        <v>4095</v>
      </c>
      <c r="B4098" s="3" t="s">
        <v>4</v>
      </c>
      <c r="C4098" s="2" t="str">
        <f ca="1">IFERROR(__xludf.DUMMYFUNCTION("GOOGLETRANSLATE(A4098,""bn"",""en"")"),"Initiatives look into future plans")</f>
        <v>Initiatives look into future plans</v>
      </c>
    </row>
    <row r="4099" spans="1:3" ht="15" x14ac:dyDescent="0.25">
      <c r="A4099" s="3" t="s">
        <v>4096</v>
      </c>
      <c r="B4099" s="3" t="s">
        <v>4</v>
      </c>
      <c r="C4099" s="2" t="str">
        <f ca="1">IFERROR(__xludf.DUMMYFUNCTION("GOOGLETRANSLATE(A4099,""bn"",""en"")"),"The poetry of life in the melody of Lalongit")</f>
        <v>The poetry of life in the melody of Lalongit</v>
      </c>
    </row>
    <row r="4100" spans="1:3" ht="15" x14ac:dyDescent="0.25">
      <c r="A4100" s="3" t="s">
        <v>4097</v>
      </c>
      <c r="B4100" s="3" t="s">
        <v>4</v>
      </c>
      <c r="C4100" s="2" t="str">
        <f ca="1">IFERROR(__xludf.DUMMYFUNCTION("GOOGLETRANSLATE(A4100,""bn"",""en"")"),"Visit the Science Museum")</f>
        <v>Visit the Science Museum</v>
      </c>
    </row>
    <row r="4101" spans="1:3" ht="15" x14ac:dyDescent="0.25">
      <c r="A4101" s="3" t="s">
        <v>4098</v>
      </c>
      <c r="B4101" s="3" t="s">
        <v>4</v>
      </c>
      <c r="C4101" s="2" t="str">
        <f ca="1">IFERROR(__xludf.DUMMYFUNCTION("GOOGLETRANSLATE(A4101,""bn"",""en"")"),"Mahakali river is abundant in Bangladesh")</f>
        <v>Mahakali river is abundant in Bangladesh</v>
      </c>
    </row>
    <row r="4102" spans="1:3" ht="15" x14ac:dyDescent="0.25">
      <c r="A4102" s="3" t="s">
        <v>4099</v>
      </c>
      <c r="B4102" s="3" t="s">
        <v>4</v>
      </c>
      <c r="C4102" s="2" t="str">
        <f ca="1">IFERROR(__xludf.DUMMYFUNCTION("GOOGLETRANSLATE(A4102,""bn"",""en"")"),"Reunions have taken place in the past")</f>
        <v>Reunions have taken place in the past</v>
      </c>
    </row>
    <row r="4103" spans="1:3" ht="15" x14ac:dyDescent="0.25">
      <c r="A4103" s="3" t="s">
        <v>4100</v>
      </c>
      <c r="B4103" s="3" t="s">
        <v>4</v>
      </c>
      <c r="C4103" s="2" t="str">
        <f ca="1">IFERROR(__xludf.DUMMYFUNCTION("GOOGLETRANSLATE(A4103,""bn"",""en"")"),"Monitor your account")</f>
        <v>Monitor your account</v>
      </c>
    </row>
    <row r="4104" spans="1:3" ht="15" x14ac:dyDescent="0.25">
      <c r="A4104" s="3" t="s">
        <v>4101</v>
      </c>
      <c r="B4104" s="3" t="s">
        <v>4</v>
      </c>
      <c r="C4104" s="2" t="str">
        <f ca="1">IFERROR(__xludf.DUMMYFUNCTION("GOOGLETRANSLATE(A4104,""bn"",""en"")"),"Hector action and news")</f>
        <v>Hector action and news</v>
      </c>
    </row>
    <row r="4105" spans="1:3" ht="15" x14ac:dyDescent="0.25">
      <c r="A4105" s="3" t="s">
        <v>4102</v>
      </c>
      <c r="B4105" s="3" t="s">
        <v>4</v>
      </c>
      <c r="C4105" s="2" t="str">
        <f ca="1">IFERROR(__xludf.DUMMYFUNCTION("GOOGLETRANSLATE(A4105,""bn"",""en"")"),"Arctic snowy landscape")</f>
        <v>Arctic snowy landscape</v>
      </c>
    </row>
    <row r="4106" spans="1:3" ht="15" x14ac:dyDescent="0.25">
      <c r="A4106" s="3" t="s">
        <v>4103</v>
      </c>
      <c r="B4106" s="3" t="s">
        <v>4</v>
      </c>
      <c r="C4106" s="2" t="str">
        <f ca="1">IFERROR(__xludf.DUMMYFUNCTION("GOOGLETRANSLATE(A4106,""bn"",""en"")"),"Machine learning is an invov")</f>
        <v>Machine learning is an invov</v>
      </c>
    </row>
    <row r="4107" spans="1:3" ht="15" x14ac:dyDescent="0.25">
      <c r="A4107" s="3" t="s">
        <v>4104</v>
      </c>
      <c r="B4107" s="3" t="s">
        <v>4</v>
      </c>
      <c r="C4107" s="2" t="str">
        <f ca="1">IFERROR(__xludf.DUMMYFUNCTION("GOOGLETRANSLATE(A4107,""bn"",""en"")"),"Nazrul's poetry has been turned into music")</f>
        <v>Nazrul's poetry has been turned into music</v>
      </c>
    </row>
    <row r="4108" spans="1:3" ht="15" x14ac:dyDescent="0.25">
      <c r="A4108" s="3" t="s">
        <v>4105</v>
      </c>
      <c r="B4108" s="3" t="s">
        <v>4</v>
      </c>
      <c r="C4108" s="2" t="str">
        <f ca="1">IFERROR(__xludf.DUMMYFUNCTION("GOOGLETRANSLATE(A4108,""bn"",""en"")"),"Hybrid data storage solutions")</f>
        <v>Hybrid data storage solutions</v>
      </c>
    </row>
    <row r="4109" spans="1:3" ht="15" x14ac:dyDescent="0.25">
      <c r="A4109" s="3" t="s">
        <v>4106</v>
      </c>
      <c r="B4109" s="3" t="s">
        <v>4</v>
      </c>
      <c r="C4109" s="2" t="str">
        <f ca="1">IFERROR(__xludf.DUMMYFUNCTION("GOOGLETRANSLATE(A4109,""bn"",""en"")"),"Being interested in counter-radicalisation")</f>
        <v>Being interested in counter-radicalisation</v>
      </c>
    </row>
    <row r="4110" spans="1:3" ht="15" x14ac:dyDescent="0.25">
      <c r="A4110" s="3" t="s">
        <v>4107</v>
      </c>
      <c r="B4110" s="3" t="s">
        <v>4</v>
      </c>
      <c r="C4110" s="2" t="str">
        <f ca="1">IFERROR(__xludf.DUMMYFUNCTION("GOOGLETRANSLATE(A4110,""bn"",""en"")"),"Money transactions are secured")</f>
        <v>Money transactions are secured</v>
      </c>
    </row>
    <row r="4111" spans="1:3" ht="15" x14ac:dyDescent="0.25">
      <c r="A4111" s="3" t="s">
        <v>4108</v>
      </c>
      <c r="B4111" s="3" t="s">
        <v>4</v>
      </c>
      <c r="C4111" s="2" t="str">
        <f ca="1">IFERROR(__xludf.DUMMYFUNCTION("GOOGLETRANSLATE(A4111,""bn"",""en"")"),"Read before booking travel")</f>
        <v>Read before booking travel</v>
      </c>
    </row>
    <row r="4112" spans="1:3" ht="15" x14ac:dyDescent="0.25">
      <c r="A4112" s="3" t="s">
        <v>4109</v>
      </c>
      <c r="B4112" s="3" t="s">
        <v>4</v>
      </c>
      <c r="C4112" s="2" t="str">
        <f ca="1">IFERROR(__xludf.DUMMYFUNCTION("GOOGLETRANSLATE(A4112,""bn"",""en"")"),"He has a sweet voice")</f>
        <v>He has a sweet voice</v>
      </c>
    </row>
    <row r="4113" spans="1:3" ht="15" x14ac:dyDescent="0.25">
      <c r="A4113" s="3" t="s">
        <v>4110</v>
      </c>
      <c r="B4113" s="3" t="s">
        <v>4</v>
      </c>
      <c r="C4113" s="2" t="str">
        <f ca="1">IFERROR(__xludf.DUMMYFUNCTION("GOOGLETRANSLATE(A4113,""bn"",""en"")"),"Dealing with supporting preparations in Parliament")</f>
        <v>Dealing with supporting preparations in Parliament</v>
      </c>
    </row>
    <row r="4114" spans="1:3" ht="15" x14ac:dyDescent="0.25">
      <c r="A4114" s="3" t="s">
        <v>4111</v>
      </c>
      <c r="B4114" s="3" t="s">
        <v>4</v>
      </c>
      <c r="C4114" s="2" t="str">
        <f ca="1">IFERROR(__xludf.DUMMYFUNCTION("GOOGLETRANSLATE(A4114,""bn"",""en"")"),"Visit Gol Mahal")</f>
        <v>Visit Gol Mahal</v>
      </c>
    </row>
    <row r="4115" spans="1:3" ht="15" x14ac:dyDescent="0.25">
      <c r="A4115" s="3" t="s">
        <v>4112</v>
      </c>
      <c r="B4115" s="3" t="s">
        <v>4</v>
      </c>
      <c r="C4115" s="2" t="str">
        <f ca="1">IFERROR(__xludf.DUMMYFUNCTION("GOOGLETRANSLATE(A4115,""bn"",""en"")"),"The leader is accused of the crime")</f>
        <v>The leader is accused of the crime</v>
      </c>
    </row>
    <row r="4116" spans="1:3" ht="15" x14ac:dyDescent="0.25">
      <c r="A4116" s="3" t="s">
        <v>4113</v>
      </c>
      <c r="B4116" s="3" t="s">
        <v>4</v>
      </c>
      <c r="C4116" s="2" t="str">
        <f ca="1">IFERROR(__xludf.DUMMYFUNCTION("GOOGLETRANSLATE(A4116,""bn"",""en"")"),"May he be engrossed in the melody")</f>
        <v>May he be engrossed in the melody</v>
      </c>
    </row>
    <row r="4117" spans="1:3" ht="15" x14ac:dyDescent="0.25">
      <c r="A4117" s="3" t="s">
        <v>4114</v>
      </c>
      <c r="B4117" s="3" t="s">
        <v>4</v>
      </c>
      <c r="C4117" s="2" t="str">
        <f ca="1">IFERROR(__xludf.DUMMYFUNCTION("GOOGLETRANSLATE(A4117,""bn"",""en"")"),"Learning through technology is convenient")</f>
        <v>Learning through technology is convenient</v>
      </c>
    </row>
    <row r="4118" spans="1:3" ht="15" x14ac:dyDescent="0.25">
      <c r="A4118" s="3" t="s">
        <v>4115</v>
      </c>
      <c r="B4118" s="3" t="s">
        <v>4</v>
      </c>
      <c r="C4118" s="2" t="str">
        <f ca="1">IFERROR(__xludf.DUMMYFUNCTION("GOOGLETRANSLATE(A4118,""bn"",""en"")"),"There is support and change in the constitution")</f>
        <v>There is support and change in the constitution</v>
      </c>
    </row>
    <row r="4119" spans="1:3" ht="15" x14ac:dyDescent="0.25">
      <c r="A4119" s="3" t="s">
        <v>4116</v>
      </c>
      <c r="B4119" s="3" t="s">
        <v>4</v>
      </c>
      <c r="C4119" s="2" t="str">
        <f ca="1">IFERROR(__xludf.DUMMYFUNCTION("GOOGLETRANSLATE(A4119,""bn"",""en"")"),"Dream by Lata Mangeshkar")</f>
        <v>Dream by Lata Mangeshkar</v>
      </c>
    </row>
    <row r="4120" spans="1:3" ht="15" x14ac:dyDescent="0.25">
      <c r="A4120" s="3" t="s">
        <v>4117</v>
      </c>
      <c r="B4120" s="3" t="s">
        <v>4</v>
      </c>
      <c r="C4120" s="2" t="str">
        <f ca="1">IFERROR(__xludf.DUMMYFUNCTION("GOOGLETRANSLATE(A4120,""bn"",""en"")"),"Go camping in July")</f>
        <v>Go camping in July</v>
      </c>
    </row>
    <row r="4121" spans="1:3" ht="15" x14ac:dyDescent="0.25">
      <c r="A4121" s="3" t="s">
        <v>4118</v>
      </c>
      <c r="B4121" s="3" t="s">
        <v>4</v>
      </c>
      <c r="C4121" s="2" t="str">
        <f ca="1">IFERROR(__xludf.DUMMYFUNCTION("GOOGLETRANSLATE(A4121,""bn"",""en"")"),"Entertaining after watching movies")</f>
        <v>Entertaining after watching movies</v>
      </c>
    </row>
    <row r="4122" spans="1:3" ht="15" x14ac:dyDescent="0.25">
      <c r="A4122" s="3" t="s">
        <v>4119</v>
      </c>
      <c r="B4122" s="3" t="s">
        <v>4</v>
      </c>
      <c r="C4122" s="2" t="str">
        <f ca="1">IFERROR(__xludf.DUMMYFUNCTION("GOOGLETRANSLATE(A4122,""bn"",""en"")"),"Deposit as savings")</f>
        <v>Deposit as savings</v>
      </c>
    </row>
    <row r="4123" spans="1:3" ht="15" x14ac:dyDescent="0.25">
      <c r="A4123" s="3" t="s">
        <v>4120</v>
      </c>
      <c r="B4123" s="3" t="s">
        <v>4</v>
      </c>
      <c r="C4123" s="2" t="str">
        <f ca="1">IFERROR(__xludf.DUMMYFUNCTION("GOOGLETRANSLATE(A4123,""bn"",""en"")"),"Hardware and software integration")</f>
        <v>Hardware and software integration</v>
      </c>
    </row>
    <row r="4124" spans="1:3" ht="15" x14ac:dyDescent="0.25">
      <c r="A4124" s="3" t="s">
        <v>4121</v>
      </c>
      <c r="B4124" s="3" t="s">
        <v>4</v>
      </c>
      <c r="C4124" s="2" t="str">
        <f ca="1">IFERROR(__xludf.DUMMYFUNCTION("GOOGLETRANSLATE(A4124,""bn"",""en"")"),"Check out the live animals")</f>
        <v>Check out the live animals</v>
      </c>
    </row>
    <row r="4125" spans="1:3" ht="15" x14ac:dyDescent="0.25">
      <c r="A4125" s="3" t="s">
        <v>4122</v>
      </c>
      <c r="B4125" s="3" t="s">
        <v>4</v>
      </c>
      <c r="C4125" s="2" t="str">
        <f ca="1">IFERROR(__xludf.DUMMYFUNCTION("GOOGLETRANSLATE(A4125,""bn"",""en"")"),"Check the interest rate")</f>
        <v>Check the interest rate</v>
      </c>
    </row>
    <row r="4126" spans="1:3" ht="15" x14ac:dyDescent="0.25">
      <c r="A4126" s="3" t="s">
        <v>4123</v>
      </c>
      <c r="B4126" s="3" t="s">
        <v>4</v>
      </c>
      <c r="C4126" s="2" t="str">
        <f ca="1">IFERROR(__xludf.DUMMYFUNCTION("GOOGLETRANSLATE(A4126,""bn"",""en"")"),"Get advice on going to Korea")</f>
        <v>Get advice on going to Korea</v>
      </c>
    </row>
    <row r="4127" spans="1:3" ht="15" x14ac:dyDescent="0.25">
      <c r="A4127" s="3" t="s">
        <v>4124</v>
      </c>
      <c r="B4127" s="3" t="s">
        <v>4</v>
      </c>
      <c r="C4127" s="2" t="str">
        <f ca="1">IFERROR(__xludf.DUMMYFUNCTION("GOOGLETRANSLATE(A4127,""bn"",""en"")"),"Students are managing the project")</f>
        <v>Students are managing the project</v>
      </c>
    </row>
    <row r="4128" spans="1:3" ht="15" x14ac:dyDescent="0.25">
      <c r="A4128" s="3" t="s">
        <v>4125</v>
      </c>
      <c r="B4128" s="3" t="s">
        <v>4</v>
      </c>
      <c r="C4128" s="2" t="str">
        <f ca="1">IFERROR(__xludf.DUMMYFUNCTION("GOOGLETRANSLATE(A4128,""bn"",""en"")"),"Golf can be played from the heart")</f>
        <v>Golf can be played from the heart</v>
      </c>
    </row>
    <row r="4129" spans="1:3" ht="15" x14ac:dyDescent="0.25">
      <c r="A4129" s="3" t="s">
        <v>4126</v>
      </c>
      <c r="B4129" s="3" t="s">
        <v>4</v>
      </c>
      <c r="C4129" s="2" t="str">
        <f ca="1">IFERROR(__xludf.DUMMYFUNCTION("GOOGLETRANSLATE(A4129,""bn"",""en"")"),"Students are learning new series")</f>
        <v>Students are learning new series</v>
      </c>
    </row>
    <row r="4130" spans="1:3" ht="15" x14ac:dyDescent="0.25">
      <c r="A4130" s="3" t="s">
        <v>4127</v>
      </c>
      <c r="B4130" s="3" t="s">
        <v>4</v>
      </c>
      <c r="C4130" s="2" t="str">
        <f ca="1">IFERROR(__xludf.DUMMYFUNCTION("GOOGLETRANSLATE(A4130,""bn"",""en"")"),"Valid as per loan agreement")</f>
        <v>Valid as per loan agreement</v>
      </c>
    </row>
    <row r="4131" spans="1:3" ht="15" x14ac:dyDescent="0.25">
      <c r="A4131" s="3" t="s">
        <v>4128</v>
      </c>
      <c r="B4131" s="3" t="s">
        <v>4</v>
      </c>
      <c r="C4131" s="2" t="str">
        <f ca="1">IFERROR(__xludf.DUMMYFUNCTION("GOOGLETRANSLATE(A4131,""bn"",""en"")"),"Evaluate market services")</f>
        <v>Evaluate market services</v>
      </c>
    </row>
    <row r="4132" spans="1:3" ht="15" x14ac:dyDescent="0.25">
      <c r="A4132" s="3" t="s">
        <v>4129</v>
      </c>
      <c r="B4132" s="3" t="s">
        <v>4</v>
      </c>
      <c r="C4132" s="2" t="str">
        <f ca="1">IFERROR(__xludf.DUMMYFUNCTION("GOOGLETRANSLATE(A4132,""bn"",""en"")"),"The story was really strange")</f>
        <v>The story was really strange</v>
      </c>
    </row>
    <row r="4133" spans="1:3" ht="15" x14ac:dyDescent="0.25">
      <c r="A4133" s="3" t="s">
        <v>4130</v>
      </c>
      <c r="B4133" s="3" t="s">
        <v>4</v>
      </c>
      <c r="C4133" s="2" t="str">
        <f ca="1">IFERROR(__xludf.DUMMYFUNCTION("GOOGLETRANSLATE(A4133,""bn"",""en"")"),"Playing squash brings prosperity")</f>
        <v>Playing squash brings prosperity</v>
      </c>
    </row>
    <row r="4134" spans="1:3" ht="15" x14ac:dyDescent="0.25">
      <c r="A4134" s="3" t="s">
        <v>4131</v>
      </c>
      <c r="B4134" s="3" t="s">
        <v>4</v>
      </c>
      <c r="C4134" s="2" t="str">
        <f ca="1">IFERROR(__xludf.DUMMYFUNCTION("GOOGLETRANSLATE(A4134,""bn"",""en"")"),"Try to understand easily")</f>
        <v>Try to understand easily</v>
      </c>
    </row>
    <row r="4135" spans="1:3" ht="15" x14ac:dyDescent="0.25">
      <c r="A4135" s="3" t="s">
        <v>4132</v>
      </c>
      <c r="B4135" s="3" t="s">
        <v>4</v>
      </c>
      <c r="C4135" s="2" t="str">
        <f ca="1">IFERROR(__xludf.DUMMYFUNCTION("GOOGLETRANSLATE(A4135,""bn"",""en"")"),"Get good results in exams")</f>
        <v>Get good results in exams</v>
      </c>
    </row>
    <row r="4136" spans="1:3" ht="15" x14ac:dyDescent="0.25">
      <c r="A4136" s="3" t="s">
        <v>4133</v>
      </c>
      <c r="B4136" s="3" t="s">
        <v>4</v>
      </c>
      <c r="C4136" s="2" t="str">
        <f ca="1">IFERROR(__xludf.DUMMYFUNCTION("GOOGLETRANSLATE(A4136,""bn"",""en"")"),"Use a secure account")</f>
        <v>Use a secure account</v>
      </c>
    </row>
    <row r="4137" spans="1:3" ht="15" x14ac:dyDescent="0.25">
      <c r="A4137" s="3" t="s">
        <v>4134</v>
      </c>
      <c r="B4137" s="3" t="s">
        <v>4</v>
      </c>
      <c r="C4137" s="2" t="str">
        <f ca="1">IFERROR(__xludf.DUMMYFUNCTION("GOOGLETRANSLATE(A4137,""bn"",""en"")"),"Record bank transactions")</f>
        <v>Record bank transactions</v>
      </c>
    </row>
    <row r="4138" spans="1:3" ht="15" x14ac:dyDescent="0.25">
      <c r="A4138" s="3" t="s">
        <v>4135</v>
      </c>
      <c r="B4138" s="3" t="s">
        <v>4</v>
      </c>
      <c r="C4138" s="2" t="str">
        <f ca="1">IFERROR(__xludf.DUMMYFUNCTION("GOOGLETRANSLATE(A4138,""bn"",""en"")"),"The benefits of reading books are endless")</f>
        <v>The benefits of reading books are endless</v>
      </c>
    </row>
    <row r="4139" spans="1:3" ht="15" x14ac:dyDescent="0.25">
      <c r="A4139" s="3" t="s">
        <v>4136</v>
      </c>
      <c r="B4139" s="3" t="s">
        <v>4</v>
      </c>
      <c r="C4139" s="2" t="str">
        <f ca="1">IFERROR(__xludf.DUMMYFUNCTION("GOOGLETRANSLATE(A4139,""bn"",""en"")"),"Singer Suman's voice is unforgettable")</f>
        <v>Singer Suman's voice is unforgettable</v>
      </c>
    </row>
    <row r="4140" spans="1:3" ht="15" x14ac:dyDescent="0.25">
      <c r="A4140" s="3" t="s">
        <v>4137</v>
      </c>
      <c r="B4140" s="3" t="s">
        <v>4</v>
      </c>
      <c r="C4140" s="2" t="str">
        <f ca="1">IFERROR(__xludf.DUMMYFUNCTION("GOOGLETRANSLATE(A4140,""bn"",""en"")"),"Teacher collaboration with students")</f>
        <v>Teacher collaboration with students</v>
      </c>
    </row>
    <row r="4141" spans="1:3" ht="15" x14ac:dyDescent="0.25">
      <c r="A4141" s="3" t="s">
        <v>4138</v>
      </c>
      <c r="B4141" s="3" t="s">
        <v>4</v>
      </c>
      <c r="C4141" s="2" t="str">
        <f ca="1">IFERROR(__xludf.DUMMYFUNCTION("GOOGLETRANSLATE(A4141,""bn"",""en"")"),"Creative pictures are real")</f>
        <v>Creative pictures are real</v>
      </c>
    </row>
    <row r="4142" spans="1:3" ht="15" x14ac:dyDescent="0.25">
      <c r="A4142" s="3" t="s">
        <v>4139</v>
      </c>
      <c r="B4142" s="3" t="s">
        <v>4</v>
      </c>
      <c r="C4142" s="2" t="str">
        <f ca="1">IFERROR(__xludf.DUMMYFUNCTION("GOOGLETRANSLATE(A4142,""bn"",""en"")"),"Express thoughts in song")</f>
        <v>Express thoughts in song</v>
      </c>
    </row>
    <row r="4143" spans="1:3" ht="15" x14ac:dyDescent="0.25">
      <c r="A4143" s="3" t="s">
        <v>4140</v>
      </c>
      <c r="B4143" s="3" t="s">
        <v>4</v>
      </c>
      <c r="C4143" s="2" t="str">
        <f ca="1">IFERROR(__xludf.DUMMYFUNCTION("GOOGLETRANSLATE(A4143,""bn"",""en"")"),"The camera worked well")</f>
        <v>The camera worked well</v>
      </c>
    </row>
    <row r="4144" spans="1:3" ht="15" x14ac:dyDescent="0.25">
      <c r="A4144" s="3" t="s">
        <v>4141</v>
      </c>
      <c r="B4144" s="3" t="s">
        <v>4</v>
      </c>
      <c r="C4144" s="2" t="str">
        <f ca="1">IFERROR(__xludf.DUMMYFUNCTION("GOOGLETRANSLATE(A4144,""bn"",""en"")"),"Complete the loan application")</f>
        <v>Complete the loan application</v>
      </c>
    </row>
    <row r="4145" spans="1:3" ht="15" x14ac:dyDescent="0.25">
      <c r="A4145" s="3" t="s">
        <v>4142</v>
      </c>
      <c r="B4145" s="3" t="s">
        <v>4</v>
      </c>
      <c r="C4145" s="2" t="str">
        <f ca="1">IFERROR(__xludf.DUMMYFUNCTION("GOOGLETRANSLATE(A4145,""bn"",""en"")"),"The Great Salt Lake is located in the United States")</f>
        <v>The Great Salt Lake is located in the United States</v>
      </c>
    </row>
    <row r="4146" spans="1:3" ht="15" x14ac:dyDescent="0.25">
      <c r="A4146" s="3" t="s">
        <v>4143</v>
      </c>
      <c r="B4146" s="3" t="s">
        <v>4</v>
      </c>
      <c r="C4146" s="2" t="str">
        <f ca="1">IFERROR(__xludf.DUMMYFUNCTION("GOOGLETRANSLATE(A4146,""bn"",""en"")"),"Education and training is expensive")</f>
        <v>Education and training is expensive</v>
      </c>
    </row>
    <row r="4147" spans="1:3" ht="15" x14ac:dyDescent="0.25">
      <c r="A4147" s="3" t="s">
        <v>4144</v>
      </c>
      <c r="B4147" s="3" t="s">
        <v>4</v>
      </c>
      <c r="C4147" s="2" t="str">
        <f ca="1">IFERROR(__xludf.DUMMYFUNCTION("GOOGLETRANSLATE(A4147,""bn"",""en"")"),"Popular leaders in elections are easy")</f>
        <v>Popular leaders in elections are easy</v>
      </c>
    </row>
    <row r="4148" spans="1:3" ht="15" x14ac:dyDescent="0.25">
      <c r="A4148" s="3" t="s">
        <v>4145</v>
      </c>
      <c r="B4148" s="3" t="s">
        <v>4</v>
      </c>
      <c r="C4148" s="2" t="str">
        <f ca="1">IFERROR(__xludf.DUMMYFUNCTION("GOOGLETRANSLATE(A4148,""bn"",""en"")"),"Indian beauty in Srikanth's songs")</f>
        <v>Indian beauty in Srikanth's songs</v>
      </c>
    </row>
    <row r="4149" spans="1:3" ht="15" x14ac:dyDescent="0.25">
      <c r="A4149" s="3" t="s">
        <v>4146</v>
      </c>
      <c r="B4149" s="3" t="s">
        <v>4</v>
      </c>
      <c r="C4149" s="2" t="str">
        <f ca="1">IFERROR(__xludf.DUMMYFUNCTION("GOOGLETRANSLATE(A4149,""bn"",""en"")"),"Protect data storage")</f>
        <v>Protect data storage</v>
      </c>
    </row>
    <row r="4150" spans="1:3" ht="15" x14ac:dyDescent="0.25">
      <c r="A4150" s="3" t="s">
        <v>4147</v>
      </c>
      <c r="B4150" s="3" t="s">
        <v>4</v>
      </c>
      <c r="C4150" s="2" t="str">
        <f ca="1">IFERROR(__xludf.DUMMYFUNCTION("GOOGLETRANSLATE(A4150,""bn"",""en"")"),"I worked hard to be successful")</f>
        <v>I worked hard to be successful</v>
      </c>
    </row>
    <row r="4151" spans="1:3" ht="15" x14ac:dyDescent="0.25">
      <c r="A4151" s="3" t="s">
        <v>4148</v>
      </c>
      <c r="B4151" s="3" t="s">
        <v>4</v>
      </c>
      <c r="C4151" s="2" t="str">
        <f ca="1">IFERROR(__xludf.DUMMYFUNCTION("GOOGLETRANSLATE(A4151,""bn"",""en"")"),"At the surface there are north poles")</f>
        <v>At the surface there are north poles</v>
      </c>
    </row>
    <row r="4152" spans="1:3" ht="15" x14ac:dyDescent="0.25">
      <c r="A4152" s="3" t="s">
        <v>4149</v>
      </c>
      <c r="B4152" s="3" t="s">
        <v>4</v>
      </c>
      <c r="C4152" s="2" t="str">
        <f ca="1">IFERROR(__xludf.DUMMYFUNCTION("GOOGLETRANSLATE(A4152,""bn"",""en"")"),"SMS the account balance")</f>
        <v>SMS the account balance</v>
      </c>
    </row>
    <row r="4153" spans="1:3" ht="15" x14ac:dyDescent="0.25">
      <c r="A4153" s="3" t="s">
        <v>4150</v>
      </c>
      <c r="B4153" s="3" t="s">
        <v>4</v>
      </c>
      <c r="C4153" s="2" t="str">
        <f ca="1">IFERROR(__xludf.DUMMYFUNCTION("GOOGLETRANSLATE(A4153,""bn"",""en"")"),"Travel for education")</f>
        <v>Travel for education</v>
      </c>
    </row>
    <row r="4154" spans="1:3" ht="15" x14ac:dyDescent="0.25">
      <c r="A4154" s="3" t="s">
        <v>4151</v>
      </c>
      <c r="B4154" s="3" t="s">
        <v>4</v>
      </c>
      <c r="C4154" s="2" t="str">
        <f ca="1">IFERROR(__xludf.DUMMYFUNCTION("GOOGLETRANSLATE(A4154,""bn"",""en"")"),"Take a tourist guide with you")</f>
        <v>Take a tourist guide with you</v>
      </c>
    </row>
    <row r="4155" spans="1:3" ht="15" x14ac:dyDescent="0.25">
      <c r="A4155" s="3" t="s">
        <v>4152</v>
      </c>
      <c r="B4155" s="3" t="s">
        <v>4</v>
      </c>
      <c r="C4155" s="2" t="str">
        <f ca="1">IFERROR(__xludf.DUMMYFUNCTION("GOOGLETRANSLATE(A4155,""bn"",""en"")"),"Home loan offers")</f>
        <v>Home loan offers</v>
      </c>
    </row>
    <row r="4156" spans="1:3" ht="15" x14ac:dyDescent="0.25">
      <c r="A4156" s="3" t="s">
        <v>4153</v>
      </c>
      <c r="B4156" s="3" t="s">
        <v>4</v>
      </c>
      <c r="C4156" s="2" t="str">
        <f ca="1">IFERROR(__xludf.DUMMYFUNCTION("GOOGLETRANSLATE(A4156,""bn"",""en"")"),"Additional protection against computer hacking")</f>
        <v>Additional protection against computer hacking</v>
      </c>
    </row>
    <row r="4157" spans="1:3" ht="15" x14ac:dyDescent="0.25">
      <c r="A4157" s="3" t="s">
        <v>4154</v>
      </c>
      <c r="B4157" s="3" t="s">
        <v>4</v>
      </c>
      <c r="C4157" s="2" t="str">
        <f ca="1">IFERROR(__xludf.DUMMYFUNCTION("GOOGLETRANSLATE(A4157,""bn"",""en"")"),"Warrior Saga is really powerful")</f>
        <v>Warrior Saga is really powerful</v>
      </c>
    </row>
    <row r="4158" spans="1:3" ht="15" x14ac:dyDescent="0.25">
      <c r="A4158" s="3" t="s">
        <v>4155</v>
      </c>
      <c r="B4158" s="3" t="s">
        <v>4</v>
      </c>
      <c r="C4158" s="2" t="str">
        <f ca="1">IFERROR(__xludf.DUMMYFUNCTION("GOOGLETRANSLATE(A4158,""bn"",""en"")"),"Tajikistan is located in the Pamir Mountains")</f>
        <v>Tajikistan is located in the Pamir Mountains</v>
      </c>
    </row>
    <row r="4159" spans="1:3" ht="15" x14ac:dyDescent="0.25">
      <c r="A4159" s="3" t="s">
        <v>4156</v>
      </c>
      <c r="B4159" s="3" t="s">
        <v>4</v>
      </c>
      <c r="C4159" s="2" t="str">
        <f ca="1">IFERROR(__xludf.DUMMYFUNCTION("GOOGLETRANSLATE(A4159,""bn"",""en"")"),"Create economic organization")</f>
        <v>Create economic organization</v>
      </c>
    </row>
    <row r="4160" spans="1:3" ht="15" x14ac:dyDescent="0.25">
      <c r="A4160" s="3" t="s">
        <v>4157</v>
      </c>
      <c r="B4160" s="3" t="s">
        <v>4</v>
      </c>
      <c r="C4160" s="2" t="str">
        <f ca="1">IFERROR(__xludf.DUMMYFUNCTION("GOOGLETRANSLATE(A4160,""bn"",""en"")"),"The ghost story is inside")</f>
        <v>The ghost story is inside</v>
      </c>
    </row>
    <row r="4161" spans="1:3" ht="15" x14ac:dyDescent="0.25">
      <c r="A4161" s="3" t="s">
        <v>4158</v>
      </c>
      <c r="B4161" s="3" t="s">
        <v>4</v>
      </c>
      <c r="C4161" s="2" t="str">
        <f ca="1">IFERROR(__xludf.DUMMYFUNCTION("GOOGLETRANSLATE(A4161,""bn"",""en"")"),"Cyber ​​physical attack detection")</f>
        <v>Cyber ​​physical attack detection</v>
      </c>
    </row>
    <row r="4162" spans="1:3" ht="15" x14ac:dyDescent="0.25">
      <c r="A4162" s="3" t="s">
        <v>4159</v>
      </c>
      <c r="B4162" s="3" t="s">
        <v>4</v>
      </c>
      <c r="C4162" s="2" t="str">
        <f ca="1">IFERROR(__xludf.DUMMYFUNCTION("GOOGLETRANSLATE(A4162,""bn"",""en"")"),"Similar to bank manager")</f>
        <v>Similar to bank manager</v>
      </c>
    </row>
    <row r="4163" spans="1:3" ht="15" x14ac:dyDescent="0.25">
      <c r="A4163" s="3" t="s">
        <v>4160</v>
      </c>
      <c r="B4163" s="3" t="s">
        <v>4</v>
      </c>
      <c r="C4163" s="2" t="str">
        <f ca="1">IFERROR(__xludf.DUMMYFUNCTION("GOOGLETRANSLATE(A4163,""bn"",""en"")"),"Bad classics in rhythm")</f>
        <v>Bad classics in rhythm</v>
      </c>
    </row>
    <row r="4164" spans="1:3" ht="15" x14ac:dyDescent="0.25">
      <c r="A4164" s="3" t="s">
        <v>4161</v>
      </c>
      <c r="B4164" s="3" t="s">
        <v>4</v>
      </c>
      <c r="C4164" s="2" t="str">
        <f ca="1">IFERROR(__xludf.DUMMYFUNCTION("GOOGLETRANSLATE(A4164,""bn"",""en"")"),"Travel to Paris with help")</f>
        <v>Travel to Paris with help</v>
      </c>
    </row>
    <row r="4165" spans="1:3" ht="15" x14ac:dyDescent="0.25">
      <c r="A4165" s="3" t="s">
        <v>4162</v>
      </c>
      <c r="B4165" s="3" t="s">
        <v>4</v>
      </c>
      <c r="C4165" s="2" t="str">
        <f ca="1">IFERROR(__xludf.DUMMYFUNCTION("GOOGLETRANSLATE(A4165,""bn"",""en"")"),"Bank is providing FTP facility")</f>
        <v>Bank is providing FTP facility</v>
      </c>
    </row>
    <row r="4166" spans="1:3" ht="15" x14ac:dyDescent="0.25">
      <c r="A4166" s="3" t="s">
        <v>4163</v>
      </c>
      <c r="B4166" s="3" t="s">
        <v>4</v>
      </c>
      <c r="C4166" s="2" t="str">
        <f ca="1">IFERROR(__xludf.DUMMYFUNCTION("GOOGLETRANSLATE(A4166,""bn"",""en"")"),"Showing interest in science")</f>
        <v>Showing interest in science</v>
      </c>
    </row>
    <row r="4167" spans="1:3" ht="15" x14ac:dyDescent="0.25">
      <c r="A4167" s="3" t="s">
        <v>4164</v>
      </c>
      <c r="B4167" s="3" t="s">
        <v>4</v>
      </c>
      <c r="C4167" s="2" t="str">
        <f ca="1">IFERROR(__xludf.DUMMYFUNCTION("GOOGLETRANSLATE(A4167,""bn"",""en"")"),"Calculate the increase in work")</f>
        <v>Calculate the increase in work</v>
      </c>
    </row>
    <row r="4168" spans="1:3" ht="15" x14ac:dyDescent="0.25">
      <c r="A4168" s="3" t="s">
        <v>4165</v>
      </c>
      <c r="B4168" s="3" t="s">
        <v>4</v>
      </c>
      <c r="C4168" s="2" t="str">
        <f ca="1">IFERROR(__xludf.DUMMYFUNCTION("GOOGLETRANSLATE(A4168,""bn"",""en"")"),"An educated nation is a prosperous nation")</f>
        <v>An educated nation is a prosperous nation</v>
      </c>
    </row>
    <row r="4169" spans="1:3" ht="15" x14ac:dyDescent="0.25">
      <c r="A4169" s="3" t="s">
        <v>4166</v>
      </c>
      <c r="B4169" s="3" t="s">
        <v>4</v>
      </c>
      <c r="C4169" s="2" t="str">
        <f ca="1">IFERROR(__xludf.DUMMYFUNCTION("GOOGLETRANSLATE(A4169,""bn"",""en"")"),"The film has a romantic mood")</f>
        <v>The film has a romantic mood</v>
      </c>
    </row>
    <row r="4170" spans="1:3" ht="15" x14ac:dyDescent="0.25">
      <c r="A4170" s="3" t="s">
        <v>4167</v>
      </c>
      <c r="B4170" s="3" t="s">
        <v>4</v>
      </c>
      <c r="C4170" s="2" t="str">
        <f ca="1">IFERROR(__xludf.DUMMYFUNCTION("GOOGLETRANSLATE(A4170,""bn"",""en"")"),"I see blue waves in the sea")</f>
        <v>I see blue waves in the sea</v>
      </c>
    </row>
    <row r="4171" spans="1:3" ht="15" x14ac:dyDescent="0.25">
      <c r="A4171" s="3" t="s">
        <v>4168</v>
      </c>
      <c r="B4171" s="3" t="s">
        <v>4</v>
      </c>
      <c r="C4171" s="2" t="str">
        <f ca="1">IFERROR(__xludf.DUMMYFUNCTION("GOOGLETRANSLATE(A4171,""bn"",""en"")"),"The Nue Guinea hills are high")</f>
        <v>The Nue Guinea hills are high</v>
      </c>
    </row>
    <row r="4172" spans="1:3" ht="15" x14ac:dyDescent="0.25">
      <c r="A4172" s="3" t="s">
        <v>4169</v>
      </c>
      <c r="B4172" s="3" t="s">
        <v>4</v>
      </c>
      <c r="C4172" s="2" t="str">
        <f ca="1">IFERROR(__xludf.DUMMYFUNCTION("GOOGLETRANSLATE(A4172,""bn"",""en"")"),"The movie is giving strange reports")</f>
        <v>The movie is giving strange reports</v>
      </c>
    </row>
    <row r="4173" spans="1:3" ht="15" x14ac:dyDescent="0.25">
      <c r="A4173" s="3" t="s">
        <v>4170</v>
      </c>
      <c r="B4173" s="3" t="s">
        <v>4</v>
      </c>
      <c r="C4173" s="2" t="str">
        <f ca="1">IFERROR(__xludf.DUMMYFUNCTION("GOOGLETRANSLATE(A4173,""bn"",""en"")"),"Sometimes on the skating rink")</f>
        <v>Sometimes on the skating rink</v>
      </c>
    </row>
    <row r="4174" spans="1:3" ht="15" x14ac:dyDescent="0.25">
      <c r="A4174" s="3" t="s">
        <v>4171</v>
      </c>
      <c r="B4174" s="3" t="s">
        <v>4</v>
      </c>
      <c r="C4174" s="2" t="str">
        <f ca="1">IFERROR(__xludf.DUMMYFUNCTION("GOOGLETRANSLATE(A4174,""bn"",""en"")"),"Learning computer networking basics")</f>
        <v>Learning computer networking basics</v>
      </c>
    </row>
    <row r="4175" spans="1:3" ht="15" x14ac:dyDescent="0.25">
      <c r="A4175" s="3" t="s">
        <v>4172</v>
      </c>
      <c r="B4175" s="3" t="s">
        <v>4</v>
      </c>
      <c r="C4175" s="2" t="str">
        <f ca="1">IFERROR(__xludf.DUMMYFUNCTION("GOOGLETRANSLATE(A4175,""bn"",""en"")"),"Monitor market weather")</f>
        <v>Monitor market weather</v>
      </c>
    </row>
    <row r="4176" spans="1:3" ht="15" x14ac:dyDescent="0.25">
      <c r="A4176" s="3" t="s">
        <v>4173</v>
      </c>
      <c r="B4176" s="3" t="s">
        <v>4</v>
      </c>
      <c r="C4176" s="2" t="str">
        <f ca="1">IFERROR(__xludf.DUMMYFUNCTION("GOOGLETRANSLATE(A4176,""bn"",""en"")"),"Explain the personal finance situation")</f>
        <v>Explain the personal finance situation</v>
      </c>
    </row>
    <row r="4177" spans="1:3" ht="15" x14ac:dyDescent="0.25">
      <c r="A4177" s="3" t="s">
        <v>4174</v>
      </c>
      <c r="B4177" s="3" t="s">
        <v>4</v>
      </c>
      <c r="C4177" s="2" t="str">
        <f ca="1">IFERROR(__xludf.DUMMYFUNCTION("GOOGLETRANSLATE(A4177,""bn"",""en"")"),"Time to travel far away")</f>
        <v>Time to travel far away</v>
      </c>
    </row>
    <row r="4178" spans="1:3" ht="15" x14ac:dyDescent="0.25">
      <c r="A4178" s="3" t="s">
        <v>4175</v>
      </c>
      <c r="B4178" s="3" t="s">
        <v>4</v>
      </c>
      <c r="C4178" s="2" t="str">
        <f ca="1">IFERROR(__xludf.DUMMYFUNCTION("GOOGLETRANSLATE(A4178,""bn"",""en"")"),"Determine to raise capital")</f>
        <v>Determine to raise capital</v>
      </c>
    </row>
    <row r="4179" spans="1:3" ht="15" x14ac:dyDescent="0.25">
      <c r="A4179" s="3" t="s">
        <v>4176</v>
      </c>
      <c r="B4179" s="3" t="s">
        <v>4</v>
      </c>
      <c r="C4179" s="2" t="str">
        <f ca="1">IFERROR(__xludf.DUMMYFUNCTION("GOOGLETRANSLATE(A4179,""bn"",""en"")"),"Can make swimming")</f>
        <v>Can make swimming</v>
      </c>
    </row>
    <row r="4180" spans="1:3" ht="15" x14ac:dyDescent="0.25">
      <c r="A4180" s="3" t="s">
        <v>4177</v>
      </c>
      <c r="B4180" s="3" t="s">
        <v>4</v>
      </c>
      <c r="C4180" s="2" t="str">
        <f ca="1">IFERROR(__xludf.DUMMYFUNCTION("GOOGLETRANSLATE(A4180,""bn"",""en"")"),"I see impressive acting")</f>
        <v>I see impressive acting</v>
      </c>
    </row>
    <row r="4181" spans="1:3" ht="15" x14ac:dyDescent="0.25">
      <c r="A4181" s="3" t="s">
        <v>4178</v>
      </c>
      <c r="B4181" s="3" t="s">
        <v>4</v>
      </c>
      <c r="C4181" s="2" t="str">
        <f ca="1">IFERROR(__xludf.DUMMYFUNCTION("GOOGLETRANSLATE(A4181,""bn"",""en"")"),"Children play in the park")</f>
        <v>Children play in the park</v>
      </c>
    </row>
    <row r="4182" spans="1:3" ht="15" x14ac:dyDescent="0.25">
      <c r="A4182" s="3" t="s">
        <v>4179</v>
      </c>
      <c r="B4182" s="3" t="s">
        <v>4</v>
      </c>
      <c r="C4182" s="2" t="str">
        <f ca="1">IFERROR(__xludf.DUMMYFUNCTION("GOOGLETRANSLATE(A4182,""bn"",""en"")"),"Increase your account")</f>
        <v>Increase your account</v>
      </c>
    </row>
    <row r="4183" spans="1:3" ht="15" x14ac:dyDescent="0.25">
      <c r="A4183" s="3" t="s">
        <v>4180</v>
      </c>
      <c r="B4183" s="3" t="s">
        <v>4</v>
      </c>
      <c r="C4183" s="2" t="str">
        <f ca="1">IFERROR(__xludf.DUMMYFUNCTION("GOOGLETRANSLATE(A4183,""bn"",""en"")"),"I did a courtship")</f>
        <v>I did a courtship</v>
      </c>
    </row>
    <row r="4184" spans="1:3" ht="15" x14ac:dyDescent="0.25">
      <c r="A4184" s="3" t="s">
        <v>4181</v>
      </c>
      <c r="B4184" s="3" t="s">
        <v>4</v>
      </c>
      <c r="C4184" s="2" t="str">
        <f ca="1">IFERROR(__xludf.DUMMYFUNCTION("GOOGLETRANSLATE(A4184,""bn"",""en"")"),"Cricket matches are good to watch")</f>
        <v>Cricket matches are good to watch</v>
      </c>
    </row>
    <row r="4185" spans="1:3" ht="15" x14ac:dyDescent="0.25">
      <c r="A4185" s="3" t="s">
        <v>4182</v>
      </c>
      <c r="B4185" s="3" t="s">
        <v>4</v>
      </c>
      <c r="C4185" s="2" t="str">
        <f ca="1">IFERROR(__xludf.DUMMYFUNCTION("GOOGLETRANSLATE(A4185,""bn"",""en"")"),"The Sahara extends into temperate Africa")</f>
        <v>The Sahara extends into temperate Africa</v>
      </c>
    </row>
    <row r="4186" spans="1:3" ht="15" x14ac:dyDescent="0.25">
      <c r="A4186" s="3" t="s">
        <v>4183</v>
      </c>
      <c r="B4186" s="3" t="s">
        <v>4</v>
      </c>
      <c r="C4186" s="2" t="str">
        <f ca="1">IFERROR(__xludf.DUMMYFUNCTION("GOOGLETRANSLATE(A4186,""bn"",""en"")"),"Increasing public support for party institutions")</f>
        <v>Increasing public support for party institutions</v>
      </c>
    </row>
    <row r="4187" spans="1:3" ht="15" x14ac:dyDescent="0.25">
      <c r="A4187" s="3" t="s">
        <v>4184</v>
      </c>
      <c r="B4187" s="3" t="s">
        <v>4</v>
      </c>
      <c r="C4187" s="2" t="str">
        <f ca="1">IFERROR(__xludf.DUMMYFUNCTION("GOOGLETRANSLATE(A4187,""bn"",""en"")"),"Travel to the Kingdom of Adoud")</f>
        <v>Travel to the Kingdom of Adoud</v>
      </c>
    </row>
    <row r="4188" spans="1:3" ht="15" x14ac:dyDescent="0.25">
      <c r="A4188" s="3" t="s">
        <v>4185</v>
      </c>
      <c r="B4188" s="3" t="s">
        <v>4</v>
      </c>
      <c r="C4188" s="2" t="str">
        <f ca="1">IFERROR(__xludf.DUMMYFUNCTION("GOOGLETRANSLATE(A4188,""bn"",""en"")"),"Society is improved through education")</f>
        <v>Society is improved through education</v>
      </c>
    </row>
    <row r="4189" spans="1:3" ht="15" x14ac:dyDescent="0.25">
      <c r="A4189" s="3" t="s">
        <v>4186</v>
      </c>
      <c r="B4189" s="3" t="s">
        <v>4</v>
      </c>
      <c r="C4189" s="2" t="str">
        <f ca="1">IFERROR(__xludf.DUMMYFUNCTION("GOOGLETRANSLATE(A4189,""bn"",""en"")"),"Watch modern day movies")</f>
        <v>Watch modern day movies</v>
      </c>
    </row>
    <row r="4190" spans="1:3" ht="15" x14ac:dyDescent="0.25">
      <c r="A4190" s="3" t="s">
        <v>4187</v>
      </c>
      <c r="B4190" s="3" t="s">
        <v>4</v>
      </c>
      <c r="C4190" s="2" t="str">
        <f ca="1">IFERROR(__xludf.DUMMYFUNCTION("GOOGLETRANSLATE(A4190,""bn"",""en"")"),"I like to play tennis")</f>
        <v>I like to play tennis</v>
      </c>
    </row>
    <row r="4191" spans="1:3" ht="15" x14ac:dyDescent="0.25">
      <c r="A4191" s="3" t="s">
        <v>4188</v>
      </c>
      <c r="B4191" s="3" t="s">
        <v>4</v>
      </c>
      <c r="C4191" s="2" t="str">
        <f ca="1">IFERROR(__xludf.DUMMYFUNCTION("GOOGLETRANSLATE(A4191,""bn"",""en"")"),"Set up computer networks")</f>
        <v>Set up computer networks</v>
      </c>
    </row>
    <row r="4192" spans="1:3" ht="15" x14ac:dyDescent="0.25">
      <c r="A4192" s="3" t="s">
        <v>4189</v>
      </c>
      <c r="B4192" s="3" t="s">
        <v>4</v>
      </c>
      <c r="C4192" s="2" t="str">
        <f ca="1">IFERROR(__xludf.DUMMYFUNCTION("GOOGLETRANSLATE(A4192,""bn"",""en"")"),"Enhance data visualization techniques")</f>
        <v>Enhance data visualization techniques</v>
      </c>
    </row>
    <row r="4193" spans="1:3" ht="15" x14ac:dyDescent="0.25">
      <c r="A4193" s="3" t="s">
        <v>4190</v>
      </c>
      <c r="B4193" s="3" t="s">
        <v>4</v>
      </c>
      <c r="C4193" s="2" t="str">
        <f ca="1">IFERROR(__xludf.DUMMYFUNCTION("GOOGLETRANSLATE(A4193,""bn"",""en"")"),"Skating is a special skill")</f>
        <v>Skating is a special skill</v>
      </c>
    </row>
    <row r="4194" spans="1:3" ht="15" x14ac:dyDescent="0.25">
      <c r="A4194" s="3" t="s">
        <v>4191</v>
      </c>
      <c r="B4194" s="3" t="s">
        <v>4</v>
      </c>
      <c r="C4194" s="2" t="str">
        <f ca="1">IFERROR(__xludf.DUMMYFUNCTION("GOOGLETRANSLATE(A4194,""bn"",""en"")"),"His tone sounds strange")</f>
        <v>His tone sounds strange</v>
      </c>
    </row>
    <row r="4195" spans="1:3" ht="15" x14ac:dyDescent="0.25">
      <c r="A4195" s="3" t="s">
        <v>4192</v>
      </c>
      <c r="B4195" s="3" t="s">
        <v>4</v>
      </c>
      <c r="C4195" s="2" t="str">
        <f ca="1">IFERROR(__xludf.DUMMYFUNCTION("GOOGLETRANSLATE(A4195,""bn"",""en"")"),"Improve economies around the world")</f>
        <v>Improve economies around the world</v>
      </c>
    </row>
    <row r="4196" spans="1:3" ht="15" x14ac:dyDescent="0.25">
      <c r="A4196" s="3" t="s">
        <v>4193</v>
      </c>
      <c r="B4196" s="3" t="s">
        <v>4</v>
      </c>
      <c r="C4196" s="2" t="str">
        <f ca="1">IFERROR(__xludf.DUMMYFUNCTION("GOOGLETRANSLATE(A4196,""bn"",""en"")"),"Mobile Application Development Training")</f>
        <v>Mobile Application Development Training</v>
      </c>
    </row>
    <row r="4197" spans="1:3" ht="15" x14ac:dyDescent="0.25">
      <c r="A4197" s="3" t="s">
        <v>4194</v>
      </c>
      <c r="B4197" s="3" t="s">
        <v>4</v>
      </c>
      <c r="C4197" s="2" t="str">
        <f ca="1">IFERROR(__xludf.DUMMYFUNCTION("GOOGLETRANSLATE(A4197,""bn"",""en"")"),"The sound is playing in golden tones")</f>
        <v>The sound is playing in golden tones</v>
      </c>
    </row>
    <row r="4198" spans="1:3" ht="15" x14ac:dyDescent="0.25">
      <c r="A4198" s="3" t="s">
        <v>4195</v>
      </c>
      <c r="B4198" s="3" t="s">
        <v>4</v>
      </c>
      <c r="C4198" s="2" t="str">
        <f ca="1">IFERROR(__xludf.DUMMYFUNCTION("GOOGLETRANSLATE(A4198,""bn"",""en"")"),"New program for students")</f>
        <v>New program for students</v>
      </c>
    </row>
    <row r="4199" spans="1:3" ht="15" x14ac:dyDescent="0.25">
      <c r="A4199" s="3" t="s">
        <v>4196</v>
      </c>
      <c r="B4199" s="3" t="s">
        <v>4</v>
      </c>
      <c r="C4199" s="2" t="str">
        <f ca="1">IFERROR(__xludf.DUMMYFUNCTION("GOOGLETRANSLATE(A4199,""bn"",""en"")"),"Flood sources in the Amazon River")</f>
        <v>Flood sources in the Amazon River</v>
      </c>
    </row>
    <row r="4200" spans="1:3" ht="15" x14ac:dyDescent="0.25">
      <c r="A4200" s="3" t="s">
        <v>4197</v>
      </c>
      <c r="B4200" s="3" t="s">
        <v>4</v>
      </c>
      <c r="C4200" s="2" t="str">
        <f ca="1">IFERROR(__xludf.DUMMYFUNCTION("GOOGLETRANSLATE(A4200,""bn"",""en"")"),"This is a wonderful story")</f>
        <v>This is a wonderful story</v>
      </c>
    </row>
    <row r="4201" spans="1:3" ht="15" x14ac:dyDescent="0.25">
      <c r="A4201" s="3" t="s">
        <v>4198</v>
      </c>
      <c r="B4201" s="3" t="s">
        <v>4</v>
      </c>
      <c r="C4201" s="2" t="str">
        <f ca="1">IFERROR(__xludf.DUMMYFUNCTION("GOOGLETRANSLATE(A4201,""bn"",""en"")"),"Exchange of new leaders in the party")</f>
        <v>Exchange of new leaders in the party</v>
      </c>
    </row>
    <row r="4202" spans="1:3" ht="15" x14ac:dyDescent="0.25">
      <c r="A4202" s="3" t="s">
        <v>4199</v>
      </c>
      <c r="B4202" s="3" t="s">
        <v>4</v>
      </c>
      <c r="C4202" s="2" t="str">
        <f ca="1">IFERROR(__xludf.DUMMYFUNCTION("GOOGLETRANSLATE(A4202,""bn"",""en"")"),"Vote for President everyone")</f>
        <v>Vote for President everyone</v>
      </c>
    </row>
    <row r="4203" spans="1:3" ht="15" x14ac:dyDescent="0.25">
      <c r="A4203" s="3" t="s">
        <v>4200</v>
      </c>
      <c r="B4203" s="3" t="s">
        <v>4</v>
      </c>
      <c r="C4203" s="2" t="str">
        <f ca="1">IFERROR(__xludf.DUMMYFUNCTION("GOOGLETRANSLATE(A4203,""bn"",""en"")"),"People are resting on the shore")</f>
        <v>People are resting on the shore</v>
      </c>
    </row>
    <row r="4204" spans="1:3" ht="15" x14ac:dyDescent="0.25">
      <c r="A4204" s="3" t="s">
        <v>4201</v>
      </c>
      <c r="B4204" s="3" t="s">
        <v>4</v>
      </c>
      <c r="C4204" s="2" t="str">
        <f ca="1">IFERROR(__xludf.DUMMYFUNCTION("GOOGLETRANSLATE(A4204,""bn"",""en"")"),"Adversary forces have prevailed")</f>
        <v>Adversary forces have prevailed</v>
      </c>
    </row>
    <row r="4205" spans="1:3" ht="15" x14ac:dyDescent="0.25">
      <c r="A4205" s="3" t="s">
        <v>4202</v>
      </c>
      <c r="B4205" s="3" t="s">
        <v>4</v>
      </c>
      <c r="C4205" s="2" t="str">
        <f ca="1">IFERROR(__xludf.DUMMYFUNCTION("GOOGLETRANSLATE(A4205,""bn"",""en"")"),"I am going to the book fair on the 21st")</f>
        <v>I am going to the book fair on the 21st</v>
      </c>
    </row>
    <row r="4206" spans="1:3" ht="15" x14ac:dyDescent="0.25">
      <c r="A4206" s="3" t="s">
        <v>4203</v>
      </c>
      <c r="B4206" s="3" t="s">
        <v>4</v>
      </c>
      <c r="C4206" s="2" t="str">
        <f ca="1">IFERROR(__xludf.DUMMYFUNCTION("GOOGLETRANSLATE(A4206,""bn"",""en"")"),"Teacher teaching is changing")</f>
        <v>Teacher teaching is changing</v>
      </c>
    </row>
    <row r="4207" spans="1:3" ht="15" x14ac:dyDescent="0.25">
      <c r="A4207" s="3" t="s">
        <v>4204</v>
      </c>
      <c r="B4207" s="3" t="s">
        <v>4</v>
      </c>
      <c r="C4207" s="2" t="str">
        <f ca="1">IFERROR(__xludf.DUMMYFUNCTION("GOOGLETRANSLATE(A4207,""bn"",""en"")"),"I exercise by swimming")</f>
        <v>I exercise by swimming</v>
      </c>
    </row>
    <row r="4208" spans="1:3" ht="15" x14ac:dyDescent="0.25">
      <c r="A4208" s="3" t="s">
        <v>4205</v>
      </c>
      <c r="B4208" s="3" t="s">
        <v>4</v>
      </c>
      <c r="C4208" s="2" t="str">
        <f ca="1">IFERROR(__xludf.DUMMYFUNCTION("GOOGLETRANSLATE(A4208,""bn"",""en"")"),"Education with experts is required")</f>
        <v>Education with experts is required</v>
      </c>
    </row>
    <row r="4209" spans="1:3" ht="15" x14ac:dyDescent="0.25">
      <c r="A4209" s="3" t="s">
        <v>4206</v>
      </c>
      <c r="B4209" s="3" t="s">
        <v>4</v>
      </c>
      <c r="C4209" s="2" t="str">
        <f ca="1">IFERROR(__xludf.DUMMYFUNCTION("GOOGLETRANSLATE(A4209,""bn"",""en"")"),"Biometric activation is being approved")</f>
        <v>Biometric activation is being approved</v>
      </c>
    </row>
    <row r="4210" spans="1:3" ht="15" x14ac:dyDescent="0.25">
      <c r="A4210" s="3" t="s">
        <v>4207</v>
      </c>
      <c r="B4210" s="3" t="s">
        <v>4</v>
      </c>
      <c r="C4210" s="2" t="str">
        <f ca="1">IFERROR(__xludf.DUMMYFUNCTION("GOOGLETRANSLATE(A4210,""bn"",""en"")"),"Life is better with proper education")</f>
        <v>Life is better with proper education</v>
      </c>
    </row>
    <row r="4211" spans="1:3" ht="15" x14ac:dyDescent="0.25">
      <c r="A4211" s="3" t="s">
        <v>4208</v>
      </c>
      <c r="B4211" s="3" t="s">
        <v>4</v>
      </c>
      <c r="C4211" s="2" t="str">
        <f ca="1">IFERROR(__xludf.DUMMYFUNCTION("GOOGLETRANSLATE(A4211,""bn"",""en"")"),"It rained on the beach")</f>
        <v>It rained on the beach</v>
      </c>
    </row>
    <row r="4212" spans="1:3" ht="15" x14ac:dyDescent="0.25">
      <c r="A4212" s="3" t="s">
        <v>4209</v>
      </c>
      <c r="B4212" s="3" t="s">
        <v>4</v>
      </c>
      <c r="C4212" s="2" t="str">
        <f ca="1">IFERROR(__xludf.DUMMYFUNCTION("GOOGLETRANSLATE(A4212,""bn"",""en"")"),"Education is the light year of knowledge")</f>
        <v>Education is the light year of knowledge</v>
      </c>
    </row>
    <row r="4213" spans="1:3" ht="15" x14ac:dyDescent="0.25">
      <c r="A4213" s="3" t="s">
        <v>4210</v>
      </c>
      <c r="B4213" s="3" t="s">
        <v>4</v>
      </c>
      <c r="C4213" s="2" t="str">
        <f ca="1">IFERROR(__xludf.DUMMYFUNCTION("GOOGLETRANSLATE(A4213,""bn"",""en"")"),"Proper preparation for the exam")</f>
        <v>Proper preparation for the exam</v>
      </c>
    </row>
    <row r="4214" spans="1:3" ht="15" x14ac:dyDescent="0.25">
      <c r="A4214" s="3" t="s">
        <v>4211</v>
      </c>
      <c r="B4214" s="3" t="s">
        <v>4</v>
      </c>
      <c r="C4214" s="2" t="str">
        <f ca="1">IFERROR(__xludf.DUMMYFUNCTION("GOOGLETRANSLATE(A4214,""bn"",""en"")"),"There is a conflict between the leaders")</f>
        <v>There is a conflict between the leaders</v>
      </c>
    </row>
    <row r="4215" spans="1:3" ht="15" x14ac:dyDescent="0.25">
      <c r="A4215" s="3" t="s">
        <v>4212</v>
      </c>
      <c r="B4215" s="3" t="s">
        <v>4</v>
      </c>
      <c r="C4215" s="2" t="str">
        <f ca="1">IFERROR(__xludf.DUMMYFUNCTION("GOOGLETRANSLATE(A4215,""bn"",""en"")"),"Economy has social preparedness")</f>
        <v>Economy has social preparedness</v>
      </c>
    </row>
    <row r="4216" spans="1:3" ht="15" x14ac:dyDescent="0.25">
      <c r="A4216" s="3" t="s">
        <v>4213</v>
      </c>
      <c r="B4216" s="3" t="s">
        <v>4</v>
      </c>
      <c r="C4216" s="2" t="str">
        <f ca="1">IFERROR(__xludf.DUMMYFUNCTION("GOOGLETRANSLATE(A4216,""bn"",""en"")"),"Politics examines the human rights situation")</f>
        <v>Politics examines the human rights situation</v>
      </c>
    </row>
    <row r="4217" spans="1:3" ht="15" x14ac:dyDescent="0.25">
      <c r="A4217" s="3" t="s">
        <v>4214</v>
      </c>
      <c r="B4217" s="3" t="s">
        <v>4</v>
      </c>
      <c r="C4217" s="2" t="str">
        <f ca="1">IFERROR(__xludf.DUMMYFUNCTION("GOOGLETRANSLATE(A4217,""bn"",""en"")"),"Nanotechnology and Materials Science")</f>
        <v>Nanotechnology and Materials Science</v>
      </c>
    </row>
    <row r="4218" spans="1:3" ht="15" x14ac:dyDescent="0.25">
      <c r="A4218" s="3" t="s">
        <v>4215</v>
      </c>
      <c r="B4218" s="3" t="s">
        <v>4</v>
      </c>
      <c r="C4218" s="2" t="str">
        <f ca="1">IFERROR(__xludf.DUMMYFUNCTION("GOOGLETRANSLATE(A4218,""bn"",""en"")"),"Vote against everyone")</f>
        <v>Vote against everyone</v>
      </c>
    </row>
    <row r="4219" spans="1:3" ht="15" x14ac:dyDescent="0.25">
      <c r="A4219" s="3" t="s">
        <v>4216</v>
      </c>
      <c r="B4219" s="3" t="s">
        <v>4</v>
      </c>
      <c r="C4219" s="2" t="str">
        <f ca="1">IFERROR(__xludf.DUMMYFUNCTION("GOOGLETRANSLATE(A4219,""bn"",""en"")"),"The sea is lying on the shore")</f>
        <v>The sea is lying on the shore</v>
      </c>
    </row>
    <row r="4220" spans="1:3" ht="15" x14ac:dyDescent="0.25">
      <c r="A4220" s="3" t="s">
        <v>4217</v>
      </c>
      <c r="B4220" s="3" t="s">
        <v>4</v>
      </c>
      <c r="C4220" s="2" t="str">
        <f ca="1">IFERROR(__xludf.DUMMYFUNCTION("GOOGLETRANSLATE(A4220,""bn"",""en"")"),"Hockey match next week")</f>
        <v>Hockey match next week</v>
      </c>
    </row>
    <row r="4221" spans="1:3" ht="15" x14ac:dyDescent="0.25">
      <c r="A4221" s="3" t="s">
        <v>4218</v>
      </c>
      <c r="B4221" s="3" t="s">
        <v>4</v>
      </c>
      <c r="C4221" s="2" t="str">
        <f ca="1">IFERROR(__xludf.DUMMYFUNCTION("GOOGLETRANSLATE(A4221,""bn"",""en"")"),"I like to play skating")</f>
        <v>I like to play skating</v>
      </c>
    </row>
    <row r="4222" spans="1:3" ht="15" x14ac:dyDescent="0.25">
      <c r="A4222" s="3" t="s">
        <v>4219</v>
      </c>
      <c r="B4222" s="3" t="s">
        <v>4</v>
      </c>
      <c r="C4222" s="2" t="str">
        <f ca="1">IFERROR(__xludf.DUMMYFUNCTION("GOOGLETRANSLATE(A4222,""bn"",""en"")"),"A well made film")</f>
        <v>A well made film</v>
      </c>
    </row>
    <row r="4223" spans="1:3" ht="15" x14ac:dyDescent="0.25">
      <c r="A4223" s="3" t="s">
        <v>4220</v>
      </c>
      <c r="B4223" s="3" t="s">
        <v>4</v>
      </c>
      <c r="C4223" s="2" t="str">
        <f ca="1">IFERROR(__xludf.DUMMYFUNCTION("GOOGLETRANSLATE(A4223,""bn"",""en"")"),"They have to ride bicycles")</f>
        <v>They have to ride bicycles</v>
      </c>
    </row>
    <row r="4224" spans="1:3" ht="15" x14ac:dyDescent="0.25">
      <c r="A4224" s="3" t="s">
        <v>4221</v>
      </c>
      <c r="B4224" s="3" t="s">
        <v>4</v>
      </c>
      <c r="C4224" s="2" t="str">
        <f ca="1">IFERROR(__xludf.DUMMYFUNCTION("GOOGLETRANSLATE(A4224,""bn"",""en"")"),"Do smartphone application development")</f>
        <v>Do smartphone application development</v>
      </c>
    </row>
    <row r="4225" spans="1:3" ht="15" x14ac:dyDescent="0.25">
      <c r="A4225" s="3" t="s">
        <v>4222</v>
      </c>
      <c r="B4225" s="3" t="s">
        <v>4</v>
      </c>
      <c r="C4225" s="2" t="str">
        <f ca="1">IFERROR(__xludf.DUMMYFUNCTION("GOOGLETRANSLATE(A4225,""bn"",""en"")"),"Useful courses for students")</f>
        <v>Useful courses for students</v>
      </c>
    </row>
    <row r="4226" spans="1:3" ht="15" x14ac:dyDescent="0.25">
      <c r="A4226" s="3" t="s">
        <v>4223</v>
      </c>
      <c r="B4226" s="3" t="s">
        <v>4</v>
      </c>
      <c r="C4226" s="2" t="str">
        <f ca="1">IFERROR(__xludf.DUMMYFUNCTION("GOOGLETRANSLATE(A4226,""bn"",""en"")"),"Skating is a hobby")</f>
        <v>Skating is a hobby</v>
      </c>
    </row>
    <row r="4227" spans="1:3" ht="15" x14ac:dyDescent="0.25">
      <c r="A4227" s="3" t="s">
        <v>4224</v>
      </c>
      <c r="B4227" s="3" t="s">
        <v>4</v>
      </c>
      <c r="C4227" s="2" t="str">
        <f ca="1">IFERROR(__xludf.DUMMYFUNCTION("GOOGLETRANSLATE(A4227,""bn"",""en"")"),"The heroine acts well")</f>
        <v>The heroine acts well</v>
      </c>
    </row>
    <row r="4228" spans="1:3" ht="15" x14ac:dyDescent="0.25">
      <c r="A4228" s="3" t="s">
        <v>4225</v>
      </c>
      <c r="B4228" s="3" t="s">
        <v>4</v>
      </c>
      <c r="C4228" s="2" t="str">
        <f ca="1">IFERROR(__xludf.DUMMYFUNCTION("GOOGLETRANSLATE(A4228,""bn"",""en"")"),"The perspective of the wary is seen")</f>
        <v>The perspective of the wary is seen</v>
      </c>
    </row>
    <row r="4229" spans="1:3" ht="15" x14ac:dyDescent="0.25">
      <c r="A4229" s="3" t="s">
        <v>4226</v>
      </c>
      <c r="B4229" s="3" t="s">
        <v>4</v>
      </c>
      <c r="C4229" s="2" t="str">
        <f ca="1">IFERROR(__xludf.DUMMYFUNCTION("GOOGLETRANSLATE(A4229,""bn"",""en"")"),"Study Viral Marketing Strategy")</f>
        <v>Study Viral Marketing Strategy</v>
      </c>
    </row>
    <row r="4230" spans="1:3" ht="15" x14ac:dyDescent="0.25">
      <c r="A4230" s="3" t="s">
        <v>4227</v>
      </c>
      <c r="B4230" s="3" t="s">
        <v>4</v>
      </c>
      <c r="C4230" s="2" t="str">
        <f ca="1">IFERROR(__xludf.DUMMYFUNCTION("GOOGLETRANSLATE(A4230,""bn"",""en"")"),"Cyber ​​Security Expert Training")</f>
        <v>Cyber ​​Security Expert Training</v>
      </c>
    </row>
    <row r="4231" spans="1:3" ht="15" x14ac:dyDescent="0.25">
      <c r="A4231" s="3" t="s">
        <v>4228</v>
      </c>
      <c r="B4231" s="3" t="s">
        <v>4</v>
      </c>
      <c r="C4231" s="2" t="str">
        <f ca="1">IFERROR(__xludf.DUMMYFUNCTION("GOOGLETRANSLATE(A4231,""bn"",""en"")"),"Save the constitution everyone")</f>
        <v>Save the constitution everyone</v>
      </c>
    </row>
    <row r="4232" spans="1:3" ht="15" x14ac:dyDescent="0.25">
      <c r="A4232" s="3" t="s">
        <v>4229</v>
      </c>
      <c r="B4232" s="3" t="s">
        <v>4</v>
      </c>
      <c r="C4232" s="2" t="str">
        <f ca="1">IFERROR(__xludf.DUMMYFUNCTION("GOOGLETRANSLATE(A4232,""bn"",""en"")"),"The hockey match looks amazing")</f>
        <v>The hockey match looks amazing</v>
      </c>
    </row>
    <row r="4233" spans="1:3" ht="15" x14ac:dyDescent="0.25">
      <c r="A4233" s="3" t="s">
        <v>4230</v>
      </c>
      <c r="B4233" s="3" t="s">
        <v>4</v>
      </c>
      <c r="C4233" s="2" t="str">
        <f ca="1">IFERROR(__xludf.DUMMYFUNCTION("GOOGLETRANSLATE(A4233,""bn"",""en"")"),"Remember the hockey match")</f>
        <v>Remember the hockey match</v>
      </c>
    </row>
    <row r="4234" spans="1:3" ht="15" x14ac:dyDescent="0.25">
      <c r="A4234" s="3" t="s">
        <v>4231</v>
      </c>
      <c r="B4234" s="3" t="s">
        <v>4</v>
      </c>
      <c r="C4234" s="2" t="str">
        <f ca="1">IFERROR(__xludf.DUMMYFUNCTION("GOOGLETRANSLATE(A4234,""bn"",""en"")"),"Public support for amending the constitution is underway")</f>
        <v>Public support for amending the constitution is underway</v>
      </c>
    </row>
    <row r="4235" spans="1:3" ht="15" x14ac:dyDescent="0.25">
      <c r="A4235" s="3" t="s">
        <v>4232</v>
      </c>
      <c r="B4235" s="3" t="s">
        <v>4</v>
      </c>
      <c r="C4235" s="2" t="str">
        <f ca="1">IFERROR(__xludf.DUMMYFUNCTION("GOOGLETRANSLATE(A4235,""bn"",""en"")"),"Some funny incidents in the movie")</f>
        <v>Some funny incidents in the movie</v>
      </c>
    </row>
    <row r="4236" spans="1:3" ht="15" x14ac:dyDescent="0.25">
      <c r="A4236" s="3" t="s">
        <v>4233</v>
      </c>
      <c r="B4236" s="3" t="s">
        <v>4</v>
      </c>
      <c r="C4236" s="2" t="str">
        <f ca="1">IFERROR(__xludf.DUMMYFUNCTION("GOOGLETRANSLATE(A4236,""bn"",""en"")"),"Weird scifi going on")</f>
        <v>Weird scifi going on</v>
      </c>
    </row>
    <row r="4237" spans="1:3" ht="15" x14ac:dyDescent="0.25">
      <c r="A4237" s="3" t="s">
        <v>4234</v>
      </c>
      <c r="B4237" s="3" t="s">
        <v>4</v>
      </c>
      <c r="C4237" s="2" t="str">
        <f ca="1">IFERROR(__xludf.DUMMYFUNCTION("GOOGLETRANSLATE(A4237,""bn"",""en"")"),"Romantic song by Srikanth Acharya")</f>
        <v>Romantic song by Srikanth Acharya</v>
      </c>
    </row>
    <row r="4238" spans="1:3" ht="15" x14ac:dyDescent="0.25">
      <c r="A4238" s="3" t="s">
        <v>4235</v>
      </c>
      <c r="B4238" s="3" t="s">
        <v>4</v>
      </c>
      <c r="C4238" s="2" t="str">
        <f ca="1">IFERROR(__xludf.DUMMYFUNCTION("GOOGLETRANSLATE(A4238,""bn"",""en"")"),"Come down the soccer ball")</f>
        <v>Come down the soccer ball</v>
      </c>
    </row>
    <row r="4239" spans="1:3" ht="15" x14ac:dyDescent="0.25">
      <c r="A4239" s="3" t="s">
        <v>4236</v>
      </c>
      <c r="B4239" s="3" t="s">
        <v>4</v>
      </c>
      <c r="C4239" s="2" t="str">
        <f ca="1">IFERROR(__xludf.DUMMYFUNCTION("GOOGLETRANSLATE(A4239,""bn"",""en"")"),"Visit Mujibnagar Memorial")</f>
        <v>Visit Mujibnagar Memorial</v>
      </c>
    </row>
    <row r="4240" spans="1:3" ht="15" x14ac:dyDescent="0.25">
      <c r="A4240" s="3" t="s">
        <v>4237</v>
      </c>
      <c r="B4240" s="3" t="s">
        <v>4</v>
      </c>
      <c r="C4240" s="2" t="str">
        <f ca="1">IFERROR(__xludf.DUMMYFUNCTION("GOOGLETRANSLATE(A4240,""bn"",""en"")"),"Secure your card")</f>
        <v>Secure your card</v>
      </c>
    </row>
    <row r="4241" spans="1:3" ht="15" x14ac:dyDescent="0.25">
      <c r="A4241" s="3" t="s">
        <v>4238</v>
      </c>
      <c r="B4241" s="3" t="s">
        <v>4</v>
      </c>
      <c r="C4241" s="2" t="str">
        <f ca="1">IFERROR(__xludf.DUMMYFUNCTION("GOOGLETRANSLATE(A4241,""bn"",""en"")"),"Check credit score")</f>
        <v>Check credit score</v>
      </c>
    </row>
    <row r="4242" spans="1:3" ht="15" x14ac:dyDescent="0.25">
      <c r="A4242" s="3" t="s">
        <v>4239</v>
      </c>
      <c r="B4242" s="3" t="s">
        <v>4</v>
      </c>
      <c r="C4242" s="2" t="str">
        <f ca="1">IFERROR(__xludf.DUMMYFUNCTION("GOOGLETRANSLATE(A4242,""bn"",""en"")"),"Suspense is going on in the bullet train")</f>
        <v>Suspense is going on in the bullet train</v>
      </c>
    </row>
    <row r="4243" spans="1:3" ht="15" x14ac:dyDescent="0.25">
      <c r="A4243" s="3" t="s">
        <v>4240</v>
      </c>
      <c r="B4243" s="3" t="s">
        <v>4</v>
      </c>
      <c r="C4243" s="2" t="str">
        <f ca="1">IFERROR(__xludf.DUMMYFUNCTION("GOOGLETRANSLATE(A4243,""bn"",""en"")"),"Communication was good in the story")</f>
        <v>Communication was good in the story</v>
      </c>
    </row>
    <row r="4244" spans="1:3" ht="15" x14ac:dyDescent="0.25">
      <c r="A4244" s="3" t="s">
        <v>4241</v>
      </c>
      <c r="B4244" s="3" t="s">
        <v>4</v>
      </c>
      <c r="C4244" s="2" t="str">
        <f ca="1">IFERROR(__xludf.DUMMYFUNCTION("GOOGLETRANSLATE(A4244,""bn"",""en"")"),"Funny comedy laugh day")</f>
        <v>Funny comedy laugh day</v>
      </c>
    </row>
    <row r="4245" spans="1:3" ht="15" x14ac:dyDescent="0.25">
      <c r="A4245" s="3" t="s">
        <v>4242</v>
      </c>
      <c r="B4245" s="3" t="s">
        <v>4</v>
      </c>
      <c r="C4245" s="2" t="str">
        <f ca="1">IFERROR(__xludf.DUMMYFUNCTION("GOOGLETRANSLATE(A4245,""bn"",""en"")"),"Have fun at the beach")</f>
        <v>Have fun at the beach</v>
      </c>
    </row>
    <row r="4246" spans="1:3" ht="15" x14ac:dyDescent="0.25">
      <c r="A4246" s="3" t="s">
        <v>4243</v>
      </c>
      <c r="B4246" s="3" t="s">
        <v>4</v>
      </c>
      <c r="C4246" s="2" t="str">
        <f ca="1">IFERROR(__xludf.DUMMYFUNCTION("GOOGLETRANSLATE(A4246,""bn"",""en"")"),"Search with experts")</f>
        <v>Search with experts</v>
      </c>
    </row>
    <row r="4247" spans="1:3" ht="15" x14ac:dyDescent="0.25">
      <c r="A4247" s="3" t="s">
        <v>4244</v>
      </c>
      <c r="B4247" s="3" t="s">
        <v>4</v>
      </c>
      <c r="C4247" s="2" t="str">
        <f ca="1">IFERROR(__xludf.DUMMYFUNCTION("GOOGLETRANSLATE(A4247,""bn"",""en"")"),"They are infatuated with opponents in battle")</f>
        <v>They are infatuated with opponents in battle</v>
      </c>
    </row>
    <row r="4248" spans="1:3" ht="15" x14ac:dyDescent="0.25">
      <c r="A4248" s="3" t="s">
        <v>4245</v>
      </c>
      <c r="B4248" s="3" t="s">
        <v>4</v>
      </c>
      <c r="C4248" s="2" t="str">
        <f ca="1">IFERROR(__xludf.DUMMYFUNCTION("GOOGLETRANSLATE(A4248,""bn"",""en"")"),"Golden Debit Card Opportunity")</f>
        <v>Golden Debit Card Opportunity</v>
      </c>
    </row>
    <row r="4249" spans="1:3" ht="15" x14ac:dyDescent="0.25">
      <c r="A4249" s="3" t="s">
        <v>4246</v>
      </c>
      <c r="B4249" s="3" t="s">
        <v>4</v>
      </c>
      <c r="C4249" s="2" t="str">
        <f ca="1">IFERROR(__xludf.DUMMYFUNCTION("GOOGLETRANSLATE(A4249,""bn"",""en"")"),"You have to understand the sweetness of the melody")</f>
        <v>You have to understand the sweetness of the melody</v>
      </c>
    </row>
    <row r="4250" spans="1:3" ht="15" x14ac:dyDescent="0.25">
      <c r="A4250" s="3" t="s">
        <v>4247</v>
      </c>
      <c r="B4250" s="3" t="s">
        <v>4</v>
      </c>
      <c r="C4250" s="2" t="str">
        <f ca="1">IFERROR(__xludf.DUMMYFUNCTION("GOOGLETRANSLATE(A4250,""bn"",""en"")"),"Education is possible without teachers")</f>
        <v>Education is possible without teachers</v>
      </c>
    </row>
    <row r="4251" spans="1:3" ht="15" x14ac:dyDescent="0.25">
      <c r="A4251" s="3" t="s">
        <v>4248</v>
      </c>
      <c r="B4251" s="3" t="s">
        <v>4</v>
      </c>
      <c r="C4251" s="2" t="str">
        <f ca="1">IFERROR(__xludf.DUMMYFUNCTION("GOOGLETRANSLATE(A4251,""bn"",""en"")"),"See venture profits every time")</f>
        <v>See venture profits every time</v>
      </c>
    </row>
    <row r="4252" spans="1:3" ht="15" x14ac:dyDescent="0.25">
      <c r="A4252" s="3" t="s">
        <v>4249</v>
      </c>
      <c r="B4252" s="3" t="s">
        <v>4</v>
      </c>
      <c r="C4252" s="2" t="str">
        <f ca="1">IFERROR(__xludf.DUMMYFUNCTION("GOOGLETRANSLATE(A4252,""bn"",""en"")"),"Rain is transmitted to the ground")</f>
        <v>Rain is transmitted to the ground</v>
      </c>
    </row>
    <row r="4253" spans="1:3" ht="15" x14ac:dyDescent="0.25">
      <c r="A4253" s="3" t="s">
        <v>4250</v>
      </c>
      <c r="B4253" s="3" t="s">
        <v>4</v>
      </c>
      <c r="C4253" s="2" t="str">
        <f ca="1">IFERROR(__xludf.DUMMYFUNCTION("GOOGLETRANSLATE(A4253,""bn"",""en"")"),"Srimayi Bangla Music History")</f>
        <v>Srimayi Bangla Music History</v>
      </c>
    </row>
    <row r="4254" spans="1:3" ht="15" x14ac:dyDescent="0.25">
      <c r="A4254" s="3" t="s">
        <v>4251</v>
      </c>
      <c r="B4254" s="3" t="s">
        <v>4</v>
      </c>
      <c r="C4254" s="2" t="str">
        <f ca="1">IFERROR(__xludf.DUMMYFUNCTION("GOOGLETRANSLATE(A4254,""bn"",""en"")"),"Bowler is important for bowling")</f>
        <v>Bowler is important for bowling</v>
      </c>
    </row>
    <row r="4255" spans="1:3" ht="15" x14ac:dyDescent="0.25">
      <c r="A4255" s="3" t="s">
        <v>4252</v>
      </c>
      <c r="B4255" s="3" t="s">
        <v>4</v>
      </c>
      <c r="C4255" s="2" t="str">
        <f ca="1">IFERROR(__xludf.DUMMYFUNCTION("GOOGLETRANSLATE(A4255,""bn"",""en"")"),"Book hotel on tour")</f>
        <v>Book hotel on tour</v>
      </c>
    </row>
    <row r="4256" spans="1:3" ht="15" x14ac:dyDescent="0.25">
      <c r="A4256" s="3" t="s">
        <v>4253</v>
      </c>
      <c r="B4256" s="3" t="s">
        <v>4</v>
      </c>
      <c r="C4256" s="2" t="str">
        <f ca="1">IFERROR(__xludf.DUMMYFUNCTION("GOOGLETRANSLATE(A4256,""bn"",""en"")"),"Providing total banking facilities")</f>
        <v>Providing total banking facilities</v>
      </c>
    </row>
    <row r="4257" spans="1:3" ht="15" x14ac:dyDescent="0.25">
      <c r="A4257" s="3" t="s">
        <v>4254</v>
      </c>
      <c r="B4257" s="3" t="s">
        <v>4</v>
      </c>
      <c r="C4257" s="2" t="str">
        <f ca="1">IFERROR(__xludf.DUMMYFUNCTION("GOOGLETRANSLATE(A4257,""bn"",""en"")"),"Architecture and Design Patterns")</f>
        <v>Architecture and Design Patterns</v>
      </c>
    </row>
    <row r="4258" spans="1:3" ht="15" x14ac:dyDescent="0.25">
      <c r="A4258" s="3" t="s">
        <v>4255</v>
      </c>
      <c r="B4258" s="3" t="s">
        <v>4</v>
      </c>
      <c r="C4258" s="2" t="str">
        <f ca="1">IFERROR(__xludf.DUMMYFUNCTION("GOOGLETRANSLATE(A4258,""bn"",""en"")"),"Culture lives in sound")</f>
        <v>Culture lives in sound</v>
      </c>
    </row>
    <row r="4259" spans="1:3" ht="15" x14ac:dyDescent="0.25">
      <c r="A4259" s="3" t="s">
        <v>4256</v>
      </c>
      <c r="B4259" s="3" t="s">
        <v>4</v>
      </c>
      <c r="C4259" s="2" t="str">
        <f ca="1">IFERROR(__xludf.DUMMYFUNCTION("GOOGLETRANSLATE(A4259,""bn"",""en"")"),"The teacher's love encourages students")</f>
        <v>The teacher's love encourages students</v>
      </c>
    </row>
    <row r="4260" spans="1:3" ht="15" x14ac:dyDescent="0.25">
      <c r="A4260" s="3" t="s">
        <v>4257</v>
      </c>
      <c r="B4260" s="3" t="s">
        <v>4</v>
      </c>
      <c r="C4260" s="2" t="str">
        <f ca="1">IFERROR(__xludf.DUMMYFUNCTION("GOOGLETRANSLATE(A4260,""bn"",""en"")"),"Drive the economy with agriculture")</f>
        <v>Drive the economy with agriculture</v>
      </c>
    </row>
    <row r="4261" spans="1:3" ht="15" x14ac:dyDescent="0.25">
      <c r="A4261" s="3" t="s">
        <v>4258</v>
      </c>
      <c r="B4261" s="3" t="s">
        <v>4</v>
      </c>
      <c r="C4261" s="2" t="str">
        <f ca="1">IFERROR(__xludf.DUMMYFUNCTION("GOOGLETRANSLATE(A4261,""bn"",""en"")"),"Notice was given to the team")</f>
        <v>Notice was given to the team</v>
      </c>
    </row>
    <row r="4262" spans="1:3" ht="15" x14ac:dyDescent="0.25">
      <c r="A4262" s="3" t="s">
        <v>4259</v>
      </c>
      <c r="B4262" s="3" t="s">
        <v>4</v>
      </c>
      <c r="C4262" s="2" t="str">
        <f ca="1">IFERROR(__xludf.DUMMYFUNCTION("GOOGLETRANSLATE(A4262,""bn"",""en"")"),"Honesty is an important value in life")</f>
        <v>Honesty is an important value in life</v>
      </c>
    </row>
    <row r="4263" spans="1:3" ht="15" x14ac:dyDescent="0.25">
      <c r="A4263" s="3" t="s">
        <v>4260</v>
      </c>
      <c r="B4263" s="3" t="s">
        <v>4</v>
      </c>
      <c r="C4263" s="2" t="str">
        <f ca="1">IFERROR(__xludf.DUMMYFUNCTION("GOOGLETRANSLATE(A4263,""bn"",""en"")"),"People are entertained in the park")</f>
        <v>People are entertained in the park</v>
      </c>
    </row>
    <row r="4264" spans="1:3" ht="15" x14ac:dyDescent="0.25">
      <c r="A4264" s="3" t="s">
        <v>4261</v>
      </c>
      <c r="B4264" s="3" t="s">
        <v>4</v>
      </c>
      <c r="C4264" s="2" t="str">
        <f ca="1">IFERROR(__xludf.DUMMYFUNCTION("GOOGLETRANSLATE(A4264,""bn"",""en"")"),"Like rain colored with anger")</f>
        <v>Like rain colored with anger</v>
      </c>
    </row>
    <row r="4265" spans="1:3" ht="15" x14ac:dyDescent="0.25">
      <c r="A4265" s="3" t="s">
        <v>4262</v>
      </c>
      <c r="B4265" s="3" t="s">
        <v>4</v>
      </c>
      <c r="C4265" s="2" t="str">
        <f ca="1">IFERROR(__xludf.DUMMYFUNCTION("GOOGLETRANSLATE(A4265,""bn"",""en"")"),"Visit different capitals of the country")</f>
        <v>Visit different capitals of the country</v>
      </c>
    </row>
    <row r="4266" spans="1:3" ht="15" x14ac:dyDescent="0.25">
      <c r="A4266" s="3" t="s">
        <v>4263</v>
      </c>
      <c r="B4266" s="3" t="s">
        <v>4</v>
      </c>
      <c r="C4266" s="2" t="str">
        <f ca="1">IFERROR(__xludf.DUMMYFUNCTION("GOOGLETRANSLATE(A4266,""bn"",""en"")"),"Come on study everyone")</f>
        <v>Come on study everyone</v>
      </c>
    </row>
    <row r="4267" spans="1:3" ht="15" x14ac:dyDescent="0.25">
      <c r="A4267" s="3" t="s">
        <v>4264</v>
      </c>
      <c r="B4267" s="3" t="s">
        <v>4</v>
      </c>
      <c r="C4267" s="2" t="str">
        <f ca="1">IFERROR(__xludf.DUMMYFUNCTION("GOOGLETRANSLATE(A4267,""bn"",""en"")"),"Loan sentiment has naturally decreased")</f>
        <v>Loan sentiment has naturally decreased</v>
      </c>
    </row>
    <row r="4268" spans="1:3" ht="15" x14ac:dyDescent="0.25">
      <c r="A4268" s="3" t="s">
        <v>4265</v>
      </c>
      <c r="B4268" s="3" t="s">
        <v>4</v>
      </c>
      <c r="C4268" s="2" t="str">
        <f ca="1">IFERROR(__xludf.DUMMYFUNCTION("GOOGLETRANSLATE(A4268,""bn"",""en"")"),"Mobile development on multiple devices")</f>
        <v>Mobile development on multiple devices</v>
      </c>
    </row>
    <row r="4269" spans="1:3" ht="15" x14ac:dyDescent="0.25">
      <c r="A4269" s="3" t="s">
        <v>4266</v>
      </c>
      <c r="B4269" s="3" t="s">
        <v>4</v>
      </c>
      <c r="C4269" s="2" t="str">
        <f ca="1">IFERROR(__xludf.DUMMYFUNCTION("GOOGLETRANSLATE(A4269,""bn"",""en"")"),"Visit interesting places")</f>
        <v>Visit interesting places</v>
      </c>
    </row>
    <row r="4270" spans="1:3" ht="15" x14ac:dyDescent="0.25">
      <c r="A4270" s="3" t="s">
        <v>4267</v>
      </c>
      <c r="B4270" s="3" t="s">
        <v>4</v>
      </c>
      <c r="C4270" s="2" t="str">
        <f ca="1">IFERROR(__xludf.DUMMYFUNCTION("GOOGLETRANSLATE(A4270,""bn"",""en"")"),"Conduct regular financial evaluations")</f>
        <v>Conduct regular financial evaluations</v>
      </c>
    </row>
    <row r="4271" spans="1:3" ht="15" x14ac:dyDescent="0.25">
      <c r="A4271" s="3" t="s">
        <v>4268</v>
      </c>
      <c r="B4271" s="3" t="s">
        <v>4</v>
      </c>
      <c r="C4271" s="2" t="str">
        <f ca="1">IFERROR(__xludf.DUMMYFUNCTION("GOOGLETRANSLATE(A4271,""bn"",""en"")"),"See new scenery abroad")</f>
        <v>See new scenery abroad</v>
      </c>
    </row>
    <row r="4272" spans="1:3" ht="15" x14ac:dyDescent="0.25">
      <c r="A4272" s="3" t="s">
        <v>4269</v>
      </c>
      <c r="B4272" s="3" t="s">
        <v>4</v>
      </c>
      <c r="C4272" s="2" t="str">
        <f ca="1">IFERROR(__xludf.DUMMYFUNCTION("GOOGLETRANSLATE(A4272,""bn"",""en"")"),"Increasing mobile computing facilities")</f>
        <v>Increasing mobile computing facilities</v>
      </c>
    </row>
    <row r="4273" spans="1:3" ht="15" x14ac:dyDescent="0.25">
      <c r="A4273" s="3" t="s">
        <v>4270</v>
      </c>
      <c r="B4273" s="3" t="s">
        <v>4</v>
      </c>
      <c r="C4273" s="2" t="str">
        <f ca="1">IFERROR(__xludf.DUMMYFUNCTION("GOOGLETRANSLATE(A4273,""bn"",""en"")"),"Excellent visuals were in the movie")</f>
        <v>Excellent visuals were in the movie</v>
      </c>
    </row>
    <row r="4274" spans="1:3" ht="15" x14ac:dyDescent="0.25">
      <c r="A4274" s="3" t="s">
        <v>4271</v>
      </c>
      <c r="B4274" s="3" t="s">
        <v>4</v>
      </c>
      <c r="C4274" s="2" t="str">
        <f ca="1">IFERROR(__xludf.DUMMYFUNCTION("GOOGLETRANSLATE(A4274,""bn"",""en"")"),"Trust in total change")</f>
        <v>Trust in total change</v>
      </c>
    </row>
    <row r="4275" spans="1:3" ht="15" x14ac:dyDescent="0.25">
      <c r="A4275" s="3" t="s">
        <v>4272</v>
      </c>
      <c r="B4275" s="3" t="s">
        <v>4</v>
      </c>
      <c r="C4275" s="2" t="str">
        <f ca="1">IFERROR(__xludf.DUMMYFUNCTION("GOOGLETRANSLATE(A4275,""bn"",""en"")"),"Hemant Mukherjee is full of body")</f>
        <v>Hemant Mukherjee is full of body</v>
      </c>
    </row>
    <row r="4276" spans="1:3" ht="15" x14ac:dyDescent="0.25">
      <c r="A4276" s="3" t="s">
        <v>4273</v>
      </c>
      <c r="B4276" s="3" t="s">
        <v>4</v>
      </c>
      <c r="C4276" s="2" t="str">
        <f ca="1">IFERROR(__xludf.DUMMYFUNCTION("GOOGLETRANSLATE(A4276,""bn"",""en"")"),"Contain the legal amount")</f>
        <v>Contain the legal amount</v>
      </c>
    </row>
    <row r="4277" spans="1:3" ht="15" x14ac:dyDescent="0.25">
      <c r="A4277" s="3" t="s">
        <v>4274</v>
      </c>
      <c r="B4277" s="3" t="s">
        <v>4</v>
      </c>
      <c r="C4277" s="2" t="str">
        <f ca="1">IFERROR(__xludf.DUMMYFUNCTION("GOOGLETRANSLATE(A4277,""bn"",""en"")"),"The Caribbean Sea is located in America")</f>
        <v>The Caribbean Sea is located in America</v>
      </c>
    </row>
    <row r="4278" spans="1:3" ht="15" x14ac:dyDescent="0.25">
      <c r="A4278" s="3" t="s">
        <v>4275</v>
      </c>
      <c r="B4278" s="3" t="s">
        <v>4</v>
      </c>
      <c r="C4278" s="2" t="str">
        <f ca="1">IFERROR(__xludf.DUMMYFUNCTION("GOOGLETRANSLATE(A4278,""bn"",""en"")"),"Life inside reading books")</f>
        <v>Life inside reading books</v>
      </c>
    </row>
    <row r="4279" spans="1:3" ht="15" x14ac:dyDescent="0.25">
      <c r="A4279" s="3" t="s">
        <v>4276</v>
      </c>
      <c r="B4279" s="3" t="s">
        <v>4</v>
      </c>
      <c r="C4279" s="2" t="str">
        <f ca="1">IFERROR(__xludf.DUMMYFUNCTION("GOOGLETRANSLATE(A4279,""bn"",""en"")"),"Post money for purchase")</f>
        <v>Post money for purchase</v>
      </c>
    </row>
    <row r="4280" spans="1:3" ht="15" x14ac:dyDescent="0.25">
      <c r="A4280" s="3" t="s">
        <v>4277</v>
      </c>
      <c r="B4280" s="3" t="s">
        <v>4</v>
      </c>
      <c r="C4280" s="2" t="str">
        <f ca="1">IFERROR(__xludf.DUMMYFUNCTION("GOOGLETRANSLATE(A4280,""bn"",""en"")"),"Everyone wants to see the picture")</f>
        <v>Everyone wants to see the picture</v>
      </c>
    </row>
    <row r="4281" spans="1:3" ht="15" x14ac:dyDescent="0.25">
      <c r="A4281" s="3" t="s">
        <v>4278</v>
      </c>
      <c r="B4281" s="3" t="s">
        <v>4</v>
      </c>
      <c r="C4281" s="2" t="str">
        <f ca="1">IFERROR(__xludf.DUMMYFUNCTION("GOOGLETRANSLATE(A4281,""bn"",""en"")"),"Overall voter confidence is important")</f>
        <v>Overall voter confidence is important</v>
      </c>
    </row>
    <row r="4282" spans="1:3" ht="15" x14ac:dyDescent="0.25">
      <c r="A4282" s="3" t="s">
        <v>4279</v>
      </c>
      <c r="B4282" s="3" t="s">
        <v>4</v>
      </c>
      <c r="C4282" s="2" t="str">
        <f ca="1">IFERROR(__xludf.DUMMYFUNCTION("GOOGLETRANSLATE(A4282,""bn"",""en"")"),"Enjoy the natural beauty")</f>
        <v>Enjoy the natural beauty</v>
      </c>
    </row>
    <row r="4283" spans="1:3" ht="15" x14ac:dyDescent="0.25">
      <c r="A4283" s="3" t="s">
        <v>4280</v>
      </c>
      <c r="B4283" s="3" t="s">
        <v>4</v>
      </c>
      <c r="C4283" s="2" t="str">
        <f ca="1">IFERROR(__xludf.DUMMYFUNCTION("GOOGLETRANSLATE(A4283,""bn"",""en"")"),"Visit South Asia")</f>
        <v>Visit South Asia</v>
      </c>
    </row>
    <row r="4284" spans="1:3" ht="15" x14ac:dyDescent="0.25">
      <c r="A4284" s="3" t="s">
        <v>4281</v>
      </c>
      <c r="B4284" s="3" t="s">
        <v>4</v>
      </c>
      <c r="C4284" s="2" t="str">
        <f ca="1">IFERROR(__xludf.DUMMYFUNCTION("GOOGLETRANSLATE(A4284,""bn"",""en"")"),"Check the account book")</f>
        <v>Check the account book</v>
      </c>
    </row>
    <row r="4285" spans="1:3" ht="15" x14ac:dyDescent="0.25">
      <c r="A4285" s="3" t="s">
        <v>4282</v>
      </c>
      <c r="B4285" s="3" t="s">
        <v>4</v>
      </c>
      <c r="C4285" s="2" t="str">
        <f ca="1">IFERROR(__xludf.DUMMYFUNCTION("GOOGLETRANSLATE(A4285,""bn"",""en"")"),"Mahfil with musical instruments in the night")</f>
        <v>Mahfil with musical instruments in the night</v>
      </c>
    </row>
    <row r="4286" spans="1:3" ht="15" x14ac:dyDescent="0.25">
      <c r="A4286" s="3" t="s">
        <v>4283</v>
      </c>
      <c r="B4286" s="3" t="s">
        <v>4</v>
      </c>
      <c r="C4286" s="2" t="str">
        <f ca="1">IFERROR(__xludf.DUMMYFUNCTION("GOOGLETRANSLATE(A4286,""bn"",""en"")"),"Clashes in political parties are intense")</f>
        <v>Clashes in political parties are intense</v>
      </c>
    </row>
    <row r="4287" spans="1:3" ht="15" x14ac:dyDescent="0.25">
      <c r="A4287" s="3" t="s">
        <v>4284</v>
      </c>
      <c r="B4287" s="3" t="s">
        <v>4</v>
      </c>
      <c r="C4287" s="2" t="str">
        <f ca="1">IFERROR(__xludf.DUMMYFUNCTION("GOOGLETRANSLATE(A4287,""bn"",""en"")"),"Hitting the ball on the tennis court")</f>
        <v>Hitting the ball on the tennis court</v>
      </c>
    </row>
    <row r="4288" spans="1:3" ht="15" x14ac:dyDescent="0.25">
      <c r="A4288" s="3" t="s">
        <v>4285</v>
      </c>
      <c r="B4288" s="3" t="s">
        <v>4</v>
      </c>
      <c r="C4288" s="2" t="str">
        <f ca="1">IFERROR(__xludf.DUMMYFUNCTION("GOOGLETRANSLATE(A4288,""bn"",""en"")"),"Change your password")</f>
        <v>Change your password</v>
      </c>
    </row>
    <row r="4289" spans="1:3" ht="15" x14ac:dyDescent="0.25">
      <c r="A4289" s="3" t="s">
        <v>4286</v>
      </c>
      <c r="B4289" s="3" t="s">
        <v>4</v>
      </c>
      <c r="C4289" s="2" t="str">
        <f ca="1">IFERROR(__xludf.DUMMYFUNCTION("GOOGLETRANSLATE(A4289,""bn"",""en"")"),"Boat trip on the river beach")</f>
        <v>Boat trip on the river beach</v>
      </c>
    </row>
    <row r="4290" spans="1:3" ht="15" x14ac:dyDescent="0.25">
      <c r="A4290" s="3" t="s">
        <v>4287</v>
      </c>
      <c r="B4290" s="3" t="s">
        <v>4</v>
      </c>
      <c r="C4290" s="2" t="str">
        <f ca="1">IFERROR(__xludf.DUMMYFUNCTION("GOOGLETRANSLATE(A4290,""bn"",""en"")"),"Society is improved through education")</f>
        <v>Society is improved through education</v>
      </c>
    </row>
    <row r="4291" spans="1:3" ht="15" x14ac:dyDescent="0.25">
      <c r="A4291" s="3" t="s">
        <v>4288</v>
      </c>
      <c r="B4291" s="3" t="s">
        <v>4</v>
      </c>
      <c r="C4291" s="2" t="str">
        <f ca="1">IFERROR(__xludf.DUMMYFUNCTION("GOOGLETRANSLATE(A4291,""bn"",""en"")"),"Successful crime thriller series")</f>
        <v>Successful crime thriller series</v>
      </c>
    </row>
    <row r="4292" spans="1:3" ht="15" x14ac:dyDescent="0.25">
      <c r="A4292" s="3" t="s">
        <v>4289</v>
      </c>
      <c r="B4292" s="3" t="s">
        <v>4</v>
      </c>
      <c r="C4292" s="2" t="str">
        <f ca="1">IFERROR(__xludf.DUMMYFUNCTION("GOOGLETRANSLATE(A4292,""bn"",""en"")"),"Use of new technology in education")</f>
        <v>Use of new technology in education</v>
      </c>
    </row>
    <row r="4293" spans="1:3" ht="15" x14ac:dyDescent="0.25">
      <c r="A4293" s="3" t="s">
        <v>4290</v>
      </c>
      <c r="B4293" s="3" t="s">
        <v>4</v>
      </c>
      <c r="C4293" s="2" t="str">
        <f ca="1">IFERROR(__xludf.DUMMYFUNCTION("GOOGLETRANSLATE(A4293,""bn"",""en"")"),"His character is full of confidence")</f>
        <v>His character is full of confidence</v>
      </c>
    </row>
    <row r="4294" spans="1:3" ht="15" x14ac:dyDescent="0.25">
      <c r="A4294" s="3" t="s">
        <v>4291</v>
      </c>
      <c r="B4294" s="3" t="s">
        <v>4</v>
      </c>
      <c r="C4294" s="2" t="str">
        <f ca="1">IFERROR(__xludf.DUMMYFUNCTION("GOOGLETRANSLATE(A4294,""bn"",""en"")"),"Get a business license")</f>
        <v>Get a business license</v>
      </c>
    </row>
    <row r="4295" spans="1:3" ht="15" x14ac:dyDescent="0.25">
      <c r="A4295" s="3" t="s">
        <v>4292</v>
      </c>
      <c r="B4295" s="3" t="s">
        <v>4</v>
      </c>
      <c r="C4295" s="2" t="str">
        <f ca="1">IFERROR(__xludf.DUMMYFUNCTION("GOOGLETRANSLATE(A4295,""bn"",""en"")"),"Learning coding as a hobby")</f>
        <v>Learning coding as a hobby</v>
      </c>
    </row>
    <row r="4296" spans="1:3" ht="15" x14ac:dyDescent="0.25">
      <c r="A4296" s="3" t="s">
        <v>4293</v>
      </c>
      <c r="B4296" s="3" t="s">
        <v>4</v>
      </c>
      <c r="C4296" s="2" t="str">
        <f ca="1">IFERROR(__xludf.DUMMYFUNCTION("GOOGLETRANSLATE(A4296,""bn"",""en"")"),"Colorful melodious world on guitar")</f>
        <v>Colorful melodious world on guitar</v>
      </c>
    </row>
    <row r="4297" spans="1:3" ht="15" x14ac:dyDescent="0.25">
      <c r="A4297" s="3" t="s">
        <v>4294</v>
      </c>
      <c r="B4297" s="3" t="s">
        <v>4</v>
      </c>
      <c r="C4297" s="2" t="str">
        <f ca="1">IFERROR(__xludf.DUMMYFUNCTION("GOOGLETRANSLATE(A4297,""bn"",""en"")"),"The vote of the leader is in the hands of Manav")</f>
        <v>The vote of the leader is in the hands of Manav</v>
      </c>
    </row>
    <row r="4298" spans="1:3" ht="15" x14ac:dyDescent="0.25">
      <c r="A4298" s="3" t="s">
        <v>4295</v>
      </c>
      <c r="B4298" s="3" t="s">
        <v>4</v>
      </c>
      <c r="C4298" s="2" t="str">
        <f ca="1">IFERROR(__xludf.DUMMYFUNCTION("GOOGLETRANSLATE(A4298,""bn"",""en"")"),"We are playing tennis at Ekushe Taille")</f>
        <v>We are playing tennis at Ekushe Taille</v>
      </c>
    </row>
    <row r="4299" spans="1:3" ht="15" x14ac:dyDescent="0.25">
      <c r="A4299" s="3" t="s">
        <v>4296</v>
      </c>
      <c r="B4299" s="3" t="s">
        <v>4</v>
      </c>
      <c r="C4299" s="2" t="str">
        <f ca="1">IFERROR(__xludf.DUMMYFUNCTION("GOOGLETRANSLATE(A4299,""bn"",""en"")"),"A melodious musical family")</f>
        <v>A melodious musical family</v>
      </c>
    </row>
    <row r="4300" spans="1:3" ht="15" x14ac:dyDescent="0.25">
      <c r="A4300" s="3" t="s">
        <v>4297</v>
      </c>
      <c r="B4300" s="3" t="s">
        <v>4</v>
      </c>
      <c r="C4300" s="2" t="str">
        <f ca="1">IFERROR(__xludf.DUMMYFUNCTION("GOOGLETRANSLATE(A4300,""bn"",""en"")"),"I am resting at the hotel")</f>
        <v>I am resting at the hotel</v>
      </c>
    </row>
    <row r="4301" spans="1:3" ht="15" x14ac:dyDescent="0.25">
      <c r="A4301" s="3" t="s">
        <v>4298</v>
      </c>
      <c r="B4301" s="3" t="s">
        <v>4</v>
      </c>
      <c r="C4301" s="2" t="str">
        <f ca="1">IFERROR(__xludf.DUMMYFUNCTION("GOOGLETRANSLATE(A4301,""bn"",""en"")"),"I enjoyed watching the movie")</f>
        <v>I enjoyed watching the movie</v>
      </c>
    </row>
    <row r="4302" spans="1:3" ht="15" x14ac:dyDescent="0.25">
      <c r="A4302" s="3" t="s">
        <v>4299</v>
      </c>
      <c r="B4302" s="3" t="s">
        <v>4</v>
      </c>
      <c r="C4302" s="2" t="str">
        <f ca="1">IFERROR(__xludf.DUMMYFUNCTION("GOOGLETRANSLATE(A4302,""bn"",""en"")"),"Prepare for data security")</f>
        <v>Prepare for data security</v>
      </c>
    </row>
    <row r="4303" spans="1:3" ht="15" x14ac:dyDescent="0.25">
      <c r="A4303" s="3" t="s">
        <v>4300</v>
      </c>
      <c r="B4303" s="3" t="s">
        <v>4</v>
      </c>
      <c r="C4303" s="2" t="str">
        <f ca="1">IFERROR(__xludf.DUMMYFUNCTION("GOOGLETRANSLATE(A4303,""bn"",""en"")"),"A heart of gold kept in anger")</f>
        <v>A heart of gold kept in anger</v>
      </c>
    </row>
    <row r="4304" spans="1:3" ht="15" x14ac:dyDescent="0.25">
      <c r="A4304" s="3" t="s">
        <v>4301</v>
      </c>
      <c r="B4304" s="3" t="s">
        <v>4</v>
      </c>
      <c r="C4304" s="2" t="str">
        <f ca="1">IFERROR(__xludf.DUMMYFUNCTION("GOOGLETRANSLATE(A4304,""bn"",""en"")"),"Flow of happiness in beautiful music")</f>
        <v>Flow of happiness in beautiful music</v>
      </c>
    </row>
    <row r="4305" spans="1:3" ht="15" x14ac:dyDescent="0.25">
      <c r="A4305" s="3" t="s">
        <v>4302</v>
      </c>
      <c r="B4305" s="3" t="s">
        <v>4</v>
      </c>
      <c r="C4305" s="2" t="str">
        <f ca="1">IFERROR(__xludf.DUMMYFUNCTION("GOOGLETRANSLATE(A4305,""bn"",""en"")"),"Listening to music fills the heart")</f>
        <v>Listening to music fills the heart</v>
      </c>
    </row>
    <row r="4306" spans="1:3" ht="15" x14ac:dyDescent="0.25">
      <c r="A4306" s="3" t="s">
        <v>4303</v>
      </c>
      <c r="B4306" s="3" t="s">
        <v>4</v>
      </c>
      <c r="C4306" s="2" t="str">
        <f ca="1">IFERROR(__xludf.DUMMYFUNCTION("GOOGLETRANSLATE(A4306,""bn"",""en"")"),"Use of cloud computing services")</f>
        <v>Use of cloud computing services</v>
      </c>
    </row>
    <row r="4307" spans="1:3" ht="15" x14ac:dyDescent="0.25">
      <c r="A4307" s="3" t="s">
        <v>4304</v>
      </c>
      <c r="B4307" s="3" t="s">
        <v>4</v>
      </c>
      <c r="C4307" s="2" t="str">
        <f ca="1">IFERROR(__xludf.DUMMYFUNCTION("GOOGLETRANSLATE(A4307,""bn"",""en"")"),"Time to laugh while watching movies")</f>
        <v>Time to laugh while watching movies</v>
      </c>
    </row>
    <row r="4308" spans="1:3" ht="15" x14ac:dyDescent="0.25">
      <c r="A4308" s="3" t="s">
        <v>4305</v>
      </c>
      <c r="B4308" s="3" t="s">
        <v>4</v>
      </c>
      <c r="C4308" s="2" t="str">
        <f ca="1">IFERROR(__xludf.DUMMYFUNCTION("GOOGLETRANSLATE(A4308,""bn"",""en"")"),"Studying is a part of life")</f>
        <v>Studying is a part of life</v>
      </c>
    </row>
    <row r="4309" spans="1:3" ht="15" x14ac:dyDescent="0.25">
      <c r="A4309" s="3" t="s">
        <v>4306</v>
      </c>
      <c r="B4309" s="3" t="s">
        <v>4</v>
      </c>
      <c r="C4309" s="2" t="str">
        <f ca="1">IFERROR(__xludf.DUMMYFUNCTION("GOOGLETRANSLATE(A4309,""bn"",""en"")"),"I am on safari in the jungle")</f>
        <v>I am on safari in the jungle</v>
      </c>
    </row>
    <row r="4310" spans="1:3" ht="15" x14ac:dyDescent="0.25">
      <c r="A4310" s="3" t="s">
        <v>4307</v>
      </c>
      <c r="B4310" s="3" t="s">
        <v>4</v>
      </c>
      <c r="C4310" s="2" t="str">
        <f ca="1">IFERROR(__xludf.DUMMYFUNCTION("GOOGLETRANSLATE(A4310,""bn"",""en"")"),"The hero's growth acting is phenomenal")</f>
        <v>The hero's growth acting is phenomenal</v>
      </c>
    </row>
    <row r="4311" spans="1:3" ht="15" x14ac:dyDescent="0.25">
      <c r="A4311" s="3" t="s">
        <v>4308</v>
      </c>
      <c r="B4311" s="3" t="s">
        <v>4</v>
      </c>
      <c r="C4311" s="2" t="str">
        <f ca="1">IFERROR(__xludf.DUMMYFUNCTION("GOOGLETRANSLATE(A4311,""bn"",""en"")"),"Book a hotel room")</f>
        <v>Book a hotel room</v>
      </c>
    </row>
    <row r="4312" spans="1:3" ht="15" x14ac:dyDescent="0.25">
      <c r="A4312" s="3" t="s">
        <v>4309</v>
      </c>
      <c r="B4312" s="3" t="s">
        <v>4</v>
      </c>
      <c r="C4312" s="2" t="str">
        <f ca="1">IFERROR(__xludf.DUMMYFUNCTION("GOOGLETRANSLATE(A4312,""bn"",""en"")"),"Shannai Shona is a golden Bengali")</f>
        <v>Shannai Shona is a golden Bengali</v>
      </c>
    </row>
    <row r="4313" spans="1:3" ht="15" x14ac:dyDescent="0.25">
      <c r="A4313" s="3" t="s">
        <v>4310</v>
      </c>
      <c r="B4313" s="3" t="s">
        <v>4</v>
      </c>
      <c r="C4313" s="2" t="str">
        <f ca="1">IFERROR(__xludf.DUMMYFUNCTION("GOOGLETRANSLATE(A4313,""bn"",""en"")"),"Education is a tool for human development")</f>
        <v>Education is a tool for human development</v>
      </c>
    </row>
    <row r="4314" spans="1:3" ht="15" x14ac:dyDescent="0.25">
      <c r="A4314" s="3" t="s">
        <v>4311</v>
      </c>
      <c r="B4314" s="3" t="s">
        <v>4</v>
      </c>
      <c r="C4314" s="2" t="str">
        <f ca="1">IFERROR(__xludf.DUMMYFUNCTION("GOOGLETRANSLATE(A4314,""bn"",""en"")"),"There are special types of characters")</f>
        <v>There are special types of characters</v>
      </c>
    </row>
    <row r="4315" spans="1:3" ht="15" x14ac:dyDescent="0.25">
      <c r="A4315" s="3" t="s">
        <v>4312</v>
      </c>
      <c r="B4315" s="3" t="s">
        <v>4</v>
      </c>
      <c r="C4315" s="2" t="str">
        <f ca="1">IFERROR(__xludf.DUMMYFUNCTION("GOOGLETRANSLATE(A4315,""bn"",""en"")"),"Hector Chain Management Training")</f>
        <v>Hector Chain Management Training</v>
      </c>
    </row>
    <row r="4316" spans="1:3" ht="15" x14ac:dyDescent="0.25">
      <c r="A4316" s="3" t="s">
        <v>4313</v>
      </c>
      <c r="B4316" s="3" t="s">
        <v>4</v>
      </c>
      <c r="C4316" s="2" t="str">
        <f ca="1">IFERROR(__xludf.DUMMYFUNCTION("GOOGLETRANSLATE(A4316,""bn"",""en"")"),"Approve human rights in the budget")</f>
        <v>Approve human rights in the budget</v>
      </c>
    </row>
    <row r="4317" spans="1:3" ht="15" x14ac:dyDescent="0.25">
      <c r="A4317" s="3" t="s">
        <v>4314</v>
      </c>
      <c r="B4317" s="3" t="s">
        <v>4</v>
      </c>
      <c r="C4317" s="2" t="str">
        <f ca="1">IFERROR(__xludf.DUMMYFUNCTION("GOOGLETRANSLATE(A4317,""bn"",""en"")"),"Open a bonus account")</f>
        <v>Open a bonus account</v>
      </c>
    </row>
    <row r="4318" spans="1:3" ht="15" x14ac:dyDescent="0.25">
      <c r="A4318" s="3" t="s">
        <v>4315</v>
      </c>
      <c r="B4318" s="3" t="s">
        <v>4</v>
      </c>
      <c r="C4318" s="2" t="str">
        <f ca="1">IFERROR(__xludf.DUMMYFUNCTION("GOOGLETRANSLATE(A4318,""bn"",""en"")"),"Blockchain Technology and Cryptocurrency")</f>
        <v>Blockchain Technology and Cryptocurrency</v>
      </c>
    </row>
    <row r="4319" spans="1:3" ht="15" x14ac:dyDescent="0.25">
      <c r="A4319" s="3" t="s">
        <v>4316</v>
      </c>
      <c r="B4319" s="3" t="s">
        <v>4</v>
      </c>
      <c r="C4319" s="2" t="str">
        <f ca="1">IFERROR(__xludf.DUMMYFUNCTION("GOOGLETRANSLATE(A4319,""bn"",""en"")"),"Save on hotels when traveling")</f>
        <v>Save on hotels when traveling</v>
      </c>
    </row>
    <row r="4320" spans="1:3" ht="15" x14ac:dyDescent="0.25">
      <c r="A4320" s="3" t="s">
        <v>4317</v>
      </c>
      <c r="B4320" s="3" t="s">
        <v>4</v>
      </c>
      <c r="C4320" s="2" t="str">
        <f ca="1">IFERROR(__xludf.DUMMYFUNCTION("GOOGLETRANSLATE(A4320,""bn"",""en"")"),"Take the overall market situation")</f>
        <v>Take the overall market situation</v>
      </c>
    </row>
    <row r="4321" spans="1:3" ht="15" x14ac:dyDescent="0.25">
      <c r="A4321" s="3" t="s">
        <v>4318</v>
      </c>
      <c r="B4321" s="3" t="s">
        <v>4</v>
      </c>
      <c r="C4321" s="2" t="str">
        <f ca="1">IFERROR(__xludf.DUMMYFUNCTION("GOOGLETRANSLATE(A4321,""bn"",""en"")"),"Industrial production is increasing")</f>
        <v>Industrial production is increasing</v>
      </c>
    </row>
    <row r="4322" spans="1:3" ht="15" x14ac:dyDescent="0.25">
      <c r="A4322" s="3" t="s">
        <v>4319</v>
      </c>
      <c r="B4322" s="3" t="s">
        <v>4</v>
      </c>
      <c r="C4322" s="2" t="str">
        <f ca="1">IFERROR(__xludf.DUMMYFUNCTION("GOOGLETRANSLATE(A4322,""bn"",""en"")"),"Growth is attractive to profit banks")</f>
        <v>Growth is attractive to profit banks</v>
      </c>
    </row>
    <row r="4323" spans="1:3" ht="15" x14ac:dyDescent="0.25">
      <c r="A4323" s="3" t="s">
        <v>4320</v>
      </c>
      <c r="B4323" s="3" t="s">
        <v>4</v>
      </c>
      <c r="C4323" s="2" t="str">
        <f ca="1">IFERROR(__xludf.DUMMYFUNCTION("GOOGLETRANSLATE(A4323,""bn"",""en"")"),"Renaissance in tabla tale music")</f>
        <v>Renaissance in tabla tale music</v>
      </c>
    </row>
    <row r="4324" spans="1:3" ht="15" x14ac:dyDescent="0.25">
      <c r="A4324" s="3" t="s">
        <v>4321</v>
      </c>
      <c r="B4324" s="3" t="s">
        <v>4</v>
      </c>
      <c r="C4324" s="2" t="str">
        <f ca="1">IFERROR(__xludf.DUMMYFUNCTION("GOOGLETRANSLATE(A4324,""bn"",""en"")"),"Colorful night to the rhythm of tabla")</f>
        <v>Colorful night to the rhythm of tabla</v>
      </c>
    </row>
    <row r="4325" spans="1:3" ht="15" x14ac:dyDescent="0.25">
      <c r="A4325" s="3" t="s">
        <v>4322</v>
      </c>
      <c r="B4325" s="3" t="s">
        <v>4</v>
      </c>
      <c r="C4325" s="2" t="str">
        <f ca="1">IFERROR(__xludf.DUMMYFUNCTION("GOOGLETRANSLATE(A4325,""bn"",""en"")"),"Make policy management specific")</f>
        <v>Make policy management specific</v>
      </c>
    </row>
    <row r="4326" spans="1:3" ht="15" x14ac:dyDescent="0.25">
      <c r="A4326" s="3" t="s">
        <v>4323</v>
      </c>
      <c r="B4326" s="3" t="s">
        <v>4</v>
      </c>
      <c r="C4326" s="2" t="str">
        <f ca="1">IFERROR(__xludf.DUMMYFUNCTION("GOOGLETRANSLATE(A4326,""bn"",""en"")"),"Prepare to go fishing")</f>
        <v>Prepare to go fishing</v>
      </c>
    </row>
    <row r="4327" spans="1:3" ht="15" x14ac:dyDescent="0.25">
      <c r="A4327" s="3" t="s">
        <v>4324</v>
      </c>
      <c r="B4327" s="3" t="s">
        <v>4</v>
      </c>
      <c r="C4327" s="2" t="str">
        <f ca="1">IFERROR(__xludf.DUMMYFUNCTION("GOOGLETRANSLATE(A4327,""bn"",""en"")"),"Increase health on a budget")</f>
        <v>Increase health on a budget</v>
      </c>
    </row>
    <row r="4328" spans="1:3" ht="15" x14ac:dyDescent="0.25">
      <c r="A4328" s="3" t="s">
        <v>4325</v>
      </c>
      <c r="B4328" s="3" t="s">
        <v>4</v>
      </c>
      <c r="C4328" s="2" t="str">
        <f ca="1">IFERROR(__xludf.DUMMYFUNCTION("GOOGLETRANSLATE(A4328,""bn"",""en"")"),"Formula racing shows are fun")</f>
        <v>Formula racing shows are fun</v>
      </c>
    </row>
    <row r="4329" spans="1:3" ht="15" x14ac:dyDescent="0.25">
      <c r="A4329" s="3" t="s">
        <v>4326</v>
      </c>
      <c r="B4329" s="3" t="s">
        <v>4</v>
      </c>
      <c r="C4329" s="2" t="str">
        <f ca="1">IFERROR(__xludf.DUMMYFUNCTION("GOOGLETRANSLATE(A4329,""bn"",""en"")"),"A new feature of the smartphone")</f>
        <v>A new feature of the smartphone</v>
      </c>
    </row>
    <row r="4330" spans="1:3" ht="15" x14ac:dyDescent="0.25">
      <c r="A4330" s="3" t="s">
        <v>4327</v>
      </c>
      <c r="B4330" s="3" t="s">
        <v>4</v>
      </c>
      <c r="C4330" s="2" t="str">
        <f ca="1">IFERROR(__xludf.DUMMYFUNCTION("GOOGLETRANSLATE(A4330,""bn"",""en"")"),"Get bank loan approval")</f>
        <v>Get bank loan approval</v>
      </c>
    </row>
    <row r="4331" spans="1:3" ht="15" x14ac:dyDescent="0.25">
      <c r="A4331" s="3" t="s">
        <v>4328</v>
      </c>
      <c r="B4331" s="3" t="s">
        <v>4</v>
      </c>
      <c r="C4331" s="2" t="str">
        <f ca="1">IFERROR(__xludf.DUMMYFUNCTION("GOOGLETRANSLATE(A4331,""bn"",""en"")"),"Universal Robotics and AAI")</f>
        <v>Universal Robotics and AAI</v>
      </c>
    </row>
    <row r="4332" spans="1:3" ht="15" x14ac:dyDescent="0.25">
      <c r="A4332" s="3" t="s">
        <v>4329</v>
      </c>
      <c r="B4332" s="3" t="s">
        <v>4</v>
      </c>
      <c r="C4332" s="2" t="str">
        <f ca="1">IFERROR(__xludf.DUMMYFUNCTION("GOOGLETRANSLATE(A4332,""bn"",""en"")"),"Learn to correct mistakes")</f>
        <v>Learn to correct mistakes</v>
      </c>
    </row>
    <row r="4333" spans="1:3" ht="15" x14ac:dyDescent="0.25">
      <c r="A4333" s="3" t="s">
        <v>4330</v>
      </c>
      <c r="B4333" s="3" t="s">
        <v>4</v>
      </c>
      <c r="C4333" s="2" t="str">
        <f ca="1">IFERROR(__xludf.DUMMYFUNCTION("GOOGLETRANSLATE(A4333,""bn"",""en"")"),"Experience personal space")</f>
        <v>Experience personal space</v>
      </c>
    </row>
    <row r="4334" spans="1:3" ht="15" x14ac:dyDescent="0.25">
      <c r="A4334" s="3" t="s">
        <v>4331</v>
      </c>
      <c r="B4334" s="3" t="s">
        <v>4</v>
      </c>
      <c r="C4334" s="2" t="str">
        <f ca="1">IFERROR(__xludf.DUMMYFUNCTION("GOOGLETRANSLATE(A4334,""bn"",""en"")"),"The importance of the teacher is infinite responsibility")</f>
        <v>The importance of the teacher is infinite responsibility</v>
      </c>
    </row>
    <row r="4335" spans="1:3" ht="15" x14ac:dyDescent="0.25">
      <c r="A4335" s="3" t="s">
        <v>4332</v>
      </c>
      <c r="B4335" s="3" t="s">
        <v>4</v>
      </c>
      <c r="C4335" s="2" t="str">
        <f ca="1">IFERROR(__xludf.DUMMYFUNCTION("GOOGLETRANSLATE(A4335,""bn"",""en"")"),"Stay on the beach at moonlit night")</f>
        <v>Stay on the beach at moonlit night</v>
      </c>
    </row>
    <row r="4336" spans="1:3" ht="15" x14ac:dyDescent="0.25">
      <c r="A4336" s="3" t="s">
        <v>4333</v>
      </c>
      <c r="B4336" s="3" t="s">
        <v>4</v>
      </c>
      <c r="C4336" s="2" t="str">
        <f ca="1">IFERROR(__xludf.DUMMYFUNCTION("GOOGLETRANSLATE(A4336,""bn"",""en"")"),"The characters are delicious and exciting")</f>
        <v>The characters are delicious and exciting</v>
      </c>
    </row>
    <row r="4337" spans="1:3" ht="15" x14ac:dyDescent="0.25">
      <c r="A4337" s="3" t="s">
        <v>4334</v>
      </c>
      <c r="B4337" s="3" t="s">
        <v>4</v>
      </c>
      <c r="C4337" s="2" t="str">
        <f ca="1">IFERROR(__xludf.DUMMYFUNCTION("GOOGLETRANSLATE(A4337,""bn"",""en"")"),"Greater leaders are honored")</f>
        <v>Greater leaders are honored</v>
      </c>
    </row>
    <row r="4338" spans="1:3" ht="15" x14ac:dyDescent="0.25">
      <c r="A4338" s="3" t="s">
        <v>4335</v>
      </c>
      <c r="B4338" s="3" t="s">
        <v>4</v>
      </c>
      <c r="C4338" s="2" t="str">
        <f ca="1">IFERROR(__xludf.DUMMYFUNCTION("GOOGLETRANSLATE(A4338,""bn"",""en"")"),"Create commercial action")</f>
        <v>Create commercial action</v>
      </c>
    </row>
    <row r="4339" spans="1:3" ht="15" x14ac:dyDescent="0.25">
      <c r="A4339" s="3" t="s">
        <v>4336</v>
      </c>
      <c r="B4339" s="3" t="s">
        <v>4</v>
      </c>
      <c r="C4339" s="2" t="str">
        <f ca="1">IFERROR(__xludf.DUMMYFUNCTION("GOOGLETRANSLATE(A4339,""bn"",""en"")"),"I have profit in company establishment")</f>
        <v>I have profit in company establishment</v>
      </c>
    </row>
    <row r="4340" spans="1:3" ht="15" x14ac:dyDescent="0.25">
      <c r="A4340" s="3" t="s">
        <v>4337</v>
      </c>
      <c r="B4340" s="3" t="s">
        <v>4</v>
      </c>
      <c r="C4340" s="2" t="str">
        <f ca="1">IFERROR(__xludf.DUMMYFUNCTION("GOOGLETRANSLATE(A4340,""bn"",""en"")"),"Deposit money into the account")</f>
        <v>Deposit money into the account</v>
      </c>
    </row>
    <row r="4341" spans="1:3" ht="15" x14ac:dyDescent="0.25">
      <c r="A4341" s="3" t="s">
        <v>4338</v>
      </c>
      <c r="B4341" s="3" t="s">
        <v>4</v>
      </c>
      <c r="C4341" s="2" t="str">
        <f ca="1">IFERROR(__xludf.DUMMYFUNCTION("GOOGLETRANSLATE(A4341,""bn"",""en"")"),"Provision of cloud computing facilities")</f>
        <v>Provision of cloud computing facilities</v>
      </c>
    </row>
    <row r="4342" spans="1:3" ht="15" x14ac:dyDescent="0.25">
      <c r="A4342" s="3" t="s">
        <v>4339</v>
      </c>
      <c r="B4342" s="3" t="s">
        <v>4</v>
      </c>
      <c r="C4342" s="2" t="str">
        <f ca="1">IFERROR(__xludf.DUMMYFUNCTION("GOOGLETRANSLATE(A4342,""bn"",""en"")"),"Playing golf in the rain")</f>
        <v>Playing golf in the rain</v>
      </c>
    </row>
    <row r="4343" spans="1:3" ht="15" x14ac:dyDescent="0.25">
      <c r="A4343" s="3" t="s">
        <v>4340</v>
      </c>
      <c r="B4343" s="3" t="s">
        <v>4</v>
      </c>
      <c r="C4343" s="2" t="str">
        <f ca="1">IFERROR(__xludf.DUMMYFUNCTION("GOOGLETRANSLATE(A4343,""bn"",""en"")"),"Time to watch delicious pictures")</f>
        <v>Time to watch delicious pictures</v>
      </c>
    </row>
    <row r="4344" spans="1:3" ht="15" x14ac:dyDescent="0.25">
      <c r="A4344" s="3" t="s">
        <v>4341</v>
      </c>
      <c r="B4344" s="3" t="s">
        <v>4</v>
      </c>
      <c r="C4344" s="2" t="str">
        <f ca="1">IFERROR(__xludf.DUMMYFUNCTION("GOOGLETRANSLATE(A4344,""bn"",""en"")"),"Football game in the middle of the city")</f>
        <v>Football game in the middle of the city</v>
      </c>
    </row>
    <row r="4345" spans="1:3" ht="15" x14ac:dyDescent="0.25">
      <c r="A4345" s="3" t="s">
        <v>4342</v>
      </c>
      <c r="B4345" s="3" t="s">
        <v>4</v>
      </c>
      <c r="C4345" s="2" t="str">
        <f ca="1">IFERROR(__xludf.DUMMYFUNCTION("GOOGLETRANSLATE(A4345,""bn"",""en"")"),"The Prime Minister is fulfilling the responsibility")</f>
        <v>The Prime Minister is fulfilling the responsibility</v>
      </c>
    </row>
    <row r="4346" spans="1:3" ht="15" x14ac:dyDescent="0.25">
      <c r="A4346" s="3" t="s">
        <v>4343</v>
      </c>
      <c r="B4346" s="3" t="s">
        <v>4</v>
      </c>
      <c r="C4346" s="2" t="str">
        <f ca="1">IFERROR(__xludf.DUMMYFUNCTION("GOOGLETRANSLATE(A4346,""bn"",""en"")"),"Take a bicycle for a trip")</f>
        <v>Take a bicycle for a trip</v>
      </c>
    </row>
    <row r="4347" spans="1:3" ht="15" x14ac:dyDescent="0.25">
      <c r="A4347" s="3" t="s">
        <v>4344</v>
      </c>
      <c r="B4347" s="3" t="s">
        <v>4</v>
      </c>
      <c r="C4347" s="2" t="str">
        <f ca="1">IFERROR(__xludf.DUMMYFUNCTION("GOOGLETRANSLATE(A4347,""bn"",""en"")"),"Golf is a hobby")</f>
        <v>Golf is a hobby</v>
      </c>
    </row>
    <row r="4348" spans="1:3" ht="15" x14ac:dyDescent="0.25">
      <c r="A4348" s="3" t="s">
        <v>4345</v>
      </c>
      <c r="B4348" s="3" t="s">
        <v>4</v>
      </c>
      <c r="C4348" s="2" t="str">
        <f ca="1">IFERROR(__xludf.DUMMYFUNCTION("GOOGLETRANSLATE(A4348,""bn"",""en"")"),"Explore Blockchain Technology")</f>
        <v>Explore Blockchain Technology</v>
      </c>
    </row>
    <row r="4349" spans="1:3" ht="15" x14ac:dyDescent="0.25">
      <c r="A4349" s="3" t="s">
        <v>4346</v>
      </c>
      <c r="B4349" s="3" t="s">
        <v>4</v>
      </c>
      <c r="C4349" s="2" t="str">
        <f ca="1">IFERROR(__xludf.DUMMYFUNCTION("GOOGLETRANSLATE(A4349,""bn"",""en"")"),"Explore modern technology")</f>
        <v>Explore modern technology</v>
      </c>
    </row>
    <row r="4350" spans="1:3" ht="15" x14ac:dyDescent="0.25">
      <c r="A4350" s="3" t="s">
        <v>4347</v>
      </c>
      <c r="B4350" s="3" t="s">
        <v>4</v>
      </c>
      <c r="C4350" s="2" t="str">
        <f ca="1">IFERROR(__xludf.DUMMYFUNCTION("GOOGLETRANSLATE(A4350,""bn"",""en"")"),"Hybrid cloud computing model")</f>
        <v>Hybrid cloud computing model</v>
      </c>
    </row>
    <row r="4351" spans="1:3" ht="15" x14ac:dyDescent="0.25">
      <c r="A4351" s="3" t="s">
        <v>4348</v>
      </c>
      <c r="B4351" s="3" t="s">
        <v>4</v>
      </c>
      <c r="C4351" s="2" t="str">
        <f ca="1">IFERROR(__xludf.DUMMYFUNCTION("GOOGLETRANSLATE(A4351,""bn"",""en"")"),"Increase in money as a bank")</f>
        <v>Increase in money as a bank</v>
      </c>
    </row>
    <row r="4352" spans="1:3" ht="15" x14ac:dyDescent="0.25">
      <c r="A4352" s="3" t="s">
        <v>4349</v>
      </c>
      <c r="B4352" s="3" t="s">
        <v>4</v>
      </c>
      <c r="C4352" s="2" t="str">
        <f ca="1">IFERROR(__xludf.DUMMYFUNCTION("GOOGLETRANSLATE(A4352,""bn"",""en"")"),"Horse racing is romantic to watch")</f>
        <v>Horse racing is romantic to watch</v>
      </c>
    </row>
    <row r="4353" spans="1:3" ht="15" x14ac:dyDescent="0.25">
      <c r="A4353" s="3" t="s">
        <v>4350</v>
      </c>
      <c r="B4353" s="3" t="s">
        <v>4</v>
      </c>
      <c r="C4353" s="2" t="str">
        <f ca="1">IFERROR(__xludf.DUMMYFUNCTION("GOOGLETRANSLATE(A4353,""bn"",""en"")"),"Rabindranath poet's influence on music")</f>
        <v>Rabindranath poet's influence on music</v>
      </c>
    </row>
    <row r="4354" spans="1:3" ht="15" x14ac:dyDescent="0.25">
      <c r="A4354" s="3" t="s">
        <v>4351</v>
      </c>
      <c r="B4354" s="3" t="s">
        <v>4</v>
      </c>
      <c r="C4354" s="2" t="str">
        <f ca="1">IFERROR(__xludf.DUMMYFUNCTION("GOOGLETRANSLATE(A4354,""bn"",""en"")"),"Love is charming in Asim's song")</f>
        <v>Love is charming in Asim's song</v>
      </c>
    </row>
    <row r="4355" spans="1:3" ht="15" x14ac:dyDescent="0.25">
      <c r="A4355" s="3" t="s">
        <v>4352</v>
      </c>
      <c r="B4355" s="3" t="s">
        <v>4</v>
      </c>
      <c r="C4355" s="2" t="str">
        <f ca="1">IFERROR(__xludf.DUMMYFUNCTION("GOOGLETRANSLATE(A4355,""bn"",""en"")"),"Search the world economy")</f>
        <v>Search the world economy</v>
      </c>
    </row>
    <row r="4356" spans="1:3" ht="15" x14ac:dyDescent="0.25">
      <c r="A4356" s="3" t="s">
        <v>4353</v>
      </c>
      <c r="B4356" s="3" t="s">
        <v>4</v>
      </c>
      <c r="C4356" s="2" t="str">
        <f ca="1">IFERROR(__xludf.DUMMYFUNCTION("GOOGLETRANSLATE(A4356,""bn"",""en"")"),"Creativity is innovation in education")</f>
        <v>Creativity is innovation in education</v>
      </c>
    </row>
    <row r="4357" spans="1:3" ht="15" x14ac:dyDescent="0.25">
      <c r="A4357" s="3" t="s">
        <v>4354</v>
      </c>
      <c r="B4357" s="3" t="s">
        <v>4</v>
      </c>
      <c r="C4357" s="2" t="str">
        <f ca="1">IFERROR(__xludf.DUMMYFUNCTION("GOOGLETRANSLATE(A4357,""bn"",""en"")"),"Parliament needs new legislation")</f>
        <v>Parliament needs new legislation</v>
      </c>
    </row>
    <row r="4358" spans="1:3" ht="15" x14ac:dyDescent="0.25">
      <c r="A4358" s="3" t="s">
        <v>4355</v>
      </c>
      <c r="B4358" s="3" t="s">
        <v>4</v>
      </c>
      <c r="C4358" s="2" t="str">
        <f ca="1">IFERROR(__xludf.DUMMYFUNCTION("GOOGLETRANSLATE(A4358,""bn"",""en"")"),"I am coming to see the silent sea")</f>
        <v>I am coming to see the silent sea</v>
      </c>
    </row>
    <row r="4359" spans="1:3" ht="15" x14ac:dyDescent="0.25">
      <c r="A4359" s="3" t="s">
        <v>4356</v>
      </c>
      <c r="B4359" s="3" t="s">
        <v>4</v>
      </c>
      <c r="C4359" s="2" t="str">
        <f ca="1">IFERROR(__xludf.DUMMYFUNCTION("GOOGLETRANSLATE(A4359,""bn"",""en"")"),"Madhya Pradesh is part of India")</f>
        <v>Madhya Pradesh is part of India</v>
      </c>
    </row>
    <row r="4360" spans="1:3" ht="15" x14ac:dyDescent="0.25">
      <c r="A4360" s="3" t="s">
        <v>4357</v>
      </c>
      <c r="B4360" s="3" t="s">
        <v>4</v>
      </c>
      <c r="C4360" s="2" t="str">
        <f ca="1">IFERROR(__xludf.DUMMYFUNCTION("GOOGLETRANSLATE(A4360,""bn"",""en"")"),"Grow in the corporate market")</f>
        <v>Grow in the corporate market</v>
      </c>
    </row>
    <row r="4361" spans="1:3" ht="15" x14ac:dyDescent="0.25">
      <c r="A4361" s="3" t="s">
        <v>4358</v>
      </c>
      <c r="B4361" s="3" t="s">
        <v>4</v>
      </c>
      <c r="C4361" s="2" t="str">
        <f ca="1">IFERROR(__xludf.DUMMYFUNCTION("GOOGLETRANSLATE(A4361,""bn"",""en"")"),"The market is progressing nationwide")</f>
        <v>The market is progressing nationwide</v>
      </c>
    </row>
    <row r="4362" spans="1:3" ht="15" x14ac:dyDescent="0.25">
      <c r="A4362" s="3" t="s">
        <v>4359</v>
      </c>
      <c r="B4362" s="3" t="s">
        <v>4</v>
      </c>
      <c r="C4362" s="2" t="str">
        <f ca="1">IFERROR(__xludf.DUMMYFUNCTION("GOOGLETRANSLATE(A4362,""bn"",""en"")"),"The film is directed by Shokriya Mohanty")</f>
        <v>The film is directed by Shokriya Mohanty</v>
      </c>
    </row>
    <row r="4363" spans="1:3" ht="15" x14ac:dyDescent="0.25">
      <c r="A4363" s="3" t="s">
        <v>4360</v>
      </c>
      <c r="B4363" s="3" t="s">
        <v>4</v>
      </c>
      <c r="C4363" s="2" t="str">
        <f ca="1">IFERROR(__xludf.DUMMYFUNCTION("GOOGLETRANSLATE(A4363,""bn"",""en"")"),"Education's relationship with technology")</f>
        <v>Education's relationship with technology</v>
      </c>
    </row>
    <row r="4364" spans="1:3" ht="15" x14ac:dyDescent="0.25">
      <c r="A4364" s="3" t="s">
        <v>4361</v>
      </c>
      <c r="B4364" s="3" t="s">
        <v>4</v>
      </c>
      <c r="C4364" s="2" t="str">
        <f ca="1">IFERROR(__xludf.DUMMYFUNCTION("GOOGLETRANSLATE(A4364,""bn"",""en"")"),"See the light scene at night")</f>
        <v>See the light scene at night</v>
      </c>
    </row>
    <row r="4365" spans="1:3" ht="15" x14ac:dyDescent="0.25">
      <c r="A4365" s="3" t="s">
        <v>4362</v>
      </c>
      <c r="B4365" s="3" t="s">
        <v>4</v>
      </c>
      <c r="C4365" s="2" t="str">
        <f ca="1">IFERROR(__xludf.DUMMYFUNCTION("GOOGLETRANSLATE(A4365,""bn"",""en"")"),"Mysterious story in haunted house")</f>
        <v>Mysterious story in haunted house</v>
      </c>
    </row>
    <row r="4366" spans="1:3" ht="15" x14ac:dyDescent="0.25">
      <c r="A4366" s="3" t="s">
        <v>4363</v>
      </c>
      <c r="B4366" s="3" t="s">
        <v>4</v>
      </c>
      <c r="C4366" s="2" t="str">
        <f ca="1">IFERROR(__xludf.DUMMYFUNCTION("GOOGLETRANSLATE(A4366,""bn"",""en"")"),"Tajikistan is located in the Pamir Mountains")</f>
        <v>Tajikistan is located in the Pamir Mountains</v>
      </c>
    </row>
    <row r="4367" spans="1:3" ht="15" x14ac:dyDescent="0.25">
      <c r="A4367" s="3" t="s">
        <v>4364</v>
      </c>
      <c r="B4367" s="3" t="s">
        <v>4</v>
      </c>
      <c r="C4367" s="2" t="str">
        <f ca="1">IFERROR(__xludf.DUMMYFUNCTION("GOOGLETRANSLATE(A4367,""bn"",""en"")"),"Technology should be prepared")</f>
        <v>Technology should be prepared</v>
      </c>
    </row>
    <row r="4368" spans="1:3" ht="15" x14ac:dyDescent="0.25">
      <c r="A4368" s="3" t="s">
        <v>4365</v>
      </c>
      <c r="B4368" s="3" t="s">
        <v>4</v>
      </c>
      <c r="C4368" s="2" t="str">
        <f ca="1">IFERROR(__xludf.DUMMYFUNCTION("GOOGLETRANSLATE(A4368,""bn"",""en"")"),"Visit the South Seas")</f>
        <v>Visit the South Seas</v>
      </c>
    </row>
    <row r="4369" spans="1:3" ht="15" x14ac:dyDescent="0.25">
      <c r="A4369" s="3" t="s">
        <v>4366</v>
      </c>
      <c r="B4369" s="3" t="s">
        <v>4</v>
      </c>
      <c r="C4369" s="2" t="str">
        <f ca="1">IFERROR(__xludf.DUMMYFUNCTION("GOOGLETRANSLATE(A4369,""bn"",""en"")"),"The beauty of the Alps is immense")</f>
        <v>The beauty of the Alps is immense</v>
      </c>
    </row>
    <row r="4370" spans="1:3" ht="15" x14ac:dyDescent="0.25">
      <c r="A4370" s="3" t="s">
        <v>4367</v>
      </c>
      <c r="B4370" s="3" t="s">
        <v>4</v>
      </c>
      <c r="C4370" s="2" t="str">
        <f ca="1">IFERROR(__xludf.DUMMYFUNCTION("GOOGLETRANSLATE(A4370,""bn"",""en"")"),"Visit USA in October")</f>
        <v>Visit USA in October</v>
      </c>
    </row>
    <row r="4371" spans="1:3" ht="15" x14ac:dyDescent="0.25">
      <c r="A4371" s="3" t="s">
        <v>4368</v>
      </c>
      <c r="B4371" s="3" t="s">
        <v>4</v>
      </c>
      <c r="C4371" s="2" t="str">
        <f ca="1">IFERROR(__xludf.DUMMYFUNCTION("GOOGLETRANSLATE(A4371,""bn"",""en"")"),"Bring the tour group by bike")</f>
        <v>Bring the tour group by bike</v>
      </c>
    </row>
    <row r="4372" spans="1:3" ht="15" x14ac:dyDescent="0.25">
      <c r="A4372" s="3" t="s">
        <v>4369</v>
      </c>
      <c r="B4372" s="3" t="s">
        <v>4</v>
      </c>
      <c r="C4372" s="2" t="str">
        <f ca="1">IFERROR(__xludf.DUMMYFUNCTION("GOOGLETRANSLATE(A4372,""bn"",""en"")"),"I like to do gymnastics")</f>
        <v>I like to do gymnastics</v>
      </c>
    </row>
    <row r="4373" spans="1:3" ht="15" x14ac:dyDescent="0.25">
      <c r="A4373" s="3" t="s">
        <v>4370</v>
      </c>
      <c r="B4373" s="3" t="s">
        <v>4</v>
      </c>
      <c r="C4373" s="2" t="str">
        <f ca="1">IFERROR(__xludf.DUMMYFUNCTION("GOOGLETRANSLATE(A4373,""bn"",""en"")"),"Consider credit cards")</f>
        <v>Consider credit cards</v>
      </c>
    </row>
    <row r="4374" spans="1:3" ht="15" x14ac:dyDescent="0.25">
      <c r="A4374" s="3" t="s">
        <v>4371</v>
      </c>
      <c r="B4374" s="3" t="s">
        <v>4</v>
      </c>
      <c r="C4374" s="2" t="str">
        <f ca="1">IFERROR(__xludf.DUMMYFUNCTION("GOOGLETRANSLATE(A4374,""bn"",""en"")"),"Being awarded in cyber physics")</f>
        <v>Being awarded in cyber physics</v>
      </c>
    </row>
    <row r="4375" spans="1:3" ht="15" x14ac:dyDescent="0.25">
      <c r="A4375" s="3" t="s">
        <v>4372</v>
      </c>
      <c r="B4375" s="3" t="s">
        <v>4</v>
      </c>
      <c r="C4375" s="2" t="str">
        <f ca="1">IFERROR(__xludf.DUMMYFUNCTION("GOOGLETRANSLATE(A4375,""bn"",""en"")"),"Make a badminton racket")</f>
        <v>Make a badminton racket</v>
      </c>
    </row>
    <row r="4376" spans="1:3" ht="15" x14ac:dyDescent="0.25">
      <c r="A4376" s="3" t="s">
        <v>4373</v>
      </c>
      <c r="B4376" s="3" t="s">
        <v>4</v>
      </c>
      <c r="C4376" s="2" t="str">
        <f ca="1">IFERROR(__xludf.DUMMYFUNCTION("GOOGLETRANSLATE(A4376,""bn"",""en"")"),"Mystery is going on between the pair")</f>
        <v>Mystery is going on between the pair</v>
      </c>
    </row>
    <row r="4377" spans="1:3" ht="15" x14ac:dyDescent="0.25">
      <c r="A4377" s="3" t="s">
        <v>4374</v>
      </c>
      <c r="B4377" s="3" t="s">
        <v>4</v>
      </c>
      <c r="C4377" s="2" t="str">
        <f ca="1">IFERROR(__xludf.DUMMYFUNCTION("GOOGLETRANSLATE(A4377,""bn"",""en"")"),"Young leadership among MPs")</f>
        <v>Young leadership among MPs</v>
      </c>
    </row>
    <row r="4378" spans="1:3" ht="15" x14ac:dyDescent="0.25">
      <c r="A4378" s="3" t="s">
        <v>4375</v>
      </c>
      <c r="B4378" s="3" t="s">
        <v>4</v>
      </c>
      <c r="C4378" s="2" t="str">
        <f ca="1">IFERROR(__xludf.DUMMYFUNCTION("GOOGLETRANSLATE(A4378,""bn"",""en"")"),"Touching the bat in Ekushe Taile")</f>
        <v>Touching the bat in Ekushe Taile</v>
      </c>
    </row>
    <row r="4379" spans="1:3" ht="15" x14ac:dyDescent="0.25">
      <c r="A4379" s="3" t="s">
        <v>4376</v>
      </c>
      <c r="B4379" s="3" t="s">
        <v>4</v>
      </c>
      <c r="C4379" s="2" t="str">
        <f ca="1">IFERROR(__xludf.DUMMYFUNCTION("GOOGLETRANSLATE(A4379,""bn"",""en"")"),"Politics without private institutions")</f>
        <v>Politics without private institutions</v>
      </c>
    </row>
    <row r="4380" spans="1:3" ht="15" x14ac:dyDescent="0.25">
      <c r="A4380" s="3" t="s">
        <v>4377</v>
      </c>
      <c r="B4380" s="3" t="s">
        <v>4</v>
      </c>
      <c r="C4380" s="2" t="str">
        <f ca="1">IFERROR(__xludf.DUMMYFUNCTION("GOOGLETRANSLATE(A4380,""bn"",""en"")"),"Take the Higher Education Admission Test")</f>
        <v>Take the Higher Education Admission Test</v>
      </c>
    </row>
    <row r="4381" spans="1:3" ht="15" x14ac:dyDescent="0.25">
      <c r="A4381" s="3" t="s">
        <v>4378</v>
      </c>
      <c r="B4381" s="3" t="s">
        <v>4</v>
      </c>
      <c r="C4381" s="2" t="str">
        <f ca="1">IFERROR(__xludf.DUMMYFUNCTION("GOOGLETRANSLATE(A4381,""bn"",""en"")"),"Robotics and AI are electronic")</f>
        <v>Robotics and AI are electronic</v>
      </c>
    </row>
    <row r="4382" spans="1:3" ht="15" x14ac:dyDescent="0.25">
      <c r="A4382" s="3" t="s">
        <v>4379</v>
      </c>
      <c r="B4382" s="3" t="s">
        <v>4</v>
      </c>
      <c r="C4382" s="2" t="str">
        <f ca="1">IFERROR(__xludf.DUMMYFUNCTION("GOOGLETRANSLATE(A4382,""bn"",""en"")"),"Politics is being discussed a lot")</f>
        <v>Politics is being discussed a lot</v>
      </c>
    </row>
    <row r="4383" spans="1:3" ht="15" x14ac:dyDescent="0.25">
      <c r="A4383" s="3" t="s">
        <v>4380</v>
      </c>
      <c r="B4383" s="3" t="s">
        <v>4</v>
      </c>
      <c r="C4383" s="2" t="str">
        <f ca="1">IFERROR(__xludf.DUMMYFUNCTION("GOOGLETRANSLATE(A4383,""bn"",""en"")"),"There are basilica temples in Brazil")</f>
        <v>There are basilica temples in Brazil</v>
      </c>
    </row>
    <row r="4384" spans="1:3" ht="15" x14ac:dyDescent="0.25">
      <c r="A4384" s="3" t="s">
        <v>4381</v>
      </c>
      <c r="B4384" s="3" t="s">
        <v>4</v>
      </c>
      <c r="C4384" s="2" t="str">
        <f ca="1">IFERROR(__xludf.DUMMYFUNCTION("GOOGLETRANSLATE(A4384,""bn"",""en"")"),"Introduction to multiple operating systems")</f>
        <v>Introduction to multiple operating systems</v>
      </c>
    </row>
    <row r="4385" spans="1:3" ht="15" x14ac:dyDescent="0.25">
      <c r="A4385" s="3" t="s">
        <v>4382</v>
      </c>
      <c r="B4385" s="3" t="s">
        <v>4</v>
      </c>
      <c r="C4385" s="2" t="str">
        <f ca="1">IFERROR(__xludf.DUMMYFUNCTION("GOOGLETRANSLATE(A4385,""bn"",""en"")"),"Practice education")</f>
        <v>Practice education</v>
      </c>
    </row>
    <row r="4386" spans="1:3" ht="15" x14ac:dyDescent="0.25">
      <c r="A4386" s="3" t="s">
        <v>4383</v>
      </c>
      <c r="B4386" s="3" t="s">
        <v>4</v>
      </c>
      <c r="C4386" s="2" t="str">
        <f ca="1">IFERROR(__xludf.DUMMYFUNCTION("GOOGLETRANSLATE(A4386,""bn"",""en"")"),"Banks offer multiple opportunities")</f>
        <v>Banks offer multiple opportunities</v>
      </c>
    </row>
    <row r="4387" spans="1:3" ht="15" x14ac:dyDescent="0.25">
      <c r="A4387" s="3" t="s">
        <v>4384</v>
      </c>
      <c r="B4387" s="3" t="s">
        <v>4</v>
      </c>
      <c r="C4387" s="2" t="str">
        <f ca="1">IFERROR(__xludf.DUMMYFUNCTION("GOOGLETRANSLATE(A4387,""bn"",""en"")"),"Cheering when a goal is scored in soccer")</f>
        <v>Cheering when a goal is scored in soccer</v>
      </c>
    </row>
    <row r="4388" spans="1:3" ht="15" x14ac:dyDescent="0.25">
      <c r="A4388" s="3" t="s">
        <v>4385</v>
      </c>
      <c r="B4388" s="3" t="s">
        <v>4</v>
      </c>
      <c r="C4388" s="2" t="str">
        <f ca="1">IFERROR(__xludf.DUMMYFUNCTION("GOOGLETRANSLATE(A4388,""bn"",""en"")"),"The partner feels hesitant")</f>
        <v>The partner feels hesitant</v>
      </c>
    </row>
    <row r="4389" spans="1:3" ht="15" x14ac:dyDescent="0.25">
      <c r="A4389" s="3" t="s">
        <v>4386</v>
      </c>
      <c r="B4389" s="3" t="s">
        <v>4</v>
      </c>
      <c r="C4389" s="2" t="str">
        <f ca="1">IFERROR(__xludf.DUMMYFUNCTION("GOOGLETRANSLATE(A4389,""bn"",""en"")"),"Car traffic is increasing in Bangladesh")</f>
        <v>Car traffic is increasing in Bangladesh</v>
      </c>
    </row>
    <row r="4390" spans="1:3" ht="15" x14ac:dyDescent="0.25">
      <c r="A4390" s="3" t="s">
        <v>4387</v>
      </c>
      <c r="B4390" s="3" t="s">
        <v>4</v>
      </c>
      <c r="C4390" s="2" t="str">
        <f ca="1">IFERROR(__xludf.DUMMYFUNCTION("GOOGLETRANSLATE(A4390,""bn"",""en"")"),"Use project management tools")</f>
        <v>Use project management tools</v>
      </c>
    </row>
    <row r="4391" spans="1:3" ht="15" x14ac:dyDescent="0.25">
      <c r="A4391" s="3" t="s">
        <v>4388</v>
      </c>
      <c r="B4391" s="3" t="s">
        <v>4</v>
      </c>
      <c r="C4391" s="2" t="str">
        <f ca="1">IFERROR(__xludf.DUMMYFUNCTION("GOOGLETRANSLATE(A4391,""bn"",""en"")"),"The ball has grown in the World Cup")</f>
        <v>The ball has grown in the World Cup</v>
      </c>
    </row>
    <row r="4392" spans="1:3" ht="15" x14ac:dyDescent="0.25">
      <c r="A4392" s="3" t="s">
        <v>4389</v>
      </c>
      <c r="B4392" s="3" t="s">
        <v>4</v>
      </c>
      <c r="C4392" s="2" t="str">
        <f ca="1">IFERROR(__xludf.DUMMYFUNCTION("GOOGLETRANSLATE(A4392,""bn"",""en"")"),"Moonlit night boat trip")</f>
        <v>Moonlit night boat trip</v>
      </c>
    </row>
    <row r="4393" spans="1:3" ht="15" x14ac:dyDescent="0.25">
      <c r="A4393" s="3" t="s">
        <v>4390</v>
      </c>
      <c r="B4393" s="3" t="s">
        <v>4</v>
      </c>
      <c r="C4393" s="2" t="str">
        <f ca="1">IFERROR(__xludf.DUMMYFUNCTION("GOOGLETRANSLATE(A4393,""bn"",""en"")"),"Moral education builds life")</f>
        <v>Moral education builds life</v>
      </c>
    </row>
    <row r="4394" spans="1:3" ht="15" x14ac:dyDescent="0.25">
      <c r="A4394" s="3" t="s">
        <v>4391</v>
      </c>
      <c r="B4394" s="3" t="s">
        <v>4</v>
      </c>
      <c r="C4394" s="2" t="str">
        <f ca="1">IFERROR(__xludf.DUMMYFUNCTION("GOOGLETRANSLATE(A4394,""bn"",""en"")"),"Increase in savings account")</f>
        <v>Increase in savings account</v>
      </c>
    </row>
    <row r="4395" spans="1:3" ht="15" x14ac:dyDescent="0.25">
      <c r="A4395" s="3" t="s">
        <v>4392</v>
      </c>
      <c r="B4395" s="3" t="s">
        <v>4</v>
      </c>
      <c r="C4395" s="2" t="str">
        <f ca="1">IFERROR(__xludf.DUMMYFUNCTION("GOOGLETRANSLATE(A4395,""bn"",""en"")"),"Such is the beauty of the river in Barisal")</f>
        <v>Such is the beauty of the river in Barisal</v>
      </c>
    </row>
    <row r="4396" spans="1:3" ht="15" x14ac:dyDescent="0.25">
      <c r="A4396" s="3" t="s">
        <v>4393</v>
      </c>
      <c r="B4396" s="3" t="s">
        <v>4</v>
      </c>
      <c r="C4396" s="2" t="str">
        <f ca="1">IFERROR(__xludf.DUMMYFUNCTION("GOOGLETRANSLATE(A4396,""bn"",""en"")"),"Misti river on the Bengali coast")</f>
        <v>Misti river on the Bengali coast</v>
      </c>
    </row>
    <row r="4397" spans="1:3" ht="15" x14ac:dyDescent="0.25">
      <c r="A4397" s="3" t="s">
        <v>4394</v>
      </c>
      <c r="B4397" s="3" t="s">
        <v>4</v>
      </c>
      <c r="C4397" s="2" t="str">
        <f ca="1">IFERROR(__xludf.DUMMYFUNCTION("GOOGLETRANSLATE(A4397,""bn"",""en"")"),"I live in the cloud city")</f>
        <v>I live in the cloud city</v>
      </c>
    </row>
    <row r="4398" spans="1:3" ht="15" x14ac:dyDescent="0.25">
      <c r="A4398" s="3" t="s">
        <v>4395</v>
      </c>
      <c r="B4398" s="3" t="s">
        <v>4</v>
      </c>
      <c r="C4398" s="2" t="str">
        <f ca="1">IFERROR(__xludf.DUMMYFUNCTION("GOOGLETRANSLATE(A4398,""bn"",""en"")"),"Data security protocols are dark")</f>
        <v>Data security protocols are dark</v>
      </c>
    </row>
    <row r="4399" spans="1:3" ht="15" x14ac:dyDescent="0.25">
      <c r="A4399" s="3" t="s">
        <v>4396</v>
      </c>
      <c r="B4399" s="3" t="s">
        <v>4</v>
      </c>
      <c r="C4399" s="2" t="str">
        <f ca="1">IFERROR(__xludf.DUMMYFUNCTION("GOOGLETRANSLATE(A4399,""bn"",""en"")"),"Arctic Flood White Beach")</f>
        <v>Arctic Flood White Beach</v>
      </c>
    </row>
    <row r="4400" spans="1:3" ht="15" x14ac:dyDescent="0.25">
      <c r="A4400" s="3" t="s">
        <v>4397</v>
      </c>
      <c r="B4400" s="3" t="s">
        <v>4</v>
      </c>
      <c r="C4400" s="2" t="str">
        <f ca="1">IFERROR(__xludf.DUMMYFUNCTION("GOOGLETRANSLATE(A4400,""bn"",""en"")"),"Political discussion in everyday life")</f>
        <v>Political discussion in everyday life</v>
      </c>
    </row>
    <row r="4401" spans="1:3" ht="15" x14ac:dyDescent="0.25">
      <c r="A4401" s="3" t="s">
        <v>4398</v>
      </c>
      <c r="B4401" s="3" t="s">
        <v>4</v>
      </c>
      <c r="C4401" s="2" t="str">
        <f ca="1">IFERROR(__xludf.DUMMYFUNCTION("GOOGLETRANSLATE(A4401,""bn"",""en"")"),"Running hundreds of meters")</f>
        <v>Running hundreds of meters</v>
      </c>
    </row>
    <row r="4402" spans="1:3" ht="15" x14ac:dyDescent="0.25">
      <c r="A4402" s="3" t="s">
        <v>4399</v>
      </c>
      <c r="B4402" s="3" t="s">
        <v>4</v>
      </c>
      <c r="C4402" s="2" t="str">
        <f ca="1">IFERROR(__xludf.DUMMYFUNCTION("GOOGLETRANSLATE(A4402,""bn"",""en"")"),"Travel specially")</f>
        <v>Travel specially</v>
      </c>
    </row>
    <row r="4403" spans="1:3" ht="15" x14ac:dyDescent="0.25">
      <c r="A4403" s="3" t="s">
        <v>4400</v>
      </c>
      <c r="B4403" s="3" t="s">
        <v>4</v>
      </c>
      <c r="C4403" s="2" t="str">
        <f ca="1">IFERROR(__xludf.DUMMYFUNCTION("GOOGLETRANSLATE(A4403,""bn"",""en"")"),"Interest in science")</f>
        <v>Interest in science</v>
      </c>
    </row>
    <row r="4404" spans="1:3" ht="15" x14ac:dyDescent="0.25">
      <c r="A4404" s="3" t="s">
        <v>4401</v>
      </c>
      <c r="B4404" s="3" t="s">
        <v>4</v>
      </c>
      <c r="C4404" s="2" t="str">
        <f ca="1">IFERROR(__xludf.DUMMYFUNCTION("GOOGLETRANSLATE(A4404,""bn"",""en"")"),"Concentrate yourself on the basic character")</f>
        <v>Concentrate yourself on the basic character</v>
      </c>
    </row>
    <row r="4405" spans="1:3" ht="15" x14ac:dyDescent="0.25">
      <c r="A4405" s="3" t="s">
        <v>4402</v>
      </c>
      <c r="B4405" s="3" t="s">
        <v>4</v>
      </c>
      <c r="C4405" s="2" t="str">
        <f ca="1">IFERROR(__xludf.DUMMYFUNCTION("GOOGLETRANSLATE(A4405,""bn"",""en"")"),"Trekking in the mountains is a strange feeling")</f>
        <v>Trekking in the mountains is a strange feeling</v>
      </c>
    </row>
    <row r="4406" spans="1:3" ht="15" x14ac:dyDescent="0.25">
      <c r="A4406" s="3" t="s">
        <v>4403</v>
      </c>
      <c r="B4406" s="3" t="s">
        <v>4</v>
      </c>
      <c r="C4406" s="2" t="str">
        <f ca="1">IFERROR(__xludf.DUMMYFUNCTION("GOOGLETRANSLATE(A4406,""bn"",""en"")"),"An insurance for themselves")</f>
        <v>An insurance for themselves</v>
      </c>
    </row>
    <row r="4407" spans="1:3" ht="15" x14ac:dyDescent="0.25">
      <c r="A4407" s="3" t="s">
        <v>4404</v>
      </c>
      <c r="B4407" s="3" t="s">
        <v>4</v>
      </c>
      <c r="C4407" s="2" t="str">
        <f ca="1">IFERROR(__xludf.DUMMYFUNCTION("GOOGLETRANSLATE(A4407,""bn"",""en"")"),"Cope with growth in the bank")</f>
        <v>Cope with growth in the bank</v>
      </c>
    </row>
    <row r="4408" spans="1:3" ht="15" x14ac:dyDescent="0.25">
      <c r="A4408" s="3" t="s">
        <v>4405</v>
      </c>
      <c r="B4408" s="3" t="s">
        <v>4</v>
      </c>
      <c r="C4408" s="2" t="str">
        <f ca="1">IFERROR(__xludf.DUMMYFUNCTION("GOOGLETRANSLATE(A4408,""bn"",""en"")"),"Sandhya Mukherjee Bengali song")</f>
        <v>Sandhya Mukherjee Bengali song</v>
      </c>
    </row>
    <row r="4409" spans="1:3" ht="15" x14ac:dyDescent="0.25">
      <c r="A4409" s="3" t="s">
        <v>4406</v>
      </c>
      <c r="B4409" s="3" t="s">
        <v>4</v>
      </c>
      <c r="C4409" s="2" t="str">
        <f ca="1">IFERROR(__xludf.DUMMYFUNCTION("GOOGLETRANSLATE(A4409,""bn"",""en"")"),"Create advanced tones")</f>
        <v>Create advanced tones</v>
      </c>
    </row>
    <row r="4410" spans="1:3" ht="15" x14ac:dyDescent="0.25">
      <c r="A4410" s="3" t="s">
        <v>4407</v>
      </c>
      <c r="B4410" s="3" t="s">
        <v>4</v>
      </c>
      <c r="C4410" s="2" t="str">
        <f ca="1">IFERROR(__xludf.DUMMYFUNCTION("GOOGLETRANSLATE(A4410,""bn"",""en"")"),"Fishing sport news show")</f>
        <v>Fishing sport news show</v>
      </c>
    </row>
    <row r="4411" spans="1:3" ht="15" x14ac:dyDescent="0.25">
      <c r="A4411" s="3" t="s">
        <v>4408</v>
      </c>
      <c r="B4411" s="3" t="s">
        <v>4</v>
      </c>
      <c r="C4411" s="2" t="str">
        <f ca="1">IFERROR(__xludf.DUMMYFUNCTION("GOOGLETRANSLATE(A4411,""bn"",""en"")"),"First computer programmer in history")</f>
        <v>First computer programmer in history</v>
      </c>
    </row>
    <row r="4412" spans="1:3" ht="15" x14ac:dyDescent="0.25">
      <c r="A4412" s="3" t="s">
        <v>4409</v>
      </c>
      <c r="B4412" s="3" t="s">
        <v>4</v>
      </c>
      <c r="C4412" s="2" t="str">
        <f ca="1">IFERROR(__xludf.DUMMYFUNCTION("GOOGLETRANSLATE(A4412,""bn"",""en"")"),"Enthusiasm in Dance in Bengali Rakestra")</f>
        <v>Enthusiasm in Dance in Bengali Rakestra</v>
      </c>
    </row>
    <row r="4413" spans="1:3" ht="15" x14ac:dyDescent="0.25">
      <c r="A4413" s="3" t="s">
        <v>4410</v>
      </c>
      <c r="B4413" s="3" t="s">
        <v>4</v>
      </c>
      <c r="C4413" s="2" t="str">
        <f ca="1">IFERROR(__xludf.DUMMYFUNCTION("GOOGLETRANSLATE(A4413,""bn"",""en"")"),"New changes in education management")</f>
        <v>New changes in education management</v>
      </c>
    </row>
    <row r="4414" spans="1:3" ht="15" x14ac:dyDescent="0.25">
      <c r="A4414" s="3" t="s">
        <v>4411</v>
      </c>
      <c r="B4414" s="3" t="s">
        <v>4</v>
      </c>
      <c r="C4414" s="2" t="str">
        <f ca="1">IFERROR(__xludf.DUMMYFUNCTION("GOOGLETRANSLATE(A4414,""bn"",""en"")"),"The movie is in the main new format")</f>
        <v>The movie is in the main new format</v>
      </c>
    </row>
    <row r="4415" spans="1:3" ht="15" x14ac:dyDescent="0.25">
      <c r="A4415" s="3" t="s">
        <v>4412</v>
      </c>
      <c r="B4415" s="3" t="s">
        <v>4</v>
      </c>
      <c r="C4415" s="2" t="str">
        <f ca="1">IFERROR(__xludf.DUMMYFUNCTION("GOOGLETRANSLATE(A4415,""bn"",""en"")"),"History and present computing")</f>
        <v>History and present computing</v>
      </c>
    </row>
    <row r="4416" spans="1:3" ht="15" x14ac:dyDescent="0.25">
      <c r="A4416" s="3" t="s">
        <v>4413</v>
      </c>
      <c r="B4416" s="3" t="s">
        <v>4</v>
      </c>
      <c r="C4416" s="2" t="str">
        <f ca="1">IFERROR(__xludf.DUMMYFUNCTION("GOOGLETRANSLATE(A4416,""bn"",""en"")"),"Sweet love story movie")</f>
        <v>Sweet love story movie</v>
      </c>
    </row>
    <row r="4417" spans="1:3" ht="15" x14ac:dyDescent="0.25">
      <c r="A4417" s="3" t="s">
        <v>4414</v>
      </c>
      <c r="B4417" s="3" t="s">
        <v>4</v>
      </c>
      <c r="C4417" s="2" t="str">
        <f ca="1">IFERROR(__xludf.DUMMYFUNCTION("GOOGLETRANSLATE(A4417,""bn"",""en"")"),"Come to avail the hotel facilities")</f>
        <v>Come to avail the hotel facilities</v>
      </c>
    </row>
    <row r="4418" spans="1:3" ht="15" x14ac:dyDescent="0.25">
      <c r="A4418" s="3" t="s">
        <v>4415</v>
      </c>
      <c r="B4418" s="3" t="s">
        <v>4</v>
      </c>
      <c r="C4418" s="2" t="str">
        <f ca="1">IFERROR(__xludf.DUMMYFUNCTION("GOOGLETRANSLATE(A4418,""bn"",""en"")"),"Prominent leader re-elected")</f>
        <v>Prominent leader re-elected</v>
      </c>
    </row>
    <row r="4419" spans="1:3" ht="15" x14ac:dyDescent="0.25">
      <c r="A4419" s="3" t="s">
        <v>4416</v>
      </c>
      <c r="B4419" s="3" t="s">
        <v>4</v>
      </c>
      <c r="C4419" s="2" t="str">
        <f ca="1">IFERROR(__xludf.DUMMYFUNCTION("GOOGLETRANSLATE(A4419,""bn"",""en"")"),"Existing problems with political support")</f>
        <v>Existing problems with political support</v>
      </c>
    </row>
    <row r="4420" spans="1:3" ht="15" x14ac:dyDescent="0.25">
      <c r="A4420" s="3" t="s">
        <v>4417</v>
      </c>
      <c r="B4420" s="3" t="s">
        <v>4</v>
      </c>
      <c r="C4420" s="2" t="str">
        <f ca="1">IFERROR(__xludf.DUMMYFUNCTION("GOOGLETRANSLATE(A4420,""bn"",""en"")"),"Students interested in data science")</f>
        <v>Students interested in data science</v>
      </c>
    </row>
    <row r="4421" spans="1:3" ht="15" x14ac:dyDescent="0.25">
      <c r="A4421" s="3" t="s">
        <v>4418</v>
      </c>
      <c r="B4421" s="3" t="s">
        <v>4</v>
      </c>
      <c r="C4421" s="2" t="str">
        <f ca="1">IFERROR(__xludf.DUMMYFUNCTION("GOOGLETRANSLATE(A4421,""bn"",""en"")"),"This is a weather picture")</f>
        <v>This is a weather picture</v>
      </c>
    </row>
    <row r="4422" spans="1:3" ht="15" x14ac:dyDescent="0.25">
      <c r="A4422" s="3" t="s">
        <v>4419</v>
      </c>
      <c r="B4422" s="3" t="s">
        <v>4</v>
      </c>
      <c r="C4422" s="2" t="str">
        <f ca="1">IFERROR(__xludf.DUMMYFUNCTION("GOOGLETRANSLATE(A4422,""bn"",""en"")"),"Increase in political support in the ministry")</f>
        <v>Increase in political support in the ministry</v>
      </c>
    </row>
    <row r="4423" spans="1:3" ht="15" x14ac:dyDescent="0.25">
      <c r="A4423" s="3" t="s">
        <v>4420</v>
      </c>
      <c r="B4423" s="3" t="s">
        <v>4</v>
      </c>
      <c r="C4423" s="2" t="str">
        <f ca="1">IFERROR(__xludf.DUMMYFUNCTION("GOOGLETRANSLATE(A4423,""bn"",""en"")"),"Verify loan eligibility")</f>
        <v>Verify loan eligibility</v>
      </c>
    </row>
    <row r="4424" spans="1:3" ht="15" x14ac:dyDescent="0.25">
      <c r="A4424" s="3" t="s">
        <v>4421</v>
      </c>
      <c r="B4424" s="3" t="s">
        <v>4</v>
      </c>
      <c r="C4424" s="2" t="str">
        <f ca="1">IFERROR(__xludf.DUMMYFUNCTION("GOOGLETRANSLATE(A4424,""bn"",""en"")"),"Creates its tone")</f>
        <v>Creates its tone</v>
      </c>
    </row>
    <row r="4425" spans="1:3" ht="15" x14ac:dyDescent="0.25">
      <c r="A4425" s="3" t="s">
        <v>4422</v>
      </c>
      <c r="B4425" s="3" t="s">
        <v>4</v>
      </c>
      <c r="C4425" s="2" t="str">
        <f ca="1">IFERROR(__xludf.DUMMYFUNCTION("GOOGLETRANSLATE(A4425,""bn"",""en"")"),"Makhansar Falls is located in Bhutan")</f>
        <v>Makhansar Falls is located in Bhutan</v>
      </c>
    </row>
    <row r="4426" spans="1:3" ht="15" x14ac:dyDescent="0.25">
      <c r="A4426" s="3" t="s">
        <v>4423</v>
      </c>
      <c r="B4426" s="3" t="s">
        <v>4</v>
      </c>
      <c r="C4426" s="2" t="str">
        <f ca="1">IFERROR(__xludf.DUMMYFUNCTION("GOOGLETRANSLATE(A4426,""bn"",""en"")"),"Computer Virus Removal Method")</f>
        <v>Computer Virus Removal Method</v>
      </c>
    </row>
    <row r="4427" spans="1:3" ht="15" x14ac:dyDescent="0.25">
      <c r="A4427" s="3" t="s">
        <v>4424</v>
      </c>
      <c r="B4427" s="3" t="s">
        <v>4</v>
      </c>
      <c r="C4427" s="2" t="str">
        <f ca="1">IFERROR(__xludf.DUMMYFUNCTION("GOOGLETRANSLATE(A4427,""bn"",""en"")"),"They are going for a walk in the park")</f>
        <v>They are going for a walk in the park</v>
      </c>
    </row>
    <row r="4428" spans="1:3" ht="15" x14ac:dyDescent="0.25">
      <c r="A4428" s="3" t="s">
        <v>4425</v>
      </c>
      <c r="B4428" s="3" t="s">
        <v>4</v>
      </c>
      <c r="C4428" s="2" t="str">
        <f ca="1">IFERROR(__xludf.DUMMYFUNCTION("GOOGLETRANSLATE(A4428,""bn"",""en"")"),"Using Google Cloud Platform")</f>
        <v>Using Google Cloud Platform</v>
      </c>
    </row>
    <row r="4429" spans="1:3" ht="15" x14ac:dyDescent="0.25">
      <c r="A4429" s="3" t="s">
        <v>4426</v>
      </c>
      <c r="B4429" s="3" t="s">
        <v>4</v>
      </c>
      <c r="C4429" s="2" t="str">
        <f ca="1">IFERROR(__xludf.DUMMYFUNCTION("GOOGLETRANSLATE(A4429,""bn"",""en"")"),"The debate is between the leaders")</f>
        <v>The debate is between the leaders</v>
      </c>
    </row>
    <row r="4430" spans="1:3" ht="15" x14ac:dyDescent="0.25">
      <c r="A4430" s="3" t="s">
        <v>4427</v>
      </c>
      <c r="B4430" s="3" t="s">
        <v>4</v>
      </c>
      <c r="C4430" s="2" t="str">
        <f ca="1">IFERROR(__xludf.DUMMYFUNCTION("GOOGLETRANSLATE(A4430,""bn"",""en"")"),"Run with speed")</f>
        <v>Run with speed</v>
      </c>
    </row>
    <row r="4431" spans="1:3" ht="15" x14ac:dyDescent="0.25">
      <c r="A4431" s="3" t="s">
        <v>4428</v>
      </c>
      <c r="B4431" s="3" t="s">
        <v>4</v>
      </c>
      <c r="C4431" s="2" t="str">
        <f ca="1">IFERROR(__xludf.DUMMYFUNCTION("GOOGLETRANSLATE(A4431,""bn"",""en"")"),"Data modeling training for experts")</f>
        <v>Data modeling training for experts</v>
      </c>
    </row>
    <row r="4432" spans="1:3" ht="15" x14ac:dyDescent="0.25">
      <c r="A4432" s="3" t="s">
        <v>4429</v>
      </c>
      <c r="B4432" s="3" t="s">
        <v>4</v>
      </c>
      <c r="C4432" s="2" t="str">
        <f ca="1">IFERROR(__xludf.DUMMYFUNCTION("GOOGLETRANSLATE(A4432,""bn"",""en"")"),"The market is growing in the country")</f>
        <v>The market is growing in the country</v>
      </c>
    </row>
    <row r="4433" spans="1:3" ht="15" x14ac:dyDescent="0.25">
      <c r="A4433" s="3" t="s">
        <v>4430</v>
      </c>
      <c r="B4433" s="3" t="s">
        <v>4</v>
      </c>
      <c r="C4433" s="2" t="str">
        <f ca="1">IFERROR(__xludf.DUMMYFUNCTION("GOOGLETRANSLATE(A4433,""bn"",""en"")"),"Fulfilling dreams through education")</f>
        <v>Fulfilling dreams through education</v>
      </c>
    </row>
    <row r="4434" spans="1:3" ht="15" x14ac:dyDescent="0.25">
      <c r="A4434" s="3" t="s">
        <v>4431</v>
      </c>
      <c r="B4434" s="3" t="s">
        <v>4</v>
      </c>
      <c r="C4434" s="2" t="str">
        <f ca="1">IFERROR(__xludf.DUMMYFUNCTION("GOOGLETRANSLATE(A4434,""bn"",""en"")"),"Basketball match height six")</f>
        <v>Basketball match height six</v>
      </c>
    </row>
    <row r="4435" spans="1:3" ht="15" x14ac:dyDescent="0.25">
      <c r="A4435" s="3" t="s">
        <v>4432</v>
      </c>
      <c r="B4435" s="3" t="s">
        <v>4</v>
      </c>
      <c r="C4435" s="2" t="str">
        <f ca="1">IFERROR(__xludf.DUMMYFUNCTION("GOOGLETRANSLATE(A4435,""bn"",""en"")"),"Corona lecture to university students")</f>
        <v>Corona lecture to university students</v>
      </c>
    </row>
    <row r="4436" spans="1:3" ht="15" x14ac:dyDescent="0.25">
      <c r="A4436" s="3" t="s">
        <v>4433</v>
      </c>
      <c r="B4436" s="3" t="s">
        <v>4</v>
      </c>
      <c r="C4436" s="2" t="str">
        <f ca="1">IFERROR(__xludf.DUMMYFUNCTION("GOOGLETRANSLATE(A4436,""bn"",""en"")"),"Ice hockey is great")</f>
        <v>Ice hockey is great</v>
      </c>
    </row>
    <row r="4437" spans="1:3" ht="15" x14ac:dyDescent="0.25">
      <c r="A4437" s="3" t="s">
        <v>4434</v>
      </c>
      <c r="B4437" s="3" t="s">
        <v>4</v>
      </c>
      <c r="C4437" s="2" t="str">
        <f ca="1">IFERROR(__xludf.DUMMYFUNCTION("GOOGLETRANSLATE(A4437,""bn"",""en"")"),"Organized leadership team promotion")</f>
        <v>Organized leadership team promotion</v>
      </c>
    </row>
    <row r="4438" spans="1:3" ht="15" x14ac:dyDescent="0.25">
      <c r="A4438" s="3" t="s">
        <v>4435</v>
      </c>
      <c r="B4438" s="3" t="s">
        <v>4</v>
      </c>
      <c r="C4438" s="2" t="str">
        <f ca="1">IFERROR(__xludf.DUMMYFUNCTION("GOOGLETRANSLATE(A4438,""bn"",""en"")"),"Leave the house for the party")</f>
        <v>Leave the house for the party</v>
      </c>
    </row>
    <row r="4439" spans="1:3" ht="15" x14ac:dyDescent="0.25">
      <c r="A4439" s="3" t="s">
        <v>4436</v>
      </c>
      <c r="B4439" s="3" t="s">
        <v>4</v>
      </c>
      <c r="C4439" s="2" t="str">
        <f ca="1">IFERROR(__xludf.DUMMYFUNCTION("GOOGLETRANSLATE(A4439,""bn"",""en"")"),"Sur faced in anger")</f>
        <v>Sur faced in anger</v>
      </c>
    </row>
    <row r="4440" spans="1:3" ht="15" x14ac:dyDescent="0.25">
      <c r="A4440" s="3" t="s">
        <v>4437</v>
      </c>
      <c r="B4440" s="3" t="s">
        <v>4</v>
      </c>
      <c r="C4440" s="2" t="str">
        <f ca="1">IFERROR(__xludf.DUMMYFUNCTION("GOOGLETRANSLATE(A4440,""bn"",""en"")"),"Island countries look very beautiful")</f>
        <v>Island countries look very beautiful</v>
      </c>
    </row>
    <row r="4441" spans="1:3" ht="15" x14ac:dyDescent="0.25">
      <c r="A4441" s="3" t="s">
        <v>4438</v>
      </c>
      <c r="B4441" s="3" t="s">
        <v>4</v>
      </c>
      <c r="C4441" s="2" t="str">
        <f ca="1">IFERROR(__xludf.DUMMYFUNCTION("GOOGLETRANSLATE(A4441,""bn"",""en"")"),"Congo Basin in North Africa")</f>
        <v>Congo Basin in North Africa</v>
      </c>
    </row>
    <row r="4442" spans="1:3" ht="15" x14ac:dyDescent="0.25">
      <c r="A4442" s="3" t="s">
        <v>4439</v>
      </c>
      <c r="B4442" s="3" t="s">
        <v>4</v>
      </c>
      <c r="C4442" s="2" t="str">
        <f ca="1">IFERROR(__xludf.DUMMYFUNCTION("GOOGLETRANSLATE(A4442,""bn"",""en"")"),"Check opening now")</f>
        <v>Check opening now</v>
      </c>
    </row>
    <row r="4443" spans="1:3" ht="15" x14ac:dyDescent="0.25">
      <c r="A4443" s="3" t="s">
        <v>4440</v>
      </c>
      <c r="B4443" s="3" t="s">
        <v>4</v>
      </c>
      <c r="C4443" s="2" t="str">
        <f ca="1">IFERROR(__xludf.DUMMYFUNCTION("GOOGLETRANSLATE(A4443,""bn"",""en"")"),"Congo River in Central Africa")</f>
        <v>Congo River in Central Africa</v>
      </c>
    </row>
    <row r="4444" spans="1:3" ht="15" x14ac:dyDescent="0.25">
      <c r="A4444" s="3" t="s">
        <v>4441</v>
      </c>
      <c r="B4444" s="3" t="s">
        <v>4</v>
      </c>
      <c r="C4444" s="2" t="str">
        <f ca="1">IFERROR(__xludf.DUMMYFUNCTION("GOOGLETRANSLATE(A4444,""bn"",""en"")"),"Stay safe in the venture")</f>
        <v>Stay safe in the venture</v>
      </c>
    </row>
    <row r="4445" spans="1:3" ht="15" x14ac:dyDescent="0.25">
      <c r="A4445" s="3" t="s">
        <v>4442</v>
      </c>
      <c r="B4445" s="3" t="s">
        <v>4</v>
      </c>
      <c r="C4445" s="2" t="str">
        <f ca="1">IFERROR(__xludf.DUMMYFUNCTION("GOOGLETRANSLATE(A4445,""bn"",""en"")"),"Discover the harmony")</f>
        <v>Discover the harmony</v>
      </c>
    </row>
    <row r="4446" spans="1:3" ht="15" x14ac:dyDescent="0.25">
      <c r="A4446" s="3" t="s">
        <v>4443</v>
      </c>
      <c r="B4446" s="3" t="s">
        <v>4</v>
      </c>
      <c r="C4446" s="2" t="str">
        <f ca="1">IFERROR(__xludf.DUMMYFUNCTION("GOOGLETRANSLATE(A4446,""bn"",""en"")"),"Impact of politics on daily life")</f>
        <v>Impact of politics on daily life</v>
      </c>
    </row>
    <row r="4447" spans="1:3" ht="15" x14ac:dyDescent="0.25">
      <c r="A4447" s="3" t="s">
        <v>4444</v>
      </c>
      <c r="B4447" s="3" t="s">
        <v>4</v>
      </c>
      <c r="C4447" s="2" t="str">
        <f ca="1">IFERROR(__xludf.DUMMYFUNCTION("GOOGLETRANSLATE(A4447,""bn"",""en"")"),"There is fear of flood in Chittagong")</f>
        <v>There is fear of flood in Chittagong</v>
      </c>
    </row>
    <row r="4448" spans="1:3" ht="15" x14ac:dyDescent="0.25">
      <c r="A4448" s="3" t="s">
        <v>4445</v>
      </c>
      <c r="B4448" s="3" t="s">
        <v>4</v>
      </c>
      <c r="C4448" s="2" t="str">
        <f ca="1">IFERROR(__xludf.DUMMYFUNCTION("GOOGLETRANSLATE(A4448,""bn"",""en"")"),"Golden Gate made of dark shadow")</f>
        <v>Golden Gate made of dark shadow</v>
      </c>
    </row>
    <row r="4449" spans="1:3" ht="15" x14ac:dyDescent="0.25">
      <c r="A4449" s="3" t="s">
        <v>4446</v>
      </c>
      <c r="B4449" s="3" t="s">
        <v>4</v>
      </c>
      <c r="C4449" s="2" t="str">
        <f ca="1">IFERROR(__xludf.DUMMYFUNCTION("GOOGLETRANSLATE(A4449,""bn"",""en"")"),"Poet sang the tune of Sanjay")</f>
        <v>Poet sang the tune of Sanjay</v>
      </c>
    </row>
    <row r="4450" spans="1:3" ht="15" x14ac:dyDescent="0.25">
      <c r="A4450" s="3" t="s">
        <v>4447</v>
      </c>
      <c r="B4450" s="3" t="s">
        <v>4</v>
      </c>
      <c r="C4450" s="2" t="str">
        <f ca="1">IFERROR(__xludf.DUMMYFUNCTION("GOOGLETRANSLATE(A4450,""bn"",""en"")"),"Learn computer language programming")</f>
        <v>Learn computer language programming</v>
      </c>
    </row>
    <row r="4451" spans="1:3" ht="15" x14ac:dyDescent="0.25">
      <c r="A4451" s="3" t="s">
        <v>4448</v>
      </c>
      <c r="B4451" s="3" t="s">
        <v>4</v>
      </c>
      <c r="C4451" s="2" t="str">
        <f ca="1">IFERROR(__xludf.DUMMYFUNCTION("GOOGLETRANSLATE(A4451,""bn"",""en"")"),"A heroine is the crowning glory")</f>
        <v>A heroine is the crowning glory</v>
      </c>
    </row>
    <row r="4452" spans="1:3" ht="15" x14ac:dyDescent="0.25">
      <c r="A4452" s="3" t="s">
        <v>4449</v>
      </c>
      <c r="B4452" s="3" t="s">
        <v>4</v>
      </c>
      <c r="C4452" s="2" t="str">
        <f ca="1">IFERROR(__xludf.DUMMYFUNCTION("GOOGLETRANSLATE(A4452,""bn"",""en"")"),"Party population is growing")</f>
        <v>Party population is growing</v>
      </c>
    </row>
    <row r="4453" spans="1:3" ht="15" x14ac:dyDescent="0.25">
      <c r="A4453" s="3" t="s">
        <v>4450</v>
      </c>
      <c r="B4453" s="3" t="s">
        <v>4</v>
      </c>
      <c r="C4453" s="2" t="str">
        <f ca="1">IFERROR(__xludf.DUMMYFUNCTION("GOOGLETRANSLATE(A4453,""bn"",""en"")"),"Women's political participation is important")</f>
        <v>Women's political participation is important</v>
      </c>
    </row>
    <row r="4454" spans="1:3" ht="15" x14ac:dyDescent="0.25">
      <c r="A4454" s="3" t="s">
        <v>4451</v>
      </c>
      <c r="B4454" s="3" t="s">
        <v>4</v>
      </c>
      <c r="C4454" s="2" t="str">
        <f ca="1">IFERROR(__xludf.DUMMYFUNCTION("GOOGLETRANSLATE(A4454,""bn"",""en"")"),"Travel to Akashachari village")</f>
        <v>Travel to Akashachari village</v>
      </c>
    </row>
    <row r="4455" spans="1:3" ht="15" x14ac:dyDescent="0.25">
      <c r="A4455" s="3" t="s">
        <v>4452</v>
      </c>
      <c r="B4455" s="3" t="s">
        <v>4</v>
      </c>
      <c r="C4455" s="2" t="str">
        <f ca="1">IFERROR(__xludf.DUMMYFUNCTION("GOOGLETRANSLATE(A4455,""bn"",""en"")"),"Sarod playing with music")</f>
        <v>Sarod playing with music</v>
      </c>
    </row>
    <row r="4456" spans="1:3" ht="15" x14ac:dyDescent="0.25">
      <c r="A4456" s="3" t="s">
        <v>4453</v>
      </c>
      <c r="B4456" s="3" t="s">
        <v>4</v>
      </c>
      <c r="C4456" s="2" t="str">
        <f ca="1">IFERROR(__xludf.DUMMYFUNCTION("GOOGLETRANSLATE(A4456,""bn"",""en"")"),"Maku Hills is located in Nepal")</f>
        <v>Maku Hills is located in Nepal</v>
      </c>
    </row>
    <row r="4457" spans="1:3" ht="15" x14ac:dyDescent="0.25">
      <c r="A4457" s="3" t="s">
        <v>4454</v>
      </c>
      <c r="B4457" s="3" t="s">
        <v>4</v>
      </c>
      <c r="C4457" s="2" t="str">
        <f ca="1">IFERROR(__xludf.DUMMYFUNCTION("GOOGLETRANSLATE(A4457,""bn"",""en"")"),"Take hand sanitizer on tour")</f>
        <v>Take hand sanitizer on tour</v>
      </c>
    </row>
    <row r="4458" spans="1:3" ht="15" x14ac:dyDescent="0.25">
      <c r="A4458" s="3" t="s">
        <v>4455</v>
      </c>
      <c r="B4458" s="3" t="s">
        <v>4</v>
      </c>
      <c r="C4458" s="2" t="str">
        <f ca="1">IFERROR(__xludf.DUMMYFUNCTION("GOOGLETRANSLATE(A4458,""bn"",""en"")"),"The successful criminal thriller is in progress")</f>
        <v>The successful criminal thriller is in progress</v>
      </c>
    </row>
    <row r="4459" spans="1:3" ht="15" x14ac:dyDescent="0.25">
      <c r="A4459" s="3" t="s">
        <v>4456</v>
      </c>
      <c r="B4459" s="3" t="s">
        <v>4</v>
      </c>
      <c r="C4459" s="2" t="str">
        <f ca="1">IFERROR(__xludf.DUMMYFUNCTION("GOOGLETRANSLATE(A4459,""bn"",""en"")"),"Drive design prototype development")</f>
        <v>Drive design prototype development</v>
      </c>
    </row>
    <row r="4460" spans="1:3" ht="15" x14ac:dyDescent="0.25">
      <c r="A4460" s="3" t="s">
        <v>4457</v>
      </c>
      <c r="B4460" s="3" t="s">
        <v>4</v>
      </c>
      <c r="C4460" s="2" t="str">
        <f ca="1">IFERROR(__xludf.DUMMYFUNCTION("GOOGLETRANSLATE(A4460,""bn"",""en"")"),"The basketball match was won")</f>
        <v>The basketball match was won</v>
      </c>
    </row>
    <row r="4461" spans="1:3" ht="15" x14ac:dyDescent="0.25">
      <c r="A4461" s="3" t="s">
        <v>4458</v>
      </c>
      <c r="B4461" s="3" t="s">
        <v>4</v>
      </c>
      <c r="C4461" s="2" t="str">
        <f ca="1">IFERROR(__xludf.DUMMYFUNCTION("GOOGLETRANSLATE(A4461,""bn"",""en"")"),"Protection is essential for citizens")</f>
        <v>Protection is essential for citizens</v>
      </c>
    </row>
    <row r="4462" spans="1:3" ht="15" x14ac:dyDescent="0.25">
      <c r="A4462" s="3" t="s">
        <v>4459</v>
      </c>
      <c r="B4462" s="3" t="s">
        <v>4</v>
      </c>
      <c r="C4462" s="2" t="str">
        <f ca="1">IFERROR(__xludf.DUMMYFUNCTION("GOOGLETRANSLATE(A4462,""bn"",""en"")"),"Quality education is a government initiative")</f>
        <v>Quality education is a government initiative</v>
      </c>
    </row>
    <row r="4463" spans="1:3" ht="15" x14ac:dyDescent="0.25">
      <c r="A4463" s="3" t="s">
        <v>4460</v>
      </c>
      <c r="B4463" s="3" t="s">
        <v>4</v>
      </c>
      <c r="C4463" s="2" t="str">
        <f ca="1">IFERROR(__xludf.DUMMYFUNCTION("GOOGLETRANSLATE(A4463,""bn"",""en"")"),"Determine the loan term")</f>
        <v>Determine the loan term</v>
      </c>
    </row>
    <row r="4464" spans="1:3" ht="15" x14ac:dyDescent="0.25">
      <c r="A4464" s="3" t="s">
        <v>4461</v>
      </c>
      <c r="B4464" s="3" t="s">
        <v>4</v>
      </c>
      <c r="C4464" s="2" t="str">
        <f ca="1">IFERROR(__xludf.DUMMYFUNCTION("GOOGLETRANSLATE(A4464,""bn"",""en"")"),"Stay in a hotel with a natural view")</f>
        <v>Stay in a hotel with a natural view</v>
      </c>
    </row>
    <row r="4465" spans="1:3" ht="15" x14ac:dyDescent="0.25">
      <c r="A4465" s="3" t="s">
        <v>4462</v>
      </c>
      <c r="B4465" s="3" t="s">
        <v>4</v>
      </c>
      <c r="C4465" s="2" t="str">
        <f ca="1">IFERROR(__xludf.DUMMYFUNCTION("GOOGLETRANSLATE(A4465,""bn"",""en"")"),"The Prime Minister won the vote successfully")</f>
        <v>The Prime Minister won the vote successfully</v>
      </c>
    </row>
    <row r="4466" spans="1:3" ht="15" x14ac:dyDescent="0.25">
      <c r="A4466" s="3" t="s">
        <v>4463</v>
      </c>
      <c r="B4466" s="3" t="s">
        <v>4</v>
      </c>
      <c r="C4466" s="2" t="str">
        <f ca="1">IFERROR(__xludf.DUMMYFUNCTION("GOOGLETRANSLATE(A4466,""bn"",""en"")"),"The Eiffel Tower is ready in France")</f>
        <v>The Eiffel Tower is ready in France</v>
      </c>
    </row>
    <row r="4467" spans="1:3" ht="15" x14ac:dyDescent="0.25">
      <c r="A4467" s="3" t="s">
        <v>4464</v>
      </c>
      <c r="B4467" s="3" t="s">
        <v>4</v>
      </c>
      <c r="C4467" s="2" t="str">
        <f ca="1">IFERROR(__xludf.DUMMYFUNCTION("GOOGLETRANSLATE(A4467,""bn"",""en"")"),"Be scientific in your endeavors")</f>
        <v>Be scientific in your endeavors</v>
      </c>
    </row>
    <row r="4468" spans="1:3" ht="15" x14ac:dyDescent="0.25">
      <c r="A4468" s="3" t="s">
        <v>4465</v>
      </c>
      <c r="B4468" s="3" t="s">
        <v>4</v>
      </c>
      <c r="C4468" s="2" t="str">
        <f ca="1">IFERROR(__xludf.DUMMYFUNCTION("GOOGLETRANSLATE(A4468,""bn"",""en"")"),"Advance technology around the world")</f>
        <v>Advance technology around the world</v>
      </c>
    </row>
    <row r="4469" spans="1:3" ht="15" x14ac:dyDescent="0.25">
      <c r="A4469" s="3" t="s">
        <v>4466</v>
      </c>
      <c r="B4469" s="3" t="s">
        <v>4</v>
      </c>
      <c r="C4469" s="2" t="str">
        <f ca="1">IFERROR(__xludf.DUMMYFUNCTION("GOOGLETRANSLATE(A4469,""bn"",""en"")"),"Try to raise capital")</f>
        <v>Try to raise capital</v>
      </c>
    </row>
    <row r="4470" spans="1:3" ht="15" x14ac:dyDescent="0.25">
      <c r="A4470" s="3" t="s">
        <v>4467</v>
      </c>
      <c r="B4470" s="3" t="s">
        <v>4</v>
      </c>
      <c r="C4470" s="2" t="str">
        <f ca="1">IFERROR(__xludf.DUMMYFUNCTION("GOOGLETRANSLATE(A4470,""bn"",""en"")"),"I lost the cricket match")</f>
        <v>I lost the cricket match</v>
      </c>
    </row>
    <row r="4471" spans="1:3" ht="15" x14ac:dyDescent="0.25">
      <c r="A4471" s="3" t="s">
        <v>4468</v>
      </c>
      <c r="B4471" s="3" t="s">
        <v>4</v>
      </c>
      <c r="C4471" s="2" t="str">
        <f ca="1">IFERROR(__xludf.DUMMYFUNCTION("GOOGLETRANSLATE(A4471,""bn"",""en"")"),"Research and Advanced Information Technology")</f>
        <v>Research and Advanced Information Technology</v>
      </c>
    </row>
    <row r="4472" spans="1:3" ht="15" x14ac:dyDescent="0.25">
      <c r="A4472" s="3" t="s">
        <v>4469</v>
      </c>
      <c r="B4472" s="3" t="s">
        <v>4</v>
      </c>
      <c r="C4472" s="2" t="str">
        <f ca="1">IFERROR(__xludf.DUMMYFUNCTION("GOOGLETRANSLATE(A4472,""bn"",""en"")"),"Travel to the market wisely")</f>
        <v>Travel to the market wisely</v>
      </c>
    </row>
    <row r="4473" spans="1:3" ht="15" x14ac:dyDescent="0.25">
      <c r="A4473" s="3" t="s">
        <v>4470</v>
      </c>
      <c r="B4473" s="3" t="s">
        <v>4</v>
      </c>
      <c r="C4473" s="2" t="str">
        <f ca="1">IFERROR(__xludf.DUMMYFUNCTION("GOOGLETRANSLATE(A4473,""bn"",""en"")"),"Select the programming language")</f>
        <v>Select the programming language</v>
      </c>
    </row>
    <row r="4474" spans="1:3" ht="15" x14ac:dyDescent="0.25">
      <c r="A4474" s="3" t="s">
        <v>4471</v>
      </c>
      <c r="B4474" s="3" t="s">
        <v>4</v>
      </c>
      <c r="C4474" s="2" t="str">
        <f ca="1">IFERROR(__xludf.DUMMYFUNCTION("GOOGLETRANSLATE(A4474,""bn"",""en"")"),"Research capacity is increasing")</f>
        <v>Research capacity is increasing</v>
      </c>
    </row>
    <row r="4475" spans="1:3" ht="15" x14ac:dyDescent="0.25">
      <c r="A4475" s="3" t="s">
        <v>4472</v>
      </c>
      <c r="B4475" s="3" t="s">
        <v>4</v>
      </c>
      <c r="C4475" s="2" t="str">
        <f ca="1">IFERROR(__xludf.DUMMYFUNCTION("GOOGLETRANSLATE(A4475,""bn"",""en"")"),"Exchange economic goods")</f>
        <v>Exchange economic goods</v>
      </c>
    </row>
    <row r="4476" spans="1:3" ht="15" x14ac:dyDescent="0.25">
      <c r="A4476" s="3" t="s">
        <v>4473</v>
      </c>
      <c r="B4476" s="3" t="s">
        <v>4</v>
      </c>
      <c r="C4476" s="2" t="str">
        <f ca="1">IFERROR(__xludf.DUMMYFUNCTION("GOOGLETRANSLATE(A4476,""bn"",""en"")"),"Advances in the Computer Gaming Industry")</f>
        <v>Advances in the Computer Gaming Industry</v>
      </c>
    </row>
    <row r="4477" spans="1:3" ht="15" x14ac:dyDescent="0.25">
      <c r="A4477" s="3" t="s">
        <v>4474</v>
      </c>
      <c r="B4477" s="3" t="s">
        <v>4</v>
      </c>
      <c r="C4477" s="2" t="str">
        <f ca="1">IFERROR(__xludf.DUMMYFUNCTION("GOOGLETRANSLATE(A4477,""bn"",""en"")"),"Sitting on the shore watching the sea")</f>
        <v>Sitting on the shore watching the sea</v>
      </c>
    </row>
    <row r="4478" spans="1:3" ht="15" x14ac:dyDescent="0.25">
      <c r="A4478" s="3" t="s">
        <v>4475</v>
      </c>
      <c r="B4478" s="3" t="s">
        <v>4</v>
      </c>
      <c r="C4478" s="2" t="str">
        <f ca="1">IFERROR(__xludf.DUMMYFUNCTION("GOOGLETRANSLATE(A4478,""bn"",""en"")"),"Prabhu in a special role")</f>
        <v>Prabhu in a special role</v>
      </c>
    </row>
    <row r="4479" spans="1:3" ht="15" x14ac:dyDescent="0.25">
      <c r="A4479" s="3" t="s">
        <v>4476</v>
      </c>
      <c r="B4479" s="3" t="s">
        <v>4</v>
      </c>
      <c r="C4479" s="2" t="str">
        <f ca="1">IFERROR(__xludf.DUMMYFUNCTION("GOOGLETRANSLATE(A4479,""bn"",""en"")"),"Kishore Kumar's music floats")</f>
        <v>Kishore Kumar's music floats</v>
      </c>
    </row>
    <row r="4480" spans="1:3" ht="15" x14ac:dyDescent="0.25">
      <c r="A4480" s="3" t="s">
        <v>4477</v>
      </c>
      <c r="B4480" s="3" t="s">
        <v>4</v>
      </c>
      <c r="C4480" s="2" t="str">
        <f ca="1">IFERROR(__xludf.DUMMYFUNCTION("GOOGLETRANSLATE(A4480,""bn"",""en"")"),"Golf is a convenient game")</f>
        <v>Golf is a convenient game</v>
      </c>
    </row>
    <row r="4481" spans="1:3" ht="15" x14ac:dyDescent="0.25">
      <c r="A4481" s="3" t="s">
        <v>4478</v>
      </c>
      <c r="B4481" s="3" t="s">
        <v>4</v>
      </c>
      <c r="C4481" s="2" t="str">
        <f ca="1">IFERROR(__xludf.DUMMYFUNCTION("GOOGLETRANSLATE(A4481,""bn"",""en"")"),"Trade hand to hand")</f>
        <v>Trade hand to hand</v>
      </c>
    </row>
    <row r="4482" spans="1:3" ht="15" x14ac:dyDescent="0.25">
      <c r="A4482" s="3" t="s">
        <v>4479</v>
      </c>
      <c r="B4482" s="3" t="s">
        <v>4</v>
      </c>
      <c r="C4482" s="2" t="str">
        <f ca="1">IFERROR(__xludf.DUMMYFUNCTION("GOOGLETRANSLATE(A4482,""bn"",""en"")"),"Data Science and Analytics")</f>
        <v>Data Science and Analytics</v>
      </c>
    </row>
    <row r="4483" spans="1:3" ht="15" x14ac:dyDescent="0.25">
      <c r="A4483" s="3" t="s">
        <v>4480</v>
      </c>
      <c r="B4483" s="3" t="s">
        <v>4</v>
      </c>
      <c r="C4483" s="2" t="str">
        <f ca="1">IFERROR(__xludf.DUMMYFUNCTION("GOOGLETRANSLATE(A4483,""bn"",""en"")"),"Use loan technology")</f>
        <v>Use loan technology</v>
      </c>
    </row>
    <row r="4484" spans="1:3" ht="15" x14ac:dyDescent="0.25">
      <c r="A4484" s="3" t="s">
        <v>4481</v>
      </c>
      <c r="B4484" s="3" t="s">
        <v>4</v>
      </c>
      <c r="C4484" s="2" t="str">
        <f ca="1">IFERROR(__xludf.DUMMYFUNCTION("GOOGLETRANSLATE(A4484,""bn"",""en"")"),"Principles of User Interface Design")</f>
        <v>Principles of User Interface Design</v>
      </c>
    </row>
    <row r="4485" spans="1:3" ht="15" x14ac:dyDescent="0.25">
      <c r="A4485" s="3" t="s">
        <v>4482</v>
      </c>
      <c r="B4485" s="3" t="s">
        <v>4</v>
      </c>
      <c r="C4485" s="2" t="str">
        <f ca="1">IFERROR(__xludf.DUMMYFUNCTION("GOOGLETRANSLATE(A4485,""bn"",""en"")"),"Civil rights are guaranteed in the government")</f>
        <v>Civil rights are guaranteed in the government</v>
      </c>
    </row>
    <row r="4486" spans="1:3" ht="15" x14ac:dyDescent="0.25">
      <c r="A4486" s="3" t="s">
        <v>4483</v>
      </c>
      <c r="B4486" s="3" t="s">
        <v>4</v>
      </c>
      <c r="C4486" s="2" t="str">
        <f ca="1">IFERROR(__xludf.DUMMYFUNCTION("GOOGLETRANSLATE(A4486,""bn"",""en"")"),"Follow legal advice")</f>
        <v>Follow legal advice</v>
      </c>
    </row>
    <row r="4487" spans="1:3" ht="15" x14ac:dyDescent="0.25">
      <c r="A4487" s="3" t="s">
        <v>4484</v>
      </c>
      <c r="B4487" s="3" t="s">
        <v>4</v>
      </c>
      <c r="C4487" s="2" t="str">
        <f ca="1">IFERROR(__xludf.DUMMYFUNCTION("GOOGLETRANSLATE(A4487,""bn"",""en"")"),"Using Google Flight Simulator")</f>
        <v>Using Google Flight Simulator</v>
      </c>
    </row>
    <row r="4488" spans="1:3" ht="15" x14ac:dyDescent="0.25">
      <c r="A4488" s="3" t="s">
        <v>4485</v>
      </c>
      <c r="B4488" s="3" t="s">
        <v>4</v>
      </c>
      <c r="C4488" s="2" t="str">
        <f ca="1">IFERROR(__xludf.DUMMYFUNCTION("GOOGLETRANSLATE(A4488,""bn"",""en"")"),"Review market conditions")</f>
        <v>Review market conditions</v>
      </c>
    </row>
    <row r="4489" spans="1:3" ht="15" x14ac:dyDescent="0.25">
      <c r="A4489" s="3" t="s">
        <v>4486</v>
      </c>
      <c r="B4489" s="3" t="s">
        <v>4</v>
      </c>
      <c r="C4489" s="2" t="str">
        <f ca="1">IFERROR(__xludf.DUMMYFUNCTION("GOOGLETRANSLATE(A4489,""bn"",""en"")"),"Show valid credentials")</f>
        <v>Show valid credentials</v>
      </c>
    </row>
    <row r="4490" spans="1:3" ht="15" x14ac:dyDescent="0.25">
      <c r="A4490" s="3" t="s">
        <v>4487</v>
      </c>
      <c r="B4490" s="3" t="s">
        <v>4</v>
      </c>
      <c r="C4490" s="2" t="str">
        <f ca="1">IFERROR(__xludf.DUMMYFUNCTION("GOOGLETRANSLATE(A4490,""bn"",""en"")"),"Playing football is very fun")</f>
        <v>Playing football is very fun</v>
      </c>
    </row>
    <row r="4491" spans="1:3" ht="15" x14ac:dyDescent="0.25">
      <c r="A4491" s="3" t="s">
        <v>4488</v>
      </c>
      <c r="B4491" s="3" t="s">
        <v>4</v>
      </c>
      <c r="C4491" s="2" t="str">
        <f ca="1">IFERROR(__xludf.DUMMYFUNCTION("GOOGLETRANSLATE(A4491,""bn"",""en"")"),"Success in running in athletics")</f>
        <v>Success in running in athletics</v>
      </c>
    </row>
    <row r="4492" spans="1:3" ht="15" x14ac:dyDescent="0.25">
      <c r="A4492" s="3" t="s">
        <v>4489</v>
      </c>
      <c r="B4492" s="3" t="s">
        <v>4</v>
      </c>
      <c r="C4492" s="2" t="str">
        <f ca="1">IFERROR(__xludf.DUMMYFUNCTION("GOOGLETRANSLATE(A4492,""bn"",""en"")"),"May his creation be in tune")</f>
        <v>May his creation be in tune</v>
      </c>
    </row>
    <row r="4493" spans="1:3" ht="15" x14ac:dyDescent="0.25">
      <c r="A4493" s="3" t="s">
        <v>4490</v>
      </c>
      <c r="B4493" s="3" t="s">
        <v>4</v>
      </c>
      <c r="C4493" s="2" t="str">
        <f ca="1">IFERROR(__xludf.DUMMYFUNCTION("GOOGLETRANSLATE(A4493,""bn"",""en"")"),"Living on the coast is dangerous")</f>
        <v>Living on the coast is dangerous</v>
      </c>
    </row>
    <row r="4494" spans="1:3" ht="15" x14ac:dyDescent="0.25">
      <c r="A4494" s="3" t="s">
        <v>4491</v>
      </c>
      <c r="B4494" s="3" t="s">
        <v>4</v>
      </c>
      <c r="C4494" s="2" t="str">
        <f ca="1">IFERROR(__xludf.DUMMYFUNCTION("GOOGLETRANSLATE(A4494,""bn"",""en"")"),"Special passion in music")</f>
        <v>Special passion in music</v>
      </c>
    </row>
    <row r="4495" spans="1:3" ht="15" x14ac:dyDescent="0.25">
      <c r="A4495" s="3" t="s">
        <v>4492</v>
      </c>
      <c r="B4495" s="3" t="s">
        <v>4</v>
      </c>
      <c r="C4495" s="2" t="str">
        <f ca="1">IFERROR(__xludf.DUMMYFUNCTION("GOOGLETRANSLATE(A4495,""bn"",""en"")"),"Travel by coach")</f>
        <v>Travel by coach</v>
      </c>
    </row>
    <row r="4496" spans="1:3" ht="15" x14ac:dyDescent="0.25">
      <c r="A4496" s="3" t="s">
        <v>4493</v>
      </c>
      <c r="B4496" s="3" t="s">
        <v>4</v>
      </c>
      <c r="C4496" s="2" t="str">
        <f ca="1">IFERROR(__xludf.DUMMYFUNCTION("GOOGLETRANSLATE(A4496,""bn"",""en"")"),"Victory in cricket is at hand")</f>
        <v>Victory in cricket is at hand</v>
      </c>
    </row>
    <row r="4497" spans="1:3" ht="15" x14ac:dyDescent="0.25">
      <c r="A4497" s="3" t="s">
        <v>4494</v>
      </c>
      <c r="B4497" s="3" t="s">
        <v>4</v>
      </c>
      <c r="C4497" s="2" t="str">
        <f ca="1">IFERROR(__xludf.DUMMYFUNCTION("GOOGLETRANSLATE(A4497,""bn"",""en"")"),"Saw the watery blue sea")</f>
        <v>Saw the watery blue sea</v>
      </c>
    </row>
    <row r="4498" spans="1:3" ht="15" x14ac:dyDescent="0.25">
      <c r="A4498" s="3" t="s">
        <v>4495</v>
      </c>
      <c r="B4498" s="3" t="s">
        <v>4</v>
      </c>
      <c r="C4498" s="2" t="str">
        <f ca="1">IFERROR(__xludf.DUMMYFUNCTION("GOOGLETRANSLATE(A4498,""bn"",""en"")"),"There is language in the sound")</f>
        <v>There is language in the sound</v>
      </c>
    </row>
    <row r="4499" spans="1:3" ht="15" x14ac:dyDescent="0.25">
      <c r="A4499" s="3" t="s">
        <v>4496</v>
      </c>
      <c r="B4499" s="3" t="s">
        <v>4</v>
      </c>
      <c r="C4499" s="2" t="str">
        <f ca="1">IFERROR(__xludf.DUMMYFUNCTION("GOOGLETRANSLATE(A4499,""bn"",""en"")"),"Congo River flows in Africa")</f>
        <v>Congo River flows in Africa</v>
      </c>
    </row>
    <row r="4500" spans="1:3" ht="15" x14ac:dyDescent="0.25">
      <c r="A4500" s="3" t="s">
        <v>4497</v>
      </c>
      <c r="B4500" s="3" t="s">
        <v>4</v>
      </c>
      <c r="C4500" s="2" t="str">
        <f ca="1">IFERROR(__xludf.DUMMYFUNCTION("GOOGLETRANSLATE(A4500,""bn"",""en"")"),"Discuss the policies of the government")</f>
        <v>Discuss the policies of the government</v>
      </c>
    </row>
    <row r="4501" spans="1:3" ht="15" x14ac:dyDescent="0.25">
      <c r="A4501" s="3" t="s">
        <v>4498</v>
      </c>
      <c r="B4501" s="3" t="s">
        <v>4</v>
      </c>
      <c r="C4501" s="2" t="str">
        <f ca="1">IFERROR(__xludf.DUMMYFUNCTION("GOOGLETRANSLATE(A4501,""bn"",""en"")"),"He is full of melody")</f>
        <v>He is full of melody</v>
      </c>
    </row>
    <row r="4502" spans="1:3" ht="15" x14ac:dyDescent="0.25">
      <c r="A4502" s="3" t="s">
        <v>4499</v>
      </c>
      <c r="B4502" s="3" t="s">
        <v>4</v>
      </c>
      <c r="C4502" s="2" t="str">
        <f ca="1">IFERROR(__xludf.DUMMYFUNCTION("GOOGLETRANSLATE(A4502,""bn"",""en"")"),"CAD and CAD design")</f>
        <v>CAD and CAD design</v>
      </c>
    </row>
    <row r="4503" spans="1:3" ht="15" x14ac:dyDescent="0.25">
      <c r="A4503" s="3" t="s">
        <v>4500</v>
      </c>
      <c r="B4503" s="3" t="s">
        <v>4</v>
      </c>
      <c r="C4503" s="2" t="str">
        <f ca="1">IFERROR(__xludf.DUMMYFUNCTION("GOOGLETRANSLATE(A4503,""bn"",""en"")"),"Conflict and resolution in leadership")</f>
        <v>Conflict and resolution in leadership</v>
      </c>
    </row>
    <row r="4504" spans="1:3" ht="15" x14ac:dyDescent="0.25">
      <c r="A4504" s="3" t="s">
        <v>4501</v>
      </c>
      <c r="B4504" s="3" t="s">
        <v>4</v>
      </c>
      <c r="C4504" s="2" t="str">
        <f ca="1">IFERROR(__xludf.DUMMYFUNCTION("GOOGLETRANSLATE(A4504,""bn"",""en"")"),"Division of Africa through the Sahara")</f>
        <v>Division of Africa through the Sahara</v>
      </c>
    </row>
    <row r="4505" spans="1:3" ht="15" x14ac:dyDescent="0.25">
      <c r="A4505" s="3" t="s">
        <v>4502</v>
      </c>
      <c r="B4505" s="3" t="s">
        <v>4</v>
      </c>
      <c r="C4505" s="2" t="str">
        <f ca="1">IFERROR(__xludf.DUMMYFUNCTION("GOOGLETRANSLATE(A4505,""bn"",""en"")"),"The rise of smart home technology")</f>
        <v>The rise of smart home technology</v>
      </c>
    </row>
    <row r="4506" spans="1:3" ht="15" x14ac:dyDescent="0.25">
      <c r="A4506" s="3" t="s">
        <v>4503</v>
      </c>
      <c r="B4506" s="3" t="s">
        <v>4</v>
      </c>
      <c r="C4506" s="2" t="str">
        <f ca="1">IFERROR(__xludf.DUMMYFUNCTION("GOOGLETRANSLATE(A4506,""bn"",""en"")"),"I am growing my company")</f>
        <v>I am growing my company</v>
      </c>
    </row>
    <row r="4507" spans="1:3" ht="15" x14ac:dyDescent="0.25">
      <c r="A4507" s="3" t="s">
        <v>4504</v>
      </c>
      <c r="B4507" s="3" t="s">
        <v>4</v>
      </c>
      <c r="C4507" s="2" t="str">
        <f ca="1">IFERROR(__xludf.DUMMYFUNCTION("GOOGLETRANSLATE(A4507,""bn"",""en"")"),"Advances in Computer Vision Research")</f>
        <v>Advances in Computer Vision Research</v>
      </c>
    </row>
    <row r="4508" spans="1:3" ht="15" x14ac:dyDescent="0.25">
      <c r="A4508" s="3" t="s">
        <v>4505</v>
      </c>
      <c r="B4508" s="3" t="s">
        <v>4</v>
      </c>
      <c r="C4508" s="2" t="str">
        <f ca="1">IFERROR(__xludf.DUMMYFUNCTION("GOOGLETRANSLATE(A4508,""bn"",""en"")"),"Increase currency readiness")</f>
        <v>Increase currency readiness</v>
      </c>
    </row>
    <row r="4509" spans="1:3" ht="15" x14ac:dyDescent="0.25">
      <c r="A4509" s="3" t="s">
        <v>4506</v>
      </c>
      <c r="B4509" s="3" t="s">
        <v>4</v>
      </c>
      <c r="C4509" s="2" t="str">
        <f ca="1">IFERROR(__xludf.DUMMYFUNCTION("GOOGLETRANSLATE(A4509,""bn"",""en"")"),"Where do you bank?")</f>
        <v>Where do you bank?</v>
      </c>
    </row>
    <row r="4510" spans="1:3" ht="15" x14ac:dyDescent="0.25">
      <c r="A4510" s="3" t="s">
        <v>4507</v>
      </c>
      <c r="B4510" s="3" t="s">
        <v>4</v>
      </c>
      <c r="C4510" s="2" t="str">
        <f ca="1">IFERROR(__xludf.DUMMYFUNCTION("GOOGLETRANSLATE(A4510,""bn"",""en"")"),"Rapid growth in government projects")</f>
        <v>Rapid growth in government projects</v>
      </c>
    </row>
    <row r="4511" spans="1:3" ht="15" x14ac:dyDescent="0.25">
      <c r="A4511" s="3" t="s">
        <v>4508</v>
      </c>
      <c r="B4511" s="3" t="s">
        <v>4</v>
      </c>
      <c r="C4511" s="2" t="str">
        <f ca="1">IFERROR(__xludf.DUMMYFUNCTION("GOOGLETRANSLATE(A4511,""bn"",""en"")"),"Singapore is a colorful financial sector")</f>
        <v>Singapore is a colorful financial sector</v>
      </c>
    </row>
    <row r="4512" spans="1:3" ht="15" x14ac:dyDescent="0.25">
      <c r="A4512" s="3" t="s">
        <v>4509</v>
      </c>
      <c r="B4512" s="3" t="s">
        <v>4</v>
      </c>
      <c r="C4512" s="2" t="str">
        <f ca="1">IFERROR(__xludf.DUMMYFUNCTION("GOOGLETRANSLATE(A4512,""bn"",""en"")"),"I win the game of hockey")</f>
        <v>I win the game of hockey</v>
      </c>
    </row>
    <row r="4513" spans="1:3" ht="15" x14ac:dyDescent="0.25">
      <c r="A4513" s="3" t="s">
        <v>4510</v>
      </c>
      <c r="B4513" s="3" t="s">
        <v>4</v>
      </c>
      <c r="C4513" s="2" t="str">
        <f ca="1">IFERROR(__xludf.DUMMYFUNCTION("GOOGLETRANSLATE(A4513,""bn"",""en"")"),"Basketball is popular")</f>
        <v>Basketball is popular</v>
      </c>
    </row>
    <row r="4514" spans="1:3" ht="15" x14ac:dyDescent="0.25">
      <c r="A4514" s="3" t="s">
        <v>4511</v>
      </c>
      <c r="B4514" s="3" t="s">
        <v>4</v>
      </c>
      <c r="C4514" s="2" t="str">
        <f ca="1">IFERROR(__xludf.DUMMYFUNCTION("GOOGLETRANSLATE(A4514,""bn"",""en"")"),"Take your camera with you")</f>
        <v>Take your camera with you</v>
      </c>
    </row>
    <row r="4515" spans="1:3" ht="15" x14ac:dyDescent="0.25">
      <c r="A4515" s="3" t="s">
        <v>4512</v>
      </c>
      <c r="B4515" s="3" t="s">
        <v>4</v>
      </c>
      <c r="C4515" s="2" t="str">
        <f ca="1">IFERROR(__xludf.DUMMYFUNCTION("GOOGLETRANSLATE(A4515,""bn"",""en"")"),"The story is classy and charming")</f>
        <v>The story is classy and charming</v>
      </c>
    </row>
    <row r="4516" spans="1:3" ht="15" x14ac:dyDescent="0.25">
      <c r="A4516" s="3" t="s">
        <v>4513</v>
      </c>
      <c r="B4516" s="3" t="s">
        <v>4</v>
      </c>
      <c r="C4516" s="2" t="str">
        <f ca="1">IFERROR(__xludf.DUMMYFUNCTION("GOOGLETRANSLATE(A4516,""bn"",""en"")"),"Use smart technology")</f>
        <v>Use smart technology</v>
      </c>
    </row>
    <row r="4517" spans="1:3" ht="15" x14ac:dyDescent="0.25">
      <c r="A4517" s="3" t="s">
        <v>4514</v>
      </c>
      <c r="B4517" s="3" t="s">
        <v>4</v>
      </c>
      <c r="C4517" s="2" t="str">
        <f ca="1">IFERROR(__xludf.DUMMYFUNCTION("GOOGLETRANSLATE(A4517,""bn"",""en"")"),"A tea garden tour")</f>
        <v>A tea garden tour</v>
      </c>
    </row>
    <row r="4518" spans="1:3" ht="15" x14ac:dyDescent="0.25">
      <c r="A4518" s="3" t="s">
        <v>4515</v>
      </c>
      <c r="B4518" s="3" t="s">
        <v>4</v>
      </c>
      <c r="C4518" s="2" t="str">
        <f ca="1">IFERROR(__xludf.DUMMYFUNCTION("GOOGLETRANSLATE(A4518,""bn"",""en"")"),"Become an expert in raising capital")</f>
        <v>Become an expert in raising capital</v>
      </c>
    </row>
    <row r="4519" spans="1:3" ht="15" x14ac:dyDescent="0.25">
      <c r="A4519" s="3" t="s">
        <v>4516</v>
      </c>
      <c r="B4519" s="3" t="s">
        <v>4</v>
      </c>
      <c r="C4519" s="2" t="str">
        <f ca="1">IFERROR(__xludf.DUMMYFUNCTION("GOOGLETRANSLATE(A4519,""bn"",""en"")"),"Crime dramas are on the rise")</f>
        <v>Crime dramas are on the rise</v>
      </c>
    </row>
    <row r="4520" spans="1:3" ht="15" x14ac:dyDescent="0.25">
      <c r="A4520" s="3" t="s">
        <v>4517</v>
      </c>
      <c r="B4520" s="3" t="s">
        <v>4</v>
      </c>
      <c r="C4520" s="2" t="str">
        <f ca="1">IFERROR(__xludf.DUMMYFUNCTION("GOOGLETRANSLATE(A4520,""bn"",""en"")"),"Enjoy the natural world")</f>
        <v>Enjoy the natural world</v>
      </c>
    </row>
    <row r="4521" spans="1:3" ht="15" x14ac:dyDescent="0.25">
      <c r="A4521" s="3" t="s">
        <v>4518</v>
      </c>
      <c r="B4521" s="3" t="s">
        <v>4</v>
      </c>
      <c r="C4521" s="2" t="str">
        <f ca="1">IFERROR(__xludf.DUMMYFUNCTION("GOOGLETRANSLATE(A4521,""bn"",""en"")"),"He is trekking in the Himalayas")</f>
        <v>He is trekking in the Himalayas</v>
      </c>
    </row>
    <row r="4522" spans="1:3" ht="15" x14ac:dyDescent="0.25">
      <c r="A4522" s="3" t="s">
        <v>4519</v>
      </c>
      <c r="B4522" s="3" t="s">
        <v>4</v>
      </c>
      <c r="C4522" s="2" t="str">
        <f ca="1">IFERROR(__xludf.DUMMYFUNCTION("GOOGLETRANSLATE(A4522,""bn"",""en"")"),"Interest accounting should be managed")</f>
        <v>Interest accounting should be managed</v>
      </c>
    </row>
    <row r="4523" spans="1:3" ht="15" x14ac:dyDescent="0.25">
      <c r="A4523" s="3" t="s">
        <v>4520</v>
      </c>
      <c r="B4523" s="3" t="s">
        <v>4</v>
      </c>
      <c r="C4523" s="2" t="str">
        <f ca="1">IFERROR(__xludf.DUMMYFUNCTION("GOOGLETRANSLATE(A4523,""bn"",""en"")"),"Provisional preparations are being made")</f>
        <v>Provisional preparations are being made</v>
      </c>
    </row>
    <row r="4524" spans="1:3" ht="15" x14ac:dyDescent="0.25">
      <c r="A4524" s="3" t="s">
        <v>4521</v>
      </c>
      <c r="B4524" s="3" t="s">
        <v>4</v>
      </c>
      <c r="C4524" s="2" t="str">
        <f ca="1">IFERROR(__xludf.DUMMYFUNCTION("GOOGLETRANSLATE(A4524,""bn"",""en"")"),"You compose music")</f>
        <v>You compose music</v>
      </c>
    </row>
    <row r="4525" spans="1:3" ht="15" x14ac:dyDescent="0.25">
      <c r="A4525" s="3" t="s">
        <v>4522</v>
      </c>
      <c r="B4525" s="3" t="s">
        <v>4</v>
      </c>
      <c r="C4525" s="2" t="str">
        <f ca="1">IFERROR(__xludf.DUMMYFUNCTION("GOOGLETRANSLATE(A4525,""bn"",""en"")"),"Paris on the banks of the Seine River")</f>
        <v>Paris on the banks of the Seine River</v>
      </c>
    </row>
    <row r="4526" spans="1:3" ht="15" x14ac:dyDescent="0.25">
      <c r="A4526" s="3" t="s">
        <v>4523</v>
      </c>
      <c r="B4526" s="3" t="s">
        <v>4</v>
      </c>
      <c r="C4526" s="2" t="str">
        <f ca="1">IFERROR(__xludf.DUMMYFUNCTION("GOOGLETRANSLATE(A4526,""bn"",""en"")"),"Snowy mountains in the Himalayas")</f>
        <v>Snowy mountains in the Himalayas</v>
      </c>
    </row>
    <row r="4527" spans="1:3" ht="15" x14ac:dyDescent="0.25">
      <c r="A4527" s="3" t="s">
        <v>4524</v>
      </c>
      <c r="B4527" s="3" t="s">
        <v>4</v>
      </c>
      <c r="C4527" s="2" t="str">
        <f ca="1">IFERROR(__xludf.DUMMYFUNCTION("GOOGLETRANSLATE(A4527,""bn"",""en"")"),"Training in multiple programming languages")</f>
        <v>Training in multiple programming languages</v>
      </c>
    </row>
    <row r="4528" spans="1:3" ht="15" x14ac:dyDescent="0.25">
      <c r="A4528" s="3" t="s">
        <v>4525</v>
      </c>
      <c r="B4528" s="3" t="s">
        <v>4</v>
      </c>
      <c r="C4528" s="2" t="str">
        <f ca="1">IFERROR(__xludf.DUMMYFUNCTION("GOOGLETRANSLATE(A4528,""bn"",""en"")"),"Take part in the constitutional vote")</f>
        <v>Take part in the constitutional vote</v>
      </c>
    </row>
    <row r="4529" spans="1:3" ht="15" x14ac:dyDescent="0.25">
      <c r="A4529" s="3" t="s">
        <v>4526</v>
      </c>
      <c r="B4529" s="3" t="s">
        <v>4</v>
      </c>
      <c r="C4529" s="2" t="str">
        <f ca="1">IFERROR(__xludf.DUMMYFUNCTION("GOOGLETRANSLATE(A4529,""bn"",""en"")"),"Loans for own purchases")</f>
        <v>Loans for own purchases</v>
      </c>
    </row>
    <row r="4530" spans="1:3" ht="15" x14ac:dyDescent="0.25">
      <c r="A4530" s="3" t="s">
        <v>4527</v>
      </c>
      <c r="B4530" s="3" t="s">
        <v>4</v>
      </c>
      <c r="C4530" s="2" t="str">
        <f ca="1">IFERROR(__xludf.DUMMYFUNCTION("GOOGLETRANSLATE(A4530,""bn"",""en"")"),"Join the party in Parliament")</f>
        <v>Join the party in Parliament</v>
      </c>
    </row>
    <row r="4531" spans="1:3" ht="15" x14ac:dyDescent="0.25">
      <c r="A4531" s="3" t="s">
        <v>4528</v>
      </c>
      <c r="B4531" s="3" t="s">
        <v>4</v>
      </c>
      <c r="C4531" s="2" t="str">
        <f ca="1">IFERROR(__xludf.DUMMYFUNCTION("GOOGLETRANSLATE(A4531,""bn"",""en"")"),"Have experience playing cricket")</f>
        <v>Have experience playing cricket</v>
      </c>
    </row>
    <row r="4532" spans="1:3" ht="15" x14ac:dyDescent="0.25">
      <c r="A4532" s="3" t="s">
        <v>4529</v>
      </c>
      <c r="B4532" s="3" t="s">
        <v>4</v>
      </c>
      <c r="C4532" s="2" t="str">
        <f ca="1">IFERROR(__xludf.DUMMYFUNCTION("GOOGLETRANSLATE(A4532,""bn"",""en"")"),"Data Scientist Career Path")</f>
        <v>Data Scientist Career Path</v>
      </c>
    </row>
    <row r="4533" spans="1:3" ht="15" x14ac:dyDescent="0.25">
      <c r="A4533" s="3" t="s">
        <v>4530</v>
      </c>
      <c r="B4533" s="3" t="s">
        <v>4</v>
      </c>
      <c r="C4533" s="2" t="str">
        <f ca="1">IFERROR(__xludf.DUMMYFUNCTION("GOOGLETRANSLATE(A4533,""bn"",""en"")"),"Coins are not in circulation")</f>
        <v>Coins are not in circulation</v>
      </c>
    </row>
    <row r="4534" spans="1:3" ht="15" x14ac:dyDescent="0.25">
      <c r="A4534" s="3" t="s">
        <v>4531</v>
      </c>
      <c r="B4534" s="3" t="s">
        <v>4</v>
      </c>
      <c r="C4534" s="2" t="str">
        <f ca="1">IFERROR(__xludf.DUMMYFUNCTION("GOOGLETRANSLATE(A4534,""bn"",""en"")"),"The main destination for help")</f>
        <v>The main destination for help</v>
      </c>
    </row>
    <row r="4535" spans="1:3" ht="15" x14ac:dyDescent="0.25">
      <c r="A4535" s="3" t="s">
        <v>4532</v>
      </c>
      <c r="B4535" s="3" t="s">
        <v>4</v>
      </c>
      <c r="C4535" s="2" t="str">
        <f ca="1">IFERROR(__xludf.DUMMYFUNCTION("GOOGLETRANSLATE(A4535,""bn"",""en"")"),"New movie of famous director")</f>
        <v>New movie of famous director</v>
      </c>
    </row>
    <row r="4536" spans="1:3" ht="15" x14ac:dyDescent="0.25">
      <c r="A4536" s="3" t="s">
        <v>4533</v>
      </c>
      <c r="B4536" s="3" t="s">
        <v>4</v>
      </c>
      <c r="C4536" s="2" t="str">
        <f ca="1">IFERROR(__xludf.DUMMYFUNCTION("GOOGLETRANSLATE(A4536,""bn"",""en"")"),"Market substitution should be correct")</f>
        <v>Market substitution should be correct</v>
      </c>
    </row>
    <row r="4537" spans="1:3" ht="15" x14ac:dyDescent="0.25">
      <c r="A4537" s="3" t="s">
        <v>4534</v>
      </c>
      <c r="B4537" s="3" t="s">
        <v>4</v>
      </c>
      <c r="C4537" s="2" t="str">
        <f ca="1">IFERROR(__xludf.DUMMYFUNCTION("GOOGLETRANSLATE(A4537,""bn"",""en"")"),"Vote and join the party")</f>
        <v>Vote and join the party</v>
      </c>
    </row>
    <row r="4538" spans="1:3" ht="15" x14ac:dyDescent="0.25">
      <c r="A4538" s="3" t="s">
        <v>4535</v>
      </c>
      <c r="B4538" s="3" t="s">
        <v>4</v>
      </c>
      <c r="C4538" s="2" t="str">
        <f ca="1">IFERROR(__xludf.DUMMYFUNCTION("GOOGLETRANSLATE(A4538,""bn"",""en"")"),"Technology is used in science")</f>
        <v>Technology is used in science</v>
      </c>
    </row>
    <row r="4539" spans="1:3" ht="15" x14ac:dyDescent="0.25">
      <c r="A4539" s="3" t="s">
        <v>4536</v>
      </c>
      <c r="B4539" s="3" t="s">
        <v>4</v>
      </c>
      <c r="C4539" s="2" t="str">
        <f ca="1">IFERROR(__xludf.DUMMYFUNCTION("GOOGLETRANSLATE(A4539,""bn"",""en"")"),"Wildlife roams the Sundarbans")</f>
        <v>Wildlife roams the Sundarbans</v>
      </c>
    </row>
    <row r="4540" spans="1:3" ht="15" x14ac:dyDescent="0.25">
      <c r="A4540" s="3" t="s">
        <v>4537</v>
      </c>
      <c r="B4540" s="3" t="s">
        <v>4</v>
      </c>
      <c r="C4540" s="2" t="str">
        <f ca="1">IFERROR(__xludf.DUMMYFUNCTION("GOOGLETRANSLATE(A4540,""bn"",""en"")"),"Badminton tumbles into the romp")</f>
        <v>Badminton tumbles into the romp</v>
      </c>
    </row>
    <row r="4541" spans="1:3" ht="15" x14ac:dyDescent="0.25">
      <c r="A4541" s="3" t="s">
        <v>4538</v>
      </c>
      <c r="B4541" s="3" t="s">
        <v>4</v>
      </c>
      <c r="C4541" s="2" t="str">
        <f ca="1">IFERROR(__xludf.DUMMYFUNCTION("GOOGLETRANSLATE(A4541,""bn"",""en"")"),"Increase byte strategy")</f>
        <v>Increase byte strategy</v>
      </c>
    </row>
    <row r="4542" spans="1:3" ht="15" x14ac:dyDescent="0.25">
      <c r="A4542" s="3" t="s">
        <v>4539</v>
      </c>
      <c r="B4542" s="3" t="s">
        <v>4</v>
      </c>
      <c r="C4542" s="2" t="str">
        <f ca="1">IFERROR(__xludf.DUMMYFUNCTION("GOOGLETRANSLATE(A4542,""bn"",""en"")"),"The soundtrack was really nice")</f>
        <v>The soundtrack was really nice</v>
      </c>
    </row>
    <row r="4543" spans="1:3" ht="15" x14ac:dyDescent="0.25">
      <c r="A4543" s="3" t="s">
        <v>4540</v>
      </c>
      <c r="B4543" s="3" t="s">
        <v>4</v>
      </c>
      <c r="C4543" s="2" t="str">
        <f ca="1">IFERROR(__xludf.DUMMYFUNCTION("GOOGLETRANSLATE(A4543,""bn"",""en"")"),"Check it out at the box office")</f>
        <v>Check it out at the box office</v>
      </c>
    </row>
    <row r="4544" spans="1:3" ht="15" x14ac:dyDescent="0.25">
      <c r="A4544" s="3" t="s">
        <v>4541</v>
      </c>
      <c r="B4544" s="3" t="s">
        <v>4</v>
      </c>
      <c r="C4544" s="2" t="str">
        <f ca="1">IFERROR(__xludf.DUMMYFUNCTION("GOOGLETRANSLATE(A4544,""bn"",""en"")"),"Enjoy the scenery")</f>
        <v>Enjoy the scenery</v>
      </c>
    </row>
    <row r="4545" spans="1:26" ht="15" x14ac:dyDescent="0.25">
      <c r="A4545" s="3" t="s">
        <v>4542</v>
      </c>
      <c r="B4545" s="3" t="s">
        <v>4</v>
      </c>
      <c r="C4545" s="2" t="str">
        <f ca="1">IFERROR(__xludf.DUMMYFUNCTION("GOOGLETRANSLATE(A4545,""bn"",""en"")"),"Visit Dighloke Tea Gardens")</f>
        <v>Visit Dighloke Tea Gardens</v>
      </c>
    </row>
    <row r="4546" spans="1:26" ht="15" x14ac:dyDescent="0.25">
      <c r="A4546" s="3" t="s">
        <v>4543</v>
      </c>
      <c r="B4546" s="3" t="s">
        <v>4</v>
      </c>
      <c r="C4546" s="2" t="str">
        <f ca="1">IFERROR(__xludf.DUMMYFUNCTION("GOOGLETRANSLATE(A4546,""bn"",""en"")"),"Take a loan to do business")</f>
        <v>Take a loan to do business</v>
      </c>
    </row>
    <row r="4547" spans="1:26" ht="15" x14ac:dyDescent="0.25">
      <c r="A4547" s="3" t="s">
        <v>4544</v>
      </c>
      <c r="B4547" s="3" t="s">
        <v>4</v>
      </c>
      <c r="C4547" s="2" t="str">
        <f ca="1">IFERROR(__xludf.DUMMYFUNCTION("GOOGLETRANSLATE(A4547,""bn"",""en"")"),"Virtual reality is an example")</f>
        <v>Virtual reality is an example</v>
      </c>
    </row>
    <row r="4548" spans="1:26" ht="15" x14ac:dyDescent="0.25">
      <c r="A4548" s="3" t="s">
        <v>4545</v>
      </c>
      <c r="B4548" s="3" t="s">
        <v>4</v>
      </c>
      <c r="C4548" s="2" t="str">
        <f ca="1">IFERROR(__xludf.DUMMYFUNCTION("GOOGLETRANSLATE(A4548,""bn"",""en"")"),"Education is the solution to social problems")</f>
        <v>Education is the solution to social problems</v>
      </c>
    </row>
    <row r="4549" spans="1:26" ht="15" x14ac:dyDescent="0.25">
      <c r="A4549" s="3" t="s">
        <v>4546</v>
      </c>
      <c r="B4549" s="3" t="s">
        <v>4</v>
      </c>
      <c r="C4549" s="2" t="str">
        <f ca="1">IFERROR(__xludf.DUMMYFUNCTION("GOOGLETRANSLATE(A4549,""bn"",""en"")"),"Mahfil is being performed on musical instruments")</f>
        <v>Mahfil is being performed on musical instruments</v>
      </c>
    </row>
    <row r="4550" spans="1:26" ht="15" x14ac:dyDescent="0.25">
      <c r="A4550" s="3" t="s">
        <v>4547</v>
      </c>
      <c r="B4550" s="3" t="s">
        <v>4</v>
      </c>
      <c r="C4550" s="2" t="str">
        <f ca="1">IFERROR(__xludf.DUMMYFUNCTION("GOOGLETRANSLATE(A4550,""bn"",""en"")"),"The comedy film looks charming")</f>
        <v>The comedy film looks charming</v>
      </c>
    </row>
    <row r="4551" spans="1:26" ht="15" x14ac:dyDescent="0.25">
      <c r="A4551" s="3" t="s">
        <v>4548</v>
      </c>
      <c r="B4551" s="3" t="s">
        <v>4</v>
      </c>
      <c r="C4551" s="2" t="str">
        <f ca="1">IFERROR(__xludf.DUMMYFUNCTION("GOOGLETRANSLATE(A4551,""bn"",""en"")"),"Account statement is required")</f>
        <v>Account statement is required</v>
      </c>
    </row>
    <row r="4552" spans="1:26" ht="15" x14ac:dyDescent="0.25">
      <c r="A4552" s="4" t="s">
        <v>4549</v>
      </c>
      <c r="B4552" s="4" t="s">
        <v>4550</v>
      </c>
      <c r="C4552" s="2" t="str">
        <f ca="1">IFERROR(__xludf.DUMMYFUNCTION("GOOGLETRANSLATE(A4552,""bn"",""en"")"),"I never thought I would get such a twist, it was amazing")</f>
        <v>I never thought I would get such a twist, it was amazing</v>
      </c>
      <c r="D4552" s="5"/>
      <c r="E4552" s="5"/>
      <c r="F4552" s="5"/>
      <c r="G4552" s="5"/>
      <c r="H4552" s="5"/>
      <c r="I4552" s="5"/>
      <c r="J4552" s="5"/>
      <c r="K4552" s="5"/>
      <c r="L4552" s="5"/>
      <c r="M4552" s="5"/>
      <c r="N4552" s="5"/>
      <c r="O4552" s="5"/>
      <c r="P4552" s="5"/>
      <c r="Q4552" s="5"/>
      <c r="R4552" s="5"/>
      <c r="S4552" s="5"/>
      <c r="T4552" s="5"/>
      <c r="U4552" s="5"/>
      <c r="V4552" s="5"/>
      <c r="W4552" s="5"/>
      <c r="X4552" s="5"/>
      <c r="Y4552" s="5"/>
      <c r="Z4552" s="5"/>
    </row>
    <row r="4553" spans="1:26" ht="15" x14ac:dyDescent="0.25">
      <c r="A4553" s="4" t="s">
        <v>4551</v>
      </c>
      <c r="B4553" s="4" t="s">
        <v>4550</v>
      </c>
      <c r="C4553" s="2" t="str">
        <f ca="1">IFERROR(__xludf.DUMMYFUNCTION("GOOGLETRANSLATE(A4553,""bn"",""en"")"),"The more beautiful pictures I saw, the more I liked them, it was the best")</f>
        <v>The more beautiful pictures I saw, the more I liked them, it was the best</v>
      </c>
      <c r="D4553" s="5"/>
      <c r="E4553" s="5"/>
      <c r="F4553" s="5"/>
      <c r="G4553" s="5"/>
      <c r="H4553" s="5"/>
      <c r="I4553" s="5"/>
      <c r="J4553" s="5"/>
      <c r="K4553" s="5"/>
      <c r="L4553" s="5"/>
      <c r="M4553" s="5"/>
      <c r="N4553" s="5"/>
      <c r="O4553" s="5"/>
      <c r="P4553" s="5"/>
      <c r="Q4553" s="5"/>
      <c r="R4553" s="5"/>
      <c r="S4553" s="5"/>
      <c r="T4553" s="5"/>
      <c r="U4553" s="5"/>
      <c r="V4553" s="5"/>
      <c r="W4553" s="5"/>
      <c r="X4553" s="5"/>
      <c r="Y4553" s="5"/>
      <c r="Z4553" s="5"/>
    </row>
    <row r="4554" spans="1:26" ht="15" x14ac:dyDescent="0.25">
      <c r="A4554" s="4" t="s">
        <v>4552</v>
      </c>
      <c r="B4554" s="4" t="s">
        <v>4550</v>
      </c>
      <c r="C4554" s="2" t="str">
        <f ca="1">IFERROR(__xludf.DUMMYFUNCTION("GOOGLETRANSLATE(A4554,""bn"",""en"")"),"Riaz and Purnima acted amazingly, I did not understand when the tears came to my eyes while watching the movie")</f>
        <v>Riaz and Purnima acted amazingly, I did not understand when the tears came to my eyes while watching the movie</v>
      </c>
      <c r="D4554" s="5"/>
      <c r="E4554" s="5"/>
      <c r="F4554" s="5"/>
      <c r="G4554" s="5"/>
      <c r="H4554" s="5"/>
      <c r="I4554" s="5"/>
      <c r="J4554" s="5"/>
      <c r="K4554" s="5"/>
      <c r="L4554" s="5"/>
      <c r="M4554" s="5"/>
      <c r="N4554" s="5"/>
      <c r="O4554" s="5"/>
      <c r="P4554" s="5"/>
      <c r="Q4554" s="5"/>
      <c r="R4554" s="5"/>
      <c r="S4554" s="5"/>
      <c r="T4554" s="5"/>
      <c r="U4554" s="5"/>
      <c r="V4554" s="5"/>
      <c r="W4554" s="5"/>
      <c r="X4554" s="5"/>
      <c r="Y4554" s="5"/>
      <c r="Z4554" s="5"/>
    </row>
    <row r="4555" spans="1:26" ht="15" x14ac:dyDescent="0.25">
      <c r="A4555" s="4" t="s">
        <v>4553</v>
      </c>
      <c r="B4555" s="4" t="s">
        <v>4550</v>
      </c>
      <c r="C4555" s="2" t="str">
        <f ca="1">IFERROR(__xludf.DUMMYFUNCTION("GOOGLETRANSLATE(A4555,""bn"",""en"")"),"What was the acting, what was the location, what was the music, in one word, it was perfect, it was memorable, the tears of joy, how beautifully each actress was presented.")</f>
        <v>What was the acting, what was the location, what was the music, in one word, it was perfect, it was memorable, the tears of joy, how beautifully each actress was presented.</v>
      </c>
      <c r="D4555" s="5"/>
      <c r="E4555" s="5"/>
      <c r="F4555" s="5"/>
      <c r="G4555" s="5"/>
      <c r="H4555" s="5"/>
      <c r="I4555" s="5"/>
      <c r="J4555" s="5"/>
      <c r="K4555" s="5"/>
      <c r="L4555" s="5"/>
      <c r="M4555" s="5"/>
      <c r="N4555" s="5"/>
      <c r="O4555" s="5"/>
      <c r="P4555" s="5"/>
      <c r="Q4555" s="5"/>
      <c r="R4555" s="5"/>
      <c r="S4555" s="5"/>
      <c r="T4555" s="5"/>
      <c r="U4555" s="5"/>
      <c r="V4555" s="5"/>
      <c r="W4555" s="5"/>
      <c r="X4555" s="5"/>
      <c r="Y4555" s="5"/>
      <c r="Z4555" s="5"/>
    </row>
    <row r="4556" spans="1:26" ht="15" x14ac:dyDescent="0.25">
      <c r="A4556" s="4" t="s">
        <v>4554</v>
      </c>
      <c r="B4556" s="4" t="s">
        <v>4550</v>
      </c>
      <c r="C4556" s="2" t="str">
        <f ca="1">IFERROR(__xludf.DUMMYFUNCTION("GOOGLETRANSLATE(A4556,""bn"",""en"")"),"Unparalleled storyline, impeccable acting, superb presentation, eye-watering")</f>
        <v>Unparalleled storyline, impeccable acting, superb presentation, eye-watering</v>
      </c>
      <c r="D4556" s="5"/>
      <c r="E4556" s="5"/>
      <c r="F4556" s="5"/>
      <c r="G4556" s="5"/>
      <c r="H4556" s="5"/>
      <c r="I4556" s="5"/>
      <c r="J4556" s="5"/>
      <c r="K4556" s="5"/>
      <c r="L4556" s="5"/>
      <c r="M4556" s="5"/>
      <c r="N4556" s="5"/>
      <c r="O4556" s="5"/>
      <c r="P4556" s="5"/>
      <c r="Q4556" s="5"/>
      <c r="R4556" s="5"/>
      <c r="S4556" s="5"/>
      <c r="T4556" s="5"/>
      <c r="U4556" s="5"/>
      <c r="V4556" s="5"/>
      <c r="W4556" s="5"/>
      <c r="X4556" s="5"/>
      <c r="Y4556" s="5"/>
      <c r="Z4556" s="5"/>
    </row>
    <row r="4557" spans="1:26" ht="15" x14ac:dyDescent="0.25">
      <c r="A4557" s="4" t="s">
        <v>4555</v>
      </c>
      <c r="B4557" s="4" t="s">
        <v>4550</v>
      </c>
      <c r="C4557" s="2" t="str">
        <f ca="1">IFERROR(__xludf.DUMMYFUNCTION("GOOGLETRANSLATE(A4557,""bn"",""en"")"),"I ended up laughing at the dance")</f>
        <v>I ended up laughing at the dance</v>
      </c>
      <c r="D4557" s="5"/>
      <c r="E4557" s="5"/>
      <c r="F4557" s="5"/>
      <c r="G4557" s="5"/>
      <c r="H4557" s="5"/>
      <c r="I4557" s="5"/>
      <c r="J4557" s="5"/>
      <c r="K4557" s="5"/>
      <c r="L4557" s="5"/>
      <c r="M4557" s="5"/>
      <c r="N4557" s="5"/>
      <c r="O4557" s="5"/>
      <c r="P4557" s="5"/>
      <c r="Q4557" s="5"/>
      <c r="R4557" s="5"/>
      <c r="S4557" s="5"/>
      <c r="T4557" s="5"/>
      <c r="U4557" s="5"/>
      <c r="V4557" s="5"/>
      <c r="W4557" s="5"/>
      <c r="X4557" s="5"/>
      <c r="Y4557" s="5"/>
      <c r="Z4557" s="5"/>
    </row>
    <row r="4558" spans="1:26" ht="15" x14ac:dyDescent="0.25">
      <c r="A4558" s="4" t="s">
        <v>4556</v>
      </c>
      <c r="B4558" s="4" t="s">
        <v>4550</v>
      </c>
      <c r="C4558" s="2" t="str">
        <f ca="1">IFERROR(__xludf.DUMMYFUNCTION("GOOGLETRANSLATE(A4558,""bn"",""en"")"),"There was no need to be in a relationship with such busy people because these busy people were not with me except for their own needs")</f>
        <v>There was no need to be in a relationship with such busy people because these busy people were not with me except for their own needs</v>
      </c>
      <c r="D4558" s="5"/>
      <c r="E4558" s="5"/>
      <c r="F4558" s="5"/>
      <c r="G4558" s="5"/>
      <c r="H4558" s="5"/>
      <c r="I4558" s="5"/>
      <c r="J4558" s="5"/>
      <c r="K4558" s="5"/>
      <c r="L4558" s="5"/>
      <c r="M4558" s="5"/>
      <c r="N4558" s="5"/>
      <c r="O4558" s="5"/>
      <c r="P4558" s="5"/>
      <c r="Q4558" s="5"/>
      <c r="R4558" s="5"/>
      <c r="S4558" s="5"/>
      <c r="T4558" s="5"/>
      <c r="U4558" s="5"/>
      <c r="V4558" s="5"/>
      <c r="W4558" s="5"/>
      <c r="X4558" s="5"/>
      <c r="Y4558" s="5"/>
      <c r="Z4558" s="5"/>
    </row>
    <row r="4559" spans="1:26" ht="15" x14ac:dyDescent="0.25">
      <c r="A4559" s="4" t="s">
        <v>4557</v>
      </c>
      <c r="B4559" s="4" t="s">
        <v>4550</v>
      </c>
      <c r="C4559" s="2" t="str">
        <f ca="1">IFERROR(__xludf.DUMMYFUNCTION("GOOGLETRANSLATE(A4559,""bn"",""en"")"),"Really loved the film and never seen another film like this")</f>
        <v>Really loved the film and never seen another film like this</v>
      </c>
      <c r="D4559" s="5"/>
      <c r="E4559" s="5"/>
      <c r="F4559" s="5"/>
      <c r="G4559" s="5"/>
      <c r="H4559" s="5"/>
      <c r="I4559" s="5"/>
      <c r="J4559" s="5"/>
      <c r="K4559" s="5"/>
      <c r="L4559" s="5"/>
      <c r="M4559" s="5"/>
      <c r="N4559" s="5"/>
      <c r="O4559" s="5"/>
      <c r="P4559" s="5"/>
      <c r="Q4559" s="5"/>
      <c r="R4559" s="5"/>
      <c r="S4559" s="5"/>
      <c r="T4559" s="5"/>
      <c r="U4559" s="5"/>
      <c r="V4559" s="5"/>
      <c r="W4559" s="5"/>
      <c r="X4559" s="5"/>
      <c r="Y4559" s="5"/>
      <c r="Z4559" s="5"/>
    </row>
    <row r="4560" spans="1:26" ht="15" x14ac:dyDescent="0.25">
      <c r="A4560" s="4" t="s">
        <v>4558</v>
      </c>
      <c r="B4560" s="4" t="s">
        <v>4550</v>
      </c>
      <c r="C4560" s="2" t="str">
        <f ca="1">IFERROR(__xludf.DUMMYFUNCTION("GOOGLETRANSLATE(A4560,""bn"",""en"")"),"Honestly, it was a wonderful movie, thank you very much")</f>
        <v>Honestly, it was a wonderful movie, thank you very much</v>
      </c>
      <c r="D4560" s="5"/>
      <c r="E4560" s="5"/>
      <c r="F4560" s="5"/>
      <c r="G4560" s="5"/>
      <c r="H4560" s="5"/>
      <c r="I4560" s="5"/>
      <c r="J4560" s="5"/>
      <c r="K4560" s="5"/>
      <c r="L4560" s="5"/>
      <c r="M4560" s="5"/>
      <c r="N4560" s="5"/>
      <c r="O4560" s="5"/>
      <c r="P4560" s="5"/>
      <c r="Q4560" s="5"/>
      <c r="R4560" s="5"/>
      <c r="S4560" s="5"/>
      <c r="T4560" s="5"/>
      <c r="U4560" s="5"/>
      <c r="V4560" s="5"/>
      <c r="W4560" s="5"/>
      <c r="X4560" s="5"/>
      <c r="Y4560" s="5"/>
      <c r="Z4560" s="5"/>
    </row>
    <row r="4561" spans="1:26" ht="15" x14ac:dyDescent="0.25">
      <c r="A4561" s="4" t="s">
        <v>4559</v>
      </c>
      <c r="B4561" s="4" t="s">
        <v>4550</v>
      </c>
      <c r="C4561" s="2" t="str">
        <f ca="1">IFERROR(__xludf.DUMMYFUNCTION("GOOGLETRANSLATE(A4561,""bn"",""en"")"),"It was a wonderful movie")</f>
        <v>It was a wonderful movie</v>
      </c>
      <c r="D4561" s="5"/>
      <c r="E4561" s="5"/>
      <c r="F4561" s="5"/>
      <c r="G4561" s="5"/>
      <c r="H4561" s="5"/>
      <c r="I4561" s="5"/>
      <c r="J4561" s="5"/>
      <c r="K4561" s="5"/>
      <c r="L4561" s="5"/>
      <c r="M4561" s="5"/>
      <c r="N4561" s="5"/>
      <c r="O4561" s="5"/>
      <c r="P4561" s="5"/>
      <c r="Q4561" s="5"/>
      <c r="R4561" s="5"/>
      <c r="S4561" s="5"/>
      <c r="T4561" s="5"/>
      <c r="U4561" s="5"/>
      <c r="V4561" s="5"/>
      <c r="W4561" s="5"/>
      <c r="X4561" s="5"/>
      <c r="Y4561" s="5"/>
      <c r="Z4561" s="5"/>
    </row>
    <row r="4562" spans="1:26" ht="15" x14ac:dyDescent="0.25">
      <c r="A4562" s="4" t="s">
        <v>4560</v>
      </c>
      <c r="B4562" s="4" t="s">
        <v>4550</v>
      </c>
      <c r="C4562" s="2" t="str">
        <f ca="1">IFERROR(__xludf.DUMMYFUNCTION("GOOGLETRANSLATE(A4562,""bn"",""en"")"),"Jalil should have been sent to Pabna and similar Akkas directors to Uganda")</f>
        <v>Jalil should have been sent to Pabna and similar Akkas directors to Uganda</v>
      </c>
      <c r="D4562" s="5"/>
      <c r="E4562" s="5"/>
      <c r="F4562" s="5"/>
      <c r="G4562" s="5"/>
      <c r="H4562" s="5"/>
      <c r="I4562" s="5"/>
      <c r="J4562" s="5"/>
      <c r="K4562" s="5"/>
      <c r="L4562" s="5"/>
      <c r="M4562" s="5"/>
      <c r="N4562" s="5"/>
      <c r="O4562" s="5"/>
      <c r="P4562" s="5"/>
      <c r="Q4562" s="5"/>
      <c r="R4562" s="5"/>
      <c r="S4562" s="5"/>
      <c r="T4562" s="5"/>
      <c r="U4562" s="5"/>
      <c r="V4562" s="5"/>
      <c r="W4562" s="5"/>
      <c r="X4562" s="5"/>
      <c r="Y4562" s="5"/>
      <c r="Z4562" s="5"/>
    </row>
    <row r="4563" spans="1:26" ht="15" x14ac:dyDescent="0.25">
      <c r="A4563" s="4" t="s">
        <v>4561</v>
      </c>
      <c r="B4563" s="4" t="s">
        <v>4550</v>
      </c>
      <c r="C4563" s="2" t="str">
        <f ca="1">IFERROR(__xludf.DUMMYFUNCTION("GOOGLETRANSLATE(A4563,""bn"",""en"")"),"The project was a complete loss")</f>
        <v>The project was a complete loss</v>
      </c>
      <c r="D4563" s="5"/>
      <c r="E4563" s="5"/>
      <c r="F4563" s="5"/>
      <c r="G4563" s="5"/>
      <c r="H4563" s="5"/>
      <c r="I4563" s="5"/>
      <c r="J4563" s="5"/>
      <c r="K4563" s="5"/>
      <c r="L4563" s="5"/>
      <c r="M4563" s="5"/>
      <c r="N4563" s="5"/>
      <c r="O4563" s="5"/>
      <c r="P4563" s="5"/>
      <c r="Q4563" s="5"/>
      <c r="R4563" s="5"/>
      <c r="S4563" s="5"/>
      <c r="T4563" s="5"/>
      <c r="U4563" s="5"/>
      <c r="V4563" s="5"/>
      <c r="W4563" s="5"/>
      <c r="X4563" s="5"/>
      <c r="Y4563" s="5"/>
      <c r="Z4563" s="5"/>
    </row>
    <row r="4564" spans="1:26" ht="15" x14ac:dyDescent="0.25">
      <c r="A4564" s="4" t="s">
        <v>4562</v>
      </c>
      <c r="B4564" s="4" t="s">
        <v>4550</v>
      </c>
      <c r="C4564" s="2" t="str">
        <f ca="1">IFERROR(__xludf.DUMMYFUNCTION("GOOGLETRANSLATE(A4564,""bn"",""en"")"),"The picture was a family picture as the days went by the essence of the picture was emerging")</f>
        <v>The picture was a family picture as the days went by the essence of the picture was emerging</v>
      </c>
      <c r="D4564" s="5"/>
      <c r="E4564" s="5"/>
      <c r="F4564" s="5"/>
      <c r="G4564" s="5"/>
      <c r="H4564" s="5"/>
      <c r="I4564" s="5"/>
      <c r="J4564" s="5"/>
      <c r="K4564" s="5"/>
      <c r="L4564" s="5"/>
      <c r="M4564" s="5"/>
      <c r="N4564" s="5"/>
      <c r="O4564" s="5"/>
      <c r="P4564" s="5"/>
      <c r="Q4564" s="5"/>
      <c r="R4564" s="5"/>
      <c r="S4564" s="5"/>
      <c r="T4564" s="5"/>
      <c r="U4564" s="5"/>
      <c r="V4564" s="5"/>
      <c r="W4564" s="5"/>
      <c r="X4564" s="5"/>
      <c r="Y4564" s="5"/>
      <c r="Z4564" s="5"/>
    </row>
    <row r="4565" spans="1:26" ht="15" x14ac:dyDescent="0.25">
      <c r="A4565" s="4" t="s">
        <v>4563</v>
      </c>
      <c r="B4565" s="4" t="s">
        <v>4550</v>
      </c>
      <c r="C4565" s="2" t="str">
        <f ca="1">IFERROR(__xludf.DUMMYFUNCTION("GOOGLETRANSLATE(A4565,""bn"",""en"")"),"It is not just a movie this movie taught us a lot")</f>
        <v>It is not just a movie this movie taught us a lot</v>
      </c>
      <c r="D4565" s="5"/>
      <c r="E4565" s="5"/>
      <c r="F4565" s="5"/>
      <c r="G4565" s="5"/>
      <c r="H4565" s="5"/>
      <c r="I4565" s="5"/>
      <c r="J4565" s="5"/>
      <c r="K4565" s="5"/>
      <c r="L4565" s="5"/>
      <c r="M4565" s="5"/>
      <c r="N4565" s="5"/>
      <c r="O4565" s="5"/>
      <c r="P4565" s="5"/>
      <c r="Q4565" s="5"/>
      <c r="R4565" s="5"/>
      <c r="S4565" s="5"/>
      <c r="T4565" s="5"/>
      <c r="U4565" s="5"/>
      <c r="V4565" s="5"/>
      <c r="W4565" s="5"/>
      <c r="X4565" s="5"/>
      <c r="Y4565" s="5"/>
      <c r="Z4565" s="5"/>
    </row>
    <row r="4566" spans="1:26" ht="15" x14ac:dyDescent="0.25">
      <c r="A4566" s="4" t="s">
        <v>4564</v>
      </c>
      <c r="B4566" s="4" t="s">
        <v>4550</v>
      </c>
      <c r="C4566" s="2" t="str">
        <f ca="1">IFERROR(__xludf.DUMMYFUNCTION("GOOGLETRANSLATE(A4566,""bn"",""en"")"),"There was a movie story of the demon world")</f>
        <v>There was a movie story of the demon world</v>
      </c>
      <c r="D4566" s="5"/>
      <c r="E4566" s="5"/>
      <c r="F4566" s="5"/>
      <c r="G4566" s="5"/>
      <c r="H4566" s="5"/>
      <c r="I4566" s="5"/>
      <c r="J4566" s="5"/>
      <c r="K4566" s="5"/>
      <c r="L4566" s="5"/>
      <c r="M4566" s="5"/>
      <c r="N4566" s="5"/>
      <c r="O4566" s="5"/>
      <c r="P4566" s="5"/>
      <c r="Q4566" s="5"/>
      <c r="R4566" s="5"/>
      <c r="S4566" s="5"/>
      <c r="T4566" s="5"/>
      <c r="U4566" s="5"/>
      <c r="V4566" s="5"/>
      <c r="W4566" s="5"/>
      <c r="X4566" s="5"/>
      <c r="Y4566" s="5"/>
      <c r="Z4566" s="5"/>
    </row>
    <row r="4567" spans="1:26" ht="15" x14ac:dyDescent="0.25">
      <c r="A4567" s="4" t="s">
        <v>4565</v>
      </c>
      <c r="B4567" s="4" t="s">
        <v>4550</v>
      </c>
      <c r="C4567" s="2" t="str">
        <f ca="1">IFERROR(__xludf.DUMMYFUNCTION("GOOGLETRANSLATE(A4567,""bn"",""en"")"),"The movie was a great history for the generation")</f>
        <v>The movie was a great history for the generation</v>
      </c>
      <c r="D4567" s="5"/>
      <c r="E4567" s="5"/>
      <c r="F4567" s="5"/>
      <c r="G4567" s="5"/>
      <c r="H4567" s="5"/>
      <c r="I4567" s="5"/>
      <c r="J4567" s="5"/>
      <c r="K4567" s="5"/>
      <c r="L4567" s="5"/>
      <c r="M4567" s="5"/>
      <c r="N4567" s="5"/>
      <c r="O4567" s="5"/>
      <c r="P4567" s="5"/>
      <c r="Q4567" s="5"/>
      <c r="R4567" s="5"/>
      <c r="S4567" s="5"/>
      <c r="T4567" s="5"/>
      <c r="U4567" s="5"/>
      <c r="V4567" s="5"/>
      <c r="W4567" s="5"/>
      <c r="X4567" s="5"/>
      <c r="Y4567" s="5"/>
      <c r="Z4567" s="5"/>
    </row>
    <row r="4568" spans="1:26" ht="15" x14ac:dyDescent="0.25">
      <c r="A4568" s="4" t="s">
        <v>4566</v>
      </c>
      <c r="B4568" s="4" t="s">
        <v>4550</v>
      </c>
      <c r="C4568" s="2" t="str">
        <f ca="1">IFERROR(__xludf.DUMMYFUNCTION("GOOGLETRANSLATE(A4568,""bn"",""en"")"),"Ananda was not close to the tears of love")</f>
        <v>Ananda was not close to the tears of love</v>
      </c>
      <c r="D4568" s="5"/>
      <c r="E4568" s="5"/>
      <c r="F4568" s="5"/>
      <c r="G4568" s="5"/>
      <c r="H4568" s="5"/>
      <c r="I4568" s="5"/>
      <c r="J4568" s="5"/>
      <c r="K4568" s="5"/>
      <c r="L4568" s="5"/>
      <c r="M4568" s="5"/>
      <c r="N4568" s="5"/>
      <c r="O4568" s="5"/>
      <c r="P4568" s="5"/>
      <c r="Q4568" s="5"/>
      <c r="R4568" s="5"/>
      <c r="S4568" s="5"/>
      <c r="T4568" s="5"/>
      <c r="U4568" s="5"/>
      <c r="V4568" s="5"/>
      <c r="W4568" s="5"/>
      <c r="X4568" s="5"/>
      <c r="Y4568" s="5"/>
      <c r="Z4568" s="5"/>
    </row>
    <row r="4569" spans="1:26" ht="15" x14ac:dyDescent="0.25">
      <c r="A4569" s="4" t="s">
        <v>4567</v>
      </c>
      <c r="B4569" s="4" t="s">
        <v>4550</v>
      </c>
      <c r="C4569" s="2" t="str">
        <f ca="1">IFERROR(__xludf.DUMMYFUNCTION("GOOGLETRANSLATE(A4569,""bn"",""en"")"),"The songs were so beautiful, the film was also beautiful, there was reality in everyone's acting")</f>
        <v>The songs were so beautiful, the film was also beautiful, there was reality in everyone's acting</v>
      </c>
      <c r="D4569" s="5"/>
      <c r="E4569" s="5"/>
      <c r="F4569" s="5"/>
      <c r="G4569" s="5"/>
      <c r="H4569" s="5"/>
      <c r="I4569" s="5"/>
      <c r="J4569" s="5"/>
      <c r="K4569" s="5"/>
      <c r="L4569" s="5"/>
      <c r="M4569" s="5"/>
      <c r="N4569" s="5"/>
      <c r="O4569" s="5"/>
      <c r="P4569" s="5"/>
      <c r="Q4569" s="5"/>
      <c r="R4569" s="5"/>
      <c r="S4569" s="5"/>
      <c r="T4569" s="5"/>
      <c r="U4569" s="5"/>
      <c r="V4569" s="5"/>
      <c r="W4569" s="5"/>
      <c r="X4569" s="5"/>
      <c r="Y4569" s="5"/>
      <c r="Z4569" s="5"/>
    </row>
    <row r="4570" spans="1:26" ht="15" x14ac:dyDescent="0.25">
      <c r="A4570" s="4" t="s">
        <v>4568</v>
      </c>
      <c r="B4570" s="4" t="s">
        <v>4550</v>
      </c>
      <c r="C4570" s="2" t="str">
        <f ca="1">IFERROR(__xludf.DUMMYFUNCTION("GOOGLETRANSLATE(A4570,""bn"",""en"")"),"There will be no talk about this film. Salman Shah and Shabnoor were the best couple in the world. Salman Shah's movies brought tears to his eyes.")</f>
        <v>There will be no talk about this film. Salman Shah and Shabnoor were the best couple in the world. Salman Shah's movies brought tears to his eyes.</v>
      </c>
      <c r="D4570" s="5"/>
      <c r="E4570" s="5"/>
      <c r="F4570" s="5"/>
      <c r="G4570" s="5"/>
      <c r="H4570" s="5"/>
      <c r="I4570" s="5"/>
      <c r="J4570" s="5"/>
      <c r="K4570" s="5"/>
      <c r="L4570" s="5"/>
      <c r="M4570" s="5"/>
      <c r="N4570" s="5"/>
      <c r="O4570" s="5"/>
      <c r="P4570" s="5"/>
      <c r="Q4570" s="5"/>
      <c r="R4570" s="5"/>
      <c r="S4570" s="5"/>
      <c r="T4570" s="5"/>
      <c r="U4570" s="5"/>
      <c r="V4570" s="5"/>
      <c r="W4570" s="5"/>
      <c r="X4570" s="5"/>
      <c r="Y4570" s="5"/>
      <c r="Z4570" s="5"/>
    </row>
    <row r="4571" spans="1:26" ht="15" x14ac:dyDescent="0.25">
      <c r="A4571" s="4" t="s">
        <v>4569</v>
      </c>
      <c r="B4571" s="4" t="s">
        <v>4550</v>
      </c>
      <c r="C4571" s="2" t="str">
        <f ca="1">IFERROR(__xludf.DUMMYFUNCTION("GOOGLETRANSLATE(A4571,""bn"",""en"")"),"I was telling the truth that the movie was very good, I felt pain watching the movie")</f>
        <v>I was telling the truth that the movie was very good, I felt pain watching the movie</v>
      </c>
      <c r="D4571" s="5"/>
      <c r="E4571" s="5"/>
      <c r="F4571" s="5"/>
      <c r="G4571" s="5"/>
      <c r="H4571" s="5"/>
      <c r="I4571" s="5"/>
      <c r="J4571" s="5"/>
      <c r="K4571" s="5"/>
      <c r="L4571" s="5"/>
      <c r="M4571" s="5"/>
      <c r="N4571" s="5"/>
      <c r="O4571" s="5"/>
      <c r="P4571" s="5"/>
      <c r="Q4571" s="5"/>
      <c r="R4571" s="5"/>
      <c r="S4571" s="5"/>
      <c r="T4571" s="5"/>
      <c r="U4571" s="5"/>
      <c r="V4571" s="5"/>
      <c r="W4571" s="5"/>
      <c r="X4571" s="5"/>
      <c r="Y4571" s="5"/>
      <c r="Z4571" s="5"/>
    </row>
    <row r="4572" spans="1:26" ht="15" x14ac:dyDescent="0.25">
      <c r="A4572" s="4" t="s">
        <v>4570</v>
      </c>
      <c r="B4572" s="4" t="s">
        <v>4550</v>
      </c>
      <c r="C4572" s="2" t="str">
        <f ca="1">IFERROR(__xludf.DUMMYFUNCTION("GOOGLETRANSLATE(A4572,""bn"",""en"")"),"I could not hold back the tears")</f>
        <v>I could not hold back the tears</v>
      </c>
      <c r="D4572" s="5"/>
      <c r="E4572" s="5"/>
      <c r="F4572" s="5"/>
      <c r="G4572" s="5"/>
      <c r="H4572" s="5"/>
      <c r="I4572" s="5"/>
      <c r="J4572" s="5"/>
      <c r="K4572" s="5"/>
      <c r="L4572" s="5"/>
      <c r="M4572" s="5"/>
      <c r="N4572" s="5"/>
      <c r="O4572" s="5"/>
      <c r="P4572" s="5"/>
      <c r="Q4572" s="5"/>
      <c r="R4572" s="5"/>
      <c r="S4572" s="5"/>
      <c r="T4572" s="5"/>
      <c r="U4572" s="5"/>
      <c r="V4572" s="5"/>
      <c r="W4572" s="5"/>
      <c r="X4572" s="5"/>
      <c r="Y4572" s="5"/>
      <c r="Z4572" s="5"/>
    </row>
    <row r="4573" spans="1:26" ht="15" x14ac:dyDescent="0.25">
      <c r="A4573" s="4" t="s">
        <v>4571</v>
      </c>
      <c r="B4573" s="4" t="s">
        <v>4550</v>
      </c>
      <c r="C4573" s="2" t="str">
        <f ca="1">IFERROR(__xludf.DUMMYFUNCTION("GOOGLETRANSLATE(A4573,""bn"",""en"")"),"Jaya's acting was terrible")</f>
        <v>Jaya's acting was terrible</v>
      </c>
      <c r="D4573" s="5"/>
      <c r="E4573" s="5"/>
      <c r="F4573" s="5"/>
      <c r="G4573" s="5"/>
      <c r="H4573" s="5"/>
      <c r="I4573" s="5"/>
      <c r="J4573" s="5"/>
      <c r="K4573" s="5"/>
      <c r="L4573" s="5"/>
      <c r="M4573" s="5"/>
      <c r="N4573" s="5"/>
      <c r="O4573" s="5"/>
      <c r="P4573" s="5"/>
      <c r="Q4573" s="5"/>
      <c r="R4573" s="5"/>
      <c r="S4573" s="5"/>
      <c r="T4573" s="5"/>
      <c r="U4573" s="5"/>
      <c r="V4573" s="5"/>
      <c r="W4573" s="5"/>
      <c r="X4573" s="5"/>
      <c r="Y4573" s="5"/>
      <c r="Z4573" s="5"/>
    </row>
    <row r="4574" spans="1:26" ht="15" x14ac:dyDescent="0.25">
      <c r="A4574" s="4" t="s">
        <v>4572</v>
      </c>
      <c r="B4574" s="4" t="s">
        <v>4550</v>
      </c>
      <c r="C4574" s="2" t="str">
        <f ca="1">IFERROR(__xludf.DUMMYFUNCTION("GOOGLETRANSLATE(A4574,""bn"",""en"")"),"When I was very young, I watched the movie again and again, so I liked the movie very much")</f>
        <v>When I was very young, I watched the movie again and again, so I liked the movie very much</v>
      </c>
      <c r="D4574" s="5"/>
      <c r="E4574" s="5"/>
      <c r="F4574" s="5"/>
      <c r="G4574" s="5"/>
      <c r="H4574" s="5"/>
      <c r="I4574" s="5"/>
      <c r="J4574" s="5"/>
      <c r="K4574" s="5"/>
      <c r="L4574" s="5"/>
      <c r="M4574" s="5"/>
      <c r="N4574" s="5"/>
      <c r="O4574" s="5"/>
      <c r="P4574" s="5"/>
      <c r="Q4574" s="5"/>
      <c r="R4574" s="5"/>
      <c r="S4574" s="5"/>
      <c r="T4574" s="5"/>
      <c r="U4574" s="5"/>
      <c r="V4574" s="5"/>
      <c r="W4574" s="5"/>
      <c r="X4574" s="5"/>
      <c r="Y4574" s="5"/>
      <c r="Z4574" s="5"/>
    </row>
    <row r="4575" spans="1:26" ht="15" x14ac:dyDescent="0.25">
      <c r="A4575" s="4" t="s">
        <v>4573</v>
      </c>
      <c r="B4575" s="4" t="s">
        <v>4550</v>
      </c>
      <c r="C4575" s="2" t="str">
        <f ca="1">IFERROR(__xludf.DUMMYFUNCTION("GOOGLETRANSLATE(A4575,""bn"",""en"")"),"Producers and directors of Bangladesh could not properly evaluate and use a hero like Amin Khan")</f>
        <v>Producers and directors of Bangladesh could not properly evaluate and use a hero like Amin Khan</v>
      </c>
      <c r="D4575" s="5"/>
      <c r="E4575" s="5"/>
      <c r="F4575" s="5"/>
      <c r="G4575" s="5"/>
      <c r="H4575" s="5"/>
      <c r="I4575" s="5"/>
      <c r="J4575" s="5"/>
      <c r="K4575" s="5"/>
      <c r="L4575" s="5"/>
      <c r="M4575" s="5"/>
      <c r="N4575" s="5"/>
      <c r="O4575" s="5"/>
      <c r="P4575" s="5"/>
      <c r="Q4575" s="5"/>
      <c r="R4575" s="5"/>
      <c r="S4575" s="5"/>
      <c r="T4575" s="5"/>
      <c r="U4575" s="5"/>
      <c r="V4575" s="5"/>
      <c r="W4575" s="5"/>
      <c r="X4575" s="5"/>
      <c r="Y4575" s="5"/>
      <c r="Z4575" s="5"/>
    </row>
    <row r="4576" spans="1:26" ht="15" x14ac:dyDescent="0.25">
      <c r="A4576" s="4" t="s">
        <v>4574</v>
      </c>
      <c r="B4576" s="4" t="s">
        <v>4550</v>
      </c>
      <c r="C4576" s="2" t="str">
        <f ca="1">IFERROR(__xludf.DUMMYFUNCTION("GOOGLETRANSLATE(A4576,""bn"",""en"")"),"Hehehehehehehe it was Jeet's movie")</f>
        <v>Hehehehehehehe it was Jeet's movie</v>
      </c>
      <c r="D4576" s="5"/>
      <c r="E4576" s="5"/>
      <c r="F4576" s="5"/>
      <c r="G4576" s="5"/>
      <c r="H4576" s="5"/>
      <c r="I4576" s="5"/>
      <c r="J4576" s="5"/>
      <c r="K4576" s="5"/>
      <c r="L4576" s="5"/>
      <c r="M4576" s="5"/>
      <c r="N4576" s="5"/>
      <c r="O4576" s="5"/>
      <c r="P4576" s="5"/>
      <c r="Q4576" s="5"/>
      <c r="R4576" s="5"/>
      <c r="S4576" s="5"/>
      <c r="T4576" s="5"/>
      <c r="U4576" s="5"/>
      <c r="V4576" s="5"/>
      <c r="W4576" s="5"/>
      <c r="X4576" s="5"/>
      <c r="Y4576" s="5"/>
      <c r="Z4576" s="5"/>
    </row>
    <row r="4577" spans="1:26" ht="15" x14ac:dyDescent="0.25">
      <c r="A4577" s="4" t="s">
        <v>4575</v>
      </c>
      <c r="B4577" s="4" t="s">
        <v>4550</v>
      </c>
      <c r="C4577" s="2" t="str">
        <f ca="1">IFERROR(__xludf.DUMMYFUNCTION("GOOGLETRANSLATE(A4577,""bn"",""en"")"),"I watched the whole movie very patiently, the movie was getting bad")</f>
        <v>I watched the whole movie very patiently, the movie was getting bad</v>
      </c>
      <c r="D4577" s="5"/>
      <c r="E4577" s="5"/>
      <c r="F4577" s="5"/>
      <c r="G4577" s="5"/>
      <c r="H4577" s="5"/>
      <c r="I4577" s="5"/>
      <c r="J4577" s="5"/>
      <c r="K4577" s="5"/>
      <c r="L4577" s="5"/>
      <c r="M4577" s="5"/>
      <c r="N4577" s="5"/>
      <c r="O4577" s="5"/>
      <c r="P4577" s="5"/>
      <c r="Q4577" s="5"/>
      <c r="R4577" s="5"/>
      <c r="S4577" s="5"/>
      <c r="T4577" s="5"/>
      <c r="U4577" s="5"/>
      <c r="V4577" s="5"/>
      <c r="W4577" s="5"/>
      <c r="X4577" s="5"/>
      <c r="Y4577" s="5"/>
      <c r="Z4577" s="5"/>
    </row>
    <row r="4578" spans="1:26" ht="15" x14ac:dyDescent="0.25">
      <c r="A4578" s="4" t="s">
        <v>4576</v>
      </c>
      <c r="B4578" s="4" t="s">
        <v>4550</v>
      </c>
      <c r="C4578" s="2" t="str">
        <f ca="1">IFERROR(__xludf.DUMMYFUNCTION("GOOGLETRANSLATE(A4578,""bn"",""en"")"),"I had a very favorite movie that I watched many times after that it was a wonderful movie that I wanted to watch")</f>
        <v>I had a very favorite movie that I watched many times after that it was a wonderful movie that I wanted to watch</v>
      </c>
      <c r="D4578" s="5"/>
      <c r="E4578" s="5"/>
      <c r="F4578" s="5"/>
      <c r="G4578" s="5"/>
      <c r="H4578" s="5"/>
      <c r="I4578" s="5"/>
      <c r="J4578" s="5"/>
      <c r="K4578" s="5"/>
      <c r="L4578" s="5"/>
      <c r="M4578" s="5"/>
      <c r="N4578" s="5"/>
      <c r="O4578" s="5"/>
      <c r="P4578" s="5"/>
      <c r="Q4578" s="5"/>
      <c r="R4578" s="5"/>
      <c r="S4578" s="5"/>
      <c r="T4578" s="5"/>
      <c r="U4578" s="5"/>
      <c r="V4578" s="5"/>
      <c r="W4578" s="5"/>
      <c r="X4578" s="5"/>
      <c r="Y4578" s="5"/>
      <c r="Z4578" s="5"/>
    </row>
    <row r="4579" spans="1:26" ht="15" x14ac:dyDescent="0.25">
      <c r="A4579" s="4" t="s">
        <v>4577</v>
      </c>
      <c r="B4579" s="4" t="s">
        <v>4550</v>
      </c>
      <c r="C4579" s="2" t="str">
        <f ca="1">IFERROR(__xludf.DUMMYFUNCTION("GOOGLETRANSLATE(A4579,""bn"",""en"")"),"It was better than saying the movie was great")</f>
        <v>It was better than saying the movie was great</v>
      </c>
      <c r="D4579" s="5"/>
      <c r="E4579" s="5"/>
      <c r="F4579" s="5"/>
      <c r="G4579" s="5"/>
      <c r="H4579" s="5"/>
      <c r="I4579" s="5"/>
      <c r="J4579" s="5"/>
      <c r="K4579" s="5"/>
      <c r="L4579" s="5"/>
      <c r="M4579" s="5"/>
      <c r="N4579" s="5"/>
      <c r="O4579" s="5"/>
      <c r="P4579" s="5"/>
      <c r="Q4579" s="5"/>
      <c r="R4579" s="5"/>
      <c r="S4579" s="5"/>
      <c r="T4579" s="5"/>
      <c r="U4579" s="5"/>
      <c r="V4579" s="5"/>
      <c r="W4579" s="5"/>
      <c r="X4579" s="5"/>
      <c r="Y4579" s="5"/>
      <c r="Z4579" s="5"/>
    </row>
    <row r="4580" spans="1:26" ht="15" x14ac:dyDescent="0.25">
      <c r="A4580" s="4" t="s">
        <v>4578</v>
      </c>
      <c r="B4580" s="4" t="s">
        <v>4550</v>
      </c>
      <c r="C4580" s="2" t="str">
        <f ca="1">IFERROR(__xludf.DUMMYFUNCTION("GOOGLETRANSLATE(A4580,""bn"",""en"")"),"The story of this movie was amazing, I loved it, the music and acting were beautiful, I watched it many times")</f>
        <v>The story of this movie was amazing, I loved it, the music and acting were beautiful, I watched it many times</v>
      </c>
      <c r="D4580" s="5"/>
      <c r="E4580" s="5"/>
      <c r="F4580" s="5"/>
      <c r="G4580" s="5"/>
      <c r="H4580" s="5"/>
      <c r="I4580" s="5"/>
      <c r="J4580" s="5"/>
      <c r="K4580" s="5"/>
      <c r="L4580" s="5"/>
      <c r="M4580" s="5"/>
      <c r="N4580" s="5"/>
      <c r="O4580" s="5"/>
      <c r="P4580" s="5"/>
      <c r="Q4580" s="5"/>
      <c r="R4580" s="5"/>
      <c r="S4580" s="5"/>
      <c r="T4580" s="5"/>
      <c r="U4580" s="5"/>
      <c r="V4580" s="5"/>
      <c r="W4580" s="5"/>
      <c r="X4580" s="5"/>
      <c r="Y4580" s="5"/>
      <c r="Z4580" s="5"/>
    </row>
    <row r="4581" spans="1:26" ht="15" x14ac:dyDescent="0.25">
      <c r="A4581" s="4" t="s">
        <v>4579</v>
      </c>
      <c r="B4581" s="4" t="s">
        <v>4550</v>
      </c>
      <c r="C4581" s="2" t="str">
        <f ca="1">IFERROR(__xludf.DUMMYFUNCTION("GOOGLETRANSLATE(A4581,""bn"",""en"")"),"The story of the movie was beautiful")</f>
        <v>The story of the movie was beautiful</v>
      </c>
      <c r="D4581" s="5"/>
      <c r="E4581" s="5"/>
      <c r="F4581" s="5"/>
      <c r="G4581" s="5"/>
      <c r="H4581" s="5"/>
      <c r="I4581" s="5"/>
      <c r="J4581" s="5"/>
      <c r="K4581" s="5"/>
      <c r="L4581" s="5"/>
      <c r="M4581" s="5"/>
      <c r="N4581" s="5"/>
      <c r="O4581" s="5"/>
      <c r="P4581" s="5"/>
      <c r="Q4581" s="5"/>
      <c r="R4581" s="5"/>
      <c r="S4581" s="5"/>
      <c r="T4581" s="5"/>
      <c r="U4581" s="5"/>
      <c r="V4581" s="5"/>
      <c r="W4581" s="5"/>
      <c r="X4581" s="5"/>
      <c r="Y4581" s="5"/>
      <c r="Z4581" s="5"/>
    </row>
    <row r="4582" spans="1:26" ht="15" x14ac:dyDescent="0.25">
      <c r="A4582" s="4" t="s">
        <v>4580</v>
      </c>
      <c r="B4582" s="4" t="s">
        <v>4550</v>
      </c>
      <c r="C4582" s="2" t="str">
        <f ca="1">IFERROR(__xludf.DUMMYFUNCTION("GOOGLETRANSLATE(A4582,""bn"",""en"")"),"Was super cringe")</f>
        <v>Was super cringe</v>
      </c>
      <c r="D4582" s="5"/>
      <c r="E4582" s="5"/>
      <c r="F4582" s="5"/>
      <c r="G4582" s="5"/>
      <c r="H4582" s="5"/>
      <c r="I4582" s="5"/>
      <c r="J4582" s="5"/>
      <c r="K4582" s="5"/>
      <c r="L4582" s="5"/>
      <c r="M4582" s="5"/>
      <c r="N4582" s="5"/>
      <c r="O4582" s="5"/>
      <c r="P4582" s="5"/>
      <c r="Q4582" s="5"/>
      <c r="R4582" s="5"/>
      <c r="S4582" s="5"/>
      <c r="T4582" s="5"/>
      <c r="U4582" s="5"/>
      <c r="V4582" s="5"/>
      <c r="W4582" s="5"/>
      <c r="X4582" s="5"/>
      <c r="Y4582" s="5"/>
      <c r="Z4582" s="5"/>
    </row>
    <row r="4583" spans="1:26" ht="15" x14ac:dyDescent="0.25">
      <c r="A4583" s="4" t="s">
        <v>4581</v>
      </c>
      <c r="B4583" s="4" t="s">
        <v>4550</v>
      </c>
      <c r="C4583" s="2" t="str">
        <f ca="1">IFERROR(__xludf.DUMMYFUNCTION("GOOGLETRANSLATE(A4583,""bn"",""en"")"),"Tears really came to my eyes, how beautiful the previous movies were")</f>
        <v>Tears really came to my eyes, how beautiful the previous movies were</v>
      </c>
      <c r="D4583" s="5"/>
      <c r="E4583" s="5"/>
      <c r="F4583" s="5"/>
      <c r="G4583" s="5"/>
      <c r="H4583" s="5"/>
      <c r="I4583" s="5"/>
      <c r="J4583" s="5"/>
      <c r="K4583" s="5"/>
      <c r="L4583" s="5"/>
      <c r="M4583" s="5"/>
      <c r="N4583" s="5"/>
      <c r="O4583" s="5"/>
      <c r="P4583" s="5"/>
      <c r="Q4583" s="5"/>
      <c r="R4583" s="5"/>
      <c r="S4583" s="5"/>
      <c r="T4583" s="5"/>
      <c r="U4583" s="5"/>
      <c r="V4583" s="5"/>
      <c r="W4583" s="5"/>
      <c r="X4583" s="5"/>
      <c r="Y4583" s="5"/>
      <c r="Z4583" s="5"/>
    </row>
    <row r="4584" spans="1:26" ht="15" x14ac:dyDescent="0.25">
      <c r="A4584" s="4" t="s">
        <v>4582</v>
      </c>
      <c r="B4584" s="4" t="s">
        <v>4550</v>
      </c>
      <c r="C4584" s="2" t="str">
        <f ca="1">IFERROR(__xludf.DUMMYFUNCTION("GOOGLETRANSLATE(A4584,""bn"",""en"")"),"It was one of the best films in the history of Bangladeshi cinema")</f>
        <v>It was one of the best films in the history of Bangladeshi cinema</v>
      </c>
      <c r="D4584" s="5"/>
      <c r="E4584" s="5"/>
      <c r="F4584" s="5"/>
      <c r="G4584" s="5"/>
      <c r="H4584" s="5"/>
      <c r="I4584" s="5"/>
      <c r="J4584" s="5"/>
      <c r="K4584" s="5"/>
      <c r="L4584" s="5"/>
      <c r="M4584" s="5"/>
      <c r="N4584" s="5"/>
      <c r="O4584" s="5"/>
      <c r="P4584" s="5"/>
      <c r="Q4584" s="5"/>
      <c r="R4584" s="5"/>
      <c r="S4584" s="5"/>
      <c r="T4584" s="5"/>
      <c r="U4584" s="5"/>
      <c r="V4584" s="5"/>
      <c r="W4584" s="5"/>
      <c r="X4584" s="5"/>
      <c r="Y4584" s="5"/>
      <c r="Z4584" s="5"/>
    </row>
    <row r="4585" spans="1:26" ht="15" x14ac:dyDescent="0.25">
      <c r="A4585" s="4" t="s">
        <v>4583</v>
      </c>
      <c r="B4585" s="4" t="s">
        <v>4550</v>
      </c>
      <c r="C4585" s="2" t="str">
        <f ca="1">IFERROR(__xludf.DUMMYFUNCTION("GOOGLETRANSLATE(A4585,""bn"",""en"")"),"The kid's acting was very third class before he was taught to act well and then prepared to bring it to the movies")</f>
        <v>The kid's acting was very third class before he was taught to act well and then prepared to bring it to the movies</v>
      </c>
      <c r="D4585" s="5"/>
      <c r="E4585" s="5"/>
      <c r="F4585" s="5"/>
      <c r="G4585" s="5"/>
      <c r="H4585" s="5"/>
      <c r="I4585" s="5"/>
      <c r="J4585" s="5"/>
      <c r="K4585" s="5"/>
      <c r="L4585" s="5"/>
      <c r="M4585" s="5"/>
      <c r="N4585" s="5"/>
      <c r="O4585" s="5"/>
      <c r="P4585" s="5"/>
      <c r="Q4585" s="5"/>
      <c r="R4585" s="5"/>
      <c r="S4585" s="5"/>
      <c r="T4585" s="5"/>
      <c r="U4585" s="5"/>
      <c r="V4585" s="5"/>
      <c r="W4585" s="5"/>
      <c r="X4585" s="5"/>
      <c r="Y4585" s="5"/>
      <c r="Z4585" s="5"/>
    </row>
    <row r="4586" spans="1:26" ht="15" x14ac:dyDescent="0.25">
      <c r="A4586" s="4" t="s">
        <v>4584</v>
      </c>
      <c r="B4586" s="4" t="s">
        <v>4550</v>
      </c>
      <c r="C4586" s="2" t="str">
        <f ca="1">IFERROR(__xludf.DUMMYFUNCTION("GOOGLETRANSLATE(A4586,""bn"",""en"")"),"Hindi Bengali mixed songs were rubbish")</f>
        <v>Hindi Bengali mixed songs were rubbish</v>
      </c>
      <c r="D4586" s="5"/>
      <c r="E4586" s="5"/>
      <c r="F4586" s="5"/>
      <c r="G4586" s="5"/>
      <c r="H4586" s="5"/>
      <c r="I4586" s="5"/>
      <c r="J4586" s="5"/>
      <c r="K4586" s="5"/>
      <c r="L4586" s="5"/>
      <c r="M4586" s="5"/>
      <c r="N4586" s="5"/>
      <c r="O4586" s="5"/>
      <c r="P4586" s="5"/>
      <c r="Q4586" s="5"/>
      <c r="R4586" s="5"/>
      <c r="S4586" s="5"/>
      <c r="T4586" s="5"/>
      <c r="U4586" s="5"/>
      <c r="V4586" s="5"/>
      <c r="W4586" s="5"/>
      <c r="X4586" s="5"/>
      <c r="Y4586" s="5"/>
      <c r="Z4586" s="5"/>
    </row>
    <row r="4587" spans="1:26" ht="15" x14ac:dyDescent="0.25">
      <c r="A4587" s="4" t="s">
        <v>4585</v>
      </c>
      <c r="B4587" s="4" t="s">
        <v>4550</v>
      </c>
      <c r="C4587" s="2" t="str">
        <f ca="1">IFERROR(__xludf.DUMMYFUNCTION("GOOGLETRANSLATE(A4587,""bn"",""en"")"),"Why did you laugh watching the movie of Kire Bhai Bhut")</f>
        <v>Why did you laugh watching the movie of Kire Bhai Bhut</v>
      </c>
      <c r="D4587" s="5"/>
      <c r="E4587" s="5"/>
      <c r="F4587" s="5"/>
      <c r="G4587" s="5"/>
      <c r="H4587" s="5"/>
      <c r="I4587" s="5"/>
      <c r="J4587" s="5"/>
      <c r="K4587" s="5"/>
      <c r="L4587" s="5"/>
      <c r="M4587" s="5"/>
      <c r="N4587" s="5"/>
      <c r="O4587" s="5"/>
      <c r="P4587" s="5"/>
      <c r="Q4587" s="5"/>
      <c r="R4587" s="5"/>
      <c r="S4587" s="5"/>
      <c r="T4587" s="5"/>
      <c r="U4587" s="5"/>
      <c r="V4587" s="5"/>
      <c r="W4587" s="5"/>
      <c r="X4587" s="5"/>
      <c r="Y4587" s="5"/>
      <c r="Z4587" s="5"/>
    </row>
    <row r="4588" spans="1:26" ht="15" x14ac:dyDescent="0.25">
      <c r="A4588" s="4" t="s">
        <v>4586</v>
      </c>
      <c r="B4588" s="4" t="s">
        <v>4550</v>
      </c>
      <c r="C4588" s="2" t="str">
        <f ca="1">IFERROR(__xludf.DUMMYFUNCTION("GOOGLETRANSLATE(A4588,""bn"",""en"")"),"Who was the director, bro, someone was making them")</f>
        <v>Who was the director, bro, someone was making them</v>
      </c>
      <c r="D4588" s="5"/>
      <c r="E4588" s="5"/>
      <c r="F4588" s="5"/>
      <c r="G4588" s="5"/>
      <c r="H4588" s="5"/>
      <c r="I4588" s="5"/>
      <c r="J4588" s="5"/>
      <c r="K4588" s="5"/>
      <c r="L4588" s="5"/>
      <c r="M4588" s="5"/>
      <c r="N4588" s="5"/>
      <c r="O4588" s="5"/>
      <c r="P4588" s="5"/>
      <c r="Q4588" s="5"/>
      <c r="R4588" s="5"/>
      <c r="S4588" s="5"/>
      <c r="T4588" s="5"/>
      <c r="U4588" s="5"/>
      <c r="V4588" s="5"/>
      <c r="W4588" s="5"/>
      <c r="X4588" s="5"/>
      <c r="Y4588" s="5"/>
      <c r="Z4588" s="5"/>
    </row>
    <row r="4589" spans="1:26" ht="15" x14ac:dyDescent="0.25">
      <c r="A4589" s="4" t="s">
        <v>4587</v>
      </c>
      <c r="B4589" s="4" t="s">
        <v>4550</v>
      </c>
      <c r="C4589" s="2" t="str">
        <f ca="1">IFERROR(__xludf.DUMMYFUNCTION("GOOGLETRANSLATE(A4589,""bn"",""en"")"),"Bangladesh was belittled here")</f>
        <v>Bangladesh was belittled here</v>
      </c>
      <c r="D4589" s="5"/>
      <c r="E4589" s="5"/>
      <c r="F4589" s="5"/>
      <c r="G4589" s="5"/>
      <c r="H4589" s="5"/>
      <c r="I4589" s="5"/>
      <c r="J4589" s="5"/>
      <c r="K4589" s="5"/>
      <c r="L4589" s="5"/>
      <c r="M4589" s="5"/>
      <c r="N4589" s="5"/>
      <c r="O4589" s="5"/>
      <c r="P4589" s="5"/>
      <c r="Q4589" s="5"/>
      <c r="R4589" s="5"/>
      <c r="S4589" s="5"/>
      <c r="T4589" s="5"/>
      <c r="U4589" s="5"/>
      <c r="V4589" s="5"/>
      <c r="W4589" s="5"/>
      <c r="X4589" s="5"/>
      <c r="Y4589" s="5"/>
      <c r="Z4589" s="5"/>
    </row>
    <row r="4590" spans="1:26" ht="15" x14ac:dyDescent="0.25">
      <c r="A4590" s="4" t="s">
        <v>4588</v>
      </c>
      <c r="B4590" s="4" t="s">
        <v>4550</v>
      </c>
      <c r="C4590" s="2" t="str">
        <f ca="1">IFERROR(__xludf.DUMMYFUNCTION("GOOGLETRANSLATE(A4590,""bn"",""en"")"),"Believe me, I couldn't take my eyes off the whole video")</f>
        <v>Believe me, I couldn't take my eyes off the whole video</v>
      </c>
      <c r="D4590" s="5"/>
      <c r="E4590" s="5"/>
      <c r="F4590" s="5"/>
      <c r="G4590" s="5"/>
      <c r="H4590" s="5"/>
      <c r="I4590" s="5"/>
      <c r="J4590" s="5"/>
      <c r="K4590" s="5"/>
      <c r="L4590" s="5"/>
      <c r="M4590" s="5"/>
      <c r="N4590" s="5"/>
      <c r="O4590" s="5"/>
      <c r="P4590" s="5"/>
      <c r="Q4590" s="5"/>
      <c r="R4590" s="5"/>
      <c r="S4590" s="5"/>
      <c r="T4590" s="5"/>
      <c r="U4590" s="5"/>
      <c r="V4590" s="5"/>
      <c r="W4590" s="5"/>
      <c r="X4590" s="5"/>
      <c r="Y4590" s="5"/>
      <c r="Z4590" s="5"/>
    </row>
    <row r="4591" spans="1:26" ht="15" x14ac:dyDescent="0.25">
      <c r="A4591" s="4" t="s">
        <v>4589</v>
      </c>
      <c r="B4591" s="4" t="s">
        <v>4550</v>
      </c>
      <c r="C4591" s="2" t="str">
        <f ca="1">IFERROR(__xludf.DUMMYFUNCTION("GOOGLETRANSLATE(A4591,""bn"",""en"")"),"I was not prepared for such a result")</f>
        <v>I was not prepared for such a result</v>
      </c>
      <c r="D4591" s="5"/>
      <c r="E4591" s="5"/>
      <c r="F4591" s="5"/>
      <c r="G4591" s="5"/>
      <c r="H4591" s="5"/>
      <c r="I4591" s="5"/>
      <c r="J4591" s="5"/>
      <c r="K4591" s="5"/>
      <c r="L4591" s="5"/>
      <c r="M4591" s="5"/>
      <c r="N4591" s="5"/>
      <c r="O4591" s="5"/>
      <c r="P4591" s="5"/>
      <c r="Q4591" s="5"/>
      <c r="R4591" s="5"/>
      <c r="S4591" s="5"/>
      <c r="T4591" s="5"/>
      <c r="U4591" s="5"/>
      <c r="V4591" s="5"/>
      <c r="W4591" s="5"/>
      <c r="X4591" s="5"/>
      <c r="Y4591" s="5"/>
      <c r="Z4591" s="5"/>
    </row>
    <row r="4592" spans="1:26" ht="15" x14ac:dyDescent="0.25">
      <c r="A4592" s="4" t="s">
        <v>4590</v>
      </c>
      <c r="B4592" s="4" t="s">
        <v>4550</v>
      </c>
      <c r="C4592" s="2" t="str">
        <f ca="1">IFERROR(__xludf.DUMMYFUNCTION("GOOGLETRANSLATE(A4592,""bn"",""en"")"),"I think the director was careless here")</f>
        <v>I think the director was careless here</v>
      </c>
      <c r="D4592" s="5"/>
      <c r="E4592" s="5"/>
      <c r="F4592" s="5"/>
      <c r="G4592" s="5"/>
      <c r="H4592" s="5"/>
      <c r="I4592" s="5"/>
      <c r="J4592" s="5"/>
      <c r="K4592" s="5"/>
      <c r="L4592" s="5"/>
      <c r="M4592" s="5"/>
      <c r="N4592" s="5"/>
      <c r="O4592" s="5"/>
      <c r="P4592" s="5"/>
      <c r="Q4592" s="5"/>
      <c r="R4592" s="5"/>
      <c r="S4592" s="5"/>
      <c r="T4592" s="5"/>
      <c r="U4592" s="5"/>
      <c r="V4592" s="5"/>
      <c r="W4592" s="5"/>
      <c r="X4592" s="5"/>
      <c r="Y4592" s="5"/>
      <c r="Z4592" s="5"/>
    </row>
    <row r="4593" spans="1:26" ht="15" x14ac:dyDescent="0.25">
      <c r="A4593" s="4" t="s">
        <v>4591</v>
      </c>
      <c r="B4593" s="4" t="s">
        <v>4550</v>
      </c>
      <c r="C4593" s="2" t="str">
        <f ca="1">IFERROR(__xludf.DUMMYFUNCTION("GOOGLETRANSLATE(A4593,""bn"",""en"")"),"It was the best movie of Shabnoor's life. It was Shabnoor's own words. There were very few people who did not watch the film.")</f>
        <v>It was the best movie of Shabnoor's life. It was Shabnoor's own words. There were very few people who did not watch the film.</v>
      </c>
      <c r="D4593" s="5"/>
      <c r="E4593" s="5"/>
      <c r="F4593" s="5"/>
      <c r="G4593" s="5"/>
      <c r="H4593" s="5"/>
      <c r="I4593" s="5"/>
      <c r="J4593" s="5"/>
      <c r="K4593" s="5"/>
      <c r="L4593" s="5"/>
      <c r="M4593" s="5"/>
      <c r="N4593" s="5"/>
      <c r="O4593" s="5"/>
      <c r="P4593" s="5"/>
      <c r="Q4593" s="5"/>
      <c r="R4593" s="5"/>
      <c r="S4593" s="5"/>
      <c r="T4593" s="5"/>
      <c r="U4593" s="5"/>
      <c r="V4593" s="5"/>
      <c r="W4593" s="5"/>
      <c r="X4593" s="5"/>
      <c r="Y4593" s="5"/>
      <c r="Z4593" s="5"/>
    </row>
    <row r="4594" spans="1:26" ht="15" x14ac:dyDescent="0.25">
      <c r="A4594" s="4" t="s">
        <v>4592</v>
      </c>
      <c r="B4594" s="4" t="s">
        <v>4550</v>
      </c>
      <c r="C4594" s="2" t="str">
        <f ca="1">IFERROR(__xludf.DUMMYFUNCTION("GOOGLETRANSLATE(A4594,""bn"",""en"")"),"No, it was good acting, good dialogue, or his voice sounded like yatra pala on the stage.")</f>
        <v>No, it was good acting, good dialogue, or his voice sounded like yatra pala on the stage.</v>
      </c>
      <c r="D4594" s="5"/>
      <c r="E4594" s="5"/>
      <c r="F4594" s="5"/>
      <c r="G4594" s="5"/>
      <c r="H4594" s="5"/>
      <c r="I4594" s="5"/>
      <c r="J4594" s="5"/>
      <c r="K4594" s="5"/>
      <c r="L4594" s="5"/>
      <c r="M4594" s="5"/>
      <c r="N4594" s="5"/>
      <c r="O4594" s="5"/>
      <c r="P4594" s="5"/>
      <c r="Q4594" s="5"/>
      <c r="R4594" s="5"/>
      <c r="S4594" s="5"/>
      <c r="T4594" s="5"/>
      <c r="U4594" s="5"/>
      <c r="V4594" s="5"/>
      <c r="W4594" s="5"/>
      <c r="X4594" s="5"/>
      <c r="Y4594" s="5"/>
      <c r="Z4594" s="5"/>
    </row>
    <row r="4595" spans="1:26" ht="15" x14ac:dyDescent="0.25">
      <c r="A4595" s="4" t="s">
        <v>4593</v>
      </c>
      <c r="B4595" s="4" t="s">
        <v>4550</v>
      </c>
      <c r="C4595" s="2" t="str">
        <f ca="1">IFERROR(__xludf.DUMMYFUNCTION("GOOGLETRANSLATE(A4595,""bn"",""en"")"),"Bangladesh had nothing else to do but make pictures by copying")</f>
        <v>Bangladesh had nothing else to do but make pictures by copying</v>
      </c>
      <c r="D4595" s="5"/>
      <c r="E4595" s="5"/>
      <c r="F4595" s="5"/>
      <c r="G4595" s="5"/>
      <c r="H4595" s="5"/>
      <c r="I4595" s="5"/>
      <c r="J4595" s="5"/>
      <c r="K4595" s="5"/>
      <c r="L4595" s="5"/>
      <c r="M4595" s="5"/>
      <c r="N4595" s="5"/>
      <c r="O4595" s="5"/>
      <c r="P4595" s="5"/>
      <c r="Q4595" s="5"/>
      <c r="R4595" s="5"/>
      <c r="S4595" s="5"/>
      <c r="T4595" s="5"/>
      <c r="U4595" s="5"/>
      <c r="V4595" s="5"/>
      <c r="W4595" s="5"/>
      <c r="X4595" s="5"/>
      <c r="Y4595" s="5"/>
      <c r="Z4595" s="5"/>
    </row>
    <row r="4596" spans="1:26" ht="15" x14ac:dyDescent="0.25">
      <c r="A4596" s="4" t="s">
        <v>4594</v>
      </c>
      <c r="B4596" s="4" t="s">
        <v>4550</v>
      </c>
      <c r="C4596" s="2" t="str">
        <f ca="1">IFERROR(__xludf.DUMMYFUNCTION("GOOGLETRANSLATE(A4596,""bn"",""en"")"),"I have seen the best of the best of Bangladesh and the best film I have seen in my life. I don't know how many times I cried.")</f>
        <v>I have seen the best of the best of Bangladesh and the best film I have seen in my life. I don't know how many times I cried.</v>
      </c>
      <c r="D4596" s="5"/>
      <c r="E4596" s="5"/>
      <c r="F4596" s="5"/>
      <c r="G4596" s="5"/>
      <c r="H4596" s="5"/>
      <c r="I4596" s="5"/>
      <c r="J4596" s="5"/>
      <c r="K4596" s="5"/>
      <c r="L4596" s="5"/>
      <c r="M4596" s="5"/>
      <c r="N4596" s="5"/>
      <c r="O4596" s="5"/>
      <c r="P4596" s="5"/>
      <c r="Q4596" s="5"/>
      <c r="R4596" s="5"/>
      <c r="S4596" s="5"/>
      <c r="T4596" s="5"/>
      <c r="U4596" s="5"/>
      <c r="V4596" s="5"/>
      <c r="W4596" s="5"/>
      <c r="X4596" s="5"/>
      <c r="Y4596" s="5"/>
      <c r="Z4596" s="5"/>
    </row>
    <row r="4597" spans="1:26" ht="15" x14ac:dyDescent="0.25">
      <c r="A4597" s="4" t="s">
        <v>4595</v>
      </c>
      <c r="B4597" s="4" t="s">
        <v>4550</v>
      </c>
      <c r="C4597" s="2" t="str">
        <f ca="1">IFERROR(__xludf.DUMMYFUNCTION("GOOGLETRANSLATE(A4597,""bn"",""en"")"),"It was difficult to understand the story")</f>
        <v>It was difficult to understand the story</v>
      </c>
      <c r="D4597" s="5"/>
      <c r="E4597" s="5"/>
      <c r="F4597" s="5"/>
      <c r="G4597" s="5"/>
      <c r="H4597" s="5"/>
      <c r="I4597" s="5"/>
      <c r="J4597" s="5"/>
      <c r="K4597" s="5"/>
      <c r="L4597" s="5"/>
      <c r="M4597" s="5"/>
      <c r="N4597" s="5"/>
      <c r="O4597" s="5"/>
      <c r="P4597" s="5"/>
      <c r="Q4597" s="5"/>
      <c r="R4597" s="5"/>
      <c r="S4597" s="5"/>
      <c r="T4597" s="5"/>
      <c r="U4597" s="5"/>
      <c r="V4597" s="5"/>
      <c r="W4597" s="5"/>
      <c r="X4597" s="5"/>
      <c r="Y4597" s="5"/>
      <c r="Z4597" s="5"/>
    </row>
    <row r="4598" spans="1:26" ht="15" x14ac:dyDescent="0.25">
      <c r="A4598" s="4" t="s">
        <v>4596</v>
      </c>
      <c r="B4598" s="4" t="s">
        <v>4550</v>
      </c>
      <c r="C4598" s="2" t="str">
        <f ca="1">IFERROR(__xludf.DUMMYFUNCTION("GOOGLETRANSLATE(A4598,""bn"",""en"")"),"As he acted, it was a flop")</f>
        <v>As he acted, it was a flop</v>
      </c>
      <c r="D4598" s="5"/>
      <c r="E4598" s="5"/>
      <c r="F4598" s="5"/>
      <c r="G4598" s="5"/>
      <c r="H4598" s="5"/>
      <c r="I4598" s="5"/>
      <c r="J4598" s="5"/>
      <c r="K4598" s="5"/>
      <c r="L4598" s="5"/>
      <c r="M4598" s="5"/>
      <c r="N4598" s="5"/>
      <c r="O4598" s="5"/>
      <c r="P4598" s="5"/>
      <c r="Q4598" s="5"/>
      <c r="R4598" s="5"/>
      <c r="S4598" s="5"/>
      <c r="T4598" s="5"/>
      <c r="U4598" s="5"/>
      <c r="V4598" s="5"/>
      <c r="W4598" s="5"/>
      <c r="X4598" s="5"/>
      <c r="Y4598" s="5"/>
      <c r="Z4598" s="5"/>
    </row>
    <row r="4599" spans="1:26" ht="15" x14ac:dyDescent="0.25">
      <c r="A4599" s="4" t="s">
        <v>4597</v>
      </c>
      <c r="B4599" s="4" t="s">
        <v>4550</v>
      </c>
      <c r="C4599" s="2" t="str">
        <f ca="1">IFERROR(__xludf.DUMMYFUNCTION("GOOGLETRANSLATE(A4599,""bn"",""en"")"),"I liked the movie very much and it was a beautiful movie")</f>
        <v>I liked the movie very much and it was a beautiful movie</v>
      </c>
      <c r="D4599" s="5"/>
      <c r="E4599" s="5"/>
      <c r="F4599" s="5"/>
      <c r="G4599" s="5"/>
      <c r="H4599" s="5"/>
      <c r="I4599" s="5"/>
      <c r="J4599" s="5"/>
      <c r="K4599" s="5"/>
      <c r="L4599" s="5"/>
      <c r="M4599" s="5"/>
      <c r="N4599" s="5"/>
      <c r="O4599" s="5"/>
      <c r="P4599" s="5"/>
      <c r="Q4599" s="5"/>
      <c r="R4599" s="5"/>
      <c r="S4599" s="5"/>
      <c r="T4599" s="5"/>
      <c r="U4599" s="5"/>
      <c r="V4599" s="5"/>
      <c r="W4599" s="5"/>
      <c r="X4599" s="5"/>
      <c r="Y4599" s="5"/>
      <c r="Z4599" s="5"/>
    </row>
    <row r="4600" spans="1:26" ht="15" x14ac:dyDescent="0.25">
      <c r="A4600" s="4" t="s">
        <v>4598</v>
      </c>
      <c r="B4600" s="4" t="s">
        <v>4550</v>
      </c>
      <c r="C4600" s="2" t="str">
        <f ca="1">IFERROR(__xludf.DUMMYFUNCTION("GOOGLETRANSLATE(A4600,""bn"",""en"")"),"How come their parents didn't let them do this movie")</f>
        <v>How come their parents didn't let them do this movie</v>
      </c>
      <c r="D4600" s="5"/>
      <c r="E4600" s="5"/>
      <c r="F4600" s="5"/>
      <c r="G4600" s="5"/>
      <c r="H4600" s="5"/>
      <c r="I4600" s="5"/>
      <c r="J4600" s="5"/>
      <c r="K4600" s="5"/>
      <c r="L4600" s="5"/>
      <c r="M4600" s="5"/>
      <c r="N4600" s="5"/>
      <c r="O4600" s="5"/>
      <c r="P4600" s="5"/>
      <c r="Q4600" s="5"/>
      <c r="R4600" s="5"/>
      <c r="S4600" s="5"/>
      <c r="T4600" s="5"/>
      <c r="U4600" s="5"/>
      <c r="V4600" s="5"/>
      <c r="W4600" s="5"/>
      <c r="X4600" s="5"/>
      <c r="Y4600" s="5"/>
      <c r="Z4600" s="5"/>
    </row>
    <row r="4601" spans="1:26" ht="15" x14ac:dyDescent="0.25">
      <c r="A4601" s="4" t="s">
        <v>4599</v>
      </c>
      <c r="B4601" s="4" t="s">
        <v>4550</v>
      </c>
      <c r="C4601" s="2" t="str">
        <f ca="1">IFERROR(__xludf.DUMMYFUNCTION("GOOGLETRANSLATE(A4601,""bn"",""en"")"),"A good hearted person was able to make such a movie. This movie left a mark in everyone's mind")</f>
        <v>A good hearted person was able to make such a movie. This movie left a mark in everyone's mind</v>
      </c>
      <c r="D4601" s="5"/>
      <c r="E4601" s="5"/>
      <c r="F4601" s="5"/>
      <c r="G4601" s="5"/>
      <c r="H4601" s="5"/>
      <c r="I4601" s="5"/>
      <c r="J4601" s="5"/>
      <c r="K4601" s="5"/>
      <c r="L4601" s="5"/>
      <c r="M4601" s="5"/>
      <c r="N4601" s="5"/>
      <c r="O4601" s="5"/>
      <c r="P4601" s="5"/>
      <c r="Q4601" s="5"/>
      <c r="R4601" s="5"/>
      <c r="S4601" s="5"/>
      <c r="T4601" s="5"/>
      <c r="U4601" s="5"/>
      <c r="V4601" s="5"/>
      <c r="W4601" s="5"/>
      <c r="X4601" s="5"/>
      <c r="Y4601" s="5"/>
      <c r="Z4601" s="5"/>
    </row>
    <row r="4602" spans="1:26" ht="15" x14ac:dyDescent="0.25">
      <c r="A4602" s="4" t="s">
        <v>4600</v>
      </c>
      <c r="B4602" s="4" t="s">
        <v>4550</v>
      </c>
      <c r="C4602" s="2" t="str">
        <f ca="1">IFERROR(__xludf.DUMMYFUNCTION("GOOGLETRANSLATE(A4602,""bn"",""en"")"),"While looking for the story of the movie Bapre Bap, I saw that the movie is over")</f>
        <v>While looking for the story of the movie Bapre Bap, I saw that the movie is over</v>
      </c>
      <c r="D4602" s="5"/>
      <c r="E4602" s="5"/>
      <c r="F4602" s="5"/>
      <c r="G4602" s="5"/>
      <c r="H4602" s="5"/>
      <c r="I4602" s="5"/>
      <c r="J4602" s="5"/>
      <c r="K4602" s="5"/>
      <c r="L4602" s="5"/>
      <c r="M4602" s="5"/>
      <c r="N4602" s="5"/>
      <c r="O4602" s="5"/>
      <c r="P4602" s="5"/>
      <c r="Q4602" s="5"/>
      <c r="R4602" s="5"/>
      <c r="S4602" s="5"/>
      <c r="T4602" s="5"/>
      <c r="U4602" s="5"/>
      <c r="V4602" s="5"/>
      <c r="W4602" s="5"/>
      <c r="X4602" s="5"/>
      <c r="Y4602" s="5"/>
      <c r="Z4602" s="5"/>
    </row>
    <row r="4603" spans="1:26" ht="15" x14ac:dyDescent="0.25">
      <c r="A4603" s="4" t="s">
        <v>4601</v>
      </c>
      <c r="B4603" s="4" t="s">
        <v>4550</v>
      </c>
      <c r="C4603" s="2" t="str">
        <f ca="1">IFERROR(__xludf.DUMMYFUNCTION("GOOGLETRANSLATE(A4603,""bn"",""en"")"),"I cried watching the movie")</f>
        <v>I cried watching the movie</v>
      </c>
      <c r="D4603" s="5"/>
      <c r="E4603" s="5"/>
      <c r="F4603" s="5"/>
      <c r="G4603" s="5"/>
      <c r="H4603" s="5"/>
      <c r="I4603" s="5"/>
      <c r="J4603" s="5"/>
      <c r="K4603" s="5"/>
      <c r="L4603" s="5"/>
      <c r="M4603" s="5"/>
      <c r="N4603" s="5"/>
      <c r="O4603" s="5"/>
      <c r="P4603" s="5"/>
      <c r="Q4603" s="5"/>
      <c r="R4603" s="5"/>
      <c r="S4603" s="5"/>
      <c r="T4603" s="5"/>
      <c r="U4603" s="5"/>
      <c r="V4603" s="5"/>
      <c r="W4603" s="5"/>
      <c r="X4603" s="5"/>
      <c r="Y4603" s="5"/>
      <c r="Z4603" s="5"/>
    </row>
    <row r="4604" spans="1:26" ht="15" x14ac:dyDescent="0.25">
      <c r="A4604" s="4" t="s">
        <v>4602</v>
      </c>
      <c r="B4604" s="4" t="s">
        <v>4550</v>
      </c>
      <c r="C4604" s="2" t="str">
        <f ca="1">IFERROR(__xludf.DUMMYFUNCTION("GOOGLETRANSLATE(A4604,""bn"",""en"")"),"Dighi and Deepjol's acting was the best in this movie")</f>
        <v>Dighi and Deepjol's acting was the best in this movie</v>
      </c>
      <c r="D4604" s="5"/>
      <c r="E4604" s="5"/>
      <c r="F4604" s="5"/>
      <c r="G4604" s="5"/>
      <c r="H4604" s="5"/>
      <c r="I4604" s="5"/>
      <c r="J4604" s="5"/>
      <c r="K4604" s="5"/>
      <c r="L4604" s="5"/>
      <c r="M4604" s="5"/>
      <c r="N4604" s="5"/>
      <c r="O4604" s="5"/>
      <c r="P4604" s="5"/>
      <c r="Q4604" s="5"/>
      <c r="R4604" s="5"/>
      <c r="S4604" s="5"/>
      <c r="T4604" s="5"/>
      <c r="U4604" s="5"/>
      <c r="V4604" s="5"/>
      <c r="W4604" s="5"/>
      <c r="X4604" s="5"/>
      <c r="Y4604" s="5"/>
      <c r="Z4604" s="5"/>
    </row>
    <row r="4605" spans="1:26" ht="15" x14ac:dyDescent="0.25">
      <c r="A4605" s="4" t="s">
        <v>4603</v>
      </c>
      <c r="B4605" s="4" t="s">
        <v>4550</v>
      </c>
      <c r="C4605" s="2" t="str">
        <f ca="1">IFERROR(__xludf.DUMMYFUNCTION("GOOGLETRANSLATE(A4605,""bn"",""en"")"),"In one word, great movie, the whole part of the movie was amazing, but the last part was very painful to watch and such a tasteful movie could be seen only with family.")</f>
        <v>In one word, great movie, the whole part of the movie was amazing, but the last part was very painful to watch and such a tasteful movie could be seen only with family.</v>
      </c>
      <c r="D4605" s="5"/>
      <c r="E4605" s="5"/>
      <c r="F4605" s="5"/>
      <c r="G4605" s="5"/>
      <c r="H4605" s="5"/>
      <c r="I4605" s="5"/>
      <c r="J4605" s="5"/>
      <c r="K4605" s="5"/>
      <c r="L4605" s="5"/>
      <c r="M4605" s="5"/>
      <c r="N4605" s="5"/>
      <c r="O4605" s="5"/>
      <c r="P4605" s="5"/>
      <c r="Q4605" s="5"/>
      <c r="R4605" s="5"/>
      <c r="S4605" s="5"/>
      <c r="T4605" s="5"/>
      <c r="U4605" s="5"/>
      <c r="V4605" s="5"/>
      <c r="W4605" s="5"/>
      <c r="X4605" s="5"/>
      <c r="Y4605" s="5"/>
      <c r="Z4605" s="5"/>
    </row>
    <row r="4606" spans="1:26" ht="15" x14ac:dyDescent="0.25">
      <c r="A4606" s="4" t="s">
        <v>4604</v>
      </c>
      <c r="B4606" s="4" t="s">
        <v>4550</v>
      </c>
      <c r="C4606" s="2" t="str">
        <f ca="1">IFERROR(__xludf.DUMMYFUNCTION("GOOGLETRANSLATE(A4606,""bn"",""en"")"),"It was one of the most memorable films in Bangladesh's film history")</f>
        <v>It was one of the most memorable films in Bangladesh's film history</v>
      </c>
      <c r="D4606" s="5"/>
      <c r="E4606" s="5"/>
      <c r="F4606" s="5"/>
      <c r="G4606" s="5"/>
      <c r="H4606" s="5"/>
      <c r="I4606" s="5"/>
      <c r="J4606" s="5"/>
      <c r="K4606" s="5"/>
      <c r="L4606" s="5"/>
      <c r="M4606" s="5"/>
      <c r="N4606" s="5"/>
      <c r="O4606" s="5"/>
      <c r="P4606" s="5"/>
      <c r="Q4606" s="5"/>
      <c r="R4606" s="5"/>
      <c r="S4606" s="5"/>
      <c r="T4606" s="5"/>
      <c r="U4606" s="5"/>
      <c r="V4606" s="5"/>
      <c r="W4606" s="5"/>
      <c r="X4606" s="5"/>
      <c r="Y4606" s="5"/>
      <c r="Z4606" s="5"/>
    </row>
    <row r="4607" spans="1:26" ht="15" x14ac:dyDescent="0.25">
      <c r="A4607" s="4" t="s">
        <v>4605</v>
      </c>
      <c r="B4607" s="4" t="s">
        <v>4550</v>
      </c>
      <c r="C4607" s="2" t="str">
        <f ca="1">IFERROR(__xludf.DUMMYFUNCTION("GOOGLETRANSLATE(A4607,""bn"",""en"")"),"Watching Bengali movies, it seemed that there was a lot of nonsense going on")</f>
        <v>Watching Bengali movies, it seemed that there was a lot of nonsense going on</v>
      </c>
      <c r="D4607" s="5"/>
      <c r="E4607" s="5"/>
      <c r="F4607" s="5"/>
      <c r="G4607" s="5"/>
      <c r="H4607" s="5"/>
      <c r="I4607" s="5"/>
      <c r="J4607" s="5"/>
      <c r="K4607" s="5"/>
      <c r="L4607" s="5"/>
      <c r="M4607" s="5"/>
      <c r="N4607" s="5"/>
      <c r="O4607" s="5"/>
      <c r="P4607" s="5"/>
      <c r="Q4607" s="5"/>
      <c r="R4607" s="5"/>
      <c r="S4607" s="5"/>
      <c r="T4607" s="5"/>
      <c r="U4607" s="5"/>
      <c r="V4607" s="5"/>
      <c r="W4607" s="5"/>
      <c r="X4607" s="5"/>
      <c r="Y4607" s="5"/>
      <c r="Z4607" s="5"/>
    </row>
    <row r="4608" spans="1:26" ht="15" x14ac:dyDescent="0.25">
      <c r="A4608" s="4" t="s">
        <v>4606</v>
      </c>
      <c r="B4608" s="4" t="s">
        <v>4550</v>
      </c>
      <c r="C4608" s="2" t="str">
        <f ca="1">IFERROR(__xludf.DUMMYFUNCTION("GOOGLETRANSLATE(A4608,""bn"",""en"")"),"It was so beautiful that I did not know how many times I saw this picture")</f>
        <v>It was so beautiful that I did not know how many times I saw this picture</v>
      </c>
      <c r="D4608" s="5"/>
      <c r="E4608" s="5"/>
      <c r="F4608" s="5"/>
      <c r="G4608" s="5"/>
      <c r="H4608" s="5"/>
      <c r="I4608" s="5"/>
      <c r="J4608" s="5"/>
      <c r="K4608" s="5"/>
      <c r="L4608" s="5"/>
      <c r="M4608" s="5"/>
      <c r="N4608" s="5"/>
      <c r="O4608" s="5"/>
      <c r="P4608" s="5"/>
      <c r="Q4608" s="5"/>
      <c r="R4608" s="5"/>
      <c r="S4608" s="5"/>
      <c r="T4608" s="5"/>
      <c r="U4608" s="5"/>
      <c r="V4608" s="5"/>
      <c r="W4608" s="5"/>
      <c r="X4608" s="5"/>
      <c r="Y4608" s="5"/>
      <c r="Z4608" s="5"/>
    </row>
    <row r="4609" spans="1:26" ht="15" x14ac:dyDescent="0.25">
      <c r="A4609" s="4" t="s">
        <v>4607</v>
      </c>
      <c r="B4609" s="4" t="s">
        <v>4550</v>
      </c>
      <c r="C4609" s="2" t="str">
        <f ca="1">IFERROR(__xludf.DUMMYFUNCTION("GOOGLETRANSLATE(A4609,""bn"",""en"")"),"Parimini was just beautiful to look at but the acting was very raw")</f>
        <v>Parimini was just beautiful to look at but the acting was very raw</v>
      </c>
      <c r="D4609" s="5"/>
      <c r="E4609" s="5"/>
      <c r="F4609" s="5"/>
      <c r="G4609" s="5"/>
      <c r="H4609" s="5"/>
      <c r="I4609" s="5"/>
      <c r="J4609" s="5"/>
      <c r="K4609" s="5"/>
      <c r="L4609" s="5"/>
      <c r="M4609" s="5"/>
      <c r="N4609" s="5"/>
      <c r="O4609" s="5"/>
      <c r="P4609" s="5"/>
      <c r="Q4609" s="5"/>
      <c r="R4609" s="5"/>
      <c r="S4609" s="5"/>
      <c r="T4609" s="5"/>
      <c r="U4609" s="5"/>
      <c r="V4609" s="5"/>
      <c r="W4609" s="5"/>
      <c r="X4609" s="5"/>
      <c r="Y4609" s="5"/>
      <c r="Z4609" s="5"/>
    </row>
    <row r="4610" spans="1:26" ht="15" x14ac:dyDescent="0.25">
      <c r="A4610" s="4" t="s">
        <v>4608</v>
      </c>
      <c r="B4610" s="4" t="s">
        <v>4550</v>
      </c>
      <c r="C4610" s="2" t="str">
        <f ca="1">IFERROR(__xludf.DUMMYFUNCTION("GOOGLETRANSLATE(A4610,""bn"",""en"")"),"A lesson learned in this movie is that it is never okay to mistrust your partner, doubting without verifying the truth will ruin the relationship and lead to major accidents.")</f>
        <v>A lesson learned in this movie is that it is never okay to mistrust your partner, doubting without verifying the truth will ruin the relationship and lead to major accidents.</v>
      </c>
      <c r="D4610" s="5"/>
      <c r="E4610" s="5"/>
      <c r="F4610" s="5"/>
      <c r="G4610" s="5"/>
      <c r="H4610" s="5"/>
      <c r="I4610" s="5"/>
      <c r="J4610" s="5"/>
      <c r="K4610" s="5"/>
      <c r="L4610" s="5"/>
      <c r="M4610" s="5"/>
      <c r="N4610" s="5"/>
      <c r="O4610" s="5"/>
      <c r="P4610" s="5"/>
      <c r="Q4610" s="5"/>
      <c r="R4610" s="5"/>
      <c r="S4610" s="5"/>
      <c r="T4610" s="5"/>
      <c r="U4610" s="5"/>
      <c r="V4610" s="5"/>
      <c r="W4610" s="5"/>
      <c r="X4610" s="5"/>
      <c r="Y4610" s="5"/>
      <c r="Z4610" s="5"/>
    </row>
    <row r="4611" spans="1:26" ht="15" x14ac:dyDescent="0.25">
      <c r="A4611" s="4" t="s">
        <v>4609</v>
      </c>
      <c r="B4611" s="4" t="s">
        <v>4550</v>
      </c>
      <c r="C4611" s="2" t="str">
        <f ca="1">IFERROR(__xludf.DUMMYFUNCTION("GOOGLETRANSLATE(A4611,""bn"",""en"")"),"There was no story, no acting, no music, no good scenery")</f>
        <v>There was no story, no acting, no music, no good scenery</v>
      </c>
      <c r="D4611" s="5"/>
      <c r="E4611" s="5"/>
      <c r="F4611" s="5"/>
      <c r="G4611" s="5"/>
      <c r="H4611" s="5"/>
      <c r="I4611" s="5"/>
      <c r="J4611" s="5"/>
      <c r="K4611" s="5"/>
      <c r="L4611" s="5"/>
      <c r="M4611" s="5"/>
      <c r="N4611" s="5"/>
      <c r="O4611" s="5"/>
      <c r="P4611" s="5"/>
      <c r="Q4611" s="5"/>
      <c r="R4611" s="5"/>
      <c r="S4611" s="5"/>
      <c r="T4611" s="5"/>
      <c r="U4611" s="5"/>
      <c r="V4611" s="5"/>
      <c r="W4611" s="5"/>
      <c r="X4611" s="5"/>
      <c r="Y4611" s="5"/>
      <c r="Z4611" s="5"/>
    </row>
    <row r="4612" spans="1:26" ht="15" x14ac:dyDescent="0.25">
      <c r="A4612" s="4" t="s">
        <v>4610</v>
      </c>
      <c r="B4612" s="4" t="s">
        <v>4550</v>
      </c>
      <c r="C4612" s="2" t="str">
        <f ca="1">IFERROR(__xludf.DUMMYFUNCTION("GOOGLETRANSLATE(A4612,""bn"",""en"")"),"People used to watch all these movies by spending money")</f>
        <v>People used to watch all these movies by spending money</v>
      </c>
      <c r="D4612" s="5"/>
      <c r="E4612" s="5"/>
      <c r="F4612" s="5"/>
      <c r="G4612" s="5"/>
      <c r="H4612" s="5"/>
      <c r="I4612" s="5"/>
      <c r="J4612" s="5"/>
      <c r="K4612" s="5"/>
      <c r="L4612" s="5"/>
      <c r="M4612" s="5"/>
      <c r="N4612" s="5"/>
      <c r="O4612" s="5"/>
      <c r="P4612" s="5"/>
      <c r="Q4612" s="5"/>
      <c r="R4612" s="5"/>
      <c r="S4612" s="5"/>
      <c r="T4612" s="5"/>
      <c r="U4612" s="5"/>
      <c r="V4612" s="5"/>
      <c r="W4612" s="5"/>
      <c r="X4612" s="5"/>
      <c r="Y4612" s="5"/>
      <c r="Z4612" s="5"/>
    </row>
    <row r="4613" spans="1:26" ht="15" x14ac:dyDescent="0.25">
      <c r="A4613" s="4" t="s">
        <v>4611</v>
      </c>
      <c r="B4613" s="4" t="s">
        <v>4550</v>
      </c>
      <c r="C4613" s="2" t="str">
        <f ca="1">IFERROR(__xludf.DUMMYFUNCTION("GOOGLETRANSLATE(A4613,""bn"",""en"")"),"I watched the movie Ghar Bhaga Samsar when I was very young, then I waited to see it today, I liked it very much")</f>
        <v>I watched the movie Ghar Bhaga Samsar when I was very young, then I waited to see it today, I liked it very much</v>
      </c>
      <c r="D4613" s="5"/>
      <c r="E4613" s="5"/>
      <c r="F4613" s="5"/>
      <c r="G4613" s="5"/>
      <c r="H4613" s="5"/>
      <c r="I4613" s="5"/>
      <c r="J4613" s="5"/>
      <c r="K4613" s="5"/>
      <c r="L4613" s="5"/>
      <c r="M4613" s="5"/>
      <c r="N4613" s="5"/>
      <c r="O4613" s="5"/>
      <c r="P4613" s="5"/>
      <c r="Q4613" s="5"/>
      <c r="R4613" s="5"/>
      <c r="S4613" s="5"/>
      <c r="T4613" s="5"/>
      <c r="U4613" s="5"/>
      <c r="V4613" s="5"/>
      <c r="W4613" s="5"/>
      <c r="X4613" s="5"/>
      <c r="Y4613" s="5"/>
      <c r="Z4613" s="5"/>
    </row>
    <row r="4614" spans="1:26" ht="15" x14ac:dyDescent="0.25">
      <c r="A4614" s="4" t="s">
        <v>4612</v>
      </c>
      <c r="B4614" s="4" t="s">
        <v>4550</v>
      </c>
      <c r="C4614" s="2" t="str">
        <f ca="1">IFERROR(__xludf.DUMMYFUNCTION("GOOGLETRANSLATE(A4614,""bn"",""en"")"),"It would have been better if Moushumi had been cast as Amin Khan's heroine")</f>
        <v>It would have been better if Moushumi had been cast as Amin Khan's heroine</v>
      </c>
      <c r="D4614" s="5"/>
      <c r="E4614" s="5"/>
      <c r="F4614" s="5"/>
      <c r="G4614" s="5"/>
      <c r="H4614" s="5"/>
      <c r="I4614" s="5"/>
      <c r="J4614" s="5"/>
      <c r="K4614" s="5"/>
      <c r="L4614" s="5"/>
      <c r="M4614" s="5"/>
      <c r="N4614" s="5"/>
      <c r="O4614" s="5"/>
      <c r="P4614" s="5"/>
      <c r="Q4614" s="5"/>
      <c r="R4614" s="5"/>
      <c r="S4614" s="5"/>
      <c r="T4614" s="5"/>
      <c r="U4614" s="5"/>
      <c r="V4614" s="5"/>
      <c r="W4614" s="5"/>
      <c r="X4614" s="5"/>
      <c r="Y4614" s="5"/>
      <c r="Z4614" s="5"/>
    </row>
    <row r="4615" spans="1:26" ht="15" x14ac:dyDescent="0.25">
      <c r="A4615" s="4" t="s">
        <v>4613</v>
      </c>
      <c r="B4615" s="4" t="s">
        <v>4550</v>
      </c>
      <c r="C4615" s="2" t="str">
        <f ca="1">IFERROR(__xludf.DUMMYFUNCTION("GOOGLETRANSLATE(A4615,""bn"",""en"")"),"A very beautiful movie came to my mind")</f>
        <v>A very beautiful movie came to my mind</v>
      </c>
      <c r="D4615" s="5"/>
      <c r="E4615" s="5"/>
      <c r="F4615" s="5"/>
      <c r="G4615" s="5"/>
      <c r="H4615" s="5"/>
      <c r="I4615" s="5"/>
      <c r="J4615" s="5"/>
      <c r="K4615" s="5"/>
      <c r="L4615" s="5"/>
      <c r="M4615" s="5"/>
      <c r="N4615" s="5"/>
      <c r="O4615" s="5"/>
      <c r="P4615" s="5"/>
      <c r="Q4615" s="5"/>
      <c r="R4615" s="5"/>
      <c r="S4615" s="5"/>
      <c r="T4615" s="5"/>
      <c r="U4615" s="5"/>
      <c r="V4615" s="5"/>
      <c r="W4615" s="5"/>
      <c r="X4615" s="5"/>
      <c r="Y4615" s="5"/>
      <c r="Z4615" s="5"/>
    </row>
    <row r="4616" spans="1:26" ht="15" x14ac:dyDescent="0.25">
      <c r="A4616" s="4" t="s">
        <v>4614</v>
      </c>
      <c r="B4616" s="4" t="s">
        <v>4550</v>
      </c>
      <c r="C4616" s="2" t="str">
        <f ca="1">IFERROR(__xludf.DUMMYFUNCTION("GOOGLETRANSLATE(A4616,""bn"",""en"")"),"I felt a different feeling after seeing the picture")</f>
        <v>I felt a different feeling after seeing the picture</v>
      </c>
      <c r="D4616" s="5"/>
      <c r="E4616" s="5"/>
      <c r="F4616" s="5"/>
      <c r="G4616" s="5"/>
      <c r="H4616" s="5"/>
      <c r="I4616" s="5"/>
      <c r="J4616" s="5"/>
      <c r="K4616" s="5"/>
      <c r="L4616" s="5"/>
      <c r="M4616" s="5"/>
      <c r="N4616" s="5"/>
      <c r="O4616" s="5"/>
      <c r="P4616" s="5"/>
      <c r="Q4616" s="5"/>
      <c r="R4616" s="5"/>
      <c r="S4616" s="5"/>
      <c r="T4616" s="5"/>
      <c r="U4616" s="5"/>
      <c r="V4616" s="5"/>
      <c r="W4616" s="5"/>
      <c r="X4616" s="5"/>
      <c r="Y4616" s="5"/>
      <c r="Z4616" s="5"/>
    </row>
    <row r="4617" spans="1:26" ht="15" x14ac:dyDescent="0.25">
      <c r="A4617" s="4" t="s">
        <v>4615</v>
      </c>
      <c r="B4617" s="4" t="s">
        <v>4550</v>
      </c>
      <c r="C4617" s="2" t="str">
        <f ca="1">IFERROR(__xludf.DUMMYFUNCTION("GOOGLETRANSLATE(A4617,""bn"",""en"")"),"It was also a type of entertainment that not everyone could afford")</f>
        <v>It was also a type of entertainment that not everyone could afford</v>
      </c>
      <c r="D4617" s="5"/>
      <c r="E4617" s="5"/>
      <c r="F4617" s="5"/>
      <c r="G4617" s="5"/>
      <c r="H4617" s="5"/>
      <c r="I4617" s="5"/>
      <c r="J4617" s="5"/>
      <c r="K4617" s="5"/>
      <c r="L4617" s="5"/>
      <c r="M4617" s="5"/>
      <c r="N4617" s="5"/>
      <c r="O4617" s="5"/>
      <c r="P4617" s="5"/>
      <c r="Q4617" s="5"/>
      <c r="R4617" s="5"/>
      <c r="S4617" s="5"/>
      <c r="T4617" s="5"/>
      <c r="U4617" s="5"/>
      <c r="V4617" s="5"/>
      <c r="W4617" s="5"/>
      <c r="X4617" s="5"/>
      <c r="Y4617" s="5"/>
      <c r="Z4617" s="5"/>
    </row>
    <row r="4618" spans="1:26" ht="15" x14ac:dyDescent="0.25">
      <c r="A4618" s="4" t="s">
        <v>4616</v>
      </c>
      <c r="B4618" s="4" t="s">
        <v>4550</v>
      </c>
      <c r="C4618" s="2" t="str">
        <f ca="1">IFERROR(__xludf.DUMMYFUNCTION("GOOGLETRANSLATE(A4618,""bn"",""en"")"),"They wanted to make a whole generation sick by watching these movies")</f>
        <v>They wanted to make a whole generation sick by watching these movies</v>
      </c>
      <c r="D4618" s="5"/>
      <c r="E4618" s="5"/>
      <c r="F4618" s="5"/>
      <c r="G4618" s="5"/>
      <c r="H4618" s="5"/>
      <c r="I4618" s="5"/>
      <c r="J4618" s="5"/>
      <c r="K4618" s="5"/>
      <c r="L4618" s="5"/>
      <c r="M4618" s="5"/>
      <c r="N4618" s="5"/>
      <c r="O4618" s="5"/>
      <c r="P4618" s="5"/>
      <c r="Q4618" s="5"/>
      <c r="R4618" s="5"/>
      <c r="S4618" s="5"/>
      <c r="T4618" s="5"/>
      <c r="U4618" s="5"/>
      <c r="V4618" s="5"/>
      <c r="W4618" s="5"/>
      <c r="X4618" s="5"/>
      <c r="Y4618" s="5"/>
      <c r="Z4618" s="5"/>
    </row>
    <row r="4619" spans="1:26" ht="15" x14ac:dyDescent="0.25">
      <c r="A4619" s="4" t="s">
        <v>4617</v>
      </c>
      <c r="B4619" s="4" t="s">
        <v>4550</v>
      </c>
      <c r="C4619" s="2" t="str">
        <f ca="1">IFERROR(__xludf.DUMMYFUNCTION("GOOGLETRANSLATE(A4619,""bn"",""en"")"),"It would have been better if Mita Chatterjee's voice wasn't double")</f>
        <v>It would have been better if Mita Chatterjee's voice wasn't double</v>
      </c>
      <c r="D4619" s="5"/>
      <c r="E4619" s="5"/>
      <c r="F4619" s="5"/>
      <c r="G4619" s="5"/>
      <c r="H4619" s="5"/>
      <c r="I4619" s="5"/>
      <c r="J4619" s="5"/>
      <c r="K4619" s="5"/>
      <c r="L4619" s="5"/>
      <c r="M4619" s="5"/>
      <c r="N4619" s="5"/>
      <c r="O4619" s="5"/>
      <c r="P4619" s="5"/>
      <c r="Q4619" s="5"/>
      <c r="R4619" s="5"/>
      <c r="S4619" s="5"/>
      <c r="T4619" s="5"/>
      <c r="U4619" s="5"/>
      <c r="V4619" s="5"/>
      <c r="W4619" s="5"/>
      <c r="X4619" s="5"/>
      <c r="Y4619" s="5"/>
      <c r="Z4619" s="5"/>
    </row>
    <row r="4620" spans="1:26" ht="15" x14ac:dyDescent="0.25">
      <c r="A4620" s="4" t="s">
        <v>4618</v>
      </c>
      <c r="B4620" s="4" t="s">
        <v>4550</v>
      </c>
      <c r="C4620" s="2" t="str">
        <f ca="1">IFERROR(__xludf.DUMMYFUNCTION("GOOGLETRANSLATE(A4620,""bn"",""en"")"),"The movie flopped because Abal Tabal made up the story and gave up")</f>
        <v>The movie flopped because Abal Tabal made up the story and gave up</v>
      </c>
      <c r="D4620" s="5"/>
      <c r="E4620" s="5"/>
      <c r="F4620" s="5"/>
      <c r="G4620" s="5"/>
      <c r="H4620" s="5"/>
      <c r="I4620" s="5"/>
      <c r="J4620" s="5"/>
      <c r="K4620" s="5"/>
      <c r="L4620" s="5"/>
      <c r="M4620" s="5"/>
      <c r="N4620" s="5"/>
      <c r="O4620" s="5"/>
      <c r="P4620" s="5"/>
      <c r="Q4620" s="5"/>
      <c r="R4620" s="5"/>
      <c r="S4620" s="5"/>
      <c r="T4620" s="5"/>
      <c r="U4620" s="5"/>
      <c r="V4620" s="5"/>
      <c r="W4620" s="5"/>
      <c r="X4620" s="5"/>
      <c r="Y4620" s="5"/>
      <c r="Z4620" s="5"/>
    </row>
    <row r="4621" spans="1:26" ht="15" x14ac:dyDescent="0.25">
      <c r="A4621" s="4" t="s">
        <v>4619</v>
      </c>
      <c r="B4621" s="4" t="s">
        <v>4550</v>
      </c>
      <c r="C4621" s="2" t="str">
        <f ca="1">IFERROR(__xludf.DUMMYFUNCTION("GOOGLETRANSLATE(A4621,""bn"",""en"")"),"The serial movies were full of plot twists")</f>
        <v>The serial movies were full of plot twists</v>
      </c>
      <c r="D4621" s="5"/>
      <c r="E4621" s="5"/>
      <c r="F4621" s="5"/>
      <c r="G4621" s="5"/>
      <c r="H4621" s="5"/>
      <c r="I4621" s="5"/>
      <c r="J4621" s="5"/>
      <c r="K4621" s="5"/>
      <c r="L4621" s="5"/>
      <c r="M4621" s="5"/>
      <c r="N4621" s="5"/>
      <c r="O4621" s="5"/>
      <c r="P4621" s="5"/>
      <c r="Q4621" s="5"/>
      <c r="R4621" s="5"/>
      <c r="S4621" s="5"/>
      <c r="T4621" s="5"/>
      <c r="U4621" s="5"/>
      <c r="V4621" s="5"/>
      <c r="W4621" s="5"/>
      <c r="X4621" s="5"/>
      <c r="Y4621" s="5"/>
      <c r="Z4621" s="5"/>
    </row>
    <row r="4622" spans="1:26" ht="15" x14ac:dyDescent="0.25">
      <c r="A4622" s="4" t="s">
        <v>4620</v>
      </c>
      <c r="B4622" s="4" t="s">
        <v>4550</v>
      </c>
      <c r="C4622" s="2" t="str">
        <f ca="1">IFERROR(__xludf.DUMMYFUNCTION("GOOGLETRANSLATE(A4622,""bn"",""en"")"),"Zayed Khan's acting was just jumpy in the entire movie")</f>
        <v>Zayed Khan's acting was just jumpy in the entire movie</v>
      </c>
      <c r="D4622" s="5"/>
      <c r="E4622" s="5"/>
      <c r="F4622" s="5"/>
      <c r="G4622" s="5"/>
      <c r="H4622" s="5"/>
      <c r="I4622" s="5"/>
      <c r="J4622" s="5"/>
      <c r="K4622" s="5"/>
      <c r="L4622" s="5"/>
      <c r="M4622" s="5"/>
      <c r="N4622" s="5"/>
      <c r="O4622" s="5"/>
      <c r="P4622" s="5"/>
      <c r="Q4622" s="5"/>
      <c r="R4622" s="5"/>
      <c r="S4622" s="5"/>
      <c r="T4622" s="5"/>
      <c r="U4622" s="5"/>
      <c r="V4622" s="5"/>
      <c r="W4622" s="5"/>
      <c r="X4622" s="5"/>
      <c r="Y4622" s="5"/>
      <c r="Z4622" s="5"/>
    </row>
    <row r="4623" spans="1:26" ht="15" x14ac:dyDescent="0.25">
      <c r="A4623" s="4" t="s">
        <v>4621</v>
      </c>
      <c r="B4623" s="4" t="s">
        <v>4550</v>
      </c>
      <c r="C4623" s="2" t="str">
        <f ca="1">IFERROR(__xludf.DUMMYFUNCTION("GOOGLETRANSLATE(A4623,""bn"",""en"")"),"A dialogue that I left to study")</f>
        <v>A dialogue that I left to study</v>
      </c>
      <c r="D4623" s="5"/>
      <c r="E4623" s="5"/>
      <c r="F4623" s="5"/>
      <c r="G4623" s="5"/>
      <c r="H4623" s="5"/>
      <c r="I4623" s="5"/>
      <c r="J4623" s="5"/>
      <c r="K4623" s="5"/>
      <c r="L4623" s="5"/>
      <c r="M4623" s="5"/>
      <c r="N4623" s="5"/>
      <c r="O4623" s="5"/>
      <c r="P4623" s="5"/>
      <c r="Q4623" s="5"/>
      <c r="R4623" s="5"/>
      <c r="S4623" s="5"/>
      <c r="T4623" s="5"/>
      <c r="U4623" s="5"/>
      <c r="V4623" s="5"/>
      <c r="W4623" s="5"/>
      <c r="X4623" s="5"/>
      <c r="Y4623" s="5"/>
      <c r="Z4623" s="5"/>
    </row>
    <row r="4624" spans="1:26" ht="15" x14ac:dyDescent="0.25">
      <c r="A4624" s="4" t="s">
        <v>4622</v>
      </c>
      <c r="B4624" s="4" t="s">
        <v>4550</v>
      </c>
      <c r="C4624" s="2" t="str">
        <f ca="1">IFERROR(__xludf.DUMMYFUNCTION("GOOGLETRANSLATE(A4624,""bn"",""en"")"),"I liked the movie very much")</f>
        <v>I liked the movie very much</v>
      </c>
      <c r="D4624" s="5"/>
      <c r="E4624" s="5"/>
      <c r="F4624" s="5"/>
      <c r="G4624" s="5"/>
      <c r="H4624" s="5"/>
      <c r="I4624" s="5"/>
      <c r="J4624" s="5"/>
      <c r="K4624" s="5"/>
      <c r="L4624" s="5"/>
      <c r="M4624" s="5"/>
      <c r="N4624" s="5"/>
      <c r="O4624" s="5"/>
      <c r="P4624" s="5"/>
      <c r="Q4624" s="5"/>
      <c r="R4624" s="5"/>
      <c r="S4624" s="5"/>
      <c r="T4624" s="5"/>
      <c r="U4624" s="5"/>
      <c r="V4624" s="5"/>
      <c r="W4624" s="5"/>
      <c r="X4624" s="5"/>
      <c r="Y4624" s="5"/>
      <c r="Z4624" s="5"/>
    </row>
    <row r="4625" spans="1:26" ht="15" x14ac:dyDescent="0.25">
      <c r="A4625" s="4" t="s">
        <v>4623</v>
      </c>
      <c r="B4625" s="4" t="s">
        <v>4550</v>
      </c>
      <c r="C4625" s="2" t="str">
        <f ca="1">IFERROR(__xludf.DUMMYFUNCTION("GOOGLETRANSLATE(A4625,""bn"",""en"")"),"What a waste of time the movie was wasted")</f>
        <v>What a waste of time the movie was wasted</v>
      </c>
      <c r="D4625" s="5"/>
      <c r="E4625" s="5"/>
      <c r="F4625" s="5"/>
      <c r="G4625" s="5"/>
      <c r="H4625" s="5"/>
      <c r="I4625" s="5"/>
      <c r="J4625" s="5"/>
      <c r="K4625" s="5"/>
      <c r="L4625" s="5"/>
      <c r="M4625" s="5"/>
      <c r="N4625" s="5"/>
      <c r="O4625" s="5"/>
      <c r="P4625" s="5"/>
      <c r="Q4625" s="5"/>
      <c r="R4625" s="5"/>
      <c r="S4625" s="5"/>
      <c r="T4625" s="5"/>
      <c r="U4625" s="5"/>
      <c r="V4625" s="5"/>
      <c r="W4625" s="5"/>
      <c r="X4625" s="5"/>
      <c r="Y4625" s="5"/>
      <c r="Z4625" s="5"/>
    </row>
    <row r="4626" spans="1:26" ht="15" x14ac:dyDescent="0.25">
      <c r="A4626" s="4" t="s">
        <v>4624</v>
      </c>
      <c r="B4626" s="4" t="s">
        <v>4550</v>
      </c>
      <c r="C4626" s="2" t="str">
        <f ca="1">IFERROR(__xludf.DUMMYFUNCTION("GOOGLETRANSLATE(A4626,""bn"",""en"")"),"I was speechless, I was watching a suspenseful thriller movie, but I couldn't imagine what was going to happen, I could understand that something bad happened in Neena's past")</f>
        <v>I was speechless, I was watching a suspenseful thriller movie, but I couldn't imagine what was going to happen, I could understand that something bad happened in Neena's past</v>
      </c>
      <c r="D4626" s="5"/>
      <c r="E4626" s="5"/>
      <c r="F4626" s="5"/>
      <c r="G4626" s="5"/>
      <c r="H4626" s="5"/>
      <c r="I4626" s="5"/>
      <c r="J4626" s="5"/>
      <c r="K4626" s="5"/>
      <c r="L4626" s="5"/>
      <c r="M4626" s="5"/>
      <c r="N4626" s="5"/>
      <c r="O4626" s="5"/>
      <c r="P4626" s="5"/>
      <c r="Q4626" s="5"/>
      <c r="R4626" s="5"/>
      <c r="S4626" s="5"/>
      <c r="T4626" s="5"/>
      <c r="U4626" s="5"/>
      <c r="V4626" s="5"/>
      <c r="W4626" s="5"/>
      <c r="X4626" s="5"/>
      <c r="Y4626" s="5"/>
      <c r="Z4626" s="5"/>
    </row>
    <row r="4627" spans="1:26" ht="15" x14ac:dyDescent="0.25">
      <c r="A4627" s="4" t="s">
        <v>4625</v>
      </c>
      <c r="B4627" s="4" t="s">
        <v>4550</v>
      </c>
      <c r="C4627" s="2" t="str">
        <f ca="1">IFERROR(__xludf.DUMMYFUNCTION("GOOGLETRANSLATE(A4627,""bn"",""en"")"),"One of my favorite movies was the first time in my life I got teary eyed watching this movie")</f>
        <v>One of my favorite movies was the first time in my life I got teary eyed watching this movie</v>
      </c>
      <c r="D4627" s="5"/>
      <c r="E4627" s="5"/>
      <c r="F4627" s="5"/>
      <c r="G4627" s="5"/>
      <c r="H4627" s="5"/>
      <c r="I4627" s="5"/>
      <c r="J4627" s="5"/>
      <c r="K4627" s="5"/>
      <c r="L4627" s="5"/>
      <c r="M4627" s="5"/>
      <c r="N4627" s="5"/>
      <c r="O4627" s="5"/>
      <c r="P4627" s="5"/>
      <c r="Q4627" s="5"/>
      <c r="R4627" s="5"/>
      <c r="S4627" s="5"/>
      <c r="T4627" s="5"/>
      <c r="U4627" s="5"/>
      <c r="V4627" s="5"/>
      <c r="W4627" s="5"/>
      <c r="X4627" s="5"/>
      <c r="Y4627" s="5"/>
      <c r="Z4627" s="5"/>
    </row>
    <row r="4628" spans="1:26" ht="15" x14ac:dyDescent="0.25">
      <c r="A4628" s="4" t="s">
        <v>4626</v>
      </c>
      <c r="B4628" s="4" t="s">
        <v>4550</v>
      </c>
      <c r="C4628" s="2" t="str">
        <f ca="1">IFERROR(__xludf.DUMMYFUNCTION("GOOGLETRANSLATE(A4628,""bn"",""en"")"),"I didn't like it much")</f>
        <v>I didn't like it much</v>
      </c>
      <c r="D4628" s="5"/>
      <c r="E4628" s="5"/>
      <c r="F4628" s="5"/>
      <c r="G4628" s="5"/>
      <c r="H4628" s="5"/>
      <c r="I4628" s="5"/>
      <c r="J4628" s="5"/>
      <c r="K4628" s="5"/>
      <c r="L4628" s="5"/>
      <c r="M4628" s="5"/>
      <c r="N4628" s="5"/>
      <c r="O4628" s="5"/>
      <c r="P4628" s="5"/>
      <c r="Q4628" s="5"/>
      <c r="R4628" s="5"/>
      <c r="S4628" s="5"/>
      <c r="T4628" s="5"/>
      <c r="U4628" s="5"/>
      <c r="V4628" s="5"/>
      <c r="W4628" s="5"/>
      <c r="X4628" s="5"/>
      <c r="Y4628" s="5"/>
      <c r="Z4628" s="5"/>
    </row>
    <row r="4629" spans="1:26" ht="15" x14ac:dyDescent="0.25">
      <c r="A4629" s="4" t="s">
        <v>4627</v>
      </c>
      <c r="B4629" s="4" t="s">
        <v>4550</v>
      </c>
      <c r="C4629" s="2" t="str">
        <f ca="1">IFERROR(__xludf.DUMMYFUNCTION("GOOGLETRANSLATE(A4629,""bn"",""en"")"),"Faria was ruining the culture of the country")</f>
        <v>Faria was ruining the culture of the country</v>
      </c>
      <c r="D4629" s="5"/>
      <c r="E4629" s="5"/>
      <c r="F4629" s="5"/>
      <c r="G4629" s="5"/>
      <c r="H4629" s="5"/>
      <c r="I4629" s="5"/>
      <c r="J4629" s="5"/>
      <c r="K4629" s="5"/>
      <c r="L4629" s="5"/>
      <c r="M4629" s="5"/>
      <c r="N4629" s="5"/>
      <c r="O4629" s="5"/>
      <c r="P4629" s="5"/>
      <c r="Q4629" s="5"/>
      <c r="R4629" s="5"/>
      <c r="S4629" s="5"/>
      <c r="T4629" s="5"/>
      <c r="U4629" s="5"/>
      <c r="V4629" s="5"/>
      <c r="W4629" s="5"/>
      <c r="X4629" s="5"/>
      <c r="Y4629" s="5"/>
      <c r="Z4629" s="5"/>
    </row>
    <row r="4630" spans="1:26" ht="15" x14ac:dyDescent="0.25">
      <c r="A4630" s="4" t="s">
        <v>4628</v>
      </c>
      <c r="B4630" s="4" t="s">
        <v>4550</v>
      </c>
      <c r="C4630" s="2" t="str">
        <f ca="1">IFERROR(__xludf.DUMMYFUNCTION("GOOGLETRANSLATE(A4630,""bn"",""en"")"),"Touched by other feelings, no action was being taken before the eyes.")</f>
        <v>Touched by other feelings, no action was being taken before the eyes.</v>
      </c>
      <c r="D4630" s="5"/>
      <c r="E4630" s="5"/>
      <c r="F4630" s="5"/>
      <c r="G4630" s="5"/>
      <c r="H4630" s="5"/>
      <c r="I4630" s="5"/>
      <c r="J4630" s="5"/>
      <c r="K4630" s="5"/>
      <c r="L4630" s="5"/>
      <c r="M4630" s="5"/>
      <c r="N4630" s="5"/>
      <c r="O4630" s="5"/>
      <c r="P4630" s="5"/>
      <c r="Q4630" s="5"/>
      <c r="R4630" s="5"/>
      <c r="S4630" s="5"/>
      <c r="T4630" s="5"/>
      <c r="U4630" s="5"/>
      <c r="V4630" s="5"/>
      <c r="W4630" s="5"/>
      <c r="X4630" s="5"/>
      <c r="Y4630" s="5"/>
      <c r="Z4630" s="5"/>
    </row>
    <row r="4631" spans="1:26" ht="15" x14ac:dyDescent="0.25">
      <c r="A4631" s="4" t="s">
        <v>4629</v>
      </c>
      <c r="B4631" s="4" t="s">
        <v>4550</v>
      </c>
      <c r="C4631" s="2" t="str">
        <f ca="1">IFERROR(__xludf.DUMMYFUNCTION("GOOGLETRANSLATE(A4631,""bn"",""en"")"),"The movie was boring")</f>
        <v>The movie was boring</v>
      </c>
      <c r="D4631" s="5"/>
      <c r="E4631" s="5"/>
      <c r="F4631" s="5"/>
      <c r="G4631" s="5"/>
      <c r="H4631" s="5"/>
      <c r="I4631" s="5"/>
      <c r="J4631" s="5"/>
      <c r="K4631" s="5"/>
      <c r="L4631" s="5"/>
      <c r="M4631" s="5"/>
      <c r="N4631" s="5"/>
      <c r="O4631" s="5"/>
      <c r="P4631" s="5"/>
      <c r="Q4631" s="5"/>
      <c r="R4631" s="5"/>
      <c r="S4631" s="5"/>
      <c r="T4631" s="5"/>
      <c r="U4631" s="5"/>
      <c r="V4631" s="5"/>
      <c r="W4631" s="5"/>
      <c r="X4631" s="5"/>
      <c r="Y4631" s="5"/>
      <c r="Z4631" s="5"/>
    </row>
    <row r="4632" spans="1:26" ht="15" x14ac:dyDescent="0.25">
      <c r="A4632" s="4" t="s">
        <v>4630</v>
      </c>
      <c r="B4632" s="4" t="s">
        <v>4550</v>
      </c>
      <c r="C4632" s="2" t="str">
        <f ca="1">IFERROR(__xludf.DUMMYFUNCTION("GOOGLETRANSLATE(A4632,""bn"",""en"")"),"Funny movies were made and there was no work")</f>
        <v>Funny movies were made and there was no work</v>
      </c>
      <c r="D4632" s="5"/>
      <c r="E4632" s="5"/>
      <c r="F4632" s="5"/>
      <c r="G4632" s="5"/>
      <c r="H4632" s="5"/>
      <c r="I4632" s="5"/>
      <c r="J4632" s="5"/>
      <c r="K4632" s="5"/>
      <c r="L4632" s="5"/>
      <c r="M4632" s="5"/>
      <c r="N4632" s="5"/>
      <c r="O4632" s="5"/>
      <c r="P4632" s="5"/>
      <c r="Q4632" s="5"/>
      <c r="R4632" s="5"/>
      <c r="S4632" s="5"/>
      <c r="T4632" s="5"/>
      <c r="U4632" s="5"/>
      <c r="V4632" s="5"/>
      <c r="W4632" s="5"/>
      <c r="X4632" s="5"/>
      <c r="Y4632" s="5"/>
      <c r="Z4632" s="5"/>
    </row>
    <row r="4633" spans="1:26" ht="15" x14ac:dyDescent="0.25">
      <c r="A4633" s="4" t="s">
        <v>4631</v>
      </c>
      <c r="B4633" s="4" t="s">
        <v>4550</v>
      </c>
      <c r="C4633" s="2" t="str">
        <f ca="1">IFERROR(__xludf.DUMMYFUNCTION("GOOGLETRANSLATE(A4633,""bn"",""en"")"),"Despite being such a big fan of Shah Rukh Khan, I couldn't watch more than thirty minutes")</f>
        <v>Despite being such a big fan of Shah Rukh Khan, I couldn't watch more than thirty minutes</v>
      </c>
      <c r="D4633" s="5"/>
      <c r="E4633" s="5"/>
      <c r="F4633" s="5"/>
      <c r="G4633" s="5"/>
      <c r="H4633" s="5"/>
      <c r="I4633" s="5"/>
      <c r="J4633" s="5"/>
      <c r="K4633" s="5"/>
      <c r="L4633" s="5"/>
      <c r="M4633" s="5"/>
      <c r="N4633" s="5"/>
      <c r="O4633" s="5"/>
      <c r="P4633" s="5"/>
      <c r="Q4633" s="5"/>
      <c r="R4633" s="5"/>
      <c r="S4633" s="5"/>
      <c r="T4633" s="5"/>
      <c r="U4633" s="5"/>
      <c r="V4633" s="5"/>
      <c r="W4633" s="5"/>
      <c r="X4633" s="5"/>
      <c r="Y4633" s="5"/>
      <c r="Z4633" s="5"/>
    </row>
    <row r="4634" spans="1:26" ht="15" x14ac:dyDescent="0.25">
      <c r="A4634" s="4" t="s">
        <v>4632</v>
      </c>
      <c r="B4634" s="4" t="s">
        <v>4550</v>
      </c>
      <c r="C4634" s="2" t="str">
        <f ca="1">IFERROR(__xludf.DUMMYFUNCTION("GOOGLETRANSLATE(A4634,""bn"",""en"")"),"I learned a lot from this film, it was an amazing real story")</f>
        <v>I learned a lot from this film, it was an amazing real story</v>
      </c>
      <c r="D4634" s="5"/>
      <c r="E4634" s="5"/>
      <c r="F4634" s="5"/>
      <c r="G4634" s="5"/>
      <c r="H4634" s="5"/>
      <c r="I4634" s="5"/>
      <c r="J4634" s="5"/>
      <c r="K4634" s="5"/>
      <c r="L4634" s="5"/>
      <c r="M4634" s="5"/>
      <c r="N4634" s="5"/>
      <c r="O4634" s="5"/>
      <c r="P4634" s="5"/>
      <c r="Q4634" s="5"/>
      <c r="R4634" s="5"/>
      <c r="S4634" s="5"/>
      <c r="T4634" s="5"/>
      <c r="U4634" s="5"/>
      <c r="V4634" s="5"/>
      <c r="W4634" s="5"/>
      <c r="X4634" s="5"/>
      <c r="Y4634" s="5"/>
      <c r="Z4634" s="5"/>
    </row>
    <row r="4635" spans="1:26" ht="15" x14ac:dyDescent="0.25">
      <c r="A4635" s="4" t="s">
        <v>4633</v>
      </c>
      <c r="B4635" s="4" t="s">
        <v>4550</v>
      </c>
      <c r="C4635" s="2" t="str">
        <f ca="1">IFERROR(__xludf.DUMMYFUNCTION("GOOGLETRANSLATE(A4635,""bn"",""en"")"),"Every time I saw it, I used to cry so much that the previous pictures were so good")</f>
        <v>Every time I saw it, I used to cry so much that the previous pictures were so good</v>
      </c>
      <c r="D4635" s="5"/>
      <c r="E4635" s="5"/>
      <c r="F4635" s="5"/>
      <c r="G4635" s="5"/>
      <c r="H4635" s="5"/>
      <c r="I4635" s="5"/>
      <c r="J4635" s="5"/>
      <c r="K4635" s="5"/>
      <c r="L4635" s="5"/>
      <c r="M4635" s="5"/>
      <c r="N4635" s="5"/>
      <c r="O4635" s="5"/>
      <c r="P4635" s="5"/>
      <c r="Q4635" s="5"/>
      <c r="R4635" s="5"/>
      <c r="S4635" s="5"/>
      <c r="T4635" s="5"/>
      <c r="U4635" s="5"/>
      <c r="V4635" s="5"/>
      <c r="W4635" s="5"/>
      <c r="X4635" s="5"/>
      <c r="Y4635" s="5"/>
      <c r="Z4635" s="5"/>
    </row>
    <row r="4636" spans="1:26" ht="15" x14ac:dyDescent="0.25">
      <c r="A4636" s="4" t="s">
        <v>4634</v>
      </c>
      <c r="B4636" s="4" t="s">
        <v>4550</v>
      </c>
      <c r="C4636" s="2" t="str">
        <f ca="1">IFERROR(__xludf.DUMMYFUNCTION("GOOGLETRANSLATE(A4636,""bn"",""en"")"),"Very beautiful neat story perfect acting direction impeccable atmosphere music touches the heart")</f>
        <v>Very beautiful neat story perfect acting direction impeccable atmosphere music touches the heart</v>
      </c>
      <c r="D4636" s="5"/>
      <c r="E4636" s="5"/>
      <c r="F4636" s="5"/>
      <c r="G4636" s="5"/>
      <c r="H4636" s="5"/>
      <c r="I4636" s="5"/>
      <c r="J4636" s="5"/>
      <c r="K4636" s="5"/>
      <c r="L4636" s="5"/>
      <c r="M4636" s="5"/>
      <c r="N4636" s="5"/>
      <c r="O4636" s="5"/>
      <c r="P4636" s="5"/>
      <c r="Q4636" s="5"/>
      <c r="R4636" s="5"/>
      <c r="S4636" s="5"/>
      <c r="T4636" s="5"/>
      <c r="U4636" s="5"/>
      <c r="V4636" s="5"/>
      <c r="W4636" s="5"/>
      <c r="X4636" s="5"/>
      <c r="Y4636" s="5"/>
      <c r="Z4636" s="5"/>
    </row>
    <row r="4637" spans="1:26" ht="15" x14ac:dyDescent="0.25">
      <c r="A4637" s="4" t="s">
        <v>4635</v>
      </c>
      <c r="B4637" s="4" t="s">
        <v>4550</v>
      </c>
      <c r="C4637" s="2" t="str">
        <f ca="1">IFERROR(__xludf.DUMMYFUNCTION("GOOGLETRANSLATE(A4637,""bn"",""en"")"),"In one word, it was extremely touching")</f>
        <v>In one word, it was extremely touching</v>
      </c>
      <c r="D4637" s="5"/>
      <c r="E4637" s="5"/>
      <c r="F4637" s="5"/>
      <c r="G4637" s="5"/>
      <c r="H4637" s="5"/>
      <c r="I4637" s="5"/>
      <c r="J4637" s="5"/>
      <c r="K4637" s="5"/>
      <c r="L4637" s="5"/>
      <c r="M4637" s="5"/>
      <c r="N4637" s="5"/>
      <c r="O4637" s="5"/>
      <c r="P4637" s="5"/>
      <c r="Q4637" s="5"/>
      <c r="R4637" s="5"/>
      <c r="S4637" s="5"/>
      <c r="T4637" s="5"/>
      <c r="U4637" s="5"/>
      <c r="V4637" s="5"/>
      <c r="W4637" s="5"/>
      <c r="X4637" s="5"/>
      <c r="Y4637" s="5"/>
      <c r="Z4637" s="5"/>
    </row>
    <row r="4638" spans="1:26" ht="15" x14ac:dyDescent="0.25">
      <c r="A4638" s="4" t="s">
        <v>4636</v>
      </c>
      <c r="B4638" s="4" t="s">
        <v>4550</v>
      </c>
      <c r="C4638" s="2" t="str">
        <f ca="1">IFERROR(__xludf.DUMMYFUNCTION("GOOGLETRANSLATE(A4638,""bn"",""en"")"),"They should have stayed at home now rather than acting like this")</f>
        <v>They should have stayed at home now rather than acting like this</v>
      </c>
      <c r="D4638" s="5"/>
      <c r="E4638" s="5"/>
      <c r="F4638" s="5"/>
      <c r="G4638" s="5"/>
      <c r="H4638" s="5"/>
      <c r="I4638" s="5"/>
      <c r="J4638" s="5"/>
      <c r="K4638" s="5"/>
      <c r="L4638" s="5"/>
      <c r="M4638" s="5"/>
      <c r="N4638" s="5"/>
      <c r="O4638" s="5"/>
      <c r="P4638" s="5"/>
      <c r="Q4638" s="5"/>
      <c r="R4638" s="5"/>
      <c r="S4638" s="5"/>
      <c r="T4638" s="5"/>
      <c r="U4638" s="5"/>
      <c r="V4638" s="5"/>
      <c r="W4638" s="5"/>
      <c r="X4638" s="5"/>
      <c r="Y4638" s="5"/>
      <c r="Z4638" s="5"/>
    </row>
    <row r="4639" spans="1:26" ht="15" x14ac:dyDescent="0.25">
      <c r="A4639" s="4" t="s">
        <v>4637</v>
      </c>
      <c r="B4639" s="4" t="s">
        <v>4550</v>
      </c>
      <c r="C4639" s="2" t="str">
        <f ca="1">IFERROR(__xludf.DUMMYFUNCTION("GOOGLETRANSLATE(A4639,""bn"",""en"")"),"There was a lot of difference between the previous movie and the movie now")</f>
        <v>There was a lot of difference between the previous movie and the movie now</v>
      </c>
      <c r="D4639" s="5"/>
      <c r="E4639" s="5"/>
      <c r="F4639" s="5"/>
      <c r="G4639" s="5"/>
      <c r="H4639" s="5"/>
      <c r="I4639" s="5"/>
      <c r="J4639" s="5"/>
      <c r="K4639" s="5"/>
      <c r="L4639" s="5"/>
      <c r="M4639" s="5"/>
      <c r="N4639" s="5"/>
      <c r="O4639" s="5"/>
      <c r="P4639" s="5"/>
      <c r="Q4639" s="5"/>
      <c r="R4639" s="5"/>
      <c r="S4639" s="5"/>
      <c r="T4639" s="5"/>
      <c r="U4639" s="5"/>
      <c r="V4639" s="5"/>
      <c r="W4639" s="5"/>
      <c r="X4639" s="5"/>
      <c r="Y4639" s="5"/>
      <c r="Z4639" s="5"/>
    </row>
    <row r="4640" spans="1:26" ht="15" x14ac:dyDescent="0.25">
      <c r="A4640" s="4" t="s">
        <v>4638</v>
      </c>
      <c r="B4640" s="4" t="s">
        <v>4550</v>
      </c>
      <c r="C4640" s="2" t="str">
        <f ca="1">IFERROR(__xludf.DUMMYFUNCTION("GOOGLETRANSLATE(A4640,""bn"",""en"")"),"Sylheti language made the movie very beautiful")</f>
        <v>Sylheti language made the movie very beautiful</v>
      </c>
      <c r="D4640" s="5"/>
      <c r="E4640" s="5"/>
      <c r="F4640" s="5"/>
      <c r="G4640" s="5"/>
      <c r="H4640" s="5"/>
      <c r="I4640" s="5"/>
      <c r="J4640" s="5"/>
      <c r="K4640" s="5"/>
      <c r="L4640" s="5"/>
      <c r="M4640" s="5"/>
      <c r="N4640" s="5"/>
      <c r="O4640" s="5"/>
      <c r="P4640" s="5"/>
      <c r="Q4640" s="5"/>
      <c r="R4640" s="5"/>
      <c r="S4640" s="5"/>
      <c r="T4640" s="5"/>
      <c r="U4640" s="5"/>
      <c r="V4640" s="5"/>
      <c r="W4640" s="5"/>
      <c r="X4640" s="5"/>
      <c r="Y4640" s="5"/>
      <c r="Z4640" s="5"/>
    </row>
    <row r="4641" spans="1:26" ht="15" x14ac:dyDescent="0.25">
      <c r="A4641" s="4" t="s">
        <v>4639</v>
      </c>
      <c r="B4641" s="4" t="s">
        <v>4550</v>
      </c>
      <c r="C4641" s="2" t="str">
        <f ca="1">IFERROR(__xludf.DUMMYFUNCTION("GOOGLETRANSLATE(A4641,""bn"",""en"")"),"This is the first time I saw a best movie with Shakib Khan's Bubli")</f>
        <v>This is the first time I saw a best movie with Shakib Khan's Bubli</v>
      </c>
      <c r="D4641" s="5"/>
      <c r="E4641" s="5"/>
      <c r="F4641" s="5"/>
      <c r="G4641" s="5"/>
      <c r="H4641" s="5"/>
      <c r="I4641" s="5"/>
      <c r="J4641" s="5"/>
      <c r="K4641" s="5"/>
      <c r="L4641" s="5"/>
      <c r="M4641" s="5"/>
      <c r="N4641" s="5"/>
      <c r="O4641" s="5"/>
      <c r="P4641" s="5"/>
      <c r="Q4641" s="5"/>
      <c r="R4641" s="5"/>
      <c r="S4641" s="5"/>
      <c r="T4641" s="5"/>
      <c r="U4641" s="5"/>
      <c r="V4641" s="5"/>
      <c r="W4641" s="5"/>
      <c r="X4641" s="5"/>
      <c r="Y4641" s="5"/>
      <c r="Z4641" s="5"/>
    </row>
    <row r="4642" spans="1:26" ht="15" x14ac:dyDescent="0.25">
      <c r="A4642" s="4" t="s">
        <v>4640</v>
      </c>
      <c r="B4642" s="4" t="s">
        <v>4550</v>
      </c>
      <c r="C4642" s="2" t="str">
        <f ca="1">IFERROR(__xludf.DUMMYFUNCTION("GOOGLETRANSLATE(A4642,""bn"",""en"")"),"This also meant that cinema was made possible by the people of India")</f>
        <v>This also meant that cinema was made possible by the people of India</v>
      </c>
      <c r="D4642" s="5"/>
      <c r="E4642" s="5"/>
      <c r="F4642" s="5"/>
      <c r="G4642" s="5"/>
      <c r="H4642" s="5"/>
      <c r="I4642" s="5"/>
      <c r="J4642" s="5"/>
      <c r="K4642" s="5"/>
      <c r="L4642" s="5"/>
      <c r="M4642" s="5"/>
      <c r="N4642" s="5"/>
      <c r="O4642" s="5"/>
      <c r="P4642" s="5"/>
      <c r="Q4642" s="5"/>
      <c r="R4642" s="5"/>
      <c r="S4642" s="5"/>
      <c r="T4642" s="5"/>
      <c r="U4642" s="5"/>
      <c r="V4642" s="5"/>
      <c r="W4642" s="5"/>
      <c r="X4642" s="5"/>
      <c r="Y4642" s="5"/>
      <c r="Z4642" s="5"/>
    </row>
    <row r="4643" spans="1:26" ht="15" x14ac:dyDescent="0.25">
      <c r="A4643" s="4" t="s">
        <v>4641</v>
      </c>
      <c r="B4643" s="4" t="s">
        <v>4550</v>
      </c>
      <c r="C4643" s="2" t="str">
        <f ca="1">IFERROR(__xludf.DUMMYFUNCTION("GOOGLETRANSLATE(A4643,""bn"",""en"")"),"Dev Shubshri pair was better and more suitable than Dev Rukmini pair")</f>
        <v>Dev Shubshri pair was better and more suitable than Dev Rukmini pair</v>
      </c>
      <c r="D4643" s="5"/>
      <c r="E4643" s="5"/>
      <c r="F4643" s="5"/>
      <c r="G4643" s="5"/>
      <c r="H4643" s="5"/>
      <c r="I4643" s="5"/>
      <c r="J4643" s="5"/>
      <c r="K4643" s="5"/>
      <c r="L4643" s="5"/>
      <c r="M4643" s="5"/>
      <c r="N4643" s="5"/>
      <c r="O4643" s="5"/>
      <c r="P4643" s="5"/>
      <c r="Q4643" s="5"/>
      <c r="R4643" s="5"/>
      <c r="S4643" s="5"/>
      <c r="T4643" s="5"/>
      <c r="U4643" s="5"/>
      <c r="V4643" s="5"/>
      <c r="W4643" s="5"/>
      <c r="X4643" s="5"/>
      <c r="Y4643" s="5"/>
      <c r="Z4643" s="5"/>
    </row>
    <row r="4644" spans="1:26" ht="15" x14ac:dyDescent="0.25">
      <c r="A4644" s="4" t="s">
        <v>4642</v>
      </c>
      <c r="B4644" s="4" t="s">
        <v>4550</v>
      </c>
      <c r="C4644" s="2" t="str">
        <f ca="1">IFERROR(__xludf.DUMMYFUNCTION("GOOGLETRANSLATE(A4644,""bn"",""en"")"),"I used to feel ashamed watching movies of my own country")</f>
        <v>I used to feel ashamed watching movies of my own country</v>
      </c>
      <c r="D4644" s="5"/>
      <c r="E4644" s="5"/>
      <c r="F4644" s="5"/>
      <c r="G4644" s="5"/>
      <c r="H4644" s="5"/>
      <c r="I4644" s="5"/>
      <c r="J4644" s="5"/>
      <c r="K4644" s="5"/>
      <c r="L4644" s="5"/>
      <c r="M4644" s="5"/>
      <c r="N4644" s="5"/>
      <c r="O4644" s="5"/>
      <c r="P4644" s="5"/>
      <c r="Q4644" s="5"/>
      <c r="R4644" s="5"/>
      <c r="S4644" s="5"/>
      <c r="T4644" s="5"/>
      <c r="U4644" s="5"/>
      <c r="V4644" s="5"/>
      <c r="W4644" s="5"/>
      <c r="X4644" s="5"/>
      <c r="Y4644" s="5"/>
      <c r="Z4644" s="5"/>
    </row>
    <row r="4645" spans="1:26" ht="15" x14ac:dyDescent="0.25">
      <c r="A4645" s="4" t="s">
        <v>4643</v>
      </c>
      <c r="B4645" s="4" t="s">
        <v>4550</v>
      </c>
      <c r="C4645" s="2" t="str">
        <f ca="1">IFERROR(__xludf.DUMMYFUNCTION("GOOGLETRANSLATE(A4645,""bn"",""en"")"),"The film of such a story was really well acted by everyone")</f>
        <v>The film of such a story was really well acted by everyone</v>
      </c>
      <c r="D4645" s="5"/>
      <c r="E4645" s="5"/>
      <c r="F4645" s="5"/>
      <c r="G4645" s="5"/>
      <c r="H4645" s="5"/>
      <c r="I4645" s="5"/>
      <c r="J4645" s="5"/>
      <c r="K4645" s="5"/>
      <c r="L4645" s="5"/>
      <c r="M4645" s="5"/>
      <c r="N4645" s="5"/>
      <c r="O4645" s="5"/>
      <c r="P4645" s="5"/>
      <c r="Q4645" s="5"/>
      <c r="R4645" s="5"/>
      <c r="S4645" s="5"/>
      <c r="T4645" s="5"/>
      <c r="U4645" s="5"/>
      <c r="V4645" s="5"/>
      <c r="W4645" s="5"/>
      <c r="X4645" s="5"/>
      <c r="Y4645" s="5"/>
      <c r="Z4645" s="5"/>
    </row>
    <row r="4646" spans="1:26" ht="15" x14ac:dyDescent="0.25">
      <c r="A4646" s="4" t="s">
        <v>4644</v>
      </c>
      <c r="B4646" s="4" t="s">
        <v>4550</v>
      </c>
      <c r="C4646" s="2" t="str">
        <f ca="1">IFERROR(__xludf.DUMMYFUNCTION("GOOGLETRANSLATE(A4646,""bn"",""en"")"),"Favorite picture Srabanti was very cute")</f>
        <v>Favorite picture Srabanti was very cute</v>
      </c>
      <c r="D4646" s="5"/>
      <c r="E4646" s="5"/>
      <c r="F4646" s="5"/>
      <c r="G4646" s="5"/>
      <c r="H4646" s="5"/>
      <c r="I4646" s="5"/>
      <c r="J4646" s="5"/>
      <c r="K4646" s="5"/>
      <c r="L4646" s="5"/>
      <c r="M4646" s="5"/>
      <c r="N4646" s="5"/>
      <c r="O4646" s="5"/>
      <c r="P4646" s="5"/>
      <c r="Q4646" s="5"/>
      <c r="R4646" s="5"/>
      <c r="S4646" s="5"/>
      <c r="T4646" s="5"/>
      <c r="U4646" s="5"/>
      <c r="V4646" s="5"/>
      <c r="W4646" s="5"/>
      <c r="X4646" s="5"/>
      <c r="Y4646" s="5"/>
      <c r="Z4646" s="5"/>
    </row>
    <row r="4647" spans="1:26" ht="15" x14ac:dyDescent="0.25">
      <c r="A4647" s="4" t="s">
        <v>4645</v>
      </c>
      <c r="B4647" s="4" t="s">
        <v>4550</v>
      </c>
      <c r="C4647" s="2" t="str">
        <f ca="1">IFERROR(__xludf.DUMMYFUNCTION("GOOGLETRANSLATE(A4647,""bn"",""en"")"),"Wasn't there some acting?")</f>
        <v>Wasn't there some acting?</v>
      </c>
      <c r="D4647" s="5"/>
      <c r="E4647" s="5"/>
      <c r="F4647" s="5"/>
      <c r="G4647" s="5"/>
      <c r="H4647" s="5"/>
      <c r="I4647" s="5"/>
      <c r="J4647" s="5"/>
      <c r="K4647" s="5"/>
      <c r="L4647" s="5"/>
      <c r="M4647" s="5"/>
      <c r="N4647" s="5"/>
      <c r="O4647" s="5"/>
      <c r="P4647" s="5"/>
      <c r="Q4647" s="5"/>
      <c r="R4647" s="5"/>
      <c r="S4647" s="5"/>
      <c r="T4647" s="5"/>
      <c r="U4647" s="5"/>
      <c r="V4647" s="5"/>
      <c r="W4647" s="5"/>
      <c r="X4647" s="5"/>
      <c r="Y4647" s="5"/>
      <c r="Z4647" s="5"/>
    </row>
    <row r="4648" spans="1:26" ht="15" x14ac:dyDescent="0.25">
      <c r="A4648" s="4" t="s">
        <v>4646</v>
      </c>
      <c r="B4648" s="4" t="s">
        <v>4550</v>
      </c>
      <c r="C4648" s="2" t="str">
        <f ca="1">IFERROR(__xludf.DUMMYFUNCTION("GOOGLETRANSLATE(A4648,""bn"",""en"")"),"After a long time, I saw a good Bengali movie. Really a wonderful movie. The last part made the whole emotional")</f>
        <v>After a long time, I saw a good Bengali movie. Really a wonderful movie. The last part made the whole emotional</v>
      </c>
      <c r="D4648" s="5"/>
      <c r="E4648" s="5"/>
      <c r="F4648" s="5"/>
      <c r="G4648" s="5"/>
      <c r="H4648" s="5"/>
      <c r="I4648" s="5"/>
      <c r="J4648" s="5"/>
      <c r="K4648" s="5"/>
      <c r="L4648" s="5"/>
      <c r="M4648" s="5"/>
      <c r="N4648" s="5"/>
      <c r="O4648" s="5"/>
      <c r="P4648" s="5"/>
      <c r="Q4648" s="5"/>
      <c r="R4648" s="5"/>
      <c r="S4648" s="5"/>
      <c r="T4648" s="5"/>
      <c r="U4648" s="5"/>
      <c r="V4648" s="5"/>
      <c r="W4648" s="5"/>
      <c r="X4648" s="5"/>
      <c r="Y4648" s="5"/>
      <c r="Z4648" s="5"/>
    </row>
    <row r="4649" spans="1:26" ht="15" x14ac:dyDescent="0.25">
      <c r="A4649" s="4" t="s">
        <v>4647</v>
      </c>
      <c r="B4649" s="4" t="s">
        <v>4550</v>
      </c>
      <c r="C4649" s="2" t="str">
        <f ca="1">IFERROR(__xludf.DUMMYFUNCTION("GOOGLETRANSLATE(A4649,""bn"",""en"")"),"One of the best liberation war films I have ever seen, each person's performance in the film created a different impression")</f>
        <v>One of the best liberation war films I have ever seen, each person's performance in the film created a different impression</v>
      </c>
      <c r="D4649" s="5"/>
      <c r="E4649" s="5"/>
      <c r="F4649" s="5"/>
      <c r="G4649" s="5"/>
      <c r="H4649" s="5"/>
      <c r="I4649" s="5"/>
      <c r="J4649" s="5"/>
      <c r="K4649" s="5"/>
      <c r="L4649" s="5"/>
      <c r="M4649" s="5"/>
      <c r="N4649" s="5"/>
      <c r="O4649" s="5"/>
      <c r="P4649" s="5"/>
      <c r="Q4649" s="5"/>
      <c r="R4649" s="5"/>
      <c r="S4649" s="5"/>
      <c r="T4649" s="5"/>
      <c r="U4649" s="5"/>
      <c r="V4649" s="5"/>
      <c r="W4649" s="5"/>
      <c r="X4649" s="5"/>
      <c r="Y4649" s="5"/>
      <c r="Z4649" s="5"/>
    </row>
    <row r="4650" spans="1:26" ht="15" x14ac:dyDescent="0.25">
      <c r="A4650" s="4" t="s">
        <v>4648</v>
      </c>
      <c r="B4650" s="4" t="s">
        <v>4550</v>
      </c>
      <c r="C4650" s="2" t="str">
        <f ca="1">IFERROR(__xludf.DUMMYFUNCTION("GOOGLETRANSLATE(A4650,""bn"",""en"")"),"One of my favorite movies was seen that day")</f>
        <v>One of my favorite movies was seen that day</v>
      </c>
      <c r="D4650" s="5"/>
      <c r="E4650" s="5"/>
      <c r="F4650" s="5"/>
      <c r="G4650" s="5"/>
      <c r="H4650" s="5"/>
      <c r="I4650" s="5"/>
      <c r="J4650" s="5"/>
      <c r="K4650" s="5"/>
      <c r="L4650" s="5"/>
      <c r="M4650" s="5"/>
      <c r="N4650" s="5"/>
      <c r="O4650" s="5"/>
      <c r="P4650" s="5"/>
      <c r="Q4650" s="5"/>
      <c r="R4650" s="5"/>
      <c r="S4650" s="5"/>
      <c r="T4650" s="5"/>
      <c r="U4650" s="5"/>
      <c r="V4650" s="5"/>
      <c r="W4650" s="5"/>
      <c r="X4650" s="5"/>
      <c r="Y4650" s="5"/>
      <c r="Z4650" s="5"/>
    </row>
    <row r="4651" spans="1:26" ht="15" x14ac:dyDescent="0.25">
      <c r="A4651" s="4" t="s">
        <v>4649</v>
      </c>
      <c r="B4651" s="4" t="s">
        <v>4550</v>
      </c>
      <c r="C4651" s="2" t="str">
        <f ca="1">IFERROR(__xludf.DUMMYFUNCTION("GOOGLETRANSLATE(A4651,""bn"",""en"")"),"Anyway, I liked the movie, thanks to the director")</f>
        <v>Anyway, I liked the movie, thanks to the director</v>
      </c>
      <c r="D4651" s="5"/>
      <c r="E4651" s="5"/>
      <c r="F4651" s="5"/>
      <c r="G4651" s="5"/>
      <c r="H4651" s="5"/>
      <c r="I4651" s="5"/>
      <c r="J4651" s="5"/>
      <c r="K4651" s="5"/>
      <c r="L4651" s="5"/>
      <c r="M4651" s="5"/>
      <c r="N4651" s="5"/>
      <c r="O4651" s="5"/>
      <c r="P4651" s="5"/>
      <c r="Q4651" s="5"/>
      <c r="R4651" s="5"/>
      <c r="S4651" s="5"/>
      <c r="T4651" s="5"/>
      <c r="U4651" s="5"/>
      <c r="V4651" s="5"/>
      <c r="W4651" s="5"/>
      <c r="X4651" s="5"/>
      <c r="Y4651" s="5"/>
      <c r="Z4651" s="5"/>
    </row>
    <row r="4652" spans="1:26" ht="15" x14ac:dyDescent="0.25">
      <c r="A4652" s="4" t="s">
        <v>4650</v>
      </c>
      <c r="B4652" s="4" t="s">
        <v>4550</v>
      </c>
      <c r="C4652" s="2" t="str">
        <f ca="1">IFERROR(__xludf.DUMMYFUNCTION("GOOGLETRANSLATE(A4652,""bn"",""en"")"),"I ended up laughing at this picture")</f>
        <v>I ended up laughing at this picture</v>
      </c>
      <c r="D4652" s="5"/>
      <c r="E4652" s="5"/>
      <c r="F4652" s="5"/>
      <c r="G4652" s="5"/>
      <c r="H4652" s="5"/>
      <c r="I4652" s="5"/>
      <c r="J4652" s="5"/>
      <c r="K4652" s="5"/>
      <c r="L4652" s="5"/>
      <c r="M4652" s="5"/>
      <c r="N4652" s="5"/>
      <c r="O4652" s="5"/>
      <c r="P4652" s="5"/>
      <c r="Q4652" s="5"/>
      <c r="R4652" s="5"/>
      <c r="S4652" s="5"/>
      <c r="T4652" s="5"/>
      <c r="U4652" s="5"/>
      <c r="V4652" s="5"/>
      <c r="W4652" s="5"/>
      <c r="X4652" s="5"/>
      <c r="Y4652" s="5"/>
      <c r="Z4652" s="5"/>
    </row>
    <row r="4653" spans="1:26" ht="15" x14ac:dyDescent="0.25">
      <c r="A4653" s="4" t="s">
        <v>4651</v>
      </c>
      <c r="B4653" s="4" t="s">
        <v>4550</v>
      </c>
      <c r="C4653" s="2" t="str">
        <f ca="1">IFERROR(__xludf.DUMMYFUNCTION("GOOGLETRANSLATE(A4653,""bn"",""en"")"),"A picture of the unique beauty of rural Bengal was like a heart-warming experience")</f>
        <v>A picture of the unique beauty of rural Bengal was like a heart-warming experience</v>
      </c>
      <c r="D4653" s="5"/>
      <c r="E4653" s="5"/>
      <c r="F4653" s="5"/>
      <c r="G4653" s="5"/>
      <c r="H4653" s="5"/>
      <c r="I4653" s="5"/>
      <c r="J4653" s="5"/>
      <c r="K4653" s="5"/>
      <c r="L4653" s="5"/>
      <c r="M4653" s="5"/>
      <c r="N4653" s="5"/>
      <c r="O4653" s="5"/>
      <c r="P4653" s="5"/>
      <c r="Q4653" s="5"/>
      <c r="R4653" s="5"/>
      <c r="S4653" s="5"/>
      <c r="T4653" s="5"/>
      <c r="U4653" s="5"/>
      <c r="V4653" s="5"/>
      <c r="W4653" s="5"/>
      <c r="X4653" s="5"/>
      <c r="Y4653" s="5"/>
      <c r="Z4653" s="5"/>
    </row>
    <row r="4654" spans="1:26" ht="15" x14ac:dyDescent="0.25">
      <c r="A4654" s="4" t="s">
        <v>4652</v>
      </c>
      <c r="B4654" s="4" t="s">
        <v>4550</v>
      </c>
      <c r="C4654" s="2" t="str">
        <f ca="1">IFERROR(__xludf.DUMMYFUNCTION("GOOGLETRANSLATE(A4654,""bn"",""en"")"),"The story of the movie was very good and there was something to learn")</f>
        <v>The story of the movie was very good and there was something to learn</v>
      </c>
      <c r="D4654" s="5"/>
      <c r="E4654" s="5"/>
      <c r="F4654" s="5"/>
      <c r="G4654" s="5"/>
      <c r="H4654" s="5"/>
      <c r="I4654" s="5"/>
      <c r="J4654" s="5"/>
      <c r="K4654" s="5"/>
      <c r="L4654" s="5"/>
      <c r="M4654" s="5"/>
      <c r="N4654" s="5"/>
      <c r="O4654" s="5"/>
      <c r="P4654" s="5"/>
      <c r="Q4654" s="5"/>
      <c r="R4654" s="5"/>
      <c r="S4654" s="5"/>
      <c r="T4654" s="5"/>
      <c r="U4654" s="5"/>
      <c r="V4654" s="5"/>
      <c r="W4654" s="5"/>
      <c r="X4654" s="5"/>
      <c r="Y4654" s="5"/>
      <c r="Z4654" s="5"/>
    </row>
    <row r="4655" spans="1:26" ht="15" x14ac:dyDescent="0.25">
      <c r="A4655" s="4" t="s">
        <v>4653</v>
      </c>
      <c r="B4655" s="4" t="s">
        <v>4550</v>
      </c>
      <c r="C4655" s="2" t="str">
        <f ca="1">IFERROR(__xludf.DUMMYFUNCTION("GOOGLETRANSLATE(A4655,""bn"",""en"")"),"In one word, everyone was amazing, they acted very well, the songs were very beautiful, and the old film was very beautiful. Thanks to the director who has made a difference between night and day.")</f>
        <v>In one word, everyone was amazing, they acted very well, the songs were very beautiful, and the old film was very beautiful. Thanks to the director who has made a difference between night and day.</v>
      </c>
      <c r="D4655" s="5"/>
      <c r="E4655" s="5"/>
      <c r="F4655" s="5"/>
      <c r="G4655" s="5"/>
      <c r="H4655" s="5"/>
      <c r="I4655" s="5"/>
      <c r="J4655" s="5"/>
      <c r="K4655" s="5"/>
      <c r="L4655" s="5"/>
      <c r="M4655" s="5"/>
      <c r="N4655" s="5"/>
      <c r="O4655" s="5"/>
      <c r="P4655" s="5"/>
      <c r="Q4655" s="5"/>
      <c r="R4655" s="5"/>
      <c r="S4655" s="5"/>
      <c r="T4655" s="5"/>
      <c r="U4655" s="5"/>
      <c r="V4655" s="5"/>
      <c r="W4655" s="5"/>
      <c r="X4655" s="5"/>
      <c r="Y4655" s="5"/>
      <c r="Z4655" s="5"/>
    </row>
    <row r="4656" spans="1:26" ht="15" x14ac:dyDescent="0.25">
      <c r="A4656" s="4" t="s">
        <v>4654</v>
      </c>
      <c r="B4656" s="4" t="s">
        <v>4550</v>
      </c>
      <c r="C4656" s="2" t="str">
        <f ca="1">IFERROR(__xludf.DUMMYFUNCTION("GOOGLETRANSLATE(A4656,""bn"",""en"")"),"The ending was fantastic and it seemed like a failure to imagine Bengali Bau was Darun Gigaran as a social movie")</f>
        <v>The ending was fantastic and it seemed like a failure to imagine Bengali Bau was Darun Gigaran as a social movie</v>
      </c>
      <c r="D4656" s="5"/>
      <c r="E4656" s="5"/>
      <c r="F4656" s="5"/>
      <c r="G4656" s="5"/>
      <c r="H4656" s="5"/>
      <c r="I4656" s="5"/>
      <c r="J4656" s="5"/>
      <c r="K4656" s="5"/>
      <c r="L4656" s="5"/>
      <c r="M4656" s="5"/>
      <c r="N4656" s="5"/>
      <c r="O4656" s="5"/>
      <c r="P4656" s="5"/>
      <c r="Q4656" s="5"/>
      <c r="R4656" s="5"/>
      <c r="S4656" s="5"/>
      <c r="T4656" s="5"/>
      <c r="U4656" s="5"/>
      <c r="V4656" s="5"/>
      <c r="W4656" s="5"/>
      <c r="X4656" s="5"/>
      <c r="Y4656" s="5"/>
      <c r="Z4656" s="5"/>
    </row>
    <row r="4657" spans="1:26" ht="15" x14ac:dyDescent="0.25">
      <c r="A4657" s="4" t="s">
        <v>4655</v>
      </c>
      <c r="B4657" s="4" t="s">
        <v>4550</v>
      </c>
      <c r="C4657" s="2" t="str">
        <f ca="1">IFERROR(__xludf.DUMMYFUNCTION("GOOGLETRANSLATE(A4657,""bn"",""en"")"),"This one picture fascinated every person of Bengal for many years")</f>
        <v>This one picture fascinated every person of Bengal for many years</v>
      </c>
      <c r="D4657" s="5"/>
      <c r="E4657" s="5"/>
      <c r="F4657" s="5"/>
      <c r="G4657" s="5"/>
      <c r="H4657" s="5"/>
      <c r="I4657" s="5"/>
      <c r="J4657" s="5"/>
      <c r="K4657" s="5"/>
      <c r="L4657" s="5"/>
      <c r="M4657" s="5"/>
      <c r="N4657" s="5"/>
      <c r="O4657" s="5"/>
      <c r="P4657" s="5"/>
      <c r="Q4657" s="5"/>
      <c r="R4657" s="5"/>
      <c r="S4657" s="5"/>
      <c r="T4657" s="5"/>
      <c r="U4657" s="5"/>
      <c r="V4657" s="5"/>
      <c r="W4657" s="5"/>
      <c r="X4657" s="5"/>
      <c r="Y4657" s="5"/>
      <c r="Z4657" s="5"/>
    </row>
    <row r="4658" spans="1:26" ht="15" x14ac:dyDescent="0.25">
      <c r="A4658" s="4" t="s">
        <v>4656</v>
      </c>
      <c r="B4658" s="4" t="s">
        <v>4550</v>
      </c>
      <c r="C4658" s="2" t="str">
        <f ca="1">IFERROR(__xludf.DUMMYFUNCTION("GOOGLETRANSLATE(A4658,""bn"",""en"")"),"The movie was very beautiful, their couple is really amazing, the village movies like this are really amazing")</f>
        <v>The movie was very beautiful, their couple is really amazing, the village movies like this are really amazing</v>
      </c>
      <c r="D4658" s="5"/>
      <c r="E4658" s="5"/>
      <c r="F4658" s="5"/>
      <c r="G4658" s="5"/>
      <c r="H4658" s="5"/>
      <c r="I4658" s="5"/>
      <c r="J4658" s="5"/>
      <c r="K4658" s="5"/>
      <c r="L4658" s="5"/>
      <c r="M4658" s="5"/>
      <c r="N4658" s="5"/>
      <c r="O4658" s="5"/>
      <c r="P4658" s="5"/>
      <c r="Q4658" s="5"/>
      <c r="R4658" s="5"/>
      <c r="S4658" s="5"/>
      <c r="T4658" s="5"/>
      <c r="U4658" s="5"/>
      <c r="V4658" s="5"/>
      <c r="W4658" s="5"/>
      <c r="X4658" s="5"/>
      <c r="Y4658" s="5"/>
      <c r="Z4658" s="5"/>
    </row>
    <row r="4659" spans="1:26" ht="15" x14ac:dyDescent="0.25">
      <c r="A4659" s="4" t="s">
        <v>4657</v>
      </c>
      <c r="B4659" s="4" t="s">
        <v>4550</v>
      </c>
      <c r="C4659" s="2" t="str">
        <f ca="1">IFERROR(__xludf.DUMMYFUNCTION("GOOGLETRANSLATE(A4659,""bn"",""en"")"),"It was a wonderful movie which touched the heart to watch. Really beautiful movie. Everyone acted well. All the previous movies were very beautiful")</f>
        <v>It was a wonderful movie which touched the heart to watch. Really beautiful movie. Everyone acted well. All the previous movies were very beautiful</v>
      </c>
      <c r="D4659" s="5"/>
      <c r="E4659" s="5"/>
      <c r="F4659" s="5"/>
      <c r="G4659" s="5"/>
      <c r="H4659" s="5"/>
      <c r="I4659" s="5"/>
      <c r="J4659" s="5"/>
      <c r="K4659" s="5"/>
      <c r="L4659" s="5"/>
      <c r="M4659" s="5"/>
      <c r="N4659" s="5"/>
      <c r="O4659" s="5"/>
      <c r="P4659" s="5"/>
      <c r="Q4659" s="5"/>
      <c r="R4659" s="5"/>
      <c r="S4659" s="5"/>
      <c r="T4659" s="5"/>
      <c r="U4659" s="5"/>
      <c r="V4659" s="5"/>
      <c r="W4659" s="5"/>
      <c r="X4659" s="5"/>
      <c r="Y4659" s="5"/>
      <c r="Z4659" s="5"/>
    </row>
    <row r="4660" spans="1:26" ht="15" x14ac:dyDescent="0.25">
      <c r="A4660" s="4" t="s">
        <v>4658</v>
      </c>
      <c r="B4660" s="4" t="s">
        <v>4550</v>
      </c>
      <c r="C4660" s="2" t="str">
        <f ca="1">IFERROR(__xludf.DUMMYFUNCTION("GOOGLETRANSLATE(A4660,""bn"",""en"")"),"Faizlami should have had a limit")</f>
        <v>Faizlami should have had a limit</v>
      </c>
      <c r="D4660" s="5"/>
      <c r="E4660" s="5"/>
      <c r="F4660" s="5"/>
      <c r="G4660" s="5"/>
      <c r="H4660" s="5"/>
      <c r="I4660" s="5"/>
      <c r="J4660" s="5"/>
      <c r="K4660" s="5"/>
      <c r="L4660" s="5"/>
      <c r="M4660" s="5"/>
      <c r="N4660" s="5"/>
      <c r="O4660" s="5"/>
      <c r="P4660" s="5"/>
      <c r="Q4660" s="5"/>
      <c r="R4660" s="5"/>
      <c r="S4660" s="5"/>
      <c r="T4660" s="5"/>
      <c r="U4660" s="5"/>
      <c r="V4660" s="5"/>
      <c r="W4660" s="5"/>
      <c r="X4660" s="5"/>
      <c r="Y4660" s="5"/>
      <c r="Z4660" s="5"/>
    </row>
    <row r="4661" spans="1:26" ht="15" x14ac:dyDescent="0.25">
      <c r="A4661" s="4" t="s">
        <v>4659</v>
      </c>
      <c r="B4661" s="4" t="s">
        <v>4550</v>
      </c>
      <c r="C4661" s="2" t="str">
        <f ca="1">IFERROR(__xludf.DUMMYFUNCTION("GOOGLETRANSLATE(A4661,""bn"",""en"")"),"There was never a film like this in Bangladesh. The best performance on top of the best. This performance made me cry every second. This is the best movie of all time.")</f>
        <v>There was never a film like this in Bangladesh. The best performance on top of the best. This performance made me cry every second. This is the best movie of all time.</v>
      </c>
      <c r="D4661" s="5"/>
      <c r="E4661" s="5"/>
      <c r="F4661" s="5"/>
      <c r="G4661" s="5"/>
      <c r="H4661" s="5"/>
      <c r="I4661" s="5"/>
      <c r="J4661" s="5"/>
      <c r="K4661" s="5"/>
      <c r="L4661" s="5"/>
      <c r="M4661" s="5"/>
      <c r="N4661" s="5"/>
      <c r="O4661" s="5"/>
      <c r="P4661" s="5"/>
      <c r="Q4661" s="5"/>
      <c r="R4661" s="5"/>
      <c r="S4661" s="5"/>
      <c r="T4661" s="5"/>
      <c r="U4661" s="5"/>
      <c r="V4661" s="5"/>
      <c r="W4661" s="5"/>
      <c r="X4661" s="5"/>
      <c r="Y4661" s="5"/>
      <c r="Z4661" s="5"/>
    </row>
    <row r="4662" spans="1:26" ht="15" x14ac:dyDescent="0.25">
      <c r="A4662" s="4" t="s">
        <v>4660</v>
      </c>
      <c r="B4662" s="4" t="s">
        <v>4550</v>
      </c>
      <c r="C4662" s="2" t="str">
        <f ca="1">IFERROR(__xludf.DUMMYFUNCTION("GOOGLETRANSLATE(A4662,""bn"",""en"")"),"I liked the movie")</f>
        <v>I liked the movie</v>
      </c>
      <c r="D4662" s="5"/>
      <c r="E4662" s="5"/>
      <c r="F4662" s="5"/>
      <c r="G4662" s="5"/>
      <c r="H4662" s="5"/>
      <c r="I4662" s="5"/>
      <c r="J4662" s="5"/>
      <c r="K4662" s="5"/>
      <c r="L4662" s="5"/>
      <c r="M4662" s="5"/>
      <c r="N4662" s="5"/>
      <c r="O4662" s="5"/>
      <c r="P4662" s="5"/>
      <c r="Q4662" s="5"/>
      <c r="R4662" s="5"/>
      <c r="S4662" s="5"/>
      <c r="T4662" s="5"/>
      <c r="U4662" s="5"/>
      <c r="V4662" s="5"/>
      <c r="W4662" s="5"/>
      <c r="X4662" s="5"/>
      <c r="Y4662" s="5"/>
      <c r="Z4662" s="5"/>
    </row>
    <row r="4663" spans="1:26" ht="15" x14ac:dyDescent="0.25">
      <c r="A4663" s="4" t="s">
        <v>4661</v>
      </c>
      <c r="B4663" s="4" t="s">
        <v>4550</v>
      </c>
      <c r="C4663" s="2" t="str">
        <f ca="1">IFERROR(__xludf.DUMMYFUNCTION("GOOGLETRANSLATE(A4663,""bn"",""en"")"),"Every time I saw the film, I thought it was a wonderful film")</f>
        <v>Every time I saw the film, I thought it was a wonderful film</v>
      </c>
      <c r="D4663" s="5"/>
      <c r="E4663" s="5"/>
      <c r="F4663" s="5"/>
      <c r="G4663" s="5"/>
      <c r="H4663" s="5"/>
      <c r="I4663" s="5"/>
      <c r="J4663" s="5"/>
      <c r="K4663" s="5"/>
      <c r="L4663" s="5"/>
      <c r="M4663" s="5"/>
      <c r="N4663" s="5"/>
      <c r="O4663" s="5"/>
      <c r="P4663" s="5"/>
      <c r="Q4663" s="5"/>
      <c r="R4663" s="5"/>
      <c r="S4663" s="5"/>
      <c r="T4663" s="5"/>
      <c r="U4663" s="5"/>
      <c r="V4663" s="5"/>
      <c r="W4663" s="5"/>
      <c r="X4663" s="5"/>
      <c r="Y4663" s="5"/>
      <c r="Z4663" s="5"/>
    </row>
    <row r="4664" spans="1:26" ht="15" x14ac:dyDescent="0.25">
      <c r="A4664" s="4" t="s">
        <v>4662</v>
      </c>
      <c r="B4664" s="4" t="s">
        <v>4550</v>
      </c>
      <c r="C4664" s="2" t="str">
        <f ca="1">IFERROR(__xludf.DUMMYFUNCTION("GOOGLETRANSLATE(A4664,""bn"",""en"")"),"Manna bhai was a very nice movie. I used to watch it when I was younger. Today I watched it again. Manna bhai can never be forgotten")</f>
        <v>Manna bhai was a very nice movie. I used to watch it when I was younger. Today I watched it again. Manna bhai can never be forgotten</v>
      </c>
      <c r="D4664" s="5"/>
      <c r="E4664" s="5"/>
      <c r="F4664" s="5"/>
      <c r="G4664" s="5"/>
      <c r="H4664" s="5"/>
      <c r="I4664" s="5"/>
      <c r="J4664" s="5"/>
      <c r="K4664" s="5"/>
      <c r="L4664" s="5"/>
      <c r="M4664" s="5"/>
      <c r="N4664" s="5"/>
      <c r="O4664" s="5"/>
      <c r="P4664" s="5"/>
      <c r="Q4664" s="5"/>
      <c r="R4664" s="5"/>
      <c r="S4664" s="5"/>
      <c r="T4664" s="5"/>
      <c r="U4664" s="5"/>
      <c r="V4664" s="5"/>
      <c r="W4664" s="5"/>
      <c r="X4664" s="5"/>
      <c r="Y4664" s="5"/>
      <c r="Z4664" s="5"/>
    </row>
    <row r="4665" spans="1:26" ht="15" x14ac:dyDescent="0.25">
      <c r="A4665" s="4" t="s">
        <v>4663</v>
      </c>
      <c r="B4665" s="4" t="s">
        <v>4550</v>
      </c>
      <c r="C4665" s="2" t="str">
        <f ca="1">IFERROR(__xludf.DUMMYFUNCTION("GOOGLETRANSLATE(A4665,""bn"",""en"")"),"Wasn't it a movie or something else")</f>
        <v>Wasn't it a movie or something else</v>
      </c>
      <c r="D4665" s="5"/>
      <c r="E4665" s="5"/>
      <c r="F4665" s="5"/>
      <c r="G4665" s="5"/>
      <c r="H4665" s="5"/>
      <c r="I4665" s="5"/>
      <c r="J4665" s="5"/>
      <c r="K4665" s="5"/>
      <c r="L4665" s="5"/>
      <c r="M4665" s="5"/>
      <c r="N4665" s="5"/>
      <c r="O4665" s="5"/>
      <c r="P4665" s="5"/>
      <c r="Q4665" s="5"/>
      <c r="R4665" s="5"/>
      <c r="S4665" s="5"/>
      <c r="T4665" s="5"/>
      <c r="U4665" s="5"/>
      <c r="V4665" s="5"/>
      <c r="W4665" s="5"/>
      <c r="X4665" s="5"/>
      <c r="Y4665" s="5"/>
      <c r="Z4665" s="5"/>
    </row>
    <row r="4666" spans="1:26" ht="15" x14ac:dyDescent="0.25">
      <c r="A4666" s="4" t="s">
        <v>4664</v>
      </c>
      <c r="B4666" s="4" t="s">
        <v>4550</v>
      </c>
      <c r="C4666" s="2" t="str">
        <f ca="1">IFERROR(__xludf.DUMMYFUNCTION("GOOGLETRANSLATE(A4666,""bn"",""en"")"),"Bangladesh's best movie number one movie Beder's daughter Josna was the biggest commercial success in film history")</f>
        <v>Bangladesh's best movie number one movie Beder's daughter Josna was the biggest commercial success in film history</v>
      </c>
      <c r="D4666" s="5"/>
      <c r="E4666" s="5"/>
      <c r="F4666" s="5"/>
      <c r="G4666" s="5"/>
      <c r="H4666" s="5"/>
      <c r="I4666" s="5"/>
      <c r="J4666" s="5"/>
      <c r="K4666" s="5"/>
      <c r="L4666" s="5"/>
      <c r="M4666" s="5"/>
      <c r="N4666" s="5"/>
      <c r="O4666" s="5"/>
      <c r="P4666" s="5"/>
      <c r="Q4666" s="5"/>
      <c r="R4666" s="5"/>
      <c r="S4666" s="5"/>
      <c r="T4666" s="5"/>
      <c r="U4666" s="5"/>
      <c r="V4666" s="5"/>
      <c r="W4666" s="5"/>
      <c r="X4666" s="5"/>
      <c r="Y4666" s="5"/>
      <c r="Z4666" s="5"/>
    </row>
    <row r="4667" spans="1:26" ht="15" x14ac:dyDescent="0.25">
      <c r="A4667" s="4" t="s">
        <v>4665</v>
      </c>
      <c r="B4667" s="4" t="s">
        <v>4550</v>
      </c>
      <c r="C4667" s="2" t="str">
        <f ca="1">IFERROR(__xludf.DUMMYFUNCTION("GOOGLETRANSLATE(A4667,""bn"",""en"")"),"We used to watch this movie a lot when we were kids. It was a very beautiful movie")</f>
        <v>We used to watch this movie a lot when we were kids. It was a very beautiful movie</v>
      </c>
      <c r="D4667" s="5"/>
      <c r="E4667" s="5"/>
      <c r="F4667" s="5"/>
      <c r="G4667" s="5"/>
      <c r="H4667" s="5"/>
      <c r="I4667" s="5"/>
      <c r="J4667" s="5"/>
      <c r="K4667" s="5"/>
      <c r="L4667" s="5"/>
      <c r="M4667" s="5"/>
      <c r="N4667" s="5"/>
      <c r="O4667" s="5"/>
      <c r="P4667" s="5"/>
      <c r="Q4667" s="5"/>
      <c r="R4667" s="5"/>
      <c r="S4667" s="5"/>
      <c r="T4667" s="5"/>
      <c r="U4667" s="5"/>
      <c r="V4667" s="5"/>
      <c r="W4667" s="5"/>
      <c r="X4667" s="5"/>
      <c r="Y4667" s="5"/>
      <c r="Z4667" s="5"/>
    </row>
    <row r="4668" spans="1:26" ht="15" x14ac:dyDescent="0.25">
      <c r="A4668" s="4" t="s">
        <v>4666</v>
      </c>
      <c r="B4668" s="4" t="s">
        <v>4550</v>
      </c>
      <c r="C4668" s="2" t="str">
        <f ca="1">IFERROR(__xludf.DUMMYFUNCTION("GOOGLETRANSLATE(A4668,""bn"",""en"")"),"There was a lot of difference between movies and dramas, if you play goats, it wouldn't be comedy, you learn from Hindi comedy films.")</f>
        <v>There was a lot of difference between movies and dramas, if you play goats, it wouldn't be comedy, you learn from Hindi comedy films.</v>
      </c>
      <c r="D4668" s="5"/>
      <c r="E4668" s="5"/>
      <c r="F4668" s="5"/>
      <c r="G4668" s="5"/>
      <c r="H4668" s="5"/>
      <c r="I4668" s="5"/>
      <c r="J4668" s="5"/>
      <c r="K4668" s="5"/>
      <c r="L4668" s="5"/>
      <c r="M4668" s="5"/>
      <c r="N4668" s="5"/>
      <c r="O4668" s="5"/>
      <c r="P4668" s="5"/>
      <c r="Q4668" s="5"/>
      <c r="R4668" s="5"/>
      <c r="S4668" s="5"/>
      <c r="T4668" s="5"/>
      <c r="U4668" s="5"/>
      <c r="V4668" s="5"/>
      <c r="W4668" s="5"/>
      <c r="X4668" s="5"/>
      <c r="Y4668" s="5"/>
      <c r="Z4668" s="5"/>
    </row>
    <row r="4669" spans="1:26" ht="15" x14ac:dyDescent="0.25">
      <c r="A4669" s="4" t="s">
        <v>4667</v>
      </c>
      <c r="B4669" s="4" t="s">
        <v>4550</v>
      </c>
      <c r="C4669" s="2" t="str">
        <f ca="1">IFERROR(__xludf.DUMMYFUNCTION("GOOGLETRANSLATE(A4669,""bn"",""en"")"),"The human mind was a big zoo")</f>
        <v>The human mind was a big zoo</v>
      </c>
      <c r="D4669" s="5"/>
      <c r="E4669" s="5"/>
      <c r="F4669" s="5"/>
      <c r="G4669" s="5"/>
      <c r="H4669" s="5"/>
      <c r="I4669" s="5"/>
      <c r="J4669" s="5"/>
      <c r="K4669" s="5"/>
      <c r="L4669" s="5"/>
      <c r="M4669" s="5"/>
      <c r="N4669" s="5"/>
      <c r="O4669" s="5"/>
      <c r="P4669" s="5"/>
      <c r="Q4669" s="5"/>
      <c r="R4669" s="5"/>
      <c r="S4669" s="5"/>
      <c r="T4669" s="5"/>
      <c r="U4669" s="5"/>
      <c r="V4669" s="5"/>
      <c r="W4669" s="5"/>
      <c r="X4669" s="5"/>
      <c r="Y4669" s="5"/>
      <c r="Z4669" s="5"/>
    </row>
    <row r="4670" spans="1:26" ht="15" x14ac:dyDescent="0.25">
      <c r="A4670" s="4" t="s">
        <v>4668</v>
      </c>
      <c r="B4670" s="4" t="s">
        <v>4550</v>
      </c>
      <c r="C4670" s="2" t="str">
        <f ca="1">IFERROR(__xludf.DUMMYFUNCTION("GOOGLETRANSLATE(A4670,""bn"",""en"")"),"I really liked the movie. There are not so many good movies these days. I watched this movie today because it was an old movie.")</f>
        <v>I really liked the movie. There are not so many good movies these days. I watched this movie today because it was an old movie.</v>
      </c>
      <c r="D4670" s="5"/>
      <c r="E4670" s="5"/>
      <c r="F4670" s="5"/>
      <c r="G4670" s="5"/>
      <c r="H4670" s="5"/>
      <c r="I4670" s="5"/>
      <c r="J4670" s="5"/>
      <c r="K4670" s="5"/>
      <c r="L4670" s="5"/>
      <c r="M4670" s="5"/>
      <c r="N4670" s="5"/>
      <c r="O4670" s="5"/>
      <c r="P4670" s="5"/>
      <c r="Q4670" s="5"/>
      <c r="R4670" s="5"/>
      <c r="S4670" s="5"/>
      <c r="T4670" s="5"/>
      <c r="U4670" s="5"/>
      <c r="V4670" s="5"/>
      <c r="W4670" s="5"/>
      <c r="X4670" s="5"/>
      <c r="Y4670" s="5"/>
      <c r="Z4670" s="5"/>
    </row>
    <row r="4671" spans="1:26" ht="15" x14ac:dyDescent="0.25">
      <c r="A4671" s="4" t="s">
        <v>4669</v>
      </c>
      <c r="B4671" s="4" t="s">
        <v>4550</v>
      </c>
      <c r="C4671" s="2" t="str">
        <f ca="1">IFERROR(__xludf.DUMMYFUNCTION("GOOGLETRANSLATE(A4671,""bn"",""en"")"),"I was surprised by the ending of this movie which was beyond my imagination")</f>
        <v>I was surprised by the ending of this movie which was beyond my imagination</v>
      </c>
      <c r="D4671" s="5"/>
      <c r="E4671" s="5"/>
      <c r="F4671" s="5"/>
      <c r="G4671" s="5"/>
      <c r="H4671" s="5"/>
      <c r="I4671" s="5"/>
      <c r="J4671" s="5"/>
      <c r="K4671" s="5"/>
      <c r="L4671" s="5"/>
      <c r="M4671" s="5"/>
      <c r="N4671" s="5"/>
      <c r="O4671" s="5"/>
      <c r="P4671" s="5"/>
      <c r="Q4671" s="5"/>
      <c r="R4671" s="5"/>
      <c r="S4671" s="5"/>
      <c r="T4671" s="5"/>
      <c r="U4671" s="5"/>
      <c r="V4671" s="5"/>
      <c r="W4671" s="5"/>
      <c r="X4671" s="5"/>
      <c r="Y4671" s="5"/>
      <c r="Z4671" s="5"/>
    </row>
    <row r="4672" spans="1:26" ht="15" x14ac:dyDescent="0.25">
      <c r="A4672" s="4" t="s">
        <v>4670</v>
      </c>
      <c r="B4672" s="4" t="s">
        <v>4550</v>
      </c>
      <c r="C4672" s="2" t="str">
        <f ca="1">IFERROR(__xludf.DUMMYFUNCTION("GOOGLETRANSLATE(A4672,""bn"",""en"")"),"The film was a super hit for the story screenplay, all the amazing songs and dancing kung fu, one of the best commercials in Bangladesh, both in action and romance.")</f>
        <v>The film was a super hit for the story screenplay, all the amazing songs and dancing kung fu, one of the best commercials in Bangladesh, both in action and romance.</v>
      </c>
      <c r="D4672" s="5"/>
      <c r="E4672" s="5"/>
      <c r="F4672" s="5"/>
      <c r="G4672" s="5"/>
      <c r="H4672" s="5"/>
      <c r="I4672" s="5"/>
      <c r="J4672" s="5"/>
      <c r="K4672" s="5"/>
      <c r="L4672" s="5"/>
      <c r="M4672" s="5"/>
      <c r="N4672" s="5"/>
      <c r="O4672" s="5"/>
      <c r="P4672" s="5"/>
      <c r="Q4672" s="5"/>
      <c r="R4672" s="5"/>
      <c r="S4672" s="5"/>
      <c r="T4672" s="5"/>
      <c r="U4672" s="5"/>
      <c r="V4672" s="5"/>
      <c r="W4672" s="5"/>
      <c r="X4672" s="5"/>
      <c r="Y4672" s="5"/>
      <c r="Z4672" s="5"/>
    </row>
    <row r="4673" spans="1:26" ht="15" x14ac:dyDescent="0.25">
      <c r="A4673" s="4" t="s">
        <v>4671</v>
      </c>
      <c r="B4673" s="4" t="s">
        <v>4550</v>
      </c>
      <c r="C4673" s="2" t="str">
        <f ca="1">IFERROR(__xludf.DUMMYFUNCTION("GOOGLETRANSLATE(A4673,""bn"",""en"")"),"Every time I watched the film I became emotional as I felt every moment of this film as if I felt my real life.")</f>
        <v>Every time I watched the film I became emotional as I felt every moment of this film as if I felt my real life.</v>
      </c>
      <c r="D4673" s="5"/>
      <c r="E4673" s="5"/>
      <c r="F4673" s="5"/>
      <c r="G4673" s="5"/>
      <c r="H4673" s="5"/>
      <c r="I4673" s="5"/>
      <c r="J4673" s="5"/>
      <c r="K4673" s="5"/>
      <c r="L4673" s="5"/>
      <c r="M4673" s="5"/>
      <c r="N4673" s="5"/>
      <c r="O4673" s="5"/>
      <c r="P4673" s="5"/>
      <c r="Q4673" s="5"/>
      <c r="R4673" s="5"/>
      <c r="S4673" s="5"/>
      <c r="T4673" s="5"/>
      <c r="U4673" s="5"/>
      <c r="V4673" s="5"/>
      <c r="W4673" s="5"/>
      <c r="X4673" s="5"/>
      <c r="Y4673" s="5"/>
      <c r="Z4673" s="5"/>
    </row>
    <row r="4674" spans="1:26" ht="15" x14ac:dyDescent="0.25">
      <c r="A4674" s="4" t="s">
        <v>4672</v>
      </c>
      <c r="B4674" s="4" t="s">
        <v>4550</v>
      </c>
      <c r="C4674" s="2" t="str">
        <f ca="1">IFERROR(__xludf.DUMMYFUNCTION("GOOGLETRANSLATE(A4674,""bn"",""en"")"),"I am a citizen of India but I used to like Bangladeshi movies so much that I used to watch such movies")</f>
        <v>I am a citizen of India but I used to like Bangladeshi movies so much that I used to watch such movies</v>
      </c>
      <c r="D4674" s="5"/>
      <c r="E4674" s="5"/>
      <c r="F4674" s="5"/>
      <c r="G4674" s="5"/>
      <c r="H4674" s="5"/>
      <c r="I4674" s="5"/>
      <c r="J4674" s="5"/>
      <c r="K4674" s="5"/>
      <c r="L4674" s="5"/>
      <c r="M4674" s="5"/>
      <c r="N4674" s="5"/>
      <c r="O4674" s="5"/>
      <c r="P4674" s="5"/>
      <c r="Q4674" s="5"/>
      <c r="R4674" s="5"/>
      <c r="S4674" s="5"/>
      <c r="T4674" s="5"/>
      <c r="U4674" s="5"/>
      <c r="V4674" s="5"/>
      <c r="W4674" s="5"/>
      <c r="X4674" s="5"/>
      <c r="Y4674" s="5"/>
      <c r="Z4674" s="5"/>
    </row>
    <row r="4675" spans="1:26" ht="15" x14ac:dyDescent="0.25">
      <c r="A4675" s="4" t="s">
        <v>4673</v>
      </c>
      <c r="B4675" s="4" t="s">
        <v>4550</v>
      </c>
      <c r="C4675" s="2" t="str">
        <f ca="1">IFERROR(__xludf.DUMMYFUNCTION("GOOGLETRANSLATE(A4675,""bn"",""en"")"),"Chanchal Chowdhury sir was my favorite actor, I heard a lot about the movie but I didn't see it today.")</f>
        <v>Chanchal Chowdhury sir was my favorite actor, I heard a lot about the movie but I didn't see it today.</v>
      </c>
      <c r="D4675" s="5"/>
      <c r="E4675" s="5"/>
      <c r="F4675" s="5"/>
      <c r="G4675" s="5"/>
      <c r="H4675" s="5"/>
      <c r="I4675" s="5"/>
      <c r="J4675" s="5"/>
      <c r="K4675" s="5"/>
      <c r="L4675" s="5"/>
      <c r="M4675" s="5"/>
      <c r="N4675" s="5"/>
      <c r="O4675" s="5"/>
      <c r="P4675" s="5"/>
      <c r="Q4675" s="5"/>
      <c r="R4675" s="5"/>
      <c r="S4675" s="5"/>
      <c r="T4675" s="5"/>
      <c r="U4675" s="5"/>
      <c r="V4675" s="5"/>
      <c r="W4675" s="5"/>
      <c r="X4675" s="5"/>
      <c r="Y4675" s="5"/>
      <c r="Z4675" s="5"/>
    </row>
    <row r="4676" spans="1:26" ht="15" x14ac:dyDescent="0.25">
      <c r="A4676" s="4" t="s">
        <v>4674</v>
      </c>
      <c r="B4676" s="4" t="s">
        <v>4550</v>
      </c>
      <c r="C4676" s="2" t="str">
        <f ca="1">IFERROR(__xludf.DUMMYFUNCTION("GOOGLETRANSLATE(A4676,""bn"",""en"")"),"I don't know how many times I have watched this movie. If there is no father, the responsibility of the brother-in-law on the sister. After watching this movie, you can understand that I have no sister.")</f>
        <v>I don't know how many times I have watched this movie. If there is no father, the responsibility of the brother-in-law on the sister. After watching this movie, you can understand that I have no sister.</v>
      </c>
      <c r="D4676" s="5"/>
      <c r="E4676" s="5"/>
      <c r="F4676" s="5"/>
      <c r="G4676" s="5"/>
      <c r="H4676" s="5"/>
      <c r="I4676" s="5"/>
      <c r="J4676" s="5"/>
      <c r="K4676" s="5"/>
      <c r="L4676" s="5"/>
      <c r="M4676" s="5"/>
      <c r="N4676" s="5"/>
      <c r="O4676" s="5"/>
      <c r="P4676" s="5"/>
      <c r="Q4676" s="5"/>
      <c r="R4676" s="5"/>
      <c r="S4676" s="5"/>
      <c r="T4676" s="5"/>
      <c r="U4676" s="5"/>
      <c r="V4676" s="5"/>
      <c r="W4676" s="5"/>
      <c r="X4676" s="5"/>
      <c r="Y4676" s="5"/>
      <c r="Z4676" s="5"/>
    </row>
    <row r="4677" spans="1:26" ht="15" x14ac:dyDescent="0.25">
      <c r="A4677" s="4" t="s">
        <v>4675</v>
      </c>
      <c r="B4677" s="4" t="s">
        <v>4550</v>
      </c>
      <c r="C4677" s="2" t="str">
        <f ca="1">IFERROR(__xludf.DUMMYFUNCTION("GOOGLETRANSLATE(A4677,""bn"",""en"")"),"The full movie was watched")</f>
        <v>The full movie was watched</v>
      </c>
      <c r="D4677" s="5"/>
      <c r="E4677" s="5"/>
      <c r="F4677" s="5"/>
      <c r="G4677" s="5"/>
      <c r="H4677" s="5"/>
      <c r="I4677" s="5"/>
      <c r="J4677" s="5"/>
      <c r="K4677" s="5"/>
      <c r="L4677" s="5"/>
      <c r="M4677" s="5"/>
      <c r="N4677" s="5"/>
      <c r="O4677" s="5"/>
      <c r="P4677" s="5"/>
      <c r="Q4677" s="5"/>
      <c r="R4677" s="5"/>
      <c r="S4677" s="5"/>
      <c r="T4677" s="5"/>
      <c r="U4677" s="5"/>
      <c r="V4677" s="5"/>
      <c r="W4677" s="5"/>
      <c r="X4677" s="5"/>
      <c r="Y4677" s="5"/>
      <c r="Z4677" s="5"/>
    </row>
    <row r="4678" spans="1:26" ht="15" x14ac:dyDescent="0.25">
      <c r="A4678" s="4" t="s">
        <v>4676</v>
      </c>
      <c r="B4678" s="4" t="s">
        <v>4550</v>
      </c>
      <c r="C4678" s="2" t="str">
        <f ca="1">IFERROR(__xludf.DUMMYFUNCTION("GOOGLETRANSLATE(A4678,""bn"",""en"")"),"It was all crappy action and crappy story")</f>
        <v>It was all crappy action and crappy story</v>
      </c>
      <c r="D4678" s="5"/>
      <c r="E4678" s="5"/>
      <c r="F4678" s="5"/>
      <c r="G4678" s="5"/>
      <c r="H4678" s="5"/>
      <c r="I4678" s="5"/>
      <c r="J4678" s="5"/>
      <c r="K4678" s="5"/>
      <c r="L4678" s="5"/>
      <c r="M4678" s="5"/>
      <c r="N4678" s="5"/>
      <c r="O4678" s="5"/>
      <c r="P4678" s="5"/>
      <c r="Q4678" s="5"/>
      <c r="R4678" s="5"/>
      <c r="S4678" s="5"/>
      <c r="T4678" s="5"/>
      <c r="U4678" s="5"/>
      <c r="V4678" s="5"/>
      <c r="W4678" s="5"/>
      <c r="X4678" s="5"/>
      <c r="Y4678" s="5"/>
      <c r="Z4678" s="5"/>
    </row>
    <row r="4679" spans="1:26" ht="15" x14ac:dyDescent="0.25">
      <c r="A4679" s="4" t="s">
        <v>4677</v>
      </c>
      <c r="B4679" s="4" t="s">
        <v>4550</v>
      </c>
      <c r="C4679" s="2" t="str">
        <f ca="1">IFERROR(__xludf.DUMMYFUNCTION("GOOGLETRANSLATE(A4679,""bn"",""en"")"),"It was the best film in the history of Bengali cinema")</f>
        <v>It was the best film in the history of Bengali cinema</v>
      </c>
      <c r="D4679" s="5"/>
      <c r="E4679" s="5"/>
      <c r="F4679" s="5"/>
      <c r="G4679" s="5"/>
      <c r="H4679" s="5"/>
      <c r="I4679" s="5"/>
      <c r="J4679" s="5"/>
      <c r="K4679" s="5"/>
      <c r="L4679" s="5"/>
      <c r="M4679" s="5"/>
      <c r="N4679" s="5"/>
      <c r="O4679" s="5"/>
      <c r="P4679" s="5"/>
      <c r="Q4679" s="5"/>
      <c r="R4679" s="5"/>
      <c r="S4679" s="5"/>
      <c r="T4679" s="5"/>
      <c r="U4679" s="5"/>
      <c r="V4679" s="5"/>
      <c r="W4679" s="5"/>
      <c r="X4679" s="5"/>
      <c r="Y4679" s="5"/>
      <c r="Z4679" s="5"/>
    </row>
    <row r="4680" spans="1:26" ht="15" x14ac:dyDescent="0.25">
      <c r="A4680" s="4" t="s">
        <v>4678</v>
      </c>
      <c r="B4680" s="4" t="s">
        <v>4550</v>
      </c>
      <c r="C4680" s="2" t="str">
        <f ca="1">IFERROR(__xludf.DUMMYFUNCTION("GOOGLETRANSLATE(A4680,""bn"",""en"")"),"I was trying to watch a social movie that was a really great movie")</f>
        <v>I was trying to watch a social movie that was a really great movie</v>
      </c>
      <c r="D4680" s="5"/>
      <c r="E4680" s="5"/>
      <c r="F4680" s="5"/>
      <c r="G4680" s="5"/>
      <c r="H4680" s="5"/>
      <c r="I4680" s="5"/>
      <c r="J4680" s="5"/>
      <c r="K4680" s="5"/>
      <c r="L4680" s="5"/>
      <c r="M4680" s="5"/>
      <c r="N4680" s="5"/>
      <c r="O4680" s="5"/>
      <c r="P4680" s="5"/>
      <c r="Q4680" s="5"/>
      <c r="R4680" s="5"/>
      <c r="S4680" s="5"/>
      <c r="T4680" s="5"/>
      <c r="U4680" s="5"/>
      <c r="V4680" s="5"/>
      <c r="W4680" s="5"/>
      <c r="X4680" s="5"/>
      <c r="Y4680" s="5"/>
      <c r="Z4680" s="5"/>
    </row>
    <row r="4681" spans="1:26" ht="15" x14ac:dyDescent="0.25">
      <c r="A4681" s="4" t="s">
        <v>4679</v>
      </c>
      <c r="B4681" s="4" t="s">
        <v>4550</v>
      </c>
      <c r="C4681" s="2" t="str">
        <f ca="1">IFERROR(__xludf.DUMMYFUNCTION("GOOGLETRANSLATE(A4681,""bn"",""en"")"),"Dunki movie brought Oscar")</f>
        <v>Dunki movie brought Oscar</v>
      </c>
      <c r="D4681" s="5"/>
      <c r="E4681" s="5"/>
      <c r="F4681" s="5"/>
      <c r="G4681" s="5"/>
      <c r="H4681" s="5"/>
      <c r="I4681" s="5"/>
      <c r="J4681" s="5"/>
      <c r="K4681" s="5"/>
      <c r="L4681" s="5"/>
      <c r="M4681" s="5"/>
      <c r="N4681" s="5"/>
      <c r="O4681" s="5"/>
      <c r="P4681" s="5"/>
      <c r="Q4681" s="5"/>
      <c r="R4681" s="5"/>
      <c r="S4681" s="5"/>
      <c r="T4681" s="5"/>
      <c r="U4681" s="5"/>
      <c r="V4681" s="5"/>
      <c r="W4681" s="5"/>
      <c r="X4681" s="5"/>
      <c r="Y4681" s="5"/>
      <c r="Z4681" s="5"/>
    </row>
    <row r="4682" spans="1:26" ht="15" x14ac:dyDescent="0.25">
      <c r="A4682" s="4" t="s">
        <v>4680</v>
      </c>
      <c r="B4682" s="4" t="s">
        <v>4550</v>
      </c>
      <c r="C4682" s="2" t="str">
        <f ca="1">IFERROR(__xludf.DUMMYFUNCTION("GOOGLETRANSLATE(A4682,""bn"",""en"")"),"Tears came to my eyes without knowing how beautiful the story was")</f>
        <v>Tears came to my eyes without knowing how beautiful the story was</v>
      </c>
      <c r="D4682" s="5"/>
      <c r="E4682" s="5"/>
      <c r="F4682" s="5"/>
      <c r="G4682" s="5"/>
      <c r="H4682" s="5"/>
      <c r="I4682" s="5"/>
      <c r="J4682" s="5"/>
      <c r="K4682" s="5"/>
      <c r="L4682" s="5"/>
      <c r="M4682" s="5"/>
      <c r="N4682" s="5"/>
      <c r="O4682" s="5"/>
      <c r="P4682" s="5"/>
      <c r="Q4682" s="5"/>
      <c r="R4682" s="5"/>
      <c r="S4682" s="5"/>
      <c r="T4682" s="5"/>
      <c r="U4682" s="5"/>
      <c r="V4682" s="5"/>
      <c r="W4682" s="5"/>
      <c r="X4682" s="5"/>
      <c r="Y4682" s="5"/>
      <c r="Z4682" s="5"/>
    </row>
    <row r="4683" spans="1:26" ht="15" x14ac:dyDescent="0.25">
      <c r="A4683" s="4" t="s">
        <v>4681</v>
      </c>
      <c r="B4683" s="4" t="s">
        <v>4550</v>
      </c>
      <c r="C4683" s="2" t="str">
        <f ca="1">IFERROR(__xludf.DUMMYFUNCTION("GOOGLETRANSLATE(A4683,""bn"",""en"")"),"It was a rotten story and Zayed Khan was on top of it")</f>
        <v>It was a rotten story and Zayed Khan was on top of it</v>
      </c>
      <c r="D4683" s="5"/>
      <c r="E4683" s="5"/>
      <c r="F4683" s="5"/>
      <c r="G4683" s="5"/>
      <c r="H4683" s="5"/>
      <c r="I4683" s="5"/>
      <c r="J4683" s="5"/>
      <c r="K4683" s="5"/>
      <c r="L4683" s="5"/>
      <c r="M4683" s="5"/>
      <c r="N4683" s="5"/>
      <c r="O4683" s="5"/>
      <c r="P4683" s="5"/>
      <c r="Q4683" s="5"/>
      <c r="R4683" s="5"/>
      <c r="S4683" s="5"/>
      <c r="T4683" s="5"/>
      <c r="U4683" s="5"/>
      <c r="V4683" s="5"/>
      <c r="W4683" s="5"/>
      <c r="X4683" s="5"/>
      <c r="Y4683" s="5"/>
      <c r="Z4683" s="5"/>
    </row>
    <row r="4684" spans="1:26" ht="15" x14ac:dyDescent="0.25">
      <c r="A4684" s="4" t="s">
        <v>4682</v>
      </c>
      <c r="B4684" s="4" t="s">
        <v>4550</v>
      </c>
      <c r="C4684" s="2" t="str">
        <f ca="1">IFERROR(__xludf.DUMMYFUNCTION("GOOGLETRANSLATE(A4684,""bn"",""en"")"),"There was no language to say, I remembered the old sayings after watching this movie, it was a wonderful movie")</f>
        <v>There was no language to say, I remembered the old sayings after watching this movie, it was a wonderful movie</v>
      </c>
      <c r="D4684" s="5"/>
      <c r="E4684" s="5"/>
      <c r="F4684" s="5"/>
      <c r="G4684" s="5"/>
      <c r="H4684" s="5"/>
      <c r="I4684" s="5"/>
      <c r="J4684" s="5"/>
      <c r="K4684" s="5"/>
      <c r="L4684" s="5"/>
      <c r="M4684" s="5"/>
      <c r="N4684" s="5"/>
      <c r="O4684" s="5"/>
      <c r="P4684" s="5"/>
      <c r="Q4684" s="5"/>
      <c r="R4684" s="5"/>
      <c r="S4684" s="5"/>
      <c r="T4684" s="5"/>
      <c r="U4684" s="5"/>
      <c r="V4684" s="5"/>
      <c r="W4684" s="5"/>
      <c r="X4684" s="5"/>
      <c r="Y4684" s="5"/>
      <c r="Z4684" s="5"/>
    </row>
    <row r="4685" spans="1:26" ht="15" x14ac:dyDescent="0.25">
      <c r="A4685" s="4" t="s">
        <v>4683</v>
      </c>
      <c r="B4685" s="4" t="s">
        <v>4550</v>
      </c>
      <c r="C4685" s="2" t="str">
        <f ca="1">IFERROR(__xludf.DUMMYFUNCTION("GOOGLETRANSLATE(A4685,""bn"",""en"")"),"I have seen many movies in my life but I have never seen such a beautiful movie")</f>
        <v>I have seen many movies in my life but I have never seen such a beautiful movie</v>
      </c>
      <c r="D4685" s="5"/>
      <c r="E4685" s="5"/>
      <c r="F4685" s="5"/>
      <c r="G4685" s="5"/>
      <c r="H4685" s="5"/>
      <c r="I4685" s="5"/>
      <c r="J4685" s="5"/>
      <c r="K4685" s="5"/>
      <c r="L4685" s="5"/>
      <c r="M4685" s="5"/>
      <c r="N4685" s="5"/>
      <c r="O4685" s="5"/>
      <c r="P4685" s="5"/>
      <c r="Q4685" s="5"/>
      <c r="R4685" s="5"/>
      <c r="S4685" s="5"/>
      <c r="T4685" s="5"/>
      <c r="U4685" s="5"/>
      <c r="V4685" s="5"/>
      <c r="W4685" s="5"/>
      <c r="X4685" s="5"/>
      <c r="Y4685" s="5"/>
      <c r="Z4685" s="5"/>
    </row>
    <row r="4686" spans="1:26" ht="15" x14ac:dyDescent="0.25">
      <c r="A4686" s="4" t="s">
        <v>4684</v>
      </c>
      <c r="B4686" s="4" t="s">
        <v>4550</v>
      </c>
      <c r="C4686" s="2" t="str">
        <f ca="1">IFERROR(__xludf.DUMMYFUNCTION("GOOGLETRANSLATE(A4686,""bn"",""en"")"),"No hot scenes, no action scenes, no glimmers of songs, yet the timeless movie of history was made")</f>
        <v>No hot scenes, no action scenes, no glimmers of songs, yet the timeless movie of history was made</v>
      </c>
      <c r="D4686" s="5"/>
      <c r="E4686" s="5"/>
      <c r="F4686" s="5"/>
      <c r="G4686" s="5"/>
      <c r="H4686" s="5"/>
      <c r="I4686" s="5"/>
      <c r="J4686" s="5"/>
      <c r="K4686" s="5"/>
      <c r="L4686" s="5"/>
      <c r="M4686" s="5"/>
      <c r="N4686" s="5"/>
      <c r="O4686" s="5"/>
      <c r="P4686" s="5"/>
      <c r="Q4686" s="5"/>
      <c r="R4686" s="5"/>
      <c r="S4686" s="5"/>
      <c r="T4686" s="5"/>
      <c r="U4686" s="5"/>
      <c r="V4686" s="5"/>
      <c r="W4686" s="5"/>
      <c r="X4686" s="5"/>
      <c r="Y4686" s="5"/>
      <c r="Z4686" s="5"/>
    </row>
    <row r="4687" spans="1:26" ht="15" x14ac:dyDescent="0.25">
      <c r="A4687" s="4" t="s">
        <v>4685</v>
      </c>
      <c r="B4687" s="4" t="s">
        <v>4550</v>
      </c>
      <c r="C4687" s="2" t="str">
        <f ca="1">IFERROR(__xludf.DUMMYFUNCTION("GOOGLETRANSLATE(A4687,""bn"",""en"")"),"It was a terrible movie")</f>
        <v>It was a terrible movie</v>
      </c>
      <c r="D4687" s="5"/>
      <c r="E4687" s="5"/>
      <c r="F4687" s="5"/>
      <c r="G4687" s="5"/>
      <c r="H4687" s="5"/>
      <c r="I4687" s="5"/>
      <c r="J4687" s="5"/>
      <c r="K4687" s="5"/>
      <c r="L4687" s="5"/>
      <c r="M4687" s="5"/>
      <c r="N4687" s="5"/>
      <c r="O4687" s="5"/>
      <c r="P4687" s="5"/>
      <c r="Q4687" s="5"/>
      <c r="R4687" s="5"/>
      <c r="S4687" s="5"/>
      <c r="T4687" s="5"/>
      <c r="U4687" s="5"/>
      <c r="V4687" s="5"/>
      <c r="W4687" s="5"/>
      <c r="X4687" s="5"/>
      <c r="Y4687" s="5"/>
      <c r="Z4687" s="5"/>
    </row>
    <row r="4688" spans="1:26" ht="15" x14ac:dyDescent="0.25">
      <c r="A4688" s="4" t="s">
        <v>4686</v>
      </c>
      <c r="B4688" s="4" t="s">
        <v>4550</v>
      </c>
      <c r="C4688" s="2" t="str">
        <f ca="1">IFERROR(__xludf.DUMMYFUNCTION("GOOGLETRANSLATE(A4688,""bn"",""en"")"),"How much battery was damaged by buying the phone with so much money only for the charger")</f>
        <v>How much battery was damaged by buying the phone with so much money only for the charger</v>
      </c>
      <c r="D4688" s="5"/>
      <c r="E4688" s="5"/>
      <c r="F4688" s="5"/>
      <c r="G4688" s="5"/>
      <c r="H4688" s="5"/>
      <c r="I4688" s="5"/>
      <c r="J4688" s="5"/>
      <c r="K4688" s="5"/>
      <c r="L4688" s="5"/>
      <c r="M4688" s="5"/>
      <c r="N4688" s="5"/>
      <c r="O4688" s="5"/>
      <c r="P4688" s="5"/>
      <c r="Q4688" s="5"/>
      <c r="R4688" s="5"/>
      <c r="S4688" s="5"/>
      <c r="T4688" s="5"/>
      <c r="U4688" s="5"/>
      <c r="V4688" s="5"/>
      <c r="W4688" s="5"/>
      <c r="X4688" s="5"/>
      <c r="Y4688" s="5"/>
      <c r="Z4688" s="5"/>
    </row>
    <row r="4689" spans="1:26" ht="15" x14ac:dyDescent="0.25">
      <c r="A4689" s="4" t="s">
        <v>4687</v>
      </c>
      <c r="B4689" s="4" t="s">
        <v>4550</v>
      </c>
      <c r="C4689" s="2" t="str">
        <f ca="1">IFERROR(__xludf.DUMMYFUNCTION("GOOGLETRANSLATE(A4689,""bn"",""en"")"),"It was a wonderful, beautiful and sweet feeling after watching the film. The wonderful scenery of rural Bengal reminded me of my childhood, how sacred the previous culture was. I didn't feel bored after watching the film.")</f>
        <v>It was a wonderful, beautiful and sweet feeling after watching the film. The wonderful scenery of rural Bengal reminded me of my childhood, how sacred the previous culture was. I didn't feel bored after watching the film.</v>
      </c>
      <c r="D4689" s="5"/>
      <c r="E4689" s="5"/>
      <c r="F4689" s="5"/>
      <c r="G4689" s="5"/>
      <c r="H4689" s="5"/>
      <c r="I4689" s="5"/>
      <c r="J4689" s="5"/>
      <c r="K4689" s="5"/>
      <c r="L4689" s="5"/>
      <c r="M4689" s="5"/>
      <c r="N4689" s="5"/>
      <c r="O4689" s="5"/>
      <c r="P4689" s="5"/>
      <c r="Q4689" s="5"/>
      <c r="R4689" s="5"/>
      <c r="S4689" s="5"/>
      <c r="T4689" s="5"/>
      <c r="U4689" s="5"/>
      <c r="V4689" s="5"/>
      <c r="W4689" s="5"/>
      <c r="X4689" s="5"/>
      <c r="Y4689" s="5"/>
      <c r="Z4689" s="5"/>
    </row>
    <row r="4690" spans="1:26" ht="15" x14ac:dyDescent="0.25">
      <c r="A4690" s="4" t="s">
        <v>4688</v>
      </c>
      <c r="B4690" s="4" t="s">
        <v>4550</v>
      </c>
      <c r="C4690" s="2" t="str">
        <f ca="1">IFERROR(__xludf.DUMMYFUNCTION("GOOGLETRANSLATE(A4690,""bn"",""en"")"),"Maharani Moushumi of Bengali films was the wife of Bengal, her performance was unparalleled")</f>
        <v>Maharani Moushumi of Bengali films was the wife of Bengal, her performance was unparalleled</v>
      </c>
      <c r="D4690" s="5"/>
      <c r="E4690" s="5"/>
      <c r="F4690" s="5"/>
      <c r="G4690" s="5"/>
      <c r="H4690" s="5"/>
      <c r="I4690" s="5"/>
      <c r="J4690" s="5"/>
      <c r="K4690" s="5"/>
      <c r="L4690" s="5"/>
      <c r="M4690" s="5"/>
      <c r="N4690" s="5"/>
      <c r="O4690" s="5"/>
      <c r="P4690" s="5"/>
      <c r="Q4690" s="5"/>
      <c r="R4690" s="5"/>
      <c r="S4690" s="5"/>
      <c r="T4690" s="5"/>
      <c r="U4690" s="5"/>
      <c r="V4690" s="5"/>
      <c r="W4690" s="5"/>
      <c r="X4690" s="5"/>
      <c r="Y4690" s="5"/>
      <c r="Z4690" s="5"/>
    </row>
    <row r="4691" spans="1:26" ht="15" x14ac:dyDescent="0.25">
      <c r="A4691" s="4" t="s">
        <v>4689</v>
      </c>
      <c r="B4691" s="4" t="s">
        <v>4550</v>
      </c>
      <c r="C4691" s="2" t="str">
        <f ca="1">IFERROR(__xludf.DUMMYFUNCTION("GOOGLETRANSLATE(A4691,""bn"",""en"")"),"Watching this movie reminded me of the old days")</f>
        <v>Watching this movie reminded me of the old days</v>
      </c>
      <c r="D4691" s="5"/>
      <c r="E4691" s="5"/>
      <c r="F4691" s="5"/>
      <c r="G4691" s="5"/>
      <c r="H4691" s="5"/>
      <c r="I4691" s="5"/>
      <c r="J4691" s="5"/>
      <c r="K4691" s="5"/>
      <c r="L4691" s="5"/>
      <c r="M4691" s="5"/>
      <c r="N4691" s="5"/>
      <c r="O4691" s="5"/>
      <c r="P4691" s="5"/>
      <c r="Q4691" s="5"/>
      <c r="R4691" s="5"/>
      <c r="S4691" s="5"/>
      <c r="T4691" s="5"/>
      <c r="U4691" s="5"/>
      <c r="V4691" s="5"/>
      <c r="W4691" s="5"/>
      <c r="X4691" s="5"/>
      <c r="Y4691" s="5"/>
      <c r="Z4691" s="5"/>
    </row>
    <row r="4692" spans="1:26" ht="15" x14ac:dyDescent="0.25">
      <c r="A4692" s="4" t="s">
        <v>4690</v>
      </c>
      <c r="B4692" s="4" t="s">
        <v>4550</v>
      </c>
      <c r="C4692" s="2" t="str">
        <f ca="1">IFERROR(__xludf.DUMMYFUNCTION("GOOGLETRANSLATE(A4692,""bn"",""en"")"),"There is nothing that was left to be seen, now it was decided to make a movie with this story")</f>
        <v>There is nothing that was left to be seen, now it was decided to make a movie with this story</v>
      </c>
      <c r="D4692" s="5"/>
      <c r="E4692" s="5"/>
      <c r="F4692" s="5"/>
      <c r="G4692" s="5"/>
      <c r="H4692" s="5"/>
      <c r="I4692" s="5"/>
      <c r="J4692" s="5"/>
      <c r="K4692" s="5"/>
      <c r="L4692" s="5"/>
      <c r="M4692" s="5"/>
      <c r="N4692" s="5"/>
      <c r="O4692" s="5"/>
      <c r="P4692" s="5"/>
      <c r="Q4692" s="5"/>
      <c r="R4692" s="5"/>
      <c r="S4692" s="5"/>
      <c r="T4692" s="5"/>
      <c r="U4692" s="5"/>
      <c r="V4692" s="5"/>
      <c r="W4692" s="5"/>
      <c r="X4692" s="5"/>
      <c r="Y4692" s="5"/>
      <c r="Z4692" s="5"/>
    </row>
    <row r="4693" spans="1:26" ht="15" x14ac:dyDescent="0.25">
      <c r="A4693" s="4" t="s">
        <v>4691</v>
      </c>
      <c r="B4693" s="4" t="s">
        <v>4550</v>
      </c>
      <c r="C4693" s="2" t="str">
        <f ca="1">IFERROR(__xludf.DUMMYFUNCTION("GOOGLETRANSLATE(A4693,""bn"",""en"")"),"My very favorite hero heroine film was very like Phule like wife this movie is the best")</f>
        <v>My very favorite hero heroine film was very like Phule like wife this movie is the best</v>
      </c>
      <c r="D4693" s="5"/>
      <c r="E4693" s="5"/>
      <c r="F4693" s="5"/>
      <c r="G4693" s="5"/>
      <c r="H4693" s="5"/>
      <c r="I4693" s="5"/>
      <c r="J4693" s="5"/>
      <c r="K4693" s="5"/>
      <c r="L4693" s="5"/>
      <c r="M4693" s="5"/>
      <c r="N4693" s="5"/>
      <c r="O4693" s="5"/>
      <c r="P4693" s="5"/>
      <c r="Q4693" s="5"/>
      <c r="R4693" s="5"/>
      <c r="S4693" s="5"/>
      <c r="T4693" s="5"/>
      <c r="U4693" s="5"/>
      <c r="V4693" s="5"/>
      <c r="W4693" s="5"/>
      <c r="X4693" s="5"/>
      <c r="Y4693" s="5"/>
      <c r="Z4693" s="5"/>
    </row>
    <row r="4694" spans="1:26" ht="15" x14ac:dyDescent="0.25">
      <c r="A4694" s="4" t="s">
        <v>4692</v>
      </c>
      <c r="B4694" s="4" t="s">
        <v>4550</v>
      </c>
      <c r="C4694" s="2" t="str">
        <f ca="1">IFERROR(__xludf.DUMMYFUNCTION("GOOGLETRANSLATE(A4694,""bn"",""en"")"),"The wonderful nature of rural Bengal was brought out in the cinema")</f>
        <v>The wonderful nature of rural Bengal was brought out in the cinema</v>
      </c>
      <c r="D4694" s="5"/>
      <c r="E4694" s="5"/>
      <c r="F4694" s="5"/>
      <c r="G4694" s="5"/>
      <c r="H4694" s="5"/>
      <c r="I4694" s="5"/>
      <c r="J4694" s="5"/>
      <c r="K4694" s="5"/>
      <c r="L4694" s="5"/>
      <c r="M4694" s="5"/>
      <c r="N4694" s="5"/>
      <c r="O4694" s="5"/>
      <c r="P4694" s="5"/>
      <c r="Q4694" s="5"/>
      <c r="R4694" s="5"/>
      <c r="S4694" s="5"/>
      <c r="T4694" s="5"/>
      <c r="U4694" s="5"/>
      <c r="V4694" s="5"/>
      <c r="W4694" s="5"/>
      <c r="X4694" s="5"/>
      <c r="Y4694" s="5"/>
      <c r="Z4694" s="5"/>
    </row>
    <row r="4695" spans="1:26" ht="15" x14ac:dyDescent="0.25">
      <c r="A4695" s="4" t="s">
        <v>4693</v>
      </c>
      <c r="B4695" s="4" t="s">
        <v>4550</v>
      </c>
      <c r="C4695" s="2" t="str">
        <f ca="1">IFERROR(__xludf.DUMMYFUNCTION("GOOGLETRANSLATE(A4695,""bn"",""en"")"),"I was shocked Bengali movie was so beautiful who will tell us it is a movie it was lost in real life how simple people were before")</f>
        <v>I was shocked Bengali movie was so beautiful who will tell us it is a movie it was lost in real life how simple people were before</v>
      </c>
      <c r="D4695" s="5"/>
      <c r="E4695" s="5"/>
      <c r="F4695" s="5"/>
      <c r="G4695" s="5"/>
      <c r="H4695" s="5"/>
      <c r="I4695" s="5"/>
      <c r="J4695" s="5"/>
      <c r="K4695" s="5"/>
      <c r="L4695" s="5"/>
      <c r="M4695" s="5"/>
      <c r="N4695" s="5"/>
      <c r="O4695" s="5"/>
      <c r="P4695" s="5"/>
      <c r="Q4695" s="5"/>
      <c r="R4695" s="5"/>
      <c r="S4695" s="5"/>
      <c r="T4695" s="5"/>
      <c r="U4695" s="5"/>
      <c r="V4695" s="5"/>
      <c r="W4695" s="5"/>
      <c r="X4695" s="5"/>
      <c r="Y4695" s="5"/>
      <c r="Z4695" s="5"/>
    </row>
    <row r="4696" spans="1:26" ht="15" x14ac:dyDescent="0.25">
      <c r="A4696" s="4" t="s">
        <v>4694</v>
      </c>
      <c r="B4696" s="4" t="s">
        <v>4550</v>
      </c>
      <c r="C4696" s="2" t="str">
        <f ca="1">IFERROR(__xludf.DUMMYFUNCTION("GOOGLETRANSLATE(A4696,""bn"",""en"")"),"There was learning from the movie so I watched the whole thing again")</f>
        <v>There was learning from the movie so I watched the whole thing again</v>
      </c>
      <c r="D4696" s="5"/>
      <c r="E4696" s="5"/>
      <c r="F4696" s="5"/>
      <c r="G4696" s="5"/>
      <c r="H4696" s="5"/>
      <c r="I4696" s="5"/>
      <c r="J4696" s="5"/>
      <c r="K4696" s="5"/>
      <c r="L4696" s="5"/>
      <c r="M4696" s="5"/>
      <c r="N4696" s="5"/>
      <c r="O4696" s="5"/>
      <c r="P4696" s="5"/>
      <c r="Q4696" s="5"/>
      <c r="R4696" s="5"/>
      <c r="S4696" s="5"/>
      <c r="T4696" s="5"/>
      <c r="U4696" s="5"/>
      <c r="V4696" s="5"/>
      <c r="W4696" s="5"/>
      <c r="X4696" s="5"/>
      <c r="Y4696" s="5"/>
      <c r="Z4696" s="5"/>
    </row>
    <row r="4697" spans="1:26" ht="15" x14ac:dyDescent="0.25">
      <c r="A4697" s="4" t="s">
        <v>4695</v>
      </c>
      <c r="B4697" s="4" t="s">
        <v>4550</v>
      </c>
      <c r="C4697" s="2" t="str">
        <f ca="1">IFERROR(__xludf.DUMMYFUNCTION("GOOGLETRANSLATE(A4697,""bn"",""en"")"),"It was all fake")</f>
        <v>It was all fake</v>
      </c>
      <c r="D4697" s="5"/>
      <c r="E4697" s="5"/>
      <c r="F4697" s="5"/>
      <c r="G4697" s="5"/>
      <c r="H4697" s="5"/>
      <c r="I4697" s="5"/>
      <c r="J4697" s="5"/>
      <c r="K4697" s="5"/>
      <c r="L4697" s="5"/>
      <c r="M4697" s="5"/>
      <c r="N4697" s="5"/>
      <c r="O4697" s="5"/>
      <c r="P4697" s="5"/>
      <c r="Q4697" s="5"/>
      <c r="R4697" s="5"/>
      <c r="S4697" s="5"/>
      <c r="T4697" s="5"/>
      <c r="U4697" s="5"/>
      <c r="V4697" s="5"/>
      <c r="W4697" s="5"/>
      <c r="X4697" s="5"/>
      <c r="Y4697" s="5"/>
      <c r="Z4697" s="5"/>
    </row>
    <row r="4698" spans="1:26" ht="15" x14ac:dyDescent="0.25">
      <c r="A4698" s="4" t="s">
        <v>4696</v>
      </c>
      <c r="B4698" s="4" t="s">
        <v>4550</v>
      </c>
      <c r="C4698" s="2" t="str">
        <f ca="1">IFERROR(__xludf.DUMMYFUNCTION("GOOGLETRANSLATE(A4698,""bn"",""en"")"),"Many beautiful Parimony used to act very well")</f>
        <v>Many beautiful Parimony used to act very well</v>
      </c>
      <c r="D4698" s="5"/>
      <c r="E4698" s="5"/>
      <c r="F4698" s="5"/>
      <c r="G4698" s="5"/>
      <c r="H4698" s="5"/>
      <c r="I4698" s="5"/>
      <c r="J4698" s="5"/>
      <c r="K4698" s="5"/>
      <c r="L4698" s="5"/>
      <c r="M4698" s="5"/>
      <c r="N4698" s="5"/>
      <c r="O4698" s="5"/>
      <c r="P4698" s="5"/>
      <c r="Q4698" s="5"/>
      <c r="R4698" s="5"/>
      <c r="S4698" s="5"/>
      <c r="T4698" s="5"/>
      <c r="U4698" s="5"/>
      <c r="V4698" s="5"/>
      <c r="W4698" s="5"/>
      <c r="X4698" s="5"/>
      <c r="Y4698" s="5"/>
      <c r="Z4698" s="5"/>
    </row>
    <row r="4699" spans="1:26" ht="15" x14ac:dyDescent="0.25">
      <c r="A4699" s="4" t="s">
        <v>4697</v>
      </c>
      <c r="B4699" s="4" t="s">
        <v>4550</v>
      </c>
      <c r="C4699" s="2" t="str">
        <f ca="1">IFERROR(__xludf.DUMMYFUNCTION("GOOGLETRANSLATE(A4699,""bn"",""en"")"),"The trailer gave a father-son love story")</f>
        <v>The trailer gave a father-son love story</v>
      </c>
      <c r="D4699" s="5"/>
      <c r="E4699" s="5"/>
      <c r="F4699" s="5"/>
      <c r="G4699" s="5"/>
      <c r="H4699" s="5"/>
      <c r="I4699" s="5"/>
      <c r="J4699" s="5"/>
      <c r="K4699" s="5"/>
      <c r="L4699" s="5"/>
      <c r="M4699" s="5"/>
      <c r="N4699" s="5"/>
      <c r="O4699" s="5"/>
      <c r="P4699" s="5"/>
      <c r="Q4699" s="5"/>
      <c r="R4699" s="5"/>
      <c r="S4699" s="5"/>
      <c r="T4699" s="5"/>
      <c r="U4699" s="5"/>
      <c r="V4699" s="5"/>
      <c r="W4699" s="5"/>
      <c r="X4699" s="5"/>
      <c r="Y4699" s="5"/>
      <c r="Z4699" s="5"/>
    </row>
    <row r="4700" spans="1:26" ht="15" x14ac:dyDescent="0.25">
      <c r="A4700" s="4" t="s">
        <v>4698</v>
      </c>
      <c r="B4700" s="4" t="s">
        <v>4550</v>
      </c>
      <c r="C4700" s="2" t="str">
        <f ca="1">IFERROR(__xludf.DUMMYFUNCTION("GOOGLETRANSLATE(A4700,""bn"",""en"")"),"A woman and a man learned a lot from this picture")</f>
        <v>A woman and a man learned a lot from this picture</v>
      </c>
      <c r="D4700" s="5"/>
      <c r="E4700" s="5"/>
      <c r="F4700" s="5"/>
      <c r="G4700" s="5"/>
      <c r="H4700" s="5"/>
      <c r="I4700" s="5"/>
      <c r="J4700" s="5"/>
      <c r="K4700" s="5"/>
      <c r="L4700" s="5"/>
      <c r="M4700" s="5"/>
      <c r="N4700" s="5"/>
      <c r="O4700" s="5"/>
      <c r="P4700" s="5"/>
      <c r="Q4700" s="5"/>
      <c r="R4700" s="5"/>
      <c r="S4700" s="5"/>
      <c r="T4700" s="5"/>
      <c r="U4700" s="5"/>
      <c r="V4700" s="5"/>
      <c r="W4700" s="5"/>
      <c r="X4700" s="5"/>
      <c r="Y4700" s="5"/>
      <c r="Z4700" s="5"/>
    </row>
    <row r="4701" spans="1:26" ht="15" x14ac:dyDescent="0.25">
      <c r="A4701" s="4" t="s">
        <v>4699</v>
      </c>
      <c r="B4701" s="4" t="s">
        <v>4550</v>
      </c>
      <c r="C4701" s="2" t="str">
        <f ca="1">IFERROR(__xludf.DUMMYFUNCTION("GOOGLETRANSLATE(A4701,""bn"",""en"")"),"After a long time, I saw a Bengali film. The film was actually very beautiful. It was worthwhile to wake up at night")</f>
        <v>After a long time, I saw a Bengali film. The film was actually very beautiful. It was worthwhile to wake up at night</v>
      </c>
      <c r="D4701" s="5"/>
      <c r="E4701" s="5"/>
      <c r="F4701" s="5"/>
      <c r="G4701" s="5"/>
      <c r="H4701" s="5"/>
      <c r="I4701" s="5"/>
      <c r="J4701" s="5"/>
      <c r="K4701" s="5"/>
      <c r="L4701" s="5"/>
      <c r="M4701" s="5"/>
      <c r="N4701" s="5"/>
      <c r="O4701" s="5"/>
      <c r="P4701" s="5"/>
      <c r="Q4701" s="5"/>
      <c r="R4701" s="5"/>
      <c r="S4701" s="5"/>
      <c r="T4701" s="5"/>
      <c r="U4701" s="5"/>
      <c r="V4701" s="5"/>
      <c r="W4701" s="5"/>
      <c r="X4701" s="5"/>
      <c r="Y4701" s="5"/>
      <c r="Z4701" s="5"/>
    </row>
    <row r="4702" spans="1:26" ht="15" x14ac:dyDescent="0.25">
      <c r="A4702" s="4" t="s">
        <v>4700</v>
      </c>
      <c r="B4702" s="4" t="s">
        <v>4550</v>
      </c>
      <c r="C4702" s="2" t="str">
        <f ca="1">IFERROR(__xludf.DUMMYFUNCTION("GOOGLETRANSLATE(A4702,""bn"",""en"")"),"Oh, I wanted to see pictures in a pleasant environment")</f>
        <v>Oh, I wanted to see pictures in a pleasant environment</v>
      </c>
      <c r="D4702" s="5"/>
      <c r="E4702" s="5"/>
      <c r="F4702" s="5"/>
      <c r="G4702" s="5"/>
      <c r="H4702" s="5"/>
      <c r="I4702" s="5"/>
      <c r="J4702" s="5"/>
      <c r="K4702" s="5"/>
      <c r="L4702" s="5"/>
      <c r="M4702" s="5"/>
      <c r="N4702" s="5"/>
      <c r="O4702" s="5"/>
      <c r="P4702" s="5"/>
      <c r="Q4702" s="5"/>
      <c r="R4702" s="5"/>
      <c r="S4702" s="5"/>
      <c r="T4702" s="5"/>
      <c r="U4702" s="5"/>
      <c r="V4702" s="5"/>
      <c r="W4702" s="5"/>
      <c r="X4702" s="5"/>
      <c r="Y4702" s="5"/>
      <c r="Z4702" s="5"/>
    </row>
    <row r="4703" spans="1:26" ht="15" x14ac:dyDescent="0.25">
      <c r="A4703" s="4" t="s">
        <v>4701</v>
      </c>
      <c r="B4703" s="4" t="s">
        <v>4550</v>
      </c>
      <c r="C4703" s="2" t="str">
        <f ca="1">IFERROR(__xludf.DUMMYFUNCTION("GOOGLETRANSLATE(A4703,""bn"",""en"")"),"Didn't like it very much")</f>
        <v>Didn't like it very much</v>
      </c>
      <c r="D4703" s="5"/>
      <c r="E4703" s="5"/>
      <c r="F4703" s="5"/>
      <c r="G4703" s="5"/>
      <c r="H4703" s="5"/>
      <c r="I4703" s="5"/>
      <c r="J4703" s="5"/>
      <c r="K4703" s="5"/>
      <c r="L4703" s="5"/>
      <c r="M4703" s="5"/>
      <c r="N4703" s="5"/>
      <c r="O4703" s="5"/>
      <c r="P4703" s="5"/>
      <c r="Q4703" s="5"/>
      <c r="R4703" s="5"/>
      <c r="S4703" s="5"/>
      <c r="T4703" s="5"/>
      <c r="U4703" s="5"/>
      <c r="V4703" s="5"/>
      <c r="W4703" s="5"/>
      <c r="X4703" s="5"/>
      <c r="Y4703" s="5"/>
      <c r="Z4703" s="5"/>
    </row>
    <row r="4704" spans="1:26" ht="15" x14ac:dyDescent="0.25">
      <c r="A4704" s="4" t="s">
        <v>4702</v>
      </c>
      <c r="B4704" s="4" t="s">
        <v>4550</v>
      </c>
      <c r="C4704" s="2" t="str">
        <f ca="1">IFERROR(__xludf.DUMMYFUNCTION("GOOGLETRANSLATE(A4704,""bn"",""en"")"),"How did these great actors fall into the hands of a horrible director?")</f>
        <v>How did these great actors fall into the hands of a horrible director?</v>
      </c>
      <c r="D4704" s="5"/>
      <c r="E4704" s="5"/>
      <c r="F4704" s="5"/>
      <c r="G4704" s="5"/>
      <c r="H4704" s="5"/>
      <c r="I4704" s="5"/>
      <c r="J4704" s="5"/>
      <c r="K4704" s="5"/>
      <c r="L4704" s="5"/>
      <c r="M4704" s="5"/>
      <c r="N4704" s="5"/>
      <c r="O4704" s="5"/>
      <c r="P4704" s="5"/>
      <c r="Q4704" s="5"/>
      <c r="R4704" s="5"/>
      <c r="S4704" s="5"/>
      <c r="T4704" s="5"/>
      <c r="U4704" s="5"/>
      <c r="V4704" s="5"/>
      <c r="W4704" s="5"/>
      <c r="X4704" s="5"/>
      <c r="Y4704" s="5"/>
      <c r="Z4704" s="5"/>
    </row>
    <row r="4705" spans="1:26" ht="15" x14ac:dyDescent="0.25">
      <c r="A4705" s="4" t="s">
        <v>4703</v>
      </c>
      <c r="B4705" s="4" t="s">
        <v>4550</v>
      </c>
      <c r="C4705" s="2" t="str">
        <f ca="1">IFERROR(__xludf.DUMMYFUNCTION("GOOGLETRANSLATE(A4705,""bn"",""en"")"),"The end was not tolerable human life was indeed very terrible")</f>
        <v>The end was not tolerable human life was indeed very terrible</v>
      </c>
      <c r="D4705" s="5"/>
      <c r="E4705" s="5"/>
      <c r="F4705" s="5"/>
      <c r="G4705" s="5"/>
      <c r="H4705" s="5"/>
      <c r="I4705" s="5"/>
      <c r="J4705" s="5"/>
      <c r="K4705" s="5"/>
      <c r="L4705" s="5"/>
      <c r="M4705" s="5"/>
      <c r="N4705" s="5"/>
      <c r="O4705" s="5"/>
      <c r="P4705" s="5"/>
      <c r="Q4705" s="5"/>
      <c r="R4705" s="5"/>
      <c r="S4705" s="5"/>
      <c r="T4705" s="5"/>
      <c r="U4705" s="5"/>
      <c r="V4705" s="5"/>
      <c r="W4705" s="5"/>
      <c r="X4705" s="5"/>
      <c r="Y4705" s="5"/>
      <c r="Z4705" s="5"/>
    </row>
    <row r="4706" spans="1:26" ht="15" x14ac:dyDescent="0.25">
      <c r="A4706" s="4" t="s">
        <v>4704</v>
      </c>
      <c r="B4706" s="4" t="s">
        <v>4550</v>
      </c>
      <c r="C4706" s="2" t="str">
        <f ca="1">IFERROR(__xludf.DUMMYFUNCTION("GOOGLETRANSLATE(A4706,""bn"",""en"")"),"Omar Sani was a Tang Fang hero and all the performances unfolded in Ilyaskanchan Hall")</f>
        <v>Omar Sani was a Tang Fang hero and all the performances unfolded in Ilyaskanchan Hall</v>
      </c>
      <c r="D4706" s="5"/>
      <c r="E4706" s="5"/>
      <c r="F4706" s="5"/>
      <c r="G4706" s="5"/>
      <c r="H4706" s="5"/>
      <c r="I4706" s="5"/>
      <c r="J4706" s="5"/>
      <c r="K4706" s="5"/>
      <c r="L4706" s="5"/>
      <c r="M4706" s="5"/>
      <c r="N4706" s="5"/>
      <c r="O4706" s="5"/>
      <c r="P4706" s="5"/>
      <c r="Q4706" s="5"/>
      <c r="R4706" s="5"/>
      <c r="S4706" s="5"/>
      <c r="T4706" s="5"/>
      <c r="U4706" s="5"/>
      <c r="V4706" s="5"/>
      <c r="W4706" s="5"/>
      <c r="X4706" s="5"/>
      <c r="Y4706" s="5"/>
      <c r="Z4706" s="5"/>
    </row>
    <row r="4707" spans="1:26" ht="15" x14ac:dyDescent="0.25">
      <c r="A4707" s="4" t="s">
        <v>4705</v>
      </c>
      <c r="B4707" s="4" t="s">
        <v>4550</v>
      </c>
      <c r="C4707" s="2" t="str">
        <f ca="1">IFERROR(__xludf.DUMMYFUNCTION("GOOGLETRANSLATE(A4707,""bn"",""en"")"),"The story of the movie was quite good but except Misha and Rubel's acting, none of them looked professional.")</f>
        <v>The story of the movie was quite good but except Misha and Rubel's acting, none of them looked professional.</v>
      </c>
      <c r="D4707" s="5"/>
      <c r="E4707" s="5"/>
      <c r="F4707" s="5"/>
      <c r="G4707" s="5"/>
      <c r="H4707" s="5"/>
      <c r="I4707" s="5"/>
      <c r="J4707" s="5"/>
      <c r="K4707" s="5"/>
      <c r="L4707" s="5"/>
      <c r="M4707" s="5"/>
      <c r="N4707" s="5"/>
      <c r="O4707" s="5"/>
      <c r="P4707" s="5"/>
      <c r="Q4707" s="5"/>
      <c r="R4707" s="5"/>
      <c r="S4707" s="5"/>
      <c r="T4707" s="5"/>
      <c r="U4707" s="5"/>
      <c r="V4707" s="5"/>
      <c r="W4707" s="5"/>
      <c r="X4707" s="5"/>
      <c r="Y4707" s="5"/>
      <c r="Z4707" s="5"/>
    </row>
    <row r="4708" spans="1:26" ht="15" x14ac:dyDescent="0.25">
      <c r="A4708" s="4" t="s">
        <v>4706</v>
      </c>
      <c r="B4708" s="4" t="s">
        <v>4550</v>
      </c>
      <c r="C4708" s="2" t="str">
        <f ca="1">IFERROR(__xludf.DUMMYFUNCTION("GOOGLETRANSLATE(A4708,""bn"",""en"")"),"The movie was a wonderful rural area")</f>
        <v>The movie was a wonderful rural area</v>
      </c>
      <c r="D4708" s="5"/>
      <c r="E4708" s="5"/>
      <c r="F4708" s="5"/>
      <c r="G4708" s="5"/>
      <c r="H4708" s="5"/>
      <c r="I4708" s="5"/>
      <c r="J4708" s="5"/>
      <c r="K4708" s="5"/>
      <c r="L4708" s="5"/>
      <c r="M4708" s="5"/>
      <c r="N4708" s="5"/>
      <c r="O4708" s="5"/>
      <c r="P4708" s="5"/>
      <c r="Q4708" s="5"/>
      <c r="R4708" s="5"/>
      <c r="S4708" s="5"/>
      <c r="T4708" s="5"/>
      <c r="U4708" s="5"/>
      <c r="V4708" s="5"/>
      <c r="W4708" s="5"/>
      <c r="X4708" s="5"/>
      <c r="Y4708" s="5"/>
      <c r="Z4708" s="5"/>
    </row>
    <row r="4709" spans="1:26" ht="15" x14ac:dyDescent="0.25">
      <c r="A4709" s="4" t="s">
        <v>4707</v>
      </c>
      <c r="B4709" s="4" t="s">
        <v>4550</v>
      </c>
      <c r="C4709" s="2" t="str">
        <f ca="1">IFERROR(__xludf.DUMMYFUNCTION("GOOGLETRANSLATE(A4709,""bn"",""en"")"),"It was the most popular movie in the history of Bangladesh")</f>
        <v>It was the most popular movie in the history of Bangladesh</v>
      </c>
      <c r="D4709" s="5"/>
      <c r="E4709" s="5"/>
      <c r="F4709" s="5"/>
      <c r="G4709" s="5"/>
      <c r="H4709" s="5"/>
      <c r="I4709" s="5"/>
      <c r="J4709" s="5"/>
      <c r="K4709" s="5"/>
      <c r="L4709" s="5"/>
      <c r="M4709" s="5"/>
      <c r="N4709" s="5"/>
      <c r="O4709" s="5"/>
      <c r="P4709" s="5"/>
      <c r="Q4709" s="5"/>
      <c r="R4709" s="5"/>
      <c r="S4709" s="5"/>
      <c r="T4709" s="5"/>
      <c r="U4709" s="5"/>
      <c r="V4709" s="5"/>
      <c r="W4709" s="5"/>
      <c r="X4709" s="5"/>
      <c r="Y4709" s="5"/>
      <c r="Z4709" s="5"/>
    </row>
    <row r="4710" spans="1:26" ht="15" x14ac:dyDescent="0.25">
      <c r="A4710" s="4" t="s">
        <v>4708</v>
      </c>
      <c r="B4710" s="4" t="s">
        <v>4550</v>
      </c>
      <c r="C4710" s="2" t="str">
        <f ca="1">IFERROR(__xludf.DUMMYFUNCTION("GOOGLETRANSLATE(A4710,""bn"",""en"")"),"In this movie, the beauty of nature was shown and it looked really beautiful")</f>
        <v>In this movie, the beauty of nature was shown and it looked really beautiful</v>
      </c>
      <c r="D4710" s="5"/>
      <c r="E4710" s="5"/>
      <c r="F4710" s="5"/>
      <c r="G4710" s="5"/>
      <c r="H4710" s="5"/>
      <c r="I4710" s="5"/>
      <c r="J4710" s="5"/>
      <c r="K4710" s="5"/>
      <c r="L4710" s="5"/>
      <c r="M4710" s="5"/>
      <c r="N4710" s="5"/>
      <c r="O4710" s="5"/>
      <c r="P4710" s="5"/>
      <c r="Q4710" s="5"/>
      <c r="R4710" s="5"/>
      <c r="S4710" s="5"/>
      <c r="T4710" s="5"/>
      <c r="U4710" s="5"/>
      <c r="V4710" s="5"/>
      <c r="W4710" s="5"/>
      <c r="X4710" s="5"/>
      <c r="Y4710" s="5"/>
      <c r="Z4710" s="5"/>
    </row>
    <row r="4711" spans="1:26" ht="15" x14ac:dyDescent="0.25">
      <c r="A4711" s="4" t="s">
        <v>4709</v>
      </c>
      <c r="B4711" s="4" t="s">
        <v>4550</v>
      </c>
      <c r="C4711" s="2" t="str">
        <f ca="1">IFERROR(__xludf.DUMMYFUNCTION("GOOGLETRANSLATE(A4711,""bn"",""en"")"),"Bubli was acting very well")</f>
        <v>Bubli was acting very well</v>
      </c>
      <c r="D4711" s="5"/>
      <c r="E4711" s="5"/>
      <c r="F4711" s="5"/>
      <c r="G4711" s="5"/>
      <c r="H4711" s="5"/>
      <c r="I4711" s="5"/>
      <c r="J4711" s="5"/>
      <c r="K4711" s="5"/>
      <c r="L4711" s="5"/>
      <c r="M4711" s="5"/>
      <c r="N4711" s="5"/>
      <c r="O4711" s="5"/>
      <c r="P4711" s="5"/>
      <c r="Q4711" s="5"/>
      <c r="R4711" s="5"/>
      <c r="S4711" s="5"/>
      <c r="T4711" s="5"/>
      <c r="U4711" s="5"/>
      <c r="V4711" s="5"/>
      <c r="W4711" s="5"/>
      <c r="X4711" s="5"/>
      <c r="Y4711" s="5"/>
      <c r="Z4711" s="5"/>
    </row>
    <row r="4712" spans="1:26" ht="15" x14ac:dyDescent="0.25">
      <c r="A4712" s="4" t="s">
        <v>4710</v>
      </c>
      <c r="B4712" s="4" t="s">
        <v>4550</v>
      </c>
      <c r="C4712" s="2" t="str">
        <f ca="1">IFERROR(__xludf.DUMMYFUNCTION("GOOGLETRANSLATE(A4712,""bn"",""en"")"),"I was extremely annoyed by Jaya's performance")</f>
        <v>I was extremely annoyed by Jaya's performance</v>
      </c>
      <c r="D4712" s="5"/>
      <c r="E4712" s="5"/>
      <c r="F4712" s="5"/>
      <c r="G4712" s="5"/>
      <c r="H4712" s="5"/>
      <c r="I4712" s="5"/>
      <c r="J4712" s="5"/>
      <c r="K4712" s="5"/>
      <c r="L4712" s="5"/>
      <c r="M4712" s="5"/>
      <c r="N4712" s="5"/>
      <c r="O4712" s="5"/>
      <c r="P4712" s="5"/>
      <c r="Q4712" s="5"/>
      <c r="R4712" s="5"/>
      <c r="S4712" s="5"/>
      <c r="T4712" s="5"/>
      <c r="U4712" s="5"/>
      <c r="V4712" s="5"/>
      <c r="W4712" s="5"/>
      <c r="X4712" s="5"/>
      <c r="Y4712" s="5"/>
      <c r="Z4712" s="5"/>
    </row>
    <row r="4713" spans="1:26" ht="15" x14ac:dyDescent="0.25">
      <c r="A4713" s="4" t="s">
        <v>4711</v>
      </c>
      <c r="B4713" s="4" t="s">
        <v>4550</v>
      </c>
      <c r="C4713" s="2" t="str">
        <f ca="1">IFERROR(__xludf.DUMMYFUNCTION("GOOGLETRANSLATE(A4713,""bn"",""en"")"),"This movie had amazing acting of every character, music was heart touching and that's why it was so popular")</f>
        <v>This movie had amazing acting of every character, music was heart touching and that's why it was so popular</v>
      </c>
      <c r="D4713" s="5"/>
      <c r="E4713" s="5"/>
      <c r="F4713" s="5"/>
      <c r="G4713" s="5"/>
      <c r="H4713" s="5"/>
      <c r="I4713" s="5"/>
      <c r="J4713" s="5"/>
      <c r="K4713" s="5"/>
      <c r="L4713" s="5"/>
      <c r="M4713" s="5"/>
      <c r="N4713" s="5"/>
      <c r="O4713" s="5"/>
      <c r="P4713" s="5"/>
      <c r="Q4713" s="5"/>
      <c r="R4713" s="5"/>
      <c r="S4713" s="5"/>
      <c r="T4713" s="5"/>
      <c r="U4713" s="5"/>
      <c r="V4713" s="5"/>
      <c r="W4713" s="5"/>
      <c r="X4713" s="5"/>
      <c r="Y4713" s="5"/>
      <c r="Z4713" s="5"/>
    </row>
    <row r="4714" spans="1:26" ht="15" x14ac:dyDescent="0.25">
      <c r="A4714" s="4" t="s">
        <v>4712</v>
      </c>
      <c r="B4714" s="4" t="s">
        <v>4550</v>
      </c>
      <c r="C4714" s="2" t="str">
        <f ca="1">IFERROR(__xludf.DUMMYFUNCTION("GOOGLETRANSLATE(A4714,""bn"",""en"")"),"Those who made these films had no idea about good cinema")</f>
        <v>Those who made these films had no idea about good cinema</v>
      </c>
      <c r="D4714" s="5"/>
      <c r="E4714" s="5"/>
      <c r="F4714" s="5"/>
      <c r="G4714" s="5"/>
      <c r="H4714" s="5"/>
      <c r="I4714" s="5"/>
      <c r="J4714" s="5"/>
      <c r="K4714" s="5"/>
      <c r="L4714" s="5"/>
      <c r="M4714" s="5"/>
      <c r="N4714" s="5"/>
      <c r="O4714" s="5"/>
      <c r="P4714" s="5"/>
      <c r="Q4714" s="5"/>
      <c r="R4714" s="5"/>
      <c r="S4714" s="5"/>
      <c r="T4714" s="5"/>
      <c r="U4714" s="5"/>
      <c r="V4714" s="5"/>
      <c r="W4714" s="5"/>
      <c r="X4714" s="5"/>
      <c r="Y4714" s="5"/>
      <c r="Z4714" s="5"/>
    </row>
    <row r="4715" spans="1:26" ht="15" x14ac:dyDescent="0.25">
      <c r="A4715" s="4" t="s">
        <v>4713</v>
      </c>
      <c r="B4715" s="4" t="s">
        <v>4550</v>
      </c>
      <c r="C4715" s="2" t="str">
        <f ca="1">IFERROR(__xludf.DUMMYFUNCTION("GOOGLETRANSLATE(A4715,""bn"",""en"")"),"It was a little over the top and the movie was missing some unique vibes, the screenplay editing could have been better.")</f>
        <v>It was a little over the top and the movie was missing some unique vibes, the screenplay editing could have been better.</v>
      </c>
      <c r="D4715" s="5"/>
      <c r="E4715" s="5"/>
      <c r="F4715" s="5"/>
      <c r="G4715" s="5"/>
      <c r="H4715" s="5"/>
      <c r="I4715" s="5"/>
      <c r="J4715" s="5"/>
      <c r="K4715" s="5"/>
      <c r="L4715" s="5"/>
      <c r="M4715" s="5"/>
      <c r="N4715" s="5"/>
      <c r="O4715" s="5"/>
      <c r="P4715" s="5"/>
      <c r="Q4715" s="5"/>
      <c r="R4715" s="5"/>
      <c r="S4715" s="5"/>
      <c r="T4715" s="5"/>
      <c r="U4715" s="5"/>
      <c r="V4715" s="5"/>
      <c r="W4715" s="5"/>
      <c r="X4715" s="5"/>
      <c r="Y4715" s="5"/>
      <c r="Z4715" s="5"/>
    </row>
    <row r="4716" spans="1:26" ht="15" x14ac:dyDescent="0.25">
      <c r="A4716" s="4" t="s">
        <v>4714</v>
      </c>
      <c r="B4716" s="4" t="s">
        <v>4550</v>
      </c>
      <c r="C4716" s="2" t="str">
        <f ca="1">IFERROR(__xludf.DUMMYFUNCTION("GOOGLETRANSLATE(A4716,""bn"",""en"")"),"I am satisfied to see such a cautionary picture really wonderful picture")</f>
        <v>I am satisfied to see such a cautionary picture really wonderful picture</v>
      </c>
      <c r="D4716" s="5"/>
      <c r="E4716" s="5"/>
      <c r="F4716" s="5"/>
      <c r="G4716" s="5"/>
      <c r="H4716" s="5"/>
      <c r="I4716" s="5"/>
      <c r="J4716" s="5"/>
      <c r="K4716" s="5"/>
      <c r="L4716" s="5"/>
      <c r="M4716" s="5"/>
      <c r="N4716" s="5"/>
      <c r="O4716" s="5"/>
      <c r="P4716" s="5"/>
      <c r="Q4716" s="5"/>
      <c r="R4716" s="5"/>
      <c r="S4716" s="5"/>
      <c r="T4716" s="5"/>
      <c r="U4716" s="5"/>
      <c r="V4716" s="5"/>
      <c r="W4716" s="5"/>
      <c r="X4716" s="5"/>
      <c r="Y4716" s="5"/>
      <c r="Z4716" s="5"/>
    </row>
    <row r="4717" spans="1:26" ht="15" x14ac:dyDescent="0.25">
      <c r="A4717" s="4" t="s">
        <v>4715</v>
      </c>
      <c r="B4717" s="4" t="s">
        <v>4550</v>
      </c>
      <c r="C4717" s="2" t="str">
        <f ca="1">IFERROR(__xludf.DUMMYFUNCTION("GOOGLETRANSLATE(A4717,""bn"",""en"")"),"This is the movie that made me feel good and left it for future generations")</f>
        <v>This is the movie that made me feel good and left it for future generations</v>
      </c>
      <c r="D4717" s="5"/>
      <c r="E4717" s="5"/>
      <c r="F4717" s="5"/>
      <c r="G4717" s="5"/>
      <c r="H4717" s="5"/>
      <c r="I4717" s="5"/>
      <c r="J4717" s="5"/>
      <c r="K4717" s="5"/>
      <c r="L4717" s="5"/>
      <c r="M4717" s="5"/>
      <c r="N4717" s="5"/>
      <c r="O4717" s="5"/>
      <c r="P4717" s="5"/>
      <c r="Q4717" s="5"/>
      <c r="R4717" s="5"/>
      <c r="S4717" s="5"/>
      <c r="T4717" s="5"/>
      <c r="U4717" s="5"/>
      <c r="V4717" s="5"/>
      <c r="W4717" s="5"/>
      <c r="X4717" s="5"/>
      <c r="Y4717" s="5"/>
      <c r="Z4717" s="5"/>
    </row>
    <row r="4718" spans="1:26" ht="15" x14ac:dyDescent="0.25">
      <c r="A4718" s="4" t="s">
        <v>4716</v>
      </c>
      <c r="B4718" s="4" t="s">
        <v>4550</v>
      </c>
      <c r="C4718" s="2" t="str">
        <f ca="1">IFERROR(__xludf.DUMMYFUNCTION("GOOGLETRANSLATE(A4718,""bn"",""en"")"),"It was a movie of crazy thinking")</f>
        <v>It was a movie of crazy thinking</v>
      </c>
      <c r="D4718" s="5"/>
      <c r="E4718" s="5"/>
      <c r="F4718" s="5"/>
      <c r="G4718" s="5"/>
      <c r="H4718" s="5"/>
      <c r="I4718" s="5"/>
      <c r="J4718" s="5"/>
      <c r="K4718" s="5"/>
      <c r="L4718" s="5"/>
      <c r="M4718" s="5"/>
      <c r="N4718" s="5"/>
      <c r="O4718" s="5"/>
      <c r="P4718" s="5"/>
      <c r="Q4718" s="5"/>
      <c r="R4718" s="5"/>
      <c r="S4718" s="5"/>
      <c r="T4718" s="5"/>
      <c r="U4718" s="5"/>
      <c r="V4718" s="5"/>
      <c r="W4718" s="5"/>
      <c r="X4718" s="5"/>
      <c r="Y4718" s="5"/>
      <c r="Z4718" s="5"/>
    </row>
    <row r="4719" spans="1:26" ht="15" x14ac:dyDescent="0.25">
      <c r="A4719" s="4" t="s">
        <v>4717</v>
      </c>
      <c r="B4719" s="4" t="s">
        <v>4550</v>
      </c>
      <c r="C4719" s="2" t="str">
        <f ca="1">IFERROR(__xludf.DUMMYFUNCTION("GOOGLETRANSLATE(A4719,""bn"",""en"")"),"After seeing them, my mind was lifted from Bengali cinema")</f>
        <v>After seeing them, my mind was lifted from Bengali cinema</v>
      </c>
      <c r="D4719" s="5"/>
      <c r="E4719" s="5"/>
      <c r="F4719" s="5"/>
      <c r="G4719" s="5"/>
      <c r="H4719" s="5"/>
      <c r="I4719" s="5"/>
      <c r="J4719" s="5"/>
      <c r="K4719" s="5"/>
      <c r="L4719" s="5"/>
      <c r="M4719" s="5"/>
      <c r="N4719" s="5"/>
      <c r="O4719" s="5"/>
      <c r="P4719" s="5"/>
      <c r="Q4719" s="5"/>
      <c r="R4719" s="5"/>
      <c r="S4719" s="5"/>
      <c r="T4719" s="5"/>
      <c r="U4719" s="5"/>
      <c r="V4719" s="5"/>
      <c r="W4719" s="5"/>
      <c r="X4719" s="5"/>
      <c r="Y4719" s="5"/>
      <c r="Z4719" s="5"/>
    </row>
    <row r="4720" spans="1:26" ht="15" x14ac:dyDescent="0.25">
      <c r="A4720" s="4" t="s">
        <v>4718</v>
      </c>
      <c r="B4720" s="4" t="s">
        <v>4550</v>
      </c>
      <c r="C4720" s="2" t="str">
        <f ca="1">IFERROR(__xludf.DUMMYFUNCTION("GOOGLETRANSLATE(A4720,""bn"",""en"")"),"Huru was nonsense")</f>
        <v>Huru was nonsense</v>
      </c>
      <c r="D4720" s="5"/>
      <c r="E4720" s="5"/>
      <c r="F4720" s="5"/>
      <c r="G4720" s="5"/>
      <c r="H4720" s="5"/>
      <c r="I4720" s="5"/>
      <c r="J4720" s="5"/>
      <c r="K4720" s="5"/>
      <c r="L4720" s="5"/>
      <c r="M4720" s="5"/>
      <c r="N4720" s="5"/>
      <c r="O4720" s="5"/>
      <c r="P4720" s="5"/>
      <c r="Q4720" s="5"/>
      <c r="R4720" s="5"/>
      <c r="S4720" s="5"/>
      <c r="T4720" s="5"/>
      <c r="U4720" s="5"/>
      <c r="V4720" s="5"/>
      <c r="W4720" s="5"/>
      <c r="X4720" s="5"/>
      <c r="Y4720" s="5"/>
      <c r="Z4720" s="5"/>
    </row>
    <row r="4721" spans="1:26" ht="15" x14ac:dyDescent="0.25">
      <c r="A4721" s="4" t="s">
        <v>4719</v>
      </c>
      <c r="B4721" s="4" t="s">
        <v>4550</v>
      </c>
      <c r="C4721" s="2" t="str">
        <f ca="1">IFERROR(__xludf.DUMMYFUNCTION("GOOGLETRANSLATE(A4721,""bn"",""en"")"),"After halftime, the whole story of the movie fell apart")</f>
        <v>After halftime, the whole story of the movie fell apart</v>
      </c>
      <c r="D4721" s="5"/>
      <c r="E4721" s="5"/>
      <c r="F4721" s="5"/>
      <c r="G4721" s="5"/>
      <c r="H4721" s="5"/>
      <c r="I4721" s="5"/>
      <c r="J4721" s="5"/>
      <c r="K4721" s="5"/>
      <c r="L4721" s="5"/>
      <c r="M4721" s="5"/>
      <c r="N4721" s="5"/>
      <c r="O4721" s="5"/>
      <c r="P4721" s="5"/>
      <c r="Q4721" s="5"/>
      <c r="R4721" s="5"/>
      <c r="S4721" s="5"/>
      <c r="T4721" s="5"/>
      <c r="U4721" s="5"/>
      <c r="V4721" s="5"/>
      <c r="W4721" s="5"/>
      <c r="X4721" s="5"/>
      <c r="Y4721" s="5"/>
      <c r="Z4721" s="5"/>
    </row>
    <row r="4722" spans="1:26" ht="15" x14ac:dyDescent="0.25">
      <c r="A4722" s="4" t="s">
        <v>4720</v>
      </c>
      <c r="B4722" s="4" t="s">
        <v>4550</v>
      </c>
      <c r="C4722" s="2" t="str">
        <f ca="1">IFERROR(__xludf.DUMMYFUNCTION("GOOGLETRANSLATE(A4722,""bn"",""en"")"),"Gojamil gave Arghya Pictrakpal why there were some weaknesses in the script which could have been fixed if treated")</f>
        <v>Gojamil gave Arghya Pictrakpal why there were some weaknesses in the script which could have been fixed if treated</v>
      </c>
      <c r="D4722" s="5"/>
      <c r="E4722" s="5"/>
      <c r="F4722" s="5"/>
      <c r="G4722" s="5"/>
      <c r="H4722" s="5"/>
      <c r="I4722" s="5"/>
      <c r="J4722" s="5"/>
      <c r="K4722" s="5"/>
      <c r="L4722" s="5"/>
      <c r="M4722" s="5"/>
      <c r="N4722" s="5"/>
      <c r="O4722" s="5"/>
      <c r="P4722" s="5"/>
      <c r="Q4722" s="5"/>
      <c r="R4722" s="5"/>
      <c r="S4722" s="5"/>
      <c r="T4722" s="5"/>
      <c r="U4722" s="5"/>
      <c r="V4722" s="5"/>
      <c r="W4722" s="5"/>
      <c r="X4722" s="5"/>
      <c r="Y4722" s="5"/>
      <c r="Z4722" s="5"/>
    </row>
    <row r="4723" spans="1:26" ht="15" x14ac:dyDescent="0.25">
      <c r="A4723" s="4" t="s">
        <v>4721</v>
      </c>
      <c r="B4723" s="4" t="s">
        <v>4550</v>
      </c>
      <c r="C4723" s="2" t="str">
        <f ca="1">IFERROR(__xludf.DUMMYFUNCTION("GOOGLETRANSLATE(A4723,""bn"",""en"")"),"Indeed we would not have enjoyed such a beautiful movie called Cockpit if Dev had not taken up the challenge. Dev was truly the best of the best")</f>
        <v>Indeed we would not have enjoyed such a beautiful movie called Cockpit if Dev had not taken up the challenge. Dev was truly the best of the best</v>
      </c>
      <c r="D4723" s="5"/>
      <c r="E4723" s="5"/>
      <c r="F4723" s="5"/>
      <c r="G4723" s="5"/>
      <c r="H4723" s="5"/>
      <c r="I4723" s="5"/>
      <c r="J4723" s="5"/>
      <c r="K4723" s="5"/>
      <c r="L4723" s="5"/>
      <c r="M4723" s="5"/>
      <c r="N4723" s="5"/>
      <c r="O4723" s="5"/>
      <c r="P4723" s="5"/>
      <c r="Q4723" s="5"/>
      <c r="R4723" s="5"/>
      <c r="S4723" s="5"/>
      <c r="T4723" s="5"/>
      <c r="U4723" s="5"/>
      <c r="V4723" s="5"/>
      <c r="W4723" s="5"/>
      <c r="X4723" s="5"/>
      <c r="Y4723" s="5"/>
      <c r="Z4723" s="5"/>
    </row>
    <row r="4724" spans="1:26" ht="15" x14ac:dyDescent="0.25">
      <c r="A4724" s="4" t="s">
        <v>4722</v>
      </c>
      <c r="B4724" s="4" t="s">
        <v>4550</v>
      </c>
      <c r="C4724" s="2" t="str">
        <f ca="1">IFERROR(__xludf.DUMMYFUNCTION("GOOGLETRANSLATE(A4724,""bn"",""en"")"),"A beautiful movie Abir Raima's chemistry was excellent Raima is so beautiful")</f>
        <v>A beautiful movie Abir Raima's chemistry was excellent Raima is so beautiful</v>
      </c>
      <c r="D4724" s="5"/>
      <c r="E4724" s="5"/>
      <c r="F4724" s="5"/>
      <c r="G4724" s="5"/>
      <c r="H4724" s="5"/>
      <c r="I4724" s="5"/>
      <c r="J4724" s="5"/>
      <c r="K4724" s="5"/>
      <c r="L4724" s="5"/>
      <c r="M4724" s="5"/>
      <c r="N4724" s="5"/>
      <c r="O4724" s="5"/>
      <c r="P4724" s="5"/>
      <c r="Q4724" s="5"/>
      <c r="R4724" s="5"/>
      <c r="S4724" s="5"/>
      <c r="T4724" s="5"/>
      <c r="U4724" s="5"/>
      <c r="V4724" s="5"/>
      <c r="W4724" s="5"/>
      <c r="X4724" s="5"/>
      <c r="Y4724" s="5"/>
      <c r="Z4724" s="5"/>
    </row>
    <row r="4725" spans="1:26" ht="15" x14ac:dyDescent="0.25">
      <c r="A4725" s="4" t="s">
        <v>4723</v>
      </c>
      <c r="B4725" s="4" t="s">
        <v>4550</v>
      </c>
      <c r="C4725" s="2" t="str">
        <f ca="1">IFERROR(__xludf.DUMMYFUNCTION("GOOGLETRANSLATE(A4725,""bn"",""en"")"),"Thanks a lot to Shabnoor for playing such a tragedy, I wanted to watch the movie again")</f>
        <v>Thanks a lot to Shabnoor for playing such a tragedy, I wanted to watch the movie again</v>
      </c>
      <c r="D4725" s="5"/>
      <c r="E4725" s="5"/>
      <c r="F4725" s="5"/>
      <c r="G4725" s="5"/>
      <c r="H4725" s="5"/>
      <c r="I4725" s="5"/>
      <c r="J4725" s="5"/>
      <c r="K4725" s="5"/>
      <c r="L4725" s="5"/>
      <c r="M4725" s="5"/>
      <c r="N4725" s="5"/>
      <c r="O4725" s="5"/>
      <c r="P4725" s="5"/>
      <c r="Q4725" s="5"/>
      <c r="R4725" s="5"/>
      <c r="S4725" s="5"/>
      <c r="T4725" s="5"/>
      <c r="U4725" s="5"/>
      <c r="V4725" s="5"/>
      <c r="W4725" s="5"/>
      <c r="X4725" s="5"/>
      <c r="Y4725" s="5"/>
      <c r="Z4725" s="5"/>
    </row>
    <row r="4726" spans="1:26" ht="15" x14ac:dyDescent="0.25">
      <c r="A4726" s="4" t="s">
        <v>4724</v>
      </c>
      <c r="B4726" s="4" t="s">
        <v>4550</v>
      </c>
      <c r="C4726" s="2" t="str">
        <f ca="1">IFERROR(__xludf.DUMMYFUNCTION("GOOGLETRANSLATE(A4726,""bn"",""en"")"),"The best Bengali film I have ever seen")</f>
        <v>The best Bengali film I have ever seen</v>
      </c>
      <c r="D4726" s="5"/>
      <c r="E4726" s="5"/>
      <c r="F4726" s="5"/>
      <c r="G4726" s="5"/>
      <c r="H4726" s="5"/>
      <c r="I4726" s="5"/>
      <c r="J4726" s="5"/>
      <c r="K4726" s="5"/>
      <c r="L4726" s="5"/>
      <c r="M4726" s="5"/>
      <c r="N4726" s="5"/>
      <c r="O4726" s="5"/>
      <c r="P4726" s="5"/>
      <c r="Q4726" s="5"/>
      <c r="R4726" s="5"/>
      <c r="S4726" s="5"/>
      <c r="T4726" s="5"/>
      <c r="U4726" s="5"/>
      <c r="V4726" s="5"/>
      <c r="W4726" s="5"/>
      <c r="X4726" s="5"/>
      <c r="Y4726" s="5"/>
      <c r="Z4726" s="5"/>
    </row>
    <row r="4727" spans="1:26" ht="15" x14ac:dyDescent="0.25">
      <c r="A4727" s="4" t="s">
        <v>4725</v>
      </c>
      <c r="B4727" s="4" t="s">
        <v>4550</v>
      </c>
      <c r="C4727" s="2" t="str">
        <f ca="1">IFERROR(__xludf.DUMMYFUNCTION("GOOGLETRANSLATE(A4727,""bn"",""en"")"),"what was it")</f>
        <v>what was it</v>
      </c>
      <c r="D4727" s="5"/>
      <c r="E4727" s="5"/>
      <c r="F4727" s="5"/>
      <c r="G4727" s="5"/>
      <c r="H4727" s="5"/>
      <c r="I4727" s="5"/>
      <c r="J4727" s="5"/>
      <c r="K4727" s="5"/>
      <c r="L4727" s="5"/>
      <c r="M4727" s="5"/>
      <c r="N4727" s="5"/>
      <c r="O4727" s="5"/>
      <c r="P4727" s="5"/>
      <c r="Q4727" s="5"/>
      <c r="R4727" s="5"/>
      <c r="S4727" s="5"/>
      <c r="T4727" s="5"/>
      <c r="U4727" s="5"/>
      <c r="V4727" s="5"/>
      <c r="W4727" s="5"/>
      <c r="X4727" s="5"/>
      <c r="Y4727" s="5"/>
      <c r="Z4727" s="5"/>
    </row>
    <row r="4728" spans="1:26" ht="15" x14ac:dyDescent="0.25">
      <c r="A4728" s="4" t="s">
        <v>4726</v>
      </c>
      <c r="B4728" s="4" t="s">
        <v>4550</v>
      </c>
      <c r="C4728" s="2" t="str">
        <f ca="1">IFERROR(__xludf.DUMMYFUNCTION("GOOGLETRANSLATE(A4728,""bn"",""en"")"),"Couldn't compare the pictures")</f>
        <v>Couldn't compare the pictures</v>
      </c>
      <c r="D4728" s="5"/>
      <c r="E4728" s="5"/>
      <c r="F4728" s="5"/>
      <c r="G4728" s="5"/>
      <c r="H4728" s="5"/>
      <c r="I4728" s="5"/>
      <c r="J4728" s="5"/>
      <c r="K4728" s="5"/>
      <c r="L4728" s="5"/>
      <c r="M4728" s="5"/>
      <c r="N4728" s="5"/>
      <c r="O4728" s="5"/>
      <c r="P4728" s="5"/>
      <c r="Q4728" s="5"/>
      <c r="R4728" s="5"/>
      <c r="S4728" s="5"/>
      <c r="T4728" s="5"/>
      <c r="U4728" s="5"/>
      <c r="V4728" s="5"/>
      <c r="W4728" s="5"/>
      <c r="X4728" s="5"/>
      <c r="Y4728" s="5"/>
      <c r="Z4728" s="5"/>
    </row>
    <row r="4729" spans="1:26" ht="15" x14ac:dyDescent="0.25">
      <c r="A4729" s="4" t="s">
        <v>4727</v>
      </c>
      <c r="B4729" s="4" t="s">
        <v>4550</v>
      </c>
      <c r="C4729" s="2" t="str">
        <f ca="1">IFERROR(__xludf.DUMMYFUNCTION("GOOGLETRANSLATE(A4729,""bn"",""en"")"),"After a long time I saw a Bengali movie and I liked it")</f>
        <v>After a long time I saw a Bengali movie and I liked it</v>
      </c>
      <c r="D4729" s="5"/>
      <c r="E4729" s="5"/>
      <c r="F4729" s="5"/>
      <c r="G4729" s="5"/>
      <c r="H4729" s="5"/>
      <c r="I4729" s="5"/>
      <c r="J4729" s="5"/>
      <c r="K4729" s="5"/>
      <c r="L4729" s="5"/>
      <c r="M4729" s="5"/>
      <c r="N4729" s="5"/>
      <c r="O4729" s="5"/>
      <c r="P4729" s="5"/>
      <c r="Q4729" s="5"/>
      <c r="R4729" s="5"/>
      <c r="S4729" s="5"/>
      <c r="T4729" s="5"/>
      <c r="U4729" s="5"/>
      <c r="V4729" s="5"/>
      <c r="W4729" s="5"/>
      <c r="X4729" s="5"/>
      <c r="Y4729" s="5"/>
      <c r="Z4729" s="5"/>
    </row>
    <row r="4730" spans="1:26" ht="15" x14ac:dyDescent="0.25">
      <c r="A4730" s="4" t="s">
        <v>4728</v>
      </c>
      <c r="B4730" s="4" t="s">
        <v>4550</v>
      </c>
      <c r="C4730" s="2" t="str">
        <f ca="1">IFERROR(__xludf.DUMMYFUNCTION("GOOGLETRANSLATE(A4730,""bn"",""en"")"),"The picture was really beautiful, Shakib Khan was the best")</f>
        <v>The picture was really beautiful, Shakib Khan was the best</v>
      </c>
      <c r="D4730" s="5"/>
      <c r="E4730" s="5"/>
      <c r="F4730" s="5"/>
      <c r="G4730" s="5"/>
      <c r="H4730" s="5"/>
      <c r="I4730" s="5"/>
      <c r="J4730" s="5"/>
      <c r="K4730" s="5"/>
      <c r="L4730" s="5"/>
      <c r="M4730" s="5"/>
      <c r="N4730" s="5"/>
      <c r="O4730" s="5"/>
      <c r="P4730" s="5"/>
      <c r="Q4730" s="5"/>
      <c r="R4730" s="5"/>
      <c r="S4730" s="5"/>
      <c r="T4730" s="5"/>
      <c r="U4730" s="5"/>
      <c r="V4730" s="5"/>
      <c r="W4730" s="5"/>
      <c r="X4730" s="5"/>
      <c r="Y4730" s="5"/>
      <c r="Z4730" s="5"/>
    </row>
    <row r="4731" spans="1:26" ht="15" x14ac:dyDescent="0.25">
      <c r="A4731" s="4" t="s">
        <v>4729</v>
      </c>
      <c r="B4731" s="4" t="s">
        <v>4550</v>
      </c>
      <c r="C4731" s="2" t="str">
        <f ca="1">IFERROR(__xludf.DUMMYFUNCTION("GOOGLETRANSLATE(A4731,""bn"",""en"")"),"This movie was so good that I remember how many times I watched it the movie was well made as romantic as it was painful as well as fun in one word it was great.")</f>
        <v>This movie was so good that I remember how many times I watched it the movie was well made as romantic as it was painful as well as fun in one word it was great.</v>
      </c>
      <c r="D4731" s="5"/>
      <c r="E4731" s="5"/>
      <c r="F4731" s="5"/>
      <c r="G4731" s="5"/>
      <c r="H4731" s="5"/>
      <c r="I4731" s="5"/>
      <c r="J4731" s="5"/>
      <c r="K4731" s="5"/>
      <c r="L4731" s="5"/>
      <c r="M4731" s="5"/>
      <c r="N4731" s="5"/>
      <c r="O4731" s="5"/>
      <c r="P4731" s="5"/>
      <c r="Q4731" s="5"/>
      <c r="R4731" s="5"/>
      <c r="S4731" s="5"/>
      <c r="T4731" s="5"/>
      <c r="U4731" s="5"/>
      <c r="V4731" s="5"/>
      <c r="W4731" s="5"/>
      <c r="X4731" s="5"/>
      <c r="Y4731" s="5"/>
      <c r="Z4731" s="5"/>
    </row>
    <row r="4732" spans="1:26" ht="15" x14ac:dyDescent="0.25">
      <c r="A4732" s="4" t="s">
        <v>4730</v>
      </c>
      <c r="B4732" s="4" t="s">
        <v>4550</v>
      </c>
      <c r="C4732" s="2" t="str">
        <f ca="1">IFERROR(__xludf.DUMMYFUNCTION("GOOGLETRANSLATE(A4732,""bn"",""en"")"),"A wonderful story")</f>
        <v>A wonderful story</v>
      </c>
      <c r="D4732" s="5"/>
      <c r="E4732" s="5"/>
      <c r="F4732" s="5"/>
      <c r="G4732" s="5"/>
      <c r="H4732" s="5"/>
      <c r="I4732" s="5"/>
      <c r="J4732" s="5"/>
      <c r="K4732" s="5"/>
      <c r="L4732" s="5"/>
      <c r="M4732" s="5"/>
      <c r="N4732" s="5"/>
      <c r="O4732" s="5"/>
      <c r="P4732" s="5"/>
      <c r="Q4732" s="5"/>
      <c r="R4732" s="5"/>
      <c r="S4732" s="5"/>
      <c r="T4732" s="5"/>
      <c r="U4732" s="5"/>
      <c r="V4732" s="5"/>
      <c r="W4732" s="5"/>
      <c r="X4732" s="5"/>
      <c r="Y4732" s="5"/>
      <c r="Z4732" s="5"/>
    </row>
    <row r="4733" spans="1:26" ht="15" x14ac:dyDescent="0.25">
      <c r="A4733" s="4" t="s">
        <v>4731</v>
      </c>
      <c r="B4733" s="4" t="s">
        <v>4550</v>
      </c>
      <c r="C4733" s="2" t="str">
        <f ca="1">IFERROR(__xludf.DUMMYFUNCTION("GOOGLETRANSLATE(A4733,""bn"",""en"")"),"The director could not get a hero")</f>
        <v>The director could not get a hero</v>
      </c>
      <c r="D4733" s="5"/>
      <c r="E4733" s="5"/>
      <c r="F4733" s="5"/>
      <c r="G4733" s="5"/>
      <c r="H4733" s="5"/>
      <c r="I4733" s="5"/>
      <c r="J4733" s="5"/>
      <c r="K4733" s="5"/>
      <c r="L4733" s="5"/>
      <c r="M4733" s="5"/>
      <c r="N4733" s="5"/>
      <c r="O4733" s="5"/>
      <c r="P4733" s="5"/>
      <c r="Q4733" s="5"/>
      <c r="R4733" s="5"/>
      <c r="S4733" s="5"/>
      <c r="T4733" s="5"/>
      <c r="U4733" s="5"/>
      <c r="V4733" s="5"/>
      <c r="W4733" s="5"/>
      <c r="X4733" s="5"/>
      <c r="Y4733" s="5"/>
      <c r="Z4733" s="5"/>
    </row>
    <row r="4734" spans="1:26" ht="15" x14ac:dyDescent="0.25">
      <c r="A4734" s="4" t="s">
        <v>4732</v>
      </c>
      <c r="B4734" s="4" t="s">
        <v>4550</v>
      </c>
      <c r="C4734" s="2" t="str">
        <f ca="1">IFERROR(__xludf.DUMMYFUNCTION("GOOGLETRANSLATE(A4734,""bn"",""en"")"),"It was a great movie, suspenseful in the events and the ending of the story was also very good")</f>
        <v>It was a great movie, suspenseful in the events and the ending of the story was also very good</v>
      </c>
      <c r="D4734" s="5"/>
      <c r="E4734" s="5"/>
      <c r="F4734" s="5"/>
      <c r="G4734" s="5"/>
      <c r="H4734" s="5"/>
      <c r="I4734" s="5"/>
      <c r="J4734" s="5"/>
      <c r="K4734" s="5"/>
      <c r="L4734" s="5"/>
      <c r="M4734" s="5"/>
      <c r="N4734" s="5"/>
      <c r="O4734" s="5"/>
      <c r="P4734" s="5"/>
      <c r="Q4734" s="5"/>
      <c r="R4734" s="5"/>
      <c r="S4734" s="5"/>
      <c r="T4734" s="5"/>
      <c r="U4734" s="5"/>
      <c r="V4734" s="5"/>
      <c r="W4734" s="5"/>
      <c r="X4734" s="5"/>
      <c r="Y4734" s="5"/>
      <c r="Z4734" s="5"/>
    </row>
    <row r="4735" spans="1:26" ht="15" x14ac:dyDescent="0.25">
      <c r="A4735" s="4" t="s">
        <v>4733</v>
      </c>
      <c r="B4735" s="4" t="s">
        <v>4550</v>
      </c>
      <c r="C4735" s="2" t="str">
        <f ca="1">IFERROR(__xludf.DUMMYFUNCTION("GOOGLETRANSLATE(A4735,""bn"",""en"")"),"What the hell was this movie?")</f>
        <v>What the hell was this movie?</v>
      </c>
      <c r="D4735" s="5"/>
      <c r="E4735" s="5"/>
      <c r="F4735" s="5"/>
      <c r="G4735" s="5"/>
      <c r="H4735" s="5"/>
      <c r="I4735" s="5"/>
      <c r="J4735" s="5"/>
      <c r="K4735" s="5"/>
      <c r="L4735" s="5"/>
      <c r="M4735" s="5"/>
      <c r="N4735" s="5"/>
      <c r="O4735" s="5"/>
      <c r="P4735" s="5"/>
      <c r="Q4735" s="5"/>
      <c r="R4735" s="5"/>
      <c r="S4735" s="5"/>
      <c r="T4735" s="5"/>
      <c r="U4735" s="5"/>
      <c r="V4735" s="5"/>
      <c r="W4735" s="5"/>
      <c r="X4735" s="5"/>
      <c r="Y4735" s="5"/>
      <c r="Z4735" s="5"/>
    </row>
    <row r="4736" spans="1:26" ht="15" x14ac:dyDescent="0.25">
      <c r="A4736" s="4" t="s">
        <v>4734</v>
      </c>
      <c r="B4736" s="4" t="s">
        <v>4550</v>
      </c>
      <c r="C4736" s="2" t="str">
        <f ca="1">IFERROR(__xludf.DUMMYFUNCTION("GOOGLETRANSLATE(A4736,""bn"",""en"")"),"The movie was amazing")</f>
        <v>The movie was amazing</v>
      </c>
      <c r="D4736" s="5"/>
      <c r="E4736" s="5"/>
      <c r="F4736" s="5"/>
      <c r="G4736" s="5"/>
      <c r="H4736" s="5"/>
      <c r="I4736" s="5"/>
      <c r="J4736" s="5"/>
      <c r="K4736" s="5"/>
      <c r="L4736" s="5"/>
      <c r="M4736" s="5"/>
      <c r="N4736" s="5"/>
      <c r="O4736" s="5"/>
      <c r="P4736" s="5"/>
      <c r="Q4736" s="5"/>
      <c r="R4736" s="5"/>
      <c r="S4736" s="5"/>
      <c r="T4736" s="5"/>
      <c r="U4736" s="5"/>
      <c r="V4736" s="5"/>
      <c r="W4736" s="5"/>
      <c r="X4736" s="5"/>
      <c r="Y4736" s="5"/>
      <c r="Z4736" s="5"/>
    </row>
    <row r="4737" spans="1:26" ht="15" x14ac:dyDescent="0.25">
      <c r="A4737" s="4" t="s">
        <v>4735</v>
      </c>
      <c r="B4737" s="4" t="s">
        <v>4550</v>
      </c>
      <c r="C4737" s="2" t="str">
        <f ca="1">IFERROR(__xludf.DUMMYFUNCTION("GOOGLETRANSLATE(A4737,""bn"",""en"")"),"Lockett's dialogue delivery was so bad it was annoying")</f>
        <v>Lockett's dialogue delivery was so bad it was annoying</v>
      </c>
      <c r="D4737" s="5"/>
      <c r="E4737" s="5"/>
      <c r="F4737" s="5"/>
      <c r="G4737" s="5"/>
      <c r="H4737" s="5"/>
      <c r="I4737" s="5"/>
      <c r="J4737" s="5"/>
      <c r="K4737" s="5"/>
      <c r="L4737" s="5"/>
      <c r="M4737" s="5"/>
      <c r="N4737" s="5"/>
      <c r="O4737" s="5"/>
      <c r="P4737" s="5"/>
      <c r="Q4737" s="5"/>
      <c r="R4737" s="5"/>
      <c r="S4737" s="5"/>
      <c r="T4737" s="5"/>
      <c r="U4737" s="5"/>
      <c r="V4737" s="5"/>
      <c r="W4737" s="5"/>
      <c r="X4737" s="5"/>
      <c r="Y4737" s="5"/>
      <c r="Z4737" s="5"/>
    </row>
    <row r="4738" spans="1:26" ht="15" x14ac:dyDescent="0.25">
      <c r="A4738" s="4" t="s">
        <v>4736</v>
      </c>
      <c r="B4738" s="4" t="s">
        <v>4550</v>
      </c>
      <c r="C4738" s="2" t="str">
        <f ca="1">IFERROR(__xludf.DUMMYFUNCTION("GOOGLETRANSLATE(A4738,""bn"",""en"")"),"It was good to see the movie after a long time")</f>
        <v>It was good to see the movie after a long time</v>
      </c>
      <c r="D4738" s="5"/>
      <c r="E4738" s="5"/>
      <c r="F4738" s="5"/>
      <c r="G4738" s="5"/>
      <c r="H4738" s="5"/>
      <c r="I4738" s="5"/>
      <c r="J4738" s="5"/>
      <c r="K4738" s="5"/>
      <c r="L4738" s="5"/>
      <c r="M4738" s="5"/>
      <c r="N4738" s="5"/>
      <c r="O4738" s="5"/>
      <c r="P4738" s="5"/>
      <c r="Q4738" s="5"/>
      <c r="R4738" s="5"/>
      <c r="S4738" s="5"/>
      <c r="T4738" s="5"/>
      <c r="U4738" s="5"/>
      <c r="V4738" s="5"/>
      <c r="W4738" s="5"/>
      <c r="X4738" s="5"/>
      <c r="Y4738" s="5"/>
      <c r="Z4738" s="5"/>
    </row>
    <row r="4739" spans="1:26" ht="15" x14ac:dyDescent="0.25">
      <c r="A4739" s="4" t="s">
        <v>4737</v>
      </c>
      <c r="B4739" s="4" t="s">
        <v>4550</v>
      </c>
      <c r="C4739" s="2" t="str">
        <f ca="1">IFERROR(__xludf.DUMMYFUNCTION("GOOGLETRANSLATE(A4739,""bn"",""en"")"),"Humayun Faridi's acting was mesmerizing")</f>
        <v>Humayun Faridi's acting was mesmerizing</v>
      </c>
      <c r="D4739" s="5"/>
      <c r="E4739" s="5"/>
      <c r="F4739" s="5"/>
      <c r="G4739" s="5"/>
      <c r="H4739" s="5"/>
      <c r="I4739" s="5"/>
      <c r="J4739" s="5"/>
      <c r="K4739" s="5"/>
      <c r="L4739" s="5"/>
      <c r="M4739" s="5"/>
      <c r="N4739" s="5"/>
      <c r="O4739" s="5"/>
      <c r="P4739" s="5"/>
      <c r="Q4739" s="5"/>
      <c r="R4739" s="5"/>
      <c r="S4739" s="5"/>
      <c r="T4739" s="5"/>
      <c r="U4739" s="5"/>
      <c r="V4739" s="5"/>
      <c r="W4739" s="5"/>
      <c r="X4739" s="5"/>
      <c r="Y4739" s="5"/>
      <c r="Z4739" s="5"/>
    </row>
    <row r="4740" spans="1:26" ht="15" x14ac:dyDescent="0.25">
      <c r="A4740" s="4" t="s">
        <v>4738</v>
      </c>
      <c r="B4740" s="4" t="s">
        <v>4550</v>
      </c>
      <c r="C4740" s="2" t="str">
        <f ca="1">IFERROR(__xludf.DUMMYFUNCTION("GOOGLETRANSLATE(A4740,""bn"",""en"")"),"These boring Bengali comedians were the only ones who didn't like comedy except Kharaj and Rajtav")</f>
        <v>These boring Bengali comedians were the only ones who didn't like comedy except Kharaj and Rajtav</v>
      </c>
      <c r="D4740" s="5"/>
      <c r="E4740" s="5"/>
      <c r="F4740" s="5"/>
      <c r="G4740" s="5"/>
      <c r="H4740" s="5"/>
      <c r="I4740" s="5"/>
      <c r="J4740" s="5"/>
      <c r="K4740" s="5"/>
      <c r="L4740" s="5"/>
      <c r="M4740" s="5"/>
      <c r="N4740" s="5"/>
      <c r="O4740" s="5"/>
      <c r="P4740" s="5"/>
      <c r="Q4740" s="5"/>
      <c r="R4740" s="5"/>
      <c r="S4740" s="5"/>
      <c r="T4740" s="5"/>
      <c r="U4740" s="5"/>
      <c r="V4740" s="5"/>
      <c r="W4740" s="5"/>
      <c r="X4740" s="5"/>
      <c r="Y4740" s="5"/>
      <c r="Z4740" s="5"/>
    </row>
    <row r="4741" spans="1:26" ht="15" x14ac:dyDescent="0.25">
      <c r="A4741" s="4" t="s">
        <v>4739</v>
      </c>
      <c r="B4741" s="4" t="s">
        <v>4550</v>
      </c>
      <c r="C4741" s="2" t="str">
        <f ca="1">IFERROR(__xludf.DUMMYFUNCTION("GOOGLETRANSLATE(A4741,""bn"",""en"")"),"Shakib Khan looked old")</f>
        <v>Shakib Khan looked old</v>
      </c>
      <c r="D4741" s="5"/>
      <c r="E4741" s="5"/>
      <c r="F4741" s="5"/>
      <c r="G4741" s="5"/>
      <c r="H4741" s="5"/>
      <c r="I4741" s="5"/>
      <c r="J4741" s="5"/>
      <c r="K4741" s="5"/>
      <c r="L4741" s="5"/>
      <c r="M4741" s="5"/>
      <c r="N4741" s="5"/>
      <c r="O4741" s="5"/>
      <c r="P4741" s="5"/>
      <c r="Q4741" s="5"/>
      <c r="R4741" s="5"/>
      <c r="S4741" s="5"/>
      <c r="T4741" s="5"/>
      <c r="U4741" s="5"/>
      <c r="V4741" s="5"/>
      <c r="W4741" s="5"/>
      <c r="X4741" s="5"/>
      <c r="Y4741" s="5"/>
      <c r="Z4741" s="5"/>
    </row>
    <row r="4742" spans="1:26" ht="15" x14ac:dyDescent="0.25">
      <c r="A4742" s="4" t="s">
        <v>4740</v>
      </c>
      <c r="B4742" s="4" t="s">
        <v>4550</v>
      </c>
      <c r="C4742" s="2" t="str">
        <f ca="1">IFERROR(__xludf.DUMMYFUNCTION("GOOGLETRANSLATE(A4742,""bn"",""en"")"),"The film had a real life story and a very beautiful picture")</f>
        <v>The film had a real life story and a very beautiful picture</v>
      </c>
      <c r="D4742" s="5"/>
      <c r="E4742" s="5"/>
      <c r="F4742" s="5"/>
      <c r="G4742" s="5"/>
      <c r="H4742" s="5"/>
      <c r="I4742" s="5"/>
      <c r="J4742" s="5"/>
      <c r="K4742" s="5"/>
      <c r="L4742" s="5"/>
      <c r="M4742" s="5"/>
      <c r="N4742" s="5"/>
      <c r="O4742" s="5"/>
      <c r="P4742" s="5"/>
      <c r="Q4742" s="5"/>
      <c r="R4742" s="5"/>
      <c r="S4742" s="5"/>
      <c r="T4742" s="5"/>
      <c r="U4742" s="5"/>
      <c r="V4742" s="5"/>
      <c r="W4742" s="5"/>
      <c r="X4742" s="5"/>
      <c r="Y4742" s="5"/>
      <c r="Z4742" s="5"/>
    </row>
    <row r="4743" spans="1:26" ht="15" x14ac:dyDescent="0.25">
      <c r="A4743" s="4" t="s">
        <v>4741</v>
      </c>
      <c r="B4743" s="4" t="s">
        <v>4550</v>
      </c>
      <c r="C4743" s="2" t="str">
        <f ca="1">IFERROR(__xludf.DUMMYFUNCTION("GOOGLETRANSLATE(A4743,""bn"",""en"")"),"The acting of the baby boy was very beautiful, the boy was very cute")</f>
        <v>The acting of the baby boy was very beautiful, the boy was very cute</v>
      </c>
      <c r="D4743" s="5"/>
      <c r="E4743" s="5"/>
      <c r="F4743" s="5"/>
      <c r="G4743" s="5"/>
      <c r="H4743" s="5"/>
      <c r="I4743" s="5"/>
      <c r="J4743" s="5"/>
      <c r="K4743" s="5"/>
      <c r="L4743" s="5"/>
      <c r="M4743" s="5"/>
      <c r="N4743" s="5"/>
      <c r="O4743" s="5"/>
      <c r="P4743" s="5"/>
      <c r="Q4743" s="5"/>
      <c r="R4743" s="5"/>
      <c r="S4743" s="5"/>
      <c r="T4743" s="5"/>
      <c r="U4743" s="5"/>
      <c r="V4743" s="5"/>
      <c r="W4743" s="5"/>
      <c r="X4743" s="5"/>
      <c r="Y4743" s="5"/>
      <c r="Z4743" s="5"/>
    </row>
    <row r="4744" spans="1:26" ht="15" x14ac:dyDescent="0.25">
      <c r="A4744" s="4" t="s">
        <v>4742</v>
      </c>
      <c r="B4744" s="4" t="s">
        <v>4550</v>
      </c>
      <c r="C4744" s="2" t="str">
        <f ca="1">IFERROR(__xludf.DUMMYFUNCTION("GOOGLETRANSLATE(A4744,""bn"",""en"")"),"The ending was amazing which was imagined but failed. Bengali Bau Darun Gifta was a social movie")</f>
        <v>The ending was amazing which was imagined but failed. Bengali Bau Darun Gifta was a social movie</v>
      </c>
      <c r="D4744" s="5"/>
      <c r="E4744" s="5"/>
      <c r="F4744" s="5"/>
      <c r="G4744" s="5"/>
      <c r="H4744" s="5"/>
      <c r="I4744" s="5"/>
      <c r="J4744" s="5"/>
      <c r="K4744" s="5"/>
      <c r="L4744" s="5"/>
      <c r="M4744" s="5"/>
      <c r="N4744" s="5"/>
      <c r="O4744" s="5"/>
      <c r="P4744" s="5"/>
      <c r="Q4744" s="5"/>
      <c r="R4744" s="5"/>
      <c r="S4744" s="5"/>
      <c r="T4744" s="5"/>
      <c r="U4744" s="5"/>
      <c r="V4744" s="5"/>
      <c r="W4744" s="5"/>
      <c r="X4744" s="5"/>
      <c r="Y4744" s="5"/>
      <c r="Z4744" s="5"/>
    </row>
    <row r="4745" spans="1:26" ht="15" x14ac:dyDescent="0.25">
      <c r="A4745" s="4" t="s">
        <v>4743</v>
      </c>
      <c r="B4745" s="4" t="s">
        <v>4550</v>
      </c>
      <c r="C4745" s="2" t="str">
        <f ca="1">IFERROR(__xludf.DUMMYFUNCTION("GOOGLETRANSLATE(A4745,""bn"",""en"")"),"The movie made me laugh")</f>
        <v>The movie made me laugh</v>
      </c>
      <c r="D4745" s="5"/>
      <c r="E4745" s="5"/>
      <c r="F4745" s="5"/>
      <c r="G4745" s="5"/>
      <c r="H4745" s="5"/>
      <c r="I4745" s="5"/>
      <c r="J4745" s="5"/>
      <c r="K4745" s="5"/>
      <c r="L4745" s="5"/>
      <c r="M4745" s="5"/>
      <c r="N4745" s="5"/>
      <c r="O4745" s="5"/>
      <c r="P4745" s="5"/>
      <c r="Q4745" s="5"/>
      <c r="R4745" s="5"/>
      <c r="S4745" s="5"/>
      <c r="T4745" s="5"/>
      <c r="U4745" s="5"/>
      <c r="V4745" s="5"/>
      <c r="W4745" s="5"/>
      <c r="X4745" s="5"/>
      <c r="Y4745" s="5"/>
      <c r="Z4745" s="5"/>
    </row>
    <row r="4746" spans="1:26" ht="15" x14ac:dyDescent="0.25">
      <c r="A4746" s="4" t="s">
        <v>4744</v>
      </c>
      <c r="B4746" s="4" t="s">
        <v>4550</v>
      </c>
      <c r="C4746" s="2" t="str">
        <f ca="1">IFERROR(__xludf.DUMMYFUNCTION("GOOGLETRANSLATE(A4746,""bn"",""en"")"),"These were social movies that could be watched with the family. The movies were emotional. In one word, the movies were amazing")</f>
        <v>These were social movies that could be watched with the family. The movies were emotional. In one word, the movies were amazing</v>
      </c>
      <c r="D4746" s="5"/>
      <c r="E4746" s="5"/>
      <c r="F4746" s="5"/>
      <c r="G4746" s="5"/>
      <c r="H4746" s="5"/>
      <c r="I4746" s="5"/>
      <c r="J4746" s="5"/>
      <c r="K4746" s="5"/>
      <c r="L4746" s="5"/>
      <c r="M4746" s="5"/>
      <c r="N4746" s="5"/>
      <c r="O4746" s="5"/>
      <c r="P4746" s="5"/>
      <c r="Q4746" s="5"/>
      <c r="R4746" s="5"/>
      <c r="S4746" s="5"/>
      <c r="T4746" s="5"/>
      <c r="U4746" s="5"/>
      <c r="V4746" s="5"/>
      <c r="W4746" s="5"/>
      <c r="X4746" s="5"/>
      <c r="Y4746" s="5"/>
      <c r="Z4746" s="5"/>
    </row>
    <row r="4747" spans="1:26" ht="15" x14ac:dyDescent="0.25">
      <c r="A4747" s="4" t="s">
        <v>4745</v>
      </c>
      <c r="B4747" s="4" t="s">
        <v>4550</v>
      </c>
      <c r="C4747" s="2" t="str">
        <f ca="1">IFERROR(__xludf.DUMMYFUNCTION("GOOGLETRANSLATE(A4747,""bn"",""en"")"),"Bangla's Wife movie was amazingly beautiful with the seasonal ending quote and a song sung by Mumtaz's voice, the main story of the movie unfolded.")</f>
        <v>Bangla's Wife movie was amazingly beautiful with the seasonal ending quote and a song sung by Mumtaz's voice, the main story of the movie unfolded.</v>
      </c>
      <c r="D4747" s="5"/>
      <c r="E4747" s="5"/>
      <c r="F4747" s="5"/>
      <c r="G4747" s="5"/>
      <c r="H4747" s="5"/>
      <c r="I4747" s="5"/>
      <c r="J4747" s="5"/>
      <c r="K4747" s="5"/>
      <c r="L4747" s="5"/>
      <c r="M4747" s="5"/>
      <c r="N4747" s="5"/>
      <c r="O4747" s="5"/>
      <c r="P4747" s="5"/>
      <c r="Q4747" s="5"/>
      <c r="R4747" s="5"/>
      <c r="S4747" s="5"/>
      <c r="T4747" s="5"/>
      <c r="U4747" s="5"/>
      <c r="V4747" s="5"/>
      <c r="W4747" s="5"/>
      <c r="X4747" s="5"/>
      <c r="Y4747" s="5"/>
      <c r="Z4747" s="5"/>
    </row>
    <row r="4748" spans="1:26" ht="15" x14ac:dyDescent="0.25">
      <c r="A4748" s="4" t="s">
        <v>4746</v>
      </c>
      <c r="B4748" s="4" t="s">
        <v>4550</v>
      </c>
      <c r="C4748" s="2" t="str">
        <f ca="1">IFERROR(__xludf.DUMMYFUNCTION("GOOGLETRANSLATE(A4748,""bn"",""en"")"),"The movie was wonderful")</f>
        <v>The movie was wonderful</v>
      </c>
      <c r="D4748" s="5"/>
      <c r="E4748" s="5"/>
      <c r="F4748" s="5"/>
      <c r="G4748" s="5"/>
      <c r="H4748" s="5"/>
      <c r="I4748" s="5"/>
      <c r="J4748" s="5"/>
      <c r="K4748" s="5"/>
      <c r="L4748" s="5"/>
      <c r="M4748" s="5"/>
      <c r="N4748" s="5"/>
      <c r="O4748" s="5"/>
      <c r="P4748" s="5"/>
      <c r="Q4748" s="5"/>
      <c r="R4748" s="5"/>
      <c r="S4748" s="5"/>
      <c r="T4748" s="5"/>
      <c r="U4748" s="5"/>
      <c r="V4748" s="5"/>
      <c r="W4748" s="5"/>
      <c r="X4748" s="5"/>
      <c r="Y4748" s="5"/>
      <c r="Z4748" s="5"/>
    </row>
    <row r="4749" spans="1:26" ht="15" x14ac:dyDescent="0.25">
      <c r="A4749" s="4" t="s">
        <v>4747</v>
      </c>
      <c r="B4749" s="4" t="s">
        <v>4550</v>
      </c>
      <c r="C4749" s="2" t="str">
        <f ca="1">IFERROR(__xludf.DUMMYFUNCTION("GOOGLETRANSLATE(A4749,""bn"",""en"")"),"It was a totally bad picture")</f>
        <v>It was a totally bad picture</v>
      </c>
      <c r="D4749" s="5"/>
      <c r="E4749" s="5"/>
      <c r="F4749" s="5"/>
      <c r="G4749" s="5"/>
      <c r="H4749" s="5"/>
      <c r="I4749" s="5"/>
      <c r="J4749" s="5"/>
      <c r="K4749" s="5"/>
      <c r="L4749" s="5"/>
      <c r="M4749" s="5"/>
      <c r="N4749" s="5"/>
      <c r="O4749" s="5"/>
      <c r="P4749" s="5"/>
      <c r="Q4749" s="5"/>
      <c r="R4749" s="5"/>
      <c r="S4749" s="5"/>
      <c r="T4749" s="5"/>
      <c r="U4749" s="5"/>
      <c r="V4749" s="5"/>
      <c r="W4749" s="5"/>
      <c r="X4749" s="5"/>
      <c r="Y4749" s="5"/>
      <c r="Z4749" s="5"/>
    </row>
    <row r="4750" spans="1:26" ht="15" x14ac:dyDescent="0.25">
      <c r="A4750" s="4" t="s">
        <v>4748</v>
      </c>
      <c r="B4750" s="4" t="s">
        <v>4550</v>
      </c>
      <c r="C4750" s="2" t="str">
        <f ca="1">IFERROR(__xludf.DUMMYFUNCTION("GOOGLETRANSLATE(A4750,""bn"",""en"")"),"I had no words to say anything about the picture, I really liked it")</f>
        <v>I had no words to say anything about the picture, I really liked it</v>
      </c>
      <c r="D4750" s="5"/>
      <c r="E4750" s="5"/>
      <c r="F4750" s="5"/>
      <c r="G4750" s="5"/>
      <c r="H4750" s="5"/>
      <c r="I4750" s="5"/>
      <c r="J4750" s="5"/>
      <c r="K4750" s="5"/>
      <c r="L4750" s="5"/>
      <c r="M4750" s="5"/>
      <c r="N4750" s="5"/>
      <c r="O4750" s="5"/>
      <c r="P4750" s="5"/>
      <c r="Q4750" s="5"/>
      <c r="R4750" s="5"/>
      <c r="S4750" s="5"/>
      <c r="T4750" s="5"/>
      <c r="U4750" s="5"/>
      <c r="V4750" s="5"/>
      <c r="W4750" s="5"/>
      <c r="X4750" s="5"/>
      <c r="Y4750" s="5"/>
      <c r="Z4750" s="5"/>
    </row>
    <row r="4751" spans="1:26" ht="15" x14ac:dyDescent="0.25">
      <c r="A4751" s="4" t="s">
        <v>4749</v>
      </c>
      <c r="B4751" s="4" t="s">
        <v>4550</v>
      </c>
      <c r="C4751" s="2" t="str">
        <f ca="1">IFERROR(__xludf.DUMMYFUNCTION("GOOGLETRANSLATE(A4751,""bn"",""en"")"),"It was the same movie as the movie to get the National Film Award")</f>
        <v>It was the same movie as the movie to get the National Film Award</v>
      </c>
      <c r="D4751" s="5"/>
      <c r="E4751" s="5"/>
      <c r="F4751" s="5"/>
      <c r="G4751" s="5"/>
      <c r="H4751" s="5"/>
      <c r="I4751" s="5"/>
      <c r="J4751" s="5"/>
      <c r="K4751" s="5"/>
      <c r="L4751" s="5"/>
      <c r="M4751" s="5"/>
      <c r="N4751" s="5"/>
      <c r="O4751" s="5"/>
      <c r="P4751" s="5"/>
      <c r="Q4751" s="5"/>
      <c r="R4751" s="5"/>
      <c r="S4751" s="5"/>
      <c r="T4751" s="5"/>
      <c r="U4751" s="5"/>
      <c r="V4751" s="5"/>
      <c r="W4751" s="5"/>
      <c r="X4751" s="5"/>
      <c r="Y4751" s="5"/>
      <c r="Z4751" s="5"/>
    </row>
    <row r="4752" spans="1:26" ht="15" x14ac:dyDescent="0.25">
      <c r="A4752" s="4" t="s">
        <v>4750</v>
      </c>
      <c r="B4752" s="4" t="s">
        <v>4550</v>
      </c>
      <c r="C4752" s="2" t="str">
        <f ca="1">IFERROR(__xludf.DUMMYFUNCTION("GOOGLETRANSLATE(A4752,""bn"",""en"")"),"Ferdous Bhai and Moushumi Apur's Bengali Wife movie was amazing")</f>
        <v>Ferdous Bhai and Moushumi Apur's Bengali Wife movie was amazing</v>
      </c>
      <c r="D4752" s="5"/>
      <c r="E4752" s="5"/>
      <c r="F4752" s="5"/>
      <c r="G4752" s="5"/>
      <c r="H4752" s="5"/>
      <c r="I4752" s="5"/>
      <c r="J4752" s="5"/>
      <c r="K4752" s="5"/>
      <c r="L4752" s="5"/>
      <c r="M4752" s="5"/>
      <c r="N4752" s="5"/>
      <c r="O4752" s="5"/>
      <c r="P4752" s="5"/>
      <c r="Q4752" s="5"/>
      <c r="R4752" s="5"/>
      <c r="S4752" s="5"/>
      <c r="T4752" s="5"/>
      <c r="U4752" s="5"/>
      <c r="V4752" s="5"/>
      <c r="W4752" s="5"/>
      <c r="X4752" s="5"/>
      <c r="Y4752" s="5"/>
      <c r="Z4752" s="5"/>
    </row>
    <row r="4753" spans="1:26" ht="15" x14ac:dyDescent="0.25">
      <c r="A4753" s="4" t="s">
        <v>4751</v>
      </c>
      <c r="B4753" s="4" t="s">
        <v>4550</v>
      </c>
      <c r="C4753" s="2" t="str">
        <f ca="1">IFERROR(__xludf.DUMMYFUNCTION("GOOGLETRANSLATE(A4753,""bn"",""en"")"),"I was surprised to see such a beautiful movie")</f>
        <v>I was surprised to see such a beautiful movie</v>
      </c>
      <c r="D4753" s="5"/>
      <c r="E4753" s="5"/>
      <c r="F4753" s="5"/>
      <c r="G4753" s="5"/>
      <c r="H4753" s="5"/>
      <c r="I4753" s="5"/>
      <c r="J4753" s="5"/>
      <c r="K4753" s="5"/>
      <c r="L4753" s="5"/>
      <c r="M4753" s="5"/>
      <c r="N4753" s="5"/>
      <c r="O4753" s="5"/>
      <c r="P4753" s="5"/>
      <c r="Q4753" s="5"/>
      <c r="R4753" s="5"/>
      <c r="S4753" s="5"/>
      <c r="T4753" s="5"/>
      <c r="U4753" s="5"/>
      <c r="V4753" s="5"/>
      <c r="W4753" s="5"/>
      <c r="X4753" s="5"/>
      <c r="Y4753" s="5"/>
      <c r="Z4753" s="5"/>
    </row>
    <row r="4754" spans="1:26" ht="15" x14ac:dyDescent="0.25">
      <c r="A4754" s="4" t="s">
        <v>4752</v>
      </c>
      <c r="B4754" s="4" t="s">
        <v>4550</v>
      </c>
      <c r="C4754" s="2" t="str">
        <f ca="1">IFERROR(__xludf.DUMMYFUNCTION("GOOGLETRANSLATE(A4754,""bn"",""en"")"),"The director of Faltu movie Faltu movie was made")</f>
        <v>The director of Faltu movie Faltu movie was made</v>
      </c>
      <c r="D4754" s="5"/>
      <c r="E4754" s="5"/>
      <c r="F4754" s="5"/>
      <c r="G4754" s="5"/>
      <c r="H4754" s="5"/>
      <c r="I4754" s="5"/>
      <c r="J4754" s="5"/>
      <c r="K4754" s="5"/>
      <c r="L4754" s="5"/>
      <c r="M4754" s="5"/>
      <c r="N4754" s="5"/>
      <c r="O4754" s="5"/>
      <c r="P4754" s="5"/>
      <c r="Q4754" s="5"/>
      <c r="R4754" s="5"/>
      <c r="S4754" s="5"/>
      <c r="T4754" s="5"/>
      <c r="U4754" s="5"/>
      <c r="V4754" s="5"/>
      <c r="W4754" s="5"/>
      <c r="X4754" s="5"/>
      <c r="Y4754" s="5"/>
      <c r="Z4754" s="5"/>
    </row>
    <row r="4755" spans="1:26" ht="15" x14ac:dyDescent="0.25">
      <c r="A4755" s="4" t="s">
        <v>4753</v>
      </c>
      <c r="B4755" s="4" t="s">
        <v>4550</v>
      </c>
      <c r="C4755" s="2" t="str">
        <f ca="1">IFERROR(__xludf.DUMMYFUNCTION("GOOGLETRANSLATE(A4755,""bn"",""en"")"),"Bad brother was very bad")</f>
        <v>Bad brother was very bad</v>
      </c>
      <c r="D4755" s="5"/>
      <c r="E4755" s="5"/>
      <c r="F4755" s="5"/>
      <c r="G4755" s="5"/>
      <c r="H4755" s="5"/>
      <c r="I4755" s="5"/>
      <c r="J4755" s="5"/>
      <c r="K4755" s="5"/>
      <c r="L4755" s="5"/>
      <c r="M4755" s="5"/>
      <c r="N4755" s="5"/>
      <c r="O4755" s="5"/>
      <c r="P4755" s="5"/>
      <c r="Q4755" s="5"/>
      <c r="R4755" s="5"/>
      <c r="S4755" s="5"/>
      <c r="T4755" s="5"/>
      <c r="U4755" s="5"/>
      <c r="V4755" s="5"/>
      <c r="W4755" s="5"/>
      <c r="X4755" s="5"/>
      <c r="Y4755" s="5"/>
      <c r="Z4755" s="5"/>
    </row>
    <row r="4756" spans="1:26" ht="15" x14ac:dyDescent="0.25">
      <c r="A4756" s="4" t="s">
        <v>4754</v>
      </c>
      <c r="B4756" s="4" t="s">
        <v>4550</v>
      </c>
      <c r="C4756" s="2" t="str">
        <f ca="1">IFERROR(__xludf.DUMMYFUNCTION("GOOGLETRANSLATE(A4756,""bn"",""en"")"),"I didn't understand what kind of movie it was")</f>
        <v>I didn't understand what kind of movie it was</v>
      </c>
      <c r="D4756" s="5"/>
      <c r="E4756" s="5"/>
      <c r="F4756" s="5"/>
      <c r="G4756" s="5"/>
      <c r="H4756" s="5"/>
      <c r="I4756" s="5"/>
      <c r="J4756" s="5"/>
      <c r="K4756" s="5"/>
      <c r="L4756" s="5"/>
      <c r="M4756" s="5"/>
      <c r="N4756" s="5"/>
      <c r="O4756" s="5"/>
      <c r="P4756" s="5"/>
      <c r="Q4756" s="5"/>
      <c r="R4756" s="5"/>
      <c r="S4756" s="5"/>
      <c r="T4756" s="5"/>
      <c r="U4756" s="5"/>
      <c r="V4756" s="5"/>
      <c r="W4756" s="5"/>
      <c r="X4756" s="5"/>
      <c r="Y4756" s="5"/>
      <c r="Z4756" s="5"/>
    </row>
    <row r="4757" spans="1:26" ht="15" x14ac:dyDescent="0.25">
      <c r="A4757" s="4" t="s">
        <v>4755</v>
      </c>
      <c r="B4757" s="4" t="s">
        <v>4550</v>
      </c>
      <c r="C4757" s="2" t="str">
        <f ca="1">IFERROR(__xludf.DUMMYFUNCTION("GOOGLETRANSLATE(A4757,""bn"",""en"")"),"I couldn't say how many times I saw it, it was a very favorite movie")</f>
        <v>I couldn't say how many times I saw it, it was a very favorite movie</v>
      </c>
      <c r="D4757" s="5"/>
      <c r="E4757" s="5"/>
      <c r="F4757" s="5"/>
      <c r="G4757" s="5"/>
      <c r="H4757" s="5"/>
      <c r="I4757" s="5"/>
      <c r="J4757" s="5"/>
      <c r="K4757" s="5"/>
      <c r="L4757" s="5"/>
      <c r="M4757" s="5"/>
      <c r="N4757" s="5"/>
      <c r="O4757" s="5"/>
      <c r="P4757" s="5"/>
      <c r="Q4757" s="5"/>
      <c r="R4757" s="5"/>
      <c r="S4757" s="5"/>
      <c r="T4757" s="5"/>
      <c r="U4757" s="5"/>
      <c r="V4757" s="5"/>
      <c r="W4757" s="5"/>
      <c r="X4757" s="5"/>
      <c r="Y4757" s="5"/>
      <c r="Z4757" s="5"/>
    </row>
    <row r="4758" spans="1:26" ht="15" x14ac:dyDescent="0.25">
      <c r="A4758" s="4" t="s">
        <v>4756</v>
      </c>
      <c r="B4758" s="4" t="s">
        <v>4550</v>
      </c>
      <c r="C4758" s="2" t="str">
        <f ca="1">IFERROR(__xludf.DUMMYFUNCTION("GOOGLETRANSLATE(A4758,""bn"",""en"")"),"Watching the movie made me feel stronger. It was a very beautiful movie")</f>
        <v>Watching the movie made me feel stronger. It was a very beautiful movie</v>
      </c>
      <c r="D4758" s="5"/>
      <c r="E4758" s="5"/>
      <c r="F4758" s="5"/>
      <c r="G4758" s="5"/>
      <c r="H4758" s="5"/>
      <c r="I4758" s="5"/>
      <c r="J4758" s="5"/>
      <c r="K4758" s="5"/>
      <c r="L4758" s="5"/>
      <c r="M4758" s="5"/>
      <c r="N4758" s="5"/>
      <c r="O4758" s="5"/>
      <c r="P4758" s="5"/>
      <c r="Q4758" s="5"/>
      <c r="R4758" s="5"/>
      <c r="S4758" s="5"/>
      <c r="T4758" s="5"/>
      <c r="U4758" s="5"/>
      <c r="V4758" s="5"/>
      <c r="W4758" s="5"/>
      <c r="X4758" s="5"/>
      <c r="Y4758" s="5"/>
      <c r="Z4758" s="5"/>
    </row>
    <row r="4759" spans="1:26" ht="15" x14ac:dyDescent="0.25">
      <c r="A4759" s="4" t="s">
        <v>4757</v>
      </c>
      <c r="B4759" s="4" t="s">
        <v>4550</v>
      </c>
      <c r="C4759" s="2" t="str">
        <f ca="1">IFERROR(__xludf.DUMMYFUNCTION("GOOGLETRANSLATE(A4759,""bn"",""en"")"),"The story line was not very good")</f>
        <v>The story line was not very good</v>
      </c>
      <c r="D4759" s="5"/>
      <c r="E4759" s="5"/>
      <c r="F4759" s="5"/>
      <c r="G4759" s="5"/>
      <c r="H4759" s="5"/>
      <c r="I4759" s="5"/>
      <c r="J4759" s="5"/>
      <c r="K4759" s="5"/>
      <c r="L4759" s="5"/>
      <c r="M4759" s="5"/>
      <c r="N4759" s="5"/>
      <c r="O4759" s="5"/>
      <c r="P4759" s="5"/>
      <c r="Q4759" s="5"/>
      <c r="R4759" s="5"/>
      <c r="S4759" s="5"/>
      <c r="T4759" s="5"/>
      <c r="U4759" s="5"/>
      <c r="V4759" s="5"/>
      <c r="W4759" s="5"/>
      <c r="X4759" s="5"/>
      <c r="Y4759" s="5"/>
      <c r="Z4759" s="5"/>
    </row>
    <row r="4760" spans="1:26" ht="15" x14ac:dyDescent="0.25">
      <c r="A4760" s="4" t="s">
        <v>4758</v>
      </c>
      <c r="B4760" s="4" t="s">
        <v>4550</v>
      </c>
      <c r="C4760" s="2" t="str">
        <f ca="1">IFERROR(__xludf.DUMMYFUNCTION("GOOGLETRANSLATE(A4760,""bn"",""en"")"),"There was no room for such a movie to be flawed")</f>
        <v>There was no room for such a movie to be flawed</v>
      </c>
      <c r="D4760" s="5"/>
      <c r="E4760" s="5"/>
      <c r="F4760" s="5"/>
      <c r="G4760" s="5"/>
      <c r="H4760" s="5"/>
      <c r="I4760" s="5"/>
      <c r="J4760" s="5"/>
      <c r="K4760" s="5"/>
      <c r="L4760" s="5"/>
      <c r="M4760" s="5"/>
      <c r="N4760" s="5"/>
      <c r="O4760" s="5"/>
      <c r="P4760" s="5"/>
      <c r="Q4760" s="5"/>
      <c r="R4760" s="5"/>
      <c r="S4760" s="5"/>
      <c r="T4760" s="5"/>
      <c r="U4760" s="5"/>
      <c r="V4760" s="5"/>
      <c r="W4760" s="5"/>
      <c r="X4760" s="5"/>
      <c r="Y4760" s="5"/>
      <c r="Z4760" s="5"/>
    </row>
    <row r="4761" spans="1:26" ht="15" x14ac:dyDescent="0.25">
      <c r="A4761" s="4" t="s">
        <v>4759</v>
      </c>
      <c r="B4761" s="4" t="s">
        <v>4550</v>
      </c>
      <c r="C4761" s="2" t="str">
        <f ca="1">IFERROR(__xludf.DUMMYFUNCTION("GOOGLETRANSLATE(A4761,""bn"",""en"")"),"The distance disappeared, the bond of the mind became stronger today by getting close to the loved one")</f>
        <v>The distance disappeared, the bond of the mind became stronger today by getting close to the loved one</v>
      </c>
      <c r="D4761" s="5"/>
      <c r="E4761" s="5"/>
      <c r="F4761" s="5"/>
      <c r="G4761" s="5"/>
      <c r="H4761" s="5"/>
      <c r="I4761" s="5"/>
      <c r="J4761" s="5"/>
      <c r="K4761" s="5"/>
      <c r="L4761" s="5"/>
      <c r="M4761" s="5"/>
      <c r="N4761" s="5"/>
      <c r="O4761" s="5"/>
      <c r="P4761" s="5"/>
      <c r="Q4761" s="5"/>
      <c r="R4761" s="5"/>
      <c r="S4761" s="5"/>
      <c r="T4761" s="5"/>
      <c r="U4761" s="5"/>
      <c r="V4761" s="5"/>
      <c r="W4761" s="5"/>
      <c r="X4761" s="5"/>
      <c r="Y4761" s="5"/>
      <c r="Z4761" s="5"/>
    </row>
    <row r="4762" spans="1:26" ht="15" x14ac:dyDescent="0.25">
      <c r="A4762" s="4" t="s">
        <v>4760</v>
      </c>
      <c r="B4762" s="4" t="s">
        <v>4550</v>
      </c>
      <c r="C4762" s="2" t="str">
        <f ca="1">IFERROR(__xludf.DUMMYFUNCTION("GOOGLETRANSLATE(A4762,""bn"",""en"")"),"Animal was a movie that looked like it was made out of marijuana")</f>
        <v>Animal was a movie that looked like it was made out of marijuana</v>
      </c>
      <c r="D4762" s="5"/>
      <c r="E4762" s="5"/>
      <c r="F4762" s="5"/>
      <c r="G4762" s="5"/>
      <c r="H4762" s="5"/>
      <c r="I4762" s="5"/>
      <c r="J4762" s="5"/>
      <c r="K4762" s="5"/>
      <c r="L4762" s="5"/>
      <c r="M4762" s="5"/>
      <c r="N4762" s="5"/>
      <c r="O4762" s="5"/>
      <c r="P4762" s="5"/>
      <c r="Q4762" s="5"/>
      <c r="R4762" s="5"/>
      <c r="S4762" s="5"/>
      <c r="T4762" s="5"/>
      <c r="U4762" s="5"/>
      <c r="V4762" s="5"/>
      <c r="W4762" s="5"/>
      <c r="X4762" s="5"/>
      <c r="Y4762" s="5"/>
      <c r="Z4762" s="5"/>
    </row>
    <row r="4763" spans="1:26" ht="15" x14ac:dyDescent="0.25">
      <c r="A4763" s="4" t="s">
        <v>4761</v>
      </c>
      <c r="B4763" s="4" t="s">
        <v>4550</v>
      </c>
      <c r="C4763" s="2" t="str">
        <f ca="1">IFERROR(__xludf.DUMMYFUNCTION("GOOGLETRANSLATE(A4763,""bn"",""en"")"),"I saw the whole film, I liked the story of the film with some pain and some laughter")</f>
        <v>I saw the whole film, I liked the story of the film with some pain and some laughter</v>
      </c>
      <c r="D4763" s="5"/>
      <c r="E4763" s="5"/>
      <c r="F4763" s="5"/>
      <c r="G4763" s="5"/>
      <c r="H4763" s="5"/>
      <c r="I4763" s="5"/>
      <c r="J4763" s="5"/>
      <c r="K4763" s="5"/>
      <c r="L4763" s="5"/>
      <c r="M4763" s="5"/>
      <c r="N4763" s="5"/>
      <c r="O4763" s="5"/>
      <c r="P4763" s="5"/>
      <c r="Q4763" s="5"/>
      <c r="R4763" s="5"/>
      <c r="S4763" s="5"/>
      <c r="T4763" s="5"/>
      <c r="U4763" s="5"/>
      <c r="V4763" s="5"/>
      <c r="W4763" s="5"/>
      <c r="X4763" s="5"/>
      <c r="Y4763" s="5"/>
      <c r="Z4763" s="5"/>
    </row>
    <row r="4764" spans="1:26" ht="15" x14ac:dyDescent="0.25">
      <c r="A4764" s="4" t="s">
        <v>4762</v>
      </c>
      <c r="B4764" s="4" t="s">
        <v>4550</v>
      </c>
      <c r="C4764" s="2" t="str">
        <f ca="1">IFERROR(__xludf.DUMMYFUNCTION("GOOGLETRANSLATE(A4764,""bn"",""en"")"),"My dream is you, joy, tears, Ammajan, history, love, Taj Mahal, tomb of love, mind, don't forget me.")</f>
        <v>My dream is you, joy, tears, Ammajan, history, love, Taj Mahal, tomb of love, mind, don't forget me.</v>
      </c>
      <c r="D4764" s="5"/>
      <c r="E4764" s="5"/>
      <c r="F4764" s="5"/>
      <c r="G4764" s="5"/>
      <c r="H4764" s="5"/>
      <c r="I4764" s="5"/>
      <c r="J4764" s="5"/>
      <c r="K4764" s="5"/>
      <c r="L4764" s="5"/>
      <c r="M4764" s="5"/>
      <c r="N4764" s="5"/>
      <c r="O4764" s="5"/>
      <c r="P4764" s="5"/>
      <c r="Q4764" s="5"/>
      <c r="R4764" s="5"/>
      <c r="S4764" s="5"/>
      <c r="T4764" s="5"/>
      <c r="U4764" s="5"/>
      <c r="V4764" s="5"/>
      <c r="W4764" s="5"/>
      <c r="X4764" s="5"/>
      <c r="Y4764" s="5"/>
      <c r="Z4764" s="5"/>
    </row>
    <row r="4765" spans="1:26" ht="15" x14ac:dyDescent="0.25">
      <c r="A4765" s="4" t="s">
        <v>4763</v>
      </c>
      <c r="B4765" s="4" t="s">
        <v>4550</v>
      </c>
      <c r="C4765" s="2" t="str">
        <f ca="1">IFERROR(__xludf.DUMMYFUNCTION("GOOGLETRANSLATE(A4765,""bn"",""en"")"),"It won the Oscar as the best film of Bangladesh")</f>
        <v>It won the Oscar as the best film of Bangladesh</v>
      </c>
      <c r="D4765" s="5"/>
      <c r="E4765" s="5"/>
      <c r="F4765" s="5"/>
      <c r="G4765" s="5"/>
      <c r="H4765" s="5"/>
      <c r="I4765" s="5"/>
      <c r="J4765" s="5"/>
      <c r="K4765" s="5"/>
      <c r="L4765" s="5"/>
      <c r="M4765" s="5"/>
      <c r="N4765" s="5"/>
      <c r="O4765" s="5"/>
      <c r="P4765" s="5"/>
      <c r="Q4765" s="5"/>
      <c r="R4765" s="5"/>
      <c r="S4765" s="5"/>
      <c r="T4765" s="5"/>
      <c r="U4765" s="5"/>
      <c r="V4765" s="5"/>
      <c r="W4765" s="5"/>
      <c r="X4765" s="5"/>
      <c r="Y4765" s="5"/>
      <c r="Z4765" s="5"/>
    </row>
    <row r="4766" spans="1:26" ht="15" x14ac:dyDescent="0.25">
      <c r="A4766" s="4" t="s">
        <v>4764</v>
      </c>
      <c r="B4766" s="4" t="s">
        <v>4550</v>
      </c>
      <c r="C4766" s="2" t="str">
        <f ca="1">IFERROR(__xludf.DUMMYFUNCTION("GOOGLETRANSLATE(A4766,""bn"",""en"")"),"I couldn't do anything but sway like this, bitterly fed up with girls")</f>
        <v>I couldn't do anything but sway like this, bitterly fed up with girls</v>
      </c>
      <c r="D4766" s="5"/>
      <c r="E4766" s="5"/>
      <c r="F4766" s="5"/>
      <c r="G4766" s="5"/>
      <c r="H4766" s="5"/>
      <c r="I4766" s="5"/>
      <c r="J4766" s="5"/>
      <c r="K4766" s="5"/>
      <c r="L4766" s="5"/>
      <c r="M4766" s="5"/>
      <c r="N4766" s="5"/>
      <c r="O4766" s="5"/>
      <c r="P4766" s="5"/>
      <c r="Q4766" s="5"/>
      <c r="R4766" s="5"/>
      <c r="S4766" s="5"/>
      <c r="T4766" s="5"/>
      <c r="U4766" s="5"/>
      <c r="V4766" s="5"/>
      <c r="W4766" s="5"/>
      <c r="X4766" s="5"/>
      <c r="Y4766" s="5"/>
      <c r="Z4766" s="5"/>
    </row>
    <row r="4767" spans="1:26" ht="15" x14ac:dyDescent="0.25">
      <c r="A4767" s="4" t="s">
        <v>4765</v>
      </c>
      <c r="B4767" s="4" t="s">
        <v>4550</v>
      </c>
      <c r="C4767" s="2" t="str">
        <f ca="1">IFERROR(__xludf.DUMMYFUNCTION("GOOGLETRANSLATE(A4767,""bn"",""en"")"),"A very nice movie only made me smile")</f>
        <v>A very nice movie only made me smile</v>
      </c>
      <c r="D4767" s="5"/>
      <c r="E4767" s="5"/>
      <c r="F4767" s="5"/>
      <c r="G4767" s="5"/>
      <c r="H4767" s="5"/>
      <c r="I4767" s="5"/>
      <c r="J4767" s="5"/>
      <c r="K4767" s="5"/>
      <c r="L4767" s="5"/>
      <c r="M4767" s="5"/>
      <c r="N4767" s="5"/>
      <c r="O4767" s="5"/>
      <c r="P4767" s="5"/>
      <c r="Q4767" s="5"/>
      <c r="R4767" s="5"/>
      <c r="S4767" s="5"/>
      <c r="T4767" s="5"/>
      <c r="U4767" s="5"/>
      <c r="V4767" s="5"/>
      <c r="W4767" s="5"/>
      <c r="X4767" s="5"/>
      <c r="Y4767" s="5"/>
      <c r="Z4767" s="5"/>
    </row>
    <row r="4768" spans="1:26" ht="15" x14ac:dyDescent="0.25">
      <c r="A4768" s="4" t="s">
        <v>4766</v>
      </c>
      <c r="B4768" s="4" t="s">
        <v>4550</v>
      </c>
      <c r="C4768" s="2" t="str">
        <f ca="1">IFERROR(__xludf.DUMMYFUNCTION("GOOGLETRANSLATE(A4768,""bn"",""en"")"),"Great movie watched it six times it was my favorite")</f>
        <v>Great movie watched it six times it was my favorite</v>
      </c>
      <c r="D4768" s="5"/>
      <c r="E4768" s="5"/>
      <c r="F4768" s="5"/>
      <c r="G4768" s="5"/>
      <c r="H4768" s="5"/>
      <c r="I4768" s="5"/>
      <c r="J4768" s="5"/>
      <c r="K4768" s="5"/>
      <c r="L4768" s="5"/>
      <c r="M4768" s="5"/>
      <c r="N4768" s="5"/>
      <c r="O4768" s="5"/>
      <c r="P4768" s="5"/>
      <c r="Q4768" s="5"/>
      <c r="R4768" s="5"/>
      <c r="S4768" s="5"/>
      <c r="T4768" s="5"/>
      <c r="U4768" s="5"/>
      <c r="V4768" s="5"/>
      <c r="W4768" s="5"/>
      <c r="X4768" s="5"/>
      <c r="Y4768" s="5"/>
      <c r="Z4768" s="5"/>
    </row>
    <row r="4769" spans="1:26" ht="15" x14ac:dyDescent="0.25">
      <c r="A4769" s="4" t="s">
        <v>4767</v>
      </c>
      <c r="B4769" s="4" t="s">
        <v>4550</v>
      </c>
      <c r="C4769" s="2" t="str">
        <f ca="1">IFERROR(__xludf.DUMMYFUNCTION("GOOGLETRANSLATE(A4769,""bn"",""en"")"),"There was no acting")</f>
        <v>There was no acting</v>
      </c>
      <c r="D4769" s="5"/>
      <c r="E4769" s="5"/>
      <c r="F4769" s="5"/>
      <c r="G4769" s="5"/>
      <c r="H4769" s="5"/>
      <c r="I4769" s="5"/>
      <c r="J4769" s="5"/>
      <c r="K4769" s="5"/>
      <c r="L4769" s="5"/>
      <c r="M4769" s="5"/>
      <c r="N4769" s="5"/>
      <c r="O4769" s="5"/>
      <c r="P4769" s="5"/>
      <c r="Q4769" s="5"/>
      <c r="R4769" s="5"/>
      <c r="S4769" s="5"/>
      <c r="T4769" s="5"/>
      <c r="U4769" s="5"/>
      <c r="V4769" s="5"/>
      <c r="W4769" s="5"/>
      <c r="X4769" s="5"/>
      <c r="Y4769" s="5"/>
      <c r="Z4769" s="5"/>
    </row>
    <row r="4770" spans="1:26" ht="15" x14ac:dyDescent="0.25">
      <c r="A4770" s="4" t="s">
        <v>4768</v>
      </c>
      <c r="B4770" s="4" t="s">
        <v>4550</v>
      </c>
      <c r="C4770" s="2" t="str">
        <f ca="1">IFERROR(__xludf.DUMMYFUNCTION("GOOGLETRANSLATE(A4770,""bn"",""en"")"),"Has anyone seen them?")</f>
        <v>Has anyone seen them?</v>
      </c>
      <c r="D4770" s="5"/>
      <c r="E4770" s="5"/>
      <c r="F4770" s="5"/>
      <c r="G4770" s="5"/>
      <c r="H4770" s="5"/>
      <c r="I4770" s="5"/>
      <c r="J4770" s="5"/>
      <c r="K4770" s="5"/>
      <c r="L4770" s="5"/>
      <c r="M4770" s="5"/>
      <c r="N4770" s="5"/>
      <c r="O4770" s="5"/>
      <c r="P4770" s="5"/>
      <c r="Q4770" s="5"/>
      <c r="R4770" s="5"/>
      <c r="S4770" s="5"/>
      <c r="T4770" s="5"/>
      <c r="U4770" s="5"/>
      <c r="V4770" s="5"/>
      <c r="W4770" s="5"/>
      <c r="X4770" s="5"/>
      <c r="Y4770" s="5"/>
      <c r="Z4770" s="5"/>
    </row>
    <row r="4771" spans="1:26" ht="15" x14ac:dyDescent="0.25">
      <c r="A4771" s="4" t="s">
        <v>4769</v>
      </c>
      <c r="B4771" s="4" t="s">
        <v>4550</v>
      </c>
      <c r="C4771" s="2" t="str">
        <f ca="1">IFERROR(__xludf.DUMMYFUNCTION("GOOGLETRANSLATE(A4771,""bn"",""en"")"),"I wasted my time looking at useless pictures")</f>
        <v>I wasted my time looking at useless pictures</v>
      </c>
      <c r="D4771" s="5"/>
      <c r="E4771" s="5"/>
      <c r="F4771" s="5"/>
      <c r="G4771" s="5"/>
      <c r="H4771" s="5"/>
      <c r="I4771" s="5"/>
      <c r="J4771" s="5"/>
      <c r="K4771" s="5"/>
      <c r="L4771" s="5"/>
      <c r="M4771" s="5"/>
      <c r="N4771" s="5"/>
      <c r="O4771" s="5"/>
      <c r="P4771" s="5"/>
      <c r="Q4771" s="5"/>
      <c r="R4771" s="5"/>
      <c r="S4771" s="5"/>
      <c r="T4771" s="5"/>
      <c r="U4771" s="5"/>
      <c r="V4771" s="5"/>
      <c r="W4771" s="5"/>
      <c r="X4771" s="5"/>
      <c r="Y4771" s="5"/>
      <c r="Z4771" s="5"/>
    </row>
    <row r="4772" spans="1:26" ht="15" x14ac:dyDescent="0.25">
      <c r="A4772" s="4" t="s">
        <v>4770</v>
      </c>
      <c r="B4772" s="4" t="s">
        <v>4550</v>
      </c>
      <c r="C4772" s="2" t="str">
        <f ca="1">IFERROR(__xludf.DUMMYFUNCTION("GOOGLETRANSLATE(A4772,""bn"",""en"")"),"Good movie, good hero, good heroine")</f>
        <v>Good movie, good hero, good heroine</v>
      </c>
      <c r="D4772" s="5"/>
      <c r="E4772" s="5"/>
      <c r="F4772" s="5"/>
      <c r="G4772" s="5"/>
      <c r="H4772" s="5"/>
      <c r="I4772" s="5"/>
      <c r="J4772" s="5"/>
      <c r="K4772" s="5"/>
      <c r="L4772" s="5"/>
      <c r="M4772" s="5"/>
      <c r="N4772" s="5"/>
      <c r="O4772" s="5"/>
      <c r="P4772" s="5"/>
      <c r="Q4772" s="5"/>
      <c r="R4772" s="5"/>
      <c r="S4772" s="5"/>
      <c r="T4772" s="5"/>
      <c r="U4772" s="5"/>
      <c r="V4772" s="5"/>
      <c r="W4772" s="5"/>
      <c r="X4772" s="5"/>
      <c r="Y4772" s="5"/>
      <c r="Z4772" s="5"/>
    </row>
    <row r="4773" spans="1:26" ht="15" x14ac:dyDescent="0.25">
      <c r="A4773" s="4" t="s">
        <v>4771</v>
      </c>
      <c r="B4773" s="4" t="s">
        <v>4550</v>
      </c>
      <c r="C4773" s="2" t="str">
        <f ca="1">IFERROR(__xludf.DUMMYFUNCTION("GOOGLETRANSLATE(A4773,""bn"",""en"")"),"Hero Alam managed to make a good movie out of a low budget movie")</f>
        <v>Hero Alam managed to make a good movie out of a low budget movie</v>
      </c>
      <c r="D4773" s="5"/>
      <c r="E4773" s="5"/>
      <c r="F4773" s="5"/>
      <c r="G4773" s="5"/>
      <c r="H4773" s="5"/>
      <c r="I4773" s="5"/>
      <c r="J4773" s="5"/>
      <c r="K4773" s="5"/>
      <c r="L4773" s="5"/>
      <c r="M4773" s="5"/>
      <c r="N4773" s="5"/>
      <c r="O4773" s="5"/>
      <c r="P4773" s="5"/>
      <c r="Q4773" s="5"/>
      <c r="R4773" s="5"/>
      <c r="S4773" s="5"/>
      <c r="T4773" s="5"/>
      <c r="U4773" s="5"/>
      <c r="V4773" s="5"/>
      <c r="W4773" s="5"/>
      <c r="X4773" s="5"/>
      <c r="Y4773" s="5"/>
      <c r="Z4773" s="5"/>
    </row>
    <row r="4774" spans="1:26" ht="15" x14ac:dyDescent="0.25">
      <c r="A4774" s="4" t="s">
        <v>4772</v>
      </c>
      <c r="B4774" s="4" t="s">
        <v>4550</v>
      </c>
      <c r="C4774" s="2" t="str">
        <f ca="1">IFERROR(__xludf.DUMMYFUNCTION("GOOGLETRANSLATE(A4774,""bn"",""en"")"),"In this movie, a relationship was developed between two families, not quarrels and disputes. A beautiful movie was seen by all")</f>
        <v>In this movie, a relationship was developed between two families, not quarrels and disputes. A beautiful movie was seen by all</v>
      </c>
      <c r="D4774" s="5"/>
      <c r="E4774" s="5"/>
      <c r="F4774" s="5"/>
      <c r="G4774" s="5"/>
      <c r="H4774" s="5"/>
      <c r="I4774" s="5"/>
      <c r="J4774" s="5"/>
      <c r="K4774" s="5"/>
      <c r="L4774" s="5"/>
      <c r="M4774" s="5"/>
      <c r="N4774" s="5"/>
      <c r="O4774" s="5"/>
      <c r="P4774" s="5"/>
      <c r="Q4774" s="5"/>
      <c r="R4774" s="5"/>
      <c r="S4774" s="5"/>
      <c r="T4774" s="5"/>
      <c r="U4774" s="5"/>
      <c r="V4774" s="5"/>
      <c r="W4774" s="5"/>
      <c r="X4774" s="5"/>
      <c r="Y4774" s="5"/>
      <c r="Z4774" s="5"/>
    </row>
    <row r="4775" spans="1:26" ht="15" x14ac:dyDescent="0.25">
      <c r="A4775" s="4" t="s">
        <v>4773</v>
      </c>
      <c r="B4775" s="4" t="s">
        <v>4550</v>
      </c>
      <c r="C4775" s="2" t="str">
        <f ca="1">IFERROR(__xludf.DUMMYFUNCTION("GOOGLETRANSLATE(A4775,""bn"",""en"")"),"Mom and Zayed Khan were flop hero heroines")</f>
        <v>Mom and Zayed Khan were flop hero heroines</v>
      </c>
      <c r="D4775" s="5"/>
      <c r="E4775" s="5"/>
      <c r="F4775" s="5"/>
      <c r="G4775" s="5"/>
      <c r="H4775" s="5"/>
      <c r="I4775" s="5"/>
      <c r="J4775" s="5"/>
      <c r="K4775" s="5"/>
      <c r="L4775" s="5"/>
      <c r="M4775" s="5"/>
      <c r="N4775" s="5"/>
      <c r="O4775" s="5"/>
      <c r="P4775" s="5"/>
      <c r="Q4775" s="5"/>
      <c r="R4775" s="5"/>
      <c r="S4775" s="5"/>
      <c r="T4775" s="5"/>
      <c r="U4775" s="5"/>
      <c r="V4775" s="5"/>
      <c r="W4775" s="5"/>
      <c r="X4775" s="5"/>
      <c r="Y4775" s="5"/>
      <c r="Z4775" s="5"/>
    </row>
    <row r="4776" spans="1:26" ht="15" x14ac:dyDescent="0.25">
      <c r="A4776" s="4" t="s">
        <v>4774</v>
      </c>
      <c r="B4776" s="4" t="s">
        <v>4550</v>
      </c>
      <c r="C4776" s="2" t="str">
        <f ca="1">IFERROR(__xludf.DUMMYFUNCTION("GOOGLETRANSLATE(A4776,""bn"",""en"")"),"Shakib Bhaiya's performance was amazingly beautiful which cannot be expressed in words")</f>
        <v>Shakib Bhaiya's performance was amazingly beautiful which cannot be expressed in words</v>
      </c>
      <c r="D4776" s="5"/>
      <c r="E4776" s="5"/>
      <c r="F4776" s="5"/>
      <c r="G4776" s="5"/>
      <c r="H4776" s="5"/>
      <c r="I4776" s="5"/>
      <c r="J4776" s="5"/>
      <c r="K4776" s="5"/>
      <c r="L4776" s="5"/>
      <c r="M4776" s="5"/>
      <c r="N4776" s="5"/>
      <c r="O4776" s="5"/>
      <c r="P4776" s="5"/>
      <c r="Q4776" s="5"/>
      <c r="R4776" s="5"/>
      <c r="S4776" s="5"/>
      <c r="T4776" s="5"/>
      <c r="U4776" s="5"/>
      <c r="V4776" s="5"/>
      <c r="W4776" s="5"/>
      <c r="X4776" s="5"/>
      <c r="Y4776" s="5"/>
      <c r="Z4776" s="5"/>
    </row>
    <row r="4777" spans="1:26" ht="15" x14ac:dyDescent="0.25">
      <c r="A4777" s="4" t="s">
        <v>4775</v>
      </c>
      <c r="B4777" s="4" t="s">
        <v>4550</v>
      </c>
      <c r="C4777" s="2" t="str">
        <f ca="1">IFERROR(__xludf.DUMMYFUNCTION("GOOGLETRANSLATE(A4777,""bn"",""en"")"),"It was a very nice movie")</f>
        <v>It was a very nice movie</v>
      </c>
      <c r="D4777" s="5"/>
      <c r="E4777" s="5"/>
      <c r="F4777" s="5"/>
      <c r="G4777" s="5"/>
      <c r="H4777" s="5"/>
      <c r="I4777" s="5"/>
      <c r="J4777" s="5"/>
      <c r="K4777" s="5"/>
      <c r="L4777" s="5"/>
      <c r="M4777" s="5"/>
      <c r="N4777" s="5"/>
      <c r="O4777" s="5"/>
      <c r="P4777" s="5"/>
      <c r="Q4777" s="5"/>
      <c r="R4777" s="5"/>
      <c r="S4777" s="5"/>
      <c r="T4777" s="5"/>
      <c r="U4777" s="5"/>
      <c r="V4777" s="5"/>
      <c r="W4777" s="5"/>
      <c r="X4777" s="5"/>
      <c r="Y4777" s="5"/>
      <c r="Z4777" s="5"/>
    </row>
    <row r="4778" spans="1:26" ht="15" x14ac:dyDescent="0.25">
      <c r="A4778" s="4" t="s">
        <v>4776</v>
      </c>
      <c r="B4778" s="4" t="s">
        <v>4550</v>
      </c>
      <c r="C4778" s="2" t="str">
        <f ca="1">IFERROR(__xludf.DUMMYFUNCTION("GOOGLETRANSLATE(A4778,""bn"",""en"")"),"Anupakumar was the worst performer")</f>
        <v>Anupakumar was the worst performer</v>
      </c>
      <c r="D4778" s="5"/>
      <c r="E4778" s="5"/>
      <c r="F4778" s="5"/>
      <c r="G4778" s="5"/>
      <c r="H4778" s="5"/>
      <c r="I4778" s="5"/>
      <c r="J4778" s="5"/>
      <c r="K4778" s="5"/>
      <c r="L4778" s="5"/>
      <c r="M4778" s="5"/>
      <c r="N4778" s="5"/>
      <c r="O4778" s="5"/>
      <c r="P4778" s="5"/>
      <c r="Q4778" s="5"/>
      <c r="R4778" s="5"/>
      <c r="S4778" s="5"/>
      <c r="T4778" s="5"/>
      <c r="U4778" s="5"/>
      <c r="V4778" s="5"/>
      <c r="W4778" s="5"/>
      <c r="X4778" s="5"/>
      <c r="Y4778" s="5"/>
      <c r="Z4778" s="5"/>
    </row>
    <row r="4779" spans="1:26" ht="15" x14ac:dyDescent="0.25">
      <c r="A4779" s="4" t="s">
        <v>4777</v>
      </c>
      <c r="B4779" s="4" t="s">
        <v>4550</v>
      </c>
      <c r="C4779" s="2" t="str">
        <f ca="1">IFERROR(__xludf.DUMMYFUNCTION("GOOGLETRANSLATE(A4779,""bn"",""en"")"),"I looked for half an hour and could not find anything except the shack")</f>
        <v>I looked for half an hour and could not find anything except the shack</v>
      </c>
      <c r="D4779" s="5"/>
      <c r="E4779" s="5"/>
      <c r="F4779" s="5"/>
      <c r="G4779" s="5"/>
      <c r="H4779" s="5"/>
      <c r="I4779" s="5"/>
      <c r="J4779" s="5"/>
      <c r="K4779" s="5"/>
      <c r="L4779" s="5"/>
      <c r="M4779" s="5"/>
      <c r="N4779" s="5"/>
      <c r="O4779" s="5"/>
      <c r="P4779" s="5"/>
      <c r="Q4779" s="5"/>
      <c r="R4779" s="5"/>
      <c r="S4779" s="5"/>
      <c r="T4779" s="5"/>
      <c r="U4779" s="5"/>
      <c r="V4779" s="5"/>
      <c r="W4779" s="5"/>
      <c r="X4779" s="5"/>
      <c r="Y4779" s="5"/>
      <c r="Z4779" s="5"/>
    </row>
    <row r="4780" spans="1:26" ht="15" x14ac:dyDescent="0.25">
      <c r="A4780" s="4" t="s">
        <v>4778</v>
      </c>
      <c r="B4780" s="4" t="s">
        <v>4550</v>
      </c>
      <c r="C4780" s="2" t="str">
        <f ca="1">IFERROR(__xludf.DUMMYFUNCTION("GOOGLETRANSLATE(A4780,""bn"",""en"")"),"I actually cried watching the movie, it was the best movie of Bengal")</f>
        <v>I actually cried watching the movie, it was the best movie of Bengal</v>
      </c>
      <c r="D4780" s="5"/>
      <c r="E4780" s="5"/>
      <c r="F4780" s="5"/>
      <c r="G4780" s="5"/>
      <c r="H4780" s="5"/>
      <c r="I4780" s="5"/>
      <c r="J4780" s="5"/>
      <c r="K4780" s="5"/>
      <c r="L4780" s="5"/>
      <c r="M4780" s="5"/>
      <c r="N4780" s="5"/>
      <c r="O4780" s="5"/>
      <c r="P4780" s="5"/>
      <c r="Q4780" s="5"/>
      <c r="R4780" s="5"/>
      <c r="S4780" s="5"/>
      <c r="T4780" s="5"/>
      <c r="U4780" s="5"/>
      <c r="V4780" s="5"/>
      <c r="W4780" s="5"/>
      <c r="X4780" s="5"/>
      <c r="Y4780" s="5"/>
      <c r="Z4780" s="5"/>
    </row>
    <row r="4781" spans="1:26" ht="15" x14ac:dyDescent="0.25">
      <c r="A4781" s="4" t="s">
        <v>4779</v>
      </c>
      <c r="B4781" s="4" t="s">
        <v>4550</v>
      </c>
      <c r="C4781" s="2" t="str">
        <f ca="1">IFERROR(__xludf.DUMMYFUNCTION("GOOGLETRANSLATE(A4781,""bn"",""en"")"),"I saw a beautiful film Satyajit Ray's creation is definitely like that Anupakumar and Sabyasachi's acting was impeccable.")</f>
        <v>I saw a beautiful film Satyajit Ray's creation is definitely like that Anupakumar and Sabyasachi's acting was impeccable.</v>
      </c>
      <c r="D4781" s="5"/>
      <c r="E4781" s="5"/>
      <c r="F4781" s="5"/>
      <c r="G4781" s="5"/>
      <c r="H4781" s="5"/>
      <c r="I4781" s="5"/>
      <c r="J4781" s="5"/>
      <c r="K4781" s="5"/>
      <c r="L4781" s="5"/>
      <c r="M4781" s="5"/>
      <c r="N4781" s="5"/>
      <c r="O4781" s="5"/>
      <c r="P4781" s="5"/>
      <c r="Q4781" s="5"/>
      <c r="R4781" s="5"/>
      <c r="S4781" s="5"/>
      <c r="T4781" s="5"/>
      <c r="U4781" s="5"/>
      <c r="V4781" s="5"/>
      <c r="W4781" s="5"/>
      <c r="X4781" s="5"/>
      <c r="Y4781" s="5"/>
      <c r="Z4781" s="5"/>
    </row>
    <row r="4782" spans="1:26" ht="15" x14ac:dyDescent="0.25">
      <c r="A4782" s="4" t="s">
        <v>4780</v>
      </c>
      <c r="B4782" s="4" t="s">
        <v>4550</v>
      </c>
      <c r="C4782" s="2" t="str">
        <f ca="1">IFERROR(__xludf.DUMMYFUNCTION("GOOGLETRANSLATE(A4782,""bn"",""en"")"),"Finally the wait was over Double Feluda was very good")</f>
        <v>Finally the wait was over Double Feluda was very good</v>
      </c>
      <c r="D4782" s="5"/>
      <c r="E4782" s="5"/>
      <c r="F4782" s="5"/>
      <c r="G4782" s="5"/>
      <c r="H4782" s="5"/>
      <c r="I4782" s="5"/>
      <c r="J4782" s="5"/>
      <c r="K4782" s="5"/>
      <c r="L4782" s="5"/>
      <c r="M4782" s="5"/>
      <c r="N4782" s="5"/>
      <c r="O4782" s="5"/>
      <c r="P4782" s="5"/>
      <c r="Q4782" s="5"/>
      <c r="R4782" s="5"/>
      <c r="S4782" s="5"/>
      <c r="T4782" s="5"/>
      <c r="U4782" s="5"/>
      <c r="V4782" s="5"/>
      <c r="W4782" s="5"/>
      <c r="X4782" s="5"/>
      <c r="Y4782" s="5"/>
      <c r="Z4782" s="5"/>
    </row>
    <row r="4783" spans="1:26" ht="15" x14ac:dyDescent="0.25">
      <c r="A4783" s="4" t="s">
        <v>4781</v>
      </c>
      <c r="B4783" s="4" t="s">
        <v>4550</v>
      </c>
      <c r="C4783" s="2" t="str">
        <f ca="1">IFERROR(__xludf.DUMMYFUNCTION("GOOGLETRANSLATE(A4783,""bn"",""en"")"),"Like the beautiful film, the songs of the beautiful film were also very good.")</f>
        <v>Like the beautiful film, the songs of the beautiful film were also very good.</v>
      </c>
      <c r="D4783" s="5"/>
      <c r="E4783" s="5"/>
      <c r="F4783" s="5"/>
      <c r="G4783" s="5"/>
      <c r="H4783" s="5"/>
      <c r="I4783" s="5"/>
      <c r="J4783" s="5"/>
      <c r="K4783" s="5"/>
      <c r="L4783" s="5"/>
      <c r="M4783" s="5"/>
      <c r="N4783" s="5"/>
      <c r="O4783" s="5"/>
      <c r="P4783" s="5"/>
      <c r="Q4783" s="5"/>
      <c r="R4783" s="5"/>
      <c r="S4783" s="5"/>
      <c r="T4783" s="5"/>
      <c r="U4783" s="5"/>
      <c r="V4783" s="5"/>
      <c r="W4783" s="5"/>
      <c r="X4783" s="5"/>
      <c r="Y4783" s="5"/>
      <c r="Z4783" s="5"/>
    </row>
    <row r="4784" spans="1:26" ht="15" x14ac:dyDescent="0.25">
      <c r="A4784" s="4" t="s">
        <v>4782</v>
      </c>
      <c r="B4784" s="4" t="s">
        <v>4550</v>
      </c>
      <c r="C4784" s="2" t="str">
        <f ca="1">IFERROR(__xludf.DUMMYFUNCTION("GOOGLETRANSLATE(A4784,""bn"",""en"")"),"Seeing such a serious and painful scene, tears were coming and the audience was laughing")</f>
        <v>Seeing such a serious and painful scene, tears were coming and the audience was laughing</v>
      </c>
      <c r="D4784" s="5"/>
      <c r="E4784" s="5"/>
      <c r="F4784" s="5"/>
      <c r="G4784" s="5"/>
      <c r="H4784" s="5"/>
      <c r="I4784" s="5"/>
      <c r="J4784" s="5"/>
      <c r="K4784" s="5"/>
      <c r="L4784" s="5"/>
      <c r="M4784" s="5"/>
      <c r="N4784" s="5"/>
      <c r="O4784" s="5"/>
      <c r="P4784" s="5"/>
      <c r="Q4784" s="5"/>
      <c r="R4784" s="5"/>
      <c r="S4784" s="5"/>
      <c r="T4784" s="5"/>
      <c r="U4784" s="5"/>
      <c r="V4784" s="5"/>
      <c r="W4784" s="5"/>
      <c r="X4784" s="5"/>
      <c r="Y4784" s="5"/>
      <c r="Z4784" s="5"/>
    </row>
    <row r="4785" spans="1:26" ht="15" x14ac:dyDescent="0.25">
      <c r="A4785" s="4" t="s">
        <v>4783</v>
      </c>
      <c r="B4785" s="4" t="s">
        <v>4550</v>
      </c>
      <c r="C4785" s="2" t="str">
        <f ca="1">IFERROR(__xludf.DUMMYFUNCTION("GOOGLETRANSLATE(A4785,""bn"",""en"")"),"The story was good but he couldn't wrap it up that way")</f>
        <v>The story was good but he couldn't wrap it up that way</v>
      </c>
      <c r="D4785" s="5"/>
      <c r="E4785" s="5"/>
      <c r="F4785" s="5"/>
      <c r="G4785" s="5"/>
      <c r="H4785" s="5"/>
      <c r="I4785" s="5"/>
      <c r="J4785" s="5"/>
      <c r="K4785" s="5"/>
      <c r="L4785" s="5"/>
      <c r="M4785" s="5"/>
      <c r="N4785" s="5"/>
      <c r="O4785" s="5"/>
      <c r="P4785" s="5"/>
      <c r="Q4785" s="5"/>
      <c r="R4785" s="5"/>
      <c r="S4785" s="5"/>
      <c r="T4785" s="5"/>
      <c r="U4785" s="5"/>
      <c r="V4785" s="5"/>
      <c r="W4785" s="5"/>
      <c r="X4785" s="5"/>
      <c r="Y4785" s="5"/>
      <c r="Z4785" s="5"/>
    </row>
    <row r="4786" spans="1:26" ht="15" x14ac:dyDescent="0.25">
      <c r="A4786" s="4" t="s">
        <v>4784</v>
      </c>
      <c r="B4786" s="4" t="s">
        <v>4550</v>
      </c>
      <c r="C4786" s="2" t="str">
        <f ca="1">IFERROR(__xludf.DUMMYFUNCTION("GOOGLETRANSLATE(A4786,""bn"",""en"")"),"I liked the movie very much but this was the first time I saw Anwar Sahib acting as a big man")</f>
        <v>I liked the movie very much but this was the first time I saw Anwar Sahib acting as a big man</v>
      </c>
      <c r="D4786" s="5"/>
      <c r="E4786" s="5"/>
      <c r="F4786" s="5"/>
      <c r="G4786" s="5"/>
      <c r="H4786" s="5"/>
      <c r="I4786" s="5"/>
      <c r="J4786" s="5"/>
      <c r="K4786" s="5"/>
      <c r="L4786" s="5"/>
      <c r="M4786" s="5"/>
      <c r="N4786" s="5"/>
      <c r="O4786" s="5"/>
      <c r="P4786" s="5"/>
      <c r="Q4786" s="5"/>
      <c r="R4786" s="5"/>
      <c r="S4786" s="5"/>
      <c r="T4786" s="5"/>
      <c r="U4786" s="5"/>
      <c r="V4786" s="5"/>
      <c r="W4786" s="5"/>
      <c r="X4786" s="5"/>
      <c r="Y4786" s="5"/>
      <c r="Z4786" s="5"/>
    </row>
    <row r="4787" spans="1:26" ht="15" x14ac:dyDescent="0.25">
      <c r="A4787" s="4" t="s">
        <v>4785</v>
      </c>
      <c r="B4787" s="4" t="s">
        <v>4550</v>
      </c>
      <c r="C4787" s="2" t="str">
        <f ca="1">IFERROR(__xludf.DUMMYFUNCTION("GOOGLETRANSLATE(A4787,""bn"",""en"")"),"I had been hearing the name of the film for so long but never seen it. Today, I suddenly felt that it was one of the best movies in history")</f>
        <v>I had been hearing the name of the film for so long but never seen it. Today, I suddenly felt that it was one of the best movies in history</v>
      </c>
      <c r="D4787" s="5"/>
      <c r="E4787" s="5"/>
      <c r="F4787" s="5"/>
      <c r="G4787" s="5"/>
      <c r="H4787" s="5"/>
      <c r="I4787" s="5"/>
      <c r="J4787" s="5"/>
      <c r="K4787" s="5"/>
      <c r="L4787" s="5"/>
      <c r="M4787" s="5"/>
      <c r="N4787" s="5"/>
      <c r="O4787" s="5"/>
      <c r="P4787" s="5"/>
      <c r="Q4787" s="5"/>
      <c r="R4787" s="5"/>
      <c r="S4787" s="5"/>
      <c r="T4787" s="5"/>
      <c r="U4787" s="5"/>
      <c r="V4787" s="5"/>
      <c r="W4787" s="5"/>
      <c r="X4787" s="5"/>
      <c r="Y4787" s="5"/>
      <c r="Z4787" s="5"/>
    </row>
    <row r="4788" spans="1:26" ht="15" x14ac:dyDescent="0.25">
      <c r="A4788" s="4" t="s">
        <v>4786</v>
      </c>
      <c r="B4788" s="4" t="s">
        <v>4550</v>
      </c>
      <c r="C4788" s="2" t="str">
        <f ca="1">IFERROR(__xludf.DUMMYFUNCTION("GOOGLETRANSLATE(A4788,""bn"",""en"")"),"The super hit movie was champion")</f>
        <v>The super hit movie was champion</v>
      </c>
      <c r="D4788" s="5"/>
      <c r="E4788" s="5"/>
      <c r="F4788" s="5"/>
      <c r="G4788" s="5"/>
      <c r="H4788" s="5"/>
      <c r="I4788" s="5"/>
      <c r="J4788" s="5"/>
      <c r="K4788" s="5"/>
      <c r="L4788" s="5"/>
      <c r="M4788" s="5"/>
      <c r="N4788" s="5"/>
      <c r="O4788" s="5"/>
      <c r="P4788" s="5"/>
      <c r="Q4788" s="5"/>
      <c r="R4788" s="5"/>
      <c r="S4788" s="5"/>
      <c r="T4788" s="5"/>
      <c r="U4788" s="5"/>
      <c r="V4788" s="5"/>
      <c r="W4788" s="5"/>
      <c r="X4788" s="5"/>
      <c r="Y4788" s="5"/>
      <c r="Z4788" s="5"/>
    </row>
    <row r="4789" spans="1:26" ht="15" x14ac:dyDescent="0.25">
      <c r="A4789" s="4" t="s">
        <v>4787</v>
      </c>
      <c r="B4789" s="4" t="s">
        <v>4550</v>
      </c>
      <c r="C4789" s="2" t="str">
        <f ca="1">IFERROR(__xludf.DUMMYFUNCTION("GOOGLETRANSLATE(A4789,""bn"",""en"")"),"It was the first time I saw a very beautiful picture and I am a century man but I missed such a beautiful picture")</f>
        <v>It was the first time I saw a very beautiful picture and I am a century man but I missed such a beautiful picture</v>
      </c>
      <c r="D4789" s="5"/>
      <c r="E4789" s="5"/>
      <c r="F4789" s="5"/>
      <c r="G4789" s="5"/>
      <c r="H4789" s="5"/>
      <c r="I4789" s="5"/>
      <c r="J4789" s="5"/>
      <c r="K4789" s="5"/>
      <c r="L4789" s="5"/>
      <c r="M4789" s="5"/>
      <c r="N4789" s="5"/>
      <c r="O4789" s="5"/>
      <c r="P4789" s="5"/>
      <c r="Q4789" s="5"/>
      <c r="R4789" s="5"/>
      <c r="S4789" s="5"/>
      <c r="T4789" s="5"/>
      <c r="U4789" s="5"/>
      <c r="V4789" s="5"/>
      <c r="W4789" s="5"/>
      <c r="X4789" s="5"/>
      <c r="Y4789" s="5"/>
      <c r="Z4789" s="5"/>
    </row>
    <row r="4790" spans="1:26" ht="15" x14ac:dyDescent="0.25">
      <c r="A4790" s="4" t="s">
        <v>4788</v>
      </c>
      <c r="B4790" s="4" t="s">
        <v>4550</v>
      </c>
      <c r="C4790" s="2" t="str">
        <f ca="1">IFERROR(__xludf.DUMMYFUNCTION("GOOGLETRANSLATE(A4790,""bn"",""en"")"),"I did not understand the story")</f>
        <v>I did not understand the story</v>
      </c>
      <c r="D4790" s="5"/>
      <c r="E4790" s="5"/>
      <c r="F4790" s="5"/>
      <c r="G4790" s="5"/>
      <c r="H4790" s="5"/>
      <c r="I4790" s="5"/>
      <c r="J4790" s="5"/>
      <c r="K4790" s="5"/>
      <c r="L4790" s="5"/>
      <c r="M4790" s="5"/>
      <c r="N4790" s="5"/>
      <c r="O4790" s="5"/>
      <c r="P4790" s="5"/>
      <c r="Q4790" s="5"/>
      <c r="R4790" s="5"/>
      <c r="S4790" s="5"/>
      <c r="T4790" s="5"/>
      <c r="U4790" s="5"/>
      <c r="V4790" s="5"/>
      <c r="W4790" s="5"/>
      <c r="X4790" s="5"/>
      <c r="Y4790" s="5"/>
      <c r="Z4790" s="5"/>
    </row>
    <row r="4791" spans="1:26" ht="15" x14ac:dyDescent="0.25">
      <c r="A4791" s="4" t="s">
        <v>4789</v>
      </c>
      <c r="B4791" s="4" t="s">
        <v>4550</v>
      </c>
      <c r="C4791" s="2" t="str">
        <f ca="1">IFERROR(__xludf.DUMMYFUNCTION("GOOGLETRANSLATE(A4791,""bn"",""en"")"),"Munsiana's impression was evident in the story script and direction and Arpita Chatterjee's performance as such an underbelt was not only superb but also impeccable.")</f>
        <v>Munsiana's impression was evident in the story script and direction and Arpita Chatterjee's performance as such an underbelt was not only superb but also impeccable.</v>
      </c>
      <c r="D4791" s="5"/>
      <c r="E4791" s="5"/>
      <c r="F4791" s="5"/>
      <c r="G4791" s="5"/>
      <c r="H4791" s="5"/>
      <c r="I4791" s="5"/>
      <c r="J4791" s="5"/>
      <c r="K4791" s="5"/>
      <c r="L4791" s="5"/>
      <c r="M4791" s="5"/>
      <c r="N4791" s="5"/>
      <c r="O4791" s="5"/>
      <c r="P4791" s="5"/>
      <c r="Q4791" s="5"/>
      <c r="R4791" s="5"/>
      <c r="S4791" s="5"/>
      <c r="T4791" s="5"/>
      <c r="U4791" s="5"/>
      <c r="V4791" s="5"/>
      <c r="W4791" s="5"/>
      <c r="X4791" s="5"/>
      <c r="Y4791" s="5"/>
      <c r="Z4791" s="5"/>
    </row>
    <row r="4792" spans="1:26" ht="15" x14ac:dyDescent="0.25">
      <c r="A4792" s="4" t="s">
        <v>4790</v>
      </c>
      <c r="B4792" s="4" t="s">
        <v>4550</v>
      </c>
      <c r="C4792" s="2" t="str">
        <f ca="1">IFERROR(__xludf.DUMMYFUNCTION("GOOGLETRANSLATE(A4792,""bn"",""en"")"),"If there was a plan to make such a movie, the film industry of Bangladesh would have gone into the abyss")</f>
        <v>If there was a plan to make such a movie, the film industry of Bangladesh would have gone into the abyss</v>
      </c>
      <c r="D4792" s="5"/>
      <c r="E4792" s="5"/>
      <c r="F4792" s="5"/>
      <c r="G4792" s="5"/>
      <c r="H4792" s="5"/>
      <c r="I4792" s="5"/>
      <c r="J4792" s="5"/>
      <c r="K4792" s="5"/>
      <c r="L4792" s="5"/>
      <c r="M4792" s="5"/>
      <c r="N4792" s="5"/>
      <c r="O4792" s="5"/>
      <c r="P4792" s="5"/>
      <c r="Q4792" s="5"/>
      <c r="R4792" s="5"/>
      <c r="S4792" s="5"/>
      <c r="T4792" s="5"/>
      <c r="U4792" s="5"/>
      <c r="V4792" s="5"/>
      <c r="W4792" s="5"/>
      <c r="X4792" s="5"/>
      <c r="Y4792" s="5"/>
      <c r="Z4792" s="5"/>
    </row>
    <row r="4793" spans="1:26" ht="15" x14ac:dyDescent="0.25">
      <c r="A4793" s="4" t="s">
        <v>4791</v>
      </c>
      <c r="B4793" s="4" t="s">
        <v>4550</v>
      </c>
      <c r="C4793" s="2" t="str">
        <f ca="1">IFERROR(__xludf.DUMMYFUNCTION("GOOGLETRANSLATE(A4793,""bn"",""en"")"),"The movie was very beautiful especially the shooting of the baby and Bobby's double part and the acting of the mother when the baby actually called the original mother when the mother died made me cry a lot.")</f>
        <v>The movie was very beautiful especially the shooting of the baby and Bobby's double part and the acting of the mother when the baby actually called the original mother when the mother died made me cry a lot.</v>
      </c>
      <c r="D4793" s="5"/>
      <c r="E4793" s="5"/>
      <c r="F4793" s="5"/>
      <c r="G4793" s="5"/>
      <c r="H4793" s="5"/>
      <c r="I4793" s="5"/>
      <c r="J4793" s="5"/>
      <c r="K4793" s="5"/>
      <c r="L4793" s="5"/>
      <c r="M4793" s="5"/>
      <c r="N4793" s="5"/>
      <c r="O4793" s="5"/>
      <c r="P4793" s="5"/>
      <c r="Q4793" s="5"/>
      <c r="R4793" s="5"/>
      <c r="S4793" s="5"/>
      <c r="T4793" s="5"/>
      <c r="U4793" s="5"/>
      <c r="V4793" s="5"/>
      <c r="W4793" s="5"/>
      <c r="X4793" s="5"/>
      <c r="Y4793" s="5"/>
      <c r="Z4793" s="5"/>
    </row>
    <row r="4794" spans="1:26" ht="15" x14ac:dyDescent="0.25">
      <c r="A4794" s="4" t="s">
        <v>4792</v>
      </c>
      <c r="B4794" s="4" t="s">
        <v>4550</v>
      </c>
      <c r="C4794" s="2" t="str">
        <f ca="1">IFERROR(__xludf.DUMMYFUNCTION("GOOGLETRANSLATE(A4794,""bn"",""en"")"),"Alhamdulillah, I was helping an older brother while walking on the street one day")</f>
        <v>Alhamdulillah, I was helping an older brother while walking on the street one day</v>
      </c>
      <c r="D4794" s="5"/>
      <c r="E4794" s="5"/>
      <c r="F4794" s="5"/>
      <c r="G4794" s="5"/>
      <c r="H4794" s="5"/>
      <c r="I4794" s="5"/>
      <c r="J4794" s="5"/>
      <c r="K4794" s="5"/>
      <c r="L4794" s="5"/>
      <c r="M4794" s="5"/>
      <c r="N4794" s="5"/>
      <c r="O4794" s="5"/>
      <c r="P4794" s="5"/>
      <c r="Q4794" s="5"/>
      <c r="R4794" s="5"/>
      <c r="S4794" s="5"/>
      <c r="T4794" s="5"/>
      <c r="U4794" s="5"/>
      <c r="V4794" s="5"/>
      <c r="W4794" s="5"/>
      <c r="X4794" s="5"/>
      <c r="Y4794" s="5"/>
      <c r="Z4794" s="5"/>
    </row>
    <row r="4795" spans="1:26" ht="15" x14ac:dyDescent="0.25">
      <c r="A4795" s="4" t="s">
        <v>4793</v>
      </c>
      <c r="B4795" s="4" t="s">
        <v>4550</v>
      </c>
      <c r="C4795" s="2" t="str">
        <f ca="1">IFERROR(__xludf.DUMMYFUNCTION("GOOGLETRANSLATE(A4795,""bn"",""en"")"),"It was not so much a movie but a reflection of a life")</f>
        <v>It was not so much a movie but a reflection of a life</v>
      </c>
      <c r="D4795" s="5"/>
      <c r="E4795" s="5"/>
      <c r="F4795" s="5"/>
      <c r="G4795" s="5"/>
      <c r="H4795" s="5"/>
      <c r="I4795" s="5"/>
      <c r="J4795" s="5"/>
      <c r="K4795" s="5"/>
      <c r="L4795" s="5"/>
      <c r="M4795" s="5"/>
      <c r="N4795" s="5"/>
      <c r="O4795" s="5"/>
      <c r="P4795" s="5"/>
      <c r="Q4795" s="5"/>
      <c r="R4795" s="5"/>
      <c r="S4795" s="5"/>
      <c r="T4795" s="5"/>
      <c r="U4795" s="5"/>
      <c r="V4795" s="5"/>
      <c r="W4795" s="5"/>
      <c r="X4795" s="5"/>
      <c r="Y4795" s="5"/>
      <c r="Z4795" s="5"/>
    </row>
    <row r="4796" spans="1:26" ht="15" x14ac:dyDescent="0.25">
      <c r="A4796" s="4" t="s">
        <v>4794</v>
      </c>
      <c r="B4796" s="4" t="s">
        <v>4550</v>
      </c>
      <c r="C4796" s="2" t="str">
        <f ca="1">IFERROR(__xludf.DUMMYFUNCTION("GOOGLETRANSLATE(A4796,""bn"",""en"")"),"It would have been better if Arefin Shuvo had reduced the volatility a bit")</f>
        <v>It would have been better if Arefin Shuvo had reduced the volatility a bit</v>
      </c>
      <c r="D4796" s="5"/>
      <c r="E4796" s="5"/>
      <c r="F4796" s="5"/>
      <c r="G4796" s="5"/>
      <c r="H4796" s="5"/>
      <c r="I4796" s="5"/>
      <c r="J4796" s="5"/>
      <c r="K4796" s="5"/>
      <c r="L4796" s="5"/>
      <c r="M4796" s="5"/>
      <c r="N4796" s="5"/>
      <c r="O4796" s="5"/>
      <c r="P4796" s="5"/>
      <c r="Q4796" s="5"/>
      <c r="R4796" s="5"/>
      <c r="S4796" s="5"/>
      <c r="T4796" s="5"/>
      <c r="U4796" s="5"/>
      <c r="V4796" s="5"/>
      <c r="W4796" s="5"/>
      <c r="X4796" s="5"/>
      <c r="Y4796" s="5"/>
      <c r="Z4796" s="5"/>
    </row>
    <row r="4797" spans="1:26" ht="15" x14ac:dyDescent="0.25">
      <c r="A4797" s="4" t="s">
        <v>4795</v>
      </c>
      <c r="B4797" s="4" t="s">
        <v>4550</v>
      </c>
      <c r="C4797" s="2" t="str">
        <f ca="1">IFERROR(__xludf.DUMMYFUNCTION("GOOGLETRANSLATE(A4797,""bn"",""en"")"),"Watched the movie as a child and cried I didn't understand but couldn't hold back the tears Salman Shah acted flawlessly.")</f>
        <v>Watched the movie as a child and cried I didn't understand but couldn't hold back the tears Salman Shah acted flawlessly.</v>
      </c>
      <c r="D4797" s="5"/>
      <c r="E4797" s="5"/>
      <c r="F4797" s="5"/>
      <c r="G4797" s="5"/>
      <c r="H4797" s="5"/>
      <c r="I4797" s="5"/>
      <c r="J4797" s="5"/>
      <c r="K4797" s="5"/>
      <c r="L4797" s="5"/>
      <c r="M4797" s="5"/>
      <c r="N4797" s="5"/>
      <c r="O4797" s="5"/>
      <c r="P4797" s="5"/>
      <c r="Q4797" s="5"/>
      <c r="R4797" s="5"/>
      <c r="S4797" s="5"/>
      <c r="T4797" s="5"/>
      <c r="U4797" s="5"/>
      <c r="V4797" s="5"/>
      <c r="W4797" s="5"/>
      <c r="X4797" s="5"/>
      <c r="Y4797" s="5"/>
      <c r="Z4797" s="5"/>
    </row>
    <row r="4798" spans="1:26" ht="15" x14ac:dyDescent="0.25">
      <c r="A4798" s="4" t="s">
        <v>4796</v>
      </c>
      <c r="B4798" s="4" t="s">
        <v>4550</v>
      </c>
      <c r="C4798" s="2" t="str">
        <f ca="1">IFERROR(__xludf.DUMMYFUNCTION("GOOGLETRANSLATE(A4798,""bn"",""en"")"),"The screenplay dialogues were bad enough the story was like a three act play over acting point the film was not good")</f>
        <v>The screenplay dialogues were bad enough the story was like a three act play over acting point the film was not good</v>
      </c>
      <c r="D4798" s="5"/>
      <c r="E4798" s="5"/>
      <c r="F4798" s="5"/>
      <c r="G4798" s="5"/>
      <c r="H4798" s="5"/>
      <c r="I4798" s="5"/>
      <c r="J4798" s="5"/>
      <c r="K4798" s="5"/>
      <c r="L4798" s="5"/>
      <c r="M4798" s="5"/>
      <c r="N4798" s="5"/>
      <c r="O4798" s="5"/>
      <c r="P4798" s="5"/>
      <c r="Q4798" s="5"/>
      <c r="R4798" s="5"/>
      <c r="S4798" s="5"/>
      <c r="T4798" s="5"/>
      <c r="U4798" s="5"/>
      <c r="V4798" s="5"/>
      <c r="W4798" s="5"/>
      <c r="X4798" s="5"/>
      <c r="Y4798" s="5"/>
      <c r="Z4798" s="5"/>
    </row>
    <row r="4799" spans="1:26" ht="15" x14ac:dyDescent="0.25">
      <c r="A4799" s="4" t="s">
        <v>4797</v>
      </c>
      <c r="B4799" s="4" t="s">
        <v>4550</v>
      </c>
      <c r="C4799" s="2" t="str">
        <f ca="1">IFERROR(__xludf.DUMMYFUNCTION("GOOGLETRANSLATE(A4799,""bn"",""en"")"),"No one has broken the record of this film yet")</f>
        <v>No one has broken the record of this film yet</v>
      </c>
      <c r="D4799" s="5"/>
      <c r="E4799" s="5"/>
      <c r="F4799" s="5"/>
      <c r="G4799" s="5"/>
      <c r="H4799" s="5"/>
      <c r="I4799" s="5"/>
      <c r="J4799" s="5"/>
      <c r="K4799" s="5"/>
      <c r="L4799" s="5"/>
      <c r="M4799" s="5"/>
      <c r="N4799" s="5"/>
      <c r="O4799" s="5"/>
      <c r="P4799" s="5"/>
      <c r="Q4799" s="5"/>
      <c r="R4799" s="5"/>
      <c r="S4799" s="5"/>
      <c r="T4799" s="5"/>
      <c r="U4799" s="5"/>
      <c r="V4799" s="5"/>
      <c r="W4799" s="5"/>
      <c r="X4799" s="5"/>
      <c r="Y4799" s="5"/>
      <c r="Z4799" s="5"/>
    </row>
    <row r="4800" spans="1:26" ht="15" x14ac:dyDescent="0.25">
      <c r="A4800" s="4" t="s">
        <v>4798</v>
      </c>
      <c r="B4800" s="4" t="s">
        <v>4550</v>
      </c>
      <c r="C4800" s="2" t="str">
        <f ca="1">IFERROR(__xludf.DUMMYFUNCTION("GOOGLETRANSLATE(A4800,""bn"",""en"")"),"Seeing such a beautiful movie filled my heart, I felt that the hours passed very well")</f>
        <v>Seeing such a beautiful movie filled my heart, I felt that the hours passed very well</v>
      </c>
      <c r="D4800" s="5"/>
      <c r="E4800" s="5"/>
      <c r="F4800" s="5"/>
      <c r="G4800" s="5"/>
      <c r="H4800" s="5"/>
      <c r="I4800" s="5"/>
      <c r="J4800" s="5"/>
      <c r="K4800" s="5"/>
      <c r="L4800" s="5"/>
      <c r="M4800" s="5"/>
      <c r="N4800" s="5"/>
      <c r="O4800" s="5"/>
      <c r="P4800" s="5"/>
      <c r="Q4800" s="5"/>
      <c r="R4800" s="5"/>
      <c r="S4800" s="5"/>
      <c r="T4800" s="5"/>
      <c r="U4800" s="5"/>
      <c r="V4800" s="5"/>
      <c r="W4800" s="5"/>
      <c r="X4800" s="5"/>
      <c r="Y4800" s="5"/>
      <c r="Z4800" s="5"/>
    </row>
    <row r="4801" spans="1:26" ht="15" x14ac:dyDescent="0.25">
      <c r="A4801" s="4" t="s">
        <v>4799</v>
      </c>
      <c r="B4801" s="4" t="s">
        <v>4550</v>
      </c>
      <c r="C4801" s="2" t="str">
        <f ca="1">IFERROR(__xludf.DUMMYFUNCTION("GOOGLETRANSLATE(A4801,""bn"",""en"")"),"I was genuinely crying a lot at the time and it was a wonderful experience")</f>
        <v>I was genuinely crying a lot at the time and it was a wonderful experience</v>
      </c>
      <c r="D4801" s="5"/>
      <c r="E4801" s="5"/>
      <c r="F4801" s="5"/>
      <c r="G4801" s="5"/>
      <c r="H4801" s="5"/>
      <c r="I4801" s="5"/>
      <c r="J4801" s="5"/>
      <c r="K4801" s="5"/>
      <c r="L4801" s="5"/>
      <c r="M4801" s="5"/>
      <c r="N4801" s="5"/>
      <c r="O4801" s="5"/>
      <c r="P4801" s="5"/>
      <c r="Q4801" s="5"/>
      <c r="R4801" s="5"/>
      <c r="S4801" s="5"/>
      <c r="T4801" s="5"/>
      <c r="U4801" s="5"/>
      <c r="V4801" s="5"/>
      <c r="W4801" s="5"/>
      <c r="X4801" s="5"/>
      <c r="Y4801" s="5"/>
      <c r="Z4801" s="5"/>
    </row>
    <row r="4802" spans="1:26" ht="15" x14ac:dyDescent="0.25">
      <c r="A4802" s="4" t="s">
        <v>4800</v>
      </c>
      <c r="B4802" s="4" t="s">
        <v>4550</v>
      </c>
      <c r="C4802" s="2" t="str">
        <f ca="1">IFERROR(__xludf.DUMMYFUNCTION("GOOGLETRANSLATE(A4802,""bn"",""en"")"),"It was a wonderful movie I have never seen any Bengali movie but this is the first time I have seen this movie")</f>
        <v>It was a wonderful movie I have never seen any Bengali movie but this is the first time I have seen this movie</v>
      </c>
      <c r="D4802" s="5"/>
      <c r="E4802" s="5"/>
      <c r="F4802" s="5"/>
      <c r="G4802" s="5"/>
      <c r="H4802" s="5"/>
      <c r="I4802" s="5"/>
      <c r="J4802" s="5"/>
      <c r="K4802" s="5"/>
      <c r="L4802" s="5"/>
      <c r="M4802" s="5"/>
      <c r="N4802" s="5"/>
      <c r="O4802" s="5"/>
      <c r="P4802" s="5"/>
      <c r="Q4802" s="5"/>
      <c r="R4802" s="5"/>
      <c r="S4802" s="5"/>
      <c r="T4802" s="5"/>
      <c r="U4802" s="5"/>
      <c r="V4802" s="5"/>
      <c r="W4802" s="5"/>
      <c r="X4802" s="5"/>
      <c r="Y4802" s="5"/>
      <c r="Z4802" s="5"/>
    </row>
    <row r="4803" spans="1:26" ht="15" x14ac:dyDescent="0.25">
      <c r="A4803" s="4" t="s">
        <v>4801</v>
      </c>
      <c r="B4803" s="4" t="s">
        <v>4550</v>
      </c>
      <c r="C4803" s="2" t="str">
        <f ca="1">IFERROR(__xludf.DUMMYFUNCTION("GOOGLETRANSLATE(A4803,""bn"",""en"")"),"It was very nice to see the picture, I think how beautiful it was after seeing the previous picture")</f>
        <v>It was very nice to see the picture, I think how beautiful it was after seeing the previous picture</v>
      </c>
      <c r="D4803" s="5"/>
      <c r="E4803" s="5"/>
      <c r="F4803" s="5"/>
      <c r="G4803" s="5"/>
      <c r="H4803" s="5"/>
      <c r="I4803" s="5"/>
      <c r="J4803" s="5"/>
      <c r="K4803" s="5"/>
      <c r="L4803" s="5"/>
      <c r="M4803" s="5"/>
      <c r="N4803" s="5"/>
      <c r="O4803" s="5"/>
      <c r="P4803" s="5"/>
      <c r="Q4803" s="5"/>
      <c r="R4803" s="5"/>
      <c r="S4803" s="5"/>
      <c r="T4803" s="5"/>
      <c r="U4803" s="5"/>
      <c r="V4803" s="5"/>
      <c r="W4803" s="5"/>
      <c r="X4803" s="5"/>
      <c r="Y4803" s="5"/>
      <c r="Z4803" s="5"/>
    </row>
    <row r="4804" spans="1:26" ht="15" x14ac:dyDescent="0.25">
      <c r="A4804" s="4" t="s">
        <v>4802</v>
      </c>
      <c r="B4804" s="4" t="s">
        <v>4550</v>
      </c>
      <c r="C4804" s="2" t="str">
        <f ca="1">IFERROR(__xludf.DUMMYFUNCTION("GOOGLETRANSLATE(A4804,""bn"",""en"")"),"Everyone told me to watch the film but I didn't like it")</f>
        <v>Everyone told me to watch the film but I didn't like it</v>
      </c>
      <c r="D4804" s="5"/>
      <c r="E4804" s="5"/>
      <c r="F4804" s="5"/>
      <c r="G4804" s="5"/>
      <c r="H4804" s="5"/>
      <c r="I4804" s="5"/>
      <c r="J4804" s="5"/>
      <c r="K4804" s="5"/>
      <c r="L4804" s="5"/>
      <c r="M4804" s="5"/>
      <c r="N4804" s="5"/>
      <c r="O4804" s="5"/>
      <c r="P4804" s="5"/>
      <c r="Q4804" s="5"/>
      <c r="R4804" s="5"/>
      <c r="S4804" s="5"/>
      <c r="T4804" s="5"/>
      <c r="U4804" s="5"/>
      <c r="V4804" s="5"/>
      <c r="W4804" s="5"/>
      <c r="X4804" s="5"/>
      <c r="Y4804" s="5"/>
      <c r="Z4804" s="5"/>
    </row>
    <row r="4805" spans="1:26" ht="15" x14ac:dyDescent="0.25">
      <c r="A4805" s="4" t="s">
        <v>4803</v>
      </c>
      <c r="B4805" s="4" t="s">
        <v>4550</v>
      </c>
      <c r="C4805" s="2" t="str">
        <f ca="1">IFERROR(__xludf.DUMMYFUNCTION("GOOGLETRANSLATE(A4805,""bn"",""en"")"),"I would not get bored even if I saw the pictures of the old days so beautifully")</f>
        <v>I would not get bored even if I saw the pictures of the old days so beautifully</v>
      </c>
      <c r="D4805" s="5"/>
      <c r="E4805" s="5"/>
      <c r="F4805" s="5"/>
      <c r="G4805" s="5"/>
      <c r="H4805" s="5"/>
      <c r="I4805" s="5"/>
      <c r="J4805" s="5"/>
      <c r="K4805" s="5"/>
      <c r="L4805" s="5"/>
      <c r="M4805" s="5"/>
      <c r="N4805" s="5"/>
      <c r="O4805" s="5"/>
      <c r="P4805" s="5"/>
      <c r="Q4805" s="5"/>
      <c r="R4805" s="5"/>
      <c r="S4805" s="5"/>
      <c r="T4805" s="5"/>
      <c r="U4805" s="5"/>
      <c r="V4805" s="5"/>
      <c r="W4805" s="5"/>
      <c r="X4805" s="5"/>
      <c r="Y4805" s="5"/>
      <c r="Z4805" s="5"/>
    </row>
    <row r="4806" spans="1:26" ht="15" x14ac:dyDescent="0.25">
      <c r="A4806" s="4" t="s">
        <v>4804</v>
      </c>
      <c r="B4806" s="4" t="s">
        <v>4550</v>
      </c>
      <c r="C4806" s="2" t="str">
        <f ca="1">IFERROR(__xludf.DUMMYFUNCTION("GOOGLETRANSLATE(A4806,""bn"",""en"")"),"The more times I watched the movie, the more I was enthralled, every song of this movie touched my heart and without knowing it, tears fell in my eyes.")</f>
        <v>The more times I watched the movie, the more I was enthralled, every song of this movie touched my heart and without knowing it, tears fell in my eyes.</v>
      </c>
      <c r="D4806" s="5"/>
      <c r="E4806" s="5"/>
      <c r="F4806" s="5"/>
      <c r="G4806" s="5"/>
      <c r="H4806" s="5"/>
      <c r="I4806" s="5"/>
      <c r="J4806" s="5"/>
      <c r="K4806" s="5"/>
      <c r="L4806" s="5"/>
      <c r="M4806" s="5"/>
      <c r="N4806" s="5"/>
      <c r="O4806" s="5"/>
      <c r="P4806" s="5"/>
      <c r="Q4806" s="5"/>
      <c r="R4806" s="5"/>
      <c r="S4806" s="5"/>
      <c r="T4806" s="5"/>
      <c r="U4806" s="5"/>
      <c r="V4806" s="5"/>
      <c r="W4806" s="5"/>
      <c r="X4806" s="5"/>
      <c r="Y4806" s="5"/>
      <c r="Z4806" s="5"/>
    </row>
    <row r="4807" spans="1:26" ht="15" x14ac:dyDescent="0.25">
      <c r="A4807" s="4" t="s">
        <v>4805</v>
      </c>
      <c r="B4807" s="4" t="s">
        <v>4550</v>
      </c>
      <c r="C4807" s="2" t="str">
        <f ca="1">IFERROR(__xludf.DUMMYFUNCTION("GOOGLETRANSLATE(A4807,""bn"",""en"")"),"It was a very favorite movie but I felt a lot of pain towards the end. Moushumi misunderstood the torture and again Daus's pain made her cry a lot.")</f>
        <v>It was a very favorite movie but I felt a lot of pain towards the end. Moushumi misunderstood the torture and again Daus's pain made her cry a lot.</v>
      </c>
      <c r="D4807" s="5"/>
      <c r="E4807" s="5"/>
      <c r="F4807" s="5"/>
      <c r="G4807" s="5"/>
      <c r="H4807" s="5"/>
      <c r="I4807" s="5"/>
      <c r="J4807" s="5"/>
      <c r="K4807" s="5"/>
      <c r="L4807" s="5"/>
      <c r="M4807" s="5"/>
      <c r="N4807" s="5"/>
      <c r="O4807" s="5"/>
      <c r="P4807" s="5"/>
      <c r="Q4807" s="5"/>
      <c r="R4807" s="5"/>
      <c r="S4807" s="5"/>
      <c r="T4807" s="5"/>
      <c r="U4807" s="5"/>
      <c r="V4807" s="5"/>
      <c r="W4807" s="5"/>
      <c r="X4807" s="5"/>
      <c r="Y4807" s="5"/>
      <c r="Z4807" s="5"/>
    </row>
    <row r="4808" spans="1:26" ht="15" x14ac:dyDescent="0.25">
      <c r="A4808" s="4" t="s">
        <v>4806</v>
      </c>
      <c r="B4808" s="4" t="s">
        <v>4550</v>
      </c>
      <c r="C4808" s="2" t="str">
        <f ca="1">IFERROR(__xludf.DUMMYFUNCTION("GOOGLETRANSLATE(A4808,""bn"",""en"")"),"Riyaz won the hearts of the audience with his amazing performance")</f>
        <v>Riyaz won the hearts of the audience with his amazing performance</v>
      </c>
      <c r="D4808" s="5"/>
      <c r="E4808" s="5"/>
      <c r="F4808" s="5"/>
      <c r="G4808" s="5"/>
      <c r="H4808" s="5"/>
      <c r="I4808" s="5"/>
      <c r="J4808" s="5"/>
      <c r="K4808" s="5"/>
      <c r="L4808" s="5"/>
      <c r="M4808" s="5"/>
      <c r="N4808" s="5"/>
      <c r="O4808" s="5"/>
      <c r="P4808" s="5"/>
      <c r="Q4808" s="5"/>
      <c r="R4808" s="5"/>
      <c r="S4808" s="5"/>
      <c r="T4808" s="5"/>
      <c r="U4808" s="5"/>
      <c r="V4808" s="5"/>
      <c r="W4808" s="5"/>
      <c r="X4808" s="5"/>
      <c r="Y4808" s="5"/>
      <c r="Z4808" s="5"/>
    </row>
    <row r="4809" spans="1:26" ht="15" x14ac:dyDescent="0.25">
      <c r="A4809" s="4" t="s">
        <v>4807</v>
      </c>
      <c r="B4809" s="4" t="s">
        <v>4550</v>
      </c>
      <c r="C4809" s="2" t="str">
        <f ca="1">IFERROR(__xludf.DUMMYFUNCTION("GOOGLETRANSLATE(A4809,""bn"",""en"")"),"It was really a wonderful movie but the songs of this movie were very beautiful")</f>
        <v>It was really a wonderful movie but the songs of this movie were very beautiful</v>
      </c>
      <c r="D4809" s="5"/>
      <c r="E4809" s="5"/>
      <c r="F4809" s="5"/>
      <c r="G4809" s="5"/>
      <c r="H4809" s="5"/>
      <c r="I4809" s="5"/>
      <c r="J4809" s="5"/>
      <c r="K4809" s="5"/>
      <c r="L4809" s="5"/>
      <c r="M4809" s="5"/>
      <c r="N4809" s="5"/>
      <c r="O4809" s="5"/>
      <c r="P4809" s="5"/>
      <c r="Q4809" s="5"/>
      <c r="R4809" s="5"/>
      <c r="S4809" s="5"/>
      <c r="T4809" s="5"/>
      <c r="U4809" s="5"/>
      <c r="V4809" s="5"/>
      <c r="W4809" s="5"/>
      <c r="X4809" s="5"/>
      <c r="Y4809" s="5"/>
      <c r="Z4809" s="5"/>
    </row>
    <row r="4810" spans="1:26" ht="15" x14ac:dyDescent="0.25">
      <c r="A4810" s="4" t="s">
        <v>4808</v>
      </c>
      <c r="B4810" s="4" t="s">
        <v>4550</v>
      </c>
      <c r="C4810" s="2" t="str">
        <f ca="1">IFERROR(__xludf.DUMMYFUNCTION("GOOGLETRANSLATE(A4810,""bn"",""en"")"),"It was one of the best creations of Bengali cinema")</f>
        <v>It was one of the best creations of Bengali cinema</v>
      </c>
      <c r="D4810" s="5"/>
      <c r="E4810" s="5"/>
      <c r="F4810" s="5"/>
      <c r="G4810" s="5"/>
      <c r="H4810" s="5"/>
      <c r="I4810" s="5"/>
      <c r="J4810" s="5"/>
      <c r="K4810" s="5"/>
      <c r="L4810" s="5"/>
      <c r="M4810" s="5"/>
      <c r="N4810" s="5"/>
      <c r="O4810" s="5"/>
      <c r="P4810" s="5"/>
      <c r="Q4810" s="5"/>
      <c r="R4810" s="5"/>
      <c r="S4810" s="5"/>
      <c r="T4810" s="5"/>
      <c r="U4810" s="5"/>
      <c r="V4810" s="5"/>
      <c r="W4810" s="5"/>
      <c r="X4810" s="5"/>
      <c r="Y4810" s="5"/>
      <c r="Z4810" s="5"/>
    </row>
    <row r="4811" spans="1:26" ht="15" x14ac:dyDescent="0.25">
      <c r="A4811" s="4" t="s">
        <v>4809</v>
      </c>
      <c r="B4811" s="4" t="s">
        <v>4550</v>
      </c>
      <c r="C4811" s="2" t="str">
        <f ca="1">IFERROR(__xludf.DUMMYFUNCTION("GOOGLETRANSLATE(A4811,""bn"",""en"")"),"I have never seen such a bad movie in my life")</f>
        <v>I have never seen such a bad movie in my life</v>
      </c>
      <c r="D4811" s="5"/>
      <c r="E4811" s="5"/>
      <c r="F4811" s="5"/>
      <c r="G4811" s="5"/>
      <c r="H4811" s="5"/>
      <c r="I4811" s="5"/>
      <c r="J4811" s="5"/>
      <c r="K4811" s="5"/>
      <c r="L4811" s="5"/>
      <c r="M4811" s="5"/>
      <c r="N4811" s="5"/>
      <c r="O4811" s="5"/>
      <c r="P4811" s="5"/>
      <c r="Q4811" s="5"/>
      <c r="R4811" s="5"/>
      <c r="S4811" s="5"/>
      <c r="T4811" s="5"/>
      <c r="U4811" s="5"/>
      <c r="V4811" s="5"/>
      <c r="W4811" s="5"/>
      <c r="X4811" s="5"/>
      <c r="Y4811" s="5"/>
      <c r="Z4811" s="5"/>
    </row>
    <row r="4812" spans="1:26" ht="15" x14ac:dyDescent="0.25">
      <c r="A4812" s="4" t="s">
        <v>4810</v>
      </c>
      <c r="B4812" s="4" t="s">
        <v>4550</v>
      </c>
      <c r="C4812" s="2" t="str">
        <f ca="1">IFERROR(__xludf.DUMMYFUNCTION("GOOGLETRANSLATE(A4812,""bn"",""en"")"),"It was a great movie, the movies of yesteryear were good")</f>
        <v>It was a great movie, the movies of yesteryear were good</v>
      </c>
      <c r="D4812" s="5"/>
      <c r="E4812" s="5"/>
      <c r="F4812" s="5"/>
      <c r="G4812" s="5"/>
      <c r="H4812" s="5"/>
      <c r="I4812" s="5"/>
      <c r="J4812" s="5"/>
      <c r="K4812" s="5"/>
      <c r="L4812" s="5"/>
      <c r="M4812" s="5"/>
      <c r="N4812" s="5"/>
      <c r="O4812" s="5"/>
      <c r="P4812" s="5"/>
      <c r="Q4812" s="5"/>
      <c r="R4812" s="5"/>
      <c r="S4812" s="5"/>
      <c r="T4812" s="5"/>
      <c r="U4812" s="5"/>
      <c r="V4812" s="5"/>
      <c r="W4812" s="5"/>
      <c r="X4812" s="5"/>
      <c r="Y4812" s="5"/>
      <c r="Z4812" s="5"/>
    </row>
    <row r="4813" spans="1:26" ht="15" x14ac:dyDescent="0.25">
      <c r="A4813" s="4" t="s">
        <v>4811</v>
      </c>
      <c r="B4813" s="4" t="s">
        <v>4550</v>
      </c>
      <c r="C4813" s="2" t="str">
        <f ca="1">IFERROR(__xludf.DUMMYFUNCTION("GOOGLETRANSLATE(A4813,""bn"",""en"")"),"Omar Sunny's voice sounded fake")</f>
        <v>Omar Sunny's voice sounded fake</v>
      </c>
      <c r="D4813" s="5"/>
      <c r="E4813" s="5"/>
      <c r="F4813" s="5"/>
      <c r="G4813" s="5"/>
      <c r="H4813" s="5"/>
      <c r="I4813" s="5"/>
      <c r="J4813" s="5"/>
      <c r="K4813" s="5"/>
      <c r="L4813" s="5"/>
      <c r="M4813" s="5"/>
      <c r="N4813" s="5"/>
      <c r="O4813" s="5"/>
      <c r="P4813" s="5"/>
      <c r="Q4813" s="5"/>
      <c r="R4813" s="5"/>
      <c r="S4813" s="5"/>
      <c r="T4813" s="5"/>
      <c r="U4813" s="5"/>
      <c r="V4813" s="5"/>
      <c r="W4813" s="5"/>
      <c r="X4813" s="5"/>
      <c r="Y4813" s="5"/>
      <c r="Z4813" s="5"/>
    </row>
    <row r="4814" spans="1:26" ht="15" x14ac:dyDescent="0.25">
      <c r="A4814" s="4" t="s">
        <v>4812</v>
      </c>
      <c r="B4814" s="4" t="s">
        <v>4550</v>
      </c>
      <c r="C4814" s="2" t="str">
        <f ca="1">IFERROR(__xludf.DUMMYFUNCTION("GOOGLETRANSLATE(A4814,""bn"",""en"")"),"It was very good. It touched the heart. It was a story of a mother and a wife's life struggle")</f>
        <v>It was very good. It touched the heart. It was a story of a mother and a wife's life struggle</v>
      </c>
      <c r="D4814" s="5"/>
      <c r="E4814" s="5"/>
      <c r="F4814" s="5"/>
      <c r="G4814" s="5"/>
      <c r="H4814" s="5"/>
      <c r="I4814" s="5"/>
      <c r="J4814" s="5"/>
      <c r="K4814" s="5"/>
      <c r="L4814" s="5"/>
      <c r="M4814" s="5"/>
      <c r="N4814" s="5"/>
      <c r="O4814" s="5"/>
      <c r="P4814" s="5"/>
      <c r="Q4814" s="5"/>
      <c r="R4814" s="5"/>
      <c r="S4814" s="5"/>
      <c r="T4814" s="5"/>
      <c r="U4814" s="5"/>
      <c r="V4814" s="5"/>
      <c r="W4814" s="5"/>
      <c r="X4814" s="5"/>
      <c r="Y4814" s="5"/>
      <c r="Z4814" s="5"/>
    </row>
    <row r="4815" spans="1:26" ht="15" x14ac:dyDescent="0.25">
      <c r="A4815" s="4" t="s">
        <v>4813</v>
      </c>
      <c r="B4815" s="4" t="s">
        <v>4550</v>
      </c>
      <c r="C4815" s="2" t="str">
        <f ca="1">IFERROR(__xludf.DUMMYFUNCTION("GOOGLETRANSLATE(A4815,""bn"",""en"")"),"I used to not watch movies because of religious discipline")</f>
        <v>I used to not watch movies because of religious discipline</v>
      </c>
      <c r="D4815" s="5"/>
      <c r="E4815" s="5"/>
      <c r="F4815" s="5"/>
      <c r="G4815" s="5"/>
      <c r="H4815" s="5"/>
      <c r="I4815" s="5"/>
      <c r="J4815" s="5"/>
      <c r="K4815" s="5"/>
      <c r="L4815" s="5"/>
      <c r="M4815" s="5"/>
      <c r="N4815" s="5"/>
      <c r="O4815" s="5"/>
      <c r="P4815" s="5"/>
      <c r="Q4815" s="5"/>
      <c r="R4815" s="5"/>
      <c r="S4815" s="5"/>
      <c r="T4815" s="5"/>
      <c r="U4815" s="5"/>
      <c r="V4815" s="5"/>
      <c r="W4815" s="5"/>
      <c r="X4815" s="5"/>
      <c r="Y4815" s="5"/>
      <c r="Z4815" s="5"/>
    </row>
    <row r="4816" spans="1:26" ht="15" x14ac:dyDescent="0.25">
      <c r="A4816" s="4" t="s">
        <v>4814</v>
      </c>
      <c r="B4816" s="4" t="s">
        <v>4550</v>
      </c>
      <c r="C4816" s="2" t="str">
        <f ca="1">IFERROR(__xludf.DUMMYFUNCTION("GOOGLETRANSLATE(A4816,""bn"",""en"")"),"Anand Ashroo movie really made a history")</f>
        <v>Anand Ashroo movie really made a history</v>
      </c>
      <c r="D4816" s="5"/>
      <c r="E4816" s="5"/>
      <c r="F4816" s="5"/>
      <c r="G4816" s="5"/>
      <c r="H4816" s="5"/>
      <c r="I4816" s="5"/>
      <c r="J4816" s="5"/>
      <c r="K4816" s="5"/>
      <c r="L4816" s="5"/>
      <c r="M4816" s="5"/>
      <c r="N4816" s="5"/>
      <c r="O4816" s="5"/>
      <c r="P4816" s="5"/>
      <c r="Q4816" s="5"/>
      <c r="R4816" s="5"/>
      <c r="S4816" s="5"/>
      <c r="T4816" s="5"/>
      <c r="U4816" s="5"/>
      <c r="V4816" s="5"/>
      <c r="W4816" s="5"/>
      <c r="X4816" s="5"/>
      <c r="Y4816" s="5"/>
      <c r="Z4816" s="5"/>
    </row>
    <row r="4817" spans="1:26" ht="15" x14ac:dyDescent="0.25">
      <c r="A4817" s="4" t="s">
        <v>4815</v>
      </c>
      <c r="B4817" s="4" t="s">
        <v>4550</v>
      </c>
      <c r="C4817" s="2" t="str">
        <f ca="1">IFERROR(__xludf.DUMMYFUNCTION("GOOGLETRANSLATE(A4817,""bn"",""en"")"),"The person who made this movie was a normal brain person")</f>
        <v>The person who made this movie was a normal brain person</v>
      </c>
      <c r="D4817" s="5"/>
      <c r="E4817" s="5"/>
      <c r="F4817" s="5"/>
      <c r="G4817" s="5"/>
      <c r="H4817" s="5"/>
      <c r="I4817" s="5"/>
      <c r="J4817" s="5"/>
      <c r="K4817" s="5"/>
      <c r="L4817" s="5"/>
      <c r="M4817" s="5"/>
      <c r="N4817" s="5"/>
      <c r="O4817" s="5"/>
      <c r="P4817" s="5"/>
      <c r="Q4817" s="5"/>
      <c r="R4817" s="5"/>
      <c r="S4817" s="5"/>
      <c r="T4817" s="5"/>
      <c r="U4817" s="5"/>
      <c r="V4817" s="5"/>
      <c r="W4817" s="5"/>
      <c r="X4817" s="5"/>
      <c r="Y4817" s="5"/>
      <c r="Z4817" s="5"/>
    </row>
    <row r="4818" spans="1:26" ht="15" x14ac:dyDescent="0.25">
      <c r="A4818" s="4" t="s">
        <v>4816</v>
      </c>
      <c r="B4818" s="4" t="s">
        <v>4550</v>
      </c>
      <c r="C4818" s="2" t="str">
        <f ca="1">IFERROR(__xludf.DUMMYFUNCTION("GOOGLETRANSLATE(A4818,""bn"",""en"")"),"The movie Animal was very bad and this movie was encouraging people to have many marriages and bad deeds")</f>
        <v>The movie Animal was very bad and this movie was encouraging people to have many marriages and bad deeds</v>
      </c>
      <c r="D4818" s="5"/>
      <c r="E4818" s="5"/>
      <c r="F4818" s="5"/>
      <c r="G4818" s="5"/>
      <c r="H4818" s="5"/>
      <c r="I4818" s="5"/>
      <c r="J4818" s="5"/>
      <c r="K4818" s="5"/>
      <c r="L4818" s="5"/>
      <c r="M4818" s="5"/>
      <c r="N4818" s="5"/>
      <c r="O4818" s="5"/>
      <c r="P4818" s="5"/>
      <c r="Q4818" s="5"/>
      <c r="R4818" s="5"/>
      <c r="S4818" s="5"/>
      <c r="T4818" s="5"/>
      <c r="U4818" s="5"/>
      <c r="V4818" s="5"/>
      <c r="W4818" s="5"/>
      <c r="X4818" s="5"/>
      <c r="Y4818" s="5"/>
      <c r="Z4818" s="5"/>
    </row>
    <row r="4819" spans="1:26" ht="15" x14ac:dyDescent="0.25">
      <c r="A4819" s="4" t="s">
        <v>4817</v>
      </c>
      <c r="B4819" s="4" t="s">
        <v>4550</v>
      </c>
      <c r="C4819" s="2" t="str">
        <f ca="1">IFERROR(__xludf.DUMMYFUNCTION("GOOGLETRANSLATE(A4819,""bn"",""en"")"),"When I was young, I saw the whole family together at the Dhaka Asia cinema. I saw it again today. I felt like I was in my childhood again. It was a very beautiful movie.")</f>
        <v>When I was young, I saw the whole family together at the Dhaka Asia cinema. I saw it again today. I felt like I was in my childhood again. It was a very beautiful movie.</v>
      </c>
      <c r="D4819" s="5"/>
      <c r="E4819" s="5"/>
      <c r="F4819" s="5"/>
      <c r="G4819" s="5"/>
      <c r="H4819" s="5"/>
      <c r="I4819" s="5"/>
      <c r="J4819" s="5"/>
      <c r="K4819" s="5"/>
      <c r="L4819" s="5"/>
      <c r="M4819" s="5"/>
      <c r="N4819" s="5"/>
      <c r="O4819" s="5"/>
      <c r="P4819" s="5"/>
      <c r="Q4819" s="5"/>
      <c r="R4819" s="5"/>
      <c r="S4819" s="5"/>
      <c r="T4819" s="5"/>
      <c r="U4819" s="5"/>
      <c r="V4819" s="5"/>
      <c r="W4819" s="5"/>
      <c r="X4819" s="5"/>
      <c r="Y4819" s="5"/>
      <c r="Z4819" s="5"/>
    </row>
    <row r="4820" spans="1:26" ht="15" x14ac:dyDescent="0.25">
      <c r="A4820" s="4" t="s">
        <v>4818</v>
      </c>
      <c r="B4820" s="4" t="s">
        <v>4550</v>
      </c>
      <c r="C4820" s="2" t="str">
        <f ca="1">IFERROR(__xludf.DUMMYFUNCTION("GOOGLETRANSLATE(A4820,""bn"",""en"")"),"The entire movie was fantasy but very good and the movie brought tears to my eyes")</f>
        <v>The entire movie was fantasy but very good and the movie brought tears to my eyes</v>
      </c>
      <c r="D4820" s="5"/>
      <c r="E4820" s="5"/>
      <c r="F4820" s="5"/>
      <c r="G4820" s="5"/>
      <c r="H4820" s="5"/>
      <c r="I4820" s="5"/>
      <c r="J4820" s="5"/>
      <c r="K4820" s="5"/>
      <c r="L4820" s="5"/>
      <c r="M4820" s="5"/>
      <c r="N4820" s="5"/>
      <c r="O4820" s="5"/>
      <c r="P4820" s="5"/>
      <c r="Q4820" s="5"/>
      <c r="R4820" s="5"/>
      <c r="S4820" s="5"/>
      <c r="T4820" s="5"/>
      <c r="U4820" s="5"/>
      <c r="V4820" s="5"/>
      <c r="W4820" s="5"/>
      <c r="X4820" s="5"/>
      <c r="Y4820" s="5"/>
      <c r="Z4820" s="5"/>
    </row>
    <row r="4821" spans="1:26" ht="15" x14ac:dyDescent="0.25">
      <c r="A4821" s="4" t="s">
        <v>4819</v>
      </c>
      <c r="B4821" s="4" t="s">
        <v>4550</v>
      </c>
      <c r="C4821" s="2" t="str">
        <f ca="1">IFERROR(__xludf.DUMMYFUNCTION("GOOGLETRANSLATE(A4821,""bn"",""en"")"),"After a long time, I watched a Bengali movie completely, everyone's performance was good, Bobby Babit was there")</f>
        <v>After a long time, I watched a Bengali movie completely, everyone's performance was good, Bobby Babit was there</v>
      </c>
      <c r="D4821" s="5"/>
      <c r="E4821" s="5"/>
      <c r="F4821" s="5"/>
      <c r="G4821" s="5"/>
      <c r="H4821" s="5"/>
      <c r="I4821" s="5"/>
      <c r="J4821" s="5"/>
      <c r="K4821" s="5"/>
      <c r="L4821" s="5"/>
      <c r="M4821" s="5"/>
      <c r="N4821" s="5"/>
      <c r="O4821" s="5"/>
      <c r="P4821" s="5"/>
      <c r="Q4821" s="5"/>
      <c r="R4821" s="5"/>
      <c r="S4821" s="5"/>
      <c r="T4821" s="5"/>
      <c r="U4821" s="5"/>
      <c r="V4821" s="5"/>
      <c r="W4821" s="5"/>
      <c r="X4821" s="5"/>
      <c r="Y4821" s="5"/>
      <c r="Z4821" s="5"/>
    </row>
    <row r="4822" spans="1:26" ht="15" x14ac:dyDescent="0.25">
      <c r="A4822" s="4" t="s">
        <v>4820</v>
      </c>
      <c r="B4822" s="4" t="s">
        <v>4550</v>
      </c>
      <c r="C4822" s="2" t="str">
        <f ca="1">IFERROR(__xludf.DUMMYFUNCTION("GOOGLETRANSLATE(A4822,""bn"",""en"")"),"This movie was incomparable and touched people's hearts")</f>
        <v>This movie was incomparable and touched people's hearts</v>
      </c>
      <c r="D4822" s="5"/>
      <c r="E4822" s="5"/>
      <c r="F4822" s="5"/>
      <c r="G4822" s="5"/>
      <c r="H4822" s="5"/>
      <c r="I4822" s="5"/>
      <c r="J4822" s="5"/>
      <c r="K4822" s="5"/>
      <c r="L4822" s="5"/>
      <c r="M4822" s="5"/>
      <c r="N4822" s="5"/>
      <c r="O4822" s="5"/>
      <c r="P4822" s="5"/>
      <c r="Q4822" s="5"/>
      <c r="R4822" s="5"/>
      <c r="S4822" s="5"/>
      <c r="T4822" s="5"/>
      <c r="U4822" s="5"/>
      <c r="V4822" s="5"/>
      <c r="W4822" s="5"/>
      <c r="X4822" s="5"/>
      <c r="Y4822" s="5"/>
      <c r="Z4822" s="5"/>
    </row>
    <row r="4823" spans="1:26" ht="15" x14ac:dyDescent="0.25">
      <c r="A4823" s="4" t="s">
        <v>4821</v>
      </c>
      <c r="B4823" s="4" t="s">
        <v>4550</v>
      </c>
      <c r="C4823" s="2" t="str">
        <f ca="1">IFERROR(__xludf.DUMMYFUNCTION("GOOGLETRANSLATE(A4823,""bn"",""en"")"),"There was a lot to learn in such a story based film")</f>
        <v>There was a lot to learn in such a story based film</v>
      </c>
      <c r="D4823" s="5"/>
      <c r="E4823" s="5"/>
      <c r="F4823" s="5"/>
      <c r="G4823" s="5"/>
      <c r="H4823" s="5"/>
      <c r="I4823" s="5"/>
      <c r="J4823" s="5"/>
      <c r="K4823" s="5"/>
      <c r="L4823" s="5"/>
      <c r="M4823" s="5"/>
      <c r="N4823" s="5"/>
      <c r="O4823" s="5"/>
      <c r="P4823" s="5"/>
      <c r="Q4823" s="5"/>
      <c r="R4823" s="5"/>
      <c r="S4823" s="5"/>
      <c r="T4823" s="5"/>
      <c r="U4823" s="5"/>
      <c r="V4823" s="5"/>
      <c r="W4823" s="5"/>
      <c r="X4823" s="5"/>
      <c r="Y4823" s="5"/>
      <c r="Z4823" s="5"/>
    </row>
    <row r="4824" spans="1:26" ht="15" x14ac:dyDescent="0.25">
      <c r="A4824" s="4" t="s">
        <v>4822</v>
      </c>
      <c r="B4824" s="4" t="s">
        <v>4550</v>
      </c>
      <c r="C4824" s="2" t="str">
        <f ca="1">IFERROR(__xludf.DUMMYFUNCTION("GOOGLETRANSLATE(A4824,""bn"",""en"")"),"This movie of Shakib Shabnoor was much more beautiful")</f>
        <v>This movie of Shakib Shabnoor was much more beautiful</v>
      </c>
      <c r="D4824" s="5"/>
      <c r="E4824" s="5"/>
      <c r="F4824" s="5"/>
      <c r="G4824" s="5"/>
      <c r="H4824" s="5"/>
      <c r="I4824" s="5"/>
      <c r="J4824" s="5"/>
      <c r="K4824" s="5"/>
      <c r="L4824" s="5"/>
      <c r="M4824" s="5"/>
      <c r="N4824" s="5"/>
      <c r="O4824" s="5"/>
      <c r="P4824" s="5"/>
      <c r="Q4824" s="5"/>
      <c r="R4824" s="5"/>
      <c r="S4824" s="5"/>
      <c r="T4824" s="5"/>
      <c r="U4824" s="5"/>
      <c r="V4824" s="5"/>
      <c r="W4824" s="5"/>
      <c r="X4824" s="5"/>
      <c r="Y4824" s="5"/>
      <c r="Z4824" s="5"/>
    </row>
    <row r="4825" spans="1:26" ht="15" x14ac:dyDescent="0.25">
      <c r="A4825" s="4" t="s">
        <v>4823</v>
      </c>
      <c r="B4825" s="4" t="s">
        <v>4550</v>
      </c>
      <c r="C4825" s="2" t="str">
        <f ca="1">IFERROR(__xludf.DUMMYFUNCTION("GOOGLETRANSLATE(A4825,""bn"",""en"")"),"Someone used to make up the boys like this then")</f>
        <v>Someone used to make up the boys like this then</v>
      </c>
      <c r="D4825" s="5"/>
      <c r="E4825" s="5"/>
      <c r="F4825" s="5"/>
      <c r="G4825" s="5"/>
      <c r="H4825" s="5"/>
      <c r="I4825" s="5"/>
      <c r="J4825" s="5"/>
      <c r="K4825" s="5"/>
      <c r="L4825" s="5"/>
      <c r="M4825" s="5"/>
      <c r="N4825" s="5"/>
      <c r="O4825" s="5"/>
      <c r="P4825" s="5"/>
      <c r="Q4825" s="5"/>
      <c r="R4825" s="5"/>
      <c r="S4825" s="5"/>
      <c r="T4825" s="5"/>
      <c r="U4825" s="5"/>
      <c r="V4825" s="5"/>
      <c r="W4825" s="5"/>
      <c r="X4825" s="5"/>
      <c r="Y4825" s="5"/>
      <c r="Z4825" s="5"/>
    </row>
    <row r="4826" spans="1:26" ht="15" x14ac:dyDescent="0.25">
      <c r="A4826" s="4" t="s">
        <v>4824</v>
      </c>
      <c r="B4826" s="4" t="s">
        <v>4550</v>
      </c>
      <c r="C4826" s="2" t="str">
        <f ca="1">IFERROR(__xludf.DUMMYFUNCTION("GOOGLETRANSLATE(A4826,""bn"",""en"")"),"No, Bengali cinema never got right, they kept their tradition like this")</f>
        <v>No, Bengali cinema never got right, they kept their tradition like this</v>
      </c>
      <c r="D4826" s="5"/>
      <c r="E4826" s="5"/>
      <c r="F4826" s="5"/>
      <c r="G4826" s="5"/>
      <c r="H4826" s="5"/>
      <c r="I4826" s="5"/>
      <c r="J4826" s="5"/>
      <c r="K4826" s="5"/>
      <c r="L4826" s="5"/>
      <c r="M4826" s="5"/>
      <c r="N4826" s="5"/>
      <c r="O4826" s="5"/>
      <c r="P4826" s="5"/>
      <c r="Q4826" s="5"/>
      <c r="R4826" s="5"/>
      <c r="S4826" s="5"/>
      <c r="T4826" s="5"/>
      <c r="U4826" s="5"/>
      <c r="V4826" s="5"/>
      <c r="W4826" s="5"/>
      <c r="X4826" s="5"/>
      <c r="Y4826" s="5"/>
      <c r="Z4826" s="5"/>
    </row>
    <row r="4827" spans="1:26" ht="15" x14ac:dyDescent="0.25">
      <c r="A4827" s="4" t="s">
        <v>4825</v>
      </c>
      <c r="B4827" s="4" t="s">
        <v>4550</v>
      </c>
      <c r="C4827" s="2" t="str">
        <f ca="1">IFERROR(__xludf.DUMMYFUNCTION("GOOGLETRANSLATE(A4827,""bn"",""en"")"),"It was a bad movie")</f>
        <v>It was a bad movie</v>
      </c>
      <c r="D4827" s="5"/>
      <c r="E4827" s="5"/>
      <c r="F4827" s="5"/>
      <c r="G4827" s="5"/>
      <c r="H4827" s="5"/>
      <c r="I4827" s="5"/>
      <c r="J4827" s="5"/>
      <c r="K4827" s="5"/>
      <c r="L4827" s="5"/>
      <c r="M4827" s="5"/>
      <c r="N4827" s="5"/>
      <c r="O4827" s="5"/>
      <c r="P4827" s="5"/>
      <c r="Q4827" s="5"/>
      <c r="R4827" s="5"/>
      <c r="S4827" s="5"/>
      <c r="T4827" s="5"/>
      <c r="U4827" s="5"/>
      <c r="V4827" s="5"/>
      <c r="W4827" s="5"/>
      <c r="X4827" s="5"/>
      <c r="Y4827" s="5"/>
      <c r="Z4827" s="5"/>
    </row>
    <row r="4828" spans="1:26" ht="15" x14ac:dyDescent="0.25">
      <c r="A4828" s="4" t="s">
        <v>4826</v>
      </c>
      <c r="B4828" s="4" t="s">
        <v>4550</v>
      </c>
      <c r="C4828" s="2" t="str">
        <f ca="1">IFERROR(__xludf.DUMMYFUNCTION("GOOGLETRANSLATE(A4828,""bn"",""en"")"),"If I have seen any picture in my life, I have not seen any other picture like that picture")</f>
        <v>If I have seen any picture in my life, I have not seen any other picture like that picture</v>
      </c>
      <c r="D4828" s="5"/>
      <c r="E4828" s="5"/>
      <c r="F4828" s="5"/>
      <c r="G4828" s="5"/>
      <c r="H4828" s="5"/>
      <c r="I4828" s="5"/>
      <c r="J4828" s="5"/>
      <c r="K4828" s="5"/>
      <c r="L4828" s="5"/>
      <c r="M4828" s="5"/>
      <c r="N4828" s="5"/>
      <c r="O4828" s="5"/>
      <c r="P4828" s="5"/>
      <c r="Q4828" s="5"/>
      <c r="R4828" s="5"/>
      <c r="S4828" s="5"/>
      <c r="T4828" s="5"/>
      <c r="U4828" s="5"/>
      <c r="V4828" s="5"/>
      <c r="W4828" s="5"/>
      <c r="X4828" s="5"/>
      <c r="Y4828" s="5"/>
      <c r="Z4828" s="5"/>
    </row>
    <row r="4829" spans="1:26" ht="15" x14ac:dyDescent="0.25">
      <c r="A4829" s="4" t="s">
        <v>4827</v>
      </c>
      <c r="B4829" s="4" t="s">
        <v>4550</v>
      </c>
      <c r="C4829" s="2" t="str">
        <f ca="1">IFERROR(__xludf.DUMMYFUNCTION("GOOGLETRANSLATE(A4829,""bn"",""en"")"),"Was it a movie or a kid?")</f>
        <v>Was it a movie or a kid?</v>
      </c>
      <c r="D4829" s="5"/>
      <c r="E4829" s="5"/>
      <c r="F4829" s="5"/>
      <c r="G4829" s="5"/>
      <c r="H4829" s="5"/>
      <c r="I4829" s="5"/>
      <c r="J4829" s="5"/>
      <c r="K4829" s="5"/>
      <c r="L4829" s="5"/>
      <c r="M4829" s="5"/>
      <c r="N4829" s="5"/>
      <c r="O4829" s="5"/>
      <c r="P4829" s="5"/>
      <c r="Q4829" s="5"/>
      <c r="R4829" s="5"/>
      <c r="S4829" s="5"/>
      <c r="T4829" s="5"/>
      <c r="U4829" s="5"/>
      <c r="V4829" s="5"/>
      <c r="W4829" s="5"/>
      <c r="X4829" s="5"/>
      <c r="Y4829" s="5"/>
      <c r="Z4829" s="5"/>
    </row>
    <row r="4830" spans="1:26" ht="15" x14ac:dyDescent="0.25">
      <c r="A4830" s="4" t="s">
        <v>4828</v>
      </c>
      <c r="B4830" s="4" t="s">
        <v>4550</v>
      </c>
      <c r="C4830" s="2" t="str">
        <f ca="1">IFERROR(__xludf.DUMMYFUNCTION("GOOGLETRANSLATE(A4830,""bn"",""en"")"),"I have faced many difficult moments in my life but I have never faced such a reality that those whom I thought were my own have left today")</f>
        <v>I have faced many difficult moments in my life but I have never faced such a reality that those whom I thought were my own have left today</v>
      </c>
      <c r="D4830" s="5"/>
      <c r="E4830" s="5"/>
      <c r="F4830" s="5"/>
      <c r="G4830" s="5"/>
      <c r="H4830" s="5"/>
      <c r="I4830" s="5"/>
      <c r="J4830" s="5"/>
      <c r="K4830" s="5"/>
      <c r="L4830" s="5"/>
      <c r="M4830" s="5"/>
      <c r="N4830" s="5"/>
      <c r="O4830" s="5"/>
      <c r="P4830" s="5"/>
      <c r="Q4830" s="5"/>
      <c r="R4830" s="5"/>
      <c r="S4830" s="5"/>
      <c r="T4830" s="5"/>
      <c r="U4830" s="5"/>
      <c r="V4830" s="5"/>
      <c r="W4830" s="5"/>
      <c r="X4830" s="5"/>
      <c r="Y4830" s="5"/>
      <c r="Z4830" s="5"/>
    </row>
    <row r="4831" spans="1:26" ht="15" x14ac:dyDescent="0.25">
      <c r="A4831" s="4" t="s">
        <v>4829</v>
      </c>
      <c r="B4831" s="4" t="s">
        <v>4550</v>
      </c>
      <c r="C4831" s="2" t="str">
        <f ca="1">IFERROR(__xludf.DUMMYFUNCTION("GOOGLETRANSLATE(A4831,""bn"",""en"")"),"I was saying from India that the movie was amazing")</f>
        <v>I was saying from India that the movie was amazing</v>
      </c>
      <c r="D4831" s="5"/>
      <c r="E4831" s="5"/>
      <c r="F4831" s="5"/>
      <c r="G4831" s="5"/>
      <c r="H4831" s="5"/>
      <c r="I4831" s="5"/>
      <c r="J4831" s="5"/>
      <c r="K4831" s="5"/>
      <c r="L4831" s="5"/>
      <c r="M4831" s="5"/>
      <c r="N4831" s="5"/>
      <c r="O4831" s="5"/>
      <c r="P4831" s="5"/>
      <c r="Q4831" s="5"/>
      <c r="R4831" s="5"/>
      <c r="S4831" s="5"/>
      <c r="T4831" s="5"/>
      <c r="U4831" s="5"/>
      <c r="V4831" s="5"/>
      <c r="W4831" s="5"/>
      <c r="X4831" s="5"/>
      <c r="Y4831" s="5"/>
      <c r="Z4831" s="5"/>
    </row>
    <row r="4832" spans="1:26" ht="15" x14ac:dyDescent="0.25">
      <c r="A4832" s="4" t="s">
        <v>4830</v>
      </c>
      <c r="B4832" s="4" t="s">
        <v>4550</v>
      </c>
      <c r="C4832" s="2" t="str">
        <f ca="1">IFERROR(__xludf.DUMMYFUNCTION("GOOGLETRANSLATE(A4832,""bn"",""en"")"),"Anant looked like a bull and what a hero it was his face beard style made me laugh the most")</f>
        <v>Anant looked like a bull and what a hero it was his face beard style made me laugh the most</v>
      </c>
      <c r="D4832" s="5"/>
      <c r="E4832" s="5"/>
      <c r="F4832" s="5"/>
      <c r="G4832" s="5"/>
      <c r="H4832" s="5"/>
      <c r="I4832" s="5"/>
      <c r="J4832" s="5"/>
      <c r="K4832" s="5"/>
      <c r="L4832" s="5"/>
      <c r="M4832" s="5"/>
      <c r="N4832" s="5"/>
      <c r="O4832" s="5"/>
      <c r="P4832" s="5"/>
      <c r="Q4832" s="5"/>
      <c r="R4832" s="5"/>
      <c r="S4832" s="5"/>
      <c r="T4832" s="5"/>
      <c r="U4832" s="5"/>
      <c r="V4832" s="5"/>
      <c r="W4832" s="5"/>
      <c r="X4832" s="5"/>
      <c r="Y4832" s="5"/>
      <c r="Z4832" s="5"/>
    </row>
    <row r="4833" spans="1:26" ht="15" x14ac:dyDescent="0.25">
      <c r="A4833" s="4" t="s">
        <v>4831</v>
      </c>
      <c r="B4833" s="4" t="s">
        <v>4550</v>
      </c>
      <c r="C4833" s="2" t="str">
        <f ca="1">IFERROR(__xludf.DUMMYFUNCTION("GOOGLETRANSLATE(A4833,""bn"",""en"")"),"As this film was named as Asif Akbar's debut album and Priya Tumi Kare, it was necessary to name Shabnoor as Priya as the song had to match the person's name.")</f>
        <v>As this film was named as Asif Akbar's debut album and Priya Tumi Kare, it was necessary to name Shabnoor as Priya as the song had to match the person's name.</v>
      </c>
      <c r="D4833" s="5"/>
      <c r="E4833" s="5"/>
      <c r="F4833" s="5"/>
      <c r="G4833" s="5"/>
      <c r="H4833" s="5"/>
      <c r="I4833" s="5"/>
      <c r="J4833" s="5"/>
      <c r="K4833" s="5"/>
      <c r="L4833" s="5"/>
      <c r="M4833" s="5"/>
      <c r="N4833" s="5"/>
      <c r="O4833" s="5"/>
      <c r="P4833" s="5"/>
      <c r="Q4833" s="5"/>
      <c r="R4833" s="5"/>
      <c r="S4833" s="5"/>
      <c r="T4833" s="5"/>
      <c r="U4833" s="5"/>
      <c r="V4833" s="5"/>
      <c r="W4833" s="5"/>
      <c r="X4833" s="5"/>
      <c r="Y4833" s="5"/>
      <c r="Z4833" s="5"/>
    </row>
    <row r="4834" spans="1:26" ht="15" x14ac:dyDescent="0.25">
      <c r="A4834" s="4" t="s">
        <v>4832</v>
      </c>
      <c r="B4834" s="4" t="s">
        <v>4550</v>
      </c>
      <c r="C4834" s="2" t="str">
        <f ca="1">IFERROR(__xludf.DUMMYFUNCTION("GOOGLETRANSLATE(A4834,""bn"",""en"")"),"We are grateful to those who presented this film very well with the dowry")</f>
        <v>We are grateful to those who presented this film very well with the dowry</v>
      </c>
      <c r="D4834" s="5"/>
      <c r="E4834" s="5"/>
      <c r="F4834" s="5"/>
      <c r="G4834" s="5"/>
      <c r="H4834" s="5"/>
      <c r="I4834" s="5"/>
      <c r="J4834" s="5"/>
      <c r="K4834" s="5"/>
      <c r="L4834" s="5"/>
      <c r="M4834" s="5"/>
      <c r="N4834" s="5"/>
      <c r="O4834" s="5"/>
      <c r="P4834" s="5"/>
      <c r="Q4834" s="5"/>
      <c r="R4834" s="5"/>
      <c r="S4834" s="5"/>
      <c r="T4834" s="5"/>
      <c r="U4834" s="5"/>
      <c r="V4834" s="5"/>
      <c r="W4834" s="5"/>
      <c r="X4834" s="5"/>
      <c r="Y4834" s="5"/>
      <c r="Z4834" s="5"/>
    </row>
    <row r="4835" spans="1:26" ht="15" x14ac:dyDescent="0.25">
      <c r="A4835" s="4" t="s">
        <v>4833</v>
      </c>
      <c r="B4835" s="4" t="s">
        <v>4550</v>
      </c>
      <c r="C4835" s="2" t="str">
        <f ca="1">IFERROR(__xludf.DUMMYFUNCTION("GOOGLETRANSLATE(A4835,""bn"",""en"")"),"After many days, I saw the old picture. It was very good. The director was thanking everyone for the beautiful character")</f>
        <v>After many days, I saw the old picture. It was very good. The director was thanking everyone for the beautiful character</v>
      </c>
      <c r="D4835" s="5"/>
      <c r="E4835" s="5"/>
      <c r="F4835" s="5"/>
      <c r="G4835" s="5"/>
      <c r="H4835" s="5"/>
      <c r="I4835" s="5"/>
      <c r="J4835" s="5"/>
      <c r="K4835" s="5"/>
      <c r="L4835" s="5"/>
      <c r="M4835" s="5"/>
      <c r="N4835" s="5"/>
      <c r="O4835" s="5"/>
      <c r="P4835" s="5"/>
      <c r="Q4835" s="5"/>
      <c r="R4835" s="5"/>
      <c r="S4835" s="5"/>
      <c r="T4835" s="5"/>
      <c r="U4835" s="5"/>
      <c r="V4835" s="5"/>
      <c r="W4835" s="5"/>
      <c r="X4835" s="5"/>
      <c r="Y4835" s="5"/>
      <c r="Z4835" s="5"/>
    </row>
    <row r="4836" spans="1:26" ht="15" x14ac:dyDescent="0.25">
      <c r="A4836" s="4" t="s">
        <v>4834</v>
      </c>
      <c r="B4836" s="4" t="s">
        <v>4550</v>
      </c>
      <c r="C4836" s="2" t="str">
        <f ca="1">IFERROR(__xludf.DUMMYFUNCTION("GOOGLETRANSLATE(A4836,""bn"",""en"")"),"Now I understand why no one goes")</f>
        <v>Now I understand why no one goes</v>
      </c>
      <c r="D4836" s="5"/>
      <c r="E4836" s="5"/>
      <c r="F4836" s="5"/>
      <c r="G4836" s="5"/>
      <c r="H4836" s="5"/>
      <c r="I4836" s="5"/>
      <c r="J4836" s="5"/>
      <c r="K4836" s="5"/>
      <c r="L4836" s="5"/>
      <c r="M4836" s="5"/>
      <c r="N4836" s="5"/>
      <c r="O4836" s="5"/>
      <c r="P4836" s="5"/>
      <c r="Q4836" s="5"/>
      <c r="R4836" s="5"/>
      <c r="S4836" s="5"/>
      <c r="T4836" s="5"/>
      <c r="U4836" s="5"/>
      <c r="V4836" s="5"/>
      <c r="W4836" s="5"/>
      <c r="X4836" s="5"/>
      <c r="Y4836" s="5"/>
      <c r="Z4836" s="5"/>
    </row>
    <row r="4837" spans="1:26" ht="15" x14ac:dyDescent="0.25">
      <c r="A4837" s="4" t="s">
        <v>4835</v>
      </c>
      <c r="B4837" s="4" t="s">
        <v>4550</v>
      </c>
      <c r="C4837" s="2" t="str">
        <f ca="1">IFERROR(__xludf.DUMMYFUNCTION("GOOGLETRANSLATE(A4837,""bn"",""en"")"),"Every time I watched the movie, tears came out")</f>
        <v>Every time I watched the movie, tears came out</v>
      </c>
      <c r="D4837" s="5"/>
      <c r="E4837" s="5"/>
      <c r="F4837" s="5"/>
      <c r="G4837" s="5"/>
      <c r="H4837" s="5"/>
      <c r="I4837" s="5"/>
      <c r="J4837" s="5"/>
      <c r="K4837" s="5"/>
      <c r="L4837" s="5"/>
      <c r="M4837" s="5"/>
      <c r="N4837" s="5"/>
      <c r="O4837" s="5"/>
      <c r="P4837" s="5"/>
      <c r="Q4837" s="5"/>
      <c r="R4837" s="5"/>
      <c r="S4837" s="5"/>
      <c r="T4837" s="5"/>
      <c r="U4837" s="5"/>
      <c r="V4837" s="5"/>
      <c r="W4837" s="5"/>
      <c r="X4837" s="5"/>
      <c r="Y4837" s="5"/>
      <c r="Z4837" s="5"/>
    </row>
    <row r="4838" spans="1:26" ht="15" x14ac:dyDescent="0.25">
      <c r="A4838" s="4" t="s">
        <v>4836</v>
      </c>
      <c r="B4838" s="4" t="s">
        <v>4550</v>
      </c>
      <c r="C4838" s="2" t="str">
        <f ca="1">IFERROR(__xludf.DUMMYFUNCTION("GOOGLETRANSLATE(A4838,""bn"",""en"")"),"In this film Deepjol had Maya Daya but Manna Bhai had no Maya Daya")</f>
        <v>In this film Deepjol had Maya Daya but Manna Bhai had no Maya Daya</v>
      </c>
      <c r="D4838" s="5"/>
      <c r="E4838" s="5"/>
      <c r="F4838" s="5"/>
      <c r="G4838" s="5"/>
      <c r="H4838" s="5"/>
      <c r="I4838" s="5"/>
      <c r="J4838" s="5"/>
      <c r="K4838" s="5"/>
      <c r="L4838" s="5"/>
      <c r="M4838" s="5"/>
      <c r="N4838" s="5"/>
      <c r="O4838" s="5"/>
      <c r="P4838" s="5"/>
      <c r="Q4838" s="5"/>
      <c r="R4838" s="5"/>
      <c r="S4838" s="5"/>
      <c r="T4838" s="5"/>
      <c r="U4838" s="5"/>
      <c r="V4838" s="5"/>
      <c r="W4838" s="5"/>
      <c r="X4838" s="5"/>
      <c r="Y4838" s="5"/>
      <c r="Z4838" s="5"/>
    </row>
    <row r="4839" spans="1:26" ht="15" x14ac:dyDescent="0.25">
      <c r="A4839" s="4" t="s">
        <v>4837</v>
      </c>
      <c r="B4839" s="4" t="s">
        <v>4550</v>
      </c>
      <c r="C4839" s="2" t="str">
        <f ca="1">IFERROR(__xludf.DUMMYFUNCTION("GOOGLETRANSLATE(A4839,""bn"",""en"")"),"Wow there was a lot to learn from this movie")</f>
        <v>Wow there was a lot to learn from this movie</v>
      </c>
      <c r="D4839" s="5"/>
      <c r="E4839" s="5"/>
      <c r="F4839" s="5"/>
      <c r="G4839" s="5"/>
      <c r="H4839" s="5"/>
      <c r="I4839" s="5"/>
      <c r="J4839" s="5"/>
      <c r="K4839" s="5"/>
      <c r="L4839" s="5"/>
      <c r="M4839" s="5"/>
      <c r="N4839" s="5"/>
      <c r="O4839" s="5"/>
      <c r="P4839" s="5"/>
      <c r="Q4839" s="5"/>
      <c r="R4839" s="5"/>
      <c r="S4839" s="5"/>
      <c r="T4839" s="5"/>
      <c r="U4839" s="5"/>
      <c r="V4839" s="5"/>
      <c r="W4839" s="5"/>
      <c r="X4839" s="5"/>
      <c r="Y4839" s="5"/>
      <c r="Z4839" s="5"/>
    </row>
    <row r="4840" spans="1:26" ht="15" x14ac:dyDescent="0.25">
      <c r="A4840" s="4" t="s">
        <v>4838</v>
      </c>
      <c r="B4840" s="4" t="s">
        <v>4550</v>
      </c>
      <c r="C4840" s="2" t="str">
        <f ca="1">IFERROR(__xludf.DUMMYFUNCTION("GOOGLETRANSLATE(A4840,""bn"",""en"")"),"The actors made a name for themselves by doing this movie. It was a fake act")</f>
        <v>The actors made a name for themselves by doing this movie. It was a fake act</v>
      </c>
      <c r="D4840" s="5"/>
      <c r="E4840" s="5"/>
      <c r="F4840" s="5"/>
      <c r="G4840" s="5"/>
      <c r="H4840" s="5"/>
      <c r="I4840" s="5"/>
      <c r="J4840" s="5"/>
      <c r="K4840" s="5"/>
      <c r="L4840" s="5"/>
      <c r="M4840" s="5"/>
      <c r="N4840" s="5"/>
      <c r="O4840" s="5"/>
      <c r="P4840" s="5"/>
      <c r="Q4840" s="5"/>
      <c r="R4840" s="5"/>
      <c r="S4840" s="5"/>
      <c r="T4840" s="5"/>
      <c r="U4840" s="5"/>
      <c r="V4840" s="5"/>
      <c r="W4840" s="5"/>
      <c r="X4840" s="5"/>
      <c r="Y4840" s="5"/>
      <c r="Z4840" s="5"/>
    </row>
    <row r="4841" spans="1:26" ht="15" x14ac:dyDescent="0.25">
      <c r="A4841" s="4" t="s">
        <v>4839</v>
      </c>
      <c r="B4841" s="4" t="s">
        <v>4550</v>
      </c>
      <c r="C4841" s="2" t="str">
        <f ca="1">IFERROR(__xludf.DUMMYFUNCTION("GOOGLETRANSLATE(A4841,""bn"",""en"")"),"Even after watching the wonderful movie again and again, it felt new again")</f>
        <v>Even after watching the wonderful movie again and again, it felt new again</v>
      </c>
      <c r="D4841" s="5"/>
      <c r="E4841" s="5"/>
      <c r="F4841" s="5"/>
      <c r="G4841" s="5"/>
      <c r="H4841" s="5"/>
      <c r="I4841" s="5"/>
      <c r="J4841" s="5"/>
      <c r="K4841" s="5"/>
      <c r="L4841" s="5"/>
      <c r="M4841" s="5"/>
      <c r="N4841" s="5"/>
      <c r="O4841" s="5"/>
      <c r="P4841" s="5"/>
      <c r="Q4841" s="5"/>
      <c r="R4841" s="5"/>
      <c r="S4841" s="5"/>
      <c r="T4841" s="5"/>
      <c r="U4841" s="5"/>
      <c r="V4841" s="5"/>
      <c r="W4841" s="5"/>
      <c r="X4841" s="5"/>
      <c r="Y4841" s="5"/>
      <c r="Z4841" s="5"/>
    </row>
    <row r="4842" spans="1:26" ht="15" x14ac:dyDescent="0.25">
      <c r="A4842" s="4" t="s">
        <v>4840</v>
      </c>
      <c r="B4842" s="4" t="s">
        <v>4550</v>
      </c>
      <c r="C4842" s="2" t="str">
        <f ca="1">IFERROR(__xludf.DUMMYFUNCTION("GOOGLETRANSLATE(A4842,""bn"",""en"")"),"The songs of the movie Animal were heart touching")</f>
        <v>The songs of the movie Animal were heart touching</v>
      </c>
      <c r="D4842" s="5"/>
      <c r="E4842" s="5"/>
      <c r="F4842" s="5"/>
      <c r="G4842" s="5"/>
      <c r="H4842" s="5"/>
      <c r="I4842" s="5"/>
      <c r="J4842" s="5"/>
      <c r="K4842" s="5"/>
      <c r="L4842" s="5"/>
      <c r="M4842" s="5"/>
      <c r="N4842" s="5"/>
      <c r="O4842" s="5"/>
      <c r="P4842" s="5"/>
      <c r="Q4842" s="5"/>
      <c r="R4842" s="5"/>
      <c r="S4842" s="5"/>
      <c r="T4842" s="5"/>
      <c r="U4842" s="5"/>
      <c r="V4842" s="5"/>
      <c r="W4842" s="5"/>
      <c r="X4842" s="5"/>
      <c r="Y4842" s="5"/>
      <c r="Z4842" s="5"/>
    </row>
    <row r="4843" spans="1:26" ht="15" x14ac:dyDescent="0.25">
      <c r="A4843" s="4" t="s">
        <v>4841</v>
      </c>
      <c r="B4843" s="4" t="s">
        <v>4550</v>
      </c>
      <c r="C4843" s="2" t="str">
        <f ca="1">IFERROR(__xludf.DUMMYFUNCTION("GOOGLETRANSLATE(A4843,""bn"",""en"")"),"The film was very good. Shabnoor's village film was very beautiful. Nashrin also acted very well and Shabnoor was no match.")</f>
        <v>The film was very good. Shabnoor's village film was very beautiful. Nashrin also acted very well and Shabnoor was no match.</v>
      </c>
      <c r="D4843" s="5"/>
      <c r="E4843" s="5"/>
      <c r="F4843" s="5"/>
      <c r="G4843" s="5"/>
      <c r="H4843" s="5"/>
      <c r="I4843" s="5"/>
      <c r="J4843" s="5"/>
      <c r="K4843" s="5"/>
      <c r="L4843" s="5"/>
      <c r="M4843" s="5"/>
      <c r="N4843" s="5"/>
      <c r="O4843" s="5"/>
      <c r="P4843" s="5"/>
      <c r="Q4843" s="5"/>
      <c r="R4843" s="5"/>
      <c r="S4843" s="5"/>
      <c r="T4843" s="5"/>
      <c r="U4843" s="5"/>
      <c r="V4843" s="5"/>
      <c r="W4843" s="5"/>
      <c r="X4843" s="5"/>
      <c r="Y4843" s="5"/>
      <c r="Z4843" s="5"/>
    </row>
    <row r="4844" spans="1:26" ht="15" x14ac:dyDescent="0.25">
      <c r="A4844" s="4" t="s">
        <v>4842</v>
      </c>
      <c r="B4844" s="4" t="s">
        <v>4550</v>
      </c>
      <c r="C4844" s="2" t="str">
        <f ca="1">IFERROR(__xludf.DUMMYFUNCTION("GOOGLETRANSLATE(A4844,""bn"",""en"")"),"It was the best Jeet movie I have ever seen")</f>
        <v>It was the best Jeet movie I have ever seen</v>
      </c>
      <c r="D4844" s="5"/>
      <c r="E4844" s="5"/>
      <c r="F4844" s="5"/>
      <c r="G4844" s="5"/>
      <c r="H4844" s="5"/>
      <c r="I4844" s="5"/>
      <c r="J4844" s="5"/>
      <c r="K4844" s="5"/>
      <c r="L4844" s="5"/>
      <c r="M4844" s="5"/>
      <c r="N4844" s="5"/>
      <c r="O4844" s="5"/>
      <c r="P4844" s="5"/>
      <c r="Q4844" s="5"/>
      <c r="R4844" s="5"/>
      <c r="S4844" s="5"/>
      <c r="T4844" s="5"/>
      <c r="U4844" s="5"/>
      <c r="V4844" s="5"/>
      <c r="W4844" s="5"/>
      <c r="X4844" s="5"/>
      <c r="Y4844" s="5"/>
      <c r="Z4844" s="5"/>
    </row>
    <row r="4845" spans="1:26" ht="15" x14ac:dyDescent="0.25">
      <c r="A4845" s="4" t="s">
        <v>4843</v>
      </c>
      <c r="B4845" s="4" t="s">
        <v>4550</v>
      </c>
      <c r="C4845" s="2" t="str">
        <f ca="1">IFERROR(__xludf.DUMMYFUNCTION("GOOGLETRANSLATE(A4845,""bn"",""en"")"),"Salute Shakib Bhai was an amazing movie")</f>
        <v>Salute Shakib Bhai was an amazing movie</v>
      </c>
      <c r="D4845" s="5"/>
      <c r="E4845" s="5"/>
      <c r="F4845" s="5"/>
      <c r="G4845" s="5"/>
      <c r="H4845" s="5"/>
      <c r="I4845" s="5"/>
      <c r="J4845" s="5"/>
      <c r="K4845" s="5"/>
      <c r="L4845" s="5"/>
      <c r="M4845" s="5"/>
      <c r="N4845" s="5"/>
      <c r="O4845" s="5"/>
      <c r="P4845" s="5"/>
      <c r="Q4845" s="5"/>
      <c r="R4845" s="5"/>
      <c r="S4845" s="5"/>
      <c r="T4845" s="5"/>
      <c r="U4845" s="5"/>
      <c r="V4845" s="5"/>
      <c r="W4845" s="5"/>
      <c r="X4845" s="5"/>
      <c r="Y4845" s="5"/>
      <c r="Z4845" s="5"/>
    </row>
    <row r="4846" spans="1:26" ht="15" x14ac:dyDescent="0.25">
      <c r="A4846" s="4" t="s">
        <v>4844</v>
      </c>
      <c r="B4846" s="4" t="s">
        <v>4550</v>
      </c>
      <c r="C4846" s="2" t="str">
        <f ca="1">IFERROR(__xludf.DUMMYFUNCTION("GOOGLETRANSLATE(A4846,""bn"",""en"")"),"Felt bad for Tanya")</f>
        <v>Felt bad for Tanya</v>
      </c>
      <c r="D4846" s="5"/>
      <c r="E4846" s="5"/>
      <c r="F4846" s="5"/>
      <c r="G4846" s="5"/>
      <c r="H4846" s="5"/>
      <c r="I4846" s="5"/>
      <c r="J4846" s="5"/>
      <c r="K4846" s="5"/>
      <c r="L4846" s="5"/>
      <c r="M4846" s="5"/>
      <c r="N4846" s="5"/>
      <c r="O4846" s="5"/>
      <c r="P4846" s="5"/>
      <c r="Q4846" s="5"/>
      <c r="R4846" s="5"/>
      <c r="S4846" s="5"/>
      <c r="T4846" s="5"/>
      <c r="U4846" s="5"/>
      <c r="V4846" s="5"/>
      <c r="W4846" s="5"/>
      <c r="X4846" s="5"/>
      <c r="Y4846" s="5"/>
      <c r="Z4846" s="5"/>
    </row>
    <row r="4847" spans="1:26" ht="15" x14ac:dyDescent="0.25">
      <c r="A4847" s="4" t="s">
        <v>4845</v>
      </c>
      <c r="B4847" s="4" t="s">
        <v>4550</v>
      </c>
      <c r="C4847" s="2" t="str">
        <f ca="1">IFERROR(__xludf.DUMMYFUNCTION("GOOGLETRANSLATE(A4847,""bn"",""en"")"),"I liked it a lot")</f>
        <v>I liked it a lot</v>
      </c>
      <c r="D4847" s="5"/>
      <c r="E4847" s="5"/>
      <c r="F4847" s="5"/>
      <c r="G4847" s="5"/>
      <c r="H4847" s="5"/>
      <c r="I4847" s="5"/>
      <c r="J4847" s="5"/>
      <c r="K4847" s="5"/>
      <c r="L4847" s="5"/>
      <c r="M4847" s="5"/>
      <c r="N4847" s="5"/>
      <c r="O4847" s="5"/>
      <c r="P4847" s="5"/>
      <c r="Q4847" s="5"/>
      <c r="R4847" s="5"/>
      <c r="S4847" s="5"/>
      <c r="T4847" s="5"/>
      <c r="U4847" s="5"/>
      <c r="V4847" s="5"/>
      <c r="W4847" s="5"/>
      <c r="X4847" s="5"/>
      <c r="Y4847" s="5"/>
      <c r="Z4847" s="5"/>
    </row>
    <row r="4848" spans="1:26" ht="15" x14ac:dyDescent="0.25">
      <c r="A4848" s="4" t="s">
        <v>4846</v>
      </c>
      <c r="B4848" s="4" t="s">
        <v>4550</v>
      </c>
      <c r="C4848" s="2" t="str">
        <f ca="1">IFERROR(__xludf.DUMMYFUNCTION("GOOGLETRANSLATE(A4848,""bn"",""en"")"),"Shit, those were horrible songs, that's why no one watched Bengali movies anymore")</f>
        <v>Shit, those were horrible songs, that's why no one watched Bengali movies anymore</v>
      </c>
      <c r="D4848" s="5"/>
      <c r="E4848" s="5"/>
      <c r="F4848" s="5"/>
      <c r="G4848" s="5"/>
      <c r="H4848" s="5"/>
      <c r="I4848" s="5"/>
      <c r="J4848" s="5"/>
      <c r="K4848" s="5"/>
      <c r="L4848" s="5"/>
      <c r="M4848" s="5"/>
      <c r="N4848" s="5"/>
      <c r="O4848" s="5"/>
      <c r="P4848" s="5"/>
      <c r="Q4848" s="5"/>
      <c r="R4848" s="5"/>
      <c r="S4848" s="5"/>
      <c r="T4848" s="5"/>
      <c r="U4848" s="5"/>
      <c r="V4848" s="5"/>
      <c r="W4848" s="5"/>
      <c r="X4848" s="5"/>
      <c r="Y4848" s="5"/>
      <c r="Z4848" s="5"/>
    </row>
    <row r="4849" spans="1:26" ht="15" x14ac:dyDescent="0.25">
      <c r="A4849" s="4" t="s">
        <v>4847</v>
      </c>
      <c r="B4849" s="4" t="s">
        <v>4550</v>
      </c>
      <c r="C4849" s="2" t="str">
        <f ca="1">IFERROR(__xludf.DUMMYFUNCTION("GOOGLETRANSLATE(A4849,""bn"",""en"")"),"It was a great movie and I really enjoyed it")</f>
        <v>It was a great movie and I really enjoyed it</v>
      </c>
      <c r="D4849" s="5"/>
      <c r="E4849" s="5"/>
      <c r="F4849" s="5"/>
      <c r="G4849" s="5"/>
      <c r="H4849" s="5"/>
      <c r="I4849" s="5"/>
      <c r="J4849" s="5"/>
      <c r="K4849" s="5"/>
      <c r="L4849" s="5"/>
      <c r="M4849" s="5"/>
      <c r="N4849" s="5"/>
      <c r="O4849" s="5"/>
      <c r="P4849" s="5"/>
      <c r="Q4849" s="5"/>
      <c r="R4849" s="5"/>
      <c r="S4849" s="5"/>
      <c r="T4849" s="5"/>
      <c r="U4849" s="5"/>
      <c r="V4849" s="5"/>
      <c r="W4849" s="5"/>
      <c r="X4849" s="5"/>
      <c r="Y4849" s="5"/>
      <c r="Z4849" s="5"/>
    </row>
    <row r="4850" spans="1:26" ht="15" x14ac:dyDescent="0.25">
      <c r="A4850" s="4" t="s">
        <v>4848</v>
      </c>
      <c r="B4850" s="4" t="s">
        <v>4550</v>
      </c>
      <c r="C4850" s="2" t="str">
        <f ca="1">IFERROR(__xludf.DUMMYFUNCTION("GOOGLETRANSLATE(A4850,""bn"",""en"")"),"A truly wonderful film that brought tears to my eyes")</f>
        <v>A truly wonderful film that brought tears to my eyes</v>
      </c>
      <c r="D4850" s="5"/>
      <c r="E4850" s="5"/>
      <c r="F4850" s="5"/>
      <c r="G4850" s="5"/>
      <c r="H4850" s="5"/>
      <c r="I4850" s="5"/>
      <c r="J4850" s="5"/>
      <c r="K4850" s="5"/>
      <c r="L4850" s="5"/>
      <c r="M4850" s="5"/>
      <c r="N4850" s="5"/>
      <c r="O4850" s="5"/>
      <c r="P4850" s="5"/>
      <c r="Q4850" s="5"/>
      <c r="R4850" s="5"/>
      <c r="S4850" s="5"/>
      <c r="T4850" s="5"/>
      <c r="U4850" s="5"/>
      <c r="V4850" s="5"/>
      <c r="W4850" s="5"/>
      <c r="X4850" s="5"/>
      <c r="Y4850" s="5"/>
      <c r="Z4850" s="5"/>
    </row>
    <row r="4851" spans="1:26" ht="15" x14ac:dyDescent="0.25">
      <c r="A4851" s="4" t="s">
        <v>4849</v>
      </c>
      <c r="B4851" s="4" t="s">
        <v>4550</v>
      </c>
      <c r="C4851" s="2" t="str">
        <f ca="1">IFERROR(__xludf.DUMMYFUNCTION("GOOGLETRANSLATE(A4851,""bn"",""en"")"),"It was a very beautiful film")</f>
        <v>It was a very beautiful film</v>
      </c>
      <c r="D4851" s="5"/>
      <c r="E4851" s="5"/>
      <c r="F4851" s="5"/>
      <c r="G4851" s="5"/>
      <c r="H4851" s="5"/>
      <c r="I4851" s="5"/>
      <c r="J4851" s="5"/>
      <c r="K4851" s="5"/>
      <c r="L4851" s="5"/>
      <c r="M4851" s="5"/>
      <c r="N4851" s="5"/>
      <c r="O4851" s="5"/>
      <c r="P4851" s="5"/>
      <c r="Q4851" s="5"/>
      <c r="R4851" s="5"/>
      <c r="S4851" s="5"/>
      <c r="T4851" s="5"/>
      <c r="U4851" s="5"/>
      <c r="V4851" s="5"/>
      <c r="W4851" s="5"/>
      <c r="X4851" s="5"/>
      <c r="Y4851" s="5"/>
      <c r="Z4851" s="5"/>
    </row>
    <row r="4852" spans="1:26" ht="15" x14ac:dyDescent="0.25">
      <c r="A4852" s="4" t="s">
        <v>4850</v>
      </c>
      <c r="B4852" s="4" t="s">
        <v>4550</v>
      </c>
      <c r="C4852" s="2" t="str">
        <f ca="1">IFERROR(__xludf.DUMMYFUNCTION("GOOGLETRANSLATE(A4852,""bn"",""en"")"),"It was a wonderful movie especially for Shabnoor's performance, such rural Bengali movies were the concern of people")</f>
        <v>It was a wonderful movie especially for Shabnoor's performance, such rural Bengali movies were the concern of people</v>
      </c>
      <c r="D4852" s="5"/>
      <c r="E4852" s="5"/>
      <c r="F4852" s="5"/>
      <c r="G4852" s="5"/>
      <c r="H4852" s="5"/>
      <c r="I4852" s="5"/>
      <c r="J4852" s="5"/>
      <c r="K4852" s="5"/>
      <c r="L4852" s="5"/>
      <c r="M4852" s="5"/>
      <c r="N4852" s="5"/>
      <c r="O4852" s="5"/>
      <c r="P4852" s="5"/>
      <c r="Q4852" s="5"/>
      <c r="R4852" s="5"/>
      <c r="S4852" s="5"/>
      <c r="T4852" s="5"/>
      <c r="U4852" s="5"/>
      <c r="V4852" s="5"/>
      <c r="W4852" s="5"/>
      <c r="X4852" s="5"/>
      <c r="Y4852" s="5"/>
      <c r="Z4852" s="5"/>
    </row>
    <row r="4853" spans="1:26" ht="15" x14ac:dyDescent="0.25">
      <c r="A4853" s="4" t="s">
        <v>4851</v>
      </c>
      <c r="B4853" s="4" t="s">
        <v>4550</v>
      </c>
      <c r="C4853" s="2" t="str">
        <f ca="1">IFERROR(__xludf.DUMMYFUNCTION("GOOGLETRANSLATE(A4853,""bn"",""en"")"),"It was a great movie, Sabnoor did not compare")</f>
        <v>It was a great movie, Sabnoor did not compare</v>
      </c>
      <c r="D4853" s="5"/>
      <c r="E4853" s="5"/>
      <c r="F4853" s="5"/>
      <c r="G4853" s="5"/>
      <c r="H4853" s="5"/>
      <c r="I4853" s="5"/>
      <c r="J4853" s="5"/>
      <c r="K4853" s="5"/>
      <c r="L4853" s="5"/>
      <c r="M4853" s="5"/>
      <c r="N4853" s="5"/>
      <c r="O4853" s="5"/>
      <c r="P4853" s="5"/>
      <c r="Q4853" s="5"/>
      <c r="R4853" s="5"/>
      <c r="S4853" s="5"/>
      <c r="T4853" s="5"/>
      <c r="U4853" s="5"/>
      <c r="V4853" s="5"/>
      <c r="W4853" s="5"/>
      <c r="X4853" s="5"/>
      <c r="Y4853" s="5"/>
      <c r="Z4853" s="5"/>
    </row>
    <row r="4854" spans="1:26" ht="15" x14ac:dyDescent="0.25">
      <c r="A4854" s="4" t="s">
        <v>4852</v>
      </c>
      <c r="B4854" s="4" t="s">
        <v>4550</v>
      </c>
      <c r="C4854" s="2" t="str">
        <f ca="1">IFERROR(__xludf.DUMMYFUNCTION("GOOGLETRANSLATE(A4854,""bn"",""en"")"),"I never used to watch Bengali movies")</f>
        <v>I never used to watch Bengali movies</v>
      </c>
      <c r="D4854" s="5"/>
      <c r="E4854" s="5"/>
      <c r="F4854" s="5"/>
      <c r="G4854" s="5"/>
      <c r="H4854" s="5"/>
      <c r="I4854" s="5"/>
      <c r="J4854" s="5"/>
      <c r="K4854" s="5"/>
      <c r="L4854" s="5"/>
      <c r="M4854" s="5"/>
      <c r="N4854" s="5"/>
      <c r="O4854" s="5"/>
      <c r="P4854" s="5"/>
      <c r="Q4854" s="5"/>
      <c r="R4854" s="5"/>
      <c r="S4854" s="5"/>
      <c r="T4854" s="5"/>
      <c r="U4854" s="5"/>
      <c r="V4854" s="5"/>
      <c r="W4854" s="5"/>
      <c r="X4854" s="5"/>
      <c r="Y4854" s="5"/>
      <c r="Z4854" s="5"/>
    </row>
    <row r="4855" spans="1:26" ht="15" x14ac:dyDescent="0.25">
      <c r="A4855" s="4" t="s">
        <v>4853</v>
      </c>
      <c r="B4855" s="4" t="s">
        <v>4550</v>
      </c>
      <c r="C4855" s="2" t="str">
        <f ca="1">IFERROR(__xludf.DUMMYFUNCTION("GOOGLETRANSLATE(A4855,""bn"",""en"")"),"Bekkal was the director, Bekkal was the hero and heroine")</f>
        <v>Bekkal was the director, Bekkal was the hero and heroine</v>
      </c>
      <c r="D4855" s="5"/>
      <c r="E4855" s="5"/>
      <c r="F4855" s="5"/>
      <c r="G4855" s="5"/>
      <c r="H4855" s="5"/>
      <c r="I4855" s="5"/>
      <c r="J4855" s="5"/>
      <c r="K4855" s="5"/>
      <c r="L4855" s="5"/>
      <c r="M4855" s="5"/>
      <c r="N4855" s="5"/>
      <c r="O4855" s="5"/>
      <c r="P4855" s="5"/>
      <c r="Q4855" s="5"/>
      <c r="R4855" s="5"/>
      <c r="S4855" s="5"/>
      <c r="T4855" s="5"/>
      <c r="U4855" s="5"/>
      <c r="V4855" s="5"/>
      <c r="W4855" s="5"/>
      <c r="X4855" s="5"/>
      <c r="Y4855" s="5"/>
      <c r="Z4855" s="5"/>
    </row>
    <row r="4856" spans="1:26" ht="15" x14ac:dyDescent="0.25">
      <c r="A4856" s="4" t="s">
        <v>4854</v>
      </c>
      <c r="B4856" s="4" t="s">
        <v>4550</v>
      </c>
      <c r="C4856" s="2" t="str">
        <f ca="1">IFERROR(__xludf.DUMMYFUNCTION("GOOGLETRANSLATE(A4856,""bn"",""en"")"),"I couldn't stop laughing")</f>
        <v>I couldn't stop laughing</v>
      </c>
      <c r="D4856" s="5"/>
      <c r="E4856" s="5"/>
      <c r="F4856" s="5"/>
      <c r="G4856" s="5"/>
      <c r="H4856" s="5"/>
      <c r="I4856" s="5"/>
      <c r="J4856" s="5"/>
      <c r="K4856" s="5"/>
      <c r="L4856" s="5"/>
      <c r="M4856" s="5"/>
      <c r="N4856" s="5"/>
      <c r="O4856" s="5"/>
      <c r="P4856" s="5"/>
      <c r="Q4856" s="5"/>
      <c r="R4856" s="5"/>
      <c r="S4856" s="5"/>
      <c r="T4856" s="5"/>
      <c r="U4856" s="5"/>
      <c r="V4856" s="5"/>
      <c r="W4856" s="5"/>
      <c r="X4856" s="5"/>
      <c r="Y4856" s="5"/>
      <c r="Z4856" s="5"/>
    </row>
    <row r="4857" spans="1:26" ht="15" x14ac:dyDescent="0.25">
      <c r="A4857" s="4" t="s">
        <v>4855</v>
      </c>
      <c r="B4857" s="4" t="s">
        <v>4550</v>
      </c>
      <c r="C4857" s="2" t="str">
        <f ca="1">IFERROR(__xludf.DUMMYFUNCTION("GOOGLETRANSLATE(A4857,""bn"",""en"")"),"It was really beautiful, I liked it very much")</f>
        <v>It was really beautiful, I liked it very much</v>
      </c>
      <c r="D4857" s="5"/>
      <c r="E4857" s="5"/>
      <c r="F4857" s="5"/>
      <c r="G4857" s="5"/>
      <c r="H4857" s="5"/>
      <c r="I4857" s="5"/>
      <c r="J4857" s="5"/>
      <c r="K4857" s="5"/>
      <c r="L4857" s="5"/>
      <c r="M4857" s="5"/>
      <c r="N4857" s="5"/>
      <c r="O4857" s="5"/>
      <c r="P4857" s="5"/>
      <c r="Q4857" s="5"/>
      <c r="R4857" s="5"/>
      <c r="S4857" s="5"/>
      <c r="T4857" s="5"/>
      <c r="U4857" s="5"/>
      <c r="V4857" s="5"/>
      <c r="W4857" s="5"/>
      <c r="X4857" s="5"/>
      <c r="Y4857" s="5"/>
      <c r="Z4857" s="5"/>
    </row>
    <row r="4858" spans="1:26" ht="15" x14ac:dyDescent="0.25">
      <c r="A4858" s="4" t="s">
        <v>4856</v>
      </c>
      <c r="B4858" s="4" t="s">
        <v>4550</v>
      </c>
      <c r="C4858" s="2" t="str">
        <f ca="1">IFERROR(__xludf.DUMMYFUNCTION("GOOGLETRANSLATE(A4858,""bn"",""en"")"),"First of all, thanks to the director, the play was amazing and Chanchal Bhai gave it a super amazing performance")</f>
        <v>First of all, thanks to the director, the play was amazing and Chanchal Bhai gave it a super amazing performance</v>
      </c>
      <c r="D4858" s="5"/>
      <c r="E4858" s="5"/>
      <c r="F4858" s="5"/>
      <c r="G4858" s="5"/>
      <c r="H4858" s="5"/>
      <c r="I4858" s="5"/>
      <c r="J4858" s="5"/>
      <c r="K4858" s="5"/>
      <c r="L4858" s="5"/>
      <c r="M4858" s="5"/>
      <c r="N4858" s="5"/>
      <c r="O4858" s="5"/>
      <c r="P4858" s="5"/>
      <c r="Q4858" s="5"/>
      <c r="R4858" s="5"/>
      <c r="S4858" s="5"/>
      <c r="T4858" s="5"/>
      <c r="U4858" s="5"/>
      <c r="V4858" s="5"/>
      <c r="W4858" s="5"/>
      <c r="X4858" s="5"/>
      <c r="Y4858" s="5"/>
      <c r="Z4858" s="5"/>
    </row>
    <row r="4859" spans="1:26" ht="15" x14ac:dyDescent="0.25">
      <c r="A4859" s="4" t="s">
        <v>4857</v>
      </c>
      <c r="B4859" s="4" t="s">
        <v>4550</v>
      </c>
      <c r="C4859" s="2" t="str">
        <f ca="1">IFERROR(__xludf.DUMMYFUNCTION("GOOGLETRANSLATE(A4859,""bn"",""en"")"),"I congratulated them for giving such a beautiful movie")</f>
        <v>I congratulated them for giving such a beautiful movie</v>
      </c>
      <c r="D4859" s="5"/>
      <c r="E4859" s="5"/>
      <c r="F4859" s="5"/>
      <c r="G4859" s="5"/>
      <c r="H4859" s="5"/>
      <c r="I4859" s="5"/>
      <c r="J4859" s="5"/>
      <c r="K4859" s="5"/>
      <c r="L4859" s="5"/>
      <c r="M4859" s="5"/>
      <c r="N4859" s="5"/>
      <c r="O4859" s="5"/>
      <c r="P4859" s="5"/>
      <c r="Q4859" s="5"/>
      <c r="R4859" s="5"/>
      <c r="S4859" s="5"/>
      <c r="T4859" s="5"/>
      <c r="U4859" s="5"/>
      <c r="V4859" s="5"/>
      <c r="W4859" s="5"/>
      <c r="X4859" s="5"/>
      <c r="Y4859" s="5"/>
      <c r="Z4859" s="5"/>
    </row>
    <row r="4860" spans="1:26" ht="15" x14ac:dyDescent="0.25">
      <c r="A4860" s="4" t="s">
        <v>4858</v>
      </c>
      <c r="B4860" s="4" t="s">
        <v>4550</v>
      </c>
      <c r="C4860" s="2" t="str">
        <f ca="1">IFERROR(__xludf.DUMMYFUNCTION("GOOGLETRANSLATE(A4860,""bn"",""en"")"),"So funny acting was directed")</f>
        <v>So funny acting was directed</v>
      </c>
      <c r="D4860" s="5"/>
      <c r="E4860" s="5"/>
      <c r="F4860" s="5"/>
      <c r="G4860" s="5"/>
      <c r="H4860" s="5"/>
      <c r="I4860" s="5"/>
      <c r="J4860" s="5"/>
      <c r="K4860" s="5"/>
      <c r="L4860" s="5"/>
      <c r="M4860" s="5"/>
      <c r="N4860" s="5"/>
      <c r="O4860" s="5"/>
      <c r="P4860" s="5"/>
      <c r="Q4860" s="5"/>
      <c r="R4860" s="5"/>
      <c r="S4860" s="5"/>
      <c r="T4860" s="5"/>
      <c r="U4860" s="5"/>
      <c r="V4860" s="5"/>
      <c r="W4860" s="5"/>
      <c r="X4860" s="5"/>
      <c r="Y4860" s="5"/>
      <c r="Z4860" s="5"/>
    </row>
    <row r="4861" spans="1:26" ht="15" x14ac:dyDescent="0.25">
      <c r="A4861" s="4" t="s">
        <v>4859</v>
      </c>
      <c r="B4861" s="4" t="s">
        <v>4550</v>
      </c>
      <c r="C4861" s="2" t="str">
        <f ca="1">IFERROR(__xludf.DUMMYFUNCTION("GOOGLETRANSLATE(A4861,""bn"",""en"")"),"It was a boring very bad movie, nobody's acting was good, it was a story, I didn't understand anything")</f>
        <v>It was a boring very bad movie, nobody's acting was good, it was a story, I didn't understand anything</v>
      </c>
      <c r="D4861" s="5"/>
      <c r="E4861" s="5"/>
      <c r="F4861" s="5"/>
      <c r="G4861" s="5"/>
      <c r="H4861" s="5"/>
      <c r="I4861" s="5"/>
      <c r="J4861" s="5"/>
      <c r="K4861" s="5"/>
      <c r="L4861" s="5"/>
      <c r="M4861" s="5"/>
      <c r="N4861" s="5"/>
      <c r="O4861" s="5"/>
      <c r="P4861" s="5"/>
      <c r="Q4861" s="5"/>
      <c r="R4861" s="5"/>
      <c r="S4861" s="5"/>
      <c r="T4861" s="5"/>
      <c r="U4861" s="5"/>
      <c r="V4861" s="5"/>
      <c r="W4861" s="5"/>
      <c r="X4861" s="5"/>
      <c r="Y4861" s="5"/>
      <c r="Z4861" s="5"/>
    </row>
    <row r="4862" spans="1:26" ht="15" x14ac:dyDescent="0.25">
      <c r="A4862" s="4" t="s">
        <v>4860</v>
      </c>
      <c r="B4862" s="4" t="s">
        <v>4550</v>
      </c>
      <c r="C4862" s="2" t="str">
        <f ca="1">IFERROR(__xludf.DUMMYFUNCTION("GOOGLETRANSLATE(A4862,""bn"",""en"")"),"I saw a very very very good film. I really liked this kind of film and I may not get it. It is not comparable to the previous film.")</f>
        <v>I saw a very very very good film. I really liked this kind of film and I may not get it. It is not comparable to the previous film.</v>
      </c>
      <c r="D4862" s="5"/>
      <c r="E4862" s="5"/>
      <c r="F4862" s="5"/>
      <c r="G4862" s="5"/>
      <c r="H4862" s="5"/>
      <c r="I4862" s="5"/>
      <c r="J4862" s="5"/>
      <c r="K4862" s="5"/>
      <c r="L4862" s="5"/>
      <c r="M4862" s="5"/>
      <c r="N4862" s="5"/>
      <c r="O4862" s="5"/>
      <c r="P4862" s="5"/>
      <c r="Q4862" s="5"/>
      <c r="R4862" s="5"/>
      <c r="S4862" s="5"/>
      <c r="T4862" s="5"/>
      <c r="U4862" s="5"/>
      <c r="V4862" s="5"/>
      <c r="W4862" s="5"/>
      <c r="X4862" s="5"/>
      <c r="Y4862" s="5"/>
      <c r="Z4862" s="5"/>
    </row>
    <row r="4863" spans="1:26" ht="15" x14ac:dyDescent="0.25">
      <c r="A4863" s="4" t="s">
        <v>4861</v>
      </c>
      <c r="B4863" s="4" t="s">
        <v>4550</v>
      </c>
      <c r="C4863" s="2" t="str">
        <f ca="1">IFERROR(__xludf.DUMMYFUNCTION("GOOGLETRANSLATE(A4863,""bn"",""en"")"),"The films seemed like real life experiences, all the films starring Moushumi were social")</f>
        <v>The films seemed like real life experiences, all the films starring Moushumi were social</v>
      </c>
      <c r="D4863" s="5"/>
      <c r="E4863" s="5"/>
      <c r="F4863" s="5"/>
      <c r="G4863" s="5"/>
      <c r="H4863" s="5"/>
      <c r="I4863" s="5"/>
      <c r="J4863" s="5"/>
      <c r="K4863" s="5"/>
      <c r="L4863" s="5"/>
      <c r="M4863" s="5"/>
      <c r="N4863" s="5"/>
      <c r="O4863" s="5"/>
      <c r="P4863" s="5"/>
      <c r="Q4863" s="5"/>
      <c r="R4863" s="5"/>
      <c r="S4863" s="5"/>
      <c r="T4863" s="5"/>
      <c r="U4863" s="5"/>
      <c r="V4863" s="5"/>
      <c r="W4863" s="5"/>
      <c r="X4863" s="5"/>
      <c r="Y4863" s="5"/>
      <c r="Z4863" s="5"/>
    </row>
    <row r="4864" spans="1:26" ht="15" x14ac:dyDescent="0.25">
      <c r="A4864" s="4" t="s">
        <v>4862</v>
      </c>
      <c r="B4864" s="4" t="s">
        <v>4550</v>
      </c>
      <c r="C4864" s="2" t="str">
        <f ca="1">IFERROR(__xludf.DUMMYFUNCTION("GOOGLETRANSLATE(A4864,""bn"",""en"")"),"I couldn't stop laughing at the whole flop")</f>
        <v>I couldn't stop laughing at the whole flop</v>
      </c>
      <c r="D4864" s="5"/>
      <c r="E4864" s="5"/>
      <c r="F4864" s="5"/>
      <c r="G4864" s="5"/>
      <c r="H4864" s="5"/>
      <c r="I4864" s="5"/>
      <c r="J4864" s="5"/>
      <c r="K4864" s="5"/>
      <c r="L4864" s="5"/>
      <c r="M4864" s="5"/>
      <c r="N4864" s="5"/>
      <c r="O4864" s="5"/>
      <c r="P4864" s="5"/>
      <c r="Q4864" s="5"/>
      <c r="R4864" s="5"/>
      <c r="S4864" s="5"/>
      <c r="T4864" s="5"/>
      <c r="U4864" s="5"/>
      <c r="V4864" s="5"/>
      <c r="W4864" s="5"/>
      <c r="X4864" s="5"/>
      <c r="Y4864" s="5"/>
      <c r="Z4864" s="5"/>
    </row>
    <row r="4865" spans="1:26" ht="15" x14ac:dyDescent="0.25">
      <c r="A4865" s="4" t="s">
        <v>4863</v>
      </c>
      <c r="B4865" s="4" t="s">
        <v>4550</v>
      </c>
      <c r="C4865" s="2" t="str">
        <f ca="1">IFERROR(__xludf.DUMMYFUNCTION("GOOGLETRANSLATE(A4865,""bn"",""en"")"),"I could not explain what a great movie")</f>
        <v>I could not explain what a great movie</v>
      </c>
      <c r="D4865" s="5"/>
      <c r="E4865" s="5"/>
      <c r="F4865" s="5"/>
      <c r="G4865" s="5"/>
      <c r="H4865" s="5"/>
      <c r="I4865" s="5"/>
      <c r="J4865" s="5"/>
      <c r="K4865" s="5"/>
      <c r="L4865" s="5"/>
      <c r="M4865" s="5"/>
      <c r="N4865" s="5"/>
      <c r="O4865" s="5"/>
      <c r="P4865" s="5"/>
      <c r="Q4865" s="5"/>
      <c r="R4865" s="5"/>
      <c r="S4865" s="5"/>
      <c r="T4865" s="5"/>
      <c r="U4865" s="5"/>
      <c r="V4865" s="5"/>
      <c r="W4865" s="5"/>
      <c r="X4865" s="5"/>
      <c r="Y4865" s="5"/>
      <c r="Z4865" s="5"/>
    </row>
    <row r="4866" spans="1:26" ht="15" x14ac:dyDescent="0.25">
      <c r="A4866" s="4" t="s">
        <v>4864</v>
      </c>
      <c r="B4866" s="4" t="s">
        <v>4550</v>
      </c>
      <c r="C4866" s="2" t="str">
        <f ca="1">IFERROR(__xludf.DUMMYFUNCTION("GOOGLETRANSLATE(A4866,""bn"",""en"")"),"I watched this movie over and over again and I loved it so much I felt that this lesson should be taught")</f>
        <v>I watched this movie over and over again and I loved it so much I felt that this lesson should be taught</v>
      </c>
      <c r="D4866" s="5"/>
      <c r="E4866" s="5"/>
      <c r="F4866" s="5"/>
      <c r="G4866" s="5"/>
      <c r="H4866" s="5"/>
      <c r="I4866" s="5"/>
      <c r="J4866" s="5"/>
      <c r="K4866" s="5"/>
      <c r="L4866" s="5"/>
      <c r="M4866" s="5"/>
      <c r="N4866" s="5"/>
      <c r="O4866" s="5"/>
      <c r="P4866" s="5"/>
      <c r="Q4866" s="5"/>
      <c r="R4866" s="5"/>
      <c r="S4866" s="5"/>
      <c r="T4866" s="5"/>
      <c r="U4866" s="5"/>
      <c r="V4866" s="5"/>
      <c r="W4866" s="5"/>
      <c r="X4866" s="5"/>
      <c r="Y4866" s="5"/>
      <c r="Z4866" s="5"/>
    </row>
    <row r="4867" spans="1:26" ht="15" x14ac:dyDescent="0.25">
      <c r="A4867" s="4" t="s">
        <v>4865</v>
      </c>
      <c r="B4867" s="4" t="s">
        <v>4550</v>
      </c>
      <c r="C4867" s="2" t="str">
        <f ca="1">IFERROR(__xludf.DUMMYFUNCTION("GOOGLETRANSLATE(A4867,""bn"",""en"")"),"I didn't understand anything before the picture")</f>
        <v>I didn't understand anything before the picture</v>
      </c>
      <c r="D4867" s="5"/>
      <c r="E4867" s="5"/>
      <c r="F4867" s="5"/>
      <c r="G4867" s="5"/>
      <c r="H4867" s="5"/>
      <c r="I4867" s="5"/>
      <c r="J4867" s="5"/>
      <c r="K4867" s="5"/>
      <c r="L4867" s="5"/>
      <c r="M4867" s="5"/>
      <c r="N4867" s="5"/>
      <c r="O4867" s="5"/>
      <c r="P4867" s="5"/>
      <c r="Q4867" s="5"/>
      <c r="R4867" s="5"/>
      <c r="S4867" s="5"/>
      <c r="T4867" s="5"/>
      <c r="U4867" s="5"/>
      <c r="V4867" s="5"/>
      <c r="W4867" s="5"/>
      <c r="X4867" s="5"/>
      <c r="Y4867" s="5"/>
      <c r="Z4867" s="5"/>
    </row>
    <row r="4868" spans="1:26" ht="15" x14ac:dyDescent="0.25">
      <c r="A4868" s="4" t="s">
        <v>4866</v>
      </c>
      <c r="B4868" s="4" t="s">
        <v>4550</v>
      </c>
      <c r="C4868" s="2" t="str">
        <f ca="1">IFERROR(__xludf.DUMMYFUNCTION("GOOGLETRANSLATE(A4868,""bn"",""en"")"),"It was nonsense")</f>
        <v>It was nonsense</v>
      </c>
      <c r="D4868" s="5"/>
      <c r="E4868" s="5"/>
      <c r="F4868" s="5"/>
      <c r="G4868" s="5"/>
      <c r="H4868" s="5"/>
      <c r="I4868" s="5"/>
      <c r="J4868" s="5"/>
      <c r="K4868" s="5"/>
      <c r="L4868" s="5"/>
      <c r="M4868" s="5"/>
      <c r="N4868" s="5"/>
      <c r="O4868" s="5"/>
      <c r="P4868" s="5"/>
      <c r="Q4868" s="5"/>
      <c r="R4868" s="5"/>
      <c r="S4868" s="5"/>
      <c r="T4868" s="5"/>
      <c r="U4868" s="5"/>
      <c r="V4868" s="5"/>
      <c r="W4868" s="5"/>
      <c r="X4868" s="5"/>
      <c r="Y4868" s="5"/>
      <c r="Z4868" s="5"/>
    </row>
    <row r="4869" spans="1:26" ht="15" x14ac:dyDescent="0.25">
      <c r="A4869" s="4" t="s">
        <v>4867</v>
      </c>
      <c r="B4869" s="4" t="s">
        <v>4550</v>
      </c>
      <c r="C4869" s="2" t="str">
        <f ca="1">IFERROR(__xludf.DUMMYFUNCTION("GOOGLETRANSLATE(A4869,""bn"",""en"")"),"Looking at this, it seems that when I was young, all the chubbies of that time were instructive and now chubbies")</f>
        <v>Looking at this, it seems that when I was young, all the chubbies of that time were instructive and now chubbies</v>
      </c>
      <c r="D4869" s="5"/>
      <c r="E4869" s="5"/>
      <c r="F4869" s="5"/>
      <c r="G4869" s="5"/>
      <c r="H4869" s="5"/>
      <c r="I4869" s="5"/>
      <c r="J4869" s="5"/>
      <c r="K4869" s="5"/>
      <c r="L4869" s="5"/>
      <c r="M4869" s="5"/>
      <c r="N4869" s="5"/>
      <c r="O4869" s="5"/>
      <c r="P4869" s="5"/>
      <c r="Q4869" s="5"/>
      <c r="R4869" s="5"/>
      <c r="S4869" s="5"/>
      <c r="T4869" s="5"/>
      <c r="U4869" s="5"/>
      <c r="V4869" s="5"/>
      <c r="W4869" s="5"/>
      <c r="X4869" s="5"/>
      <c r="Y4869" s="5"/>
      <c r="Z4869" s="5"/>
    </row>
    <row r="4870" spans="1:26" ht="15" x14ac:dyDescent="0.25">
      <c r="A4870" s="4" t="s">
        <v>4868</v>
      </c>
      <c r="B4870" s="4" t="s">
        <v>4550</v>
      </c>
      <c r="C4870" s="2" t="str">
        <f ca="1">IFERROR(__xludf.DUMMYFUNCTION("GOOGLETRANSLATE(A4870,""bn"",""en"")"),"Even if I could make a movie like this after all my life, the movie would have really filled my heart with happiness")</f>
        <v>Even if I could make a movie like this after all my life, the movie would have really filled my heart with happiness</v>
      </c>
      <c r="D4870" s="5"/>
      <c r="E4870" s="5"/>
      <c r="F4870" s="5"/>
      <c r="G4870" s="5"/>
      <c r="H4870" s="5"/>
      <c r="I4870" s="5"/>
      <c r="J4870" s="5"/>
      <c r="K4870" s="5"/>
      <c r="L4870" s="5"/>
      <c r="M4870" s="5"/>
      <c r="N4870" s="5"/>
      <c r="O4870" s="5"/>
      <c r="P4870" s="5"/>
      <c r="Q4870" s="5"/>
      <c r="R4870" s="5"/>
      <c r="S4870" s="5"/>
      <c r="T4870" s="5"/>
      <c r="U4870" s="5"/>
      <c r="V4870" s="5"/>
      <c r="W4870" s="5"/>
      <c r="X4870" s="5"/>
      <c r="Y4870" s="5"/>
      <c r="Z4870" s="5"/>
    </row>
    <row r="4871" spans="1:26" ht="15" x14ac:dyDescent="0.25">
      <c r="A4871" s="4" t="s">
        <v>4869</v>
      </c>
      <c r="B4871" s="4" t="s">
        <v>4550</v>
      </c>
      <c r="C4871" s="2" t="str">
        <f ca="1">IFERROR(__xludf.DUMMYFUNCTION("GOOGLETRANSLATE(A4871,""bn"",""en"")"),"You can't make such a bad movie if you don't try hard and knowing that Jaya Ahsan is a good actress is a whole journey")</f>
        <v>You can't make such a bad movie if you don't try hard and knowing that Jaya Ahsan is a good actress is a whole journey</v>
      </c>
      <c r="D4871" s="5"/>
      <c r="E4871" s="5"/>
      <c r="F4871" s="5"/>
      <c r="G4871" s="5"/>
      <c r="H4871" s="5"/>
      <c r="I4871" s="5"/>
      <c r="J4871" s="5"/>
      <c r="K4871" s="5"/>
      <c r="L4871" s="5"/>
      <c r="M4871" s="5"/>
      <c r="N4871" s="5"/>
      <c r="O4871" s="5"/>
      <c r="P4871" s="5"/>
      <c r="Q4871" s="5"/>
      <c r="R4871" s="5"/>
      <c r="S4871" s="5"/>
      <c r="T4871" s="5"/>
      <c r="U4871" s="5"/>
      <c r="V4871" s="5"/>
      <c r="W4871" s="5"/>
      <c r="X4871" s="5"/>
      <c r="Y4871" s="5"/>
      <c r="Z4871" s="5"/>
    </row>
    <row r="4872" spans="1:26" ht="15" x14ac:dyDescent="0.25">
      <c r="A4872" s="4" t="s">
        <v>4870</v>
      </c>
      <c r="B4872" s="4" t="s">
        <v>4550</v>
      </c>
      <c r="C4872" s="2" t="str">
        <f ca="1">IFERROR(__xludf.DUMMYFUNCTION("GOOGLETRANSLATE(A4872,""bn"",""en"")"),"It was a picture of which country my Uttam Kumar was from that period I think I made a picture with a button phone camera")</f>
        <v>It was a picture of which country my Uttam Kumar was from that period I think I made a picture with a button phone camera</v>
      </c>
      <c r="D4872" s="5"/>
      <c r="E4872" s="5"/>
      <c r="F4872" s="5"/>
      <c r="G4872" s="5"/>
      <c r="H4872" s="5"/>
      <c r="I4872" s="5"/>
      <c r="J4872" s="5"/>
      <c r="K4872" s="5"/>
      <c r="L4872" s="5"/>
      <c r="M4872" s="5"/>
      <c r="N4872" s="5"/>
      <c r="O4872" s="5"/>
      <c r="P4872" s="5"/>
      <c r="Q4872" s="5"/>
      <c r="R4872" s="5"/>
      <c r="S4872" s="5"/>
      <c r="T4872" s="5"/>
      <c r="U4872" s="5"/>
      <c r="V4872" s="5"/>
      <c r="W4872" s="5"/>
      <c r="X4872" s="5"/>
      <c r="Y4872" s="5"/>
      <c r="Z4872" s="5"/>
    </row>
    <row r="4873" spans="1:26" ht="15" x14ac:dyDescent="0.25">
      <c r="A4873" s="4" t="s">
        <v>4871</v>
      </c>
      <c r="B4873" s="4" t="s">
        <v>4550</v>
      </c>
      <c r="C4873" s="2" t="str">
        <f ca="1">IFERROR(__xludf.DUMMYFUNCTION("GOOGLETRANSLATE(A4873,""bn"",""en"")"),"I cried a lot after seeing the picture")</f>
        <v>I cried a lot after seeing the picture</v>
      </c>
      <c r="D4873" s="5"/>
      <c r="E4873" s="5"/>
      <c r="F4873" s="5"/>
      <c r="G4873" s="5"/>
      <c r="H4873" s="5"/>
      <c r="I4873" s="5"/>
      <c r="J4873" s="5"/>
      <c r="K4873" s="5"/>
      <c r="L4873" s="5"/>
      <c r="M4873" s="5"/>
      <c r="N4873" s="5"/>
      <c r="O4873" s="5"/>
      <c r="P4873" s="5"/>
      <c r="Q4873" s="5"/>
      <c r="R4873" s="5"/>
      <c r="S4873" s="5"/>
      <c r="T4873" s="5"/>
      <c r="U4873" s="5"/>
      <c r="V4873" s="5"/>
      <c r="W4873" s="5"/>
      <c r="X4873" s="5"/>
      <c r="Y4873" s="5"/>
      <c r="Z4873" s="5"/>
    </row>
    <row r="4874" spans="1:26" ht="15" x14ac:dyDescent="0.25">
      <c r="A4874" s="4" t="s">
        <v>4872</v>
      </c>
      <c r="B4874" s="4" t="s">
        <v>4550</v>
      </c>
      <c r="C4874" s="2" t="str">
        <f ca="1">IFERROR(__xludf.DUMMYFUNCTION("GOOGLETRANSLATE(A4874,""bn"",""en"")"),"I used to like this picture so much that I can't even tell myself how many times I've seen it")</f>
        <v>I used to like this picture so much that I can't even tell myself how many times I've seen it</v>
      </c>
      <c r="D4874" s="5"/>
      <c r="E4874" s="5"/>
      <c r="F4874" s="5"/>
      <c r="G4874" s="5"/>
      <c r="H4874" s="5"/>
      <c r="I4874" s="5"/>
      <c r="J4874" s="5"/>
      <c r="K4874" s="5"/>
      <c r="L4874" s="5"/>
      <c r="M4874" s="5"/>
      <c r="N4874" s="5"/>
      <c r="O4874" s="5"/>
      <c r="P4874" s="5"/>
      <c r="Q4874" s="5"/>
      <c r="R4874" s="5"/>
      <c r="S4874" s="5"/>
      <c r="T4874" s="5"/>
      <c r="U4874" s="5"/>
      <c r="V4874" s="5"/>
      <c r="W4874" s="5"/>
      <c r="X4874" s="5"/>
      <c r="Y4874" s="5"/>
      <c r="Z4874" s="5"/>
    </row>
    <row r="4875" spans="1:26" ht="15" x14ac:dyDescent="0.25">
      <c r="A4875" s="4" t="s">
        <v>4873</v>
      </c>
      <c r="B4875" s="4" t="s">
        <v>4550</v>
      </c>
      <c r="C4875" s="2" t="str">
        <f ca="1">IFERROR(__xludf.DUMMYFUNCTION("GOOGLETRANSLATE(A4875,""bn"",""en"")"),"What can I say, this picture still brings tears to the eyes of many who had love for their parents")</f>
        <v>What can I say, this picture still brings tears to the eyes of many who had love for their parents</v>
      </c>
      <c r="D4875" s="5"/>
      <c r="E4875" s="5"/>
      <c r="F4875" s="5"/>
      <c r="G4875" s="5"/>
      <c r="H4875" s="5"/>
      <c r="I4875" s="5"/>
      <c r="J4875" s="5"/>
      <c r="K4875" s="5"/>
      <c r="L4875" s="5"/>
      <c r="M4875" s="5"/>
      <c r="N4875" s="5"/>
      <c r="O4875" s="5"/>
      <c r="P4875" s="5"/>
      <c r="Q4875" s="5"/>
      <c r="R4875" s="5"/>
      <c r="S4875" s="5"/>
      <c r="T4875" s="5"/>
      <c r="U4875" s="5"/>
      <c r="V4875" s="5"/>
      <c r="W4875" s="5"/>
      <c r="X4875" s="5"/>
      <c r="Y4875" s="5"/>
      <c r="Z4875" s="5"/>
    </row>
    <row r="4876" spans="1:26" ht="15" x14ac:dyDescent="0.25">
      <c r="A4876" s="4" t="s">
        <v>4874</v>
      </c>
      <c r="B4876" s="4" t="s">
        <v>4550</v>
      </c>
      <c r="C4876" s="2" t="str">
        <f ca="1">IFERROR(__xludf.DUMMYFUNCTION("GOOGLETRANSLATE(A4876,""bn"",""en"")"),"Everyone was fine but Zayed Vadaima Aichcha did fairly well in this movie anyway but no idea why the graphics were so bad.")</f>
        <v>Everyone was fine but Zayed Vadaima Aichcha did fairly well in this movie anyway but no idea why the graphics were so bad.</v>
      </c>
      <c r="D4876" s="5"/>
      <c r="E4876" s="5"/>
      <c r="F4876" s="5"/>
      <c r="G4876" s="5"/>
      <c r="H4876" s="5"/>
      <c r="I4876" s="5"/>
      <c r="J4876" s="5"/>
      <c r="K4876" s="5"/>
      <c r="L4876" s="5"/>
      <c r="M4876" s="5"/>
      <c r="N4876" s="5"/>
      <c r="O4876" s="5"/>
      <c r="P4876" s="5"/>
      <c r="Q4876" s="5"/>
      <c r="R4876" s="5"/>
      <c r="S4876" s="5"/>
      <c r="T4876" s="5"/>
      <c r="U4876" s="5"/>
      <c r="V4876" s="5"/>
      <c r="W4876" s="5"/>
      <c r="X4876" s="5"/>
      <c r="Y4876" s="5"/>
      <c r="Z4876" s="5"/>
    </row>
    <row r="4877" spans="1:26" ht="15" x14ac:dyDescent="0.25">
      <c r="A4877" s="4" t="s">
        <v>4875</v>
      </c>
      <c r="B4877" s="4" t="s">
        <v>4550</v>
      </c>
      <c r="C4877" s="2" t="str">
        <f ca="1">IFERROR(__xludf.DUMMYFUNCTION("GOOGLETRANSLATE(A4877,""bn"",""en"")"),"In a word, it was a perfect picture")</f>
        <v>In a word, it was a perfect picture</v>
      </c>
      <c r="D4877" s="5"/>
      <c r="E4877" s="5"/>
      <c r="F4877" s="5"/>
      <c r="G4877" s="5"/>
      <c r="H4877" s="5"/>
      <c r="I4877" s="5"/>
      <c r="J4877" s="5"/>
      <c r="K4877" s="5"/>
      <c r="L4877" s="5"/>
      <c r="M4877" s="5"/>
      <c r="N4877" s="5"/>
      <c r="O4877" s="5"/>
      <c r="P4877" s="5"/>
      <c r="Q4877" s="5"/>
      <c r="R4877" s="5"/>
      <c r="S4877" s="5"/>
      <c r="T4877" s="5"/>
      <c r="U4877" s="5"/>
      <c r="V4877" s="5"/>
      <c r="W4877" s="5"/>
      <c r="X4877" s="5"/>
      <c r="Y4877" s="5"/>
      <c r="Z4877" s="5"/>
    </row>
    <row r="4878" spans="1:26" ht="15" x14ac:dyDescent="0.25">
      <c r="A4878" s="4" t="s">
        <v>4876</v>
      </c>
      <c r="B4878" s="4" t="s">
        <v>4550</v>
      </c>
      <c r="C4878" s="2" t="str">
        <f ca="1">IFERROR(__xludf.DUMMYFUNCTION("GOOGLETRANSLATE(A4878,""bn"",""en"")"),"These would have been original movies, I was filled with the original culture of Bengal")</f>
        <v>These would have been original movies, I was filled with the original culture of Bengal</v>
      </c>
      <c r="D4878" s="5"/>
      <c r="E4878" s="5"/>
      <c r="F4878" s="5"/>
      <c r="G4878" s="5"/>
      <c r="H4878" s="5"/>
      <c r="I4878" s="5"/>
      <c r="J4878" s="5"/>
      <c r="K4878" s="5"/>
      <c r="L4878" s="5"/>
      <c r="M4878" s="5"/>
      <c r="N4878" s="5"/>
      <c r="O4878" s="5"/>
      <c r="P4878" s="5"/>
      <c r="Q4878" s="5"/>
      <c r="R4878" s="5"/>
      <c r="S4878" s="5"/>
      <c r="T4878" s="5"/>
      <c r="U4878" s="5"/>
      <c r="V4878" s="5"/>
      <c r="W4878" s="5"/>
      <c r="X4878" s="5"/>
      <c r="Y4878" s="5"/>
      <c r="Z4878" s="5"/>
    </row>
    <row r="4879" spans="1:26" ht="15" x14ac:dyDescent="0.25">
      <c r="A4879" s="4" t="s">
        <v>4877</v>
      </c>
      <c r="B4879" s="4" t="s">
        <v>4550</v>
      </c>
      <c r="C4879" s="2" t="str">
        <f ca="1">IFERROR(__xludf.DUMMYFUNCTION("GOOGLETRANSLATE(A4879,""bn"",""en"")"),"I did not understand the story")</f>
        <v>I did not understand the story</v>
      </c>
      <c r="D4879" s="5"/>
      <c r="E4879" s="5"/>
      <c r="F4879" s="5"/>
      <c r="G4879" s="5"/>
      <c r="H4879" s="5"/>
      <c r="I4879" s="5"/>
      <c r="J4879" s="5"/>
      <c r="K4879" s="5"/>
      <c r="L4879" s="5"/>
      <c r="M4879" s="5"/>
      <c r="N4879" s="5"/>
      <c r="O4879" s="5"/>
      <c r="P4879" s="5"/>
      <c r="Q4879" s="5"/>
      <c r="R4879" s="5"/>
      <c r="S4879" s="5"/>
      <c r="T4879" s="5"/>
      <c r="U4879" s="5"/>
      <c r="V4879" s="5"/>
      <c r="W4879" s="5"/>
      <c r="X4879" s="5"/>
      <c r="Y4879" s="5"/>
      <c r="Z4879" s="5"/>
    </row>
    <row r="4880" spans="1:26" ht="15" x14ac:dyDescent="0.25">
      <c r="A4880" s="4" t="s">
        <v>4878</v>
      </c>
      <c r="B4880" s="4" t="s">
        <v>4550</v>
      </c>
      <c r="C4880" s="2" t="str">
        <f ca="1">IFERROR(__xludf.DUMMYFUNCTION("GOOGLETRANSLATE(A4880,""bn"",""en"")"),"A lot of planning had to be done and then the movie was made")</f>
        <v>A lot of planning had to be done and then the movie was made</v>
      </c>
      <c r="D4880" s="5"/>
      <c r="E4880" s="5"/>
      <c r="F4880" s="5"/>
      <c r="G4880" s="5"/>
      <c r="H4880" s="5"/>
      <c r="I4880" s="5"/>
      <c r="J4880" s="5"/>
      <c r="K4880" s="5"/>
      <c r="L4880" s="5"/>
      <c r="M4880" s="5"/>
      <c r="N4880" s="5"/>
      <c r="O4880" s="5"/>
      <c r="P4880" s="5"/>
      <c r="Q4880" s="5"/>
      <c r="R4880" s="5"/>
      <c r="S4880" s="5"/>
      <c r="T4880" s="5"/>
      <c r="U4880" s="5"/>
      <c r="V4880" s="5"/>
      <c r="W4880" s="5"/>
      <c r="X4880" s="5"/>
      <c r="Y4880" s="5"/>
      <c r="Z4880" s="5"/>
    </row>
    <row r="4881" spans="1:26" ht="15" x14ac:dyDescent="0.25">
      <c r="A4881" s="4" t="s">
        <v>4879</v>
      </c>
      <c r="B4881" s="4" t="s">
        <v>4550</v>
      </c>
      <c r="C4881" s="2" t="str">
        <f ca="1">IFERROR(__xludf.DUMMYFUNCTION("GOOGLETRANSLATE(A4881,""bn"",""en"")"),"I did not find any similarity between the movie and the real life of the people")</f>
        <v>I did not find any similarity between the movie and the real life of the people</v>
      </c>
      <c r="D4881" s="5"/>
      <c r="E4881" s="5"/>
      <c r="F4881" s="5"/>
      <c r="G4881" s="5"/>
      <c r="H4881" s="5"/>
      <c r="I4881" s="5"/>
      <c r="J4881" s="5"/>
      <c r="K4881" s="5"/>
      <c r="L4881" s="5"/>
      <c r="M4881" s="5"/>
      <c r="N4881" s="5"/>
      <c r="O4881" s="5"/>
      <c r="P4881" s="5"/>
      <c r="Q4881" s="5"/>
      <c r="R4881" s="5"/>
      <c r="S4881" s="5"/>
      <c r="T4881" s="5"/>
      <c r="U4881" s="5"/>
      <c r="V4881" s="5"/>
      <c r="W4881" s="5"/>
      <c r="X4881" s="5"/>
      <c r="Y4881" s="5"/>
      <c r="Z4881" s="5"/>
    </row>
    <row r="4882" spans="1:26" ht="15" x14ac:dyDescent="0.25">
      <c r="A4882" s="4" t="s">
        <v>4880</v>
      </c>
      <c r="B4882" s="4" t="s">
        <v>4550</v>
      </c>
      <c r="C4882" s="2" t="str">
        <f ca="1">IFERROR(__xludf.DUMMYFUNCTION("GOOGLETRANSLATE(A4882,""bn"",""en"")"),"This is what was revealed in the original film The Fall of Pride")</f>
        <v>This is what was revealed in the original film The Fall of Pride</v>
      </c>
      <c r="D4882" s="5"/>
      <c r="E4882" s="5"/>
      <c r="F4882" s="5"/>
      <c r="G4882" s="5"/>
      <c r="H4882" s="5"/>
      <c r="I4882" s="5"/>
      <c r="J4882" s="5"/>
      <c r="K4882" s="5"/>
      <c r="L4882" s="5"/>
      <c r="M4882" s="5"/>
      <c r="N4882" s="5"/>
      <c r="O4882" s="5"/>
      <c r="P4882" s="5"/>
      <c r="Q4882" s="5"/>
      <c r="R4882" s="5"/>
      <c r="S4882" s="5"/>
      <c r="T4882" s="5"/>
      <c r="U4882" s="5"/>
      <c r="V4882" s="5"/>
      <c r="W4882" s="5"/>
      <c r="X4882" s="5"/>
      <c r="Y4882" s="5"/>
      <c r="Z4882" s="5"/>
    </row>
    <row r="4883" spans="1:26" ht="15" x14ac:dyDescent="0.25">
      <c r="A4883" s="4" t="s">
        <v>4881</v>
      </c>
      <c r="B4883" s="4" t="s">
        <v>4550</v>
      </c>
      <c r="C4883" s="2" t="str">
        <f ca="1">IFERROR(__xludf.DUMMYFUNCTION("GOOGLETRANSLATE(A4883,""bn"",""en"")"),"The directors used to make movies as per their heart and if the public said something, they would say different things")</f>
        <v>The directors used to make movies as per their heart and if the public said something, they would say different things</v>
      </c>
      <c r="D4883" s="5"/>
      <c r="E4883" s="5"/>
      <c r="F4883" s="5"/>
      <c r="G4883" s="5"/>
      <c r="H4883" s="5"/>
      <c r="I4883" s="5"/>
      <c r="J4883" s="5"/>
      <c r="K4883" s="5"/>
      <c r="L4883" s="5"/>
      <c r="M4883" s="5"/>
      <c r="N4883" s="5"/>
      <c r="O4883" s="5"/>
      <c r="P4883" s="5"/>
      <c r="Q4883" s="5"/>
      <c r="R4883" s="5"/>
      <c r="S4883" s="5"/>
      <c r="T4883" s="5"/>
      <c r="U4883" s="5"/>
      <c r="V4883" s="5"/>
      <c r="W4883" s="5"/>
      <c r="X4883" s="5"/>
      <c r="Y4883" s="5"/>
      <c r="Z4883" s="5"/>
    </row>
    <row r="4884" spans="1:26" ht="15" x14ac:dyDescent="0.25">
      <c r="A4884" s="4" t="s">
        <v>4882</v>
      </c>
      <c r="B4884" s="4" t="s">
        <v>4550</v>
      </c>
      <c r="C4884" s="2" t="str">
        <f ca="1">IFERROR(__xludf.DUMMYFUNCTION("GOOGLETRANSLATE(A4884,""bn"",""en"")"),"If the film was not moving because of the song, the story of the film would have been determined")</f>
        <v>If the film was not moving because of the song, the story of the film would have been determined</v>
      </c>
      <c r="D4884" s="5"/>
      <c r="E4884" s="5"/>
      <c r="F4884" s="5"/>
      <c r="G4884" s="5"/>
      <c r="H4884" s="5"/>
      <c r="I4884" s="5"/>
      <c r="J4884" s="5"/>
      <c r="K4884" s="5"/>
      <c r="L4884" s="5"/>
      <c r="M4884" s="5"/>
      <c r="N4884" s="5"/>
      <c r="O4884" s="5"/>
      <c r="P4884" s="5"/>
      <c r="Q4884" s="5"/>
      <c r="R4884" s="5"/>
      <c r="S4884" s="5"/>
      <c r="T4884" s="5"/>
      <c r="U4884" s="5"/>
      <c r="V4884" s="5"/>
      <c r="W4884" s="5"/>
      <c r="X4884" s="5"/>
      <c r="Y4884" s="5"/>
      <c r="Z4884" s="5"/>
    </row>
    <row r="4885" spans="1:26" ht="15" x14ac:dyDescent="0.25">
      <c r="A4885" s="4" t="s">
        <v>4883</v>
      </c>
      <c r="B4885" s="4" t="s">
        <v>4550</v>
      </c>
      <c r="C4885" s="2" t="str">
        <f ca="1">IFERROR(__xludf.DUMMYFUNCTION("GOOGLETRANSLATE(A4885,""bn"",""en"")"),"It would have been better if the boy was a little younger")</f>
        <v>It would have been better if the boy was a little younger</v>
      </c>
      <c r="D4885" s="5"/>
      <c r="E4885" s="5"/>
      <c r="F4885" s="5"/>
      <c r="G4885" s="5"/>
      <c r="H4885" s="5"/>
      <c r="I4885" s="5"/>
      <c r="J4885" s="5"/>
      <c r="K4885" s="5"/>
      <c r="L4885" s="5"/>
      <c r="M4885" s="5"/>
      <c r="N4885" s="5"/>
      <c r="O4885" s="5"/>
      <c r="P4885" s="5"/>
      <c r="Q4885" s="5"/>
      <c r="R4885" s="5"/>
      <c r="S4885" s="5"/>
      <c r="T4885" s="5"/>
      <c r="U4885" s="5"/>
      <c r="V4885" s="5"/>
      <c r="W4885" s="5"/>
      <c r="X4885" s="5"/>
      <c r="Y4885" s="5"/>
      <c r="Z4885" s="5"/>
    </row>
    <row r="4886" spans="1:26" ht="15" x14ac:dyDescent="0.25">
      <c r="A4886" s="4" t="s">
        <v>4884</v>
      </c>
      <c r="B4886" s="4" t="s">
        <v>4550</v>
      </c>
      <c r="C4886" s="2" t="str">
        <f ca="1">IFERROR(__xludf.DUMMYFUNCTION("GOOGLETRANSLATE(A4886,""bn"",""en"")"),"After the film, it was a lot of fun, I understand the sentence of pride")</f>
        <v>After the film, it was a lot of fun, I understand the sentence of pride</v>
      </c>
      <c r="D4886" s="5"/>
      <c r="E4886" s="5"/>
      <c r="F4886" s="5"/>
      <c r="G4886" s="5"/>
      <c r="H4886" s="5"/>
      <c r="I4886" s="5"/>
      <c r="J4886" s="5"/>
      <c r="K4886" s="5"/>
      <c r="L4886" s="5"/>
      <c r="M4886" s="5"/>
      <c r="N4886" s="5"/>
      <c r="O4886" s="5"/>
      <c r="P4886" s="5"/>
      <c r="Q4886" s="5"/>
      <c r="R4886" s="5"/>
      <c r="S4886" s="5"/>
      <c r="T4886" s="5"/>
      <c r="U4886" s="5"/>
      <c r="V4886" s="5"/>
      <c r="W4886" s="5"/>
      <c r="X4886" s="5"/>
      <c r="Y4886" s="5"/>
      <c r="Z4886" s="5"/>
    </row>
    <row r="4887" spans="1:26" ht="15" x14ac:dyDescent="0.25">
      <c r="A4887" s="4" t="s">
        <v>4885</v>
      </c>
      <c r="B4887" s="4" t="s">
        <v>4550</v>
      </c>
      <c r="C4887" s="2" t="str">
        <f ca="1">IFERROR(__xludf.DUMMYFUNCTION("GOOGLETRANSLATE(A4887,""bn"",""en"")"),"I really liked the picture")</f>
        <v>I really liked the picture</v>
      </c>
      <c r="D4887" s="5"/>
      <c r="E4887" s="5"/>
      <c r="F4887" s="5"/>
      <c r="G4887" s="5"/>
      <c r="H4887" s="5"/>
      <c r="I4887" s="5"/>
      <c r="J4887" s="5"/>
      <c r="K4887" s="5"/>
      <c r="L4887" s="5"/>
      <c r="M4887" s="5"/>
      <c r="N4887" s="5"/>
      <c r="O4887" s="5"/>
      <c r="P4887" s="5"/>
      <c r="Q4887" s="5"/>
      <c r="R4887" s="5"/>
      <c r="S4887" s="5"/>
      <c r="T4887" s="5"/>
      <c r="U4887" s="5"/>
      <c r="V4887" s="5"/>
      <c r="W4887" s="5"/>
      <c r="X4887" s="5"/>
      <c r="Y4887" s="5"/>
      <c r="Z4887" s="5"/>
    </row>
    <row r="4888" spans="1:26" ht="15" x14ac:dyDescent="0.25">
      <c r="A4888" s="4" t="s">
        <v>4886</v>
      </c>
      <c r="B4888" s="4" t="s">
        <v>4550</v>
      </c>
      <c r="C4888" s="2" t="str">
        <f ca="1">IFERROR(__xludf.DUMMYFUNCTION("GOOGLETRANSLATE(A4888,""bn"",""en"")"),"I watched the whole thing again for the second time")</f>
        <v>I watched the whole thing again for the second time</v>
      </c>
      <c r="D4888" s="5"/>
      <c r="E4888" s="5"/>
      <c r="F4888" s="5"/>
      <c r="G4888" s="5"/>
      <c r="H4888" s="5"/>
      <c r="I4888" s="5"/>
      <c r="J4888" s="5"/>
      <c r="K4888" s="5"/>
      <c r="L4888" s="5"/>
      <c r="M4888" s="5"/>
      <c r="N4888" s="5"/>
      <c r="O4888" s="5"/>
      <c r="P4888" s="5"/>
      <c r="Q4888" s="5"/>
      <c r="R4888" s="5"/>
      <c r="S4888" s="5"/>
      <c r="T4888" s="5"/>
      <c r="U4888" s="5"/>
      <c r="V4888" s="5"/>
      <c r="W4888" s="5"/>
      <c r="X4888" s="5"/>
      <c r="Y4888" s="5"/>
      <c r="Z4888" s="5"/>
    </row>
    <row r="4889" spans="1:26" ht="15" x14ac:dyDescent="0.25">
      <c r="A4889" s="4" t="s">
        <v>4887</v>
      </c>
      <c r="B4889" s="4" t="s">
        <v>4550</v>
      </c>
      <c r="C4889" s="2" t="str">
        <f ca="1">IFERROR(__xludf.DUMMYFUNCTION("GOOGLETRANSLATE(A4889,""bn"",""en"")"),"I was very thankful to see the Bangladeshi movie like this")</f>
        <v>I was very thankful to see the Bangladeshi movie like this</v>
      </c>
      <c r="D4889" s="5"/>
      <c r="E4889" s="5"/>
      <c r="F4889" s="5"/>
      <c r="G4889" s="5"/>
      <c r="H4889" s="5"/>
      <c r="I4889" s="5"/>
      <c r="J4889" s="5"/>
      <c r="K4889" s="5"/>
      <c r="L4889" s="5"/>
      <c r="M4889" s="5"/>
      <c r="N4889" s="5"/>
      <c r="O4889" s="5"/>
      <c r="P4889" s="5"/>
      <c r="Q4889" s="5"/>
      <c r="R4889" s="5"/>
      <c r="S4889" s="5"/>
      <c r="T4889" s="5"/>
      <c r="U4889" s="5"/>
      <c r="V4889" s="5"/>
      <c r="W4889" s="5"/>
      <c r="X4889" s="5"/>
      <c r="Y4889" s="5"/>
      <c r="Z4889" s="5"/>
    </row>
    <row r="4890" spans="1:26" ht="15" x14ac:dyDescent="0.25">
      <c r="A4890" s="4" t="s">
        <v>4888</v>
      </c>
      <c r="B4890" s="4" t="s">
        <v>4550</v>
      </c>
      <c r="C4890" s="2" t="str">
        <f ca="1">IFERROR(__xludf.DUMMYFUNCTION("GOOGLETRANSLATE(A4890,""bn"",""en"")"),"Everything was going well, then a bad chat ruined such a good career")</f>
        <v>Everything was going well, then a bad chat ruined such a good career</v>
      </c>
      <c r="D4890" s="5"/>
      <c r="E4890" s="5"/>
      <c r="F4890" s="5"/>
      <c r="G4890" s="5"/>
      <c r="H4890" s="5"/>
      <c r="I4890" s="5"/>
      <c r="J4890" s="5"/>
      <c r="K4890" s="5"/>
      <c r="L4890" s="5"/>
      <c r="M4890" s="5"/>
      <c r="N4890" s="5"/>
      <c r="O4890" s="5"/>
      <c r="P4890" s="5"/>
      <c r="Q4890" s="5"/>
      <c r="R4890" s="5"/>
      <c r="S4890" s="5"/>
      <c r="T4890" s="5"/>
      <c r="U4890" s="5"/>
      <c r="V4890" s="5"/>
      <c r="W4890" s="5"/>
      <c r="X4890" s="5"/>
      <c r="Y4890" s="5"/>
      <c r="Z4890" s="5"/>
    </row>
    <row r="4891" spans="1:26" ht="15" x14ac:dyDescent="0.25">
      <c r="A4891" s="4" t="s">
        <v>4889</v>
      </c>
      <c r="B4891" s="4" t="s">
        <v>4550</v>
      </c>
      <c r="C4891" s="2" t="str">
        <f ca="1">IFERROR(__xludf.DUMMYFUNCTION("GOOGLETRANSLATE(A4891,""bn"",""en"")"),"I had seen this movie before but I watched it again")</f>
        <v>I had seen this movie before but I watched it again</v>
      </c>
      <c r="D4891" s="5"/>
      <c r="E4891" s="5"/>
      <c r="F4891" s="5"/>
      <c r="G4891" s="5"/>
      <c r="H4891" s="5"/>
      <c r="I4891" s="5"/>
      <c r="J4891" s="5"/>
      <c r="K4891" s="5"/>
      <c r="L4891" s="5"/>
      <c r="M4891" s="5"/>
      <c r="N4891" s="5"/>
      <c r="O4891" s="5"/>
      <c r="P4891" s="5"/>
      <c r="Q4891" s="5"/>
      <c r="R4891" s="5"/>
      <c r="S4891" s="5"/>
      <c r="T4891" s="5"/>
      <c r="U4891" s="5"/>
      <c r="V4891" s="5"/>
      <c r="W4891" s="5"/>
      <c r="X4891" s="5"/>
      <c r="Y4891" s="5"/>
      <c r="Z4891" s="5"/>
    </row>
    <row r="4892" spans="1:26" ht="15" x14ac:dyDescent="0.25">
      <c r="A4892" s="4" t="s">
        <v>4890</v>
      </c>
      <c r="B4892" s="4" t="s">
        <v>4550</v>
      </c>
      <c r="C4892" s="2" t="str">
        <f ca="1">IFERROR(__xludf.DUMMYFUNCTION("GOOGLETRANSLATE(A4892,""bn"",""en"")"),"I watched the movie after many days and I really liked it. The movie deserves appreciation")</f>
        <v>I watched the movie after many days and I really liked it. The movie deserves appreciation</v>
      </c>
      <c r="D4892" s="5"/>
      <c r="E4892" s="5"/>
      <c r="F4892" s="5"/>
      <c r="G4892" s="5"/>
      <c r="H4892" s="5"/>
      <c r="I4892" s="5"/>
      <c r="J4892" s="5"/>
      <c r="K4892" s="5"/>
      <c r="L4892" s="5"/>
      <c r="M4892" s="5"/>
      <c r="N4892" s="5"/>
      <c r="O4892" s="5"/>
      <c r="P4892" s="5"/>
      <c r="Q4892" s="5"/>
      <c r="R4892" s="5"/>
      <c r="S4892" s="5"/>
      <c r="T4892" s="5"/>
      <c r="U4892" s="5"/>
      <c r="V4892" s="5"/>
      <c r="W4892" s="5"/>
      <c r="X4892" s="5"/>
      <c r="Y4892" s="5"/>
      <c r="Z4892" s="5"/>
    </row>
    <row r="4893" spans="1:26" ht="15" x14ac:dyDescent="0.25">
      <c r="A4893" s="4" t="s">
        <v>4891</v>
      </c>
      <c r="B4893" s="4" t="s">
        <v>4550</v>
      </c>
      <c r="C4893" s="2" t="str">
        <f ca="1">IFERROR(__xludf.DUMMYFUNCTION("GOOGLETRANSLATE(A4893,""bn"",""en"")"),"It was a very beautiful picture. After a long time, I saw such a heartwarming movie")</f>
        <v>It was a very beautiful picture. After a long time, I saw such a heartwarming movie</v>
      </c>
      <c r="D4893" s="5"/>
      <c r="E4893" s="5"/>
      <c r="F4893" s="5"/>
      <c r="G4893" s="5"/>
      <c r="H4893" s="5"/>
      <c r="I4893" s="5"/>
      <c r="J4893" s="5"/>
      <c r="K4893" s="5"/>
      <c r="L4893" s="5"/>
      <c r="M4893" s="5"/>
      <c r="N4893" s="5"/>
      <c r="O4893" s="5"/>
      <c r="P4893" s="5"/>
      <c r="Q4893" s="5"/>
      <c r="R4893" s="5"/>
      <c r="S4893" s="5"/>
      <c r="T4893" s="5"/>
      <c r="U4893" s="5"/>
      <c r="V4893" s="5"/>
      <c r="W4893" s="5"/>
      <c r="X4893" s="5"/>
      <c r="Y4893" s="5"/>
      <c r="Z4893" s="5"/>
    </row>
    <row r="4894" spans="1:26" ht="15" x14ac:dyDescent="0.25">
      <c r="A4894" s="4" t="s">
        <v>4892</v>
      </c>
      <c r="B4894" s="4" t="s">
        <v>4550</v>
      </c>
      <c r="C4894" s="2" t="str">
        <f ca="1">IFERROR(__xludf.DUMMYFUNCTION("GOOGLETRANSLATE(A4894,""bn"",""en"")"),"It was not clear what he meant by the main theme of the movie")</f>
        <v>It was not clear what he meant by the main theme of the movie</v>
      </c>
      <c r="D4894" s="5"/>
      <c r="E4894" s="5"/>
      <c r="F4894" s="5"/>
      <c r="G4894" s="5"/>
      <c r="H4894" s="5"/>
      <c r="I4894" s="5"/>
      <c r="J4894" s="5"/>
      <c r="K4894" s="5"/>
      <c r="L4894" s="5"/>
      <c r="M4894" s="5"/>
      <c r="N4894" s="5"/>
      <c r="O4894" s="5"/>
      <c r="P4894" s="5"/>
      <c r="Q4894" s="5"/>
      <c r="R4894" s="5"/>
      <c r="S4894" s="5"/>
      <c r="T4894" s="5"/>
      <c r="U4894" s="5"/>
      <c r="V4894" s="5"/>
      <c r="W4894" s="5"/>
      <c r="X4894" s="5"/>
      <c r="Y4894" s="5"/>
      <c r="Z4894" s="5"/>
    </row>
    <row r="4895" spans="1:26" ht="15" x14ac:dyDescent="0.25">
      <c r="A4895" s="4" t="s">
        <v>4893</v>
      </c>
      <c r="B4895" s="4" t="s">
        <v>4550</v>
      </c>
      <c r="C4895" s="2" t="str">
        <f ca="1">IFERROR(__xludf.DUMMYFUNCTION("GOOGLETRANSLATE(A4895,""bn"",""en"")"),"No one can do village bangla movie like Mousumi Khairon Sundari was very good movie")</f>
        <v>No one can do village bangla movie like Mousumi Khairon Sundari was very good movie</v>
      </c>
      <c r="D4895" s="5"/>
      <c r="E4895" s="5"/>
      <c r="F4895" s="5"/>
      <c r="G4895" s="5"/>
      <c r="H4895" s="5"/>
      <c r="I4895" s="5"/>
      <c r="J4895" s="5"/>
      <c r="K4895" s="5"/>
      <c r="L4895" s="5"/>
      <c r="M4895" s="5"/>
      <c r="N4895" s="5"/>
      <c r="O4895" s="5"/>
      <c r="P4895" s="5"/>
      <c r="Q4895" s="5"/>
      <c r="R4895" s="5"/>
      <c r="S4895" s="5"/>
      <c r="T4895" s="5"/>
      <c r="U4895" s="5"/>
      <c r="V4895" s="5"/>
      <c r="W4895" s="5"/>
      <c r="X4895" s="5"/>
      <c r="Y4895" s="5"/>
      <c r="Z4895" s="5"/>
    </row>
    <row r="4896" spans="1:26" ht="15" x14ac:dyDescent="0.25">
      <c r="A4896" s="4" t="s">
        <v>4894</v>
      </c>
      <c r="B4896" s="4" t="s">
        <v>4550</v>
      </c>
      <c r="C4896" s="2" t="str">
        <f ca="1">IFERROR(__xludf.DUMMYFUNCTION("GOOGLETRANSLATE(A4896,""bn"",""en"")"),"I could not find any story in this film Dev Dar")</f>
        <v>I could not find any story in this film Dev Dar</v>
      </c>
      <c r="D4896" s="5"/>
      <c r="E4896" s="5"/>
      <c r="F4896" s="5"/>
      <c r="G4896" s="5"/>
      <c r="H4896" s="5"/>
      <c r="I4896" s="5"/>
      <c r="J4896" s="5"/>
      <c r="K4896" s="5"/>
      <c r="L4896" s="5"/>
      <c r="M4896" s="5"/>
      <c r="N4896" s="5"/>
      <c r="O4896" s="5"/>
      <c r="P4896" s="5"/>
      <c r="Q4896" s="5"/>
      <c r="R4896" s="5"/>
      <c r="S4896" s="5"/>
      <c r="T4896" s="5"/>
      <c r="U4896" s="5"/>
      <c r="V4896" s="5"/>
      <c r="W4896" s="5"/>
      <c r="X4896" s="5"/>
      <c r="Y4896" s="5"/>
      <c r="Z4896" s="5"/>
    </row>
    <row r="4897" spans="1:26" ht="15" x14ac:dyDescent="0.25">
      <c r="A4897" s="4" t="s">
        <v>4895</v>
      </c>
      <c r="B4897" s="4" t="s">
        <v>4550</v>
      </c>
      <c r="C4897" s="2" t="str">
        <f ca="1">IFERROR(__xludf.DUMMYFUNCTION("GOOGLETRANSLATE(A4897,""bn"",""en"")"),"The first part tried to put together a laugh and nothing came out and most of it was absurd and weak.")</f>
        <v>The first part tried to put together a laugh and nothing came out and most of it was absurd and weak.</v>
      </c>
      <c r="D4897" s="5"/>
      <c r="E4897" s="5"/>
      <c r="F4897" s="5"/>
      <c r="G4897" s="5"/>
      <c r="H4897" s="5"/>
      <c r="I4897" s="5"/>
      <c r="J4897" s="5"/>
      <c r="K4897" s="5"/>
      <c r="L4897" s="5"/>
      <c r="M4897" s="5"/>
      <c r="N4897" s="5"/>
      <c r="O4897" s="5"/>
      <c r="P4897" s="5"/>
      <c r="Q4897" s="5"/>
      <c r="R4897" s="5"/>
      <c r="S4897" s="5"/>
      <c r="T4897" s="5"/>
      <c r="U4897" s="5"/>
      <c r="V4897" s="5"/>
      <c r="W4897" s="5"/>
      <c r="X4897" s="5"/>
      <c r="Y4897" s="5"/>
      <c r="Z4897" s="5"/>
    </row>
    <row r="4898" spans="1:26" ht="15" x14ac:dyDescent="0.25">
      <c r="A4898" s="4" t="s">
        <v>4896</v>
      </c>
      <c r="B4898" s="4" t="s">
        <v>4550</v>
      </c>
      <c r="C4898" s="2" t="str">
        <f ca="1">IFERROR(__xludf.DUMMYFUNCTION("GOOGLETRANSLATE(A4898,""bn"",""en"")"),"The acting was not good at all")</f>
        <v>The acting was not good at all</v>
      </c>
      <c r="D4898" s="5"/>
      <c r="E4898" s="5"/>
      <c r="F4898" s="5"/>
      <c r="G4898" s="5"/>
      <c r="H4898" s="5"/>
      <c r="I4898" s="5"/>
      <c r="J4898" s="5"/>
      <c r="K4898" s="5"/>
      <c r="L4898" s="5"/>
      <c r="M4898" s="5"/>
      <c r="N4898" s="5"/>
      <c r="O4898" s="5"/>
      <c r="P4898" s="5"/>
      <c r="Q4898" s="5"/>
      <c r="R4898" s="5"/>
      <c r="S4898" s="5"/>
      <c r="T4898" s="5"/>
      <c r="U4898" s="5"/>
      <c r="V4898" s="5"/>
      <c r="W4898" s="5"/>
      <c r="X4898" s="5"/>
      <c r="Y4898" s="5"/>
      <c r="Z4898" s="5"/>
    </row>
    <row r="4899" spans="1:26" ht="15" x14ac:dyDescent="0.25">
      <c r="A4899" s="4" t="s">
        <v>4897</v>
      </c>
      <c r="B4899" s="4" t="s">
        <v>4550</v>
      </c>
      <c r="C4899" s="2" t="str">
        <f ca="1">IFERROR(__xludf.DUMMYFUNCTION("GOOGLETRANSLATE(A4899,""bn"",""en"")"),"In many places Low was acted")</f>
        <v>In many places Low was acted</v>
      </c>
      <c r="D4899" s="5"/>
      <c r="E4899" s="5"/>
      <c r="F4899" s="5"/>
      <c r="G4899" s="5"/>
      <c r="H4899" s="5"/>
      <c r="I4899" s="5"/>
      <c r="J4899" s="5"/>
      <c r="K4899" s="5"/>
      <c r="L4899" s="5"/>
      <c r="M4899" s="5"/>
      <c r="N4899" s="5"/>
      <c r="O4899" s="5"/>
      <c r="P4899" s="5"/>
      <c r="Q4899" s="5"/>
      <c r="R4899" s="5"/>
      <c r="S4899" s="5"/>
      <c r="T4899" s="5"/>
      <c r="U4899" s="5"/>
      <c r="V4899" s="5"/>
      <c r="W4899" s="5"/>
      <c r="X4899" s="5"/>
      <c r="Y4899" s="5"/>
      <c r="Z4899" s="5"/>
    </row>
    <row r="4900" spans="1:26" ht="15" x14ac:dyDescent="0.25">
      <c r="A4900" s="4" t="s">
        <v>4898</v>
      </c>
      <c r="B4900" s="4" t="s">
        <v>4550</v>
      </c>
      <c r="C4900" s="2" t="str">
        <f ca="1">IFERROR(__xludf.DUMMYFUNCTION("GOOGLETRANSLATE(A4900,""bn"",""en"")"),"I did not understand how he died")</f>
        <v>I did not understand how he died</v>
      </c>
      <c r="D4900" s="5"/>
      <c r="E4900" s="5"/>
      <c r="F4900" s="5"/>
      <c r="G4900" s="5"/>
      <c r="H4900" s="5"/>
      <c r="I4900" s="5"/>
      <c r="J4900" s="5"/>
      <c r="K4900" s="5"/>
      <c r="L4900" s="5"/>
      <c r="M4900" s="5"/>
      <c r="N4900" s="5"/>
      <c r="O4900" s="5"/>
      <c r="P4900" s="5"/>
      <c r="Q4900" s="5"/>
      <c r="R4900" s="5"/>
      <c r="S4900" s="5"/>
      <c r="T4900" s="5"/>
      <c r="U4900" s="5"/>
      <c r="V4900" s="5"/>
      <c r="W4900" s="5"/>
      <c r="X4900" s="5"/>
      <c r="Y4900" s="5"/>
      <c r="Z4900" s="5"/>
    </row>
    <row r="4901" spans="1:26" ht="15" x14ac:dyDescent="0.25">
      <c r="A4901" s="4" t="s">
        <v>4899</v>
      </c>
      <c r="B4901" s="4" t="s">
        <v>4550</v>
      </c>
      <c r="C4901" s="2" t="str">
        <f ca="1">IFERROR(__xludf.DUMMYFUNCTION("GOOGLETRANSLATE(A4901,""bn"",""en"")"),"The story was great, Vidyavalan means the movie was great")</f>
        <v>The story was great, Vidyavalan means the movie was great</v>
      </c>
      <c r="D4901" s="5"/>
      <c r="E4901" s="5"/>
      <c r="F4901" s="5"/>
      <c r="G4901" s="5"/>
      <c r="H4901" s="5"/>
      <c r="I4901" s="5"/>
      <c r="J4901" s="5"/>
      <c r="K4901" s="5"/>
      <c r="L4901" s="5"/>
      <c r="M4901" s="5"/>
      <c r="N4901" s="5"/>
      <c r="O4901" s="5"/>
      <c r="P4901" s="5"/>
      <c r="Q4901" s="5"/>
      <c r="R4901" s="5"/>
      <c r="S4901" s="5"/>
      <c r="T4901" s="5"/>
      <c r="U4901" s="5"/>
      <c r="V4901" s="5"/>
      <c r="W4901" s="5"/>
      <c r="X4901" s="5"/>
      <c r="Y4901" s="5"/>
      <c r="Z4901" s="5"/>
    </row>
    <row r="4902" spans="1:26" ht="15" x14ac:dyDescent="0.25">
      <c r="A4902" s="4" t="s">
        <v>4900</v>
      </c>
      <c r="B4902" s="4" t="s">
        <v>4550</v>
      </c>
      <c r="C4902" s="2" t="str">
        <f ca="1">IFERROR(__xludf.DUMMYFUNCTION("GOOGLETRANSLATE(A4902,""bn"",""en"")"),"This movie location video was all good but the story was very weak")</f>
        <v>This movie location video was all good but the story was very weak</v>
      </c>
      <c r="D4902" s="5"/>
      <c r="E4902" s="5"/>
      <c r="F4902" s="5"/>
      <c r="G4902" s="5"/>
      <c r="H4902" s="5"/>
      <c r="I4902" s="5"/>
      <c r="J4902" s="5"/>
      <c r="K4902" s="5"/>
      <c r="L4902" s="5"/>
      <c r="M4902" s="5"/>
      <c r="N4902" s="5"/>
      <c r="O4902" s="5"/>
      <c r="P4902" s="5"/>
      <c r="Q4902" s="5"/>
      <c r="R4902" s="5"/>
      <c r="S4902" s="5"/>
      <c r="T4902" s="5"/>
      <c r="U4902" s="5"/>
      <c r="V4902" s="5"/>
      <c r="W4902" s="5"/>
      <c r="X4902" s="5"/>
      <c r="Y4902" s="5"/>
      <c r="Z4902" s="5"/>
    </row>
    <row r="4903" spans="1:26" ht="15" x14ac:dyDescent="0.25">
      <c r="A4903" s="4" t="s">
        <v>4901</v>
      </c>
      <c r="B4903" s="4" t="s">
        <v>4550</v>
      </c>
      <c r="C4903" s="2" t="str">
        <f ca="1">IFERROR(__xludf.DUMMYFUNCTION("GOOGLETRANSLATE(A4903,""bn"",""en"")"),"I wanted more actors like this, so they disappeared from the country")</f>
        <v>I wanted more actors like this, so they disappeared from the country</v>
      </c>
      <c r="D4903" s="5"/>
      <c r="E4903" s="5"/>
      <c r="F4903" s="5"/>
      <c r="G4903" s="5"/>
      <c r="H4903" s="5"/>
      <c r="I4903" s="5"/>
      <c r="J4903" s="5"/>
      <c r="K4903" s="5"/>
      <c r="L4903" s="5"/>
      <c r="M4903" s="5"/>
      <c r="N4903" s="5"/>
      <c r="O4903" s="5"/>
      <c r="P4903" s="5"/>
      <c r="Q4903" s="5"/>
      <c r="R4903" s="5"/>
      <c r="S4903" s="5"/>
      <c r="T4903" s="5"/>
      <c r="U4903" s="5"/>
      <c r="V4903" s="5"/>
      <c r="W4903" s="5"/>
      <c r="X4903" s="5"/>
      <c r="Y4903" s="5"/>
      <c r="Z4903" s="5"/>
    </row>
    <row r="4904" spans="1:26" ht="15" x14ac:dyDescent="0.25">
      <c r="A4904" s="4" t="s">
        <v>4902</v>
      </c>
      <c r="B4904" s="4" t="s">
        <v>4550</v>
      </c>
      <c r="C4904" s="2" t="str">
        <f ca="1">IFERROR(__xludf.DUMMYFUNCTION("GOOGLETRANSLATE(A4904,""bn"",""en"")"),"It was really funny")</f>
        <v>It was really funny</v>
      </c>
      <c r="D4904" s="5"/>
      <c r="E4904" s="5"/>
      <c r="F4904" s="5"/>
      <c r="G4904" s="5"/>
      <c r="H4904" s="5"/>
      <c r="I4904" s="5"/>
      <c r="J4904" s="5"/>
      <c r="K4904" s="5"/>
      <c r="L4904" s="5"/>
      <c r="M4904" s="5"/>
      <c r="N4904" s="5"/>
      <c r="O4904" s="5"/>
      <c r="P4904" s="5"/>
      <c r="Q4904" s="5"/>
      <c r="R4904" s="5"/>
      <c r="S4904" s="5"/>
      <c r="T4904" s="5"/>
      <c r="U4904" s="5"/>
      <c r="V4904" s="5"/>
      <c r="W4904" s="5"/>
      <c r="X4904" s="5"/>
      <c r="Y4904" s="5"/>
      <c r="Z4904" s="5"/>
    </row>
    <row r="4905" spans="1:26" ht="15" x14ac:dyDescent="0.25">
      <c r="A4905" s="4" t="s">
        <v>4903</v>
      </c>
      <c r="B4905" s="4" t="s">
        <v>4550</v>
      </c>
      <c r="C4905" s="2" t="str">
        <f ca="1">IFERROR(__xludf.DUMMYFUNCTION("GOOGLETRANSLATE(A4905,""bn"",""en"")"),"Why would people spend money to see such a bad movie?")</f>
        <v>Why would people spend money to see such a bad movie?</v>
      </c>
      <c r="D4905" s="5"/>
      <c r="E4905" s="5"/>
      <c r="F4905" s="5"/>
      <c r="G4905" s="5"/>
      <c r="H4905" s="5"/>
      <c r="I4905" s="5"/>
      <c r="J4905" s="5"/>
      <c r="K4905" s="5"/>
      <c r="L4905" s="5"/>
      <c r="M4905" s="5"/>
      <c r="N4905" s="5"/>
      <c r="O4905" s="5"/>
      <c r="P4905" s="5"/>
      <c r="Q4905" s="5"/>
      <c r="R4905" s="5"/>
      <c r="S4905" s="5"/>
      <c r="T4905" s="5"/>
      <c r="U4905" s="5"/>
      <c r="V4905" s="5"/>
      <c r="W4905" s="5"/>
      <c r="X4905" s="5"/>
      <c r="Y4905" s="5"/>
      <c r="Z4905" s="5"/>
    </row>
    <row r="4906" spans="1:26" ht="15" x14ac:dyDescent="0.25">
      <c r="A4906" s="4" t="s">
        <v>4904</v>
      </c>
      <c r="B4906" s="4" t="s">
        <v>4550</v>
      </c>
      <c r="C4906" s="2" t="str">
        <f ca="1">IFERROR(__xludf.DUMMYFUNCTION("GOOGLETRANSLATE(A4906,""bn"",""en"")"),"I was a Bangladeshi but the movie was amazing")</f>
        <v>I was a Bangladeshi but the movie was amazing</v>
      </c>
      <c r="D4906" s="5"/>
      <c r="E4906" s="5"/>
      <c r="F4906" s="5"/>
      <c r="G4906" s="5"/>
      <c r="H4906" s="5"/>
      <c r="I4906" s="5"/>
      <c r="J4906" s="5"/>
      <c r="K4906" s="5"/>
      <c r="L4906" s="5"/>
      <c r="M4906" s="5"/>
      <c r="N4906" s="5"/>
      <c r="O4906" s="5"/>
      <c r="P4906" s="5"/>
      <c r="Q4906" s="5"/>
      <c r="R4906" s="5"/>
      <c r="S4906" s="5"/>
      <c r="T4906" s="5"/>
      <c r="U4906" s="5"/>
      <c r="V4906" s="5"/>
      <c r="W4906" s="5"/>
      <c r="X4906" s="5"/>
      <c r="Y4906" s="5"/>
      <c r="Z4906" s="5"/>
    </row>
    <row r="4907" spans="1:26" ht="15" x14ac:dyDescent="0.25">
      <c r="A4907" s="4" t="s">
        <v>4905</v>
      </c>
      <c r="B4907" s="4" t="s">
        <v>4550</v>
      </c>
      <c r="C4907" s="2" t="str">
        <f ca="1">IFERROR(__xludf.DUMMYFUNCTION("GOOGLETRANSLATE(A4907,""bn"",""en"")"),"The picture was very beautiful")</f>
        <v>The picture was very beautiful</v>
      </c>
      <c r="D4907" s="5"/>
      <c r="E4907" s="5"/>
      <c r="F4907" s="5"/>
      <c r="G4907" s="5"/>
      <c r="H4907" s="5"/>
      <c r="I4907" s="5"/>
      <c r="J4907" s="5"/>
      <c r="K4907" s="5"/>
      <c r="L4907" s="5"/>
      <c r="M4907" s="5"/>
      <c r="N4907" s="5"/>
      <c r="O4907" s="5"/>
      <c r="P4907" s="5"/>
      <c r="Q4907" s="5"/>
      <c r="R4907" s="5"/>
      <c r="S4907" s="5"/>
      <c r="T4907" s="5"/>
      <c r="U4907" s="5"/>
      <c r="V4907" s="5"/>
      <c r="W4907" s="5"/>
      <c r="X4907" s="5"/>
      <c r="Y4907" s="5"/>
      <c r="Z4907" s="5"/>
    </row>
    <row r="4908" spans="1:26" ht="15" x14ac:dyDescent="0.25">
      <c r="A4908" s="4" t="s">
        <v>4906</v>
      </c>
      <c r="B4908" s="4" t="s">
        <v>4550</v>
      </c>
      <c r="C4908" s="2" t="str">
        <f ca="1">IFERROR(__xludf.DUMMYFUNCTION("GOOGLETRANSLATE(A4908,""bn"",""en"")"),"These movies destroyed cinema")</f>
        <v>These movies destroyed cinema</v>
      </c>
      <c r="D4908" s="5"/>
      <c r="E4908" s="5"/>
      <c r="F4908" s="5"/>
      <c r="G4908" s="5"/>
      <c r="H4908" s="5"/>
      <c r="I4908" s="5"/>
      <c r="J4908" s="5"/>
      <c r="K4908" s="5"/>
      <c r="L4908" s="5"/>
      <c r="M4908" s="5"/>
      <c r="N4908" s="5"/>
      <c r="O4908" s="5"/>
      <c r="P4908" s="5"/>
      <c r="Q4908" s="5"/>
      <c r="R4908" s="5"/>
      <c r="S4908" s="5"/>
      <c r="T4908" s="5"/>
      <c r="U4908" s="5"/>
      <c r="V4908" s="5"/>
      <c r="W4908" s="5"/>
      <c r="X4908" s="5"/>
      <c r="Y4908" s="5"/>
      <c r="Z4908" s="5"/>
    </row>
    <row r="4909" spans="1:26" ht="15" x14ac:dyDescent="0.25">
      <c r="A4909" s="4" t="s">
        <v>4907</v>
      </c>
      <c r="B4909" s="4" t="s">
        <v>4550</v>
      </c>
      <c r="C4909" s="2" t="str">
        <f ca="1">IFERROR(__xludf.DUMMYFUNCTION("GOOGLETRANSLATE(A4909,""bn"",""en"")"),"This picture would have lived for thousands of years")</f>
        <v>This picture would have lived for thousands of years</v>
      </c>
      <c r="D4909" s="5"/>
      <c r="E4909" s="5"/>
      <c r="F4909" s="5"/>
      <c r="G4909" s="5"/>
      <c r="H4909" s="5"/>
      <c r="I4909" s="5"/>
      <c r="J4909" s="5"/>
      <c r="K4909" s="5"/>
      <c r="L4909" s="5"/>
      <c r="M4909" s="5"/>
      <c r="N4909" s="5"/>
      <c r="O4909" s="5"/>
      <c r="P4909" s="5"/>
      <c r="Q4909" s="5"/>
      <c r="R4909" s="5"/>
      <c r="S4909" s="5"/>
      <c r="T4909" s="5"/>
      <c r="U4909" s="5"/>
      <c r="V4909" s="5"/>
      <c r="W4909" s="5"/>
      <c r="X4909" s="5"/>
      <c r="Y4909" s="5"/>
      <c r="Z4909" s="5"/>
    </row>
    <row r="4910" spans="1:26" ht="15" x14ac:dyDescent="0.25">
      <c r="A4910" s="4" t="s">
        <v>4908</v>
      </c>
      <c r="B4910" s="4" t="s">
        <v>4550</v>
      </c>
      <c r="C4910" s="2" t="str">
        <f ca="1">IFERROR(__xludf.DUMMYFUNCTION("GOOGLETRANSLATE(A4910,""bn"",""en"")"),"What was the movie bro, the explanation was great")</f>
        <v>What was the movie bro, the explanation was great</v>
      </c>
      <c r="D4910" s="5"/>
      <c r="E4910" s="5"/>
      <c r="F4910" s="5"/>
      <c r="G4910" s="5"/>
      <c r="H4910" s="5"/>
      <c r="I4910" s="5"/>
      <c r="J4910" s="5"/>
      <c r="K4910" s="5"/>
      <c r="L4910" s="5"/>
      <c r="M4910" s="5"/>
      <c r="N4910" s="5"/>
      <c r="O4910" s="5"/>
      <c r="P4910" s="5"/>
      <c r="Q4910" s="5"/>
      <c r="R4910" s="5"/>
      <c r="S4910" s="5"/>
      <c r="T4910" s="5"/>
      <c r="U4910" s="5"/>
      <c r="V4910" s="5"/>
      <c r="W4910" s="5"/>
      <c r="X4910" s="5"/>
      <c r="Y4910" s="5"/>
      <c r="Z4910" s="5"/>
    </row>
    <row r="4911" spans="1:26" ht="15" x14ac:dyDescent="0.25">
      <c r="A4911" s="4" t="s">
        <v>4909</v>
      </c>
      <c r="B4911" s="4" t="s">
        <v>4550</v>
      </c>
      <c r="C4911" s="2" t="str">
        <f ca="1">IFERROR(__xludf.DUMMYFUNCTION("GOOGLETRANSLATE(A4911,""bn"",""en"")"),"The picture was really amazing")</f>
        <v>The picture was really amazing</v>
      </c>
      <c r="D4911" s="5"/>
      <c r="E4911" s="5"/>
      <c r="F4911" s="5"/>
      <c r="G4911" s="5"/>
      <c r="H4911" s="5"/>
      <c r="I4911" s="5"/>
      <c r="J4911" s="5"/>
      <c r="K4911" s="5"/>
      <c r="L4911" s="5"/>
      <c r="M4911" s="5"/>
      <c r="N4911" s="5"/>
      <c r="O4911" s="5"/>
      <c r="P4911" s="5"/>
      <c r="Q4911" s="5"/>
      <c r="R4911" s="5"/>
      <c r="S4911" s="5"/>
      <c r="T4911" s="5"/>
      <c r="U4911" s="5"/>
      <c r="V4911" s="5"/>
      <c r="W4911" s="5"/>
      <c r="X4911" s="5"/>
      <c r="Y4911" s="5"/>
      <c r="Z4911" s="5"/>
    </row>
    <row r="4912" spans="1:26" ht="15" x14ac:dyDescent="0.25">
      <c r="A4912" s="4" t="s">
        <v>4910</v>
      </c>
      <c r="B4912" s="4" t="s">
        <v>4550</v>
      </c>
      <c r="C4912" s="2" t="str">
        <f ca="1">IFERROR(__xludf.DUMMYFUNCTION("GOOGLETRANSLATE(A4912,""bn"",""en"")"),"Like the movie, the songs were all at once amazing")</f>
        <v>Like the movie, the songs were all at once amazing</v>
      </c>
      <c r="D4912" s="5"/>
      <c r="E4912" s="5"/>
      <c r="F4912" s="5"/>
      <c r="G4912" s="5"/>
      <c r="H4912" s="5"/>
      <c r="I4912" s="5"/>
      <c r="J4912" s="5"/>
      <c r="K4912" s="5"/>
      <c r="L4912" s="5"/>
      <c r="M4912" s="5"/>
      <c r="N4912" s="5"/>
      <c r="O4912" s="5"/>
      <c r="P4912" s="5"/>
      <c r="Q4912" s="5"/>
      <c r="R4912" s="5"/>
      <c r="S4912" s="5"/>
      <c r="T4912" s="5"/>
      <c r="U4912" s="5"/>
      <c r="V4912" s="5"/>
      <c r="W4912" s="5"/>
      <c r="X4912" s="5"/>
      <c r="Y4912" s="5"/>
      <c r="Z4912" s="5"/>
    </row>
    <row r="4913" spans="1:26" ht="15" x14ac:dyDescent="0.25">
      <c r="A4913" s="4" t="s">
        <v>4911</v>
      </c>
      <c r="B4913" s="4" t="s">
        <v>4550</v>
      </c>
      <c r="C4913" s="2" t="str">
        <f ca="1">IFERROR(__xludf.DUMMYFUNCTION("GOOGLETRANSLATE(A4913,""bn"",""en"")"),"I saw the film when I was young and after two years I was able to see it again and it was very nice")</f>
        <v>I saw the film when I was young and after two years I was able to see it again and it was very nice</v>
      </c>
      <c r="D4913" s="5"/>
      <c r="E4913" s="5"/>
      <c r="F4913" s="5"/>
      <c r="G4913" s="5"/>
      <c r="H4913" s="5"/>
      <c r="I4913" s="5"/>
      <c r="J4913" s="5"/>
      <c r="K4913" s="5"/>
      <c r="L4913" s="5"/>
      <c r="M4913" s="5"/>
      <c r="N4913" s="5"/>
      <c r="O4913" s="5"/>
      <c r="P4913" s="5"/>
      <c r="Q4913" s="5"/>
      <c r="R4913" s="5"/>
      <c r="S4913" s="5"/>
      <c r="T4913" s="5"/>
      <c r="U4913" s="5"/>
      <c r="V4913" s="5"/>
      <c r="W4913" s="5"/>
      <c r="X4913" s="5"/>
      <c r="Y4913" s="5"/>
      <c r="Z4913" s="5"/>
    </row>
    <row r="4914" spans="1:26" ht="15" x14ac:dyDescent="0.25">
      <c r="A4914" s="4" t="s">
        <v>4912</v>
      </c>
      <c r="B4914" s="4" t="s">
        <v>4550</v>
      </c>
      <c r="C4914" s="2" t="str">
        <f ca="1">IFERROR(__xludf.DUMMYFUNCTION("GOOGLETRANSLATE(A4914,""bn"",""en"")"),"Not once did Cifra feel like a robot to me")</f>
        <v>Not once did Cifra feel like a robot to me</v>
      </c>
      <c r="D4914" s="5"/>
      <c r="E4914" s="5"/>
      <c r="F4914" s="5"/>
      <c r="G4914" s="5"/>
      <c r="H4914" s="5"/>
      <c r="I4914" s="5"/>
      <c r="J4914" s="5"/>
      <c r="K4914" s="5"/>
      <c r="L4914" s="5"/>
      <c r="M4914" s="5"/>
      <c r="N4914" s="5"/>
      <c r="O4914" s="5"/>
      <c r="P4914" s="5"/>
      <c r="Q4914" s="5"/>
      <c r="R4914" s="5"/>
      <c r="S4914" s="5"/>
      <c r="T4914" s="5"/>
      <c r="U4914" s="5"/>
      <c r="V4914" s="5"/>
      <c r="W4914" s="5"/>
      <c r="X4914" s="5"/>
      <c r="Y4914" s="5"/>
      <c r="Z4914" s="5"/>
    </row>
    <row r="4915" spans="1:26" ht="15" x14ac:dyDescent="0.25">
      <c r="A4915" s="4" t="s">
        <v>4913</v>
      </c>
      <c r="B4915" s="4" t="s">
        <v>4550</v>
      </c>
      <c r="C4915" s="2" t="str">
        <f ca="1">IFERROR(__xludf.DUMMYFUNCTION("GOOGLETRANSLATE(A4915,""bn"",""en"")"),"I was watching the movie today, I saw it again, it was very good")</f>
        <v>I was watching the movie today, I saw it again, it was very good</v>
      </c>
      <c r="D4915" s="5"/>
      <c r="E4915" s="5"/>
      <c r="F4915" s="5"/>
      <c r="G4915" s="5"/>
      <c r="H4915" s="5"/>
      <c r="I4915" s="5"/>
      <c r="J4915" s="5"/>
      <c r="K4915" s="5"/>
      <c r="L4915" s="5"/>
      <c r="M4915" s="5"/>
      <c r="N4915" s="5"/>
      <c r="O4915" s="5"/>
      <c r="P4915" s="5"/>
      <c r="Q4915" s="5"/>
      <c r="R4915" s="5"/>
      <c r="S4915" s="5"/>
      <c r="T4915" s="5"/>
      <c r="U4915" s="5"/>
      <c r="V4915" s="5"/>
      <c r="W4915" s="5"/>
      <c r="X4915" s="5"/>
      <c r="Y4915" s="5"/>
      <c r="Z4915" s="5"/>
    </row>
    <row r="4916" spans="1:26" ht="15" x14ac:dyDescent="0.25">
      <c r="A4916" s="4" t="s">
        <v>4914</v>
      </c>
      <c r="B4916" s="4" t="s">
        <v>4550</v>
      </c>
      <c r="C4916" s="2" t="str">
        <f ca="1">IFERROR(__xludf.DUMMYFUNCTION("GOOGLETRANSLATE(A4916,""bn"",""en"")"),"There were very few such tense films in Bengal")</f>
        <v>There were very few such tense films in Bengal</v>
      </c>
      <c r="D4916" s="5"/>
      <c r="E4916" s="5"/>
      <c r="F4916" s="5"/>
      <c r="G4916" s="5"/>
      <c r="H4916" s="5"/>
      <c r="I4916" s="5"/>
      <c r="J4916" s="5"/>
      <c r="K4916" s="5"/>
      <c r="L4916" s="5"/>
      <c r="M4916" s="5"/>
      <c r="N4916" s="5"/>
      <c r="O4916" s="5"/>
      <c r="P4916" s="5"/>
      <c r="Q4916" s="5"/>
      <c r="R4916" s="5"/>
      <c r="S4916" s="5"/>
      <c r="T4916" s="5"/>
      <c r="U4916" s="5"/>
      <c r="V4916" s="5"/>
      <c r="W4916" s="5"/>
      <c r="X4916" s="5"/>
      <c r="Y4916" s="5"/>
      <c r="Z4916" s="5"/>
    </row>
    <row r="4917" spans="1:26" ht="15" x14ac:dyDescent="0.25">
      <c r="A4917" s="4" t="s">
        <v>4915</v>
      </c>
      <c r="B4917" s="4" t="s">
        <v>4550</v>
      </c>
      <c r="C4917" s="2" t="str">
        <f ca="1">IFERROR(__xludf.DUMMYFUNCTION("GOOGLETRANSLATE(A4917,""bn"",""en"")"),"What else could I say? Everyone said it was amazing")</f>
        <v>What else could I say? Everyone said it was amazing</v>
      </c>
      <c r="D4917" s="5"/>
      <c r="E4917" s="5"/>
      <c r="F4917" s="5"/>
      <c r="G4917" s="5"/>
      <c r="H4917" s="5"/>
      <c r="I4917" s="5"/>
      <c r="J4917" s="5"/>
      <c r="K4917" s="5"/>
      <c r="L4917" s="5"/>
      <c r="M4917" s="5"/>
      <c r="N4917" s="5"/>
      <c r="O4917" s="5"/>
      <c r="P4917" s="5"/>
      <c r="Q4917" s="5"/>
      <c r="R4917" s="5"/>
      <c r="S4917" s="5"/>
      <c r="T4917" s="5"/>
      <c r="U4917" s="5"/>
      <c r="V4917" s="5"/>
      <c r="W4917" s="5"/>
      <c r="X4917" s="5"/>
      <c r="Y4917" s="5"/>
      <c r="Z4917" s="5"/>
    </row>
    <row r="4918" spans="1:26" ht="15" x14ac:dyDescent="0.25">
      <c r="A4918" s="4" t="s">
        <v>4916</v>
      </c>
      <c r="B4918" s="4" t="s">
        <v>4550</v>
      </c>
      <c r="C4918" s="2" t="str">
        <f ca="1">IFERROR(__xludf.DUMMYFUNCTION("GOOGLETRANSLATE(A4918,""bn"",""en"")"),"Today's Bengali movies used to make me feel happy")</f>
        <v>Today's Bengali movies used to make me feel happy</v>
      </c>
      <c r="D4918" s="5"/>
      <c r="E4918" s="5"/>
      <c r="F4918" s="5"/>
      <c r="G4918" s="5"/>
      <c r="H4918" s="5"/>
      <c r="I4918" s="5"/>
      <c r="J4918" s="5"/>
      <c r="K4918" s="5"/>
      <c r="L4918" s="5"/>
      <c r="M4918" s="5"/>
      <c r="N4918" s="5"/>
      <c r="O4918" s="5"/>
      <c r="P4918" s="5"/>
      <c r="Q4918" s="5"/>
      <c r="R4918" s="5"/>
      <c r="S4918" s="5"/>
      <c r="T4918" s="5"/>
      <c r="U4918" s="5"/>
      <c r="V4918" s="5"/>
      <c r="W4918" s="5"/>
      <c r="X4918" s="5"/>
      <c r="Y4918" s="5"/>
      <c r="Z4918" s="5"/>
    </row>
    <row r="4919" spans="1:26" ht="15" x14ac:dyDescent="0.25">
      <c r="A4919" s="4" t="s">
        <v>4917</v>
      </c>
      <c r="B4919" s="4" t="s">
        <v>4550</v>
      </c>
      <c r="C4919" s="2" t="str">
        <f ca="1">IFERROR(__xludf.DUMMYFUNCTION("GOOGLETRANSLATE(A4919,""bn"",""en"")"),"Everyone including Riyaz acted very nicely and well I have seen it many times")</f>
        <v>Everyone including Riyaz acted very nicely and well I have seen it many times</v>
      </c>
      <c r="D4919" s="5"/>
      <c r="E4919" s="5"/>
      <c r="F4919" s="5"/>
      <c r="G4919" s="5"/>
      <c r="H4919" s="5"/>
      <c r="I4919" s="5"/>
      <c r="J4919" s="5"/>
      <c r="K4919" s="5"/>
      <c r="L4919" s="5"/>
      <c r="M4919" s="5"/>
      <c r="N4919" s="5"/>
      <c r="O4919" s="5"/>
      <c r="P4919" s="5"/>
      <c r="Q4919" s="5"/>
      <c r="R4919" s="5"/>
      <c r="S4919" s="5"/>
      <c r="T4919" s="5"/>
      <c r="U4919" s="5"/>
      <c r="V4919" s="5"/>
      <c r="W4919" s="5"/>
      <c r="X4919" s="5"/>
      <c r="Y4919" s="5"/>
      <c r="Z4919" s="5"/>
    </row>
    <row r="4920" spans="1:26" ht="15" x14ac:dyDescent="0.25">
      <c r="A4920" s="4" t="s">
        <v>4918</v>
      </c>
      <c r="B4920" s="4" t="s">
        <v>4550</v>
      </c>
      <c r="C4920" s="2" t="str">
        <f ca="1">IFERROR(__xludf.DUMMYFUNCTION("GOOGLETRANSLATE(A4920,""bn"",""en"")"),"This movie was so good that every time I watched the movie it was romantic as well as sad as well as fun.")</f>
        <v>This movie was so good that every time I watched the movie it was romantic as well as sad as well as fun.</v>
      </c>
      <c r="D4920" s="5"/>
      <c r="E4920" s="5"/>
      <c r="F4920" s="5"/>
      <c r="G4920" s="5"/>
      <c r="H4920" s="5"/>
      <c r="I4920" s="5"/>
      <c r="J4920" s="5"/>
      <c r="K4920" s="5"/>
      <c r="L4920" s="5"/>
      <c r="M4920" s="5"/>
      <c r="N4920" s="5"/>
      <c r="O4920" s="5"/>
      <c r="P4920" s="5"/>
      <c r="Q4920" s="5"/>
      <c r="R4920" s="5"/>
      <c r="S4920" s="5"/>
      <c r="T4920" s="5"/>
      <c r="U4920" s="5"/>
      <c r="V4920" s="5"/>
      <c r="W4920" s="5"/>
      <c r="X4920" s="5"/>
      <c r="Y4920" s="5"/>
      <c r="Z4920" s="5"/>
    </row>
    <row r="4921" spans="1:26" ht="15" x14ac:dyDescent="0.25">
      <c r="A4921" s="4" t="s">
        <v>4919</v>
      </c>
      <c r="B4921" s="4" t="s">
        <v>4550</v>
      </c>
      <c r="C4921" s="2" t="str">
        <f ca="1">IFERROR(__xludf.DUMMYFUNCTION("GOOGLETRANSLATE(A4921,""bn"",""en"")"),"The film was really charming, the story, acting and characters were all excellent")</f>
        <v>The film was really charming, the story, acting and characters were all excellent</v>
      </c>
      <c r="D4921" s="5"/>
      <c r="E4921" s="5"/>
      <c r="F4921" s="5"/>
      <c r="G4921" s="5"/>
      <c r="H4921" s="5"/>
      <c r="I4921" s="5"/>
      <c r="J4921" s="5"/>
      <c r="K4921" s="5"/>
      <c r="L4921" s="5"/>
      <c r="M4921" s="5"/>
      <c r="N4921" s="5"/>
      <c r="O4921" s="5"/>
      <c r="P4921" s="5"/>
      <c r="Q4921" s="5"/>
      <c r="R4921" s="5"/>
      <c r="S4921" s="5"/>
      <c r="T4921" s="5"/>
      <c r="U4921" s="5"/>
      <c r="V4921" s="5"/>
      <c r="W4921" s="5"/>
      <c r="X4921" s="5"/>
      <c r="Y4921" s="5"/>
      <c r="Z4921" s="5"/>
    </row>
    <row r="4922" spans="1:26" ht="15" x14ac:dyDescent="0.25">
      <c r="A4922" s="4" t="s">
        <v>4920</v>
      </c>
      <c r="B4922" s="4" t="s">
        <v>4550</v>
      </c>
      <c r="C4922" s="2" t="str">
        <f ca="1">IFERROR(__xludf.DUMMYFUNCTION("GOOGLETRANSLATE(A4922,""bn"",""en"")"),"There is no movie like the previous movie")</f>
        <v>There is no movie like the previous movie</v>
      </c>
      <c r="D4922" s="5"/>
      <c r="E4922" s="5"/>
      <c r="F4922" s="5"/>
      <c r="G4922" s="5"/>
      <c r="H4922" s="5"/>
      <c r="I4922" s="5"/>
      <c r="J4922" s="5"/>
      <c r="K4922" s="5"/>
      <c r="L4922" s="5"/>
      <c r="M4922" s="5"/>
      <c r="N4922" s="5"/>
      <c r="O4922" s="5"/>
      <c r="P4922" s="5"/>
      <c r="Q4922" s="5"/>
      <c r="R4922" s="5"/>
      <c r="S4922" s="5"/>
      <c r="T4922" s="5"/>
      <c r="U4922" s="5"/>
      <c r="V4922" s="5"/>
      <c r="W4922" s="5"/>
      <c r="X4922" s="5"/>
      <c r="Y4922" s="5"/>
      <c r="Z4922" s="5"/>
    </row>
    <row r="4923" spans="1:26" ht="15" x14ac:dyDescent="0.25">
      <c r="A4923" s="4" t="s">
        <v>4921</v>
      </c>
      <c r="B4923" s="4" t="s">
        <v>4550</v>
      </c>
      <c r="C4923" s="2" t="str">
        <f ca="1">IFERROR(__xludf.DUMMYFUNCTION("GOOGLETRANSLATE(A4923,""bn"",""en"")"),"I used to not watch Bengali movies but I watched this movie at night and I liked it very much")</f>
        <v>I used to not watch Bengali movies but I watched this movie at night and I liked it very much</v>
      </c>
      <c r="D4923" s="5"/>
      <c r="E4923" s="5"/>
      <c r="F4923" s="5"/>
      <c r="G4923" s="5"/>
      <c r="H4923" s="5"/>
      <c r="I4923" s="5"/>
      <c r="J4923" s="5"/>
      <c r="K4923" s="5"/>
      <c r="L4923" s="5"/>
      <c r="M4923" s="5"/>
      <c r="N4923" s="5"/>
      <c r="O4923" s="5"/>
      <c r="P4923" s="5"/>
      <c r="Q4923" s="5"/>
      <c r="R4923" s="5"/>
      <c r="S4923" s="5"/>
      <c r="T4923" s="5"/>
      <c r="U4923" s="5"/>
      <c r="V4923" s="5"/>
      <c r="W4923" s="5"/>
      <c r="X4923" s="5"/>
      <c r="Y4923" s="5"/>
      <c r="Z4923" s="5"/>
    </row>
    <row r="4924" spans="1:26" ht="15" x14ac:dyDescent="0.25">
      <c r="A4924" s="4" t="s">
        <v>4922</v>
      </c>
      <c r="B4924" s="4" t="s">
        <v>4550</v>
      </c>
      <c r="C4924" s="2" t="str">
        <f ca="1">IFERROR(__xludf.DUMMYFUNCTION("GOOGLETRANSLATE(A4924,""bn"",""en"")"),"After many days, I saw a Bengali film in its entirety. It was very good and brought tears to my eyes")</f>
        <v>After many days, I saw a Bengali film in its entirety. It was very good and brought tears to my eyes</v>
      </c>
      <c r="D4924" s="5"/>
      <c r="E4924" s="5"/>
      <c r="F4924" s="5"/>
      <c r="G4924" s="5"/>
      <c r="H4924" s="5"/>
      <c r="I4924" s="5"/>
      <c r="J4924" s="5"/>
      <c r="K4924" s="5"/>
      <c r="L4924" s="5"/>
      <c r="M4924" s="5"/>
      <c r="N4924" s="5"/>
      <c r="O4924" s="5"/>
      <c r="P4924" s="5"/>
      <c r="Q4924" s="5"/>
      <c r="R4924" s="5"/>
      <c r="S4924" s="5"/>
      <c r="T4924" s="5"/>
      <c r="U4924" s="5"/>
      <c r="V4924" s="5"/>
      <c r="W4924" s="5"/>
      <c r="X4924" s="5"/>
      <c r="Y4924" s="5"/>
      <c r="Z4924" s="5"/>
    </row>
    <row r="4925" spans="1:26" ht="15" x14ac:dyDescent="0.25">
      <c r="A4925" s="4" t="s">
        <v>4923</v>
      </c>
      <c r="B4925" s="4" t="s">
        <v>4550</v>
      </c>
      <c r="C4925" s="2" t="str">
        <f ca="1">IFERROR(__xludf.DUMMYFUNCTION("GOOGLETRANSLATE(A4925,""bn"",""en"")"),"The picture was so beautiful that I had nothing to understand")</f>
        <v>The picture was so beautiful that I had nothing to understand</v>
      </c>
      <c r="D4925" s="5"/>
      <c r="E4925" s="5"/>
      <c r="F4925" s="5"/>
      <c r="G4925" s="5"/>
      <c r="H4925" s="5"/>
      <c r="I4925" s="5"/>
      <c r="J4925" s="5"/>
      <c r="K4925" s="5"/>
      <c r="L4925" s="5"/>
      <c r="M4925" s="5"/>
      <c r="N4925" s="5"/>
      <c r="O4925" s="5"/>
      <c r="P4925" s="5"/>
      <c r="Q4925" s="5"/>
      <c r="R4925" s="5"/>
      <c r="S4925" s="5"/>
      <c r="T4925" s="5"/>
      <c r="U4925" s="5"/>
      <c r="V4925" s="5"/>
      <c r="W4925" s="5"/>
      <c r="X4925" s="5"/>
      <c r="Y4925" s="5"/>
      <c r="Z4925" s="5"/>
    </row>
    <row r="4926" spans="1:26" ht="15" x14ac:dyDescent="0.25">
      <c r="A4926" s="4" t="s">
        <v>4924</v>
      </c>
      <c r="B4926" s="4" t="s">
        <v>4550</v>
      </c>
      <c r="C4926" s="2" t="str">
        <f ca="1">IFERROR(__xludf.DUMMYFUNCTION("GOOGLETRANSLATE(A4926,""bn"",""en"")"),"I didn't know Jaya as such a successful person in my childhood")</f>
        <v>I didn't know Jaya as such a successful person in my childhood</v>
      </c>
      <c r="D4926" s="5"/>
      <c r="E4926" s="5"/>
      <c r="F4926" s="5"/>
      <c r="G4926" s="5"/>
      <c r="H4926" s="5"/>
      <c r="I4926" s="5"/>
      <c r="J4926" s="5"/>
      <c r="K4926" s="5"/>
      <c r="L4926" s="5"/>
      <c r="M4926" s="5"/>
      <c r="N4926" s="5"/>
      <c r="O4926" s="5"/>
      <c r="P4926" s="5"/>
      <c r="Q4926" s="5"/>
      <c r="R4926" s="5"/>
      <c r="S4926" s="5"/>
      <c r="T4926" s="5"/>
      <c r="U4926" s="5"/>
      <c r="V4926" s="5"/>
      <c r="W4926" s="5"/>
      <c r="X4926" s="5"/>
      <c r="Y4926" s="5"/>
      <c r="Z4926" s="5"/>
    </row>
    <row r="4927" spans="1:26" ht="15" x14ac:dyDescent="0.25">
      <c r="A4927" s="4" t="s">
        <v>4925</v>
      </c>
      <c r="B4927" s="4" t="s">
        <v>4550</v>
      </c>
      <c r="C4927" s="2" t="str">
        <f ca="1">IFERROR(__xludf.DUMMYFUNCTION("GOOGLETRANSLATE(A4927,""bn"",""en"")"),"In the movie, Bangladesh was under-represented at one point of the letter reading which shocked Bangladeshi fans especially me.")</f>
        <v>In the movie, Bangladesh was under-represented at one point of the letter reading which shocked Bangladeshi fans especially me.</v>
      </c>
      <c r="D4927" s="5"/>
      <c r="E4927" s="5"/>
      <c r="F4927" s="5"/>
      <c r="G4927" s="5"/>
      <c r="H4927" s="5"/>
      <c r="I4927" s="5"/>
      <c r="J4927" s="5"/>
      <c r="K4927" s="5"/>
      <c r="L4927" s="5"/>
      <c r="M4927" s="5"/>
      <c r="N4927" s="5"/>
      <c r="O4927" s="5"/>
      <c r="P4927" s="5"/>
      <c r="Q4927" s="5"/>
      <c r="R4927" s="5"/>
      <c r="S4927" s="5"/>
      <c r="T4927" s="5"/>
      <c r="U4927" s="5"/>
      <c r="V4927" s="5"/>
      <c r="W4927" s="5"/>
      <c r="X4927" s="5"/>
      <c r="Y4927" s="5"/>
      <c r="Z4927" s="5"/>
    </row>
    <row r="4928" spans="1:26" ht="15" x14ac:dyDescent="0.25">
      <c r="A4928" s="4" t="s">
        <v>4926</v>
      </c>
      <c r="B4928" s="4" t="s">
        <v>4550</v>
      </c>
      <c r="C4928" s="2" t="str">
        <f ca="1">IFERROR(__xludf.DUMMYFUNCTION("GOOGLETRANSLATE(A4928,""bn"",""en"")"),"It was an amazing movie, I really enjoyed watching the movie")</f>
        <v>It was an amazing movie, I really enjoyed watching the movie</v>
      </c>
      <c r="D4928" s="5"/>
      <c r="E4928" s="5"/>
      <c r="F4928" s="5"/>
      <c r="G4928" s="5"/>
      <c r="H4928" s="5"/>
      <c r="I4928" s="5"/>
      <c r="J4928" s="5"/>
      <c r="K4928" s="5"/>
      <c r="L4928" s="5"/>
      <c r="M4928" s="5"/>
      <c r="N4928" s="5"/>
      <c r="O4928" s="5"/>
      <c r="P4928" s="5"/>
      <c r="Q4928" s="5"/>
      <c r="R4928" s="5"/>
      <c r="S4928" s="5"/>
      <c r="T4928" s="5"/>
      <c r="U4928" s="5"/>
      <c r="V4928" s="5"/>
      <c r="W4928" s="5"/>
      <c r="X4928" s="5"/>
      <c r="Y4928" s="5"/>
      <c r="Z4928" s="5"/>
    </row>
    <row r="4929" spans="1:26" ht="15" x14ac:dyDescent="0.25">
      <c r="A4929" s="4" t="s">
        <v>4927</v>
      </c>
      <c r="B4929" s="4" t="s">
        <v>4550</v>
      </c>
      <c r="C4929" s="2" t="str">
        <f ca="1">IFERROR(__xludf.DUMMYFUNCTION("GOOGLETRANSLATE(A4929,""bn"",""en"")"),"Gautam Ghosh's movie was really amazing")</f>
        <v>Gautam Ghosh's movie was really amazing</v>
      </c>
      <c r="D4929" s="5"/>
      <c r="E4929" s="5"/>
      <c r="F4929" s="5"/>
      <c r="G4929" s="5"/>
      <c r="H4929" s="5"/>
      <c r="I4929" s="5"/>
      <c r="J4929" s="5"/>
      <c r="K4929" s="5"/>
      <c r="L4929" s="5"/>
      <c r="M4929" s="5"/>
      <c r="N4929" s="5"/>
      <c r="O4929" s="5"/>
      <c r="P4929" s="5"/>
      <c r="Q4929" s="5"/>
      <c r="R4929" s="5"/>
      <c r="S4929" s="5"/>
      <c r="T4929" s="5"/>
      <c r="U4929" s="5"/>
      <c r="V4929" s="5"/>
      <c r="W4929" s="5"/>
      <c r="X4929" s="5"/>
      <c r="Y4929" s="5"/>
      <c r="Z4929" s="5"/>
    </row>
    <row r="4930" spans="1:26" ht="15" x14ac:dyDescent="0.25">
      <c r="A4930" s="4" t="s">
        <v>4928</v>
      </c>
      <c r="B4930" s="4" t="s">
        <v>4550</v>
      </c>
      <c r="C4930" s="2" t="str">
        <f ca="1">IFERROR(__xludf.DUMMYFUNCTION("GOOGLETRANSLATE(A4930,""bn"",""en"")"),"Were the old movies beautiful?")</f>
        <v>Were the old movies beautiful?</v>
      </c>
      <c r="D4930" s="5"/>
      <c r="E4930" s="5"/>
      <c r="F4930" s="5"/>
      <c r="G4930" s="5"/>
      <c r="H4930" s="5"/>
      <c r="I4930" s="5"/>
      <c r="J4930" s="5"/>
      <c r="K4930" s="5"/>
      <c r="L4930" s="5"/>
      <c r="M4930" s="5"/>
      <c r="N4930" s="5"/>
      <c r="O4930" s="5"/>
      <c r="P4930" s="5"/>
      <c r="Q4930" s="5"/>
      <c r="R4930" s="5"/>
      <c r="S4930" s="5"/>
      <c r="T4930" s="5"/>
      <c r="U4930" s="5"/>
      <c r="V4930" s="5"/>
      <c r="W4930" s="5"/>
      <c r="X4930" s="5"/>
      <c r="Y4930" s="5"/>
      <c r="Z4930" s="5"/>
    </row>
    <row r="4931" spans="1:26" ht="15" x14ac:dyDescent="0.25">
      <c r="A4931" s="4" t="s">
        <v>4929</v>
      </c>
      <c r="B4931" s="4" t="s">
        <v>4550</v>
      </c>
      <c r="C4931" s="2" t="str">
        <f ca="1">IFERROR(__xludf.DUMMYFUNCTION("GOOGLETRANSLATE(A4931,""bn"",""en"")"),"When I was young, I used to walk holding my mother's hand, then I was just angry why should I walk holding her hand")</f>
        <v>When I was young, I used to walk holding my mother's hand, then I was just angry why should I walk holding her hand</v>
      </c>
      <c r="D4931" s="5"/>
      <c r="E4931" s="5"/>
      <c r="F4931" s="5"/>
      <c r="G4931" s="5"/>
      <c r="H4931" s="5"/>
      <c r="I4931" s="5"/>
      <c r="J4931" s="5"/>
      <c r="K4931" s="5"/>
      <c r="L4931" s="5"/>
      <c r="M4931" s="5"/>
      <c r="N4931" s="5"/>
      <c r="O4931" s="5"/>
      <c r="P4931" s="5"/>
      <c r="Q4931" s="5"/>
      <c r="R4931" s="5"/>
      <c r="S4931" s="5"/>
      <c r="T4931" s="5"/>
      <c r="U4931" s="5"/>
      <c r="V4931" s="5"/>
      <c r="W4931" s="5"/>
      <c r="X4931" s="5"/>
      <c r="Y4931" s="5"/>
      <c r="Z4931" s="5"/>
    </row>
    <row r="4932" spans="1:26" ht="15" x14ac:dyDescent="0.25">
      <c r="A4932" s="4" t="s">
        <v>4930</v>
      </c>
      <c r="B4932" s="4" t="s">
        <v>4550</v>
      </c>
      <c r="C4932" s="2" t="str">
        <f ca="1">IFERROR(__xludf.DUMMYFUNCTION("GOOGLETRANSLATE(A4932,""bn"",""en"")"),"How Bengali cinema has deteriorated can be understood by watching this film.")</f>
        <v>How Bengali cinema has deteriorated can be understood by watching this film.</v>
      </c>
      <c r="D4932" s="5"/>
      <c r="E4932" s="5"/>
      <c r="F4932" s="5"/>
      <c r="G4932" s="5"/>
      <c r="H4932" s="5"/>
      <c r="I4932" s="5"/>
      <c r="J4932" s="5"/>
      <c r="K4932" s="5"/>
      <c r="L4932" s="5"/>
      <c r="M4932" s="5"/>
      <c r="N4932" s="5"/>
      <c r="O4932" s="5"/>
      <c r="P4932" s="5"/>
      <c r="Q4932" s="5"/>
      <c r="R4932" s="5"/>
      <c r="S4932" s="5"/>
      <c r="T4932" s="5"/>
      <c r="U4932" s="5"/>
      <c r="V4932" s="5"/>
      <c r="W4932" s="5"/>
      <c r="X4932" s="5"/>
      <c r="Y4932" s="5"/>
      <c r="Z4932" s="5"/>
    </row>
    <row r="4933" spans="1:26" ht="15" x14ac:dyDescent="0.25">
      <c r="A4933" s="4" t="s">
        <v>4931</v>
      </c>
      <c r="B4933" s="4" t="s">
        <v>4550</v>
      </c>
      <c r="C4933" s="2" t="str">
        <f ca="1">IFERROR(__xludf.DUMMYFUNCTION("GOOGLETRANSLATE(A4933,""bn"",""en"")"),"I couldn't see it when I was young, I didn't understand anything, so now I saw it again, it was a very beautiful picture")</f>
        <v>I couldn't see it when I was young, I didn't understand anything, so now I saw it again, it was a very beautiful picture</v>
      </c>
      <c r="D4933" s="5"/>
      <c r="E4933" s="5"/>
      <c r="F4933" s="5"/>
      <c r="G4933" s="5"/>
      <c r="H4933" s="5"/>
      <c r="I4933" s="5"/>
      <c r="J4933" s="5"/>
      <c r="K4933" s="5"/>
      <c r="L4933" s="5"/>
      <c r="M4933" s="5"/>
      <c r="N4933" s="5"/>
      <c r="O4933" s="5"/>
      <c r="P4933" s="5"/>
      <c r="Q4933" s="5"/>
      <c r="R4933" s="5"/>
      <c r="S4933" s="5"/>
      <c r="T4933" s="5"/>
      <c r="U4933" s="5"/>
      <c r="V4933" s="5"/>
      <c r="W4933" s="5"/>
      <c r="X4933" s="5"/>
      <c r="Y4933" s="5"/>
      <c r="Z4933" s="5"/>
    </row>
    <row r="4934" spans="1:26" ht="15" x14ac:dyDescent="0.25">
      <c r="A4934" s="4" t="s">
        <v>4932</v>
      </c>
      <c r="B4934" s="4" t="s">
        <v>4550</v>
      </c>
      <c r="C4934" s="2" t="str">
        <f ca="1">IFERROR(__xludf.DUMMYFUNCTION("GOOGLETRANSLATE(A4934,""bn"",""en"")"),"I did not like these pictures")</f>
        <v>I did not like these pictures</v>
      </c>
      <c r="D4934" s="5"/>
      <c r="E4934" s="5"/>
      <c r="F4934" s="5"/>
      <c r="G4934" s="5"/>
      <c r="H4934" s="5"/>
      <c r="I4934" s="5"/>
      <c r="J4934" s="5"/>
      <c r="K4934" s="5"/>
      <c r="L4934" s="5"/>
      <c r="M4934" s="5"/>
      <c r="N4934" s="5"/>
      <c r="O4934" s="5"/>
      <c r="P4934" s="5"/>
      <c r="Q4934" s="5"/>
      <c r="R4934" s="5"/>
      <c r="S4934" s="5"/>
      <c r="T4934" s="5"/>
      <c r="U4934" s="5"/>
      <c r="V4934" s="5"/>
      <c r="W4934" s="5"/>
      <c r="X4934" s="5"/>
      <c r="Y4934" s="5"/>
      <c r="Z4934" s="5"/>
    </row>
    <row r="4935" spans="1:26" ht="15" x14ac:dyDescent="0.25">
      <c r="A4935" s="4" t="s">
        <v>4933</v>
      </c>
      <c r="B4935" s="4" t="s">
        <v>4550</v>
      </c>
      <c r="C4935" s="2" t="str">
        <f ca="1">IFERROR(__xludf.DUMMYFUNCTION("GOOGLETRANSLATE(A4935,""bn"",""en"")"),"It was wonderful that Sabana Apu has left many lessons for girls")</f>
        <v>It was wonderful that Sabana Apu has left many lessons for girls</v>
      </c>
      <c r="D4935" s="5"/>
      <c r="E4935" s="5"/>
      <c r="F4935" s="5"/>
      <c r="G4935" s="5"/>
      <c r="H4935" s="5"/>
      <c r="I4935" s="5"/>
      <c r="J4935" s="5"/>
      <c r="K4935" s="5"/>
      <c r="L4935" s="5"/>
      <c r="M4935" s="5"/>
      <c r="N4935" s="5"/>
      <c r="O4935" s="5"/>
      <c r="P4935" s="5"/>
      <c r="Q4935" s="5"/>
      <c r="R4935" s="5"/>
      <c r="S4935" s="5"/>
      <c r="T4935" s="5"/>
      <c r="U4935" s="5"/>
      <c r="V4935" s="5"/>
      <c r="W4935" s="5"/>
      <c r="X4935" s="5"/>
      <c r="Y4935" s="5"/>
      <c r="Z4935" s="5"/>
    </row>
    <row r="4936" spans="1:26" ht="15" x14ac:dyDescent="0.25">
      <c r="A4936" s="4" t="s">
        <v>4934</v>
      </c>
      <c r="B4936" s="4" t="s">
        <v>4550</v>
      </c>
      <c r="C4936" s="2" t="str">
        <f ca="1">IFERROR(__xludf.DUMMYFUNCTION("GOOGLETRANSLATE(A4936,""bn"",""en"")"),"I saw it today and it was a live performance")</f>
        <v>I saw it today and it was a live performance</v>
      </c>
      <c r="D4936" s="5"/>
      <c r="E4936" s="5"/>
      <c r="F4936" s="5"/>
      <c r="G4936" s="5"/>
      <c r="H4936" s="5"/>
      <c r="I4936" s="5"/>
      <c r="J4936" s="5"/>
      <c r="K4936" s="5"/>
      <c r="L4936" s="5"/>
      <c r="M4936" s="5"/>
      <c r="N4936" s="5"/>
      <c r="O4936" s="5"/>
      <c r="P4936" s="5"/>
      <c r="Q4936" s="5"/>
      <c r="R4936" s="5"/>
      <c r="S4936" s="5"/>
      <c r="T4936" s="5"/>
      <c r="U4936" s="5"/>
      <c r="V4936" s="5"/>
      <c r="W4936" s="5"/>
      <c r="X4936" s="5"/>
      <c r="Y4936" s="5"/>
      <c r="Z4936" s="5"/>
    </row>
    <row r="4937" spans="1:26" ht="15" x14ac:dyDescent="0.25">
      <c r="A4937" s="4" t="s">
        <v>4935</v>
      </c>
      <c r="B4937" s="4" t="s">
        <v>4550</v>
      </c>
      <c r="C4937" s="2" t="str">
        <f ca="1">IFERROR(__xludf.DUMMYFUNCTION("GOOGLETRANSLATE(A4937,""bn"",""en"")"),"Why was there so much Dong?")</f>
        <v>Why was there so much Dong?</v>
      </c>
      <c r="D4937" s="5"/>
      <c r="E4937" s="5"/>
      <c r="F4937" s="5"/>
      <c r="G4937" s="5"/>
      <c r="H4937" s="5"/>
      <c r="I4937" s="5"/>
      <c r="J4937" s="5"/>
      <c r="K4937" s="5"/>
      <c r="L4937" s="5"/>
      <c r="M4937" s="5"/>
      <c r="N4937" s="5"/>
      <c r="O4937" s="5"/>
      <c r="P4937" s="5"/>
      <c r="Q4937" s="5"/>
      <c r="R4937" s="5"/>
      <c r="S4937" s="5"/>
      <c r="T4937" s="5"/>
      <c r="U4937" s="5"/>
      <c r="V4937" s="5"/>
      <c r="W4937" s="5"/>
      <c r="X4937" s="5"/>
      <c r="Y4937" s="5"/>
      <c r="Z4937" s="5"/>
    </row>
    <row r="4938" spans="1:26" ht="15" x14ac:dyDescent="0.25">
      <c r="A4938" s="4" t="s">
        <v>4936</v>
      </c>
      <c r="B4938" s="4" t="s">
        <v>4550</v>
      </c>
      <c r="C4938" s="2" t="str">
        <f ca="1">IFERROR(__xludf.DUMMYFUNCTION("GOOGLETRANSLATE(A4938,""bn"",""en"")"),"The lively performance made me cry as much as I laughed and touched my heart")</f>
        <v>The lively performance made me cry as much as I laughed and touched my heart</v>
      </c>
      <c r="D4938" s="5"/>
      <c r="E4938" s="5"/>
      <c r="F4938" s="5"/>
      <c r="G4938" s="5"/>
      <c r="H4938" s="5"/>
      <c r="I4938" s="5"/>
      <c r="J4938" s="5"/>
      <c r="K4938" s="5"/>
      <c r="L4938" s="5"/>
      <c r="M4938" s="5"/>
      <c r="N4938" s="5"/>
      <c r="O4938" s="5"/>
      <c r="P4938" s="5"/>
      <c r="Q4938" s="5"/>
      <c r="R4938" s="5"/>
      <c r="S4938" s="5"/>
      <c r="T4938" s="5"/>
      <c r="U4938" s="5"/>
      <c r="V4938" s="5"/>
      <c r="W4938" s="5"/>
      <c r="X4938" s="5"/>
      <c r="Y4938" s="5"/>
      <c r="Z4938" s="5"/>
    </row>
    <row r="4939" spans="1:26" ht="15" x14ac:dyDescent="0.25">
      <c r="A4939" s="4" t="s">
        <v>4937</v>
      </c>
      <c r="B4939" s="4" t="s">
        <v>4550</v>
      </c>
      <c r="C4939" s="2" t="str">
        <f ca="1">IFERROR(__xludf.DUMMYFUNCTION("GOOGLETRANSLATE(A4939,""bn"",""en"")"),"I had seen the masterpiece movie but yes only in one minute and forty seconds")</f>
        <v>I had seen the masterpiece movie but yes only in one minute and forty seconds</v>
      </c>
      <c r="D4939" s="5"/>
      <c r="E4939" s="5"/>
      <c r="F4939" s="5"/>
      <c r="G4939" s="5"/>
      <c r="H4939" s="5"/>
      <c r="I4939" s="5"/>
      <c r="J4939" s="5"/>
      <c r="K4939" s="5"/>
      <c r="L4939" s="5"/>
      <c r="M4939" s="5"/>
      <c r="N4939" s="5"/>
      <c r="O4939" s="5"/>
      <c r="P4939" s="5"/>
      <c r="Q4939" s="5"/>
      <c r="R4939" s="5"/>
      <c r="S4939" s="5"/>
      <c r="T4939" s="5"/>
      <c r="U4939" s="5"/>
      <c r="V4939" s="5"/>
      <c r="W4939" s="5"/>
      <c r="X4939" s="5"/>
      <c r="Y4939" s="5"/>
      <c r="Z4939" s="5"/>
    </row>
    <row r="4940" spans="1:26" ht="15" x14ac:dyDescent="0.25">
      <c r="A4940" s="4" t="s">
        <v>4938</v>
      </c>
      <c r="B4940" s="4" t="s">
        <v>4550</v>
      </c>
      <c r="C4940" s="2" t="str">
        <f ca="1">IFERROR(__xludf.DUMMYFUNCTION("GOOGLETRANSLATE(A4940,""bn"",""en"")"),"What a magical performance it was")</f>
        <v>What a magical performance it was</v>
      </c>
      <c r="D4940" s="5"/>
      <c r="E4940" s="5"/>
      <c r="F4940" s="5"/>
      <c r="G4940" s="5"/>
      <c r="H4940" s="5"/>
      <c r="I4940" s="5"/>
      <c r="J4940" s="5"/>
      <c r="K4940" s="5"/>
      <c r="L4940" s="5"/>
      <c r="M4940" s="5"/>
      <c r="N4940" s="5"/>
      <c r="O4940" s="5"/>
      <c r="P4940" s="5"/>
      <c r="Q4940" s="5"/>
      <c r="R4940" s="5"/>
      <c r="S4940" s="5"/>
      <c r="T4940" s="5"/>
      <c r="U4940" s="5"/>
      <c r="V4940" s="5"/>
      <c r="W4940" s="5"/>
      <c r="X4940" s="5"/>
      <c r="Y4940" s="5"/>
      <c r="Z4940" s="5"/>
    </row>
    <row r="4941" spans="1:26" ht="15" x14ac:dyDescent="0.25">
      <c r="A4941" s="4" t="s">
        <v>4939</v>
      </c>
      <c r="B4941" s="4" t="s">
        <v>4550</v>
      </c>
      <c r="C4941" s="2" t="str">
        <f ca="1">IFERROR(__xludf.DUMMYFUNCTION("GOOGLETRANSLATE(A4941,""bn"",""en"")"),"For me this movie was the best movie of my life")</f>
        <v>For me this movie was the best movie of my life</v>
      </c>
      <c r="D4941" s="5"/>
      <c r="E4941" s="5"/>
      <c r="F4941" s="5"/>
      <c r="G4941" s="5"/>
      <c r="H4941" s="5"/>
      <c r="I4941" s="5"/>
      <c r="J4941" s="5"/>
      <c r="K4941" s="5"/>
      <c r="L4941" s="5"/>
      <c r="M4941" s="5"/>
      <c r="N4941" s="5"/>
      <c r="O4941" s="5"/>
      <c r="P4941" s="5"/>
      <c r="Q4941" s="5"/>
      <c r="R4941" s="5"/>
      <c r="S4941" s="5"/>
      <c r="T4941" s="5"/>
      <c r="U4941" s="5"/>
      <c r="V4941" s="5"/>
      <c r="W4941" s="5"/>
      <c r="X4941" s="5"/>
      <c r="Y4941" s="5"/>
      <c r="Z4941" s="5"/>
    </row>
    <row r="4942" spans="1:26" ht="15" x14ac:dyDescent="0.25">
      <c r="A4942" s="4" t="s">
        <v>4940</v>
      </c>
      <c r="B4942" s="4" t="s">
        <v>4550</v>
      </c>
      <c r="C4942" s="2" t="str">
        <f ca="1">IFERROR(__xludf.DUMMYFUNCTION("GOOGLETRANSLATE(A4942,""bn"",""en"")"),"I have never seen such a brave hero anywhere")</f>
        <v>I have never seen such a brave hero anywhere</v>
      </c>
      <c r="D4942" s="5"/>
      <c r="E4942" s="5"/>
      <c r="F4942" s="5"/>
      <c r="G4942" s="5"/>
      <c r="H4942" s="5"/>
      <c r="I4942" s="5"/>
      <c r="J4942" s="5"/>
      <c r="K4942" s="5"/>
      <c r="L4942" s="5"/>
      <c r="M4942" s="5"/>
      <c r="N4942" s="5"/>
      <c r="O4942" s="5"/>
      <c r="P4942" s="5"/>
      <c r="Q4942" s="5"/>
      <c r="R4942" s="5"/>
      <c r="S4942" s="5"/>
      <c r="T4942" s="5"/>
      <c r="U4942" s="5"/>
      <c r="V4942" s="5"/>
      <c r="W4942" s="5"/>
      <c r="X4942" s="5"/>
      <c r="Y4942" s="5"/>
      <c r="Z4942" s="5"/>
    </row>
    <row r="4943" spans="1:26" ht="15" x14ac:dyDescent="0.25">
      <c r="A4943" s="4" t="s">
        <v>4941</v>
      </c>
      <c r="B4943" s="4" t="s">
        <v>4550</v>
      </c>
      <c r="C4943" s="2" t="str">
        <f ca="1">IFERROR(__xludf.DUMMYFUNCTION("GOOGLETRANSLATE(A4943,""bn"",""en"")"),"Educational film thanks to the director of this beautiful film, this is the reality of rural Bengal")</f>
        <v>Educational film thanks to the director of this beautiful film, this is the reality of rural Bengal</v>
      </c>
      <c r="D4943" s="5"/>
      <c r="E4943" s="5"/>
      <c r="F4943" s="5"/>
      <c r="G4943" s="5"/>
      <c r="H4943" s="5"/>
      <c r="I4943" s="5"/>
      <c r="J4943" s="5"/>
      <c r="K4943" s="5"/>
      <c r="L4943" s="5"/>
      <c r="M4943" s="5"/>
      <c r="N4943" s="5"/>
      <c r="O4943" s="5"/>
      <c r="P4943" s="5"/>
      <c r="Q4943" s="5"/>
      <c r="R4943" s="5"/>
      <c r="S4943" s="5"/>
      <c r="T4943" s="5"/>
      <c r="U4943" s="5"/>
      <c r="V4943" s="5"/>
      <c r="W4943" s="5"/>
      <c r="X4943" s="5"/>
      <c r="Y4943" s="5"/>
      <c r="Z4943" s="5"/>
    </row>
    <row r="4944" spans="1:26" ht="15" x14ac:dyDescent="0.25">
      <c r="A4944" s="4" t="s">
        <v>4942</v>
      </c>
      <c r="B4944" s="4" t="s">
        <v>4550</v>
      </c>
      <c r="C4944" s="2" t="str">
        <f ca="1">IFERROR(__xludf.DUMMYFUNCTION("GOOGLETRANSLATE(A4944,""bn"",""en"")"),"If you copy it, no one will do it")</f>
        <v>If you copy it, no one will do it</v>
      </c>
      <c r="D4944" s="5"/>
      <c r="E4944" s="5"/>
      <c r="F4944" s="5"/>
      <c r="G4944" s="5"/>
      <c r="H4944" s="5"/>
      <c r="I4944" s="5"/>
      <c r="J4944" s="5"/>
      <c r="K4944" s="5"/>
      <c r="L4944" s="5"/>
      <c r="M4944" s="5"/>
      <c r="N4944" s="5"/>
      <c r="O4944" s="5"/>
      <c r="P4944" s="5"/>
      <c r="Q4944" s="5"/>
      <c r="R4944" s="5"/>
      <c r="S4944" s="5"/>
      <c r="T4944" s="5"/>
      <c r="U4944" s="5"/>
      <c r="V4944" s="5"/>
      <c r="W4944" s="5"/>
      <c r="X4944" s="5"/>
      <c r="Y4944" s="5"/>
      <c r="Z4944" s="5"/>
    </row>
    <row r="4945" spans="1:26" ht="15" x14ac:dyDescent="0.25">
      <c r="A4945" s="4" t="s">
        <v>4943</v>
      </c>
      <c r="B4945" s="4" t="s">
        <v>4550</v>
      </c>
      <c r="C4945" s="2" t="str">
        <f ca="1">IFERROR(__xludf.DUMMYFUNCTION("GOOGLETRANSLATE(A4945,""bn"",""en"")"),"In the last episode of the movie I saw that the hero died")</f>
        <v>In the last episode of the movie I saw that the hero died</v>
      </c>
      <c r="D4945" s="5"/>
      <c r="E4945" s="5"/>
      <c r="F4945" s="5"/>
      <c r="G4945" s="5"/>
      <c r="H4945" s="5"/>
      <c r="I4945" s="5"/>
      <c r="J4945" s="5"/>
      <c r="K4945" s="5"/>
      <c r="L4945" s="5"/>
      <c r="M4945" s="5"/>
      <c r="N4945" s="5"/>
      <c r="O4945" s="5"/>
      <c r="P4945" s="5"/>
      <c r="Q4945" s="5"/>
      <c r="R4945" s="5"/>
      <c r="S4945" s="5"/>
      <c r="T4945" s="5"/>
      <c r="U4945" s="5"/>
      <c r="V4945" s="5"/>
      <c r="W4945" s="5"/>
      <c r="X4945" s="5"/>
      <c r="Y4945" s="5"/>
      <c r="Z4945" s="5"/>
    </row>
    <row r="4946" spans="1:26" ht="15" x14ac:dyDescent="0.25">
      <c r="A4946" s="4" t="s">
        <v>4944</v>
      </c>
      <c r="B4946" s="4" t="s">
        <v>4550</v>
      </c>
      <c r="C4946" s="2" t="str">
        <f ca="1">IFERROR(__xludf.DUMMYFUNCTION("GOOGLETRANSLATE(A4946,""bn"",""en"")"),"The ending story of the movie would have looked very good if it was extended a little but the finishing was not done at the end of the movie")</f>
        <v>The ending story of the movie would have looked very good if it was extended a little but the finishing was not done at the end of the movie</v>
      </c>
      <c r="D4946" s="5"/>
      <c r="E4946" s="5"/>
      <c r="F4946" s="5"/>
      <c r="G4946" s="5"/>
      <c r="H4946" s="5"/>
      <c r="I4946" s="5"/>
      <c r="J4946" s="5"/>
      <c r="K4946" s="5"/>
      <c r="L4946" s="5"/>
      <c r="M4946" s="5"/>
      <c r="N4946" s="5"/>
      <c r="O4946" s="5"/>
      <c r="P4946" s="5"/>
      <c r="Q4946" s="5"/>
      <c r="R4946" s="5"/>
      <c r="S4946" s="5"/>
      <c r="T4946" s="5"/>
      <c r="U4946" s="5"/>
      <c r="V4946" s="5"/>
      <c r="W4946" s="5"/>
      <c r="X4946" s="5"/>
      <c r="Y4946" s="5"/>
      <c r="Z4946" s="5"/>
    </row>
    <row r="4947" spans="1:26" ht="15" x14ac:dyDescent="0.25">
      <c r="A4947" s="4" t="s">
        <v>4945</v>
      </c>
      <c r="B4947" s="4" t="s">
        <v>4550</v>
      </c>
      <c r="C4947" s="2" t="str">
        <f ca="1">IFERROR(__xludf.DUMMYFUNCTION("GOOGLETRANSLATE(A4947,""bn"",""en"")"),"What was Dhuru they were Azaira")</f>
        <v>What was Dhuru they were Azaira</v>
      </c>
      <c r="D4947" s="5"/>
      <c r="E4947" s="5"/>
      <c r="F4947" s="5"/>
      <c r="G4947" s="5"/>
      <c r="H4947" s="5"/>
      <c r="I4947" s="5"/>
      <c r="J4947" s="5"/>
      <c r="K4947" s="5"/>
      <c r="L4947" s="5"/>
      <c r="M4947" s="5"/>
      <c r="N4947" s="5"/>
      <c r="O4947" s="5"/>
      <c r="P4947" s="5"/>
      <c r="Q4947" s="5"/>
      <c r="R4947" s="5"/>
      <c r="S4947" s="5"/>
      <c r="T4947" s="5"/>
      <c r="U4947" s="5"/>
      <c r="V4947" s="5"/>
      <c r="W4947" s="5"/>
      <c r="X4947" s="5"/>
      <c r="Y4947" s="5"/>
      <c r="Z4947" s="5"/>
    </row>
    <row r="4948" spans="1:26" ht="15" x14ac:dyDescent="0.25">
      <c r="A4948" s="4" t="s">
        <v>4946</v>
      </c>
      <c r="B4948" s="4" t="s">
        <v>4550</v>
      </c>
      <c r="C4948" s="2" t="str">
        <f ca="1">IFERROR(__xludf.DUMMYFUNCTION("GOOGLETRANSLATE(A4948,""bn"",""en"")"),"I think this was the career best movie of Shabnoor Moushumi Riaz")</f>
        <v>I think this was the career best movie of Shabnoor Moushumi Riaz</v>
      </c>
      <c r="D4948" s="5"/>
      <c r="E4948" s="5"/>
      <c r="F4948" s="5"/>
      <c r="G4948" s="5"/>
      <c r="H4948" s="5"/>
      <c r="I4948" s="5"/>
      <c r="J4948" s="5"/>
      <c r="K4948" s="5"/>
      <c r="L4948" s="5"/>
      <c r="M4948" s="5"/>
      <c r="N4948" s="5"/>
      <c r="O4948" s="5"/>
      <c r="P4948" s="5"/>
      <c r="Q4948" s="5"/>
      <c r="R4948" s="5"/>
      <c r="S4948" s="5"/>
      <c r="T4948" s="5"/>
      <c r="U4948" s="5"/>
      <c r="V4948" s="5"/>
      <c r="W4948" s="5"/>
      <c r="X4948" s="5"/>
      <c r="Y4948" s="5"/>
      <c r="Z4948" s="5"/>
    </row>
    <row r="4949" spans="1:26" ht="15" x14ac:dyDescent="0.25">
      <c r="A4949" s="4" t="s">
        <v>4947</v>
      </c>
      <c r="B4949" s="4" t="s">
        <v>4550</v>
      </c>
      <c r="C4949" s="2" t="str">
        <f ca="1">IFERROR(__xludf.DUMMYFUNCTION("GOOGLETRANSLATE(A4949,""bn"",""en"")"),"I started watching this movie since I was little, I don't know how many thousands of times I have seen it, but I can't get enough of it. For me, this Ammajan movie was the best in the world.")</f>
        <v>I started watching this movie since I was little, I don't know how many thousands of times I have seen it, but I can't get enough of it. For me, this Ammajan movie was the best in the world.</v>
      </c>
      <c r="D4949" s="5"/>
      <c r="E4949" s="5"/>
      <c r="F4949" s="5"/>
      <c r="G4949" s="5"/>
      <c r="H4949" s="5"/>
      <c r="I4949" s="5"/>
      <c r="J4949" s="5"/>
      <c r="K4949" s="5"/>
      <c r="L4949" s="5"/>
      <c r="M4949" s="5"/>
      <c r="N4949" s="5"/>
      <c r="O4949" s="5"/>
      <c r="P4949" s="5"/>
      <c r="Q4949" s="5"/>
      <c r="R4949" s="5"/>
      <c r="S4949" s="5"/>
      <c r="T4949" s="5"/>
      <c r="U4949" s="5"/>
      <c r="V4949" s="5"/>
      <c r="W4949" s="5"/>
      <c r="X4949" s="5"/>
      <c r="Y4949" s="5"/>
      <c r="Z4949" s="5"/>
    </row>
    <row r="4950" spans="1:26" ht="15" x14ac:dyDescent="0.25">
      <c r="A4950" s="4" t="s">
        <v>4948</v>
      </c>
      <c r="B4950" s="4" t="s">
        <v>4550</v>
      </c>
      <c r="C4950" s="2" t="str">
        <f ca="1">IFERROR(__xludf.DUMMYFUNCTION("GOOGLETRANSLATE(A4950,""bn"",""en"")"),"The baby's face was very charming")</f>
        <v>The baby's face was very charming</v>
      </c>
      <c r="D4950" s="5"/>
      <c r="E4950" s="5"/>
      <c r="F4950" s="5"/>
      <c r="G4950" s="5"/>
      <c r="H4950" s="5"/>
      <c r="I4950" s="5"/>
      <c r="J4950" s="5"/>
      <c r="K4950" s="5"/>
      <c r="L4950" s="5"/>
      <c r="M4950" s="5"/>
      <c r="N4950" s="5"/>
      <c r="O4950" s="5"/>
      <c r="P4950" s="5"/>
      <c r="Q4950" s="5"/>
      <c r="R4950" s="5"/>
      <c r="S4950" s="5"/>
      <c r="T4950" s="5"/>
      <c r="U4950" s="5"/>
      <c r="V4950" s="5"/>
      <c r="W4950" s="5"/>
      <c r="X4950" s="5"/>
      <c r="Y4950" s="5"/>
      <c r="Z4950" s="5"/>
    </row>
    <row r="4951" spans="1:26" ht="15" x14ac:dyDescent="0.25">
      <c r="A4951" s="4" t="s">
        <v>4949</v>
      </c>
      <c r="B4951" s="4" t="s">
        <v>4550</v>
      </c>
      <c r="C4951" s="2" t="str">
        <f ca="1">IFERROR(__xludf.DUMMYFUNCTION("GOOGLETRANSLATE(A4951,""bn"",""en"")"),"The generation was totally destroyed by watching these movies")</f>
        <v>The generation was totally destroyed by watching these movies</v>
      </c>
      <c r="D4951" s="5"/>
      <c r="E4951" s="5"/>
      <c r="F4951" s="5"/>
      <c r="G4951" s="5"/>
      <c r="H4951" s="5"/>
      <c r="I4951" s="5"/>
      <c r="J4951" s="5"/>
      <c r="K4951" s="5"/>
      <c r="L4951" s="5"/>
      <c r="M4951" s="5"/>
      <c r="N4951" s="5"/>
      <c r="O4951" s="5"/>
      <c r="P4951" s="5"/>
      <c r="Q4951" s="5"/>
      <c r="R4951" s="5"/>
      <c r="S4951" s="5"/>
      <c r="T4951" s="5"/>
      <c r="U4951" s="5"/>
      <c r="V4951" s="5"/>
      <c r="W4951" s="5"/>
      <c r="X4951" s="5"/>
      <c r="Y4951" s="5"/>
      <c r="Z4951" s="5"/>
    </row>
    <row r="4952" spans="1:26" ht="15" x14ac:dyDescent="0.25">
      <c r="A4952" s="4" t="s">
        <v>4950</v>
      </c>
      <c r="B4952" s="4" t="s">
        <v>4550</v>
      </c>
      <c r="C4952" s="2" t="str">
        <f ca="1">IFERROR(__xludf.DUMMYFUNCTION("GOOGLETRANSLATE(A4952,""bn"",""en"")"),"Got a lot of laughs watching their performance")</f>
        <v>Got a lot of laughs watching their performance</v>
      </c>
      <c r="D4952" s="5"/>
      <c r="E4952" s="5"/>
      <c r="F4952" s="5"/>
      <c r="G4952" s="5"/>
      <c r="H4952" s="5"/>
      <c r="I4952" s="5"/>
      <c r="J4952" s="5"/>
      <c r="K4952" s="5"/>
      <c r="L4952" s="5"/>
      <c r="M4952" s="5"/>
      <c r="N4952" s="5"/>
      <c r="O4952" s="5"/>
      <c r="P4952" s="5"/>
      <c r="Q4952" s="5"/>
      <c r="R4952" s="5"/>
      <c r="S4952" s="5"/>
      <c r="T4952" s="5"/>
      <c r="U4952" s="5"/>
      <c r="V4952" s="5"/>
      <c r="W4952" s="5"/>
      <c r="X4952" s="5"/>
      <c r="Y4952" s="5"/>
      <c r="Z4952" s="5"/>
    </row>
    <row r="4953" spans="1:26" ht="15" x14ac:dyDescent="0.25">
      <c r="A4953" s="4" t="s">
        <v>4951</v>
      </c>
      <c r="B4953" s="4" t="s">
        <v>4550</v>
      </c>
      <c r="C4953" s="2" t="str">
        <f ca="1">IFERROR(__xludf.DUMMYFUNCTION("GOOGLETRANSLATE(A4953,""bn"",""en"")"),"If you tell me once, I will leave all my illusions and leave.")</f>
        <v>If you tell me once, I will leave all my illusions and leave.</v>
      </c>
      <c r="D4953" s="5"/>
      <c r="E4953" s="5"/>
      <c r="F4953" s="5"/>
      <c r="G4953" s="5"/>
      <c r="H4953" s="5"/>
      <c r="I4953" s="5"/>
      <c r="J4953" s="5"/>
      <c r="K4953" s="5"/>
      <c r="L4953" s="5"/>
      <c r="M4953" s="5"/>
      <c r="N4953" s="5"/>
      <c r="O4953" s="5"/>
      <c r="P4953" s="5"/>
      <c r="Q4953" s="5"/>
      <c r="R4953" s="5"/>
      <c r="S4953" s="5"/>
      <c r="T4953" s="5"/>
      <c r="U4953" s="5"/>
      <c r="V4953" s="5"/>
      <c r="W4953" s="5"/>
      <c r="X4953" s="5"/>
      <c r="Y4953" s="5"/>
      <c r="Z4953" s="5"/>
    </row>
    <row r="4954" spans="1:26" ht="15" x14ac:dyDescent="0.25">
      <c r="A4954" s="4" t="s">
        <v>4952</v>
      </c>
      <c r="B4954" s="4" t="s">
        <v>4550</v>
      </c>
      <c r="C4954" s="2" t="str">
        <f ca="1">IFERROR(__xludf.DUMMYFUNCTION("GOOGLETRANSLATE(A4954,""bn"",""en"")"),"Noori's character was a bit too simple to fall in love with another beautiful girl.")</f>
        <v>Noori's character was a bit too simple to fall in love with another beautiful girl.</v>
      </c>
      <c r="D4954" s="5"/>
      <c r="E4954" s="5"/>
      <c r="F4954" s="5"/>
      <c r="G4954" s="5"/>
      <c r="H4954" s="5"/>
      <c r="I4954" s="5"/>
      <c r="J4954" s="5"/>
      <c r="K4954" s="5"/>
      <c r="L4954" s="5"/>
      <c r="M4954" s="5"/>
      <c r="N4954" s="5"/>
      <c r="O4954" s="5"/>
      <c r="P4954" s="5"/>
      <c r="Q4954" s="5"/>
      <c r="R4954" s="5"/>
      <c r="S4954" s="5"/>
      <c r="T4954" s="5"/>
      <c r="U4954" s="5"/>
      <c r="V4954" s="5"/>
      <c r="W4954" s="5"/>
      <c r="X4954" s="5"/>
      <c r="Y4954" s="5"/>
      <c r="Z4954" s="5"/>
    </row>
    <row r="4955" spans="1:26" ht="15" x14ac:dyDescent="0.25">
      <c r="A4955" s="4" t="s">
        <v>4953</v>
      </c>
      <c r="B4955" s="4" t="s">
        <v>4550</v>
      </c>
      <c r="C4955" s="2" t="str">
        <f ca="1">IFERROR(__xludf.DUMMYFUNCTION("GOOGLETRANSLATE(A4955,""bn"",""en"")"),"There would never have been a Bengali movie with such a beautiful story, there was really no comparison between the pair")</f>
        <v>There would never have been a Bengali movie with such a beautiful story, there was really no comparison between the pair</v>
      </c>
      <c r="D4955" s="5"/>
      <c r="E4955" s="5"/>
      <c r="F4955" s="5"/>
      <c r="G4955" s="5"/>
      <c r="H4955" s="5"/>
      <c r="I4955" s="5"/>
      <c r="J4955" s="5"/>
      <c r="K4955" s="5"/>
      <c r="L4955" s="5"/>
      <c r="M4955" s="5"/>
      <c r="N4955" s="5"/>
      <c r="O4955" s="5"/>
      <c r="P4955" s="5"/>
      <c r="Q4955" s="5"/>
      <c r="R4955" s="5"/>
      <c r="S4955" s="5"/>
      <c r="T4955" s="5"/>
      <c r="U4955" s="5"/>
      <c r="V4955" s="5"/>
      <c r="W4955" s="5"/>
      <c r="X4955" s="5"/>
      <c r="Y4955" s="5"/>
      <c r="Z4955" s="5"/>
    </row>
    <row r="4956" spans="1:26" ht="15" x14ac:dyDescent="0.25">
      <c r="A4956" s="4" t="s">
        <v>4954</v>
      </c>
      <c r="B4956" s="4" t="s">
        <v>4550</v>
      </c>
      <c r="C4956" s="2" t="str">
        <f ca="1">IFERROR(__xludf.DUMMYFUNCTION("GOOGLETRANSLATE(A4956,""bn"",""en"")"),"It was a very beautiful movie")</f>
        <v>It was a very beautiful movie</v>
      </c>
      <c r="D4956" s="5"/>
      <c r="E4956" s="5"/>
      <c r="F4956" s="5"/>
      <c r="G4956" s="5"/>
      <c r="H4956" s="5"/>
      <c r="I4956" s="5"/>
      <c r="J4956" s="5"/>
      <c r="K4956" s="5"/>
      <c r="L4956" s="5"/>
      <c r="M4956" s="5"/>
      <c r="N4956" s="5"/>
      <c r="O4956" s="5"/>
      <c r="P4956" s="5"/>
      <c r="Q4956" s="5"/>
      <c r="R4956" s="5"/>
      <c r="S4956" s="5"/>
      <c r="T4956" s="5"/>
      <c r="U4956" s="5"/>
      <c r="V4956" s="5"/>
      <c r="W4956" s="5"/>
      <c r="X4956" s="5"/>
      <c r="Y4956" s="5"/>
      <c r="Z4956" s="5"/>
    </row>
    <row r="4957" spans="1:26" ht="15" x14ac:dyDescent="0.25">
      <c r="A4957" s="4" t="s">
        <v>4955</v>
      </c>
      <c r="B4957" s="4" t="s">
        <v>4550</v>
      </c>
      <c r="C4957" s="2" t="str">
        <f ca="1">IFERROR(__xludf.DUMMYFUNCTION("GOOGLETRANSLATE(A4957,""bn"",""en"")"),"That was the cry of the child after taking out the heart of brother Anant Jalil")</f>
        <v>That was the cry of the child after taking out the heart of brother Anant Jalil</v>
      </c>
      <c r="D4957" s="5"/>
      <c r="E4957" s="5"/>
      <c r="F4957" s="5"/>
      <c r="G4957" s="5"/>
      <c r="H4957" s="5"/>
      <c r="I4957" s="5"/>
      <c r="J4957" s="5"/>
      <c r="K4957" s="5"/>
      <c r="L4957" s="5"/>
      <c r="M4957" s="5"/>
      <c r="N4957" s="5"/>
      <c r="O4957" s="5"/>
      <c r="P4957" s="5"/>
      <c r="Q4957" s="5"/>
      <c r="R4957" s="5"/>
      <c r="S4957" s="5"/>
      <c r="T4957" s="5"/>
      <c r="U4957" s="5"/>
      <c r="V4957" s="5"/>
      <c r="W4957" s="5"/>
      <c r="X4957" s="5"/>
      <c r="Y4957" s="5"/>
      <c r="Z4957" s="5"/>
    </row>
    <row r="4958" spans="1:26" ht="15" x14ac:dyDescent="0.25">
      <c r="A4958" s="4" t="s">
        <v>4956</v>
      </c>
      <c r="B4958" s="4" t="s">
        <v>4550</v>
      </c>
      <c r="C4958" s="2" t="str">
        <f ca="1">IFERROR(__xludf.DUMMYFUNCTION("GOOGLETRANSLATE(A4958,""bn"",""en"")"),"The story was weak and the actors just memorized the dialogues")</f>
        <v>The story was weak and the actors just memorized the dialogues</v>
      </c>
      <c r="D4958" s="5"/>
      <c r="E4958" s="5"/>
      <c r="F4958" s="5"/>
      <c r="G4958" s="5"/>
      <c r="H4958" s="5"/>
      <c r="I4958" s="5"/>
      <c r="J4958" s="5"/>
      <c r="K4958" s="5"/>
      <c r="L4958" s="5"/>
      <c r="M4958" s="5"/>
      <c r="N4958" s="5"/>
      <c r="O4958" s="5"/>
      <c r="P4958" s="5"/>
      <c r="Q4958" s="5"/>
      <c r="R4958" s="5"/>
      <c r="S4958" s="5"/>
      <c r="T4958" s="5"/>
      <c r="U4958" s="5"/>
      <c r="V4958" s="5"/>
      <c r="W4958" s="5"/>
      <c r="X4958" s="5"/>
      <c r="Y4958" s="5"/>
      <c r="Z4958" s="5"/>
    </row>
    <row r="4959" spans="1:26" ht="15" x14ac:dyDescent="0.25">
      <c r="A4959" s="4" t="s">
        <v>4957</v>
      </c>
      <c r="B4959" s="4" t="s">
        <v>4550</v>
      </c>
      <c r="C4959" s="2" t="str">
        <f ca="1">IFERROR(__xludf.DUMMYFUNCTION("GOOGLETRANSLATE(A4959,""bn"",""en"")"),"What was the need to make a movie if there was no story?")</f>
        <v>What was the need to make a movie if there was no story?</v>
      </c>
      <c r="D4959" s="5"/>
      <c r="E4959" s="5"/>
      <c r="F4959" s="5"/>
      <c r="G4959" s="5"/>
      <c r="H4959" s="5"/>
      <c r="I4959" s="5"/>
      <c r="J4959" s="5"/>
      <c r="K4959" s="5"/>
      <c r="L4959" s="5"/>
      <c r="M4959" s="5"/>
      <c r="N4959" s="5"/>
      <c r="O4959" s="5"/>
      <c r="P4959" s="5"/>
      <c r="Q4959" s="5"/>
      <c r="R4959" s="5"/>
      <c r="S4959" s="5"/>
      <c r="T4959" s="5"/>
      <c r="U4959" s="5"/>
      <c r="V4959" s="5"/>
      <c r="W4959" s="5"/>
      <c r="X4959" s="5"/>
      <c r="Y4959" s="5"/>
      <c r="Z4959" s="5"/>
    </row>
    <row r="4960" spans="1:26" ht="15" x14ac:dyDescent="0.25">
      <c r="A4960" s="4" t="s">
        <v>4958</v>
      </c>
      <c r="B4960" s="4" t="s">
        <v>4550</v>
      </c>
      <c r="C4960" s="2" t="str">
        <f ca="1">IFERROR(__xludf.DUMMYFUNCTION("GOOGLETRANSLATE(A4960,""bn"",""en"")"),"I liked the picture so much, it was wonderful")</f>
        <v>I liked the picture so much, it was wonderful</v>
      </c>
      <c r="D4960" s="5"/>
      <c r="E4960" s="5"/>
      <c r="F4960" s="5"/>
      <c r="G4960" s="5"/>
      <c r="H4960" s="5"/>
      <c r="I4960" s="5"/>
      <c r="J4960" s="5"/>
      <c r="K4960" s="5"/>
      <c r="L4960" s="5"/>
      <c r="M4960" s="5"/>
      <c r="N4960" s="5"/>
      <c r="O4960" s="5"/>
      <c r="P4960" s="5"/>
      <c r="Q4960" s="5"/>
      <c r="R4960" s="5"/>
      <c r="S4960" s="5"/>
      <c r="T4960" s="5"/>
      <c r="U4960" s="5"/>
      <c r="V4960" s="5"/>
      <c r="W4960" s="5"/>
      <c r="X4960" s="5"/>
      <c r="Y4960" s="5"/>
      <c r="Z4960" s="5"/>
    </row>
    <row r="4961" spans="1:26" ht="15" x14ac:dyDescent="0.25">
      <c r="A4961" s="4" t="s">
        <v>4959</v>
      </c>
      <c r="B4961" s="4" t="s">
        <v>4550</v>
      </c>
      <c r="C4961" s="2" t="str">
        <f ca="1">IFERROR(__xludf.DUMMYFUNCTION("GOOGLETRANSLATE(A4961,""bn"",""en"")"),"I didn't understand what I saw and why I saw it. I was hoping to find something in the end but I was disappointed")</f>
        <v>I didn't understand what I saw and why I saw it. I was hoping to find something in the end but I was disappointed</v>
      </c>
      <c r="D4961" s="5"/>
      <c r="E4961" s="5"/>
      <c r="F4961" s="5"/>
      <c r="G4961" s="5"/>
      <c r="H4961" s="5"/>
      <c r="I4961" s="5"/>
      <c r="J4961" s="5"/>
      <c r="K4961" s="5"/>
      <c r="L4961" s="5"/>
      <c r="M4961" s="5"/>
      <c r="N4961" s="5"/>
      <c r="O4961" s="5"/>
      <c r="P4961" s="5"/>
      <c r="Q4961" s="5"/>
      <c r="R4961" s="5"/>
      <c r="S4961" s="5"/>
      <c r="T4961" s="5"/>
      <c r="U4961" s="5"/>
      <c r="V4961" s="5"/>
      <c r="W4961" s="5"/>
      <c r="X4961" s="5"/>
      <c r="Y4961" s="5"/>
      <c r="Z4961" s="5"/>
    </row>
    <row r="4962" spans="1:26" ht="15" x14ac:dyDescent="0.25">
      <c r="A4962" s="4" t="s">
        <v>4960</v>
      </c>
      <c r="B4962" s="4" t="s">
        <v>4550</v>
      </c>
      <c r="C4962" s="2" t="str">
        <f ca="1">IFERROR(__xludf.DUMMYFUNCTION("GOOGLETRANSLATE(A4962,""bn"",""en"")"),"They did not have the slightest knowledge of making pictures")</f>
        <v>They did not have the slightest knowledge of making pictures</v>
      </c>
      <c r="D4962" s="5"/>
      <c r="E4962" s="5"/>
      <c r="F4962" s="5"/>
      <c r="G4962" s="5"/>
      <c r="H4962" s="5"/>
      <c r="I4962" s="5"/>
      <c r="J4962" s="5"/>
      <c r="K4962" s="5"/>
      <c r="L4962" s="5"/>
      <c r="M4962" s="5"/>
      <c r="N4962" s="5"/>
      <c r="O4962" s="5"/>
      <c r="P4962" s="5"/>
      <c r="Q4962" s="5"/>
      <c r="R4962" s="5"/>
      <c r="S4962" s="5"/>
      <c r="T4962" s="5"/>
      <c r="U4962" s="5"/>
      <c r="V4962" s="5"/>
      <c r="W4962" s="5"/>
      <c r="X4962" s="5"/>
      <c r="Y4962" s="5"/>
      <c r="Z4962" s="5"/>
    </row>
    <row r="4963" spans="1:26" ht="15" x14ac:dyDescent="0.25">
      <c r="A4963" s="4" t="s">
        <v>4961</v>
      </c>
      <c r="B4963" s="4" t="s">
        <v>4550</v>
      </c>
      <c r="C4963" s="2" t="str">
        <f ca="1">IFERROR(__xludf.DUMMYFUNCTION("GOOGLETRANSLATE(A4963,""bn"",""en"")"),"The story, acting, and scenes were all excellent")</f>
        <v>The story, acting, and scenes were all excellent</v>
      </c>
      <c r="D4963" s="5"/>
      <c r="E4963" s="5"/>
      <c r="F4963" s="5"/>
      <c r="G4963" s="5"/>
      <c r="H4963" s="5"/>
      <c r="I4963" s="5"/>
      <c r="J4963" s="5"/>
      <c r="K4963" s="5"/>
      <c r="L4963" s="5"/>
      <c r="M4963" s="5"/>
      <c r="N4963" s="5"/>
      <c r="O4963" s="5"/>
      <c r="P4963" s="5"/>
      <c r="Q4963" s="5"/>
      <c r="R4963" s="5"/>
      <c r="S4963" s="5"/>
      <c r="T4963" s="5"/>
      <c r="U4963" s="5"/>
      <c r="V4963" s="5"/>
      <c r="W4963" s="5"/>
      <c r="X4963" s="5"/>
      <c r="Y4963" s="5"/>
      <c r="Z4963" s="5"/>
    </row>
    <row r="4964" spans="1:26" ht="15" x14ac:dyDescent="0.25">
      <c r="A4964" s="4" t="s">
        <v>4962</v>
      </c>
      <c r="B4964" s="4" t="s">
        <v>4550</v>
      </c>
      <c r="C4964" s="2" t="str">
        <f ca="1">IFERROR(__xludf.DUMMYFUNCTION("GOOGLETRANSLATE(A4964,""bn"",""en"")"),"What a movie bro, I ended up laughing at the movie")</f>
        <v>What a movie bro, I ended up laughing at the movie</v>
      </c>
      <c r="D4964" s="5"/>
      <c r="E4964" s="5"/>
      <c r="F4964" s="5"/>
      <c r="G4964" s="5"/>
      <c r="H4964" s="5"/>
      <c r="I4964" s="5"/>
      <c r="J4964" s="5"/>
      <c r="K4964" s="5"/>
      <c r="L4964" s="5"/>
      <c r="M4964" s="5"/>
      <c r="N4964" s="5"/>
      <c r="O4964" s="5"/>
      <c r="P4964" s="5"/>
      <c r="Q4964" s="5"/>
      <c r="R4964" s="5"/>
      <c r="S4964" s="5"/>
      <c r="T4964" s="5"/>
      <c r="U4964" s="5"/>
      <c r="V4964" s="5"/>
      <c r="W4964" s="5"/>
      <c r="X4964" s="5"/>
      <c r="Y4964" s="5"/>
      <c r="Z4964" s="5"/>
    </row>
    <row r="4965" spans="1:26" ht="15" x14ac:dyDescent="0.25">
      <c r="A4965" s="4" t="s">
        <v>4963</v>
      </c>
      <c r="B4965" s="4" t="s">
        <v>4550</v>
      </c>
      <c r="C4965" s="2" t="str">
        <f ca="1">IFERROR(__xludf.DUMMYFUNCTION("GOOGLETRANSLATE(A4965,""bn"",""en"")"),"You can watch the movie, I also liked it very well")</f>
        <v>You can watch the movie, I also liked it very well</v>
      </c>
      <c r="D4965" s="5"/>
      <c r="E4965" s="5"/>
      <c r="F4965" s="5"/>
      <c r="G4965" s="5"/>
      <c r="H4965" s="5"/>
      <c r="I4965" s="5"/>
      <c r="J4965" s="5"/>
      <c r="K4965" s="5"/>
      <c r="L4965" s="5"/>
      <c r="M4965" s="5"/>
      <c r="N4965" s="5"/>
      <c r="O4965" s="5"/>
      <c r="P4965" s="5"/>
      <c r="Q4965" s="5"/>
      <c r="R4965" s="5"/>
      <c r="S4965" s="5"/>
      <c r="T4965" s="5"/>
      <c r="U4965" s="5"/>
      <c r="V4965" s="5"/>
      <c r="W4965" s="5"/>
      <c r="X4965" s="5"/>
      <c r="Y4965" s="5"/>
      <c r="Z4965" s="5"/>
    </row>
    <row r="4966" spans="1:26" ht="15" x14ac:dyDescent="0.25">
      <c r="A4966" s="4" t="s">
        <v>4964</v>
      </c>
      <c r="B4966" s="4" t="s">
        <v>4550</v>
      </c>
      <c r="C4966" s="2" t="str">
        <f ca="1">IFERROR(__xludf.DUMMYFUNCTION("GOOGLETRANSLATE(A4966,""bn"",""en"")"),"Third class was a picture")</f>
        <v>Third class was a picture</v>
      </c>
      <c r="D4966" s="5"/>
      <c r="E4966" s="5"/>
      <c r="F4966" s="5"/>
      <c r="G4966" s="5"/>
      <c r="H4966" s="5"/>
      <c r="I4966" s="5"/>
      <c r="J4966" s="5"/>
      <c r="K4966" s="5"/>
      <c r="L4966" s="5"/>
      <c r="M4966" s="5"/>
      <c r="N4966" s="5"/>
      <c r="O4966" s="5"/>
      <c r="P4966" s="5"/>
      <c r="Q4966" s="5"/>
      <c r="R4966" s="5"/>
      <c r="S4966" s="5"/>
      <c r="T4966" s="5"/>
      <c r="U4966" s="5"/>
      <c r="V4966" s="5"/>
      <c r="W4966" s="5"/>
      <c r="X4966" s="5"/>
      <c r="Y4966" s="5"/>
      <c r="Z4966" s="5"/>
    </row>
    <row r="4967" spans="1:26" ht="15" x14ac:dyDescent="0.25">
      <c r="A4967" s="4" t="s">
        <v>4965</v>
      </c>
      <c r="B4967" s="4" t="s">
        <v>4550</v>
      </c>
      <c r="C4967" s="2" t="str">
        <f ca="1">IFERROR(__xludf.DUMMYFUNCTION("GOOGLETRANSLATE(A4967,""bn"",""en"")"),"After watching these movies, I got excited about movies")</f>
        <v>After watching these movies, I got excited about movies</v>
      </c>
      <c r="D4967" s="5"/>
      <c r="E4967" s="5"/>
      <c r="F4967" s="5"/>
      <c r="G4967" s="5"/>
      <c r="H4967" s="5"/>
      <c r="I4967" s="5"/>
      <c r="J4967" s="5"/>
      <c r="K4967" s="5"/>
      <c r="L4967" s="5"/>
      <c r="M4967" s="5"/>
      <c r="N4967" s="5"/>
      <c r="O4967" s="5"/>
      <c r="P4967" s="5"/>
      <c r="Q4967" s="5"/>
      <c r="R4967" s="5"/>
      <c r="S4967" s="5"/>
      <c r="T4967" s="5"/>
      <c r="U4967" s="5"/>
      <c r="V4967" s="5"/>
      <c r="W4967" s="5"/>
      <c r="X4967" s="5"/>
      <c r="Y4967" s="5"/>
      <c r="Z4967" s="5"/>
    </row>
    <row r="4968" spans="1:26" ht="15" x14ac:dyDescent="0.25">
      <c r="A4968" s="4" t="s">
        <v>4966</v>
      </c>
      <c r="B4968" s="4" t="s">
        <v>4550</v>
      </c>
      <c r="C4968" s="2" t="str">
        <f ca="1">IFERROR(__xludf.DUMMYFUNCTION("GOOGLETRANSLATE(A4968,""bn"",""en"")"),"Every time I saw the picture, tears flowed from my eyes")</f>
        <v>Every time I saw the picture, tears flowed from my eyes</v>
      </c>
      <c r="D4968" s="5"/>
      <c r="E4968" s="5"/>
      <c r="F4968" s="5"/>
      <c r="G4968" s="5"/>
      <c r="H4968" s="5"/>
      <c r="I4968" s="5"/>
      <c r="J4968" s="5"/>
      <c r="K4968" s="5"/>
      <c r="L4968" s="5"/>
      <c r="M4968" s="5"/>
      <c r="N4968" s="5"/>
      <c r="O4968" s="5"/>
      <c r="P4968" s="5"/>
      <c r="Q4968" s="5"/>
      <c r="R4968" s="5"/>
      <c r="S4968" s="5"/>
      <c r="T4968" s="5"/>
      <c r="U4968" s="5"/>
      <c r="V4968" s="5"/>
      <c r="W4968" s="5"/>
      <c r="X4968" s="5"/>
      <c r="Y4968" s="5"/>
      <c r="Z4968" s="5"/>
    </row>
    <row r="4969" spans="1:26" ht="15" x14ac:dyDescent="0.25">
      <c r="A4969" s="4" t="s">
        <v>4967</v>
      </c>
      <c r="B4969" s="4" t="s">
        <v>4550</v>
      </c>
      <c r="C4969" s="2" t="str">
        <f ca="1">IFERROR(__xludf.DUMMYFUNCTION("GOOGLETRANSLATE(A4969,""bn"",""en"")"),"Some of Dibjal's performances caused a panic in the society at that time")</f>
        <v>Some of Dibjal's performances caused a panic in the society at that time</v>
      </c>
      <c r="D4969" s="5"/>
      <c r="E4969" s="5"/>
      <c r="F4969" s="5"/>
      <c r="G4969" s="5"/>
      <c r="H4969" s="5"/>
      <c r="I4969" s="5"/>
      <c r="J4969" s="5"/>
      <c r="K4969" s="5"/>
      <c r="L4969" s="5"/>
      <c r="M4969" s="5"/>
      <c r="N4969" s="5"/>
      <c r="O4969" s="5"/>
      <c r="P4969" s="5"/>
      <c r="Q4969" s="5"/>
      <c r="R4969" s="5"/>
      <c r="S4969" s="5"/>
      <c r="T4969" s="5"/>
      <c r="U4969" s="5"/>
      <c r="V4969" s="5"/>
      <c r="W4969" s="5"/>
      <c r="X4969" s="5"/>
      <c r="Y4969" s="5"/>
      <c r="Z4969" s="5"/>
    </row>
    <row r="4970" spans="1:26" ht="15" x14ac:dyDescent="0.25">
      <c r="A4970" s="4" t="s">
        <v>4968</v>
      </c>
      <c r="B4970" s="4" t="s">
        <v>4550</v>
      </c>
      <c r="C4970" s="2" t="str">
        <f ca="1">IFERROR(__xludf.DUMMYFUNCTION("GOOGLETRANSLATE(A4970,""bn"",""en"")"),"It was a very bad movie")</f>
        <v>It was a very bad movie</v>
      </c>
      <c r="D4970" s="5"/>
      <c r="E4970" s="5"/>
      <c r="F4970" s="5"/>
      <c r="G4970" s="5"/>
      <c r="H4970" s="5"/>
      <c r="I4970" s="5"/>
      <c r="J4970" s="5"/>
      <c r="K4970" s="5"/>
      <c r="L4970" s="5"/>
      <c r="M4970" s="5"/>
      <c r="N4970" s="5"/>
      <c r="O4970" s="5"/>
      <c r="P4970" s="5"/>
      <c r="Q4970" s="5"/>
      <c r="R4970" s="5"/>
      <c r="S4970" s="5"/>
      <c r="T4970" s="5"/>
      <c r="U4970" s="5"/>
      <c r="V4970" s="5"/>
      <c r="W4970" s="5"/>
      <c r="X4970" s="5"/>
      <c r="Y4970" s="5"/>
      <c r="Z4970" s="5"/>
    </row>
    <row r="4971" spans="1:26" ht="15" x14ac:dyDescent="0.25">
      <c r="A4971" s="4" t="s">
        <v>4969</v>
      </c>
      <c r="B4971" s="4" t="s">
        <v>4550</v>
      </c>
      <c r="C4971" s="2" t="str">
        <f ca="1">IFERROR(__xludf.DUMMYFUNCTION("GOOGLETRANSLATE(A4971,""bn"",""en"")"),"I don't know why I know this story made me cry it was a very beautiful story")</f>
        <v>I don't know why I know this story made me cry it was a very beautiful story</v>
      </c>
      <c r="D4971" s="5"/>
      <c r="E4971" s="5"/>
      <c r="F4971" s="5"/>
      <c r="G4971" s="5"/>
      <c r="H4971" s="5"/>
      <c r="I4971" s="5"/>
      <c r="J4971" s="5"/>
      <c r="K4971" s="5"/>
      <c r="L4971" s="5"/>
      <c r="M4971" s="5"/>
      <c r="N4971" s="5"/>
      <c r="O4971" s="5"/>
      <c r="P4971" s="5"/>
      <c r="Q4971" s="5"/>
      <c r="R4971" s="5"/>
      <c r="S4971" s="5"/>
      <c r="T4971" s="5"/>
      <c r="U4971" s="5"/>
      <c r="V4971" s="5"/>
      <c r="W4971" s="5"/>
      <c r="X4971" s="5"/>
      <c r="Y4971" s="5"/>
      <c r="Z4971" s="5"/>
    </row>
    <row r="4972" spans="1:26" ht="15" x14ac:dyDescent="0.25">
      <c r="A4972" s="4" t="s">
        <v>4970</v>
      </c>
      <c r="B4972" s="4" t="s">
        <v>4550</v>
      </c>
      <c r="C4972" s="2" t="str">
        <f ca="1">IFERROR(__xludf.DUMMYFUNCTION("GOOGLETRANSLATE(A4972,""bn"",""en"")"),"Debashish Biswas movie was not good at all")</f>
        <v>Debashish Biswas movie was not good at all</v>
      </c>
      <c r="D4972" s="5"/>
      <c r="E4972" s="5"/>
      <c r="F4972" s="5"/>
      <c r="G4972" s="5"/>
      <c r="H4972" s="5"/>
      <c r="I4972" s="5"/>
      <c r="J4972" s="5"/>
      <c r="K4972" s="5"/>
      <c r="L4972" s="5"/>
      <c r="M4972" s="5"/>
      <c r="N4972" s="5"/>
      <c r="O4972" s="5"/>
      <c r="P4972" s="5"/>
      <c r="Q4972" s="5"/>
      <c r="R4972" s="5"/>
      <c r="S4972" s="5"/>
      <c r="T4972" s="5"/>
      <c r="U4972" s="5"/>
      <c r="V4972" s="5"/>
      <c r="W4972" s="5"/>
      <c r="X4972" s="5"/>
      <c r="Y4972" s="5"/>
      <c r="Z4972" s="5"/>
    </row>
    <row r="4973" spans="1:26" ht="15" x14ac:dyDescent="0.25">
      <c r="A4973" s="4" t="s">
        <v>4971</v>
      </c>
      <c r="B4973" s="4" t="s">
        <v>4550</v>
      </c>
      <c r="C4973" s="2" t="str">
        <f ca="1">IFERROR(__xludf.DUMMYFUNCTION("GOOGLETRANSLATE(A4973,""bn"",""en"")"),"It means that no new stories came to the minds of the directors of Bangladesh")</f>
        <v>It means that no new stories came to the minds of the directors of Bangladesh</v>
      </c>
      <c r="D4973" s="5"/>
      <c r="E4973" s="5"/>
      <c r="F4973" s="5"/>
      <c r="G4973" s="5"/>
      <c r="H4973" s="5"/>
      <c r="I4973" s="5"/>
      <c r="J4973" s="5"/>
      <c r="K4973" s="5"/>
      <c r="L4973" s="5"/>
      <c r="M4973" s="5"/>
      <c r="N4973" s="5"/>
      <c r="O4973" s="5"/>
      <c r="P4973" s="5"/>
      <c r="Q4973" s="5"/>
      <c r="R4973" s="5"/>
      <c r="S4973" s="5"/>
      <c r="T4973" s="5"/>
      <c r="U4973" s="5"/>
      <c r="V4973" s="5"/>
      <c r="W4973" s="5"/>
      <c r="X4973" s="5"/>
      <c r="Y4973" s="5"/>
      <c r="Z4973" s="5"/>
    </row>
    <row r="4974" spans="1:26" ht="15" x14ac:dyDescent="0.25">
      <c r="A4974" s="4" t="s">
        <v>4972</v>
      </c>
      <c r="B4974" s="4" t="s">
        <v>4550</v>
      </c>
      <c r="C4974" s="2" t="str">
        <f ca="1">IFERROR(__xludf.DUMMYFUNCTION("GOOGLETRANSLATE(A4974,""bn"",""en"")"),"Ammajan was the best film in the history of Bangladesh")</f>
        <v>Ammajan was the best film in the history of Bangladesh</v>
      </c>
      <c r="D4974" s="5"/>
      <c r="E4974" s="5"/>
      <c r="F4974" s="5"/>
      <c r="G4974" s="5"/>
      <c r="H4974" s="5"/>
      <c r="I4974" s="5"/>
      <c r="J4974" s="5"/>
      <c r="K4974" s="5"/>
      <c r="L4974" s="5"/>
      <c r="M4974" s="5"/>
      <c r="N4974" s="5"/>
      <c r="O4974" s="5"/>
      <c r="P4974" s="5"/>
      <c r="Q4974" s="5"/>
      <c r="R4974" s="5"/>
      <c r="S4974" s="5"/>
      <c r="T4974" s="5"/>
      <c r="U4974" s="5"/>
      <c r="V4974" s="5"/>
      <c r="W4974" s="5"/>
      <c r="X4974" s="5"/>
      <c r="Y4974" s="5"/>
      <c r="Z4974" s="5"/>
    </row>
    <row r="4975" spans="1:26" ht="15" x14ac:dyDescent="0.25">
      <c r="A4975" s="4" t="s">
        <v>4973</v>
      </c>
      <c r="B4975" s="4" t="s">
        <v>4550</v>
      </c>
      <c r="C4975" s="2" t="str">
        <f ca="1">IFERROR(__xludf.DUMMYFUNCTION("GOOGLETRANSLATE(A4975,""bn"",""en"")"),"It was a wonderful picture that brought tears to my eyes")</f>
        <v>It was a wonderful picture that brought tears to my eyes</v>
      </c>
      <c r="D4975" s="5"/>
      <c r="E4975" s="5"/>
      <c r="F4975" s="5"/>
      <c r="G4975" s="5"/>
      <c r="H4975" s="5"/>
      <c r="I4975" s="5"/>
      <c r="J4975" s="5"/>
      <c r="K4975" s="5"/>
      <c r="L4975" s="5"/>
      <c r="M4975" s="5"/>
      <c r="N4975" s="5"/>
      <c r="O4975" s="5"/>
      <c r="P4975" s="5"/>
      <c r="Q4975" s="5"/>
      <c r="R4975" s="5"/>
      <c r="S4975" s="5"/>
      <c r="T4975" s="5"/>
      <c r="U4975" s="5"/>
      <c r="V4975" s="5"/>
      <c r="W4975" s="5"/>
      <c r="X4975" s="5"/>
      <c r="Y4975" s="5"/>
      <c r="Z4975" s="5"/>
    </row>
    <row r="4976" spans="1:26" ht="15" x14ac:dyDescent="0.25">
      <c r="A4976" s="4" t="s">
        <v>4974</v>
      </c>
      <c r="B4976" s="4" t="s">
        <v>4550</v>
      </c>
      <c r="C4976" s="2" t="str">
        <f ca="1">IFERROR(__xludf.DUMMYFUNCTION("GOOGLETRANSLATE(A4976,""bn"",""en"")"),"Here the mother was so busy with herself she was with herself and did not care what was going on with a little child.")</f>
        <v>Here the mother was so busy with herself she was with herself and did not care what was going on with a little child.</v>
      </c>
      <c r="D4976" s="5"/>
      <c r="E4976" s="5"/>
      <c r="F4976" s="5"/>
      <c r="G4976" s="5"/>
      <c r="H4976" s="5"/>
      <c r="I4976" s="5"/>
      <c r="J4976" s="5"/>
      <c r="K4976" s="5"/>
      <c r="L4976" s="5"/>
      <c r="M4976" s="5"/>
      <c r="N4976" s="5"/>
      <c r="O4976" s="5"/>
      <c r="P4976" s="5"/>
      <c r="Q4976" s="5"/>
      <c r="R4976" s="5"/>
      <c r="S4976" s="5"/>
      <c r="T4976" s="5"/>
      <c r="U4976" s="5"/>
      <c r="V4976" s="5"/>
      <c r="W4976" s="5"/>
      <c r="X4976" s="5"/>
      <c r="Y4976" s="5"/>
      <c r="Z4976" s="5"/>
    </row>
    <row r="4977" spans="1:26" ht="15" x14ac:dyDescent="0.25">
      <c r="A4977" s="4" t="s">
        <v>4975</v>
      </c>
      <c r="B4977" s="4" t="s">
        <v>4550</v>
      </c>
      <c r="C4977" s="2" t="str">
        <f ca="1">IFERROR(__xludf.DUMMYFUNCTION("GOOGLETRANSLATE(A4977,""bn"",""en"")"),"I just wasted my sleep and watched a stupid movie")</f>
        <v>I just wasted my sleep and watched a stupid movie</v>
      </c>
      <c r="D4977" s="5"/>
      <c r="E4977" s="5"/>
      <c r="F4977" s="5"/>
      <c r="G4977" s="5"/>
      <c r="H4977" s="5"/>
      <c r="I4977" s="5"/>
      <c r="J4977" s="5"/>
      <c r="K4977" s="5"/>
      <c r="L4977" s="5"/>
      <c r="M4977" s="5"/>
      <c r="N4977" s="5"/>
      <c r="O4977" s="5"/>
      <c r="P4977" s="5"/>
      <c r="Q4977" s="5"/>
      <c r="R4977" s="5"/>
      <c r="S4977" s="5"/>
      <c r="T4977" s="5"/>
      <c r="U4977" s="5"/>
      <c r="V4977" s="5"/>
      <c r="W4977" s="5"/>
      <c r="X4977" s="5"/>
      <c r="Y4977" s="5"/>
      <c r="Z4977" s="5"/>
    </row>
    <row r="4978" spans="1:26" ht="15" x14ac:dyDescent="0.25">
      <c r="A4978" s="4" t="s">
        <v>4976</v>
      </c>
      <c r="B4978" s="4" t="s">
        <v>4550</v>
      </c>
      <c r="C4978" s="2" t="str">
        <f ca="1">IFERROR(__xludf.DUMMYFUNCTION("GOOGLETRANSLATE(A4978,""bn"",""en"")"),"An extraordinary example of love was seen in this movie")</f>
        <v>An extraordinary example of love was seen in this movie</v>
      </c>
      <c r="D4978" s="5"/>
      <c r="E4978" s="5"/>
      <c r="F4978" s="5"/>
      <c r="G4978" s="5"/>
      <c r="H4978" s="5"/>
      <c r="I4978" s="5"/>
      <c r="J4978" s="5"/>
      <c r="K4978" s="5"/>
      <c r="L4978" s="5"/>
      <c r="M4978" s="5"/>
      <c r="N4978" s="5"/>
      <c r="O4978" s="5"/>
      <c r="P4978" s="5"/>
      <c r="Q4978" s="5"/>
      <c r="R4978" s="5"/>
      <c r="S4978" s="5"/>
      <c r="T4978" s="5"/>
      <c r="U4978" s="5"/>
      <c r="V4978" s="5"/>
      <c r="W4978" s="5"/>
      <c r="X4978" s="5"/>
      <c r="Y4978" s="5"/>
      <c r="Z4978" s="5"/>
    </row>
    <row r="4979" spans="1:26" ht="15" x14ac:dyDescent="0.25">
      <c r="A4979" s="4" t="s">
        <v>4977</v>
      </c>
      <c r="B4979" s="4" t="s">
        <v>4550</v>
      </c>
      <c r="C4979" s="2" t="str">
        <f ca="1">IFERROR(__xludf.DUMMYFUNCTION("GOOGLETRANSLATE(A4979,""bn"",""en"")"),"I had seen the movie Fartu a long time ago")</f>
        <v>I had seen the movie Fartu a long time ago</v>
      </c>
      <c r="D4979" s="5"/>
      <c r="E4979" s="5"/>
      <c r="F4979" s="5"/>
      <c r="G4979" s="5"/>
      <c r="H4979" s="5"/>
      <c r="I4979" s="5"/>
      <c r="J4979" s="5"/>
      <c r="K4979" s="5"/>
      <c r="L4979" s="5"/>
      <c r="M4979" s="5"/>
      <c r="N4979" s="5"/>
      <c r="O4979" s="5"/>
      <c r="P4979" s="5"/>
      <c r="Q4979" s="5"/>
      <c r="R4979" s="5"/>
      <c r="S4979" s="5"/>
      <c r="T4979" s="5"/>
      <c r="U4979" s="5"/>
      <c r="V4979" s="5"/>
      <c r="W4979" s="5"/>
      <c r="X4979" s="5"/>
      <c r="Y4979" s="5"/>
      <c r="Z4979" s="5"/>
    </row>
    <row r="4980" spans="1:26" ht="15" x14ac:dyDescent="0.25">
      <c r="A4980" s="4" t="s">
        <v>4978</v>
      </c>
      <c r="B4980" s="4" t="s">
        <v>4550</v>
      </c>
      <c r="C4980" s="2" t="str">
        <f ca="1">IFERROR(__xludf.DUMMYFUNCTION("GOOGLETRANSLATE(A4980,""bn"",""en"")"),"Seeing their tears, I was smiling whether Bapu was crying or Baba was acting")</f>
        <v>Seeing their tears, I was smiling whether Bapu was crying or Baba was acting</v>
      </c>
      <c r="D4980" s="5"/>
      <c r="E4980" s="5"/>
      <c r="F4980" s="5"/>
      <c r="G4980" s="5"/>
      <c r="H4980" s="5"/>
      <c r="I4980" s="5"/>
      <c r="J4980" s="5"/>
      <c r="K4980" s="5"/>
      <c r="L4980" s="5"/>
      <c r="M4980" s="5"/>
      <c r="N4980" s="5"/>
      <c r="O4980" s="5"/>
      <c r="P4980" s="5"/>
      <c r="Q4980" s="5"/>
      <c r="R4980" s="5"/>
      <c r="S4980" s="5"/>
      <c r="T4980" s="5"/>
      <c r="U4980" s="5"/>
      <c r="V4980" s="5"/>
      <c r="W4980" s="5"/>
      <c r="X4980" s="5"/>
      <c r="Y4980" s="5"/>
      <c r="Z4980" s="5"/>
    </row>
    <row r="4981" spans="1:26" ht="15" x14ac:dyDescent="0.25">
      <c r="A4981" s="4" t="s">
        <v>4979</v>
      </c>
      <c r="B4981" s="4" t="s">
        <v>4550</v>
      </c>
      <c r="C4981" s="2" t="str">
        <f ca="1">IFERROR(__xludf.DUMMYFUNCTION("GOOGLETRANSLATE(A4981,""bn"",""en"")"),"Abol Tabol had no basis in reality")</f>
        <v>Abol Tabol had no basis in reality</v>
      </c>
      <c r="D4981" s="5"/>
      <c r="E4981" s="5"/>
      <c r="F4981" s="5"/>
      <c r="G4981" s="5"/>
      <c r="H4981" s="5"/>
      <c r="I4981" s="5"/>
      <c r="J4981" s="5"/>
      <c r="K4981" s="5"/>
      <c r="L4981" s="5"/>
      <c r="M4981" s="5"/>
      <c r="N4981" s="5"/>
      <c r="O4981" s="5"/>
      <c r="P4981" s="5"/>
      <c r="Q4981" s="5"/>
      <c r="R4981" s="5"/>
      <c r="S4981" s="5"/>
      <c r="T4981" s="5"/>
      <c r="U4981" s="5"/>
      <c r="V4981" s="5"/>
      <c r="W4981" s="5"/>
      <c r="X4981" s="5"/>
      <c r="Y4981" s="5"/>
      <c r="Z4981" s="5"/>
    </row>
    <row r="4982" spans="1:26" ht="15" x14ac:dyDescent="0.25">
      <c r="A4982" s="4" t="s">
        <v>4980</v>
      </c>
      <c r="B4982" s="4" t="s">
        <v>4550</v>
      </c>
      <c r="C4982" s="2" t="str">
        <f ca="1">IFERROR(__xludf.DUMMYFUNCTION("GOOGLETRANSLATE(A4982,""bn"",""en"")"),"I have never seen a bad movie")</f>
        <v>I have never seen a bad movie</v>
      </c>
      <c r="D4982" s="5"/>
      <c r="E4982" s="5"/>
      <c r="F4982" s="5"/>
      <c r="G4982" s="5"/>
      <c r="H4982" s="5"/>
      <c r="I4982" s="5"/>
      <c r="J4982" s="5"/>
      <c r="K4982" s="5"/>
      <c r="L4982" s="5"/>
      <c r="M4982" s="5"/>
      <c r="N4982" s="5"/>
      <c r="O4982" s="5"/>
      <c r="P4982" s="5"/>
      <c r="Q4982" s="5"/>
      <c r="R4982" s="5"/>
      <c r="S4982" s="5"/>
      <c r="T4982" s="5"/>
      <c r="U4982" s="5"/>
      <c r="V4982" s="5"/>
      <c r="W4982" s="5"/>
      <c r="X4982" s="5"/>
      <c r="Y4982" s="5"/>
      <c r="Z4982" s="5"/>
    </row>
    <row r="4983" spans="1:26" ht="15" x14ac:dyDescent="0.25">
      <c r="A4983" s="4" t="s">
        <v>4981</v>
      </c>
      <c r="B4983" s="4" t="s">
        <v>4550</v>
      </c>
      <c r="C4983" s="2" t="str">
        <f ca="1">IFERROR(__xludf.DUMMYFUNCTION("GOOGLETRANSLATE(A4983,""bn"",""en"")"),"Shabana's eating this ritual was boring")</f>
        <v>Shabana's eating this ritual was boring</v>
      </c>
      <c r="D4983" s="5"/>
      <c r="E4983" s="5"/>
      <c r="F4983" s="5"/>
      <c r="G4983" s="5"/>
      <c r="H4983" s="5"/>
      <c r="I4983" s="5"/>
      <c r="J4983" s="5"/>
      <c r="K4983" s="5"/>
      <c r="L4983" s="5"/>
      <c r="M4983" s="5"/>
      <c r="N4983" s="5"/>
      <c r="O4983" s="5"/>
      <c r="P4983" s="5"/>
      <c r="Q4983" s="5"/>
      <c r="R4983" s="5"/>
      <c r="S4983" s="5"/>
      <c r="T4983" s="5"/>
      <c r="U4983" s="5"/>
      <c r="V4983" s="5"/>
      <c r="W4983" s="5"/>
      <c r="X4983" s="5"/>
      <c r="Y4983" s="5"/>
      <c r="Z4983" s="5"/>
    </row>
    <row r="4984" spans="1:26" ht="15" x14ac:dyDescent="0.25">
      <c r="A4984" s="4" t="s">
        <v>4982</v>
      </c>
      <c r="B4984" s="4" t="s">
        <v>4550</v>
      </c>
      <c r="C4984" s="2" t="str">
        <f ca="1">IFERROR(__xludf.DUMMYFUNCTION("GOOGLETRANSLATE(A4984,""bn"",""en"")"),"I have seen many movies in my life, but I have never seen a movie with such a twist")</f>
        <v>I have seen many movies in my life, but I have never seen a movie with such a twist</v>
      </c>
      <c r="D4984" s="5"/>
      <c r="E4984" s="5"/>
      <c r="F4984" s="5"/>
      <c r="G4984" s="5"/>
      <c r="H4984" s="5"/>
      <c r="I4984" s="5"/>
      <c r="J4984" s="5"/>
      <c r="K4984" s="5"/>
      <c r="L4984" s="5"/>
      <c r="M4984" s="5"/>
      <c r="N4984" s="5"/>
      <c r="O4984" s="5"/>
      <c r="P4984" s="5"/>
      <c r="Q4984" s="5"/>
      <c r="R4984" s="5"/>
      <c r="S4984" s="5"/>
      <c r="T4984" s="5"/>
      <c r="U4984" s="5"/>
      <c r="V4984" s="5"/>
      <c r="W4984" s="5"/>
      <c r="X4984" s="5"/>
      <c r="Y4984" s="5"/>
      <c r="Z4984" s="5"/>
    </row>
    <row r="4985" spans="1:26" ht="15" x14ac:dyDescent="0.25">
      <c r="A4985" s="4" t="s">
        <v>4983</v>
      </c>
      <c r="B4985" s="4" t="s">
        <v>4550</v>
      </c>
      <c r="C4985" s="2" t="str">
        <f ca="1">IFERROR(__xludf.DUMMYFUNCTION("GOOGLETRANSLATE(A4985,""bn"",""en"")"),"I was ashamed to give a review about them")</f>
        <v>I was ashamed to give a review about them</v>
      </c>
      <c r="D4985" s="5"/>
      <c r="E4985" s="5"/>
      <c r="F4985" s="5"/>
      <c r="G4985" s="5"/>
      <c r="H4985" s="5"/>
      <c r="I4985" s="5"/>
      <c r="J4985" s="5"/>
      <c r="K4985" s="5"/>
      <c r="L4985" s="5"/>
      <c r="M4985" s="5"/>
      <c r="N4985" s="5"/>
      <c r="O4985" s="5"/>
      <c r="P4985" s="5"/>
      <c r="Q4985" s="5"/>
      <c r="R4985" s="5"/>
      <c r="S4985" s="5"/>
      <c r="T4985" s="5"/>
      <c r="U4985" s="5"/>
      <c r="V4985" s="5"/>
      <c r="W4985" s="5"/>
      <c r="X4985" s="5"/>
      <c r="Y4985" s="5"/>
      <c r="Z4985" s="5"/>
    </row>
    <row r="4986" spans="1:26" ht="15" x14ac:dyDescent="0.25">
      <c r="A4986" s="4" t="s">
        <v>4984</v>
      </c>
      <c r="B4986" s="4" t="s">
        <v>4550</v>
      </c>
      <c r="C4986" s="2" t="str">
        <f ca="1">IFERROR(__xludf.DUMMYFUNCTION("GOOGLETRANSLATE(A4986,""bn"",""en"")"),"There was a limit to junk movies")</f>
        <v>There was a limit to junk movies</v>
      </c>
      <c r="D4986" s="5"/>
      <c r="E4986" s="5"/>
      <c r="F4986" s="5"/>
      <c r="G4986" s="5"/>
      <c r="H4986" s="5"/>
      <c r="I4986" s="5"/>
      <c r="J4986" s="5"/>
      <c r="K4986" s="5"/>
      <c r="L4986" s="5"/>
      <c r="M4986" s="5"/>
      <c r="N4986" s="5"/>
      <c r="O4986" s="5"/>
      <c r="P4986" s="5"/>
      <c r="Q4986" s="5"/>
      <c r="R4986" s="5"/>
      <c r="S4986" s="5"/>
      <c r="T4986" s="5"/>
      <c r="U4986" s="5"/>
      <c r="V4986" s="5"/>
      <c r="W4986" s="5"/>
      <c r="X4986" s="5"/>
      <c r="Y4986" s="5"/>
      <c r="Z4986" s="5"/>
    </row>
    <row r="4987" spans="1:26" ht="15" x14ac:dyDescent="0.25">
      <c r="A4987" s="4" t="s">
        <v>4985</v>
      </c>
      <c r="B4987" s="4" t="s">
        <v>4550</v>
      </c>
      <c r="C4987" s="2" t="str">
        <f ca="1">IFERROR(__xludf.DUMMYFUNCTION("GOOGLETRANSLATE(A4987,""bn"",""en"")"),"I used to like this movie a lot in my childhood, I used to live in West Bengal from India, today after eleven years I saw this movie and felt very happy.")</f>
        <v>I used to like this movie a lot in my childhood, I used to live in West Bengal from India, today after eleven years I saw this movie and felt very happy.</v>
      </c>
      <c r="D4987" s="5"/>
      <c r="E4987" s="5"/>
      <c r="F4987" s="5"/>
      <c r="G4987" s="5"/>
      <c r="H4987" s="5"/>
      <c r="I4987" s="5"/>
      <c r="J4987" s="5"/>
      <c r="K4987" s="5"/>
      <c r="L4987" s="5"/>
      <c r="M4987" s="5"/>
      <c r="N4987" s="5"/>
      <c r="O4987" s="5"/>
      <c r="P4987" s="5"/>
      <c r="Q4987" s="5"/>
      <c r="R4987" s="5"/>
      <c r="S4987" s="5"/>
      <c r="T4987" s="5"/>
      <c r="U4987" s="5"/>
      <c r="V4987" s="5"/>
      <c r="W4987" s="5"/>
      <c r="X4987" s="5"/>
      <c r="Y4987" s="5"/>
      <c r="Z4987" s="5"/>
    </row>
    <row r="4988" spans="1:26" ht="15" x14ac:dyDescent="0.25">
      <c r="A4988" s="4" t="s">
        <v>4986</v>
      </c>
      <c r="B4988" s="4" t="s">
        <v>4550</v>
      </c>
      <c r="C4988" s="2" t="str">
        <f ca="1">IFERROR(__xludf.DUMMYFUNCTION("GOOGLETRANSLATE(A4988,""bn"",""en"")"),"How beautiful Bengali movies were the movies watched with mother or brother and sister")</f>
        <v>How beautiful Bengali movies were the movies watched with mother or brother and sister</v>
      </c>
      <c r="D4988" s="5"/>
      <c r="E4988" s="5"/>
      <c r="F4988" s="5"/>
      <c r="G4988" s="5"/>
      <c r="H4988" s="5"/>
      <c r="I4988" s="5"/>
      <c r="J4988" s="5"/>
      <c r="K4988" s="5"/>
      <c r="L4988" s="5"/>
      <c r="M4988" s="5"/>
      <c r="N4988" s="5"/>
      <c r="O4988" s="5"/>
      <c r="P4988" s="5"/>
      <c r="Q4988" s="5"/>
      <c r="R4988" s="5"/>
      <c r="S4988" s="5"/>
      <c r="T4988" s="5"/>
      <c r="U4988" s="5"/>
      <c r="V4988" s="5"/>
      <c r="W4988" s="5"/>
      <c r="X4988" s="5"/>
      <c r="Y4988" s="5"/>
      <c r="Z4988" s="5"/>
    </row>
    <row r="4989" spans="1:26" ht="15" x14ac:dyDescent="0.25">
      <c r="A4989" s="4" t="s">
        <v>4987</v>
      </c>
      <c r="B4989" s="4" t="s">
        <v>4550</v>
      </c>
      <c r="C4989" s="2" t="str">
        <f ca="1">IFERROR(__xludf.DUMMYFUNCTION("GOOGLETRANSLATE(A4989,""bn"",""en"")"),"The picture of the village was a wonderful picture")</f>
        <v>The picture of the village was a wonderful picture</v>
      </c>
      <c r="D4989" s="5"/>
      <c r="E4989" s="5"/>
      <c r="F4989" s="5"/>
      <c r="G4989" s="5"/>
      <c r="H4989" s="5"/>
      <c r="I4989" s="5"/>
      <c r="J4989" s="5"/>
      <c r="K4989" s="5"/>
      <c r="L4989" s="5"/>
      <c r="M4989" s="5"/>
      <c r="N4989" s="5"/>
      <c r="O4989" s="5"/>
      <c r="P4989" s="5"/>
      <c r="Q4989" s="5"/>
      <c r="R4989" s="5"/>
      <c r="S4989" s="5"/>
      <c r="T4989" s="5"/>
      <c r="U4989" s="5"/>
      <c r="V4989" s="5"/>
      <c r="W4989" s="5"/>
      <c r="X4989" s="5"/>
      <c r="Y4989" s="5"/>
      <c r="Z4989" s="5"/>
    </row>
    <row r="4990" spans="1:26" ht="15" x14ac:dyDescent="0.25">
      <c r="A4990" s="4" t="s">
        <v>4988</v>
      </c>
      <c r="B4990" s="4" t="s">
        <v>4550</v>
      </c>
      <c r="C4990" s="2" t="str">
        <f ca="1">IFERROR(__xludf.DUMMYFUNCTION("GOOGLETRANSLATE(A4990,""bn"",""en"")"),"The fight scene was completely pointless")</f>
        <v>The fight scene was completely pointless</v>
      </c>
      <c r="D4990" s="5"/>
      <c r="E4990" s="5"/>
      <c r="F4990" s="5"/>
      <c r="G4990" s="5"/>
      <c r="H4990" s="5"/>
      <c r="I4990" s="5"/>
      <c r="J4990" s="5"/>
      <c r="K4990" s="5"/>
      <c r="L4990" s="5"/>
      <c r="M4990" s="5"/>
      <c r="N4990" s="5"/>
      <c r="O4990" s="5"/>
      <c r="P4990" s="5"/>
      <c r="Q4990" s="5"/>
      <c r="R4990" s="5"/>
      <c r="S4990" s="5"/>
      <c r="T4990" s="5"/>
      <c r="U4990" s="5"/>
      <c r="V4990" s="5"/>
      <c r="W4990" s="5"/>
      <c r="X4990" s="5"/>
      <c r="Y4990" s="5"/>
      <c r="Z4990" s="5"/>
    </row>
    <row r="4991" spans="1:26" ht="15" x14ac:dyDescent="0.25">
      <c r="A4991" s="4" t="s">
        <v>4989</v>
      </c>
      <c r="B4991" s="4" t="s">
        <v>4550</v>
      </c>
      <c r="C4991" s="2" t="str">
        <f ca="1">IFERROR(__xludf.DUMMYFUNCTION("GOOGLETRANSLATE(A4991,""bn"",""en"")"),"It was a romantic picture to watch")</f>
        <v>It was a romantic picture to watch</v>
      </c>
      <c r="D4991" s="5"/>
      <c r="E4991" s="5"/>
      <c r="F4991" s="5"/>
      <c r="G4991" s="5"/>
      <c r="H4991" s="5"/>
      <c r="I4991" s="5"/>
      <c r="J4991" s="5"/>
      <c r="K4991" s="5"/>
      <c r="L4991" s="5"/>
      <c r="M4991" s="5"/>
      <c r="N4991" s="5"/>
      <c r="O4991" s="5"/>
      <c r="P4991" s="5"/>
      <c r="Q4991" s="5"/>
      <c r="R4991" s="5"/>
      <c r="S4991" s="5"/>
      <c r="T4991" s="5"/>
      <c r="U4991" s="5"/>
      <c r="V4991" s="5"/>
      <c r="W4991" s="5"/>
      <c r="X4991" s="5"/>
      <c r="Y4991" s="5"/>
      <c r="Z4991" s="5"/>
    </row>
    <row r="4992" spans="1:26" ht="15" x14ac:dyDescent="0.25">
      <c r="A4992" s="4" t="s">
        <v>4990</v>
      </c>
      <c r="B4992" s="4" t="s">
        <v>4550</v>
      </c>
      <c r="C4992" s="2" t="str">
        <f ca="1">IFERROR(__xludf.DUMMYFUNCTION("GOOGLETRANSLATE(A4992,""bn"",""en"")"),"There was a strange resemblance to reality")</f>
        <v>There was a strange resemblance to reality</v>
      </c>
      <c r="D4992" s="5"/>
      <c r="E4992" s="5"/>
      <c r="F4992" s="5"/>
      <c r="G4992" s="5"/>
      <c r="H4992" s="5"/>
      <c r="I4992" s="5"/>
      <c r="J4992" s="5"/>
      <c r="K4992" s="5"/>
      <c r="L4992" s="5"/>
      <c r="M4992" s="5"/>
      <c r="N4992" s="5"/>
      <c r="O4992" s="5"/>
      <c r="P4992" s="5"/>
      <c r="Q4992" s="5"/>
      <c r="R4992" s="5"/>
      <c r="S4992" s="5"/>
      <c r="T4992" s="5"/>
      <c r="U4992" s="5"/>
      <c r="V4992" s="5"/>
      <c r="W4992" s="5"/>
      <c r="X4992" s="5"/>
      <c r="Y4992" s="5"/>
      <c r="Z4992" s="5"/>
    </row>
    <row r="4993" spans="1:26" ht="15" x14ac:dyDescent="0.25">
      <c r="A4993" s="4" t="s">
        <v>4991</v>
      </c>
      <c r="B4993" s="4" t="s">
        <v>4550</v>
      </c>
      <c r="C4993" s="2" t="str">
        <f ca="1">IFERROR(__xludf.DUMMYFUNCTION("GOOGLETRANSLATE(A4993,""bn"",""en"")"),"We saw the film from Rajmita village in Assam state, India")</f>
        <v>We saw the film from Rajmita village in Assam state, India</v>
      </c>
      <c r="D4993" s="5"/>
      <c r="E4993" s="5"/>
      <c r="F4993" s="5"/>
      <c r="G4993" s="5"/>
      <c r="H4993" s="5"/>
      <c r="I4993" s="5"/>
      <c r="J4993" s="5"/>
      <c r="K4993" s="5"/>
      <c r="L4993" s="5"/>
      <c r="M4993" s="5"/>
      <c r="N4993" s="5"/>
      <c r="O4993" s="5"/>
      <c r="P4993" s="5"/>
      <c r="Q4993" s="5"/>
      <c r="R4993" s="5"/>
      <c r="S4993" s="5"/>
      <c r="T4993" s="5"/>
      <c r="U4993" s="5"/>
      <c r="V4993" s="5"/>
      <c r="W4993" s="5"/>
      <c r="X4993" s="5"/>
      <c r="Y4993" s="5"/>
      <c r="Z4993" s="5"/>
    </row>
    <row r="4994" spans="1:26" ht="15" x14ac:dyDescent="0.25">
      <c r="A4994" s="4" t="s">
        <v>4992</v>
      </c>
      <c r="B4994" s="4" t="s">
        <v>4550</v>
      </c>
      <c r="C4994" s="2" t="str">
        <f ca="1">IFERROR(__xludf.DUMMYFUNCTION("GOOGLETRANSLATE(A4994,""bn"",""en"")"),"Everything was fine but never heard why the vocals were so soft and bad sound system quality")</f>
        <v>Everything was fine but never heard why the vocals were so soft and bad sound system quality</v>
      </c>
      <c r="D4994" s="5"/>
      <c r="E4994" s="5"/>
      <c r="F4994" s="5"/>
      <c r="G4994" s="5"/>
      <c r="H4994" s="5"/>
      <c r="I4994" s="5"/>
      <c r="J4994" s="5"/>
      <c r="K4994" s="5"/>
      <c r="L4994" s="5"/>
      <c r="M4994" s="5"/>
      <c r="N4994" s="5"/>
      <c r="O4994" s="5"/>
      <c r="P4994" s="5"/>
      <c r="Q4994" s="5"/>
      <c r="R4994" s="5"/>
      <c r="S4994" s="5"/>
      <c r="T4994" s="5"/>
      <c r="U4994" s="5"/>
      <c r="V4994" s="5"/>
      <c r="W4994" s="5"/>
      <c r="X4994" s="5"/>
      <c r="Y4994" s="5"/>
      <c r="Z4994" s="5"/>
    </row>
    <row r="4995" spans="1:26" ht="15" x14ac:dyDescent="0.25">
      <c r="A4995" s="4" t="s">
        <v>4993</v>
      </c>
      <c r="B4995" s="4" t="s">
        <v>4550</v>
      </c>
      <c r="C4995" s="2" t="str">
        <f ca="1">IFERROR(__xludf.DUMMYFUNCTION("GOOGLETRANSLATE(A4995,""bn"",""en"")"),"The story was so weak that the consonance that could have been created in the final lagna did not even occur.")</f>
        <v>The story was so weak that the consonance that could have been created in the final lagna did not even occur.</v>
      </c>
      <c r="D4995" s="5"/>
      <c r="E4995" s="5"/>
      <c r="F4995" s="5"/>
      <c r="G4995" s="5"/>
      <c r="H4995" s="5"/>
      <c r="I4995" s="5"/>
      <c r="J4995" s="5"/>
      <c r="K4995" s="5"/>
      <c r="L4995" s="5"/>
      <c r="M4995" s="5"/>
      <c r="N4995" s="5"/>
      <c r="O4995" s="5"/>
      <c r="P4995" s="5"/>
      <c r="Q4995" s="5"/>
      <c r="R4995" s="5"/>
      <c r="S4995" s="5"/>
      <c r="T4995" s="5"/>
      <c r="U4995" s="5"/>
      <c r="V4995" s="5"/>
      <c r="W4995" s="5"/>
      <c r="X4995" s="5"/>
      <c r="Y4995" s="5"/>
      <c r="Z4995" s="5"/>
    </row>
    <row r="4996" spans="1:26" ht="15" x14ac:dyDescent="0.25">
      <c r="A4996" s="4" t="s">
        <v>4994</v>
      </c>
      <c r="B4996" s="4" t="s">
        <v>4550</v>
      </c>
      <c r="C4996" s="2" t="str">
        <f ca="1">IFERROR(__xludf.DUMMYFUNCTION("GOOGLETRANSLATE(A4996,""bn"",""en"")"),"I tried a lot to smile, tried in vain")</f>
        <v>I tried a lot to smile, tried in vain</v>
      </c>
      <c r="D4996" s="5"/>
      <c r="E4996" s="5"/>
      <c r="F4996" s="5"/>
      <c r="G4996" s="5"/>
      <c r="H4996" s="5"/>
      <c r="I4996" s="5"/>
      <c r="J4996" s="5"/>
      <c r="K4996" s="5"/>
      <c r="L4996" s="5"/>
      <c r="M4996" s="5"/>
      <c r="N4996" s="5"/>
      <c r="O4996" s="5"/>
      <c r="P4996" s="5"/>
      <c r="Q4996" s="5"/>
      <c r="R4996" s="5"/>
      <c r="S4996" s="5"/>
      <c r="T4996" s="5"/>
      <c r="U4996" s="5"/>
      <c r="V4996" s="5"/>
      <c r="W4996" s="5"/>
      <c r="X4996" s="5"/>
      <c r="Y4996" s="5"/>
      <c r="Z4996" s="5"/>
    </row>
    <row r="4997" spans="1:26" ht="15" x14ac:dyDescent="0.25">
      <c r="A4997" s="4" t="s">
        <v>4995</v>
      </c>
      <c r="B4997" s="4" t="s">
        <v>4550</v>
      </c>
      <c r="C4997" s="2" t="str">
        <f ca="1">IFERROR(__xludf.DUMMYFUNCTION("GOOGLETRANSLATE(A4997,""bn"",""en"")"),"Apu Biswas cried throughout the film")</f>
        <v>Apu Biswas cried throughout the film</v>
      </c>
      <c r="D4997" s="5"/>
      <c r="E4997" s="5"/>
      <c r="F4997" s="5"/>
      <c r="G4997" s="5"/>
      <c r="H4997" s="5"/>
      <c r="I4997" s="5"/>
      <c r="J4997" s="5"/>
      <c r="K4997" s="5"/>
      <c r="L4997" s="5"/>
      <c r="M4997" s="5"/>
      <c r="N4997" s="5"/>
      <c r="O4997" s="5"/>
      <c r="P4997" s="5"/>
      <c r="Q4997" s="5"/>
      <c r="R4997" s="5"/>
      <c r="S4997" s="5"/>
      <c r="T4997" s="5"/>
      <c r="U4997" s="5"/>
      <c r="V4997" s="5"/>
      <c r="W4997" s="5"/>
      <c r="X4997" s="5"/>
      <c r="Y4997" s="5"/>
      <c r="Z4997" s="5"/>
    </row>
    <row r="4998" spans="1:26" ht="15" x14ac:dyDescent="0.25">
      <c r="A4998" s="4" t="s">
        <v>4996</v>
      </c>
      <c r="B4998" s="4" t="s">
        <v>4550</v>
      </c>
      <c r="C4998" s="2" t="str">
        <f ca="1">IFERROR(__xludf.DUMMYFUNCTION("GOOGLETRANSLATE(A4998,""bn"",""en"")"),"It was really a very good film that gave the vain people a dream of a new life")</f>
        <v>It was really a very good film that gave the vain people a dream of a new life</v>
      </c>
      <c r="D4998" s="5"/>
      <c r="E4998" s="5"/>
      <c r="F4998" s="5"/>
      <c r="G4998" s="5"/>
      <c r="H4998" s="5"/>
      <c r="I4998" s="5"/>
      <c r="J4998" s="5"/>
      <c r="K4998" s="5"/>
      <c r="L4998" s="5"/>
      <c r="M4998" s="5"/>
      <c r="N4998" s="5"/>
      <c r="O4998" s="5"/>
      <c r="P4998" s="5"/>
      <c r="Q4998" s="5"/>
      <c r="R4998" s="5"/>
      <c r="S4998" s="5"/>
      <c r="T4998" s="5"/>
      <c r="U4998" s="5"/>
      <c r="V4998" s="5"/>
      <c r="W4998" s="5"/>
      <c r="X4998" s="5"/>
      <c r="Y4998" s="5"/>
      <c r="Z4998" s="5"/>
    </row>
    <row r="4999" spans="1:26" ht="15" x14ac:dyDescent="0.25">
      <c r="A4999" s="4" t="s">
        <v>4997</v>
      </c>
      <c r="B4999" s="4" t="s">
        <v>4550</v>
      </c>
      <c r="C4999" s="2" t="str">
        <f ca="1">IFERROR(__xludf.DUMMYFUNCTION("GOOGLETRANSLATE(A4999,""bn"",""en"")"),"It was a beautiful family film")</f>
        <v>It was a beautiful family film</v>
      </c>
      <c r="D4999" s="5"/>
      <c r="E4999" s="5"/>
      <c r="F4999" s="5"/>
      <c r="G4999" s="5"/>
      <c r="H4999" s="5"/>
      <c r="I4999" s="5"/>
      <c r="J4999" s="5"/>
      <c r="K4999" s="5"/>
      <c r="L4999" s="5"/>
      <c r="M4999" s="5"/>
      <c r="N4999" s="5"/>
      <c r="O4999" s="5"/>
      <c r="P4999" s="5"/>
      <c r="Q4999" s="5"/>
      <c r="R4999" s="5"/>
      <c r="S4999" s="5"/>
      <c r="T4999" s="5"/>
      <c r="U4999" s="5"/>
      <c r="V4999" s="5"/>
      <c r="W4999" s="5"/>
      <c r="X4999" s="5"/>
      <c r="Y4999" s="5"/>
      <c r="Z4999" s="5"/>
    </row>
    <row r="5000" spans="1:26" ht="15" x14ac:dyDescent="0.25">
      <c r="A5000" s="4" t="s">
        <v>4998</v>
      </c>
      <c r="B5000" s="4" t="s">
        <v>4550</v>
      </c>
      <c r="C5000" s="2" t="str">
        <f ca="1">IFERROR(__xludf.DUMMYFUNCTION("GOOGLETRANSLATE(A5000,""bn"",""en"")"),"It was a rubbish movie")</f>
        <v>It was a rubbish movie</v>
      </c>
      <c r="D5000" s="5"/>
      <c r="E5000" s="5"/>
      <c r="F5000" s="5"/>
      <c r="G5000" s="5"/>
      <c r="H5000" s="5"/>
      <c r="I5000" s="5"/>
      <c r="J5000" s="5"/>
      <c r="K5000" s="5"/>
      <c r="L5000" s="5"/>
      <c r="M5000" s="5"/>
      <c r="N5000" s="5"/>
      <c r="O5000" s="5"/>
      <c r="P5000" s="5"/>
      <c r="Q5000" s="5"/>
      <c r="R5000" s="5"/>
      <c r="S5000" s="5"/>
      <c r="T5000" s="5"/>
      <c r="U5000" s="5"/>
      <c r="V5000" s="5"/>
      <c r="W5000" s="5"/>
      <c r="X5000" s="5"/>
      <c r="Y5000" s="5"/>
      <c r="Z5000" s="5"/>
    </row>
    <row r="5001" spans="1:26" ht="15" x14ac:dyDescent="0.25">
      <c r="A5001" s="4" t="s">
        <v>4999</v>
      </c>
      <c r="B5001" s="4" t="s">
        <v>4550</v>
      </c>
      <c r="C5001" s="2" t="str">
        <f ca="1">IFERROR(__xludf.DUMMYFUNCTION("GOOGLETRANSLATE(A5001,""bn"",""en"")"),"All the artists including the heroine, child artist and hero of the film were impeccable")</f>
        <v>All the artists including the heroine, child artist and hero of the film were impeccable</v>
      </c>
      <c r="D5001" s="5"/>
      <c r="E5001" s="5"/>
      <c r="F5001" s="5"/>
      <c r="G5001" s="5"/>
      <c r="H5001" s="5"/>
      <c r="I5001" s="5"/>
      <c r="J5001" s="5"/>
      <c r="K5001" s="5"/>
      <c r="L5001" s="5"/>
      <c r="M5001" s="5"/>
      <c r="N5001" s="5"/>
      <c r="O5001" s="5"/>
      <c r="P5001" s="5"/>
      <c r="Q5001" s="5"/>
      <c r="R5001" s="5"/>
      <c r="S5001" s="5"/>
      <c r="T5001" s="5"/>
      <c r="U5001" s="5"/>
      <c r="V5001" s="5"/>
      <c r="W5001" s="5"/>
      <c r="X5001" s="5"/>
      <c r="Y5001" s="5"/>
      <c r="Z5001" s="5"/>
    </row>
    <row r="5002" spans="1:26" ht="15" x14ac:dyDescent="0.25">
      <c r="A5002" s="4" t="s">
        <v>5000</v>
      </c>
      <c r="B5002" s="4" t="s">
        <v>4550</v>
      </c>
      <c r="C5002" s="2" t="str">
        <f ca="1">IFERROR(__xludf.DUMMYFUNCTION("GOOGLETRANSLATE(A5002,""bn"",""en"")"),"This was a hero")</f>
        <v>This was a hero</v>
      </c>
      <c r="D5002" s="5"/>
      <c r="E5002" s="5"/>
      <c r="F5002" s="5"/>
      <c r="G5002" s="5"/>
      <c r="H5002" s="5"/>
      <c r="I5002" s="5"/>
      <c r="J5002" s="5"/>
      <c r="K5002" s="5"/>
      <c r="L5002" s="5"/>
      <c r="M5002" s="5"/>
      <c r="N5002" s="5"/>
      <c r="O5002" s="5"/>
      <c r="P5002" s="5"/>
      <c r="Q5002" s="5"/>
      <c r="R5002" s="5"/>
      <c r="S5002" s="5"/>
      <c r="T5002" s="5"/>
      <c r="U5002" s="5"/>
      <c r="V5002" s="5"/>
      <c r="W5002" s="5"/>
      <c r="X5002" s="5"/>
      <c r="Y5002" s="5"/>
      <c r="Z5002" s="5"/>
    </row>
    <row r="5003" spans="1:26" ht="15" x14ac:dyDescent="0.25">
      <c r="A5003" s="4" t="s">
        <v>5001</v>
      </c>
      <c r="B5003" s="4" t="s">
        <v>4550</v>
      </c>
      <c r="C5003" s="2" t="str">
        <f ca="1">IFERROR(__xludf.DUMMYFUNCTION("GOOGLETRANSLATE(A5003,""bn"",""en"")"),"No one but crazy people watched this movie")</f>
        <v>No one but crazy people watched this movie</v>
      </c>
      <c r="D5003" s="5"/>
      <c r="E5003" s="5"/>
      <c r="F5003" s="5"/>
      <c r="G5003" s="5"/>
      <c r="H5003" s="5"/>
      <c r="I5003" s="5"/>
      <c r="J5003" s="5"/>
      <c r="K5003" s="5"/>
      <c r="L5003" s="5"/>
      <c r="M5003" s="5"/>
      <c r="N5003" s="5"/>
      <c r="O5003" s="5"/>
      <c r="P5003" s="5"/>
      <c r="Q5003" s="5"/>
      <c r="R5003" s="5"/>
      <c r="S5003" s="5"/>
      <c r="T5003" s="5"/>
      <c r="U5003" s="5"/>
      <c r="V5003" s="5"/>
      <c r="W5003" s="5"/>
      <c r="X5003" s="5"/>
      <c r="Y5003" s="5"/>
      <c r="Z5003" s="5"/>
    </row>
    <row r="5004" spans="1:26" ht="15" x14ac:dyDescent="0.25">
      <c r="A5004" s="4" t="s">
        <v>5002</v>
      </c>
      <c r="B5004" s="4" t="s">
        <v>4550</v>
      </c>
      <c r="C5004" s="2" t="str">
        <f ca="1">IFERROR(__xludf.DUMMYFUNCTION("GOOGLETRANSLATE(A5004,""bn"",""en"")"),"When this movie first came out, we all watched it together")</f>
        <v>When this movie first came out, we all watched it together</v>
      </c>
      <c r="D5004" s="5"/>
      <c r="E5004" s="5"/>
      <c r="F5004" s="5"/>
      <c r="G5004" s="5"/>
      <c r="H5004" s="5"/>
      <c r="I5004" s="5"/>
      <c r="J5004" s="5"/>
      <c r="K5004" s="5"/>
      <c r="L5004" s="5"/>
      <c r="M5004" s="5"/>
      <c r="N5004" s="5"/>
      <c r="O5004" s="5"/>
      <c r="P5004" s="5"/>
      <c r="Q5004" s="5"/>
      <c r="R5004" s="5"/>
      <c r="S5004" s="5"/>
      <c r="T5004" s="5"/>
      <c r="U5004" s="5"/>
      <c r="V5004" s="5"/>
      <c r="W5004" s="5"/>
      <c r="X5004" s="5"/>
      <c r="Y5004" s="5"/>
      <c r="Z5004" s="5"/>
    </row>
    <row r="5005" spans="1:26" ht="15" x14ac:dyDescent="0.25">
      <c r="A5005" s="4" t="s">
        <v>5003</v>
      </c>
      <c r="B5005" s="4" t="s">
        <v>4550</v>
      </c>
      <c r="C5005" s="2" t="str">
        <f ca="1">IFERROR(__xludf.DUMMYFUNCTION("GOOGLETRANSLATE(A5005,""bn"",""en"")"),"Was this a movie?")</f>
        <v>Was this a movie?</v>
      </c>
      <c r="D5005" s="5"/>
      <c r="E5005" s="5"/>
      <c r="F5005" s="5"/>
      <c r="G5005" s="5"/>
      <c r="H5005" s="5"/>
      <c r="I5005" s="5"/>
      <c r="J5005" s="5"/>
      <c r="K5005" s="5"/>
      <c r="L5005" s="5"/>
      <c r="M5005" s="5"/>
      <c r="N5005" s="5"/>
      <c r="O5005" s="5"/>
      <c r="P5005" s="5"/>
      <c r="Q5005" s="5"/>
      <c r="R5005" s="5"/>
      <c r="S5005" s="5"/>
      <c r="T5005" s="5"/>
      <c r="U5005" s="5"/>
      <c r="V5005" s="5"/>
      <c r="W5005" s="5"/>
      <c r="X5005" s="5"/>
      <c r="Y5005" s="5"/>
      <c r="Z5005" s="5"/>
    </row>
    <row r="5006" spans="1:26" ht="15" x14ac:dyDescent="0.25">
      <c r="A5006" s="4" t="s">
        <v>5004</v>
      </c>
      <c r="B5006" s="4" t="s">
        <v>4550</v>
      </c>
      <c r="C5006" s="2" t="str">
        <f ca="1">IFERROR(__xludf.DUMMYFUNCTION("GOOGLETRANSLATE(A5006,""bn"",""en"")"),"I don't understand what people saw and called it good")</f>
        <v>I don't understand what people saw and called it good</v>
      </c>
      <c r="D5006" s="5"/>
      <c r="E5006" s="5"/>
      <c r="F5006" s="5"/>
      <c r="G5006" s="5"/>
      <c r="H5006" s="5"/>
      <c r="I5006" s="5"/>
      <c r="J5006" s="5"/>
      <c r="K5006" s="5"/>
      <c r="L5006" s="5"/>
      <c r="M5006" s="5"/>
      <c r="N5006" s="5"/>
      <c r="O5006" s="5"/>
      <c r="P5006" s="5"/>
      <c r="Q5006" s="5"/>
      <c r="R5006" s="5"/>
      <c r="S5006" s="5"/>
      <c r="T5006" s="5"/>
      <c r="U5006" s="5"/>
      <c r="V5006" s="5"/>
      <c r="W5006" s="5"/>
      <c r="X5006" s="5"/>
      <c r="Y5006" s="5"/>
      <c r="Z5006" s="5"/>
    </row>
    <row r="5007" spans="1:26" ht="15" x14ac:dyDescent="0.25">
      <c r="A5007" s="4" t="s">
        <v>5005</v>
      </c>
      <c r="B5007" s="4" t="s">
        <v>4550</v>
      </c>
      <c r="C5007" s="2" t="str">
        <f ca="1">IFERROR(__xludf.DUMMYFUNCTION("GOOGLETRANSLATE(A5007,""bn"",""en"")"),"The story had an inconclusive ending, the ending could have been better")</f>
        <v>The story had an inconclusive ending, the ending could have been better</v>
      </c>
      <c r="D5007" s="5"/>
      <c r="E5007" s="5"/>
      <c r="F5007" s="5"/>
      <c r="G5007" s="5"/>
      <c r="H5007" s="5"/>
      <c r="I5007" s="5"/>
      <c r="J5007" s="5"/>
      <c r="K5007" s="5"/>
      <c r="L5007" s="5"/>
      <c r="M5007" s="5"/>
      <c r="N5007" s="5"/>
      <c r="O5007" s="5"/>
      <c r="P5007" s="5"/>
      <c r="Q5007" s="5"/>
      <c r="R5007" s="5"/>
      <c r="S5007" s="5"/>
      <c r="T5007" s="5"/>
      <c r="U5007" s="5"/>
      <c r="V5007" s="5"/>
      <c r="W5007" s="5"/>
      <c r="X5007" s="5"/>
      <c r="Y5007" s="5"/>
      <c r="Z5007" s="5"/>
    </row>
    <row r="5008" spans="1:26" ht="15" x14ac:dyDescent="0.25">
      <c r="A5008" s="4" t="s">
        <v>5006</v>
      </c>
      <c r="B5008" s="4" t="s">
        <v>4550</v>
      </c>
      <c r="C5008" s="2" t="str">
        <f ca="1">IFERROR(__xludf.DUMMYFUNCTION("GOOGLETRANSLATE(A5008,""bn"",""en"")"),"I wiped my tears many times after watching the movie")</f>
        <v>I wiped my tears many times after watching the movie</v>
      </c>
      <c r="D5008" s="5"/>
      <c r="E5008" s="5"/>
      <c r="F5008" s="5"/>
      <c r="G5008" s="5"/>
      <c r="H5008" s="5"/>
      <c r="I5008" s="5"/>
      <c r="J5008" s="5"/>
      <c r="K5008" s="5"/>
      <c r="L5008" s="5"/>
      <c r="M5008" s="5"/>
      <c r="N5008" s="5"/>
      <c r="O5008" s="5"/>
      <c r="P5008" s="5"/>
      <c r="Q5008" s="5"/>
      <c r="R5008" s="5"/>
      <c r="S5008" s="5"/>
      <c r="T5008" s="5"/>
      <c r="U5008" s="5"/>
      <c r="V5008" s="5"/>
      <c r="W5008" s="5"/>
      <c r="X5008" s="5"/>
      <c r="Y5008" s="5"/>
      <c r="Z5008" s="5"/>
    </row>
    <row r="5009" spans="1:26" ht="15" x14ac:dyDescent="0.25">
      <c r="A5009" s="4" t="s">
        <v>5007</v>
      </c>
      <c r="B5009" s="4" t="s">
        <v>4550</v>
      </c>
      <c r="C5009" s="2" t="str">
        <f ca="1">IFERROR(__xludf.DUMMYFUNCTION("GOOGLETRANSLATE(A5009,""bn"",""en"")"),"Everyone was blown away by the extremely sweet film acting beyond any standards")</f>
        <v>Everyone was blown away by the extremely sweet film acting beyond any standards</v>
      </c>
      <c r="D5009" s="5"/>
      <c r="E5009" s="5"/>
      <c r="F5009" s="5"/>
      <c r="G5009" s="5"/>
      <c r="H5009" s="5"/>
      <c r="I5009" s="5"/>
      <c r="J5009" s="5"/>
      <c r="K5009" s="5"/>
      <c r="L5009" s="5"/>
      <c r="M5009" s="5"/>
      <c r="N5009" s="5"/>
      <c r="O5009" s="5"/>
      <c r="P5009" s="5"/>
      <c r="Q5009" s="5"/>
      <c r="R5009" s="5"/>
      <c r="S5009" s="5"/>
      <c r="T5009" s="5"/>
      <c r="U5009" s="5"/>
      <c r="V5009" s="5"/>
      <c r="W5009" s="5"/>
      <c r="X5009" s="5"/>
      <c r="Y5009" s="5"/>
      <c r="Z5009" s="5"/>
    </row>
    <row r="5010" spans="1:26" ht="15" x14ac:dyDescent="0.25">
      <c r="A5010" s="4" t="s">
        <v>5008</v>
      </c>
      <c r="B5010" s="4" t="s">
        <v>4550</v>
      </c>
      <c r="C5010" s="2" t="str">
        <f ca="1">IFERROR(__xludf.DUMMYFUNCTION("GOOGLETRANSLATE(A5010,""bn"",""en"")"),"I saw it again after twenty years")</f>
        <v>I saw it again after twenty years</v>
      </c>
      <c r="D5010" s="5"/>
      <c r="E5010" s="5"/>
      <c r="F5010" s="5"/>
      <c r="G5010" s="5"/>
      <c r="H5010" s="5"/>
      <c r="I5010" s="5"/>
      <c r="J5010" s="5"/>
      <c r="K5010" s="5"/>
      <c r="L5010" s="5"/>
      <c r="M5010" s="5"/>
      <c r="N5010" s="5"/>
      <c r="O5010" s="5"/>
      <c r="P5010" s="5"/>
      <c r="Q5010" s="5"/>
      <c r="R5010" s="5"/>
      <c r="S5010" s="5"/>
      <c r="T5010" s="5"/>
      <c r="U5010" s="5"/>
      <c r="V5010" s="5"/>
      <c r="W5010" s="5"/>
      <c r="X5010" s="5"/>
      <c r="Y5010" s="5"/>
      <c r="Z5010" s="5"/>
    </row>
    <row r="5011" spans="1:26" ht="15" x14ac:dyDescent="0.25">
      <c r="A5011" s="4" t="s">
        <v>5009</v>
      </c>
      <c r="B5011" s="4" t="s">
        <v>4550</v>
      </c>
      <c r="C5011" s="2" t="str">
        <f ca="1">IFERROR(__xludf.DUMMYFUNCTION("GOOGLETRANSLATE(A5011,""bn"",""en"")"),"The best film in history, the best hero Manna, the film that never died")</f>
        <v>The best film in history, the best hero Manna, the film that never died</v>
      </c>
      <c r="D5011" s="5"/>
      <c r="E5011" s="5"/>
      <c r="F5011" s="5"/>
      <c r="G5011" s="5"/>
      <c r="H5011" s="5"/>
      <c r="I5011" s="5"/>
      <c r="J5011" s="5"/>
      <c r="K5011" s="5"/>
      <c r="L5011" s="5"/>
      <c r="M5011" s="5"/>
      <c r="N5011" s="5"/>
      <c r="O5011" s="5"/>
      <c r="P5011" s="5"/>
      <c r="Q5011" s="5"/>
      <c r="R5011" s="5"/>
      <c r="S5011" s="5"/>
      <c r="T5011" s="5"/>
      <c r="U5011" s="5"/>
      <c r="V5011" s="5"/>
      <c r="W5011" s="5"/>
      <c r="X5011" s="5"/>
      <c r="Y5011" s="5"/>
      <c r="Z5011" s="5"/>
    </row>
    <row r="5012" spans="1:26" ht="15" x14ac:dyDescent="0.25">
      <c r="A5012" s="4" t="s">
        <v>5010</v>
      </c>
      <c r="B5012" s="4" t="s">
        <v>4550</v>
      </c>
      <c r="C5012" s="2" t="str">
        <f ca="1">IFERROR(__xludf.DUMMYFUNCTION("GOOGLETRANSLATE(A5012,""bn"",""en"")"),"It was the best film in the history of Bangladesh")</f>
        <v>It was the best film in the history of Bangladesh</v>
      </c>
      <c r="D5012" s="5"/>
      <c r="E5012" s="5"/>
      <c r="F5012" s="5"/>
      <c r="G5012" s="5"/>
      <c r="H5012" s="5"/>
      <c r="I5012" s="5"/>
      <c r="J5012" s="5"/>
      <c r="K5012" s="5"/>
      <c r="L5012" s="5"/>
      <c r="M5012" s="5"/>
      <c r="N5012" s="5"/>
      <c r="O5012" s="5"/>
      <c r="P5012" s="5"/>
      <c r="Q5012" s="5"/>
      <c r="R5012" s="5"/>
      <c r="S5012" s="5"/>
      <c r="T5012" s="5"/>
      <c r="U5012" s="5"/>
      <c r="V5012" s="5"/>
      <c r="W5012" s="5"/>
      <c r="X5012" s="5"/>
      <c r="Y5012" s="5"/>
      <c r="Z5012" s="5"/>
    </row>
    <row r="5013" spans="1:26" ht="15" x14ac:dyDescent="0.25">
      <c r="A5013" s="4" t="s">
        <v>5011</v>
      </c>
      <c r="B5013" s="4" t="s">
        <v>4550</v>
      </c>
      <c r="C5013" s="2" t="str">
        <f ca="1">IFERROR(__xludf.DUMMYFUNCTION("GOOGLETRANSLATE(A5013,""bn"",""en"")"),"Every time I watch this movie, I get a new feeling. My special request to everyone, please never leave your parents in their old age.")</f>
        <v>Every time I watch this movie, I get a new feeling. My special request to everyone, please never leave your parents in their old age.</v>
      </c>
      <c r="D5013" s="5"/>
      <c r="E5013" s="5"/>
      <c r="F5013" s="5"/>
      <c r="G5013" s="5"/>
      <c r="H5013" s="5"/>
      <c r="I5013" s="5"/>
      <c r="J5013" s="5"/>
      <c r="K5013" s="5"/>
      <c r="L5013" s="5"/>
      <c r="M5013" s="5"/>
      <c r="N5013" s="5"/>
      <c r="O5013" s="5"/>
      <c r="P5013" s="5"/>
      <c r="Q5013" s="5"/>
      <c r="R5013" s="5"/>
      <c r="S5013" s="5"/>
      <c r="T5013" s="5"/>
      <c r="U5013" s="5"/>
      <c r="V5013" s="5"/>
      <c r="W5013" s="5"/>
      <c r="X5013" s="5"/>
      <c r="Y5013" s="5"/>
      <c r="Z5013" s="5"/>
    </row>
    <row r="5014" spans="1:26" ht="15" x14ac:dyDescent="0.25">
      <c r="A5014" s="4" t="s">
        <v>5012</v>
      </c>
      <c r="B5014" s="4" t="s">
        <v>4550</v>
      </c>
      <c r="C5014" s="2" t="str">
        <f ca="1">IFERROR(__xludf.DUMMYFUNCTION("GOOGLETRANSLATE(A5014,""bn"",""en"")"),"Oh my god that movie was made in Bangladesh which I didn't know")</f>
        <v>Oh my god that movie was made in Bangladesh which I didn't know</v>
      </c>
      <c r="D5014" s="5"/>
      <c r="E5014" s="5"/>
      <c r="F5014" s="5"/>
      <c r="G5014" s="5"/>
      <c r="H5014" s="5"/>
      <c r="I5014" s="5"/>
      <c r="J5014" s="5"/>
      <c r="K5014" s="5"/>
      <c r="L5014" s="5"/>
      <c r="M5014" s="5"/>
      <c r="N5014" s="5"/>
      <c r="O5014" s="5"/>
      <c r="P5014" s="5"/>
      <c r="Q5014" s="5"/>
      <c r="R5014" s="5"/>
      <c r="S5014" s="5"/>
      <c r="T5014" s="5"/>
      <c r="U5014" s="5"/>
      <c r="V5014" s="5"/>
      <c r="W5014" s="5"/>
      <c r="X5014" s="5"/>
      <c r="Y5014" s="5"/>
      <c r="Z5014" s="5"/>
    </row>
    <row r="5015" spans="1:26" ht="15" x14ac:dyDescent="0.25">
      <c r="A5015" s="4" t="s">
        <v>5013</v>
      </c>
      <c r="B5015" s="4" t="s">
        <v>4550</v>
      </c>
      <c r="C5015" s="2" t="str">
        <f ca="1">IFERROR(__xludf.DUMMYFUNCTION("GOOGLETRANSLATE(A5015,""bn"",""en"")"),"I liked the drama better than this movie")</f>
        <v>I liked the drama better than this movie</v>
      </c>
      <c r="D5015" s="5"/>
      <c r="E5015" s="5"/>
      <c r="F5015" s="5"/>
      <c r="G5015" s="5"/>
      <c r="H5015" s="5"/>
      <c r="I5015" s="5"/>
      <c r="J5015" s="5"/>
      <c r="K5015" s="5"/>
      <c r="L5015" s="5"/>
      <c r="M5015" s="5"/>
      <c r="N5015" s="5"/>
      <c r="O5015" s="5"/>
      <c r="P5015" s="5"/>
      <c r="Q5015" s="5"/>
      <c r="R5015" s="5"/>
      <c r="S5015" s="5"/>
      <c r="T5015" s="5"/>
      <c r="U5015" s="5"/>
      <c r="V5015" s="5"/>
      <c r="W5015" s="5"/>
      <c r="X5015" s="5"/>
      <c r="Y5015" s="5"/>
      <c r="Z5015" s="5"/>
    </row>
    <row r="5016" spans="1:26" ht="15" x14ac:dyDescent="0.25">
      <c r="A5016" s="4" t="s">
        <v>5014</v>
      </c>
      <c r="B5016" s="4" t="s">
        <v>4550</v>
      </c>
      <c r="C5016" s="2" t="str">
        <f ca="1">IFERROR(__xludf.DUMMYFUNCTION("GOOGLETRANSLATE(A5016,""bn"",""en"")"),"This was the best movie")</f>
        <v>This was the best movie</v>
      </c>
      <c r="D5016" s="5"/>
      <c r="E5016" s="5"/>
      <c r="F5016" s="5"/>
      <c r="G5016" s="5"/>
      <c r="H5016" s="5"/>
      <c r="I5016" s="5"/>
      <c r="J5016" s="5"/>
      <c r="K5016" s="5"/>
      <c r="L5016" s="5"/>
      <c r="M5016" s="5"/>
      <c r="N5016" s="5"/>
      <c r="O5016" s="5"/>
      <c r="P5016" s="5"/>
      <c r="Q5016" s="5"/>
      <c r="R5016" s="5"/>
      <c r="S5016" s="5"/>
      <c r="T5016" s="5"/>
      <c r="U5016" s="5"/>
      <c r="V5016" s="5"/>
      <c r="W5016" s="5"/>
      <c r="X5016" s="5"/>
      <c r="Y5016" s="5"/>
      <c r="Z5016" s="5"/>
    </row>
    <row r="5017" spans="1:26" ht="15" x14ac:dyDescent="0.25">
      <c r="A5017" s="4" t="s">
        <v>5015</v>
      </c>
      <c r="B5017" s="4" t="s">
        <v>4550</v>
      </c>
      <c r="C5017" s="2" t="str">
        <f ca="1">IFERROR(__xludf.DUMMYFUNCTION("GOOGLETRANSLATE(A5017,""bn"",""en"")"),"Rukmini did not know much about acting")</f>
        <v>Rukmini did not know much about acting</v>
      </c>
      <c r="D5017" s="5"/>
      <c r="E5017" s="5"/>
      <c r="F5017" s="5"/>
      <c r="G5017" s="5"/>
      <c r="H5017" s="5"/>
      <c r="I5017" s="5"/>
      <c r="J5017" s="5"/>
      <c r="K5017" s="5"/>
      <c r="L5017" s="5"/>
      <c r="M5017" s="5"/>
      <c r="N5017" s="5"/>
      <c r="O5017" s="5"/>
      <c r="P5017" s="5"/>
      <c r="Q5017" s="5"/>
      <c r="R5017" s="5"/>
      <c r="S5017" s="5"/>
      <c r="T5017" s="5"/>
      <c r="U5017" s="5"/>
      <c r="V5017" s="5"/>
      <c r="W5017" s="5"/>
      <c r="X5017" s="5"/>
      <c r="Y5017" s="5"/>
      <c r="Z5017" s="5"/>
    </row>
    <row r="5018" spans="1:26" ht="15" x14ac:dyDescent="0.25">
      <c r="A5018" s="4" t="s">
        <v>5016</v>
      </c>
      <c r="B5018" s="4" t="s">
        <v>4550</v>
      </c>
      <c r="C5018" s="2" t="str">
        <f ca="1">IFERROR(__xludf.DUMMYFUNCTION("GOOGLETRANSLATE(A5018,""bn"",""en"")"),"A wonderful film after watching such a film I felt very proud as a Bengali, I felt that it is possible in Bengal to have such an excellent directorial acting story and many more.")</f>
        <v>A wonderful film after watching such a film I felt very proud as a Bengali, I felt that it is possible in Bengal to have such an excellent directorial acting story and many more.</v>
      </c>
      <c r="D5018" s="5"/>
      <c r="E5018" s="5"/>
      <c r="F5018" s="5"/>
      <c r="G5018" s="5"/>
      <c r="H5018" s="5"/>
      <c r="I5018" s="5"/>
      <c r="J5018" s="5"/>
      <c r="K5018" s="5"/>
      <c r="L5018" s="5"/>
      <c r="M5018" s="5"/>
      <c r="N5018" s="5"/>
      <c r="O5018" s="5"/>
      <c r="P5018" s="5"/>
      <c r="Q5018" s="5"/>
      <c r="R5018" s="5"/>
      <c r="S5018" s="5"/>
      <c r="T5018" s="5"/>
      <c r="U5018" s="5"/>
      <c r="V5018" s="5"/>
      <c r="W5018" s="5"/>
      <c r="X5018" s="5"/>
      <c r="Y5018" s="5"/>
      <c r="Z5018" s="5"/>
    </row>
    <row r="5019" spans="1:26" ht="15" x14ac:dyDescent="0.25">
      <c r="A5019" s="4" t="s">
        <v>5017</v>
      </c>
      <c r="B5019" s="4" t="s">
        <v>4550</v>
      </c>
      <c r="C5019" s="2" t="str">
        <f ca="1">IFERROR(__xludf.DUMMYFUNCTION("GOOGLETRANSLATE(A5019,""bn"",""en"")"),"I saw the copy mark movie")</f>
        <v>I saw the copy mark movie</v>
      </c>
      <c r="D5019" s="5"/>
      <c r="E5019" s="5"/>
      <c r="F5019" s="5"/>
      <c r="G5019" s="5"/>
      <c r="H5019" s="5"/>
      <c r="I5019" s="5"/>
      <c r="J5019" s="5"/>
      <c r="K5019" s="5"/>
      <c r="L5019" s="5"/>
      <c r="M5019" s="5"/>
      <c r="N5019" s="5"/>
      <c r="O5019" s="5"/>
      <c r="P5019" s="5"/>
      <c r="Q5019" s="5"/>
      <c r="R5019" s="5"/>
      <c r="S5019" s="5"/>
      <c r="T5019" s="5"/>
      <c r="U5019" s="5"/>
      <c r="V5019" s="5"/>
      <c r="W5019" s="5"/>
      <c r="X5019" s="5"/>
      <c r="Y5019" s="5"/>
      <c r="Z5019" s="5"/>
    </row>
    <row r="5020" spans="1:26" ht="15" x14ac:dyDescent="0.25">
      <c r="A5020" s="4" t="s">
        <v>5018</v>
      </c>
      <c r="B5020" s="4" t="s">
        <v>4550</v>
      </c>
      <c r="C5020" s="2" t="str">
        <f ca="1">IFERROR(__xludf.DUMMYFUNCTION("GOOGLETRANSLATE(A5020,""bn"",""en"")"),"This story was a great example of making others laugh. It was understood that talent was valued")</f>
        <v>This story was a great example of making others laugh. It was understood that talent was valued</v>
      </c>
      <c r="D5020" s="5"/>
      <c r="E5020" s="5"/>
      <c r="F5020" s="5"/>
      <c r="G5020" s="5"/>
      <c r="H5020" s="5"/>
      <c r="I5020" s="5"/>
      <c r="J5020" s="5"/>
      <c r="K5020" s="5"/>
      <c r="L5020" s="5"/>
      <c r="M5020" s="5"/>
      <c r="N5020" s="5"/>
      <c r="O5020" s="5"/>
      <c r="P5020" s="5"/>
      <c r="Q5020" s="5"/>
      <c r="R5020" s="5"/>
      <c r="S5020" s="5"/>
      <c r="T5020" s="5"/>
      <c r="U5020" s="5"/>
      <c r="V5020" s="5"/>
      <c r="W5020" s="5"/>
      <c r="X5020" s="5"/>
      <c r="Y5020" s="5"/>
      <c r="Z5020" s="5"/>
    </row>
    <row r="5021" spans="1:26" ht="15" x14ac:dyDescent="0.25">
      <c r="A5021" s="4" t="s">
        <v>5019</v>
      </c>
      <c r="B5021" s="4" t="s">
        <v>4550</v>
      </c>
      <c r="C5021" s="2" t="str">
        <f ca="1">IFERROR(__xludf.DUMMYFUNCTION("GOOGLETRANSLATE(A5021,""bn"",""en"")"),"I re-watched my childhood film and enjoyed it again after long years since I haven't seen any movie in ten years")</f>
        <v>I re-watched my childhood film and enjoyed it again after long years since I haven't seen any movie in ten years</v>
      </c>
      <c r="D5021" s="5"/>
      <c r="E5021" s="5"/>
      <c r="F5021" s="5"/>
      <c r="G5021" s="5"/>
      <c r="H5021" s="5"/>
      <c r="I5021" s="5"/>
      <c r="J5021" s="5"/>
      <c r="K5021" s="5"/>
      <c r="L5021" s="5"/>
      <c r="M5021" s="5"/>
      <c r="N5021" s="5"/>
      <c r="O5021" s="5"/>
      <c r="P5021" s="5"/>
      <c r="Q5021" s="5"/>
      <c r="R5021" s="5"/>
      <c r="S5021" s="5"/>
      <c r="T5021" s="5"/>
      <c r="U5021" s="5"/>
      <c r="V5021" s="5"/>
      <c r="W5021" s="5"/>
      <c r="X5021" s="5"/>
      <c r="Y5021" s="5"/>
      <c r="Z5021" s="5"/>
    </row>
    <row r="5022" spans="1:26" ht="15" x14ac:dyDescent="0.25">
      <c r="A5022" s="4" t="s">
        <v>5020</v>
      </c>
      <c r="B5022" s="4" t="s">
        <v>4550</v>
      </c>
      <c r="C5022" s="2" t="str">
        <f ca="1">IFERROR(__xludf.DUMMYFUNCTION("GOOGLETRANSLATE(A5022,""bn"",""en"")"),"Except for Rajtav Dutt's team, all performed poorly")</f>
        <v>Except for Rajtav Dutt's team, all performed poorly</v>
      </c>
      <c r="D5022" s="5"/>
      <c r="E5022" s="5"/>
      <c r="F5022" s="5"/>
      <c r="G5022" s="5"/>
      <c r="H5022" s="5"/>
      <c r="I5022" s="5"/>
      <c r="J5022" s="5"/>
      <c r="K5022" s="5"/>
      <c r="L5022" s="5"/>
      <c r="M5022" s="5"/>
      <c r="N5022" s="5"/>
      <c r="O5022" s="5"/>
      <c r="P5022" s="5"/>
      <c r="Q5022" s="5"/>
      <c r="R5022" s="5"/>
      <c r="S5022" s="5"/>
      <c r="T5022" s="5"/>
      <c r="U5022" s="5"/>
      <c r="V5022" s="5"/>
      <c r="W5022" s="5"/>
      <c r="X5022" s="5"/>
      <c r="Y5022" s="5"/>
      <c r="Z5022" s="5"/>
    </row>
    <row r="5023" spans="1:26" ht="15" x14ac:dyDescent="0.25">
      <c r="A5023" s="4" t="s">
        <v>5021</v>
      </c>
      <c r="B5023" s="4" t="s">
        <v>4550</v>
      </c>
      <c r="C5023" s="2" t="str">
        <f ca="1">IFERROR(__xludf.DUMMYFUNCTION("GOOGLETRANSLATE(A5023,""bn"",""en"")"),"I couldn't bear so many tears, brother, the whole film was just tears, life was pain")</f>
        <v>I couldn't bear so many tears, brother, the whole film was just tears, life was pain</v>
      </c>
      <c r="D5023" s="5"/>
      <c r="E5023" s="5"/>
      <c r="F5023" s="5"/>
      <c r="G5023" s="5"/>
      <c r="H5023" s="5"/>
      <c r="I5023" s="5"/>
      <c r="J5023" s="5"/>
      <c r="K5023" s="5"/>
      <c r="L5023" s="5"/>
      <c r="M5023" s="5"/>
      <c r="N5023" s="5"/>
      <c r="O5023" s="5"/>
      <c r="P5023" s="5"/>
      <c r="Q5023" s="5"/>
      <c r="R5023" s="5"/>
      <c r="S5023" s="5"/>
      <c r="T5023" s="5"/>
      <c r="U5023" s="5"/>
      <c r="V5023" s="5"/>
      <c r="W5023" s="5"/>
      <c r="X5023" s="5"/>
      <c r="Y5023" s="5"/>
      <c r="Z5023" s="5"/>
    </row>
    <row r="5024" spans="1:26" ht="15" x14ac:dyDescent="0.25">
      <c r="A5024" s="4" t="s">
        <v>5022</v>
      </c>
      <c r="B5024" s="4" t="s">
        <v>4550</v>
      </c>
      <c r="C5024" s="2" t="str">
        <f ca="1">IFERROR(__xludf.DUMMYFUNCTION("GOOGLETRANSLATE(A5024,""bn"",""en"")"),"I liked to watch all the movies of Bengal")</f>
        <v>I liked to watch all the movies of Bengal</v>
      </c>
      <c r="D5024" s="5"/>
      <c r="E5024" s="5"/>
      <c r="F5024" s="5"/>
      <c r="G5024" s="5"/>
      <c r="H5024" s="5"/>
      <c r="I5024" s="5"/>
      <c r="J5024" s="5"/>
      <c r="K5024" s="5"/>
      <c r="L5024" s="5"/>
      <c r="M5024" s="5"/>
      <c r="N5024" s="5"/>
      <c r="O5024" s="5"/>
      <c r="P5024" s="5"/>
      <c r="Q5024" s="5"/>
      <c r="R5024" s="5"/>
      <c r="S5024" s="5"/>
      <c r="T5024" s="5"/>
      <c r="U5024" s="5"/>
      <c r="V5024" s="5"/>
      <c r="W5024" s="5"/>
      <c r="X5024" s="5"/>
      <c r="Y5024" s="5"/>
      <c r="Z5024" s="5"/>
    </row>
    <row r="5025" spans="1:26" ht="15" x14ac:dyDescent="0.25">
      <c r="A5025" s="4" t="s">
        <v>5023</v>
      </c>
      <c r="B5025" s="4" t="s">
        <v>4550</v>
      </c>
      <c r="C5025" s="2" t="str">
        <f ca="1">IFERROR(__xludf.DUMMYFUNCTION("GOOGLETRANSLATE(A5025,""bn"",""en"")"),"The ending was really amazing")</f>
        <v>The ending was really amazing</v>
      </c>
      <c r="D5025" s="5"/>
      <c r="E5025" s="5"/>
      <c r="F5025" s="5"/>
      <c r="G5025" s="5"/>
      <c r="H5025" s="5"/>
      <c r="I5025" s="5"/>
      <c r="J5025" s="5"/>
      <c r="K5025" s="5"/>
      <c r="L5025" s="5"/>
      <c r="M5025" s="5"/>
      <c r="N5025" s="5"/>
      <c r="O5025" s="5"/>
      <c r="P5025" s="5"/>
      <c r="Q5025" s="5"/>
      <c r="R5025" s="5"/>
      <c r="S5025" s="5"/>
      <c r="T5025" s="5"/>
      <c r="U5025" s="5"/>
      <c r="V5025" s="5"/>
      <c r="W5025" s="5"/>
      <c r="X5025" s="5"/>
      <c r="Y5025" s="5"/>
      <c r="Z5025" s="5"/>
    </row>
    <row r="5026" spans="1:26" ht="15" x14ac:dyDescent="0.25">
      <c r="A5026" s="4" t="s">
        <v>5024</v>
      </c>
      <c r="B5026" s="4" t="s">
        <v>4550</v>
      </c>
      <c r="C5026" s="2" t="str">
        <f ca="1">IFERROR(__xludf.DUMMYFUNCTION("GOOGLETRANSLATE(A5026,""bn"",""en"")"),"Le Halua was one of the biggest laugh spots in the movie")</f>
        <v>Le Halua was one of the biggest laugh spots in the movie</v>
      </c>
      <c r="D5026" s="5"/>
      <c r="E5026" s="5"/>
      <c r="F5026" s="5"/>
      <c r="G5026" s="5"/>
      <c r="H5026" s="5"/>
      <c r="I5026" s="5"/>
      <c r="J5026" s="5"/>
      <c r="K5026" s="5"/>
      <c r="L5026" s="5"/>
      <c r="M5026" s="5"/>
      <c r="N5026" s="5"/>
      <c r="O5026" s="5"/>
      <c r="P5026" s="5"/>
      <c r="Q5026" s="5"/>
      <c r="R5026" s="5"/>
      <c r="S5026" s="5"/>
      <c r="T5026" s="5"/>
      <c r="U5026" s="5"/>
      <c r="V5026" s="5"/>
      <c r="W5026" s="5"/>
      <c r="X5026" s="5"/>
      <c r="Y5026" s="5"/>
      <c r="Z5026" s="5"/>
    </row>
    <row r="5027" spans="1:26" ht="15" x14ac:dyDescent="0.25">
      <c r="A5027" s="4" t="s">
        <v>5025</v>
      </c>
      <c r="B5027" s="4" t="s">
        <v>4550</v>
      </c>
      <c r="C5027" s="2" t="str">
        <f ca="1">IFERROR(__xludf.DUMMYFUNCTION("GOOGLETRANSLATE(A5027,""bn"",""en"")"),"What happened to them, father was no longer happening and I could not help them")</f>
        <v>What happened to them, father was no longer happening and I could not help them</v>
      </c>
      <c r="D5027" s="5"/>
      <c r="E5027" s="5"/>
      <c r="F5027" s="5"/>
      <c r="G5027" s="5"/>
      <c r="H5027" s="5"/>
      <c r="I5027" s="5"/>
      <c r="J5027" s="5"/>
      <c r="K5027" s="5"/>
      <c r="L5027" s="5"/>
      <c r="M5027" s="5"/>
      <c r="N5027" s="5"/>
      <c r="O5027" s="5"/>
      <c r="P5027" s="5"/>
      <c r="Q5027" s="5"/>
      <c r="R5027" s="5"/>
      <c r="S5027" s="5"/>
      <c r="T5027" s="5"/>
      <c r="U5027" s="5"/>
      <c r="V5027" s="5"/>
      <c r="W5027" s="5"/>
      <c r="X5027" s="5"/>
      <c r="Y5027" s="5"/>
      <c r="Z5027" s="5"/>
    </row>
    <row r="5028" spans="1:26" ht="15" x14ac:dyDescent="0.25">
      <c r="A5028" s="4" t="s">
        <v>5026</v>
      </c>
      <c r="B5028" s="4" t="s">
        <v>4550</v>
      </c>
      <c r="C5028" s="2" t="str">
        <f ca="1">IFERROR(__xludf.DUMMYFUNCTION("GOOGLETRANSLATE(A5028,""bn"",""en"")"),"Is it a movie? If there were more movies like this, the name of Bengali cinema would have gone down a lot")</f>
        <v>Is it a movie? If there were more movies like this, the name of Bengali cinema would have gone down a lot</v>
      </c>
      <c r="D5028" s="5"/>
      <c r="E5028" s="5"/>
      <c r="F5028" s="5"/>
      <c r="G5028" s="5"/>
      <c r="H5028" s="5"/>
      <c r="I5028" s="5"/>
      <c r="J5028" s="5"/>
      <c r="K5028" s="5"/>
      <c r="L5028" s="5"/>
      <c r="M5028" s="5"/>
      <c r="N5028" s="5"/>
      <c r="O5028" s="5"/>
      <c r="P5028" s="5"/>
      <c r="Q5028" s="5"/>
      <c r="R5028" s="5"/>
      <c r="S5028" s="5"/>
      <c r="T5028" s="5"/>
      <c r="U5028" s="5"/>
      <c r="V5028" s="5"/>
      <c r="W5028" s="5"/>
      <c r="X5028" s="5"/>
      <c r="Y5028" s="5"/>
      <c r="Z5028" s="5"/>
    </row>
    <row r="5029" spans="1:26" ht="15" x14ac:dyDescent="0.25">
      <c r="A5029" s="4" t="s">
        <v>5027</v>
      </c>
      <c r="B5029" s="4" t="s">
        <v>4550</v>
      </c>
      <c r="C5029" s="2" t="str">
        <f ca="1">IFERROR(__xludf.DUMMYFUNCTION("GOOGLETRANSLATE(A5029,""bn"",""en"")"),"Shakib Khan's movie was very good")</f>
        <v>Shakib Khan's movie was very good</v>
      </c>
      <c r="D5029" s="5"/>
      <c r="E5029" s="5"/>
      <c r="F5029" s="5"/>
      <c r="G5029" s="5"/>
      <c r="H5029" s="5"/>
      <c r="I5029" s="5"/>
      <c r="J5029" s="5"/>
      <c r="K5029" s="5"/>
      <c r="L5029" s="5"/>
      <c r="M5029" s="5"/>
      <c r="N5029" s="5"/>
      <c r="O5029" s="5"/>
      <c r="P5029" s="5"/>
      <c r="Q5029" s="5"/>
      <c r="R5029" s="5"/>
      <c r="S5029" s="5"/>
      <c r="T5029" s="5"/>
      <c r="U5029" s="5"/>
      <c r="V5029" s="5"/>
      <c r="W5029" s="5"/>
      <c r="X5029" s="5"/>
      <c r="Y5029" s="5"/>
      <c r="Z5029" s="5"/>
    </row>
    <row r="5030" spans="1:26" ht="15" x14ac:dyDescent="0.25">
      <c r="A5030" s="4" t="s">
        <v>5028</v>
      </c>
      <c r="B5030" s="4" t="s">
        <v>4550</v>
      </c>
      <c r="C5030" s="2" t="str">
        <f ca="1">IFERROR(__xludf.DUMMYFUNCTION("GOOGLETRANSLATE(A5030,""bn"",""en"")"),"This movie was so beautiful that it would make my heart feel good to watch it")</f>
        <v>This movie was so beautiful that it would make my heart feel good to watch it</v>
      </c>
      <c r="D5030" s="5"/>
      <c r="E5030" s="5"/>
      <c r="F5030" s="5"/>
      <c r="G5030" s="5"/>
      <c r="H5030" s="5"/>
      <c r="I5030" s="5"/>
      <c r="J5030" s="5"/>
      <c r="K5030" s="5"/>
      <c r="L5030" s="5"/>
      <c r="M5030" s="5"/>
      <c r="N5030" s="5"/>
      <c r="O5030" s="5"/>
      <c r="P5030" s="5"/>
      <c r="Q5030" s="5"/>
      <c r="R5030" s="5"/>
      <c r="S5030" s="5"/>
      <c r="T5030" s="5"/>
      <c r="U5030" s="5"/>
      <c r="V5030" s="5"/>
      <c r="W5030" s="5"/>
      <c r="X5030" s="5"/>
      <c r="Y5030" s="5"/>
      <c r="Z5030" s="5"/>
    </row>
    <row r="5031" spans="1:26" ht="15" x14ac:dyDescent="0.25">
      <c r="A5031" s="4" t="s">
        <v>5029</v>
      </c>
      <c r="B5031" s="4" t="s">
        <v>4550</v>
      </c>
      <c r="C5031" s="2" t="str">
        <f ca="1">IFERROR(__xludf.DUMMYFUNCTION("GOOGLETRANSLATE(A5031,""bn"",""en"")"),"I confirmed that the picture was copied by Manna Bhai")</f>
        <v>I confirmed that the picture was copied by Manna Bhai</v>
      </c>
      <c r="D5031" s="5"/>
      <c r="E5031" s="5"/>
      <c r="F5031" s="5"/>
      <c r="G5031" s="5"/>
      <c r="H5031" s="5"/>
      <c r="I5031" s="5"/>
      <c r="J5031" s="5"/>
      <c r="K5031" s="5"/>
      <c r="L5031" s="5"/>
      <c r="M5031" s="5"/>
      <c r="N5031" s="5"/>
      <c r="O5031" s="5"/>
      <c r="P5031" s="5"/>
      <c r="Q5031" s="5"/>
      <c r="R5031" s="5"/>
      <c r="S5031" s="5"/>
      <c r="T5031" s="5"/>
      <c r="U5031" s="5"/>
      <c r="V5031" s="5"/>
      <c r="W5031" s="5"/>
      <c r="X5031" s="5"/>
      <c r="Y5031" s="5"/>
      <c r="Z5031" s="5"/>
    </row>
    <row r="5032" spans="1:26" ht="15" x14ac:dyDescent="0.25">
      <c r="A5032" s="4" t="s">
        <v>5030</v>
      </c>
      <c r="B5032" s="4" t="s">
        <v>4550</v>
      </c>
      <c r="C5032" s="2" t="str">
        <f ca="1">IFERROR(__xludf.DUMMYFUNCTION("GOOGLETRANSLATE(A5032,""bn"",""en"")"),"When this film was running at that time, I saw the casting on posters and on BTV when I was very young, but I could never see the film. Today I saw what a wonderful film they have made.")</f>
        <v>When this film was running at that time, I saw the casting on posters and on BTV when I was very young, but I could never see the film. Today I saw what a wonderful film they have made.</v>
      </c>
      <c r="D5032" s="5"/>
      <c r="E5032" s="5"/>
      <c r="F5032" s="5"/>
      <c r="G5032" s="5"/>
      <c r="H5032" s="5"/>
      <c r="I5032" s="5"/>
      <c r="J5032" s="5"/>
      <c r="K5032" s="5"/>
      <c r="L5032" s="5"/>
      <c r="M5032" s="5"/>
      <c r="N5032" s="5"/>
      <c r="O5032" s="5"/>
      <c r="P5032" s="5"/>
      <c r="Q5032" s="5"/>
      <c r="R5032" s="5"/>
      <c r="S5032" s="5"/>
      <c r="T5032" s="5"/>
      <c r="U5032" s="5"/>
      <c r="V5032" s="5"/>
      <c r="W5032" s="5"/>
      <c r="X5032" s="5"/>
      <c r="Y5032" s="5"/>
      <c r="Z5032" s="5"/>
    </row>
    <row r="5033" spans="1:26" ht="15" x14ac:dyDescent="0.25">
      <c r="A5033" s="4" t="s">
        <v>5031</v>
      </c>
      <c r="B5033" s="4" t="s">
        <v>4550</v>
      </c>
      <c r="C5033" s="2" t="str">
        <f ca="1">IFERROR(__xludf.DUMMYFUNCTION("GOOGLETRANSLATE(A5033,""bn"",""en"")"),"The story was muddled from the start")</f>
        <v>The story was muddled from the start</v>
      </c>
      <c r="D5033" s="5"/>
      <c r="E5033" s="5"/>
      <c r="F5033" s="5"/>
      <c r="G5033" s="5"/>
      <c r="H5033" s="5"/>
      <c r="I5033" s="5"/>
      <c r="J5033" s="5"/>
      <c r="K5033" s="5"/>
      <c r="L5033" s="5"/>
      <c r="M5033" s="5"/>
      <c r="N5033" s="5"/>
      <c r="O5033" s="5"/>
      <c r="P5033" s="5"/>
      <c r="Q5033" s="5"/>
      <c r="R5033" s="5"/>
      <c r="S5033" s="5"/>
      <c r="T5033" s="5"/>
      <c r="U5033" s="5"/>
      <c r="V5033" s="5"/>
      <c r="W5033" s="5"/>
      <c r="X5033" s="5"/>
      <c r="Y5033" s="5"/>
      <c r="Z5033" s="5"/>
    </row>
    <row r="5034" spans="1:26" ht="15" x14ac:dyDescent="0.25">
      <c r="A5034" s="4" t="s">
        <v>5032</v>
      </c>
      <c r="B5034" s="4" t="s">
        <v>4550</v>
      </c>
      <c r="C5034" s="2" t="str">
        <f ca="1">IFERROR(__xludf.DUMMYFUNCTION("GOOGLETRANSLATE(A5034,""bn"",""en"")"),"When all was said and done and all business was done it was logical to give this song now it was only necessary to move forward with vengeance and vengeance.")</f>
        <v>When all was said and done and all business was done it was logical to give this song now it was only necessary to move forward with vengeance and vengeance.</v>
      </c>
      <c r="D5034" s="5"/>
      <c r="E5034" s="5"/>
      <c r="F5034" s="5"/>
      <c r="G5034" s="5"/>
      <c r="H5034" s="5"/>
      <c r="I5034" s="5"/>
      <c r="J5034" s="5"/>
      <c r="K5034" s="5"/>
      <c r="L5034" s="5"/>
      <c r="M5034" s="5"/>
      <c r="N5034" s="5"/>
      <c r="O5034" s="5"/>
      <c r="P5034" s="5"/>
      <c r="Q5034" s="5"/>
      <c r="R5034" s="5"/>
      <c r="S5034" s="5"/>
      <c r="T5034" s="5"/>
      <c r="U5034" s="5"/>
      <c r="V5034" s="5"/>
      <c r="W5034" s="5"/>
      <c r="X5034" s="5"/>
      <c r="Y5034" s="5"/>
      <c r="Z5034" s="5"/>
    </row>
    <row r="5035" spans="1:26" ht="15" x14ac:dyDescent="0.25">
      <c r="A5035" s="4" t="s">
        <v>5033</v>
      </c>
      <c r="B5035" s="4" t="s">
        <v>4550</v>
      </c>
      <c r="C5035" s="2" t="str">
        <f ca="1">IFERROR(__xludf.DUMMYFUNCTION("GOOGLETRANSLATE(A5035,""bn"",""en"")"),"I laughed the most watching this movie Le Halua")</f>
        <v>I laughed the most watching this movie Le Halua</v>
      </c>
      <c r="D5035" s="5"/>
      <c r="E5035" s="5"/>
      <c r="F5035" s="5"/>
      <c r="G5035" s="5"/>
      <c r="H5035" s="5"/>
      <c r="I5035" s="5"/>
      <c r="J5035" s="5"/>
      <c r="K5035" s="5"/>
      <c r="L5035" s="5"/>
      <c r="M5035" s="5"/>
      <c r="N5035" s="5"/>
      <c r="O5035" s="5"/>
      <c r="P5035" s="5"/>
      <c r="Q5035" s="5"/>
      <c r="R5035" s="5"/>
      <c r="S5035" s="5"/>
      <c r="T5035" s="5"/>
      <c r="U5035" s="5"/>
      <c r="V5035" s="5"/>
      <c r="W5035" s="5"/>
      <c r="X5035" s="5"/>
      <c r="Y5035" s="5"/>
      <c r="Z5035" s="5"/>
    </row>
    <row r="5036" spans="1:26" ht="15" x14ac:dyDescent="0.25">
      <c r="A5036" s="4" t="s">
        <v>5034</v>
      </c>
      <c r="B5036" s="4" t="s">
        <v>4550</v>
      </c>
      <c r="C5036" s="2" t="str">
        <f ca="1">IFERROR(__xludf.DUMMYFUNCTION("GOOGLETRANSLATE(A5036,""bn"",""en"")"),"The Ghazakhri story was nothing but a waste of time")</f>
        <v>The Ghazakhri story was nothing but a waste of time</v>
      </c>
      <c r="D5036" s="5"/>
      <c r="E5036" s="5"/>
      <c r="F5036" s="5"/>
      <c r="G5036" s="5"/>
      <c r="H5036" s="5"/>
      <c r="I5036" s="5"/>
      <c r="J5036" s="5"/>
      <c r="K5036" s="5"/>
      <c r="L5036" s="5"/>
      <c r="M5036" s="5"/>
      <c r="N5036" s="5"/>
      <c r="O5036" s="5"/>
      <c r="P5036" s="5"/>
      <c r="Q5036" s="5"/>
      <c r="R5036" s="5"/>
      <c r="S5036" s="5"/>
      <c r="T5036" s="5"/>
      <c r="U5036" s="5"/>
      <c r="V5036" s="5"/>
      <c r="W5036" s="5"/>
      <c r="X5036" s="5"/>
      <c r="Y5036" s="5"/>
      <c r="Z5036" s="5"/>
    </row>
    <row r="5037" spans="1:26" ht="15" x14ac:dyDescent="0.25">
      <c r="A5037" s="4" t="s">
        <v>5035</v>
      </c>
      <c r="B5037" s="4" t="s">
        <v>4550</v>
      </c>
      <c r="C5037" s="2" t="str">
        <f ca="1">IFERROR(__xludf.DUMMYFUNCTION("GOOGLETRANSLATE(A5037,""bn"",""en"")"),"In a word, this movie taught to value friendship")</f>
        <v>In a word, this movie taught to value friendship</v>
      </c>
      <c r="D5037" s="5"/>
      <c r="E5037" s="5"/>
      <c r="F5037" s="5"/>
      <c r="G5037" s="5"/>
      <c r="H5037" s="5"/>
      <c r="I5037" s="5"/>
      <c r="J5037" s="5"/>
      <c r="K5037" s="5"/>
      <c r="L5037" s="5"/>
      <c r="M5037" s="5"/>
      <c r="N5037" s="5"/>
      <c r="O5037" s="5"/>
      <c r="P5037" s="5"/>
      <c r="Q5037" s="5"/>
      <c r="R5037" s="5"/>
      <c r="S5037" s="5"/>
      <c r="T5037" s="5"/>
      <c r="U5037" s="5"/>
      <c r="V5037" s="5"/>
      <c r="W5037" s="5"/>
      <c r="X5037" s="5"/>
      <c r="Y5037" s="5"/>
      <c r="Z5037" s="5"/>
    </row>
    <row r="5038" spans="1:26" ht="15" x14ac:dyDescent="0.25">
      <c r="A5038" s="4" t="s">
        <v>5036</v>
      </c>
      <c r="B5038" s="4" t="s">
        <v>4550</v>
      </c>
      <c r="C5038" s="2" t="str">
        <f ca="1">IFERROR(__xludf.DUMMYFUNCTION("GOOGLETRANSLATE(A5038,""bn"",""en"")"),"There were many lessons in this film")</f>
        <v>There were many lessons in this film</v>
      </c>
      <c r="D5038" s="5"/>
      <c r="E5038" s="5"/>
      <c r="F5038" s="5"/>
      <c r="G5038" s="5"/>
      <c r="H5038" s="5"/>
      <c r="I5038" s="5"/>
      <c r="J5038" s="5"/>
      <c r="K5038" s="5"/>
      <c r="L5038" s="5"/>
      <c r="M5038" s="5"/>
      <c r="N5038" s="5"/>
      <c r="O5038" s="5"/>
      <c r="P5038" s="5"/>
      <c r="Q5038" s="5"/>
      <c r="R5038" s="5"/>
      <c r="S5038" s="5"/>
      <c r="T5038" s="5"/>
      <c r="U5038" s="5"/>
      <c r="V5038" s="5"/>
      <c r="W5038" s="5"/>
      <c r="X5038" s="5"/>
      <c r="Y5038" s="5"/>
      <c r="Z5038" s="5"/>
    </row>
    <row r="5039" spans="1:26" ht="15" x14ac:dyDescent="0.25">
      <c r="A5039" s="4" t="s">
        <v>5037</v>
      </c>
      <c r="B5039" s="4" t="s">
        <v>4550</v>
      </c>
      <c r="C5039" s="2" t="str">
        <f ca="1">IFERROR(__xludf.DUMMYFUNCTION("GOOGLETRANSLATE(A5039,""bn"",""en"")"),"When I was in the village, I thought it would be better if we lived in the city. I thought how modern the city people are")</f>
        <v>When I was in the village, I thought it would be better if we lived in the city. I thought how modern the city people are</v>
      </c>
      <c r="D5039" s="5"/>
      <c r="E5039" s="5"/>
      <c r="F5039" s="5"/>
      <c r="G5039" s="5"/>
      <c r="H5039" s="5"/>
      <c r="I5039" s="5"/>
      <c r="J5039" s="5"/>
      <c r="K5039" s="5"/>
      <c r="L5039" s="5"/>
      <c r="M5039" s="5"/>
      <c r="N5039" s="5"/>
      <c r="O5039" s="5"/>
      <c r="P5039" s="5"/>
      <c r="Q5039" s="5"/>
      <c r="R5039" s="5"/>
      <c r="S5039" s="5"/>
      <c r="T5039" s="5"/>
      <c r="U5039" s="5"/>
      <c r="V5039" s="5"/>
      <c r="W5039" s="5"/>
      <c r="X5039" s="5"/>
      <c r="Y5039" s="5"/>
      <c r="Z5039" s="5"/>
    </row>
    <row r="5040" spans="1:26" ht="15" x14ac:dyDescent="0.25">
      <c r="A5040" s="4" t="s">
        <v>5038</v>
      </c>
      <c r="B5040" s="4" t="s">
        <v>4550</v>
      </c>
      <c r="C5040" s="2" t="str">
        <f ca="1">IFERROR(__xludf.DUMMYFUNCTION("GOOGLETRANSLATE(A5040,""bn"",""en"")"),"The story was of a very different flavor, the plot and the acting were superb")</f>
        <v>The story was of a very different flavor, the plot and the acting were superb</v>
      </c>
      <c r="D5040" s="5"/>
      <c r="E5040" s="5"/>
      <c r="F5040" s="5"/>
      <c r="G5040" s="5"/>
      <c r="H5040" s="5"/>
      <c r="I5040" s="5"/>
      <c r="J5040" s="5"/>
      <c r="K5040" s="5"/>
      <c r="L5040" s="5"/>
      <c r="M5040" s="5"/>
      <c r="N5040" s="5"/>
      <c r="O5040" s="5"/>
      <c r="P5040" s="5"/>
      <c r="Q5040" s="5"/>
      <c r="R5040" s="5"/>
      <c r="S5040" s="5"/>
      <c r="T5040" s="5"/>
      <c r="U5040" s="5"/>
      <c r="V5040" s="5"/>
      <c r="W5040" s="5"/>
      <c r="X5040" s="5"/>
      <c r="Y5040" s="5"/>
      <c r="Z5040" s="5"/>
    </row>
    <row r="5041" spans="1:26" ht="15" x14ac:dyDescent="0.25">
      <c r="A5041" s="4" t="s">
        <v>5039</v>
      </c>
      <c r="B5041" s="4" t="s">
        <v>4550</v>
      </c>
      <c r="C5041" s="2" t="str">
        <f ca="1">IFERROR(__xludf.DUMMYFUNCTION("GOOGLETRANSLATE(A5041,""bn"",""en"")"),"I was about to die of cringe")</f>
        <v>I was about to die of cringe</v>
      </c>
      <c r="D5041" s="5"/>
      <c r="E5041" s="5"/>
      <c r="F5041" s="5"/>
      <c r="G5041" s="5"/>
      <c r="H5041" s="5"/>
      <c r="I5041" s="5"/>
      <c r="J5041" s="5"/>
      <c r="K5041" s="5"/>
      <c r="L5041" s="5"/>
      <c r="M5041" s="5"/>
      <c r="N5041" s="5"/>
      <c r="O5041" s="5"/>
      <c r="P5041" s="5"/>
      <c r="Q5041" s="5"/>
      <c r="R5041" s="5"/>
      <c r="S5041" s="5"/>
      <c r="T5041" s="5"/>
      <c r="U5041" s="5"/>
      <c r="V5041" s="5"/>
      <c r="W5041" s="5"/>
      <c r="X5041" s="5"/>
      <c r="Y5041" s="5"/>
      <c r="Z5041" s="5"/>
    </row>
    <row r="5042" spans="1:26" ht="15" x14ac:dyDescent="0.25">
      <c r="A5042" s="4" t="s">
        <v>5040</v>
      </c>
      <c r="B5042" s="4" t="s">
        <v>4550</v>
      </c>
      <c r="C5042" s="2" t="str">
        <f ca="1">IFERROR(__xludf.DUMMYFUNCTION("GOOGLETRANSLATE(A5042,""bn"",""en"")"),"There has never been such a rich film")</f>
        <v>There has never been such a rich film</v>
      </c>
      <c r="D5042" s="5"/>
      <c r="E5042" s="5"/>
      <c r="F5042" s="5"/>
      <c r="G5042" s="5"/>
      <c r="H5042" s="5"/>
      <c r="I5042" s="5"/>
      <c r="J5042" s="5"/>
      <c r="K5042" s="5"/>
      <c r="L5042" s="5"/>
      <c r="M5042" s="5"/>
      <c r="N5042" s="5"/>
      <c r="O5042" s="5"/>
      <c r="P5042" s="5"/>
      <c r="Q5042" s="5"/>
      <c r="R5042" s="5"/>
      <c r="S5042" s="5"/>
      <c r="T5042" s="5"/>
      <c r="U5042" s="5"/>
      <c r="V5042" s="5"/>
      <c r="W5042" s="5"/>
      <c r="X5042" s="5"/>
      <c r="Y5042" s="5"/>
      <c r="Z5042" s="5"/>
    </row>
    <row r="5043" spans="1:26" ht="15" x14ac:dyDescent="0.25">
      <c r="A5043" s="4" t="s">
        <v>5041</v>
      </c>
      <c r="B5043" s="4" t="s">
        <v>4550</v>
      </c>
      <c r="C5043" s="2" t="str">
        <f ca="1">IFERROR(__xludf.DUMMYFUNCTION("GOOGLETRANSLATE(A5043,""bn"",""en"")"),"A very beautiful Bengali film from Kolkata, Hiran and Koel were always friends. I watched it several times before. Every time I watched it, I liked every song. It was great to listen to.")</f>
        <v>A very beautiful Bengali film from Kolkata, Hiran and Koel were always friends. I watched it several times before. Every time I watched it, I liked every song. It was great to listen to.</v>
      </c>
      <c r="D5043" s="5"/>
      <c r="E5043" s="5"/>
      <c r="F5043" s="5"/>
      <c r="G5043" s="5"/>
      <c r="H5043" s="5"/>
      <c r="I5043" s="5"/>
      <c r="J5043" s="5"/>
      <c r="K5043" s="5"/>
      <c r="L5043" s="5"/>
      <c r="M5043" s="5"/>
      <c r="N5043" s="5"/>
      <c r="O5043" s="5"/>
      <c r="P5043" s="5"/>
      <c r="Q5043" s="5"/>
      <c r="R5043" s="5"/>
      <c r="S5043" s="5"/>
      <c r="T5043" s="5"/>
      <c r="U5043" s="5"/>
      <c r="V5043" s="5"/>
      <c r="W5043" s="5"/>
      <c r="X5043" s="5"/>
      <c r="Y5043" s="5"/>
      <c r="Z5043" s="5"/>
    </row>
    <row r="5044" spans="1:26" ht="15" x14ac:dyDescent="0.25">
      <c r="A5044" s="4" t="s">
        <v>5042</v>
      </c>
      <c r="B5044" s="4" t="s">
        <v>4550</v>
      </c>
      <c r="C5044" s="2" t="str">
        <f ca="1">IFERROR(__xludf.DUMMYFUNCTION("GOOGLETRANSLATE(A5044,""bn"",""en"")"),"Bapre bap ki movie This kind of movie could be watched even by buying tickets for thousands of taka")</f>
        <v>Bapre bap ki movie This kind of movie could be watched even by buying tickets for thousands of taka</v>
      </c>
      <c r="D5044" s="5"/>
      <c r="E5044" s="5"/>
      <c r="F5044" s="5"/>
      <c r="G5044" s="5"/>
      <c r="H5044" s="5"/>
      <c r="I5044" s="5"/>
      <c r="J5044" s="5"/>
      <c r="K5044" s="5"/>
      <c r="L5044" s="5"/>
      <c r="M5044" s="5"/>
      <c r="N5044" s="5"/>
      <c r="O5044" s="5"/>
      <c r="P5044" s="5"/>
      <c r="Q5044" s="5"/>
      <c r="R5044" s="5"/>
      <c r="S5044" s="5"/>
      <c r="T5044" s="5"/>
      <c r="U5044" s="5"/>
      <c r="V5044" s="5"/>
      <c r="W5044" s="5"/>
      <c r="X5044" s="5"/>
      <c r="Y5044" s="5"/>
      <c r="Z5044" s="5"/>
    </row>
    <row r="5045" spans="1:26" ht="15" x14ac:dyDescent="0.25">
      <c r="A5045" s="4" t="s">
        <v>5043</v>
      </c>
      <c r="B5045" s="4" t="s">
        <v>4550</v>
      </c>
      <c r="C5045" s="2" t="str">
        <f ca="1">IFERROR(__xludf.DUMMYFUNCTION("GOOGLETRANSLATE(A5045,""bn"",""en"")"),"Zayed Khan was a tube light")</f>
        <v>Zayed Khan was a tube light</v>
      </c>
      <c r="D5045" s="5"/>
      <c r="E5045" s="5"/>
      <c r="F5045" s="5"/>
      <c r="G5045" s="5"/>
      <c r="H5045" s="5"/>
      <c r="I5045" s="5"/>
      <c r="J5045" s="5"/>
      <c r="K5045" s="5"/>
      <c r="L5045" s="5"/>
      <c r="M5045" s="5"/>
      <c r="N5045" s="5"/>
      <c r="O5045" s="5"/>
      <c r="P5045" s="5"/>
      <c r="Q5045" s="5"/>
      <c r="R5045" s="5"/>
      <c r="S5045" s="5"/>
      <c r="T5045" s="5"/>
      <c r="U5045" s="5"/>
      <c r="V5045" s="5"/>
      <c r="W5045" s="5"/>
      <c r="X5045" s="5"/>
      <c r="Y5045" s="5"/>
      <c r="Z5045" s="5"/>
    </row>
    <row r="5046" spans="1:26" ht="15" x14ac:dyDescent="0.25">
      <c r="A5046" s="4" t="s">
        <v>5044</v>
      </c>
      <c r="B5046" s="4" t="s">
        <v>4550</v>
      </c>
      <c r="C5046" s="2" t="str">
        <f ca="1">IFERROR(__xludf.DUMMYFUNCTION("GOOGLETRANSLATE(A5046,""bn"",""en"")"),"Anju and Ilyas Kanchan star in the film which gained popularity")</f>
        <v>Anju and Ilyas Kanchan star in the film which gained popularity</v>
      </c>
      <c r="D5046" s="5"/>
      <c r="E5046" s="5"/>
      <c r="F5046" s="5"/>
      <c r="G5046" s="5"/>
      <c r="H5046" s="5"/>
      <c r="I5046" s="5"/>
      <c r="J5046" s="5"/>
      <c r="K5046" s="5"/>
      <c r="L5046" s="5"/>
      <c r="M5046" s="5"/>
      <c r="N5046" s="5"/>
      <c r="O5046" s="5"/>
      <c r="P5046" s="5"/>
      <c r="Q5046" s="5"/>
      <c r="R5046" s="5"/>
      <c r="S5046" s="5"/>
      <c r="T5046" s="5"/>
      <c r="U5046" s="5"/>
      <c r="V5046" s="5"/>
      <c r="W5046" s="5"/>
      <c r="X5046" s="5"/>
      <c r="Y5046" s="5"/>
      <c r="Z5046" s="5"/>
    </row>
    <row r="5047" spans="1:26" ht="15" x14ac:dyDescent="0.25">
      <c r="A5047" s="4" t="s">
        <v>5045</v>
      </c>
      <c r="B5047" s="4" t="s">
        <v>4550</v>
      </c>
      <c r="C5047" s="2" t="str">
        <f ca="1">IFERROR(__xludf.DUMMYFUNCTION("GOOGLETRANSLATE(A5047,""bn"",""en"")"),"Couldn't get a job yet")</f>
        <v>Couldn't get a job yet</v>
      </c>
      <c r="D5047" s="5"/>
      <c r="E5047" s="5"/>
      <c r="F5047" s="5"/>
      <c r="G5047" s="5"/>
      <c r="H5047" s="5"/>
      <c r="I5047" s="5"/>
      <c r="J5047" s="5"/>
      <c r="K5047" s="5"/>
      <c r="L5047" s="5"/>
      <c r="M5047" s="5"/>
      <c r="N5047" s="5"/>
      <c r="O5047" s="5"/>
      <c r="P5047" s="5"/>
      <c r="Q5047" s="5"/>
      <c r="R5047" s="5"/>
      <c r="S5047" s="5"/>
      <c r="T5047" s="5"/>
      <c r="U5047" s="5"/>
      <c r="V5047" s="5"/>
      <c r="W5047" s="5"/>
      <c r="X5047" s="5"/>
      <c r="Y5047" s="5"/>
      <c r="Z5047" s="5"/>
    </row>
    <row r="5048" spans="1:26" ht="15" x14ac:dyDescent="0.25">
      <c r="A5048" s="4" t="s">
        <v>5046</v>
      </c>
      <c r="B5048" s="4" t="s">
        <v>4550</v>
      </c>
      <c r="C5048" s="2" t="str">
        <f ca="1">IFERROR(__xludf.DUMMYFUNCTION("GOOGLETRANSLATE(A5048,""bn"",""en"")"),"I made a better movie myself")</f>
        <v>I made a better movie myself</v>
      </c>
      <c r="D5048" s="5"/>
      <c r="E5048" s="5"/>
      <c r="F5048" s="5"/>
      <c r="G5048" s="5"/>
      <c r="H5048" s="5"/>
      <c r="I5048" s="5"/>
      <c r="J5048" s="5"/>
      <c r="K5048" s="5"/>
      <c r="L5048" s="5"/>
      <c r="M5048" s="5"/>
      <c r="N5048" s="5"/>
      <c r="O5048" s="5"/>
      <c r="P5048" s="5"/>
      <c r="Q5048" s="5"/>
      <c r="R5048" s="5"/>
      <c r="S5048" s="5"/>
      <c r="T5048" s="5"/>
      <c r="U5048" s="5"/>
      <c r="V5048" s="5"/>
      <c r="W5048" s="5"/>
      <c r="X5048" s="5"/>
      <c r="Y5048" s="5"/>
      <c r="Z5048" s="5"/>
    </row>
    <row r="5049" spans="1:26" ht="15" x14ac:dyDescent="0.25">
      <c r="A5049" s="4" t="s">
        <v>5047</v>
      </c>
      <c r="B5049" s="4" t="s">
        <v>4550</v>
      </c>
      <c r="C5049" s="2" t="str">
        <f ca="1">IFERROR(__xludf.DUMMYFUNCTION("GOOGLETRANSLATE(A5049,""bn"",""en"")"),"It was a movie")</f>
        <v>It was a movie</v>
      </c>
      <c r="D5049" s="5"/>
      <c r="E5049" s="5"/>
      <c r="F5049" s="5"/>
      <c r="G5049" s="5"/>
      <c r="H5049" s="5"/>
      <c r="I5049" s="5"/>
      <c r="J5049" s="5"/>
      <c r="K5049" s="5"/>
      <c r="L5049" s="5"/>
      <c r="M5049" s="5"/>
      <c r="N5049" s="5"/>
      <c r="O5049" s="5"/>
      <c r="P5049" s="5"/>
      <c r="Q5049" s="5"/>
      <c r="R5049" s="5"/>
      <c r="S5049" s="5"/>
      <c r="T5049" s="5"/>
      <c r="U5049" s="5"/>
      <c r="V5049" s="5"/>
      <c r="W5049" s="5"/>
      <c r="X5049" s="5"/>
      <c r="Y5049" s="5"/>
      <c r="Z5049" s="5"/>
    </row>
    <row r="5050" spans="1:26" ht="15" x14ac:dyDescent="0.25">
      <c r="A5050" s="4" t="s">
        <v>5048</v>
      </c>
      <c r="B5050" s="4" t="s">
        <v>4550</v>
      </c>
      <c r="C5050" s="2" t="str">
        <f ca="1">IFERROR(__xludf.DUMMYFUNCTION("GOOGLETRANSLATE(A5050,""bn"",""en"")"),"The movie that I saw in front of Mom was also bad")</f>
        <v>The movie that I saw in front of Mom was also bad</v>
      </c>
      <c r="D5050" s="5"/>
      <c r="E5050" s="5"/>
      <c r="F5050" s="5"/>
      <c r="G5050" s="5"/>
      <c r="H5050" s="5"/>
      <c r="I5050" s="5"/>
      <c r="J5050" s="5"/>
      <c r="K5050" s="5"/>
      <c r="L5050" s="5"/>
      <c r="M5050" s="5"/>
      <c r="N5050" s="5"/>
      <c r="O5050" s="5"/>
      <c r="P5050" s="5"/>
      <c r="Q5050" s="5"/>
      <c r="R5050" s="5"/>
      <c r="S5050" s="5"/>
      <c r="T5050" s="5"/>
      <c r="U5050" s="5"/>
      <c r="V5050" s="5"/>
      <c r="W5050" s="5"/>
      <c r="X5050" s="5"/>
      <c r="Y5050" s="5"/>
      <c r="Z5050" s="5"/>
    </row>
    <row r="5051" spans="1:26" ht="15" x14ac:dyDescent="0.25">
      <c r="A5051" s="4" t="s">
        <v>5049</v>
      </c>
      <c r="B5051" s="4" t="s">
        <v>4550</v>
      </c>
      <c r="C5051" s="2" t="str">
        <f ca="1">IFERROR(__xludf.DUMMYFUNCTION("GOOGLETRANSLATE(A5051,""bn"",""en"")"),"Every time I saw the picture, I liked a picture of a lot of pain")</f>
        <v>Every time I saw the picture, I liked a picture of a lot of pain</v>
      </c>
      <c r="D5051" s="5"/>
      <c r="E5051" s="5"/>
      <c r="F5051" s="5"/>
      <c r="G5051" s="5"/>
      <c r="H5051" s="5"/>
      <c r="I5051" s="5"/>
      <c r="J5051" s="5"/>
      <c r="K5051" s="5"/>
      <c r="L5051" s="5"/>
      <c r="M5051" s="5"/>
      <c r="N5051" s="5"/>
      <c r="O5051" s="5"/>
      <c r="P5051" s="5"/>
      <c r="Q5051" s="5"/>
      <c r="R5051" s="5"/>
      <c r="S5051" s="5"/>
      <c r="T5051" s="5"/>
      <c r="U5051" s="5"/>
      <c r="V5051" s="5"/>
      <c r="W5051" s="5"/>
      <c r="X5051" s="5"/>
      <c r="Y5051" s="5"/>
      <c r="Z5051" s="5"/>
    </row>
    <row r="5052" spans="1:26" ht="15" x14ac:dyDescent="0.25">
      <c r="A5052" s="4" t="s">
        <v>5050</v>
      </c>
      <c r="B5052" s="4" t="s">
        <v>4550</v>
      </c>
      <c r="C5052" s="2" t="str">
        <f ca="1">IFERROR(__xludf.DUMMYFUNCTION("GOOGLETRANSLATE(A5052,""bn"",""en"")"),"Azaira had made rubbish movies")</f>
        <v>Azaira had made rubbish movies</v>
      </c>
      <c r="D5052" s="5"/>
      <c r="E5052" s="5"/>
      <c r="F5052" s="5"/>
      <c r="G5052" s="5"/>
      <c r="H5052" s="5"/>
      <c r="I5052" s="5"/>
      <c r="J5052" s="5"/>
      <c r="K5052" s="5"/>
      <c r="L5052" s="5"/>
      <c r="M5052" s="5"/>
      <c r="N5052" s="5"/>
      <c r="O5052" s="5"/>
      <c r="P5052" s="5"/>
      <c r="Q5052" s="5"/>
      <c r="R5052" s="5"/>
      <c r="S5052" s="5"/>
      <c r="T5052" s="5"/>
      <c r="U5052" s="5"/>
      <c r="V5052" s="5"/>
      <c r="W5052" s="5"/>
      <c r="X5052" s="5"/>
      <c r="Y5052" s="5"/>
      <c r="Z5052" s="5"/>
    </row>
    <row r="5053" spans="1:26" ht="15" x14ac:dyDescent="0.25">
      <c r="A5053" s="4" t="s">
        <v>5051</v>
      </c>
      <c r="B5053" s="4" t="s">
        <v>4550</v>
      </c>
      <c r="C5053" s="2" t="str">
        <f ca="1">IFERROR(__xludf.DUMMYFUNCTION("GOOGLETRANSLATE(A5053,""bn"",""en"")"),"How low minded people can write such movie stories")</f>
        <v>How low minded people can write such movie stories</v>
      </c>
      <c r="D5053" s="5"/>
      <c r="E5053" s="5"/>
      <c r="F5053" s="5"/>
      <c r="G5053" s="5"/>
      <c r="H5053" s="5"/>
      <c r="I5053" s="5"/>
      <c r="J5053" s="5"/>
      <c r="K5053" s="5"/>
      <c r="L5053" s="5"/>
      <c r="M5053" s="5"/>
      <c r="N5053" s="5"/>
      <c r="O5053" s="5"/>
      <c r="P5053" s="5"/>
      <c r="Q5053" s="5"/>
      <c r="R5053" s="5"/>
      <c r="S5053" s="5"/>
      <c r="T5053" s="5"/>
      <c r="U5053" s="5"/>
      <c r="V5053" s="5"/>
      <c r="W5053" s="5"/>
      <c r="X5053" s="5"/>
      <c r="Y5053" s="5"/>
      <c r="Z5053" s="5"/>
    </row>
    <row r="5054" spans="1:26" ht="15" x14ac:dyDescent="0.25">
      <c r="A5054" s="4" t="s">
        <v>5052</v>
      </c>
      <c r="B5054" s="4" t="s">
        <v>4550</v>
      </c>
      <c r="C5054" s="2" t="str">
        <f ca="1">IFERROR(__xludf.DUMMYFUNCTION("GOOGLETRANSLATE(A5054,""bn"",""en"")"),"It was very beautiful I liked this story")</f>
        <v>It was very beautiful I liked this story</v>
      </c>
      <c r="D5054" s="5"/>
      <c r="E5054" s="5"/>
      <c r="F5054" s="5"/>
      <c r="G5054" s="5"/>
      <c r="H5054" s="5"/>
      <c r="I5054" s="5"/>
      <c r="J5054" s="5"/>
      <c r="K5054" s="5"/>
      <c r="L5054" s="5"/>
      <c r="M5054" s="5"/>
      <c r="N5054" s="5"/>
      <c r="O5054" s="5"/>
      <c r="P5054" s="5"/>
      <c r="Q5054" s="5"/>
      <c r="R5054" s="5"/>
      <c r="S5054" s="5"/>
      <c r="T5054" s="5"/>
      <c r="U5054" s="5"/>
      <c r="V5054" s="5"/>
      <c r="W5054" s="5"/>
      <c r="X5054" s="5"/>
      <c r="Y5054" s="5"/>
      <c r="Z5054" s="5"/>
    </row>
    <row r="5055" spans="1:26" ht="15" x14ac:dyDescent="0.25">
      <c r="A5055" s="4" t="s">
        <v>5053</v>
      </c>
      <c r="B5055" s="4" t="s">
        <v>4550</v>
      </c>
      <c r="C5055" s="2" t="str">
        <f ca="1">IFERROR(__xludf.DUMMYFUNCTION("GOOGLETRANSLATE(A5055,""bn"",""en"")"),"I couldn't even think of the movie that had the best twist I've ever seen")</f>
        <v>I couldn't even think of the movie that had the best twist I've ever seen</v>
      </c>
      <c r="D5055" s="5"/>
      <c r="E5055" s="5"/>
      <c r="F5055" s="5"/>
      <c r="G5055" s="5"/>
      <c r="H5055" s="5"/>
      <c r="I5055" s="5"/>
      <c r="J5055" s="5"/>
      <c r="K5055" s="5"/>
      <c r="L5055" s="5"/>
      <c r="M5055" s="5"/>
      <c r="N5055" s="5"/>
      <c r="O5055" s="5"/>
      <c r="P5055" s="5"/>
      <c r="Q5055" s="5"/>
      <c r="R5055" s="5"/>
      <c r="S5055" s="5"/>
      <c r="T5055" s="5"/>
      <c r="U5055" s="5"/>
      <c r="V5055" s="5"/>
      <c r="W5055" s="5"/>
      <c r="X5055" s="5"/>
      <c r="Y5055" s="5"/>
      <c r="Z5055" s="5"/>
    </row>
    <row r="5056" spans="1:26" ht="15" x14ac:dyDescent="0.25">
      <c r="A5056" s="4" t="s">
        <v>5054</v>
      </c>
      <c r="B5056" s="4" t="s">
        <v>4550</v>
      </c>
      <c r="C5056" s="2" t="str">
        <f ca="1">IFERROR(__xludf.DUMMYFUNCTION("GOOGLETRANSLATE(A5056,""bn"",""en"")"),"Great picture was great picture")</f>
        <v>Great picture was great picture</v>
      </c>
      <c r="D5056" s="5"/>
      <c r="E5056" s="5"/>
      <c r="F5056" s="5"/>
      <c r="G5056" s="5"/>
      <c r="H5056" s="5"/>
      <c r="I5056" s="5"/>
      <c r="J5056" s="5"/>
      <c r="K5056" s="5"/>
      <c r="L5056" s="5"/>
      <c r="M5056" s="5"/>
      <c r="N5056" s="5"/>
      <c r="O5056" s="5"/>
      <c r="P5056" s="5"/>
      <c r="Q5056" s="5"/>
      <c r="R5056" s="5"/>
      <c r="S5056" s="5"/>
      <c r="T5056" s="5"/>
      <c r="U5056" s="5"/>
      <c r="V5056" s="5"/>
      <c r="W5056" s="5"/>
      <c r="X5056" s="5"/>
      <c r="Y5056" s="5"/>
      <c r="Z5056" s="5"/>
    </row>
    <row r="5057" spans="1:26" ht="15" x14ac:dyDescent="0.25">
      <c r="A5057" s="4" t="s">
        <v>5055</v>
      </c>
      <c r="B5057" s="4" t="s">
        <v>4550</v>
      </c>
      <c r="C5057" s="2" t="str">
        <f ca="1">IFERROR(__xludf.DUMMYFUNCTION("GOOGLETRANSLATE(A5057,""bn"",""en"")"),"The director thought they could do business with this film")</f>
        <v>The director thought they could do business with this film</v>
      </c>
      <c r="D5057" s="5"/>
      <c r="E5057" s="5"/>
      <c r="F5057" s="5"/>
      <c r="G5057" s="5"/>
      <c r="H5057" s="5"/>
      <c r="I5057" s="5"/>
      <c r="J5057" s="5"/>
      <c r="K5057" s="5"/>
      <c r="L5057" s="5"/>
      <c r="M5057" s="5"/>
      <c r="N5057" s="5"/>
      <c r="O5057" s="5"/>
      <c r="P5057" s="5"/>
      <c r="Q5057" s="5"/>
      <c r="R5057" s="5"/>
      <c r="S5057" s="5"/>
      <c r="T5057" s="5"/>
      <c r="U5057" s="5"/>
      <c r="V5057" s="5"/>
      <c r="W5057" s="5"/>
      <c r="X5057" s="5"/>
      <c r="Y5057" s="5"/>
      <c r="Z5057" s="5"/>
    </row>
    <row r="5058" spans="1:26" ht="15" x14ac:dyDescent="0.25">
      <c r="A5058" s="4" t="s">
        <v>5056</v>
      </c>
      <c r="B5058" s="4" t="s">
        <v>4550</v>
      </c>
      <c r="C5058" s="2" t="str">
        <f ca="1">IFERROR(__xludf.DUMMYFUNCTION("GOOGLETRANSLATE(A5058,""bn"",""en"")"),"It didn't feel good, it was just a waste of time")</f>
        <v>It didn't feel good, it was just a waste of time</v>
      </c>
      <c r="D5058" s="5"/>
      <c r="E5058" s="5"/>
      <c r="F5058" s="5"/>
      <c r="G5058" s="5"/>
      <c r="H5058" s="5"/>
      <c r="I5058" s="5"/>
      <c r="J5058" s="5"/>
      <c r="K5058" s="5"/>
      <c r="L5058" s="5"/>
      <c r="M5058" s="5"/>
      <c r="N5058" s="5"/>
      <c r="O5058" s="5"/>
      <c r="P5058" s="5"/>
      <c r="Q5058" s="5"/>
      <c r="R5058" s="5"/>
      <c r="S5058" s="5"/>
      <c r="T5058" s="5"/>
      <c r="U5058" s="5"/>
      <c r="V5058" s="5"/>
      <c r="W5058" s="5"/>
      <c r="X5058" s="5"/>
      <c r="Y5058" s="5"/>
      <c r="Z5058" s="5"/>
    </row>
    <row r="5059" spans="1:26" ht="15" x14ac:dyDescent="0.25">
      <c r="A5059" s="4" t="s">
        <v>5057</v>
      </c>
      <c r="B5059" s="4" t="s">
        <v>4550</v>
      </c>
      <c r="C5059" s="2" t="str">
        <f ca="1">IFERROR(__xludf.DUMMYFUNCTION("GOOGLETRANSLATE(A5059,""bn"",""en"")"),"Shur was absolutely foul")</f>
        <v>Shur was absolutely foul</v>
      </c>
      <c r="D5059" s="5"/>
      <c r="E5059" s="5"/>
      <c r="F5059" s="5"/>
      <c r="G5059" s="5"/>
      <c r="H5059" s="5"/>
      <c r="I5059" s="5"/>
      <c r="J5059" s="5"/>
      <c r="K5059" s="5"/>
      <c r="L5059" s="5"/>
      <c r="M5059" s="5"/>
      <c r="N5059" s="5"/>
      <c r="O5059" s="5"/>
      <c r="P5059" s="5"/>
      <c r="Q5059" s="5"/>
      <c r="R5059" s="5"/>
      <c r="S5059" s="5"/>
      <c r="T5059" s="5"/>
      <c r="U5059" s="5"/>
      <c r="V5059" s="5"/>
      <c r="W5059" s="5"/>
      <c r="X5059" s="5"/>
      <c r="Y5059" s="5"/>
      <c r="Z5059" s="5"/>
    </row>
    <row r="5060" spans="1:26" ht="15" x14ac:dyDescent="0.25">
      <c r="A5060" s="4" t="s">
        <v>5058</v>
      </c>
      <c r="B5060" s="4" t="s">
        <v>4550</v>
      </c>
      <c r="C5060" s="2" t="str">
        <f ca="1">IFERROR(__xludf.DUMMYFUNCTION("GOOGLETRANSLATE(A5060,""bn"",""en"")"),"Foul was the movie")</f>
        <v>Foul was the movie</v>
      </c>
      <c r="D5060" s="5"/>
      <c r="E5060" s="5"/>
      <c r="F5060" s="5"/>
      <c r="G5060" s="5"/>
      <c r="H5060" s="5"/>
      <c r="I5060" s="5"/>
      <c r="J5060" s="5"/>
      <c r="K5060" s="5"/>
      <c r="L5060" s="5"/>
      <c r="M5060" s="5"/>
      <c r="N5060" s="5"/>
      <c r="O5060" s="5"/>
      <c r="P5060" s="5"/>
      <c r="Q5060" s="5"/>
      <c r="R5060" s="5"/>
      <c r="S5060" s="5"/>
      <c r="T5060" s="5"/>
      <c r="U5060" s="5"/>
      <c r="V5060" s="5"/>
      <c r="W5060" s="5"/>
      <c r="X5060" s="5"/>
      <c r="Y5060" s="5"/>
      <c r="Z5060" s="5"/>
    </row>
    <row r="5061" spans="1:26" ht="15" x14ac:dyDescent="0.25">
      <c r="A5061" s="4" t="s">
        <v>5059</v>
      </c>
      <c r="B5061" s="4" t="s">
        <v>4550</v>
      </c>
      <c r="C5061" s="2" t="str">
        <f ca="1">IFERROR(__xludf.DUMMYFUNCTION("GOOGLETRANSLATE(A5061,""bn"",""en"")"),"There was a sack movie")</f>
        <v>There was a sack movie</v>
      </c>
      <c r="D5061" s="5"/>
      <c r="E5061" s="5"/>
      <c r="F5061" s="5"/>
      <c r="G5061" s="5"/>
      <c r="H5061" s="5"/>
      <c r="I5061" s="5"/>
      <c r="J5061" s="5"/>
      <c r="K5061" s="5"/>
      <c r="L5061" s="5"/>
      <c r="M5061" s="5"/>
      <c r="N5061" s="5"/>
      <c r="O5061" s="5"/>
      <c r="P5061" s="5"/>
      <c r="Q5061" s="5"/>
      <c r="R5061" s="5"/>
      <c r="S5061" s="5"/>
      <c r="T5061" s="5"/>
      <c r="U5061" s="5"/>
      <c r="V5061" s="5"/>
      <c r="W5061" s="5"/>
      <c r="X5061" s="5"/>
      <c r="Y5061" s="5"/>
      <c r="Z5061" s="5"/>
    </row>
    <row r="5062" spans="1:26" ht="15" x14ac:dyDescent="0.25">
      <c r="A5062" s="4" t="s">
        <v>5060</v>
      </c>
      <c r="B5062" s="4" t="s">
        <v>4550</v>
      </c>
      <c r="C5062" s="2" t="str">
        <f ca="1">IFERROR(__xludf.DUMMYFUNCTION("GOOGLETRANSLATE(A5062,""bn"",""en"")"),"Thank you director brother for giving such a beautiful movie")</f>
        <v>Thank you director brother for giving such a beautiful movie</v>
      </c>
      <c r="D5062" s="5"/>
      <c r="E5062" s="5"/>
      <c r="F5062" s="5"/>
      <c r="G5062" s="5"/>
      <c r="H5062" s="5"/>
      <c r="I5062" s="5"/>
      <c r="J5062" s="5"/>
      <c r="K5062" s="5"/>
      <c r="L5062" s="5"/>
      <c r="M5062" s="5"/>
      <c r="N5062" s="5"/>
      <c r="O5062" s="5"/>
      <c r="P5062" s="5"/>
      <c r="Q5062" s="5"/>
      <c r="R5062" s="5"/>
      <c r="S5062" s="5"/>
      <c r="T5062" s="5"/>
      <c r="U5062" s="5"/>
      <c r="V5062" s="5"/>
      <c r="W5062" s="5"/>
      <c r="X5062" s="5"/>
      <c r="Y5062" s="5"/>
      <c r="Z5062" s="5"/>
    </row>
    <row r="5063" spans="1:26" ht="15" x14ac:dyDescent="0.25">
      <c r="A5063" s="4" t="s">
        <v>5061</v>
      </c>
      <c r="B5063" s="4" t="s">
        <v>4550</v>
      </c>
      <c r="C5063" s="2" t="str">
        <f ca="1">IFERROR(__xludf.DUMMYFUNCTION("GOOGLETRANSLATE(A5063,""bn"",""en"")"),"Riyaz Shabnoor was in one word the greatest romantic couple of all time where there was a romantic story.")</f>
        <v>Riyaz Shabnoor was in one word the greatest romantic couple of all time where there was a romantic story.</v>
      </c>
      <c r="D5063" s="5"/>
      <c r="E5063" s="5"/>
      <c r="F5063" s="5"/>
      <c r="G5063" s="5"/>
      <c r="H5063" s="5"/>
      <c r="I5063" s="5"/>
      <c r="J5063" s="5"/>
      <c r="K5063" s="5"/>
      <c r="L5063" s="5"/>
      <c r="M5063" s="5"/>
      <c r="N5063" s="5"/>
      <c r="O5063" s="5"/>
      <c r="P5063" s="5"/>
      <c r="Q5063" s="5"/>
      <c r="R5063" s="5"/>
      <c r="S5063" s="5"/>
      <c r="T5063" s="5"/>
      <c r="U5063" s="5"/>
      <c r="V5063" s="5"/>
      <c r="W5063" s="5"/>
      <c r="X5063" s="5"/>
      <c r="Y5063" s="5"/>
      <c r="Z5063" s="5"/>
    </row>
    <row r="5064" spans="1:26" ht="15" x14ac:dyDescent="0.25">
      <c r="A5064" s="4" t="s">
        <v>5062</v>
      </c>
      <c r="B5064" s="4" t="s">
        <v>4550</v>
      </c>
      <c r="C5064" s="2" t="str">
        <f ca="1">IFERROR(__xludf.DUMMYFUNCTION("GOOGLETRANSLATE(A5064,""bn"",""en"")"),"The ending was incomplete")</f>
        <v>The ending was incomplete</v>
      </c>
      <c r="D5064" s="5"/>
      <c r="E5064" s="5"/>
      <c r="F5064" s="5"/>
      <c r="G5064" s="5"/>
      <c r="H5064" s="5"/>
      <c r="I5064" s="5"/>
      <c r="J5064" s="5"/>
      <c r="K5064" s="5"/>
      <c r="L5064" s="5"/>
      <c r="M5064" s="5"/>
      <c r="N5064" s="5"/>
      <c r="O5064" s="5"/>
      <c r="P5064" s="5"/>
      <c r="Q5064" s="5"/>
      <c r="R5064" s="5"/>
      <c r="S5064" s="5"/>
      <c r="T5064" s="5"/>
      <c r="U5064" s="5"/>
      <c r="V5064" s="5"/>
      <c r="W5064" s="5"/>
      <c r="X5064" s="5"/>
      <c r="Y5064" s="5"/>
      <c r="Z5064" s="5"/>
    </row>
    <row r="5065" spans="1:26" ht="15" x14ac:dyDescent="0.25">
      <c r="A5065" s="4" t="s">
        <v>5063</v>
      </c>
      <c r="B5065" s="4" t="s">
        <v>4550</v>
      </c>
      <c r="C5065" s="2" t="str">
        <f ca="1">IFERROR(__xludf.DUMMYFUNCTION("GOOGLETRANSLATE(A5065,""bn"",""en"")"),"After watching the movie one realized that everyone's favorite Feluda was safe in the hands of the right person")</f>
        <v>After watching the movie one realized that everyone's favorite Feluda was safe in the hands of the right person</v>
      </c>
      <c r="D5065" s="5"/>
      <c r="E5065" s="5"/>
      <c r="F5065" s="5"/>
      <c r="G5065" s="5"/>
      <c r="H5065" s="5"/>
      <c r="I5065" s="5"/>
      <c r="J5065" s="5"/>
      <c r="K5065" s="5"/>
      <c r="L5065" s="5"/>
      <c r="M5065" s="5"/>
      <c r="N5065" s="5"/>
      <c r="O5065" s="5"/>
      <c r="P5065" s="5"/>
      <c r="Q5065" s="5"/>
      <c r="R5065" s="5"/>
      <c r="S5065" s="5"/>
      <c r="T5065" s="5"/>
      <c r="U5065" s="5"/>
      <c r="V5065" s="5"/>
      <c r="W5065" s="5"/>
      <c r="X5065" s="5"/>
      <c r="Y5065" s="5"/>
      <c r="Z5065" s="5"/>
    </row>
    <row r="5066" spans="1:26" ht="15" x14ac:dyDescent="0.25">
      <c r="A5066" s="4" t="s">
        <v>5064</v>
      </c>
      <c r="B5066" s="4" t="s">
        <v>4550</v>
      </c>
      <c r="C5066" s="2" t="str">
        <f ca="1">IFERROR(__xludf.DUMMYFUNCTION("GOOGLETRANSLATE(A5066,""bn"",""en"")"),"What a perfect acting, like the artist, the voice, what the song, if a movie like this was made, I would have cried after watching it again.")</f>
        <v>What a perfect acting, like the artist, the voice, what the song, if a movie like this was made, I would have cried after watching it again.</v>
      </c>
      <c r="D5066" s="5"/>
      <c r="E5066" s="5"/>
      <c r="F5066" s="5"/>
      <c r="G5066" s="5"/>
      <c r="H5066" s="5"/>
      <c r="I5066" s="5"/>
      <c r="J5066" s="5"/>
      <c r="K5066" s="5"/>
      <c r="L5066" s="5"/>
      <c r="M5066" s="5"/>
      <c r="N5066" s="5"/>
      <c r="O5066" s="5"/>
      <c r="P5066" s="5"/>
      <c r="Q5066" s="5"/>
      <c r="R5066" s="5"/>
      <c r="S5066" s="5"/>
      <c r="T5066" s="5"/>
      <c r="U5066" s="5"/>
      <c r="V5066" s="5"/>
      <c r="W5066" s="5"/>
      <c r="X5066" s="5"/>
      <c r="Y5066" s="5"/>
      <c r="Z5066" s="5"/>
    </row>
    <row r="5067" spans="1:26" ht="15" x14ac:dyDescent="0.25">
      <c r="A5067" s="4" t="s">
        <v>5065</v>
      </c>
      <c r="B5067" s="4" t="s">
        <v>4550</v>
      </c>
      <c r="C5067" s="2" t="str">
        <f ca="1">IFERROR(__xludf.DUMMYFUNCTION("GOOGLETRANSLATE(A5067,""bn"",""en"")"),"He was angry after seeing the picture")</f>
        <v>He was angry after seeing the picture</v>
      </c>
      <c r="D5067" s="5"/>
      <c r="E5067" s="5"/>
      <c r="F5067" s="5"/>
      <c r="G5067" s="5"/>
      <c r="H5067" s="5"/>
      <c r="I5067" s="5"/>
      <c r="J5067" s="5"/>
      <c r="K5067" s="5"/>
      <c r="L5067" s="5"/>
      <c r="M5067" s="5"/>
      <c r="N5067" s="5"/>
      <c r="O5067" s="5"/>
      <c r="P5067" s="5"/>
      <c r="Q5067" s="5"/>
      <c r="R5067" s="5"/>
      <c r="S5067" s="5"/>
      <c r="T5067" s="5"/>
      <c r="U5067" s="5"/>
      <c r="V5067" s="5"/>
      <c r="W5067" s="5"/>
      <c r="X5067" s="5"/>
      <c r="Y5067" s="5"/>
      <c r="Z5067" s="5"/>
    </row>
    <row r="5068" spans="1:26" ht="15" x14ac:dyDescent="0.25">
      <c r="A5068" s="4" t="s">
        <v>5066</v>
      </c>
      <c r="B5068" s="4" t="s">
        <v>4550</v>
      </c>
      <c r="C5068" s="2" t="str">
        <f ca="1">IFERROR(__xludf.DUMMYFUNCTION("GOOGLETRANSLATE(A5068,""bn"",""en"")"),"The entire film was foul and it was also a copy of a Tamil film")</f>
        <v>The entire film was foul and it was also a copy of a Tamil film</v>
      </c>
      <c r="D5068" s="5"/>
      <c r="E5068" s="5"/>
      <c r="F5068" s="5"/>
      <c r="G5068" s="5"/>
      <c r="H5068" s="5"/>
      <c r="I5068" s="5"/>
      <c r="J5068" s="5"/>
      <c r="K5068" s="5"/>
      <c r="L5068" s="5"/>
      <c r="M5068" s="5"/>
      <c r="N5068" s="5"/>
      <c r="O5068" s="5"/>
      <c r="P5068" s="5"/>
      <c r="Q5068" s="5"/>
      <c r="R5068" s="5"/>
      <c r="S5068" s="5"/>
      <c r="T5068" s="5"/>
      <c r="U5068" s="5"/>
      <c r="V5068" s="5"/>
      <c r="W5068" s="5"/>
      <c r="X5068" s="5"/>
      <c r="Y5068" s="5"/>
      <c r="Z5068" s="5"/>
    </row>
    <row r="5069" spans="1:26" ht="15" x14ac:dyDescent="0.25">
      <c r="A5069" s="4" t="s">
        <v>5067</v>
      </c>
      <c r="B5069" s="4" t="s">
        <v>4550</v>
      </c>
      <c r="C5069" s="2" t="str">
        <f ca="1">IFERROR(__xludf.DUMMYFUNCTION("GOOGLETRANSLATE(A5069,""bn"",""en"")"),"They killed the honor of old movies")</f>
        <v>They killed the honor of old movies</v>
      </c>
      <c r="D5069" s="5"/>
      <c r="E5069" s="5"/>
      <c r="F5069" s="5"/>
      <c r="G5069" s="5"/>
      <c r="H5069" s="5"/>
      <c r="I5069" s="5"/>
      <c r="J5069" s="5"/>
      <c r="K5069" s="5"/>
      <c r="L5069" s="5"/>
      <c r="M5069" s="5"/>
      <c r="N5069" s="5"/>
      <c r="O5069" s="5"/>
      <c r="P5069" s="5"/>
      <c r="Q5069" s="5"/>
      <c r="R5069" s="5"/>
      <c r="S5069" s="5"/>
      <c r="T5069" s="5"/>
      <c r="U5069" s="5"/>
      <c r="V5069" s="5"/>
      <c r="W5069" s="5"/>
      <c r="X5069" s="5"/>
      <c r="Y5069" s="5"/>
      <c r="Z5069" s="5"/>
    </row>
    <row r="5070" spans="1:26" ht="15" x14ac:dyDescent="0.25">
      <c r="A5070" s="4" t="s">
        <v>5068</v>
      </c>
      <c r="B5070" s="4" t="s">
        <v>4550</v>
      </c>
      <c r="C5070" s="2" t="str">
        <f ca="1">IFERROR(__xludf.DUMMYFUNCTION("GOOGLETRANSLATE(A5070,""bn"",""en"")"),"Suto made this movie with dung on his head")</f>
        <v>Suto made this movie with dung on his head</v>
      </c>
      <c r="D5070" s="5"/>
      <c r="E5070" s="5"/>
      <c r="F5070" s="5"/>
      <c r="G5070" s="5"/>
      <c r="H5070" s="5"/>
      <c r="I5070" s="5"/>
      <c r="J5070" s="5"/>
      <c r="K5070" s="5"/>
      <c r="L5070" s="5"/>
      <c r="M5070" s="5"/>
      <c r="N5070" s="5"/>
      <c r="O5070" s="5"/>
      <c r="P5070" s="5"/>
      <c r="Q5070" s="5"/>
      <c r="R5070" s="5"/>
      <c r="S5070" s="5"/>
      <c r="T5070" s="5"/>
      <c r="U5070" s="5"/>
      <c r="V5070" s="5"/>
      <c r="W5070" s="5"/>
      <c r="X5070" s="5"/>
      <c r="Y5070" s="5"/>
      <c r="Z5070" s="5"/>
    </row>
    <row r="5071" spans="1:26" ht="15" x14ac:dyDescent="0.25">
      <c r="A5071" s="4" t="s">
        <v>5069</v>
      </c>
      <c r="B5071" s="4" t="s">
        <v>4550</v>
      </c>
      <c r="C5071" s="2" t="str">
        <f ca="1">IFERROR(__xludf.DUMMYFUNCTION("GOOGLETRANSLATE(A5071,""bn"",""en"")"),"He got angry seeing them")</f>
        <v>He got angry seeing them</v>
      </c>
      <c r="D5071" s="5"/>
      <c r="E5071" s="5"/>
      <c r="F5071" s="5"/>
      <c r="G5071" s="5"/>
      <c r="H5071" s="5"/>
      <c r="I5071" s="5"/>
      <c r="J5071" s="5"/>
      <c r="K5071" s="5"/>
      <c r="L5071" s="5"/>
      <c r="M5071" s="5"/>
      <c r="N5071" s="5"/>
      <c r="O5071" s="5"/>
      <c r="P5071" s="5"/>
      <c r="Q5071" s="5"/>
      <c r="R5071" s="5"/>
      <c r="S5071" s="5"/>
      <c r="T5071" s="5"/>
      <c r="U5071" s="5"/>
      <c r="V5071" s="5"/>
      <c r="W5071" s="5"/>
      <c r="X5071" s="5"/>
      <c r="Y5071" s="5"/>
      <c r="Z5071" s="5"/>
    </row>
    <row r="5072" spans="1:26" ht="15" x14ac:dyDescent="0.25">
      <c r="A5072" s="4" t="s">
        <v>5070</v>
      </c>
      <c r="B5072" s="4" t="s">
        <v>4550</v>
      </c>
      <c r="C5072" s="2" t="str">
        <f ca="1">IFERROR(__xludf.DUMMYFUNCTION("GOOGLETRANSLATE(A5072,""bn"",""en"")"),"I would have got a twist in the story if everyone's assumptions were made false and in the climax the characters like Rahul Pratap were actually shown as existing and the murderers of Rain's mother were again made the murderers of four murders.")</f>
        <v>I would have got a twist in the story if everyone's assumptions were made false and in the climax the characters like Rahul Pratap were actually shown as existing and the murderers of Rain's mother were again made the murderers of four murders.</v>
      </c>
      <c r="D5072" s="5"/>
      <c r="E5072" s="5"/>
      <c r="F5072" s="5"/>
      <c r="G5072" s="5"/>
      <c r="H5072" s="5"/>
      <c r="I5072" s="5"/>
      <c r="J5072" s="5"/>
      <c r="K5072" s="5"/>
      <c r="L5072" s="5"/>
      <c r="M5072" s="5"/>
      <c r="N5072" s="5"/>
      <c r="O5072" s="5"/>
      <c r="P5072" s="5"/>
      <c r="Q5072" s="5"/>
      <c r="R5072" s="5"/>
      <c r="S5072" s="5"/>
      <c r="T5072" s="5"/>
      <c r="U5072" s="5"/>
      <c r="V5072" s="5"/>
      <c r="W5072" s="5"/>
      <c r="X5072" s="5"/>
      <c r="Y5072" s="5"/>
      <c r="Z5072" s="5"/>
    </row>
    <row r="5073" spans="1:26" ht="15" x14ac:dyDescent="0.25">
      <c r="A5073" s="4" t="s">
        <v>5071</v>
      </c>
      <c r="B5073" s="4" t="s">
        <v>4550</v>
      </c>
      <c r="C5073" s="2" t="str">
        <f ca="1">IFERROR(__xludf.DUMMYFUNCTION("GOOGLETRANSLATE(A5073,""bn"",""en"")"),"The film Mainamati Sansar was a social and family film of rural Bengal. The film was very well liked and enjoyed by all")</f>
        <v>The film Mainamati Sansar was a social and family film of rural Bengal. The film was very well liked and enjoyed by all</v>
      </c>
      <c r="D5073" s="5"/>
      <c r="E5073" s="5"/>
      <c r="F5073" s="5"/>
      <c r="G5073" s="5"/>
      <c r="H5073" s="5"/>
      <c r="I5073" s="5"/>
      <c r="J5073" s="5"/>
      <c r="K5073" s="5"/>
      <c r="L5073" s="5"/>
      <c r="M5073" s="5"/>
      <c r="N5073" s="5"/>
      <c r="O5073" s="5"/>
      <c r="P5073" s="5"/>
      <c r="Q5073" s="5"/>
      <c r="R5073" s="5"/>
      <c r="S5073" s="5"/>
      <c r="T5073" s="5"/>
      <c r="U5073" s="5"/>
      <c r="V5073" s="5"/>
      <c r="W5073" s="5"/>
      <c r="X5073" s="5"/>
      <c r="Y5073" s="5"/>
      <c r="Z5073" s="5"/>
    </row>
    <row r="5074" spans="1:26" ht="15" x14ac:dyDescent="0.25">
      <c r="A5074" s="4" t="s">
        <v>5072</v>
      </c>
      <c r="B5074" s="4" t="s">
        <v>4550</v>
      </c>
      <c r="C5074" s="2" t="str">
        <f ca="1">IFERROR(__xludf.DUMMYFUNCTION("GOOGLETRANSLATE(A5074,""bn"",""en"")"),"Story was good but over acted")</f>
        <v>Story was good but over acted</v>
      </c>
      <c r="D5074" s="5"/>
      <c r="E5074" s="5"/>
      <c r="F5074" s="5"/>
      <c r="G5074" s="5"/>
      <c r="H5074" s="5"/>
      <c r="I5074" s="5"/>
      <c r="J5074" s="5"/>
      <c r="K5074" s="5"/>
      <c r="L5074" s="5"/>
      <c r="M5074" s="5"/>
      <c r="N5074" s="5"/>
      <c r="O5074" s="5"/>
      <c r="P5074" s="5"/>
      <c r="Q5074" s="5"/>
      <c r="R5074" s="5"/>
      <c r="S5074" s="5"/>
      <c r="T5074" s="5"/>
      <c r="U5074" s="5"/>
      <c r="V5074" s="5"/>
      <c r="W5074" s="5"/>
      <c r="X5074" s="5"/>
      <c r="Y5074" s="5"/>
      <c r="Z5074" s="5"/>
    </row>
    <row r="5075" spans="1:26" ht="15" x14ac:dyDescent="0.25">
      <c r="A5075" s="4" t="s">
        <v>5073</v>
      </c>
      <c r="B5075" s="4" t="s">
        <v>4550</v>
      </c>
      <c r="C5075" s="2" t="str">
        <f ca="1">IFERROR(__xludf.DUMMYFUNCTION("GOOGLETRANSLATE(A5075,""bn"",""en"")"),"The picture was very nice, thanks for giving such a picture")</f>
        <v>The picture was very nice, thanks for giving such a picture</v>
      </c>
      <c r="D5075" s="5"/>
      <c r="E5075" s="5"/>
      <c r="F5075" s="5"/>
      <c r="G5075" s="5"/>
      <c r="H5075" s="5"/>
      <c r="I5075" s="5"/>
      <c r="J5075" s="5"/>
      <c r="K5075" s="5"/>
      <c r="L5075" s="5"/>
      <c r="M5075" s="5"/>
      <c r="N5075" s="5"/>
      <c r="O5075" s="5"/>
      <c r="P5075" s="5"/>
      <c r="Q5075" s="5"/>
      <c r="R5075" s="5"/>
      <c r="S5075" s="5"/>
      <c r="T5075" s="5"/>
      <c r="U5075" s="5"/>
      <c r="V5075" s="5"/>
      <c r="W5075" s="5"/>
      <c r="X5075" s="5"/>
      <c r="Y5075" s="5"/>
      <c r="Z5075" s="5"/>
    </row>
    <row r="5076" spans="1:26" ht="15" x14ac:dyDescent="0.25">
      <c r="A5076" s="4" t="s">
        <v>5074</v>
      </c>
      <c r="B5076" s="4" t="s">
        <v>4550</v>
      </c>
      <c r="C5076" s="2" t="str">
        <f ca="1">IFERROR(__xludf.DUMMYFUNCTION("GOOGLETRANSLATE(A5076,""bn"",""en"")"),"The movie had no story and what people were watching was nonsense")</f>
        <v>The movie had no story and what people were watching was nonsense</v>
      </c>
      <c r="D5076" s="5"/>
      <c r="E5076" s="5"/>
      <c r="F5076" s="5"/>
      <c r="G5076" s="5"/>
      <c r="H5076" s="5"/>
      <c r="I5076" s="5"/>
      <c r="J5076" s="5"/>
      <c r="K5076" s="5"/>
      <c r="L5076" s="5"/>
      <c r="M5076" s="5"/>
      <c r="N5076" s="5"/>
      <c r="O5076" s="5"/>
      <c r="P5076" s="5"/>
      <c r="Q5076" s="5"/>
      <c r="R5076" s="5"/>
      <c r="S5076" s="5"/>
      <c r="T5076" s="5"/>
      <c r="U5076" s="5"/>
      <c r="V5076" s="5"/>
      <c r="W5076" s="5"/>
      <c r="X5076" s="5"/>
      <c r="Y5076" s="5"/>
      <c r="Z5076" s="5"/>
    </row>
    <row r="5077" spans="1:26" ht="15" x14ac:dyDescent="0.25">
      <c r="A5077" s="4" t="s">
        <v>5075</v>
      </c>
      <c r="B5077" s="4" t="s">
        <v>4550</v>
      </c>
      <c r="C5077" s="2" t="str">
        <f ca="1">IFERROR(__xludf.DUMMYFUNCTION("GOOGLETRANSLATE(A5077,""bn"",""en"")"),"ATM's performance was better than watching a good fight")</f>
        <v>ATM's performance was better than watching a good fight</v>
      </c>
      <c r="D5077" s="5"/>
      <c r="E5077" s="5"/>
      <c r="F5077" s="5"/>
      <c r="G5077" s="5"/>
      <c r="H5077" s="5"/>
      <c r="I5077" s="5"/>
      <c r="J5077" s="5"/>
      <c r="K5077" s="5"/>
      <c r="L5077" s="5"/>
      <c r="M5077" s="5"/>
      <c r="N5077" s="5"/>
      <c r="O5077" s="5"/>
      <c r="P5077" s="5"/>
      <c r="Q5077" s="5"/>
      <c r="R5077" s="5"/>
      <c r="S5077" s="5"/>
      <c r="T5077" s="5"/>
      <c r="U5077" s="5"/>
      <c r="V5077" s="5"/>
      <c r="W5077" s="5"/>
      <c r="X5077" s="5"/>
      <c r="Y5077" s="5"/>
      <c r="Z5077" s="5"/>
    </row>
    <row r="5078" spans="1:26" ht="15" x14ac:dyDescent="0.25">
      <c r="A5078" s="4" t="s">
        <v>5076</v>
      </c>
      <c r="B5078" s="4" t="s">
        <v>4550</v>
      </c>
      <c r="C5078" s="2" t="str">
        <f ca="1">IFERROR(__xludf.DUMMYFUNCTION("GOOGLETRANSLATE(A5078,""bn"",""en"")"),"Directed by famous Hollywood actress Angelina Jolie")</f>
        <v>Directed by famous Hollywood actress Angelina Jolie</v>
      </c>
      <c r="D5078" s="5"/>
      <c r="E5078" s="5"/>
      <c r="F5078" s="5"/>
      <c r="G5078" s="5"/>
      <c r="H5078" s="5"/>
      <c r="I5078" s="5"/>
      <c r="J5078" s="5"/>
      <c r="K5078" s="5"/>
      <c r="L5078" s="5"/>
      <c r="M5078" s="5"/>
      <c r="N5078" s="5"/>
      <c r="O5078" s="5"/>
      <c r="P5078" s="5"/>
      <c r="Q5078" s="5"/>
      <c r="R5078" s="5"/>
      <c r="S5078" s="5"/>
      <c r="T5078" s="5"/>
      <c r="U5078" s="5"/>
      <c r="V5078" s="5"/>
      <c r="W5078" s="5"/>
      <c r="X5078" s="5"/>
      <c r="Y5078" s="5"/>
      <c r="Z5078" s="5"/>
    </row>
    <row r="5079" spans="1:26" ht="15" x14ac:dyDescent="0.25">
      <c r="A5079" s="4" t="s">
        <v>5077</v>
      </c>
      <c r="B5079" s="4" t="s">
        <v>4550</v>
      </c>
      <c r="C5079" s="2" t="str">
        <f ca="1">IFERROR(__xludf.DUMMYFUNCTION("GOOGLETRANSLATE(A5079,""bn"",""en"")"),"Whose actors were those who acted?")</f>
        <v>Whose actors were those who acted?</v>
      </c>
      <c r="D5079" s="5"/>
      <c r="E5079" s="5"/>
      <c r="F5079" s="5"/>
      <c r="G5079" s="5"/>
      <c r="H5079" s="5"/>
      <c r="I5079" s="5"/>
      <c r="J5079" s="5"/>
      <c r="K5079" s="5"/>
      <c r="L5079" s="5"/>
      <c r="M5079" s="5"/>
      <c r="N5079" s="5"/>
      <c r="O5079" s="5"/>
      <c r="P5079" s="5"/>
      <c r="Q5079" s="5"/>
      <c r="R5079" s="5"/>
      <c r="S5079" s="5"/>
      <c r="T5079" s="5"/>
      <c r="U5079" s="5"/>
      <c r="V5079" s="5"/>
      <c r="W5079" s="5"/>
      <c r="X5079" s="5"/>
      <c r="Y5079" s="5"/>
      <c r="Z5079" s="5"/>
    </row>
    <row r="5080" spans="1:26" ht="15" x14ac:dyDescent="0.25">
      <c r="A5080" s="4" t="s">
        <v>5078</v>
      </c>
      <c r="B5080" s="4" t="s">
        <v>4550</v>
      </c>
      <c r="C5080" s="2" t="str">
        <f ca="1">IFERROR(__xludf.DUMMYFUNCTION("GOOGLETRANSLATE(A5080,""bn"",""en"")"),"This was the worst movie I have seen in my life")</f>
        <v>This was the worst movie I have seen in my life</v>
      </c>
      <c r="D5080" s="5"/>
      <c r="E5080" s="5"/>
      <c r="F5080" s="5"/>
      <c r="G5080" s="5"/>
      <c r="H5080" s="5"/>
      <c r="I5080" s="5"/>
      <c r="J5080" s="5"/>
      <c r="K5080" s="5"/>
      <c r="L5080" s="5"/>
      <c r="M5080" s="5"/>
      <c r="N5080" s="5"/>
      <c r="O5080" s="5"/>
      <c r="P5080" s="5"/>
      <c r="Q5080" s="5"/>
      <c r="R5080" s="5"/>
      <c r="S5080" s="5"/>
      <c r="T5080" s="5"/>
      <c r="U5080" s="5"/>
      <c r="V5080" s="5"/>
      <c r="W5080" s="5"/>
      <c r="X5080" s="5"/>
      <c r="Y5080" s="5"/>
      <c r="Z5080" s="5"/>
    </row>
    <row r="5081" spans="1:26" ht="15" x14ac:dyDescent="0.25">
      <c r="A5081" s="4" t="s">
        <v>5079</v>
      </c>
      <c r="B5081" s="4" t="s">
        <v>4550</v>
      </c>
      <c r="C5081" s="2" t="str">
        <f ca="1">IFERROR(__xludf.DUMMYFUNCTION("GOOGLETRANSLATE(A5081,""bn"",""en"")"),"People would not go to the hall to see the picture if they did such a picture")</f>
        <v>People would not go to the hall to see the picture if they did such a picture</v>
      </c>
      <c r="D5081" s="5"/>
      <c r="E5081" s="5"/>
      <c r="F5081" s="5"/>
      <c r="G5081" s="5"/>
      <c r="H5081" s="5"/>
      <c r="I5081" s="5"/>
      <c r="J5081" s="5"/>
      <c r="K5081" s="5"/>
      <c r="L5081" s="5"/>
      <c r="M5081" s="5"/>
      <c r="N5081" s="5"/>
      <c r="O5081" s="5"/>
      <c r="P5081" s="5"/>
      <c r="Q5081" s="5"/>
      <c r="R5081" s="5"/>
      <c r="S5081" s="5"/>
      <c r="T5081" s="5"/>
      <c r="U5081" s="5"/>
      <c r="V5081" s="5"/>
      <c r="W5081" s="5"/>
      <c r="X5081" s="5"/>
      <c r="Y5081" s="5"/>
      <c r="Z5081" s="5"/>
    </row>
    <row r="5082" spans="1:26" ht="15" x14ac:dyDescent="0.25">
      <c r="A5082" s="4" t="s">
        <v>5080</v>
      </c>
      <c r="B5082" s="4" t="s">
        <v>4550</v>
      </c>
      <c r="C5082" s="2" t="str">
        <f ca="1">IFERROR(__xludf.DUMMYFUNCTION("GOOGLETRANSLATE(A5082,""bn"",""en"")"),"Maina Moti liked it very much")</f>
        <v>Maina Moti liked it very much</v>
      </c>
      <c r="D5082" s="5"/>
      <c r="E5082" s="5"/>
      <c r="F5082" s="5"/>
      <c r="G5082" s="5"/>
      <c r="H5082" s="5"/>
      <c r="I5082" s="5"/>
      <c r="J5082" s="5"/>
      <c r="K5082" s="5"/>
      <c r="L5082" s="5"/>
      <c r="M5082" s="5"/>
      <c r="N5082" s="5"/>
      <c r="O5082" s="5"/>
      <c r="P5082" s="5"/>
      <c r="Q5082" s="5"/>
      <c r="R5082" s="5"/>
      <c r="S5082" s="5"/>
      <c r="T5082" s="5"/>
      <c r="U5082" s="5"/>
      <c r="V5082" s="5"/>
      <c r="W5082" s="5"/>
      <c r="X5082" s="5"/>
      <c r="Y5082" s="5"/>
      <c r="Z5082" s="5"/>
    </row>
    <row r="5083" spans="1:26" ht="15" x14ac:dyDescent="0.25">
      <c r="A5083" s="4" t="s">
        <v>5081</v>
      </c>
      <c r="B5083" s="4" t="s">
        <v>4550</v>
      </c>
      <c r="C5083" s="2" t="str">
        <f ca="1">IFERROR(__xludf.DUMMYFUNCTION("GOOGLETRANSLATE(A5083,""bn"",""en"")"),"There was no need to watch Jai Ghumai Faltu movie")</f>
        <v>There was no need to watch Jai Ghumai Faltu movie</v>
      </c>
      <c r="D5083" s="5"/>
      <c r="E5083" s="5"/>
      <c r="F5083" s="5"/>
      <c r="G5083" s="5"/>
      <c r="H5083" s="5"/>
      <c r="I5083" s="5"/>
      <c r="J5083" s="5"/>
      <c r="K5083" s="5"/>
      <c r="L5083" s="5"/>
      <c r="M5083" s="5"/>
      <c r="N5083" s="5"/>
      <c r="O5083" s="5"/>
      <c r="P5083" s="5"/>
      <c r="Q5083" s="5"/>
      <c r="R5083" s="5"/>
      <c r="S5083" s="5"/>
      <c r="T5083" s="5"/>
      <c r="U5083" s="5"/>
      <c r="V5083" s="5"/>
      <c r="W5083" s="5"/>
      <c r="X5083" s="5"/>
      <c r="Y5083" s="5"/>
      <c r="Z5083" s="5"/>
    </row>
    <row r="5084" spans="1:26" ht="15" x14ac:dyDescent="0.25">
      <c r="A5084" s="4" t="s">
        <v>5082</v>
      </c>
      <c r="B5084" s="4" t="s">
        <v>4550</v>
      </c>
      <c r="C5084" s="2" t="str">
        <f ca="1">IFERROR(__xludf.DUMMYFUNCTION("GOOGLETRANSLATE(A5084,""bn"",""en"")"),"The film flopped without acting")</f>
        <v>The film flopped without acting</v>
      </c>
      <c r="D5084" s="5"/>
      <c r="E5084" s="5"/>
      <c r="F5084" s="5"/>
      <c r="G5084" s="5"/>
      <c r="H5084" s="5"/>
      <c r="I5084" s="5"/>
      <c r="J5084" s="5"/>
      <c r="K5084" s="5"/>
      <c r="L5084" s="5"/>
      <c r="M5084" s="5"/>
      <c r="N5084" s="5"/>
      <c r="O5084" s="5"/>
      <c r="P5084" s="5"/>
      <c r="Q5084" s="5"/>
      <c r="R5084" s="5"/>
      <c r="S5084" s="5"/>
      <c r="T5084" s="5"/>
      <c r="U5084" s="5"/>
      <c r="V5084" s="5"/>
      <c r="W5084" s="5"/>
      <c r="X5084" s="5"/>
      <c r="Y5084" s="5"/>
      <c r="Z5084" s="5"/>
    </row>
    <row r="5085" spans="1:26" ht="15" x14ac:dyDescent="0.25">
      <c r="A5085" s="4" t="s">
        <v>5083</v>
      </c>
      <c r="B5085" s="4" t="s">
        <v>4550</v>
      </c>
      <c r="C5085" s="2" t="str">
        <f ca="1">IFERROR(__xludf.DUMMYFUNCTION("GOOGLETRANSLATE(A5085,""bn"",""en"")"),"It was a very boring movie")</f>
        <v>It was a very boring movie</v>
      </c>
      <c r="D5085" s="5"/>
      <c r="E5085" s="5"/>
      <c r="F5085" s="5"/>
      <c r="G5085" s="5"/>
      <c r="H5085" s="5"/>
      <c r="I5085" s="5"/>
      <c r="J5085" s="5"/>
      <c r="K5085" s="5"/>
      <c r="L5085" s="5"/>
      <c r="M5085" s="5"/>
      <c r="N5085" s="5"/>
      <c r="O5085" s="5"/>
      <c r="P5085" s="5"/>
      <c r="Q5085" s="5"/>
      <c r="R5085" s="5"/>
      <c r="S5085" s="5"/>
      <c r="T5085" s="5"/>
      <c r="U5085" s="5"/>
      <c r="V5085" s="5"/>
      <c r="W5085" s="5"/>
      <c r="X5085" s="5"/>
      <c r="Y5085" s="5"/>
      <c r="Z5085" s="5"/>
    </row>
    <row r="5086" spans="1:26" ht="15" x14ac:dyDescent="0.25">
      <c r="A5086" s="4" t="s">
        <v>5084</v>
      </c>
      <c r="B5086" s="4" t="s">
        <v>4550</v>
      </c>
      <c r="C5086" s="2" t="str">
        <f ca="1">IFERROR(__xludf.DUMMYFUNCTION("GOOGLETRANSLATE(A5086,""bn"",""en"")"),"Shakib Khan's movie would have meant that the heroine would have been big and Shakib Khan would have been poor, but Shakib Khan would have been big and the heroine would have been poor.")</f>
        <v>Shakib Khan's movie would have meant that the heroine would have been big and Shakib Khan would have been poor, but Shakib Khan would have been big and the heroine would have been poor.</v>
      </c>
      <c r="D5086" s="5"/>
      <c r="E5086" s="5"/>
      <c r="F5086" s="5"/>
      <c r="G5086" s="5"/>
      <c r="H5086" s="5"/>
      <c r="I5086" s="5"/>
      <c r="J5086" s="5"/>
      <c r="K5086" s="5"/>
      <c r="L5086" s="5"/>
      <c r="M5086" s="5"/>
      <c r="N5086" s="5"/>
      <c r="O5086" s="5"/>
      <c r="P5086" s="5"/>
      <c r="Q5086" s="5"/>
      <c r="R5086" s="5"/>
      <c r="S5086" s="5"/>
      <c r="T5086" s="5"/>
      <c r="U5086" s="5"/>
      <c r="V5086" s="5"/>
      <c r="W5086" s="5"/>
      <c r="X5086" s="5"/>
      <c r="Y5086" s="5"/>
      <c r="Z5086" s="5"/>
    </row>
    <row r="5087" spans="1:26" ht="15" x14ac:dyDescent="0.25">
      <c r="A5087" s="4" t="s">
        <v>5085</v>
      </c>
      <c r="B5087" s="4" t="s">
        <v>4550</v>
      </c>
      <c r="C5087" s="2" t="str">
        <f ca="1">IFERROR(__xludf.DUMMYFUNCTION("GOOGLETRANSLATE(A5087,""bn"",""en"")"),"You didn't have a little education from Hollywood, how could you watch such kind of movies of this era")</f>
        <v>You didn't have a little education from Hollywood, how could you watch such kind of movies of this era</v>
      </c>
      <c r="D5087" s="5"/>
      <c r="E5087" s="5"/>
      <c r="F5087" s="5"/>
      <c r="G5087" s="5"/>
      <c r="H5087" s="5"/>
      <c r="I5087" s="5"/>
      <c r="J5087" s="5"/>
      <c r="K5087" s="5"/>
      <c r="L5087" s="5"/>
      <c r="M5087" s="5"/>
      <c r="N5087" s="5"/>
      <c r="O5087" s="5"/>
      <c r="P5087" s="5"/>
      <c r="Q5087" s="5"/>
      <c r="R5087" s="5"/>
      <c r="S5087" s="5"/>
      <c r="T5087" s="5"/>
      <c r="U5087" s="5"/>
      <c r="V5087" s="5"/>
      <c r="W5087" s="5"/>
      <c r="X5087" s="5"/>
      <c r="Y5087" s="5"/>
      <c r="Z5087" s="5"/>
    </row>
    <row r="5088" spans="1:26" ht="15" x14ac:dyDescent="0.25">
      <c r="A5088" s="4" t="s">
        <v>5086</v>
      </c>
      <c r="B5088" s="4" t="s">
        <v>4550</v>
      </c>
      <c r="C5088" s="2" t="str">
        <f ca="1">IFERROR(__xludf.DUMMYFUNCTION("GOOGLETRANSLATE(A5088,""bn"",""en"")"),"Bangladesh was underrepresented at one point of the letter reading in the movie which shocked Bangladeshi fans especially me.")</f>
        <v>Bangladesh was underrepresented at one point of the letter reading in the movie which shocked Bangladeshi fans especially me.</v>
      </c>
      <c r="D5088" s="5"/>
      <c r="E5088" s="5"/>
      <c r="F5088" s="5"/>
      <c r="G5088" s="5"/>
      <c r="H5088" s="5"/>
      <c r="I5088" s="5"/>
      <c r="J5088" s="5"/>
      <c r="K5088" s="5"/>
      <c r="L5088" s="5"/>
      <c r="M5088" s="5"/>
      <c r="N5088" s="5"/>
      <c r="O5088" s="5"/>
      <c r="P5088" s="5"/>
      <c r="Q5088" s="5"/>
      <c r="R5088" s="5"/>
      <c r="S5088" s="5"/>
      <c r="T5088" s="5"/>
      <c r="U5088" s="5"/>
      <c r="V5088" s="5"/>
      <c r="W5088" s="5"/>
      <c r="X5088" s="5"/>
      <c r="Y5088" s="5"/>
      <c r="Z5088" s="5"/>
    </row>
    <row r="5089" spans="1:26" ht="15" x14ac:dyDescent="0.25">
      <c r="A5089" s="4" t="s">
        <v>5087</v>
      </c>
      <c r="B5089" s="4" t="s">
        <v>4550</v>
      </c>
      <c r="C5089" s="2" t="str">
        <f ca="1">IFERROR(__xludf.DUMMYFUNCTION("GOOGLETRANSLATE(A5089,""bn"",""en"")"),"I don't know who liked this movie but I liked it very much")</f>
        <v>I don't know who liked this movie but I liked it very much</v>
      </c>
      <c r="D5089" s="5"/>
      <c r="E5089" s="5"/>
      <c r="F5089" s="5"/>
      <c r="G5089" s="5"/>
      <c r="H5089" s="5"/>
      <c r="I5089" s="5"/>
      <c r="J5089" s="5"/>
      <c r="K5089" s="5"/>
      <c r="L5089" s="5"/>
      <c r="M5089" s="5"/>
      <c r="N5089" s="5"/>
      <c r="O5089" s="5"/>
      <c r="P5089" s="5"/>
      <c r="Q5089" s="5"/>
      <c r="R5089" s="5"/>
      <c r="S5089" s="5"/>
      <c r="T5089" s="5"/>
      <c r="U5089" s="5"/>
      <c r="V5089" s="5"/>
      <c r="W5089" s="5"/>
      <c r="X5089" s="5"/>
      <c r="Y5089" s="5"/>
      <c r="Z5089" s="5"/>
    </row>
    <row r="5090" spans="1:26" ht="15" x14ac:dyDescent="0.25">
      <c r="A5090" s="4" t="s">
        <v>5088</v>
      </c>
      <c r="B5090" s="4" t="s">
        <v>4550</v>
      </c>
      <c r="C5090" s="2" t="str">
        <f ca="1">IFERROR(__xludf.DUMMYFUNCTION("GOOGLETRANSLATE(A5090,""bn"",""en"")"),"Despite having such good quality actors and actresses, I saw nothing but bad performances from them")</f>
        <v>Despite having such good quality actors and actresses, I saw nothing but bad performances from them</v>
      </c>
      <c r="D5090" s="5"/>
      <c r="E5090" s="5"/>
      <c r="F5090" s="5"/>
      <c r="G5090" s="5"/>
      <c r="H5090" s="5"/>
      <c r="I5090" s="5"/>
      <c r="J5090" s="5"/>
      <c r="K5090" s="5"/>
      <c r="L5090" s="5"/>
      <c r="M5090" s="5"/>
      <c r="N5090" s="5"/>
      <c r="O5090" s="5"/>
      <c r="P5090" s="5"/>
      <c r="Q5090" s="5"/>
      <c r="R5090" s="5"/>
      <c r="S5090" s="5"/>
      <c r="T5090" s="5"/>
      <c r="U5090" s="5"/>
      <c r="V5090" s="5"/>
      <c r="W5090" s="5"/>
      <c r="X5090" s="5"/>
      <c r="Y5090" s="5"/>
      <c r="Z5090" s="5"/>
    </row>
    <row r="5091" spans="1:26" ht="15" x14ac:dyDescent="0.25">
      <c r="A5091" s="4" t="s">
        <v>5089</v>
      </c>
      <c r="B5091" s="4" t="s">
        <v>4550</v>
      </c>
      <c r="C5091" s="2" t="str">
        <f ca="1">IFERROR(__xludf.DUMMYFUNCTION("GOOGLETRANSLATE(A5091,""bn"",""en"")"),"Different sages had different styles")</f>
        <v>Different sages had different styles</v>
      </c>
      <c r="D5091" s="5"/>
      <c r="E5091" s="5"/>
      <c r="F5091" s="5"/>
      <c r="G5091" s="5"/>
      <c r="H5091" s="5"/>
      <c r="I5091" s="5"/>
      <c r="J5091" s="5"/>
      <c r="K5091" s="5"/>
      <c r="L5091" s="5"/>
      <c r="M5091" s="5"/>
      <c r="N5091" s="5"/>
      <c r="O5091" s="5"/>
      <c r="P5091" s="5"/>
      <c r="Q5091" s="5"/>
      <c r="R5091" s="5"/>
      <c r="S5091" s="5"/>
      <c r="T5091" s="5"/>
      <c r="U5091" s="5"/>
      <c r="V5091" s="5"/>
      <c r="W5091" s="5"/>
      <c r="X5091" s="5"/>
      <c r="Y5091" s="5"/>
      <c r="Z5091" s="5"/>
    </row>
    <row r="5092" spans="1:26" ht="15" x14ac:dyDescent="0.25">
      <c r="A5092" s="4" t="s">
        <v>5090</v>
      </c>
      <c r="B5092" s="4" t="s">
        <v>4550</v>
      </c>
      <c r="C5092" s="2" t="str">
        <f ca="1">IFERROR(__xludf.DUMMYFUNCTION("GOOGLETRANSLATE(A5092,""bn"",""en"")"),"I couldn't hold back my tears")</f>
        <v>I couldn't hold back my tears</v>
      </c>
      <c r="D5092" s="5"/>
      <c r="E5092" s="5"/>
      <c r="F5092" s="5"/>
      <c r="G5092" s="5"/>
      <c r="H5092" s="5"/>
      <c r="I5092" s="5"/>
      <c r="J5092" s="5"/>
      <c r="K5092" s="5"/>
      <c r="L5092" s="5"/>
      <c r="M5092" s="5"/>
      <c r="N5092" s="5"/>
      <c r="O5092" s="5"/>
      <c r="P5092" s="5"/>
      <c r="Q5092" s="5"/>
      <c r="R5092" s="5"/>
      <c r="S5092" s="5"/>
      <c r="T5092" s="5"/>
      <c r="U5092" s="5"/>
      <c r="V5092" s="5"/>
      <c r="W5092" s="5"/>
      <c r="X5092" s="5"/>
      <c r="Y5092" s="5"/>
      <c r="Z5092" s="5"/>
    </row>
    <row r="5093" spans="1:26" ht="15" x14ac:dyDescent="0.25">
      <c r="A5093" s="4" t="s">
        <v>5091</v>
      </c>
      <c r="B5093" s="4" t="s">
        <v>4550</v>
      </c>
      <c r="C5093" s="2" t="str">
        <f ca="1">IFERROR(__xludf.DUMMYFUNCTION("GOOGLETRANSLATE(A5093,""bn"",""en"")"),"Why did I come to see this movie?")</f>
        <v>Why did I come to see this movie?</v>
      </c>
      <c r="D5093" s="5"/>
      <c r="E5093" s="5"/>
      <c r="F5093" s="5"/>
      <c r="G5093" s="5"/>
      <c r="H5093" s="5"/>
      <c r="I5093" s="5"/>
      <c r="J5093" s="5"/>
      <c r="K5093" s="5"/>
      <c r="L5093" s="5"/>
      <c r="M5093" s="5"/>
      <c r="N5093" s="5"/>
      <c r="O5093" s="5"/>
      <c r="P5093" s="5"/>
      <c r="Q5093" s="5"/>
      <c r="R5093" s="5"/>
      <c r="S5093" s="5"/>
      <c r="T5093" s="5"/>
      <c r="U5093" s="5"/>
      <c r="V5093" s="5"/>
      <c r="W5093" s="5"/>
      <c r="X5093" s="5"/>
      <c r="Y5093" s="5"/>
      <c r="Z5093" s="5"/>
    </row>
    <row r="5094" spans="1:26" ht="15" x14ac:dyDescent="0.25">
      <c r="A5094" s="4" t="s">
        <v>5092</v>
      </c>
      <c r="B5094" s="4" t="s">
        <v>4550</v>
      </c>
      <c r="C5094" s="2" t="str">
        <f ca="1">IFERROR(__xludf.DUMMYFUNCTION("GOOGLETRANSLATE(A5094,""bn"",""en"")"),"I had heard about the movie from Ammu's mouth, but the movie was really beautiful and brought tears to my eyes")</f>
        <v>I had heard about the movie from Ammu's mouth, but the movie was really beautiful and brought tears to my eyes</v>
      </c>
      <c r="D5094" s="5"/>
      <c r="E5094" s="5"/>
      <c r="F5094" s="5"/>
      <c r="G5094" s="5"/>
      <c r="H5094" s="5"/>
      <c r="I5094" s="5"/>
      <c r="J5094" s="5"/>
      <c r="K5094" s="5"/>
      <c r="L5094" s="5"/>
      <c r="M5094" s="5"/>
      <c r="N5094" s="5"/>
      <c r="O5094" s="5"/>
      <c r="P5094" s="5"/>
      <c r="Q5094" s="5"/>
      <c r="R5094" s="5"/>
      <c r="S5094" s="5"/>
      <c r="T5094" s="5"/>
      <c r="U5094" s="5"/>
      <c r="V5094" s="5"/>
      <c r="W5094" s="5"/>
      <c r="X5094" s="5"/>
      <c r="Y5094" s="5"/>
      <c r="Z5094" s="5"/>
    </row>
    <row r="5095" spans="1:26" ht="15" x14ac:dyDescent="0.25">
      <c r="A5095" s="4" t="s">
        <v>5093</v>
      </c>
      <c r="B5095" s="4" t="s">
        <v>4550</v>
      </c>
      <c r="C5095" s="2" t="str">
        <f ca="1">IFERROR(__xludf.DUMMYFUNCTION("GOOGLETRANSLATE(A5095,""bn"",""en"")"),"I wasted my time badly")</f>
        <v>I wasted my time badly</v>
      </c>
      <c r="D5095" s="5"/>
      <c r="E5095" s="5"/>
      <c r="F5095" s="5"/>
      <c r="G5095" s="5"/>
      <c r="H5095" s="5"/>
      <c r="I5095" s="5"/>
      <c r="J5095" s="5"/>
      <c r="K5095" s="5"/>
      <c r="L5095" s="5"/>
      <c r="M5095" s="5"/>
      <c r="N5095" s="5"/>
      <c r="O5095" s="5"/>
      <c r="P5095" s="5"/>
      <c r="Q5095" s="5"/>
      <c r="R5095" s="5"/>
      <c r="S5095" s="5"/>
      <c r="T5095" s="5"/>
      <c r="U5095" s="5"/>
      <c r="V5095" s="5"/>
      <c r="W5095" s="5"/>
      <c r="X5095" s="5"/>
      <c r="Y5095" s="5"/>
      <c r="Z5095" s="5"/>
    </row>
    <row r="5096" spans="1:26" ht="15" x14ac:dyDescent="0.25">
      <c r="A5096" s="4" t="s">
        <v>5094</v>
      </c>
      <c r="B5096" s="4" t="s">
        <v>4550</v>
      </c>
      <c r="C5096" s="2" t="str">
        <f ca="1">IFERROR(__xludf.DUMMYFUNCTION("GOOGLETRANSLATE(A5096,""bn"",""en"")"),"They could not do anything with these performances")</f>
        <v>They could not do anything with these performances</v>
      </c>
      <c r="D5096" s="5"/>
      <c r="E5096" s="5"/>
      <c r="F5096" s="5"/>
      <c r="G5096" s="5"/>
      <c r="H5096" s="5"/>
      <c r="I5096" s="5"/>
      <c r="J5096" s="5"/>
      <c r="K5096" s="5"/>
      <c r="L5096" s="5"/>
      <c r="M5096" s="5"/>
      <c r="N5096" s="5"/>
      <c r="O5096" s="5"/>
      <c r="P5096" s="5"/>
      <c r="Q5096" s="5"/>
      <c r="R5096" s="5"/>
      <c r="S5096" s="5"/>
      <c r="T5096" s="5"/>
      <c r="U5096" s="5"/>
      <c r="V5096" s="5"/>
      <c r="W5096" s="5"/>
      <c r="X5096" s="5"/>
      <c r="Y5096" s="5"/>
      <c r="Z5096" s="5"/>
    </row>
    <row r="5097" spans="1:26" ht="15" x14ac:dyDescent="0.25">
      <c r="A5097" s="4" t="s">
        <v>5095</v>
      </c>
      <c r="B5097" s="4" t="s">
        <v>4550</v>
      </c>
      <c r="C5097" s="2" t="str">
        <f ca="1">IFERROR(__xludf.DUMMYFUNCTION("GOOGLETRANSLATE(A5097,""bn"",""en"")"),"Time was wasted and nothing else")</f>
        <v>Time was wasted and nothing else</v>
      </c>
      <c r="D5097" s="5"/>
      <c r="E5097" s="5"/>
      <c r="F5097" s="5"/>
      <c r="G5097" s="5"/>
      <c r="H5097" s="5"/>
      <c r="I5097" s="5"/>
      <c r="J5097" s="5"/>
      <c r="K5097" s="5"/>
      <c r="L5097" s="5"/>
      <c r="M5097" s="5"/>
      <c r="N5097" s="5"/>
      <c r="O5097" s="5"/>
      <c r="P5097" s="5"/>
      <c r="Q5097" s="5"/>
      <c r="R5097" s="5"/>
      <c r="S5097" s="5"/>
      <c r="T5097" s="5"/>
      <c r="U5097" s="5"/>
      <c r="V5097" s="5"/>
      <c r="W5097" s="5"/>
      <c r="X5097" s="5"/>
      <c r="Y5097" s="5"/>
      <c r="Z5097" s="5"/>
    </row>
    <row r="5098" spans="1:26" ht="15" x14ac:dyDescent="0.25">
      <c r="A5098" s="4" t="s">
        <v>5096</v>
      </c>
      <c r="B5098" s="4" t="s">
        <v>4550</v>
      </c>
      <c r="C5098" s="2" t="str">
        <f ca="1">IFERROR(__xludf.DUMMYFUNCTION("GOOGLETRANSLATE(A5098,""bn"",""en"")"),"It was a great movie seen many years ago")</f>
        <v>It was a great movie seen many years ago</v>
      </c>
      <c r="D5098" s="5"/>
      <c r="E5098" s="5"/>
      <c r="F5098" s="5"/>
      <c r="G5098" s="5"/>
      <c r="H5098" s="5"/>
      <c r="I5098" s="5"/>
      <c r="J5098" s="5"/>
      <c r="K5098" s="5"/>
      <c r="L5098" s="5"/>
      <c r="M5098" s="5"/>
      <c r="N5098" s="5"/>
      <c r="O5098" s="5"/>
      <c r="P5098" s="5"/>
      <c r="Q5098" s="5"/>
      <c r="R5098" s="5"/>
      <c r="S5098" s="5"/>
      <c r="T5098" s="5"/>
      <c r="U5098" s="5"/>
      <c r="V5098" s="5"/>
      <c r="W5098" s="5"/>
      <c r="X5098" s="5"/>
      <c r="Y5098" s="5"/>
      <c r="Z5098" s="5"/>
    </row>
    <row r="5099" spans="1:26" ht="15" x14ac:dyDescent="0.25">
      <c r="A5099" s="4" t="s">
        <v>5097</v>
      </c>
      <c r="B5099" s="4" t="s">
        <v>4550</v>
      </c>
      <c r="C5099" s="2" t="str">
        <f ca="1">IFERROR(__xludf.DUMMYFUNCTION("GOOGLETRANSLATE(A5099,""bn"",""en"")"),"It was a wonderful movie, such a movie is not seen nowadays")</f>
        <v>It was a wonderful movie, such a movie is not seen nowadays</v>
      </c>
      <c r="D5099" s="5"/>
      <c r="E5099" s="5"/>
      <c r="F5099" s="5"/>
      <c r="G5099" s="5"/>
      <c r="H5099" s="5"/>
      <c r="I5099" s="5"/>
      <c r="J5099" s="5"/>
      <c r="K5099" s="5"/>
      <c r="L5099" s="5"/>
      <c r="M5099" s="5"/>
      <c r="N5099" s="5"/>
      <c r="O5099" s="5"/>
      <c r="P5099" s="5"/>
      <c r="Q5099" s="5"/>
      <c r="R5099" s="5"/>
      <c r="S5099" s="5"/>
      <c r="T5099" s="5"/>
      <c r="U5099" s="5"/>
      <c r="V5099" s="5"/>
      <c r="W5099" s="5"/>
      <c r="X5099" s="5"/>
      <c r="Y5099" s="5"/>
      <c r="Z5099" s="5"/>
    </row>
    <row r="5100" spans="1:26" ht="15" x14ac:dyDescent="0.25">
      <c r="A5100" s="4" t="s">
        <v>5098</v>
      </c>
      <c r="B5100" s="4" t="s">
        <v>4550</v>
      </c>
      <c r="C5100" s="2" t="str">
        <f ca="1">IFERROR(__xludf.DUMMYFUNCTION("GOOGLETRANSLATE(A5100,""bn"",""en"")"),"The picture was amazing")</f>
        <v>The picture was amazing</v>
      </c>
      <c r="D5100" s="5"/>
      <c r="E5100" s="5"/>
      <c r="F5100" s="5"/>
      <c r="G5100" s="5"/>
      <c r="H5100" s="5"/>
      <c r="I5100" s="5"/>
      <c r="J5100" s="5"/>
      <c r="K5100" s="5"/>
      <c r="L5100" s="5"/>
      <c r="M5100" s="5"/>
      <c r="N5100" s="5"/>
      <c r="O5100" s="5"/>
      <c r="P5100" s="5"/>
      <c r="Q5100" s="5"/>
      <c r="R5100" s="5"/>
      <c r="S5100" s="5"/>
      <c r="T5100" s="5"/>
      <c r="U5100" s="5"/>
      <c r="V5100" s="5"/>
      <c r="W5100" s="5"/>
      <c r="X5100" s="5"/>
      <c r="Y5100" s="5"/>
      <c r="Z5100" s="5"/>
    </row>
    <row r="5101" spans="1:26" ht="15" x14ac:dyDescent="0.25">
      <c r="A5101" s="4" t="s">
        <v>5099</v>
      </c>
      <c r="B5101" s="4" t="s">
        <v>4550</v>
      </c>
      <c r="C5101" s="2" t="str">
        <f ca="1">IFERROR(__xludf.DUMMYFUNCTION("GOOGLETRANSLATE(A5101,""bn"",""en"")"),"After seeing these pictures, everything was closed")</f>
        <v>After seeing these pictures, everything was closed</v>
      </c>
      <c r="D5101" s="5"/>
      <c r="E5101" s="5"/>
      <c r="F5101" s="5"/>
      <c r="G5101" s="5"/>
      <c r="H5101" s="5"/>
      <c r="I5101" s="5"/>
      <c r="J5101" s="5"/>
      <c r="K5101" s="5"/>
      <c r="L5101" s="5"/>
      <c r="M5101" s="5"/>
      <c r="N5101" s="5"/>
      <c r="O5101" s="5"/>
      <c r="P5101" s="5"/>
      <c r="Q5101" s="5"/>
      <c r="R5101" s="5"/>
      <c r="S5101" s="5"/>
      <c r="T5101" s="5"/>
      <c r="U5101" s="5"/>
      <c r="V5101" s="5"/>
      <c r="W5101" s="5"/>
      <c r="X5101" s="5"/>
      <c r="Y5101" s="5"/>
      <c r="Z5101" s="5"/>
    </row>
    <row r="5102" spans="1:26" ht="15" x14ac:dyDescent="0.25">
      <c r="A5102" s="4" t="s">
        <v>5100</v>
      </c>
      <c r="B5102" s="4" t="s">
        <v>4550</v>
      </c>
      <c r="C5102" s="2" t="str">
        <f ca="1">IFERROR(__xludf.DUMMYFUNCTION("GOOGLETRANSLATE(A5102,""bn"",""en"")"),"The end will give a shock that was beyond imagination")</f>
        <v>The end will give a shock that was beyond imagination</v>
      </c>
      <c r="D5102" s="5"/>
      <c r="E5102" s="5"/>
      <c r="F5102" s="5"/>
      <c r="G5102" s="5"/>
      <c r="H5102" s="5"/>
      <c r="I5102" s="5"/>
      <c r="J5102" s="5"/>
      <c r="K5102" s="5"/>
      <c r="L5102" s="5"/>
      <c r="M5102" s="5"/>
      <c r="N5102" s="5"/>
      <c r="O5102" s="5"/>
      <c r="P5102" s="5"/>
      <c r="Q5102" s="5"/>
      <c r="R5102" s="5"/>
      <c r="S5102" s="5"/>
      <c r="T5102" s="5"/>
      <c r="U5102" s="5"/>
      <c r="V5102" s="5"/>
      <c r="W5102" s="5"/>
      <c r="X5102" s="5"/>
      <c r="Y5102" s="5"/>
      <c r="Z5102" s="5"/>
    </row>
    <row r="5103" spans="1:26" ht="15" x14ac:dyDescent="0.25">
      <c r="A5103" s="4" t="s">
        <v>5101</v>
      </c>
      <c r="B5103" s="4" t="s">
        <v>4550</v>
      </c>
      <c r="C5103" s="2" t="str">
        <f ca="1">IFERROR(__xludf.DUMMYFUNCTION("GOOGLETRANSLATE(A5103,""bn"",""en"")"),"An amazing film, no such film was made in Bangladesh")</f>
        <v>An amazing film, no such film was made in Bangladesh</v>
      </c>
      <c r="D5103" s="5"/>
      <c r="E5103" s="5"/>
      <c r="F5103" s="5"/>
      <c r="G5103" s="5"/>
      <c r="H5103" s="5"/>
      <c r="I5103" s="5"/>
      <c r="J5103" s="5"/>
      <c r="K5103" s="5"/>
      <c r="L5103" s="5"/>
      <c r="M5103" s="5"/>
      <c r="N5103" s="5"/>
      <c r="O5103" s="5"/>
      <c r="P5103" s="5"/>
      <c r="Q5103" s="5"/>
      <c r="R5103" s="5"/>
      <c r="S5103" s="5"/>
      <c r="T5103" s="5"/>
      <c r="U5103" s="5"/>
      <c r="V5103" s="5"/>
      <c r="W5103" s="5"/>
      <c r="X5103" s="5"/>
      <c r="Y5103" s="5"/>
      <c r="Z5103" s="5"/>
    </row>
    <row r="5104" spans="1:26" ht="15" x14ac:dyDescent="0.25">
      <c r="A5104" s="4" t="s">
        <v>5102</v>
      </c>
      <c r="B5104" s="4" t="s">
        <v>4550</v>
      </c>
      <c r="C5104" s="2" t="str">
        <f ca="1">IFERROR(__xludf.DUMMYFUNCTION("GOOGLETRANSLATE(A5104,""bn"",""en"")"),"The natural beauty of our Sylhet and Sylhet language was a very beautiful movie")</f>
        <v>The natural beauty of our Sylhet and Sylhet language was a very beautiful movie</v>
      </c>
      <c r="D5104" s="5"/>
      <c r="E5104" s="5"/>
      <c r="F5104" s="5"/>
      <c r="G5104" s="5"/>
      <c r="H5104" s="5"/>
      <c r="I5104" s="5"/>
      <c r="J5104" s="5"/>
      <c r="K5104" s="5"/>
      <c r="L5104" s="5"/>
      <c r="M5104" s="5"/>
      <c r="N5104" s="5"/>
      <c r="O5104" s="5"/>
      <c r="P5104" s="5"/>
      <c r="Q5104" s="5"/>
      <c r="R5104" s="5"/>
      <c r="S5104" s="5"/>
      <c r="T5104" s="5"/>
      <c r="U5104" s="5"/>
      <c r="V5104" s="5"/>
      <c r="W5104" s="5"/>
      <c r="X5104" s="5"/>
      <c r="Y5104" s="5"/>
      <c r="Z5104" s="5"/>
    </row>
    <row r="5105" spans="1:26" ht="15" x14ac:dyDescent="0.25">
      <c r="A5105" s="4" t="s">
        <v>5103</v>
      </c>
      <c r="B5105" s="4" t="s">
        <v>4550</v>
      </c>
      <c r="C5105" s="2" t="str">
        <f ca="1">IFERROR(__xludf.DUMMYFUNCTION("GOOGLETRANSLATE(A5105,""bn"",""en"")"),"I used to watch this movie on BTB when I was younger. It was a very nice social movie")</f>
        <v>I used to watch this movie on BTB when I was younger. It was a very nice social movie</v>
      </c>
      <c r="D5105" s="5"/>
      <c r="E5105" s="5"/>
      <c r="F5105" s="5"/>
      <c r="G5105" s="5"/>
      <c r="H5105" s="5"/>
      <c r="I5105" s="5"/>
      <c r="J5105" s="5"/>
      <c r="K5105" s="5"/>
      <c r="L5105" s="5"/>
      <c r="M5105" s="5"/>
      <c r="N5105" s="5"/>
      <c r="O5105" s="5"/>
      <c r="P5105" s="5"/>
      <c r="Q5105" s="5"/>
      <c r="R5105" s="5"/>
      <c r="S5105" s="5"/>
      <c r="T5105" s="5"/>
      <c r="U5105" s="5"/>
      <c r="V5105" s="5"/>
      <c r="W5105" s="5"/>
      <c r="X5105" s="5"/>
      <c r="Y5105" s="5"/>
      <c r="Z5105" s="5"/>
    </row>
    <row r="5106" spans="1:26" ht="15" x14ac:dyDescent="0.25">
      <c r="A5106" s="4" t="s">
        <v>5104</v>
      </c>
      <c r="B5106" s="4" t="s">
        <v>4550</v>
      </c>
      <c r="C5106" s="2" t="str">
        <f ca="1">IFERROR(__xludf.DUMMYFUNCTION("GOOGLETRANSLATE(A5106,""bn"",""en"")"),"I really couldn't hold back the tears")</f>
        <v>I really couldn't hold back the tears</v>
      </c>
      <c r="D5106" s="5"/>
      <c r="E5106" s="5"/>
      <c r="F5106" s="5"/>
      <c r="G5106" s="5"/>
      <c r="H5106" s="5"/>
      <c r="I5106" s="5"/>
      <c r="J5106" s="5"/>
      <c r="K5106" s="5"/>
      <c r="L5106" s="5"/>
      <c r="M5106" s="5"/>
      <c r="N5106" s="5"/>
      <c r="O5106" s="5"/>
      <c r="P5106" s="5"/>
      <c r="Q5106" s="5"/>
      <c r="R5106" s="5"/>
      <c r="S5106" s="5"/>
      <c r="T5106" s="5"/>
      <c r="U5106" s="5"/>
      <c r="V5106" s="5"/>
      <c r="W5106" s="5"/>
      <c r="X5106" s="5"/>
      <c r="Y5106" s="5"/>
      <c r="Z5106" s="5"/>
    </row>
    <row r="5107" spans="1:26" ht="15" x14ac:dyDescent="0.25">
      <c r="A5107" s="4" t="s">
        <v>5105</v>
      </c>
      <c r="B5107" s="4" t="s">
        <v>4550</v>
      </c>
      <c r="C5107" s="2" t="str">
        <f ca="1">IFERROR(__xludf.DUMMYFUNCTION("GOOGLETRANSLATE(A5107,""bn"",""en"")"),"Both of them did a great job")</f>
        <v>Both of them did a great job</v>
      </c>
      <c r="D5107" s="5"/>
      <c r="E5107" s="5"/>
      <c r="F5107" s="5"/>
      <c r="G5107" s="5"/>
      <c r="H5107" s="5"/>
      <c r="I5107" s="5"/>
      <c r="J5107" s="5"/>
      <c r="K5107" s="5"/>
      <c r="L5107" s="5"/>
      <c r="M5107" s="5"/>
      <c r="N5107" s="5"/>
      <c r="O5107" s="5"/>
      <c r="P5107" s="5"/>
      <c r="Q5107" s="5"/>
      <c r="R5107" s="5"/>
      <c r="S5107" s="5"/>
      <c r="T5107" s="5"/>
      <c r="U5107" s="5"/>
      <c r="V5107" s="5"/>
      <c r="W5107" s="5"/>
      <c r="X5107" s="5"/>
      <c r="Y5107" s="5"/>
      <c r="Z5107" s="5"/>
    </row>
    <row r="5108" spans="1:26" ht="15" x14ac:dyDescent="0.25">
      <c r="A5108" s="4" t="s">
        <v>5106</v>
      </c>
      <c r="B5108" s="4" t="s">
        <v>4550</v>
      </c>
      <c r="C5108" s="2" t="str">
        <f ca="1">IFERROR(__xludf.DUMMYFUNCTION("GOOGLETRANSLATE(A5108,""bn"",""en"")"),"The sound quality was so bad that I lost the desire to watch")</f>
        <v>The sound quality was so bad that I lost the desire to watch</v>
      </c>
      <c r="D5108" s="5"/>
      <c r="E5108" s="5"/>
      <c r="F5108" s="5"/>
      <c r="G5108" s="5"/>
      <c r="H5108" s="5"/>
      <c r="I5108" s="5"/>
      <c r="J5108" s="5"/>
      <c r="K5108" s="5"/>
      <c r="L5108" s="5"/>
      <c r="M5108" s="5"/>
      <c r="N5108" s="5"/>
      <c r="O5108" s="5"/>
      <c r="P5108" s="5"/>
      <c r="Q5108" s="5"/>
      <c r="R5108" s="5"/>
      <c r="S5108" s="5"/>
      <c r="T5108" s="5"/>
      <c r="U5108" s="5"/>
      <c r="V5108" s="5"/>
      <c r="W5108" s="5"/>
      <c r="X5108" s="5"/>
      <c r="Y5108" s="5"/>
      <c r="Z5108" s="5"/>
    </row>
    <row r="5109" spans="1:26" ht="15" x14ac:dyDescent="0.25">
      <c r="A5109" s="4" t="s">
        <v>5107</v>
      </c>
      <c r="B5109" s="4" t="s">
        <v>4550</v>
      </c>
      <c r="C5109" s="2" t="str">
        <f ca="1">IFERROR(__xludf.DUMMYFUNCTION("GOOGLETRANSLATE(A5109,""bn"",""en"")"),"The picture is really amazing")</f>
        <v>The picture is really amazing</v>
      </c>
      <c r="D5109" s="5"/>
      <c r="E5109" s="5"/>
      <c r="F5109" s="5"/>
      <c r="G5109" s="5"/>
      <c r="H5109" s="5"/>
      <c r="I5109" s="5"/>
      <c r="J5109" s="5"/>
      <c r="K5109" s="5"/>
      <c r="L5109" s="5"/>
      <c r="M5109" s="5"/>
      <c r="N5109" s="5"/>
      <c r="O5109" s="5"/>
      <c r="P5109" s="5"/>
      <c r="Q5109" s="5"/>
      <c r="R5109" s="5"/>
      <c r="S5109" s="5"/>
      <c r="T5109" s="5"/>
      <c r="U5109" s="5"/>
      <c r="V5109" s="5"/>
      <c r="W5109" s="5"/>
      <c r="X5109" s="5"/>
      <c r="Y5109" s="5"/>
      <c r="Z5109" s="5"/>
    </row>
    <row r="5110" spans="1:26" ht="15" x14ac:dyDescent="0.25">
      <c r="A5110" s="4" t="s">
        <v>5108</v>
      </c>
      <c r="B5110" s="4" t="s">
        <v>4550</v>
      </c>
      <c r="C5110" s="2" t="str">
        <f ca="1">IFERROR(__xludf.DUMMYFUNCTION("GOOGLETRANSLATE(A5110,""bn"",""en"")"),"I couldn't give anything but a smile")</f>
        <v>I couldn't give anything but a smile</v>
      </c>
      <c r="D5110" s="5"/>
      <c r="E5110" s="5"/>
      <c r="F5110" s="5"/>
      <c r="G5110" s="5"/>
      <c r="H5110" s="5"/>
      <c r="I5110" s="5"/>
      <c r="J5110" s="5"/>
      <c r="K5110" s="5"/>
      <c r="L5110" s="5"/>
      <c r="M5110" s="5"/>
      <c r="N5110" s="5"/>
      <c r="O5110" s="5"/>
      <c r="P5110" s="5"/>
      <c r="Q5110" s="5"/>
      <c r="R5110" s="5"/>
      <c r="S5110" s="5"/>
      <c r="T5110" s="5"/>
      <c r="U5110" s="5"/>
      <c r="V5110" s="5"/>
      <c r="W5110" s="5"/>
      <c r="X5110" s="5"/>
      <c r="Y5110" s="5"/>
      <c r="Z5110" s="5"/>
    </row>
    <row r="5111" spans="1:26" ht="15" x14ac:dyDescent="0.25">
      <c r="A5111" s="4" t="s">
        <v>5109</v>
      </c>
      <c r="B5111" s="4" t="s">
        <v>4550</v>
      </c>
      <c r="C5111" s="2" t="str">
        <f ca="1">IFERROR(__xludf.DUMMYFUNCTION("GOOGLETRANSLATE(A5111,""bn"",""en"")"),"Unknowingly tears fell from my eyes when I saw the end of the picture")</f>
        <v>Unknowingly tears fell from my eyes when I saw the end of the picture</v>
      </c>
      <c r="D5111" s="5"/>
      <c r="E5111" s="5"/>
      <c r="F5111" s="5"/>
      <c r="G5111" s="5"/>
      <c r="H5111" s="5"/>
      <c r="I5111" s="5"/>
      <c r="J5111" s="5"/>
      <c r="K5111" s="5"/>
      <c r="L5111" s="5"/>
      <c r="M5111" s="5"/>
      <c r="N5111" s="5"/>
      <c r="O5111" s="5"/>
      <c r="P5111" s="5"/>
      <c r="Q5111" s="5"/>
      <c r="R5111" s="5"/>
      <c r="S5111" s="5"/>
      <c r="T5111" s="5"/>
      <c r="U5111" s="5"/>
      <c r="V5111" s="5"/>
      <c r="W5111" s="5"/>
      <c r="X5111" s="5"/>
      <c r="Y5111" s="5"/>
      <c r="Z5111" s="5"/>
    </row>
    <row r="5112" spans="1:26" ht="15" x14ac:dyDescent="0.25">
      <c r="A5112" s="4" t="s">
        <v>5110</v>
      </c>
      <c r="B5112" s="4" t="s">
        <v>4550</v>
      </c>
      <c r="C5112" s="2" t="str">
        <f ca="1">IFERROR(__xludf.DUMMYFUNCTION("GOOGLETRANSLATE(A5112,""bn"",""en"")"),"It was over so quickly I couldn't imagine I finished it in two minutes")</f>
        <v>It was over so quickly I couldn't imagine I finished it in two minutes</v>
      </c>
      <c r="D5112" s="5"/>
      <c r="E5112" s="5"/>
      <c r="F5112" s="5"/>
      <c r="G5112" s="5"/>
      <c r="H5112" s="5"/>
      <c r="I5112" s="5"/>
      <c r="J5112" s="5"/>
      <c r="K5112" s="5"/>
      <c r="L5112" s="5"/>
      <c r="M5112" s="5"/>
      <c r="N5112" s="5"/>
      <c r="O5112" s="5"/>
      <c r="P5112" s="5"/>
      <c r="Q5112" s="5"/>
      <c r="R5112" s="5"/>
      <c r="S5112" s="5"/>
      <c r="T5112" s="5"/>
      <c r="U5112" s="5"/>
      <c r="V5112" s="5"/>
      <c r="W5112" s="5"/>
      <c r="X5112" s="5"/>
      <c r="Y5112" s="5"/>
      <c r="Z5112" s="5"/>
    </row>
    <row r="5113" spans="1:26" ht="15" x14ac:dyDescent="0.25">
      <c r="A5113" s="4" t="s">
        <v>5111</v>
      </c>
      <c r="B5113" s="4" t="s">
        <v>4550</v>
      </c>
      <c r="C5113" s="2" t="str">
        <f ca="1">IFERROR(__xludf.DUMMYFUNCTION("GOOGLETRANSLATE(A5113,""bn"",""en"")"),"Crazy Goat was the movie")</f>
        <v>Crazy Goat was the movie</v>
      </c>
      <c r="D5113" s="5"/>
      <c r="E5113" s="5"/>
      <c r="F5113" s="5"/>
      <c r="G5113" s="5"/>
      <c r="H5113" s="5"/>
      <c r="I5113" s="5"/>
      <c r="J5113" s="5"/>
      <c r="K5113" s="5"/>
      <c r="L5113" s="5"/>
      <c r="M5113" s="5"/>
      <c r="N5113" s="5"/>
      <c r="O5113" s="5"/>
      <c r="P5113" s="5"/>
      <c r="Q5113" s="5"/>
      <c r="R5113" s="5"/>
      <c r="S5113" s="5"/>
      <c r="T5113" s="5"/>
      <c r="U5113" s="5"/>
      <c r="V5113" s="5"/>
      <c r="W5113" s="5"/>
      <c r="X5113" s="5"/>
      <c r="Y5113" s="5"/>
      <c r="Z5113" s="5"/>
    </row>
    <row r="5114" spans="1:26" ht="15" x14ac:dyDescent="0.25">
      <c r="A5114" s="4" t="s">
        <v>5112</v>
      </c>
      <c r="B5114" s="4" t="s">
        <v>4550</v>
      </c>
      <c r="C5114" s="2" t="str">
        <f ca="1">IFERROR(__xludf.DUMMYFUNCTION("GOOGLETRANSLATE(A5114,""bn"",""en"")"),"It was a horrible picture")</f>
        <v>It was a horrible picture</v>
      </c>
      <c r="D5114" s="5"/>
      <c r="E5114" s="5"/>
      <c r="F5114" s="5"/>
      <c r="G5114" s="5"/>
      <c r="H5114" s="5"/>
      <c r="I5114" s="5"/>
      <c r="J5114" s="5"/>
      <c r="K5114" s="5"/>
      <c r="L5114" s="5"/>
      <c r="M5114" s="5"/>
      <c r="N5114" s="5"/>
      <c r="O5114" s="5"/>
      <c r="P5114" s="5"/>
      <c r="Q5114" s="5"/>
      <c r="R5114" s="5"/>
      <c r="S5114" s="5"/>
      <c r="T5114" s="5"/>
      <c r="U5114" s="5"/>
      <c r="V5114" s="5"/>
      <c r="W5114" s="5"/>
      <c r="X5114" s="5"/>
      <c r="Y5114" s="5"/>
      <c r="Z5114" s="5"/>
    </row>
    <row r="5115" spans="1:26" ht="15" x14ac:dyDescent="0.25">
      <c r="A5115" s="4" t="s">
        <v>5113</v>
      </c>
      <c r="B5115" s="4" t="s">
        <v>4550</v>
      </c>
      <c r="C5115" s="2" t="str">
        <f ca="1">IFERROR(__xludf.DUMMYFUNCTION("GOOGLETRANSLATE(A5115,""bn"",""en"")"),"It was Dev's best movie")</f>
        <v>It was Dev's best movie</v>
      </c>
      <c r="D5115" s="5"/>
      <c r="E5115" s="5"/>
      <c r="F5115" s="5"/>
      <c r="G5115" s="5"/>
      <c r="H5115" s="5"/>
      <c r="I5115" s="5"/>
      <c r="J5115" s="5"/>
      <c r="K5115" s="5"/>
      <c r="L5115" s="5"/>
      <c r="M5115" s="5"/>
      <c r="N5115" s="5"/>
      <c r="O5115" s="5"/>
      <c r="P5115" s="5"/>
      <c r="Q5115" s="5"/>
      <c r="R5115" s="5"/>
      <c r="S5115" s="5"/>
      <c r="T5115" s="5"/>
      <c r="U5115" s="5"/>
      <c r="V5115" s="5"/>
      <c r="W5115" s="5"/>
      <c r="X5115" s="5"/>
      <c r="Y5115" s="5"/>
      <c r="Z5115" s="5"/>
    </row>
    <row r="5116" spans="1:26" ht="15" x14ac:dyDescent="0.25">
      <c r="A5116" s="4" t="s">
        <v>5114</v>
      </c>
      <c r="B5116" s="4" t="s">
        <v>4550</v>
      </c>
      <c r="C5116" s="2" t="str">
        <f ca="1">IFERROR(__xludf.DUMMYFUNCTION("GOOGLETRANSLATE(A5116,""bn"",""en"")"),"The movie had many similarities with the real life of the people")</f>
        <v>The movie had many similarities with the real life of the people</v>
      </c>
      <c r="D5116" s="5"/>
      <c r="E5116" s="5"/>
      <c r="F5116" s="5"/>
      <c r="G5116" s="5"/>
      <c r="H5116" s="5"/>
      <c r="I5116" s="5"/>
      <c r="J5116" s="5"/>
      <c r="K5116" s="5"/>
      <c r="L5116" s="5"/>
      <c r="M5116" s="5"/>
      <c r="N5116" s="5"/>
      <c r="O5116" s="5"/>
      <c r="P5116" s="5"/>
      <c r="Q5116" s="5"/>
      <c r="R5116" s="5"/>
      <c r="S5116" s="5"/>
      <c r="T5116" s="5"/>
      <c r="U5116" s="5"/>
      <c r="V5116" s="5"/>
      <c r="W5116" s="5"/>
      <c r="X5116" s="5"/>
      <c r="Y5116" s="5"/>
      <c r="Z5116" s="5"/>
    </row>
    <row r="5117" spans="1:26" ht="15" x14ac:dyDescent="0.25">
      <c r="A5117" s="4" t="s">
        <v>5115</v>
      </c>
      <c r="B5117" s="4" t="s">
        <v>4550</v>
      </c>
      <c r="C5117" s="2" t="str">
        <f ca="1">IFERROR(__xludf.DUMMYFUNCTION("GOOGLETRANSLATE(A5117,""bn"",""en"")"),"It was a very emotional movie, the reality of the society was presented, I cried without knowing it")</f>
        <v>It was a very emotional movie, the reality of the society was presented, I cried without knowing it</v>
      </c>
      <c r="D5117" s="5"/>
      <c r="E5117" s="5"/>
      <c r="F5117" s="5"/>
      <c r="G5117" s="5"/>
      <c r="H5117" s="5"/>
      <c r="I5117" s="5"/>
      <c r="J5117" s="5"/>
      <c r="K5117" s="5"/>
      <c r="L5117" s="5"/>
      <c r="M5117" s="5"/>
      <c r="N5117" s="5"/>
      <c r="O5117" s="5"/>
      <c r="P5117" s="5"/>
      <c r="Q5117" s="5"/>
      <c r="R5117" s="5"/>
      <c r="S5117" s="5"/>
      <c r="T5117" s="5"/>
      <c r="U5117" s="5"/>
      <c r="V5117" s="5"/>
      <c r="W5117" s="5"/>
      <c r="X5117" s="5"/>
      <c r="Y5117" s="5"/>
      <c r="Z5117" s="5"/>
    </row>
    <row r="5118" spans="1:26" ht="15" x14ac:dyDescent="0.25">
      <c r="A5118" s="4" t="s">
        <v>5116</v>
      </c>
      <c r="B5118" s="4" t="s">
        <v>4550</v>
      </c>
      <c r="C5118" s="2" t="str">
        <f ca="1">IFERROR(__xludf.DUMMYFUNCTION("GOOGLETRANSLATE(A5118,""bn"",""en"")"),"At the last moment of the film, tears suddenly came from the eyes")</f>
        <v>At the last moment of the film, tears suddenly came from the eyes</v>
      </c>
      <c r="D5118" s="5"/>
      <c r="E5118" s="5"/>
      <c r="F5118" s="5"/>
      <c r="G5118" s="5"/>
      <c r="H5118" s="5"/>
      <c r="I5118" s="5"/>
      <c r="J5118" s="5"/>
      <c r="K5118" s="5"/>
      <c r="L5118" s="5"/>
      <c r="M5118" s="5"/>
      <c r="N5118" s="5"/>
      <c r="O5118" s="5"/>
      <c r="P5118" s="5"/>
      <c r="Q5118" s="5"/>
      <c r="R5118" s="5"/>
      <c r="S5118" s="5"/>
      <c r="T5118" s="5"/>
      <c r="U5118" s="5"/>
      <c r="V5118" s="5"/>
      <c r="W5118" s="5"/>
      <c r="X5118" s="5"/>
      <c r="Y5118" s="5"/>
      <c r="Z5118" s="5"/>
    </row>
    <row r="5119" spans="1:26" ht="15" x14ac:dyDescent="0.25">
      <c r="A5119" s="4" t="s">
        <v>5117</v>
      </c>
      <c r="B5119" s="4" t="s">
        <v>4550</v>
      </c>
      <c r="C5119" s="2" t="str">
        <f ca="1">IFERROR(__xludf.DUMMYFUNCTION("GOOGLETRANSLATE(A5119,""bn"",""en"")"),"After a long time, I saw an amazing Bengali movie")</f>
        <v>After a long time, I saw an amazing Bengali movie</v>
      </c>
      <c r="D5119" s="5"/>
      <c r="E5119" s="5"/>
      <c r="F5119" s="5"/>
      <c r="G5119" s="5"/>
      <c r="H5119" s="5"/>
      <c r="I5119" s="5"/>
      <c r="J5119" s="5"/>
      <c r="K5119" s="5"/>
      <c r="L5119" s="5"/>
      <c r="M5119" s="5"/>
      <c r="N5119" s="5"/>
      <c r="O5119" s="5"/>
      <c r="P5119" s="5"/>
      <c r="Q5119" s="5"/>
      <c r="R5119" s="5"/>
      <c r="S5119" s="5"/>
      <c r="T5119" s="5"/>
      <c r="U5119" s="5"/>
      <c r="V5119" s="5"/>
      <c r="W5119" s="5"/>
      <c r="X5119" s="5"/>
      <c r="Y5119" s="5"/>
      <c r="Z5119" s="5"/>
    </row>
    <row r="5120" spans="1:26" ht="15" x14ac:dyDescent="0.25">
      <c r="A5120" s="4" t="s">
        <v>5118</v>
      </c>
      <c r="B5120" s="4" t="s">
        <v>4550</v>
      </c>
      <c r="C5120" s="2" t="str">
        <f ca="1">IFERROR(__xludf.DUMMYFUNCTION("GOOGLETRANSLATE(A5120,""bn"",""en"")"),"Salman Shah was one and nobody was better than him")</f>
        <v>Salman Shah was one and nobody was better than him</v>
      </c>
      <c r="D5120" s="5"/>
      <c r="E5120" s="5"/>
      <c r="F5120" s="5"/>
      <c r="G5120" s="5"/>
      <c r="H5120" s="5"/>
      <c r="I5120" s="5"/>
      <c r="J5120" s="5"/>
      <c r="K5120" s="5"/>
      <c r="L5120" s="5"/>
      <c r="M5120" s="5"/>
      <c r="N5120" s="5"/>
      <c r="O5120" s="5"/>
      <c r="P5120" s="5"/>
      <c r="Q5120" s="5"/>
      <c r="R5120" s="5"/>
      <c r="S5120" s="5"/>
      <c r="T5120" s="5"/>
      <c r="U5120" s="5"/>
      <c r="V5120" s="5"/>
      <c r="W5120" s="5"/>
      <c r="X5120" s="5"/>
      <c r="Y5120" s="5"/>
      <c r="Z5120" s="5"/>
    </row>
    <row r="5121" spans="1:26" ht="15" x14ac:dyDescent="0.25">
      <c r="A5121" s="4" t="s">
        <v>5119</v>
      </c>
      <c r="B5121" s="4" t="s">
        <v>4550</v>
      </c>
      <c r="C5121" s="2" t="str">
        <f ca="1">IFERROR(__xludf.DUMMYFUNCTION("GOOGLETRANSLATE(A5121,""bn"",""en"")"),"It was not necessary to copy the story but to know acting skills")</f>
        <v>It was not necessary to copy the story but to know acting skills</v>
      </c>
      <c r="D5121" s="5"/>
      <c r="E5121" s="5"/>
      <c r="F5121" s="5"/>
      <c r="G5121" s="5"/>
      <c r="H5121" s="5"/>
      <c r="I5121" s="5"/>
      <c r="J5121" s="5"/>
      <c r="K5121" s="5"/>
      <c r="L5121" s="5"/>
      <c r="M5121" s="5"/>
      <c r="N5121" s="5"/>
      <c r="O5121" s="5"/>
      <c r="P5121" s="5"/>
      <c r="Q5121" s="5"/>
      <c r="R5121" s="5"/>
      <c r="S5121" s="5"/>
      <c r="T5121" s="5"/>
      <c r="U5121" s="5"/>
      <c r="V5121" s="5"/>
      <c r="W5121" s="5"/>
      <c r="X5121" s="5"/>
      <c r="Y5121" s="5"/>
      <c r="Z5121" s="5"/>
    </row>
    <row r="5122" spans="1:26" ht="15" x14ac:dyDescent="0.25">
      <c r="A5122" s="4" t="s">
        <v>5120</v>
      </c>
      <c r="B5122" s="4" t="s">
        <v>4550</v>
      </c>
      <c r="C5122" s="2" t="str">
        <f ca="1">IFERROR(__xludf.DUMMYFUNCTION("GOOGLETRANSLATE(A5122,""bn"",""en"")"),"This picture of Kazi Hayat will remain in people's hearts for hundreds of years")</f>
        <v>This picture of Kazi Hayat will remain in people's hearts for hundreds of years</v>
      </c>
      <c r="D5122" s="5"/>
      <c r="E5122" s="5"/>
      <c r="F5122" s="5"/>
      <c r="G5122" s="5"/>
      <c r="H5122" s="5"/>
      <c r="I5122" s="5"/>
      <c r="J5122" s="5"/>
      <c r="K5122" s="5"/>
      <c r="L5122" s="5"/>
      <c r="M5122" s="5"/>
      <c r="N5122" s="5"/>
      <c r="O5122" s="5"/>
      <c r="P5122" s="5"/>
      <c r="Q5122" s="5"/>
      <c r="R5122" s="5"/>
      <c r="S5122" s="5"/>
      <c r="T5122" s="5"/>
      <c r="U5122" s="5"/>
      <c r="V5122" s="5"/>
      <c r="W5122" s="5"/>
      <c r="X5122" s="5"/>
      <c r="Y5122" s="5"/>
      <c r="Z5122" s="5"/>
    </row>
    <row r="5123" spans="1:26" ht="15" x14ac:dyDescent="0.25">
      <c r="A5123" s="4" t="s">
        <v>5121</v>
      </c>
      <c r="B5123" s="4" t="s">
        <v>4550</v>
      </c>
      <c r="C5123" s="2" t="str">
        <f ca="1">IFERROR(__xludf.DUMMYFUNCTION("GOOGLETRANSLATE(A5123,""bn"",""en"")"),"The picture was great")</f>
        <v>The picture was great</v>
      </c>
      <c r="D5123" s="5"/>
      <c r="E5123" s="5"/>
      <c r="F5123" s="5"/>
      <c r="G5123" s="5"/>
      <c r="H5123" s="5"/>
      <c r="I5123" s="5"/>
      <c r="J5123" s="5"/>
      <c r="K5123" s="5"/>
      <c r="L5123" s="5"/>
      <c r="M5123" s="5"/>
      <c r="N5123" s="5"/>
      <c r="O5123" s="5"/>
      <c r="P5123" s="5"/>
      <c r="Q5123" s="5"/>
      <c r="R5123" s="5"/>
      <c r="S5123" s="5"/>
      <c r="T5123" s="5"/>
      <c r="U5123" s="5"/>
      <c r="V5123" s="5"/>
      <c r="W5123" s="5"/>
      <c r="X5123" s="5"/>
      <c r="Y5123" s="5"/>
      <c r="Z5123" s="5"/>
    </row>
    <row r="5124" spans="1:26" ht="15" x14ac:dyDescent="0.25">
      <c r="A5124" s="4" t="s">
        <v>5122</v>
      </c>
      <c r="B5124" s="4" t="s">
        <v>4550</v>
      </c>
      <c r="C5124" s="2" t="str">
        <f ca="1">IFERROR(__xludf.DUMMYFUNCTION("GOOGLETRANSLATE(A5124,""bn"",""en"")"),"Anant Jalil and Pare Baba himself became the producer, he himself was the hero and made his wife the heroine and he himself was the writer and the story that Baba saw, I was blown away when I heard him.")</f>
        <v>Anant Jalil and Pare Baba himself became the producer, he himself was the hero and made his wife the heroine and he himself was the writer and the story that Baba saw, I was blown away when I heard him.</v>
      </c>
      <c r="D5124" s="5"/>
      <c r="E5124" s="5"/>
      <c r="F5124" s="5"/>
      <c r="G5124" s="5"/>
      <c r="H5124" s="5"/>
      <c r="I5124" s="5"/>
      <c r="J5124" s="5"/>
      <c r="K5124" s="5"/>
      <c r="L5124" s="5"/>
      <c r="M5124" s="5"/>
      <c r="N5124" s="5"/>
      <c r="O5124" s="5"/>
      <c r="P5124" s="5"/>
      <c r="Q5124" s="5"/>
      <c r="R5124" s="5"/>
      <c r="S5124" s="5"/>
      <c r="T5124" s="5"/>
      <c r="U5124" s="5"/>
      <c r="V5124" s="5"/>
      <c r="W5124" s="5"/>
      <c r="X5124" s="5"/>
      <c r="Y5124" s="5"/>
      <c r="Z5124" s="5"/>
    </row>
    <row r="5125" spans="1:26" ht="15" x14ac:dyDescent="0.25">
      <c r="A5125" s="4" t="s">
        <v>5123</v>
      </c>
      <c r="B5125" s="4" t="s">
        <v>4550</v>
      </c>
      <c r="C5125" s="2" t="str">
        <f ca="1">IFERROR(__xludf.DUMMYFUNCTION("GOOGLETRANSLATE(A5125,""bn"",""en"")"),"Brother believe that these movies are just movies and not pure reality")</f>
        <v>Brother believe that these movies are just movies and not pure reality</v>
      </c>
      <c r="D5125" s="5"/>
      <c r="E5125" s="5"/>
      <c r="F5125" s="5"/>
      <c r="G5125" s="5"/>
      <c r="H5125" s="5"/>
      <c r="I5125" s="5"/>
      <c r="J5125" s="5"/>
      <c r="K5125" s="5"/>
      <c r="L5125" s="5"/>
      <c r="M5125" s="5"/>
      <c r="N5125" s="5"/>
      <c r="O5125" s="5"/>
      <c r="P5125" s="5"/>
      <c r="Q5125" s="5"/>
      <c r="R5125" s="5"/>
      <c r="S5125" s="5"/>
      <c r="T5125" s="5"/>
      <c r="U5125" s="5"/>
      <c r="V5125" s="5"/>
      <c r="W5125" s="5"/>
      <c r="X5125" s="5"/>
      <c r="Y5125" s="5"/>
      <c r="Z5125" s="5"/>
    </row>
    <row r="5126" spans="1:26" ht="15" x14ac:dyDescent="0.25">
      <c r="A5126" s="4" t="s">
        <v>5124</v>
      </c>
      <c r="B5126" s="4" t="s">
        <v>4550</v>
      </c>
      <c r="C5126" s="2" t="str">
        <f ca="1">IFERROR(__xludf.DUMMYFUNCTION("GOOGLETRANSLATE(A5126,""bn"",""en"")"),"It was a very beautiful movie and Sani Bhai acted wonderfully")</f>
        <v>It was a very beautiful movie and Sani Bhai acted wonderfully</v>
      </c>
      <c r="D5126" s="5"/>
      <c r="E5126" s="5"/>
      <c r="F5126" s="5"/>
      <c r="G5126" s="5"/>
      <c r="H5126" s="5"/>
      <c r="I5126" s="5"/>
      <c r="J5126" s="5"/>
      <c r="K5126" s="5"/>
      <c r="L5126" s="5"/>
      <c r="M5126" s="5"/>
      <c r="N5126" s="5"/>
      <c r="O5126" s="5"/>
      <c r="P5126" s="5"/>
      <c r="Q5126" s="5"/>
      <c r="R5126" s="5"/>
      <c r="S5126" s="5"/>
      <c r="T5126" s="5"/>
      <c r="U5126" s="5"/>
      <c r="V5126" s="5"/>
      <c r="W5126" s="5"/>
      <c r="X5126" s="5"/>
      <c r="Y5126" s="5"/>
      <c r="Z5126" s="5"/>
    </row>
    <row r="5127" spans="1:26" ht="15" x14ac:dyDescent="0.25">
      <c r="A5127" s="4" t="s">
        <v>5125</v>
      </c>
      <c r="B5127" s="4" t="s">
        <v>4550</v>
      </c>
      <c r="C5127" s="2" t="str">
        <f ca="1">IFERROR(__xludf.DUMMYFUNCTION("GOOGLETRANSLATE(A5127,""bn"",""en"")"),"The name Musharraf Kareem was enough to watch this movie based on a wonderful true story and the acting of Musharraf Kareem made the movie a must watch.")</f>
        <v>The name Musharraf Kareem was enough to watch this movie based on a wonderful true story and the acting of Musharraf Kareem made the movie a must watch.</v>
      </c>
      <c r="D5127" s="5"/>
      <c r="E5127" s="5"/>
      <c r="F5127" s="5"/>
      <c r="G5127" s="5"/>
      <c r="H5127" s="5"/>
      <c r="I5127" s="5"/>
      <c r="J5127" s="5"/>
      <c r="K5127" s="5"/>
      <c r="L5127" s="5"/>
      <c r="M5127" s="5"/>
      <c r="N5127" s="5"/>
      <c r="O5127" s="5"/>
      <c r="P5127" s="5"/>
      <c r="Q5127" s="5"/>
      <c r="R5127" s="5"/>
      <c r="S5127" s="5"/>
      <c r="T5127" s="5"/>
      <c r="U5127" s="5"/>
      <c r="V5127" s="5"/>
      <c r="W5127" s="5"/>
      <c r="X5127" s="5"/>
      <c r="Y5127" s="5"/>
      <c r="Z5127" s="5"/>
    </row>
    <row r="5128" spans="1:26" ht="15" x14ac:dyDescent="0.25">
      <c r="A5128" s="4" t="s">
        <v>5126</v>
      </c>
      <c r="B5128" s="4" t="s">
        <v>4550</v>
      </c>
      <c r="C5128" s="2" t="str">
        <f ca="1">IFERROR(__xludf.DUMMYFUNCTION("GOOGLETRANSLATE(A5128,""bn"",""en"")"),"No one in Bengal can give such a beautiful picture")</f>
        <v>No one in Bengal can give such a beautiful picture</v>
      </c>
      <c r="D5128" s="5"/>
      <c r="E5128" s="5"/>
      <c r="F5128" s="5"/>
      <c r="G5128" s="5"/>
      <c r="H5128" s="5"/>
      <c r="I5128" s="5"/>
      <c r="J5128" s="5"/>
      <c r="K5128" s="5"/>
      <c r="L5128" s="5"/>
      <c r="M5128" s="5"/>
      <c r="N5128" s="5"/>
      <c r="O5128" s="5"/>
      <c r="P5128" s="5"/>
      <c r="Q5128" s="5"/>
      <c r="R5128" s="5"/>
      <c r="S5128" s="5"/>
      <c r="T5128" s="5"/>
      <c r="U5128" s="5"/>
      <c r="V5128" s="5"/>
      <c r="W5128" s="5"/>
      <c r="X5128" s="5"/>
      <c r="Y5128" s="5"/>
      <c r="Z5128" s="5"/>
    </row>
    <row r="5129" spans="1:26" ht="15" x14ac:dyDescent="0.25">
      <c r="A5129" s="4" t="s">
        <v>5127</v>
      </c>
      <c r="B5129" s="4" t="s">
        <v>4550</v>
      </c>
      <c r="C5129" s="2" t="str">
        <f ca="1">IFERROR(__xludf.DUMMYFUNCTION("GOOGLETRANSLATE(A5129,""bn"",""en"")"),"I have never seen such a horrible picture in my life")</f>
        <v>I have never seen such a horrible picture in my life</v>
      </c>
      <c r="D5129" s="5"/>
      <c r="E5129" s="5"/>
      <c r="F5129" s="5"/>
      <c r="G5129" s="5"/>
      <c r="H5129" s="5"/>
      <c r="I5129" s="5"/>
      <c r="J5129" s="5"/>
      <c r="K5129" s="5"/>
      <c r="L5129" s="5"/>
      <c r="M5129" s="5"/>
      <c r="N5129" s="5"/>
      <c r="O5129" s="5"/>
      <c r="P5129" s="5"/>
      <c r="Q5129" s="5"/>
      <c r="R5129" s="5"/>
      <c r="S5129" s="5"/>
      <c r="T5129" s="5"/>
      <c r="U5129" s="5"/>
      <c r="V5129" s="5"/>
      <c r="W5129" s="5"/>
      <c r="X5129" s="5"/>
      <c r="Y5129" s="5"/>
      <c r="Z5129" s="5"/>
    </row>
    <row r="5130" spans="1:26" ht="15" x14ac:dyDescent="0.25">
      <c r="A5130" s="4" t="s">
        <v>5128</v>
      </c>
      <c r="B5130" s="4" t="s">
        <v>4550</v>
      </c>
      <c r="C5130" s="2" t="str">
        <f ca="1">IFERROR(__xludf.DUMMYFUNCTION("GOOGLETRANSLATE(A5130,""bn"",""en"")"),"Kaushiki Chakraborty also liked the film")</f>
        <v>Kaushiki Chakraborty also liked the film</v>
      </c>
      <c r="D5130" s="5"/>
      <c r="E5130" s="5"/>
      <c r="F5130" s="5"/>
      <c r="G5130" s="5"/>
      <c r="H5130" s="5"/>
      <c r="I5130" s="5"/>
      <c r="J5130" s="5"/>
      <c r="K5130" s="5"/>
      <c r="L5130" s="5"/>
      <c r="M5130" s="5"/>
      <c r="N5130" s="5"/>
      <c r="O5130" s="5"/>
      <c r="P5130" s="5"/>
      <c r="Q5130" s="5"/>
      <c r="R5130" s="5"/>
      <c r="S5130" s="5"/>
      <c r="T5130" s="5"/>
      <c r="U5130" s="5"/>
      <c r="V5130" s="5"/>
      <c r="W5130" s="5"/>
      <c r="X5130" s="5"/>
      <c r="Y5130" s="5"/>
      <c r="Z5130" s="5"/>
    </row>
    <row r="5131" spans="1:26" ht="15" x14ac:dyDescent="0.25">
      <c r="A5131" s="4" t="s">
        <v>5129</v>
      </c>
      <c r="B5131" s="4" t="s">
        <v>4550</v>
      </c>
      <c r="C5131" s="2" t="str">
        <f ca="1">IFERROR(__xludf.DUMMYFUNCTION("GOOGLETRANSLATE(A5131,""bn"",""en"")"),"Messi leaving Barcelona was very sad")</f>
        <v>Messi leaving Barcelona was very sad</v>
      </c>
      <c r="D5131" s="5"/>
      <c r="E5131" s="5"/>
      <c r="F5131" s="5"/>
      <c r="G5131" s="5"/>
      <c r="H5131" s="5"/>
      <c r="I5131" s="5"/>
      <c r="J5131" s="5"/>
      <c r="K5131" s="5"/>
      <c r="L5131" s="5"/>
      <c r="M5131" s="5"/>
      <c r="N5131" s="5"/>
      <c r="O5131" s="5"/>
      <c r="P5131" s="5"/>
      <c r="Q5131" s="5"/>
      <c r="R5131" s="5"/>
      <c r="S5131" s="5"/>
      <c r="T5131" s="5"/>
      <c r="U5131" s="5"/>
      <c r="V5131" s="5"/>
      <c r="W5131" s="5"/>
      <c r="X5131" s="5"/>
      <c r="Y5131" s="5"/>
      <c r="Z5131" s="5"/>
    </row>
    <row r="5132" spans="1:26" ht="15" x14ac:dyDescent="0.25">
      <c r="A5132" s="4" t="s">
        <v>5130</v>
      </c>
      <c r="B5132" s="4" t="s">
        <v>4550</v>
      </c>
      <c r="C5132" s="2" t="str">
        <f ca="1">IFERROR(__xludf.DUMMYFUNCTION("GOOGLETRANSLATE(A5132,""bn"",""en"")"),"A: Stomach hurt from laughing")</f>
        <v>A: Stomach hurt from laughing</v>
      </c>
      <c r="D5132" s="5"/>
      <c r="E5132" s="5"/>
      <c r="F5132" s="5"/>
      <c r="G5132" s="5"/>
      <c r="H5132" s="5"/>
      <c r="I5132" s="5"/>
      <c r="J5132" s="5"/>
      <c r="K5132" s="5"/>
      <c r="L5132" s="5"/>
      <c r="M5132" s="5"/>
      <c r="N5132" s="5"/>
      <c r="O5132" s="5"/>
      <c r="P5132" s="5"/>
      <c r="Q5132" s="5"/>
      <c r="R5132" s="5"/>
      <c r="S5132" s="5"/>
      <c r="T5132" s="5"/>
      <c r="U5132" s="5"/>
      <c r="V5132" s="5"/>
      <c r="W5132" s="5"/>
      <c r="X5132" s="5"/>
      <c r="Y5132" s="5"/>
      <c r="Z5132" s="5"/>
    </row>
    <row r="5133" spans="1:26" ht="15" x14ac:dyDescent="0.25">
      <c r="A5133" s="4" t="s">
        <v>5131</v>
      </c>
      <c r="B5133" s="4" t="s">
        <v>4550</v>
      </c>
      <c r="C5133" s="2" t="str">
        <f ca="1">IFERROR(__xludf.DUMMYFUNCTION("GOOGLETRANSLATE(A5133,""bn"",""en"")"),"This kind of film was only possible by Moushumi Shabana. Through this film Moushumi will live for thousands of years.")</f>
        <v>This kind of film was only possible by Moushumi Shabana. Through this film Moushumi will live for thousands of years.</v>
      </c>
      <c r="D5133" s="5"/>
      <c r="E5133" s="5"/>
      <c r="F5133" s="5"/>
      <c r="G5133" s="5"/>
      <c r="H5133" s="5"/>
      <c r="I5133" s="5"/>
      <c r="J5133" s="5"/>
      <c r="K5133" s="5"/>
      <c r="L5133" s="5"/>
      <c r="M5133" s="5"/>
      <c r="N5133" s="5"/>
      <c r="O5133" s="5"/>
      <c r="P5133" s="5"/>
      <c r="Q5133" s="5"/>
      <c r="R5133" s="5"/>
      <c r="S5133" s="5"/>
      <c r="T5133" s="5"/>
      <c r="U5133" s="5"/>
      <c r="V5133" s="5"/>
      <c r="W5133" s="5"/>
      <c r="X5133" s="5"/>
      <c r="Y5133" s="5"/>
      <c r="Z5133" s="5"/>
    </row>
    <row r="5134" spans="1:26" ht="15" x14ac:dyDescent="0.25">
      <c r="A5134" s="4" t="s">
        <v>5132</v>
      </c>
      <c r="B5134" s="4" t="s">
        <v>4550</v>
      </c>
      <c r="C5134" s="2" t="str">
        <f ca="1">IFERROR(__xludf.DUMMYFUNCTION("GOOGLETRANSLATE(A5134,""bn"",""en"")"),"The whole thing was damaged")</f>
        <v>The whole thing was damaged</v>
      </c>
      <c r="D5134" s="5"/>
      <c r="E5134" s="5"/>
      <c r="F5134" s="5"/>
      <c r="G5134" s="5"/>
      <c r="H5134" s="5"/>
      <c r="I5134" s="5"/>
      <c r="J5134" s="5"/>
      <c r="K5134" s="5"/>
      <c r="L5134" s="5"/>
      <c r="M5134" s="5"/>
      <c r="N5134" s="5"/>
      <c r="O5134" s="5"/>
      <c r="P5134" s="5"/>
      <c r="Q5134" s="5"/>
      <c r="R5134" s="5"/>
      <c r="S5134" s="5"/>
      <c r="T5134" s="5"/>
      <c r="U5134" s="5"/>
      <c r="V5134" s="5"/>
      <c r="W5134" s="5"/>
      <c r="X5134" s="5"/>
      <c r="Y5134" s="5"/>
      <c r="Z5134" s="5"/>
    </row>
    <row r="5135" spans="1:26" ht="15" x14ac:dyDescent="0.25">
      <c r="A5135" s="4" t="s">
        <v>5133</v>
      </c>
      <c r="B5135" s="4" t="s">
        <v>4550</v>
      </c>
      <c r="C5135" s="2" t="str">
        <f ca="1">IFERROR(__xludf.DUMMYFUNCTION("GOOGLETRANSLATE(A5135,""bn"",""en"")"),"In the last scene, my heart was filled with pain. I saw a wonderful and incomparable movie after a long time. What a wonderful performance")</f>
        <v>In the last scene, my heart was filled with pain. I saw a wonderful and incomparable movie after a long time. What a wonderful performance</v>
      </c>
      <c r="D5135" s="5"/>
      <c r="E5135" s="5"/>
      <c r="F5135" s="5"/>
      <c r="G5135" s="5"/>
      <c r="H5135" s="5"/>
      <c r="I5135" s="5"/>
      <c r="J5135" s="5"/>
      <c r="K5135" s="5"/>
      <c r="L5135" s="5"/>
      <c r="M5135" s="5"/>
      <c r="N5135" s="5"/>
      <c r="O5135" s="5"/>
      <c r="P5135" s="5"/>
      <c r="Q5135" s="5"/>
      <c r="R5135" s="5"/>
      <c r="S5135" s="5"/>
      <c r="T5135" s="5"/>
      <c r="U5135" s="5"/>
      <c r="V5135" s="5"/>
      <c r="W5135" s="5"/>
      <c r="X5135" s="5"/>
      <c r="Y5135" s="5"/>
      <c r="Z5135" s="5"/>
    </row>
    <row r="5136" spans="1:26" ht="15" x14ac:dyDescent="0.25">
      <c r="A5136" s="4" t="s">
        <v>5134</v>
      </c>
      <c r="B5136" s="4" t="s">
        <v>4550</v>
      </c>
      <c r="C5136" s="2" t="str">
        <f ca="1">IFERROR(__xludf.DUMMYFUNCTION("GOOGLETRANSLATE(A5136,""bn"",""en"")"),"The film was very good everyone's acting was good especially Nasreen's acting was good")</f>
        <v>The film was very good everyone's acting was good especially Nasreen's acting was good</v>
      </c>
      <c r="D5136" s="5"/>
      <c r="E5136" s="5"/>
      <c r="F5136" s="5"/>
      <c r="G5136" s="5"/>
      <c r="H5136" s="5"/>
      <c r="I5136" s="5"/>
      <c r="J5136" s="5"/>
      <c r="K5136" s="5"/>
      <c r="L5136" s="5"/>
      <c r="M5136" s="5"/>
      <c r="N5136" s="5"/>
      <c r="O5136" s="5"/>
      <c r="P5136" s="5"/>
      <c r="Q5136" s="5"/>
      <c r="R5136" s="5"/>
      <c r="S5136" s="5"/>
      <c r="T5136" s="5"/>
      <c r="U5136" s="5"/>
      <c r="V5136" s="5"/>
      <c r="W5136" s="5"/>
      <c r="X5136" s="5"/>
      <c r="Y5136" s="5"/>
      <c r="Z5136" s="5"/>
    </row>
    <row r="5137" spans="1:26" ht="15" x14ac:dyDescent="0.25">
      <c r="A5137" s="4" t="s">
        <v>5135</v>
      </c>
      <c r="B5137" s="4" t="s">
        <v>4550</v>
      </c>
      <c r="C5137" s="2" t="str">
        <f ca="1">IFERROR(__xludf.DUMMYFUNCTION("GOOGLETRANSLATE(A5137,""bn"",""en"")"),"If there was Jalant Khalil, we wouldn't have watched the movie")</f>
        <v>If there was Jalant Khalil, we wouldn't have watched the movie</v>
      </c>
      <c r="D5137" s="5"/>
      <c r="E5137" s="5"/>
      <c r="F5137" s="5"/>
      <c r="G5137" s="5"/>
      <c r="H5137" s="5"/>
      <c r="I5137" s="5"/>
      <c r="J5137" s="5"/>
      <c r="K5137" s="5"/>
      <c r="L5137" s="5"/>
      <c r="M5137" s="5"/>
      <c r="N5137" s="5"/>
      <c r="O5137" s="5"/>
      <c r="P5137" s="5"/>
      <c r="Q5137" s="5"/>
      <c r="R5137" s="5"/>
      <c r="S5137" s="5"/>
      <c r="T5137" s="5"/>
      <c r="U5137" s="5"/>
      <c r="V5137" s="5"/>
      <c r="W5137" s="5"/>
      <c r="X5137" s="5"/>
      <c r="Y5137" s="5"/>
      <c r="Z5137" s="5"/>
    </row>
    <row r="5138" spans="1:26" ht="15" x14ac:dyDescent="0.25">
      <c r="A5138" s="4" t="s">
        <v>5136</v>
      </c>
      <c r="B5138" s="4" t="s">
        <v>4550</v>
      </c>
      <c r="C5138" s="2" t="str">
        <f ca="1">IFERROR(__xludf.DUMMYFUNCTION("GOOGLETRANSLATE(A5138,""bn"",""en"")"),"I was very happy to see a beautiful movie")</f>
        <v>I was very happy to see a beautiful movie</v>
      </c>
      <c r="D5138" s="5"/>
      <c r="E5138" s="5"/>
      <c r="F5138" s="5"/>
      <c r="G5138" s="5"/>
      <c r="H5138" s="5"/>
      <c r="I5138" s="5"/>
      <c r="J5138" s="5"/>
      <c r="K5138" s="5"/>
      <c r="L5138" s="5"/>
      <c r="M5138" s="5"/>
      <c r="N5138" s="5"/>
      <c r="O5138" s="5"/>
      <c r="P5138" s="5"/>
      <c r="Q5138" s="5"/>
      <c r="R5138" s="5"/>
      <c r="S5138" s="5"/>
      <c r="T5138" s="5"/>
      <c r="U5138" s="5"/>
      <c r="V5138" s="5"/>
      <c r="W5138" s="5"/>
      <c r="X5138" s="5"/>
      <c r="Y5138" s="5"/>
      <c r="Z5138" s="5"/>
    </row>
    <row r="5139" spans="1:26" ht="15" x14ac:dyDescent="0.25">
      <c r="A5139" s="4" t="s">
        <v>5137</v>
      </c>
      <c r="B5139" s="4" t="s">
        <v>4550</v>
      </c>
      <c r="C5139" s="2" t="str">
        <f ca="1">IFERROR(__xludf.DUMMYFUNCTION("GOOGLETRANSLATE(A5139,""bn"",""en"")"),"If you have money everything is possible Mafuz Hero Alom Ranu Mondal should have been cast as the artist in this movie.")</f>
        <v>If you have money everything is possible Mafuz Hero Alom Ranu Mondal should have been cast as the artist in this movie.</v>
      </c>
      <c r="D5139" s="5"/>
      <c r="E5139" s="5"/>
      <c r="F5139" s="5"/>
      <c r="G5139" s="5"/>
      <c r="H5139" s="5"/>
      <c r="I5139" s="5"/>
      <c r="J5139" s="5"/>
      <c r="K5139" s="5"/>
      <c r="L5139" s="5"/>
      <c r="M5139" s="5"/>
      <c r="N5139" s="5"/>
      <c r="O5139" s="5"/>
      <c r="P5139" s="5"/>
      <c r="Q5139" s="5"/>
      <c r="R5139" s="5"/>
      <c r="S5139" s="5"/>
      <c r="T5139" s="5"/>
      <c r="U5139" s="5"/>
      <c r="V5139" s="5"/>
      <c r="W5139" s="5"/>
      <c r="X5139" s="5"/>
      <c r="Y5139" s="5"/>
      <c r="Z5139" s="5"/>
    </row>
    <row r="5140" spans="1:26" ht="15" x14ac:dyDescent="0.25">
      <c r="A5140" s="4" t="s">
        <v>5138</v>
      </c>
      <c r="B5140" s="4" t="s">
        <v>4550</v>
      </c>
      <c r="C5140" s="2" t="str">
        <f ca="1">IFERROR(__xludf.DUMMYFUNCTION("GOOGLETRANSLATE(A5140,""bn"",""en"")"),"I could not reveal what the picture was")</f>
        <v>I could not reveal what the picture was</v>
      </c>
      <c r="D5140" s="5"/>
      <c r="E5140" s="5"/>
      <c r="F5140" s="5"/>
      <c r="G5140" s="5"/>
      <c r="H5140" s="5"/>
      <c r="I5140" s="5"/>
      <c r="J5140" s="5"/>
      <c r="K5140" s="5"/>
      <c r="L5140" s="5"/>
      <c r="M5140" s="5"/>
      <c r="N5140" s="5"/>
      <c r="O5140" s="5"/>
      <c r="P5140" s="5"/>
      <c r="Q5140" s="5"/>
      <c r="R5140" s="5"/>
      <c r="S5140" s="5"/>
      <c r="T5140" s="5"/>
      <c r="U5140" s="5"/>
      <c r="V5140" s="5"/>
      <c r="W5140" s="5"/>
      <c r="X5140" s="5"/>
      <c r="Y5140" s="5"/>
      <c r="Z5140" s="5"/>
    </row>
    <row r="5141" spans="1:26" ht="15" x14ac:dyDescent="0.25">
      <c r="A5141" s="4" t="s">
        <v>5139</v>
      </c>
      <c r="B5141" s="4" t="s">
        <v>4550</v>
      </c>
      <c r="C5141" s="2" t="str">
        <f ca="1">IFERROR(__xludf.DUMMYFUNCTION("GOOGLETRANSLATE(A5141,""bn"",""en"")"),"It was a very nice movie to watch with family")</f>
        <v>It was a very nice movie to watch with family</v>
      </c>
      <c r="D5141" s="5"/>
      <c r="E5141" s="5"/>
      <c r="F5141" s="5"/>
      <c r="G5141" s="5"/>
      <c r="H5141" s="5"/>
      <c r="I5141" s="5"/>
      <c r="J5141" s="5"/>
      <c r="K5141" s="5"/>
      <c r="L5141" s="5"/>
      <c r="M5141" s="5"/>
      <c r="N5141" s="5"/>
      <c r="O5141" s="5"/>
      <c r="P5141" s="5"/>
      <c r="Q5141" s="5"/>
      <c r="R5141" s="5"/>
      <c r="S5141" s="5"/>
      <c r="T5141" s="5"/>
      <c r="U5141" s="5"/>
      <c r="V5141" s="5"/>
      <c r="W5141" s="5"/>
      <c r="X5141" s="5"/>
      <c r="Y5141" s="5"/>
      <c r="Z5141" s="5"/>
    </row>
    <row r="5142" spans="1:26" ht="15" x14ac:dyDescent="0.25">
      <c r="A5142" s="4" t="s">
        <v>5140</v>
      </c>
      <c r="B5142" s="4" t="s">
        <v>4550</v>
      </c>
      <c r="C5142" s="2" t="str">
        <f ca="1">IFERROR(__xludf.DUMMYFUNCTION("GOOGLETRANSLATE(A5142,""bn"",""en"")"),"I could not understand how good actors and actresses acted in these movies")</f>
        <v>I could not understand how good actors and actresses acted in these movies</v>
      </c>
      <c r="D5142" s="5"/>
      <c r="E5142" s="5"/>
      <c r="F5142" s="5"/>
      <c r="G5142" s="5"/>
      <c r="H5142" s="5"/>
      <c r="I5142" s="5"/>
      <c r="J5142" s="5"/>
      <c r="K5142" s="5"/>
      <c r="L5142" s="5"/>
      <c r="M5142" s="5"/>
      <c r="N5142" s="5"/>
      <c r="O5142" s="5"/>
      <c r="P5142" s="5"/>
      <c r="Q5142" s="5"/>
      <c r="R5142" s="5"/>
      <c r="S5142" s="5"/>
      <c r="T5142" s="5"/>
      <c r="U5142" s="5"/>
      <c r="V5142" s="5"/>
      <c r="W5142" s="5"/>
      <c r="X5142" s="5"/>
      <c r="Y5142" s="5"/>
      <c r="Z5142" s="5"/>
    </row>
    <row r="5143" spans="1:26" ht="15" x14ac:dyDescent="0.25">
      <c r="A5143" s="4" t="s">
        <v>5141</v>
      </c>
      <c r="B5143" s="4" t="s">
        <v>4550</v>
      </c>
      <c r="C5143" s="2" t="str">
        <f ca="1">IFERROR(__xludf.DUMMYFUNCTION("GOOGLETRANSLATE(A5143,""bn"",""en"")"),"The wonderful story was brought out by the wonderful acting")</f>
        <v>The wonderful story was brought out by the wonderful acting</v>
      </c>
      <c r="D5143" s="5"/>
      <c r="E5143" s="5"/>
      <c r="F5143" s="5"/>
      <c r="G5143" s="5"/>
      <c r="H5143" s="5"/>
      <c r="I5143" s="5"/>
      <c r="J5143" s="5"/>
      <c r="K5143" s="5"/>
      <c r="L5143" s="5"/>
      <c r="M5143" s="5"/>
      <c r="N5143" s="5"/>
      <c r="O5143" s="5"/>
      <c r="P5143" s="5"/>
      <c r="Q5143" s="5"/>
      <c r="R5143" s="5"/>
      <c r="S5143" s="5"/>
      <c r="T5143" s="5"/>
      <c r="U5143" s="5"/>
      <c r="V5143" s="5"/>
      <c r="W5143" s="5"/>
      <c r="X5143" s="5"/>
      <c r="Y5143" s="5"/>
      <c r="Z5143" s="5"/>
    </row>
    <row r="5144" spans="1:26" ht="15" x14ac:dyDescent="0.25">
      <c r="A5144" s="4" t="s">
        <v>5142</v>
      </c>
      <c r="B5144" s="4" t="s">
        <v>4550</v>
      </c>
      <c r="C5144" s="2" t="str">
        <f ca="1">IFERROR(__xludf.DUMMYFUNCTION("GOOGLETRANSLATE(A5144,""bn"",""en"")"),"Every scene and tune of this film was heart touching")</f>
        <v>Every scene and tune of this film was heart touching</v>
      </c>
      <c r="D5144" s="5"/>
      <c r="E5144" s="5"/>
      <c r="F5144" s="5"/>
      <c r="G5144" s="5"/>
      <c r="H5144" s="5"/>
      <c r="I5144" s="5"/>
      <c r="J5144" s="5"/>
      <c r="K5144" s="5"/>
      <c r="L5144" s="5"/>
      <c r="M5144" s="5"/>
      <c r="N5144" s="5"/>
      <c r="O5144" s="5"/>
      <c r="P5144" s="5"/>
      <c r="Q5144" s="5"/>
      <c r="R5144" s="5"/>
      <c r="S5144" s="5"/>
      <c r="T5144" s="5"/>
      <c r="U5144" s="5"/>
      <c r="V5144" s="5"/>
      <c r="W5144" s="5"/>
      <c r="X5144" s="5"/>
      <c r="Y5144" s="5"/>
      <c r="Z5144" s="5"/>
    </row>
    <row r="5145" spans="1:26" ht="15" x14ac:dyDescent="0.25">
      <c r="A5145" s="4" t="s">
        <v>5143</v>
      </c>
      <c r="B5145" s="4" t="s">
        <v>4550</v>
      </c>
      <c r="C5145" s="2" t="str">
        <f ca="1">IFERROR(__xludf.DUMMYFUNCTION("GOOGLETRANSLATE(A5145,""bn"",""en"")"),"What a beautiful movie it was acting that didn't seem like it was perfect acting")</f>
        <v>What a beautiful movie it was acting that didn't seem like it was perfect acting</v>
      </c>
      <c r="D5145" s="5"/>
      <c r="E5145" s="5"/>
      <c r="F5145" s="5"/>
      <c r="G5145" s="5"/>
      <c r="H5145" s="5"/>
      <c r="I5145" s="5"/>
      <c r="J5145" s="5"/>
      <c r="K5145" s="5"/>
      <c r="L5145" s="5"/>
      <c r="M5145" s="5"/>
      <c r="N5145" s="5"/>
      <c r="O5145" s="5"/>
      <c r="P5145" s="5"/>
      <c r="Q5145" s="5"/>
      <c r="R5145" s="5"/>
      <c r="S5145" s="5"/>
      <c r="T5145" s="5"/>
      <c r="U5145" s="5"/>
      <c r="V5145" s="5"/>
      <c r="W5145" s="5"/>
      <c r="X5145" s="5"/>
      <c r="Y5145" s="5"/>
      <c r="Z5145" s="5"/>
    </row>
    <row r="5146" spans="1:26" ht="15" x14ac:dyDescent="0.25">
      <c r="A5146" s="4" t="s">
        <v>5144</v>
      </c>
      <c r="B5146" s="4" t="s">
        <v>4550</v>
      </c>
      <c r="C5146" s="2" t="str">
        <f ca="1">IFERROR(__xludf.DUMMYFUNCTION("GOOGLETRANSLATE(A5146,""bn"",""en"")"),"It was also a fake because it was named again")</f>
        <v>It was also a fake because it was named again</v>
      </c>
      <c r="D5146" s="5"/>
      <c r="E5146" s="5"/>
      <c r="F5146" s="5"/>
      <c r="G5146" s="5"/>
      <c r="H5146" s="5"/>
      <c r="I5146" s="5"/>
      <c r="J5146" s="5"/>
      <c r="K5146" s="5"/>
      <c r="L5146" s="5"/>
      <c r="M5146" s="5"/>
      <c r="N5146" s="5"/>
      <c r="O5146" s="5"/>
      <c r="P5146" s="5"/>
      <c r="Q5146" s="5"/>
      <c r="R5146" s="5"/>
      <c r="S5146" s="5"/>
      <c r="T5146" s="5"/>
      <c r="U5146" s="5"/>
      <c r="V5146" s="5"/>
      <c r="W5146" s="5"/>
      <c r="X5146" s="5"/>
      <c r="Y5146" s="5"/>
      <c r="Z5146" s="5"/>
    </row>
    <row r="5147" spans="1:26" ht="15" x14ac:dyDescent="0.25">
      <c r="A5147" s="4" t="s">
        <v>5145</v>
      </c>
      <c r="B5147" s="4" t="s">
        <v>4550</v>
      </c>
      <c r="C5147" s="2" t="str">
        <f ca="1">IFERROR(__xludf.DUMMYFUNCTION("GOOGLETRANSLATE(A5147,""bn"",""en"")"),"Watching all the movies of the old days would fill your mind")</f>
        <v>Watching all the movies of the old days would fill your mind</v>
      </c>
      <c r="D5147" s="5"/>
      <c r="E5147" s="5"/>
      <c r="F5147" s="5"/>
      <c r="G5147" s="5"/>
      <c r="H5147" s="5"/>
      <c r="I5147" s="5"/>
      <c r="J5147" s="5"/>
      <c r="K5147" s="5"/>
      <c r="L5147" s="5"/>
      <c r="M5147" s="5"/>
      <c r="N5147" s="5"/>
      <c r="O5147" s="5"/>
      <c r="P5147" s="5"/>
      <c r="Q5147" s="5"/>
      <c r="R5147" s="5"/>
      <c r="S5147" s="5"/>
      <c r="T5147" s="5"/>
      <c r="U5147" s="5"/>
      <c r="V5147" s="5"/>
      <c r="W5147" s="5"/>
      <c r="X5147" s="5"/>
      <c r="Y5147" s="5"/>
      <c r="Z5147" s="5"/>
    </row>
    <row r="5148" spans="1:26" ht="15" x14ac:dyDescent="0.25">
      <c r="A5148" s="4" t="s">
        <v>5146</v>
      </c>
      <c r="B5148" s="4" t="s">
        <v>4550</v>
      </c>
      <c r="C5148" s="2" t="str">
        <f ca="1">IFERROR(__xludf.DUMMYFUNCTION("GOOGLETRANSLATE(A5148,""bn"",""en"")"),"Bangladeshi movies have never been seen that way but this movie was good")</f>
        <v>Bangladeshi movies have never been seen that way but this movie was good</v>
      </c>
      <c r="D5148" s="5"/>
      <c r="E5148" s="5"/>
      <c r="F5148" s="5"/>
      <c r="G5148" s="5"/>
      <c r="H5148" s="5"/>
      <c r="I5148" s="5"/>
      <c r="J5148" s="5"/>
      <c r="K5148" s="5"/>
      <c r="L5148" s="5"/>
      <c r="M5148" s="5"/>
      <c r="N5148" s="5"/>
      <c r="O5148" s="5"/>
      <c r="P5148" s="5"/>
      <c r="Q5148" s="5"/>
      <c r="R5148" s="5"/>
      <c r="S5148" s="5"/>
      <c r="T5148" s="5"/>
      <c r="U5148" s="5"/>
      <c r="V5148" s="5"/>
      <c r="W5148" s="5"/>
      <c r="X5148" s="5"/>
      <c r="Y5148" s="5"/>
      <c r="Z5148" s="5"/>
    </row>
    <row r="5149" spans="1:26" ht="15" x14ac:dyDescent="0.25">
      <c r="A5149" s="4" t="s">
        <v>5147</v>
      </c>
      <c r="B5149" s="4" t="s">
        <v>4550</v>
      </c>
      <c r="C5149" s="2" t="str">
        <f ca="1">IFERROR(__xludf.DUMMYFUNCTION("GOOGLETRANSLATE(A5149,""bn"",""en"")"),"Bubli did a great job as a newcomer")</f>
        <v>Bubli did a great job as a newcomer</v>
      </c>
      <c r="D5149" s="5"/>
      <c r="E5149" s="5"/>
      <c r="F5149" s="5"/>
      <c r="G5149" s="5"/>
      <c r="H5149" s="5"/>
      <c r="I5149" s="5"/>
      <c r="J5149" s="5"/>
      <c r="K5149" s="5"/>
      <c r="L5149" s="5"/>
      <c r="M5149" s="5"/>
      <c r="N5149" s="5"/>
      <c r="O5149" s="5"/>
      <c r="P5149" s="5"/>
      <c r="Q5149" s="5"/>
      <c r="R5149" s="5"/>
      <c r="S5149" s="5"/>
      <c r="T5149" s="5"/>
      <c r="U5149" s="5"/>
      <c r="V5149" s="5"/>
      <c r="W5149" s="5"/>
      <c r="X5149" s="5"/>
      <c r="Y5149" s="5"/>
      <c r="Z5149" s="5"/>
    </row>
    <row r="5150" spans="1:26" ht="15" x14ac:dyDescent="0.25">
      <c r="A5150" s="4" t="s">
        <v>5148</v>
      </c>
      <c r="B5150" s="4" t="s">
        <v>4550</v>
      </c>
      <c r="C5150" s="2" t="str">
        <f ca="1">IFERROR(__xludf.DUMMYFUNCTION("GOOGLETRANSLATE(A5150,""bn"",""en"")"),"Dev Dar was not the same in acting")</f>
        <v>Dev Dar was not the same in acting</v>
      </c>
      <c r="D5150" s="5"/>
      <c r="E5150" s="5"/>
      <c r="F5150" s="5"/>
      <c r="G5150" s="5"/>
      <c r="H5150" s="5"/>
      <c r="I5150" s="5"/>
      <c r="J5150" s="5"/>
      <c r="K5150" s="5"/>
      <c r="L5150" s="5"/>
      <c r="M5150" s="5"/>
      <c r="N5150" s="5"/>
      <c r="O5150" s="5"/>
      <c r="P5150" s="5"/>
      <c r="Q5150" s="5"/>
      <c r="R5150" s="5"/>
      <c r="S5150" s="5"/>
      <c r="T5150" s="5"/>
      <c r="U5150" s="5"/>
      <c r="V5150" s="5"/>
      <c r="W5150" s="5"/>
      <c r="X5150" s="5"/>
      <c r="Y5150" s="5"/>
      <c r="Z5150" s="5"/>
    </row>
    <row r="5151" spans="1:26" ht="15" x14ac:dyDescent="0.25">
      <c r="A5151" s="4" t="s">
        <v>5149</v>
      </c>
      <c r="B5151" s="4" t="s">
        <v>4550</v>
      </c>
      <c r="C5151" s="2" t="str">
        <f ca="1">IFERROR(__xludf.DUMMYFUNCTION("GOOGLETRANSLATE(A5151,""bn"",""en"")"),"The movie was so beautifully made that it seemed like how beautiful and horrible real love can be. The movie was so beautiful.")</f>
        <v>The movie was so beautifully made that it seemed like how beautiful and horrible real love can be. The movie was so beautiful.</v>
      </c>
      <c r="D5151" s="5"/>
      <c r="E5151" s="5"/>
      <c r="F5151" s="5"/>
      <c r="G5151" s="5"/>
      <c r="H5151" s="5"/>
      <c r="I5151" s="5"/>
      <c r="J5151" s="5"/>
      <c r="K5151" s="5"/>
      <c r="L5151" s="5"/>
      <c r="M5151" s="5"/>
      <c r="N5151" s="5"/>
      <c r="O5151" s="5"/>
      <c r="P5151" s="5"/>
      <c r="Q5151" s="5"/>
      <c r="R5151" s="5"/>
      <c r="S5151" s="5"/>
      <c r="T5151" s="5"/>
      <c r="U5151" s="5"/>
      <c r="V5151" s="5"/>
      <c r="W5151" s="5"/>
      <c r="X5151" s="5"/>
      <c r="Y5151" s="5"/>
      <c r="Z5151" s="5"/>
    </row>
    <row r="5152" spans="1:26" ht="15" x14ac:dyDescent="0.25">
      <c r="A5152" s="4" t="s">
        <v>5150</v>
      </c>
      <c r="B5152" s="4" t="s">
        <v>4550</v>
      </c>
      <c r="C5152" s="2" t="str">
        <f ca="1">IFERROR(__xludf.DUMMYFUNCTION("GOOGLETRANSLATE(A5152,""bn"",""en"")"),"Deepjol uncle had the best picture of his life and everyone was appreciating it")</f>
        <v>Deepjol uncle had the best picture of his life and everyone was appreciating it</v>
      </c>
      <c r="D5152" s="5"/>
      <c r="E5152" s="5"/>
      <c r="F5152" s="5"/>
      <c r="G5152" s="5"/>
      <c r="H5152" s="5"/>
      <c r="I5152" s="5"/>
      <c r="J5152" s="5"/>
      <c r="K5152" s="5"/>
      <c r="L5152" s="5"/>
      <c r="M5152" s="5"/>
      <c r="N5152" s="5"/>
      <c r="O5152" s="5"/>
      <c r="P5152" s="5"/>
      <c r="Q5152" s="5"/>
      <c r="R5152" s="5"/>
      <c r="S5152" s="5"/>
      <c r="T5152" s="5"/>
      <c r="U5152" s="5"/>
      <c r="V5152" s="5"/>
      <c r="W5152" s="5"/>
      <c r="X5152" s="5"/>
      <c r="Y5152" s="5"/>
      <c r="Z5152" s="5"/>
    </row>
    <row r="5153" spans="1:26" ht="15" x14ac:dyDescent="0.25">
      <c r="A5153" s="4" t="s">
        <v>5151</v>
      </c>
      <c r="B5153" s="4" t="s">
        <v>4550</v>
      </c>
      <c r="C5153" s="2" t="str">
        <f ca="1">IFERROR(__xludf.DUMMYFUNCTION("GOOGLETRANSLATE(A5153,""bn"",""en"")"),"Gram Bangla's best couple picture")</f>
        <v>Gram Bangla's best couple picture</v>
      </c>
      <c r="D5153" s="5"/>
      <c r="E5153" s="5"/>
      <c r="F5153" s="5"/>
      <c r="G5153" s="5"/>
      <c r="H5153" s="5"/>
      <c r="I5153" s="5"/>
      <c r="J5153" s="5"/>
      <c r="K5153" s="5"/>
      <c r="L5153" s="5"/>
      <c r="M5153" s="5"/>
      <c r="N5153" s="5"/>
      <c r="O5153" s="5"/>
      <c r="P5153" s="5"/>
      <c r="Q5153" s="5"/>
      <c r="R5153" s="5"/>
      <c r="S5153" s="5"/>
      <c r="T5153" s="5"/>
      <c r="U5153" s="5"/>
      <c r="V5153" s="5"/>
      <c r="W5153" s="5"/>
      <c r="X5153" s="5"/>
      <c r="Y5153" s="5"/>
      <c r="Z5153" s="5"/>
    </row>
    <row r="5154" spans="1:26" ht="15" x14ac:dyDescent="0.25">
      <c r="A5154" s="4" t="s">
        <v>5152</v>
      </c>
      <c r="B5154" s="4" t="s">
        <v>4550</v>
      </c>
      <c r="C5154" s="2" t="str">
        <f ca="1">IFERROR(__xludf.DUMMYFUNCTION("GOOGLETRANSLATE(A5154,""bn"",""en"")"),"Oh, how beautiful the previous movies were, the story of all the movies was the same, it was good to watch")</f>
        <v>Oh, how beautiful the previous movies were, the story of all the movies was the same, it was good to watch</v>
      </c>
      <c r="D5154" s="5"/>
      <c r="E5154" s="5"/>
      <c r="F5154" s="5"/>
      <c r="G5154" s="5"/>
      <c r="H5154" s="5"/>
      <c r="I5154" s="5"/>
      <c r="J5154" s="5"/>
      <c r="K5154" s="5"/>
      <c r="L5154" s="5"/>
      <c r="M5154" s="5"/>
      <c r="N5154" s="5"/>
      <c r="O5154" s="5"/>
      <c r="P5154" s="5"/>
      <c r="Q5154" s="5"/>
      <c r="R5154" s="5"/>
      <c r="S5154" s="5"/>
      <c r="T5154" s="5"/>
      <c r="U5154" s="5"/>
      <c r="V5154" s="5"/>
      <c r="W5154" s="5"/>
      <c r="X5154" s="5"/>
      <c r="Y5154" s="5"/>
      <c r="Z5154" s="5"/>
    </row>
    <row r="5155" spans="1:26" ht="15" x14ac:dyDescent="0.25">
      <c r="A5155" s="4" t="s">
        <v>5153</v>
      </c>
      <c r="B5155" s="4" t="s">
        <v>4550</v>
      </c>
      <c r="C5155" s="2" t="str">
        <f ca="1">IFERROR(__xludf.DUMMYFUNCTION("GOOGLETRANSLATE(A5155,""bn"",""en"")"),"Even though the story was good, the acting couldn't show it, which is what happens if it's a low-budget film")</f>
        <v>Even though the story was good, the acting couldn't show it, which is what happens if it's a low-budget film</v>
      </c>
      <c r="D5155" s="5"/>
      <c r="E5155" s="5"/>
      <c r="F5155" s="5"/>
      <c r="G5155" s="5"/>
      <c r="H5155" s="5"/>
      <c r="I5155" s="5"/>
      <c r="J5155" s="5"/>
      <c r="K5155" s="5"/>
      <c r="L5155" s="5"/>
      <c r="M5155" s="5"/>
      <c r="N5155" s="5"/>
      <c r="O5155" s="5"/>
      <c r="P5155" s="5"/>
      <c r="Q5155" s="5"/>
      <c r="R5155" s="5"/>
      <c r="S5155" s="5"/>
      <c r="T5155" s="5"/>
      <c r="U5155" s="5"/>
      <c r="V5155" s="5"/>
      <c r="W5155" s="5"/>
      <c r="X5155" s="5"/>
      <c r="Y5155" s="5"/>
      <c r="Z5155" s="5"/>
    </row>
    <row r="5156" spans="1:26" ht="15" x14ac:dyDescent="0.25">
      <c r="A5156" s="4" t="s">
        <v>5154</v>
      </c>
      <c r="B5156" s="4" t="s">
        <v>4550</v>
      </c>
      <c r="C5156" s="2" t="str">
        <f ca="1">IFERROR(__xludf.DUMMYFUNCTION("GOOGLETRANSLATE(A5156,""bn"",""en"")"),"The real criminals got away while the innocent were punished")</f>
        <v>The real criminals got away while the innocent were punished</v>
      </c>
      <c r="D5156" s="5"/>
      <c r="E5156" s="5"/>
      <c r="F5156" s="5"/>
      <c r="G5156" s="5"/>
      <c r="H5156" s="5"/>
      <c r="I5156" s="5"/>
      <c r="J5156" s="5"/>
      <c r="K5156" s="5"/>
      <c r="L5156" s="5"/>
      <c r="M5156" s="5"/>
      <c r="N5156" s="5"/>
      <c r="O5156" s="5"/>
      <c r="P5156" s="5"/>
      <c r="Q5156" s="5"/>
      <c r="R5156" s="5"/>
      <c r="S5156" s="5"/>
      <c r="T5156" s="5"/>
      <c r="U5156" s="5"/>
      <c r="V5156" s="5"/>
      <c r="W5156" s="5"/>
      <c r="X5156" s="5"/>
      <c r="Y5156" s="5"/>
      <c r="Z5156" s="5"/>
    </row>
    <row r="5157" spans="1:26" ht="15" x14ac:dyDescent="0.25">
      <c r="A5157" s="4" t="s">
        <v>5155</v>
      </c>
      <c r="B5157" s="4" t="s">
        <v>4550</v>
      </c>
      <c r="C5157" s="2" t="str">
        <f ca="1">IFERROR(__xludf.DUMMYFUNCTION("GOOGLETRANSLATE(A5157,""bn"",""en"")"),"Prawn proved that films can be made without love")</f>
        <v>Prawn proved that films can be made without love</v>
      </c>
      <c r="D5157" s="5"/>
      <c r="E5157" s="5"/>
      <c r="F5157" s="5"/>
      <c r="G5157" s="5"/>
      <c r="H5157" s="5"/>
      <c r="I5157" s="5"/>
      <c r="J5157" s="5"/>
      <c r="K5157" s="5"/>
      <c r="L5157" s="5"/>
      <c r="M5157" s="5"/>
      <c r="N5157" s="5"/>
      <c r="O5157" s="5"/>
      <c r="P5157" s="5"/>
      <c r="Q5157" s="5"/>
      <c r="R5157" s="5"/>
      <c r="S5157" s="5"/>
      <c r="T5157" s="5"/>
      <c r="U5157" s="5"/>
      <c r="V5157" s="5"/>
      <c r="W5157" s="5"/>
      <c r="X5157" s="5"/>
      <c r="Y5157" s="5"/>
      <c r="Z5157" s="5"/>
    </row>
    <row r="5158" spans="1:26" ht="15" x14ac:dyDescent="0.25">
      <c r="A5158" s="4" t="s">
        <v>5156</v>
      </c>
      <c r="B5158" s="4" t="s">
        <v>4550</v>
      </c>
      <c r="C5158" s="2" t="str">
        <f ca="1">IFERROR(__xludf.DUMMYFUNCTION("GOOGLETRANSLATE(A5158,""bn"",""en"")"),"Oh how beautiful the movie was without any profanity")</f>
        <v>Oh how beautiful the movie was without any profanity</v>
      </c>
      <c r="D5158" s="5"/>
      <c r="E5158" s="5"/>
      <c r="F5158" s="5"/>
      <c r="G5158" s="5"/>
      <c r="H5158" s="5"/>
      <c r="I5158" s="5"/>
      <c r="J5158" s="5"/>
      <c r="K5158" s="5"/>
      <c r="L5158" s="5"/>
      <c r="M5158" s="5"/>
      <c r="N5158" s="5"/>
      <c r="O5158" s="5"/>
      <c r="P5158" s="5"/>
      <c r="Q5158" s="5"/>
      <c r="R5158" s="5"/>
      <c r="S5158" s="5"/>
      <c r="T5158" s="5"/>
      <c r="U5158" s="5"/>
      <c r="V5158" s="5"/>
      <c r="W5158" s="5"/>
      <c r="X5158" s="5"/>
      <c r="Y5158" s="5"/>
      <c r="Z5158" s="5"/>
    </row>
    <row r="5159" spans="1:26" ht="15" x14ac:dyDescent="0.25">
      <c r="A5159" s="4" t="s">
        <v>5157</v>
      </c>
      <c r="B5159" s="4" t="s">
        <v>4550</v>
      </c>
      <c r="C5159" s="2" t="str">
        <f ca="1">IFERROR(__xludf.DUMMYFUNCTION("GOOGLETRANSLATE(A5159,""bn"",""en"")"),"Played oddly")</f>
        <v>Played oddly</v>
      </c>
      <c r="D5159" s="5"/>
      <c r="E5159" s="5"/>
      <c r="F5159" s="5"/>
      <c r="G5159" s="5"/>
      <c r="H5159" s="5"/>
      <c r="I5159" s="5"/>
      <c r="J5159" s="5"/>
      <c r="K5159" s="5"/>
      <c r="L5159" s="5"/>
      <c r="M5159" s="5"/>
      <c r="N5159" s="5"/>
      <c r="O5159" s="5"/>
      <c r="P5159" s="5"/>
      <c r="Q5159" s="5"/>
      <c r="R5159" s="5"/>
      <c r="S5159" s="5"/>
      <c r="T5159" s="5"/>
      <c r="U5159" s="5"/>
      <c r="V5159" s="5"/>
      <c r="W5159" s="5"/>
      <c r="X5159" s="5"/>
      <c r="Y5159" s="5"/>
      <c r="Z5159" s="5"/>
    </row>
    <row r="5160" spans="1:26" ht="15" x14ac:dyDescent="0.25">
      <c r="A5160" s="4" t="s">
        <v>5158</v>
      </c>
      <c r="B5160" s="4" t="s">
        <v>4550</v>
      </c>
      <c r="C5160" s="2" t="str">
        <f ca="1">IFERROR(__xludf.DUMMYFUNCTION("GOOGLETRANSLATE(A5160,""bn"",""en"")"),"Akshay Kumar was the best in Rowdy Rather")</f>
        <v>Akshay Kumar was the best in Rowdy Rather</v>
      </c>
      <c r="D5160" s="5"/>
      <c r="E5160" s="5"/>
      <c r="F5160" s="5"/>
      <c r="G5160" s="5"/>
      <c r="H5160" s="5"/>
      <c r="I5160" s="5"/>
      <c r="J5160" s="5"/>
      <c r="K5160" s="5"/>
      <c r="L5160" s="5"/>
      <c r="M5160" s="5"/>
      <c r="N5160" s="5"/>
      <c r="O5160" s="5"/>
      <c r="P5160" s="5"/>
      <c r="Q5160" s="5"/>
      <c r="R5160" s="5"/>
      <c r="S5160" s="5"/>
      <c r="T5160" s="5"/>
      <c r="U5160" s="5"/>
      <c r="V5160" s="5"/>
      <c r="W5160" s="5"/>
      <c r="X5160" s="5"/>
      <c r="Y5160" s="5"/>
      <c r="Z5160" s="5"/>
    </row>
    <row r="5161" spans="1:26" ht="15" x14ac:dyDescent="0.25">
      <c r="A5161" s="4" t="s">
        <v>5159</v>
      </c>
      <c r="B5161" s="4" t="s">
        <v>4550</v>
      </c>
      <c r="C5161" s="2" t="str">
        <f ca="1">IFERROR(__xludf.DUMMYFUNCTION("GOOGLETRANSLATE(A5161,""bn"",""en"")"),"It was an incredibly beautiful and motivational movie")</f>
        <v>It was an incredibly beautiful and motivational movie</v>
      </c>
      <c r="D5161" s="5"/>
      <c r="E5161" s="5"/>
      <c r="F5161" s="5"/>
      <c r="G5161" s="5"/>
      <c r="H5161" s="5"/>
      <c r="I5161" s="5"/>
      <c r="J5161" s="5"/>
      <c r="K5161" s="5"/>
      <c r="L5161" s="5"/>
      <c r="M5161" s="5"/>
      <c r="N5161" s="5"/>
      <c r="O5161" s="5"/>
      <c r="P5161" s="5"/>
      <c r="Q5161" s="5"/>
      <c r="R5161" s="5"/>
      <c r="S5161" s="5"/>
      <c r="T5161" s="5"/>
      <c r="U5161" s="5"/>
      <c r="V5161" s="5"/>
      <c r="W5161" s="5"/>
      <c r="X5161" s="5"/>
      <c r="Y5161" s="5"/>
      <c r="Z5161" s="5"/>
    </row>
    <row r="5162" spans="1:26" ht="15" x14ac:dyDescent="0.25">
      <c r="A5162" s="4" t="s">
        <v>5160</v>
      </c>
      <c r="B5162" s="4" t="s">
        <v>4550</v>
      </c>
      <c r="C5162" s="2" t="str">
        <f ca="1">IFERROR(__xludf.DUMMYFUNCTION("GOOGLETRANSLATE(A5162,""bn"",""en"")"),"It was a picture")</f>
        <v>It was a picture</v>
      </c>
      <c r="D5162" s="5"/>
      <c r="E5162" s="5"/>
      <c r="F5162" s="5"/>
      <c r="G5162" s="5"/>
      <c r="H5162" s="5"/>
      <c r="I5162" s="5"/>
      <c r="J5162" s="5"/>
      <c r="K5162" s="5"/>
      <c r="L5162" s="5"/>
      <c r="M5162" s="5"/>
      <c r="N5162" s="5"/>
      <c r="O5162" s="5"/>
      <c r="P5162" s="5"/>
      <c r="Q5162" s="5"/>
      <c r="R5162" s="5"/>
      <c r="S5162" s="5"/>
      <c r="T5162" s="5"/>
      <c r="U5162" s="5"/>
      <c r="V5162" s="5"/>
      <c r="W5162" s="5"/>
      <c r="X5162" s="5"/>
      <c r="Y5162" s="5"/>
      <c r="Z5162" s="5"/>
    </row>
    <row r="5163" spans="1:26" ht="15" x14ac:dyDescent="0.25">
      <c r="A5163" s="4" t="s">
        <v>5161</v>
      </c>
      <c r="B5163" s="4" t="s">
        <v>4550</v>
      </c>
      <c r="C5163" s="2" t="str">
        <f ca="1">IFERROR(__xludf.DUMMYFUNCTION("GOOGLETRANSLATE(A5163,""bn"",""en"")"),"No, I was very disappointed, I didn't expect the movie to disappoint like this")</f>
        <v>No, I was very disappointed, I didn't expect the movie to disappoint like this</v>
      </c>
      <c r="D5163" s="5"/>
      <c r="E5163" s="5"/>
      <c r="F5163" s="5"/>
      <c r="G5163" s="5"/>
      <c r="H5163" s="5"/>
      <c r="I5163" s="5"/>
      <c r="J5163" s="5"/>
      <c r="K5163" s="5"/>
      <c r="L5163" s="5"/>
      <c r="M5163" s="5"/>
      <c r="N5163" s="5"/>
      <c r="O5163" s="5"/>
      <c r="P5163" s="5"/>
      <c r="Q5163" s="5"/>
      <c r="R5163" s="5"/>
      <c r="S5163" s="5"/>
      <c r="T5163" s="5"/>
      <c r="U5163" s="5"/>
      <c r="V5163" s="5"/>
      <c r="W5163" s="5"/>
      <c r="X5163" s="5"/>
      <c r="Y5163" s="5"/>
      <c r="Z5163" s="5"/>
    </row>
    <row r="5164" spans="1:26" ht="15" x14ac:dyDescent="0.25">
      <c r="A5164" s="4" t="s">
        <v>5162</v>
      </c>
      <c r="B5164" s="4" t="s">
        <v>4550</v>
      </c>
      <c r="C5164" s="2" t="str">
        <f ca="1">IFERROR(__xludf.DUMMYFUNCTION("GOOGLETRANSLATE(A5164,""bn"",""en"")"),"After a long time, I saw a Bengali film. The film was actually very beautiful. Raat Jaga Satak Hall")</f>
        <v>After a long time, I saw a Bengali film. The film was actually very beautiful. Raat Jaga Satak Hall</v>
      </c>
      <c r="D5164" s="5"/>
      <c r="E5164" s="5"/>
      <c r="F5164" s="5"/>
      <c r="G5164" s="5"/>
      <c r="H5164" s="5"/>
      <c r="I5164" s="5"/>
      <c r="J5164" s="5"/>
      <c r="K5164" s="5"/>
      <c r="L5164" s="5"/>
      <c r="M5164" s="5"/>
      <c r="N5164" s="5"/>
      <c r="O5164" s="5"/>
      <c r="P5164" s="5"/>
      <c r="Q5164" s="5"/>
      <c r="R5164" s="5"/>
      <c r="S5164" s="5"/>
      <c r="T5164" s="5"/>
      <c r="U5164" s="5"/>
      <c r="V5164" s="5"/>
      <c r="W5164" s="5"/>
      <c r="X5164" s="5"/>
      <c r="Y5164" s="5"/>
      <c r="Z5164" s="5"/>
    </row>
    <row r="5165" spans="1:26" ht="15" x14ac:dyDescent="0.25">
      <c r="A5165" s="4" t="s">
        <v>5163</v>
      </c>
      <c r="B5165" s="4" t="s">
        <v>4550</v>
      </c>
      <c r="C5165" s="2" t="str">
        <f ca="1">IFERROR(__xludf.DUMMYFUNCTION("GOOGLETRANSLATE(A5165,""bn"",""en"")"),"Epic was a story movie")</f>
        <v>Epic was a story movie</v>
      </c>
      <c r="D5165" s="5"/>
      <c r="E5165" s="5"/>
      <c r="F5165" s="5"/>
      <c r="G5165" s="5"/>
      <c r="H5165" s="5"/>
      <c r="I5165" s="5"/>
      <c r="J5165" s="5"/>
      <c r="K5165" s="5"/>
      <c r="L5165" s="5"/>
      <c r="M5165" s="5"/>
      <c r="N5165" s="5"/>
      <c r="O5165" s="5"/>
      <c r="P5165" s="5"/>
      <c r="Q5165" s="5"/>
      <c r="R5165" s="5"/>
      <c r="S5165" s="5"/>
      <c r="T5165" s="5"/>
      <c r="U5165" s="5"/>
      <c r="V5165" s="5"/>
      <c r="W5165" s="5"/>
      <c r="X5165" s="5"/>
      <c r="Y5165" s="5"/>
      <c r="Z5165" s="5"/>
    </row>
    <row r="5166" spans="1:26" ht="15" x14ac:dyDescent="0.25">
      <c r="A5166" s="4" t="s">
        <v>5164</v>
      </c>
      <c r="B5166" s="4" t="s">
        <v>4550</v>
      </c>
      <c r="C5166" s="2" t="str">
        <f ca="1">IFERROR(__xludf.DUMMYFUNCTION("GOOGLETRANSLATE(A5166,""bn"",""en"")"),"Veda's daughter Zochana loved it so much may she live for hundred years and enjoy happiness")</f>
        <v>Veda's daughter Zochana loved it so much may she live for hundred years and enjoy happiness</v>
      </c>
      <c r="D5166" s="5"/>
      <c r="E5166" s="5"/>
      <c r="F5166" s="5"/>
      <c r="G5166" s="5"/>
      <c r="H5166" s="5"/>
      <c r="I5166" s="5"/>
      <c r="J5166" s="5"/>
      <c r="K5166" s="5"/>
      <c r="L5166" s="5"/>
      <c r="M5166" s="5"/>
      <c r="N5166" s="5"/>
      <c r="O5166" s="5"/>
      <c r="P5166" s="5"/>
      <c r="Q5166" s="5"/>
      <c r="R5166" s="5"/>
      <c r="S5166" s="5"/>
      <c r="T5166" s="5"/>
      <c r="U5166" s="5"/>
      <c r="V5166" s="5"/>
      <c r="W5166" s="5"/>
      <c r="X5166" s="5"/>
      <c r="Y5166" s="5"/>
      <c r="Z5166" s="5"/>
    </row>
    <row r="5167" spans="1:26" ht="15" x14ac:dyDescent="0.25">
      <c r="A5167" s="4" t="s">
        <v>5165</v>
      </c>
      <c r="B5167" s="4" t="s">
        <v>4550</v>
      </c>
      <c r="C5167" s="2" t="str">
        <f ca="1">IFERROR(__xludf.DUMMYFUNCTION("GOOGLETRANSLATE(A5167,""bn"",""en"")"),"I saw the picture of the chubby hero")</f>
        <v>I saw the picture of the chubby hero</v>
      </c>
      <c r="D5167" s="5"/>
      <c r="E5167" s="5"/>
      <c r="F5167" s="5"/>
      <c r="G5167" s="5"/>
      <c r="H5167" s="5"/>
      <c r="I5167" s="5"/>
      <c r="J5167" s="5"/>
      <c r="K5167" s="5"/>
      <c r="L5167" s="5"/>
      <c r="M5167" s="5"/>
      <c r="N5167" s="5"/>
      <c r="O5167" s="5"/>
      <c r="P5167" s="5"/>
      <c r="Q5167" s="5"/>
      <c r="R5167" s="5"/>
      <c r="S5167" s="5"/>
      <c r="T5167" s="5"/>
      <c r="U5167" s="5"/>
      <c r="V5167" s="5"/>
      <c r="W5167" s="5"/>
      <c r="X5167" s="5"/>
      <c r="Y5167" s="5"/>
      <c r="Z5167" s="5"/>
    </row>
    <row r="5168" spans="1:26" ht="15" x14ac:dyDescent="0.25">
      <c r="A5168" s="4" t="s">
        <v>5166</v>
      </c>
      <c r="B5168" s="4" t="s">
        <v>4550</v>
      </c>
      <c r="C5168" s="2" t="str">
        <f ca="1">IFERROR(__xludf.DUMMYFUNCTION("GOOGLETRANSLATE(A5168,""bn"",""en"")"),"This is the first time I saw this movie of Faltu Ekta Jeet Saathi Sangee Awara Handet Persen Love Josh Joor Wanted Hero Deewana Boss Naat Guru Saat Pak Bandha Pawar Champion These were his best movies.")</f>
        <v>This is the first time I saw this movie of Faltu Ekta Jeet Saathi Sangee Awara Handet Persen Love Josh Joor Wanted Hero Deewana Boss Naat Guru Saat Pak Bandha Pawar Champion These were his best movies.</v>
      </c>
      <c r="D5168" s="5"/>
      <c r="E5168" s="5"/>
      <c r="F5168" s="5"/>
      <c r="G5168" s="5"/>
      <c r="H5168" s="5"/>
      <c r="I5168" s="5"/>
      <c r="J5168" s="5"/>
      <c r="K5168" s="5"/>
      <c r="L5168" s="5"/>
      <c r="M5168" s="5"/>
      <c r="N5168" s="5"/>
      <c r="O5168" s="5"/>
      <c r="P5168" s="5"/>
      <c r="Q5168" s="5"/>
      <c r="R5168" s="5"/>
      <c r="S5168" s="5"/>
      <c r="T5168" s="5"/>
      <c r="U5168" s="5"/>
      <c r="V5168" s="5"/>
      <c r="W5168" s="5"/>
      <c r="X5168" s="5"/>
      <c r="Y5168" s="5"/>
      <c r="Z5168" s="5"/>
    </row>
    <row r="5169" spans="1:26" ht="15" x14ac:dyDescent="0.25">
      <c r="A5169" s="4" t="s">
        <v>5167</v>
      </c>
      <c r="B5169" s="4" t="s">
        <v>4550</v>
      </c>
      <c r="C5169" s="2" t="str">
        <f ca="1">IFERROR(__xludf.DUMMYFUNCTION("GOOGLETRANSLATE(A5169,""bn"",""en"")"),"The movie was very good especially towards the end")</f>
        <v>The movie was very good especially towards the end</v>
      </c>
      <c r="D5169" s="5"/>
      <c r="E5169" s="5"/>
      <c r="F5169" s="5"/>
      <c r="G5169" s="5"/>
      <c r="H5169" s="5"/>
      <c r="I5169" s="5"/>
      <c r="J5169" s="5"/>
      <c r="K5169" s="5"/>
      <c r="L5169" s="5"/>
      <c r="M5169" s="5"/>
      <c r="N5169" s="5"/>
      <c r="O5169" s="5"/>
      <c r="P5169" s="5"/>
      <c r="Q5169" s="5"/>
      <c r="R5169" s="5"/>
      <c r="S5169" s="5"/>
      <c r="T5169" s="5"/>
      <c r="U5169" s="5"/>
      <c r="V5169" s="5"/>
      <c r="W5169" s="5"/>
      <c r="X5169" s="5"/>
      <c r="Y5169" s="5"/>
      <c r="Z5169" s="5"/>
    </row>
    <row r="5170" spans="1:26" ht="15" x14ac:dyDescent="0.25">
      <c r="A5170" s="4" t="s">
        <v>5168</v>
      </c>
      <c r="B5170" s="4" t="s">
        <v>4550</v>
      </c>
      <c r="C5170" s="2" t="str">
        <f ca="1">IFERROR(__xludf.DUMMYFUNCTION("GOOGLETRANSLATE(A5170,""bn"",""en"")"),"I saw a beautiful Bengali movie with a good story")</f>
        <v>I saw a beautiful Bengali movie with a good story</v>
      </c>
      <c r="D5170" s="5"/>
      <c r="E5170" s="5"/>
      <c r="F5170" s="5"/>
      <c r="G5170" s="5"/>
      <c r="H5170" s="5"/>
      <c r="I5170" s="5"/>
      <c r="J5170" s="5"/>
      <c r="K5170" s="5"/>
      <c r="L5170" s="5"/>
      <c r="M5170" s="5"/>
      <c r="N5170" s="5"/>
      <c r="O5170" s="5"/>
      <c r="P5170" s="5"/>
      <c r="Q5170" s="5"/>
      <c r="R5170" s="5"/>
      <c r="S5170" s="5"/>
      <c r="T5170" s="5"/>
      <c r="U5170" s="5"/>
      <c r="V5170" s="5"/>
      <c r="W5170" s="5"/>
      <c r="X5170" s="5"/>
      <c r="Y5170" s="5"/>
      <c r="Z5170" s="5"/>
    </row>
    <row r="5171" spans="1:26" ht="15" x14ac:dyDescent="0.25">
      <c r="A5171" s="4" t="s">
        <v>5169</v>
      </c>
      <c r="B5171" s="4" t="s">
        <v>4550</v>
      </c>
      <c r="C5171" s="2" t="str">
        <f ca="1">IFERROR(__xludf.DUMMYFUNCTION("GOOGLETRANSLATE(A5171,""bn"",""en"")"),"The story was average except for Rajtav and Deepak da acting was of poor quality director should have seen his own film two or three times it would have benefited him in future")</f>
        <v>The story was average except for Rajtav and Deepak da acting was of poor quality director should have seen his own film two or three times it would have benefited him in future</v>
      </c>
      <c r="D5171" s="5"/>
      <c r="E5171" s="5"/>
      <c r="F5171" s="5"/>
      <c r="G5171" s="5"/>
      <c r="H5171" s="5"/>
      <c r="I5171" s="5"/>
      <c r="J5171" s="5"/>
      <c r="K5171" s="5"/>
      <c r="L5171" s="5"/>
      <c r="M5171" s="5"/>
      <c r="N5171" s="5"/>
      <c r="O5171" s="5"/>
      <c r="P5171" s="5"/>
      <c r="Q5171" s="5"/>
      <c r="R5171" s="5"/>
      <c r="S5171" s="5"/>
      <c r="T5171" s="5"/>
      <c r="U5171" s="5"/>
      <c r="V5171" s="5"/>
      <c r="W5171" s="5"/>
      <c r="X5171" s="5"/>
      <c r="Y5171" s="5"/>
      <c r="Z5171" s="5"/>
    </row>
    <row r="5172" spans="1:26" ht="15" x14ac:dyDescent="0.25">
      <c r="A5172" s="4" t="s">
        <v>5170</v>
      </c>
      <c r="B5172" s="4" t="s">
        <v>4550</v>
      </c>
      <c r="C5172" s="2" t="str">
        <f ca="1">IFERROR(__xludf.DUMMYFUNCTION("GOOGLETRANSLATE(A5172,""bn"",""en"")"),"It was a dizzying movie")</f>
        <v>It was a dizzying movie</v>
      </c>
      <c r="D5172" s="5"/>
      <c r="E5172" s="5"/>
      <c r="F5172" s="5"/>
      <c r="G5172" s="5"/>
      <c r="H5172" s="5"/>
      <c r="I5172" s="5"/>
      <c r="J5172" s="5"/>
      <c r="K5172" s="5"/>
      <c r="L5172" s="5"/>
      <c r="M5172" s="5"/>
      <c r="N5172" s="5"/>
      <c r="O5172" s="5"/>
      <c r="P5172" s="5"/>
      <c r="Q5172" s="5"/>
      <c r="R5172" s="5"/>
      <c r="S5172" s="5"/>
      <c r="T5172" s="5"/>
      <c r="U5172" s="5"/>
      <c r="V5172" s="5"/>
      <c r="W5172" s="5"/>
      <c r="X5172" s="5"/>
      <c r="Y5172" s="5"/>
      <c r="Z5172" s="5"/>
    </row>
    <row r="5173" spans="1:26" ht="15" x14ac:dyDescent="0.25">
      <c r="A5173" s="4" t="s">
        <v>5171</v>
      </c>
      <c r="B5173" s="4" t="s">
        <v>4550</v>
      </c>
      <c r="C5173" s="2" t="str">
        <f ca="1">IFERROR(__xludf.DUMMYFUNCTION("GOOGLETRANSLATE(A5173,""bn"",""en"")"),"I watched this movie without account and I still love it")</f>
        <v>I watched this movie without account and I still love it</v>
      </c>
      <c r="D5173" s="5"/>
      <c r="E5173" s="5"/>
      <c r="F5173" s="5"/>
      <c r="G5173" s="5"/>
      <c r="H5173" s="5"/>
      <c r="I5173" s="5"/>
      <c r="J5173" s="5"/>
      <c r="K5173" s="5"/>
      <c r="L5173" s="5"/>
      <c r="M5173" s="5"/>
      <c r="N5173" s="5"/>
      <c r="O5173" s="5"/>
      <c r="P5173" s="5"/>
      <c r="Q5173" s="5"/>
      <c r="R5173" s="5"/>
      <c r="S5173" s="5"/>
      <c r="T5173" s="5"/>
      <c r="U5173" s="5"/>
      <c r="V5173" s="5"/>
      <c r="W5173" s="5"/>
      <c r="X5173" s="5"/>
      <c r="Y5173" s="5"/>
      <c r="Z5173" s="5"/>
    </row>
    <row r="5174" spans="1:26" ht="15" x14ac:dyDescent="0.25">
      <c r="A5174" s="4" t="s">
        <v>5172</v>
      </c>
      <c r="B5174" s="4" t="s">
        <v>4550</v>
      </c>
      <c r="C5174" s="2" t="str">
        <f ca="1">IFERROR(__xludf.DUMMYFUNCTION("GOOGLETRANSLATE(A5174,""bn"",""en"")"),"The movie was an inspiration to me and the success that can be achieved after facing any kind of problems in life was shown through the movie.")</f>
        <v>The movie was an inspiration to me and the success that can be achieved after facing any kind of problems in life was shown through the movie.</v>
      </c>
      <c r="D5174" s="5"/>
      <c r="E5174" s="5"/>
      <c r="F5174" s="5"/>
      <c r="G5174" s="5"/>
      <c r="H5174" s="5"/>
      <c r="I5174" s="5"/>
      <c r="J5174" s="5"/>
      <c r="K5174" s="5"/>
      <c r="L5174" s="5"/>
      <c r="M5174" s="5"/>
      <c r="N5174" s="5"/>
      <c r="O5174" s="5"/>
      <c r="P5174" s="5"/>
      <c r="Q5174" s="5"/>
      <c r="R5174" s="5"/>
      <c r="S5174" s="5"/>
      <c r="T5174" s="5"/>
      <c r="U5174" s="5"/>
      <c r="V5174" s="5"/>
      <c r="W5174" s="5"/>
      <c r="X5174" s="5"/>
      <c r="Y5174" s="5"/>
      <c r="Z5174" s="5"/>
    </row>
    <row r="5175" spans="1:26" ht="15" x14ac:dyDescent="0.25">
      <c r="A5175" s="4" t="s">
        <v>5173</v>
      </c>
      <c r="B5175" s="4" t="s">
        <v>4550</v>
      </c>
      <c r="C5175" s="2" t="str">
        <f ca="1">IFERROR(__xludf.DUMMYFUNCTION("GOOGLETRANSLATE(A5175,""bn"",""en"")"),"A beautiful aspect of the film was that the two villains were the coaches of the two teams")</f>
        <v>A beautiful aspect of the film was that the two villains were the coaches of the two teams</v>
      </c>
      <c r="D5175" s="5"/>
      <c r="E5175" s="5"/>
      <c r="F5175" s="5"/>
      <c r="G5175" s="5"/>
      <c r="H5175" s="5"/>
      <c r="I5175" s="5"/>
      <c r="J5175" s="5"/>
      <c r="K5175" s="5"/>
      <c r="L5175" s="5"/>
      <c r="M5175" s="5"/>
      <c r="N5175" s="5"/>
      <c r="O5175" s="5"/>
      <c r="P5175" s="5"/>
      <c r="Q5175" s="5"/>
      <c r="R5175" s="5"/>
      <c r="S5175" s="5"/>
      <c r="T5175" s="5"/>
      <c r="U5175" s="5"/>
      <c r="V5175" s="5"/>
      <c r="W5175" s="5"/>
      <c r="X5175" s="5"/>
      <c r="Y5175" s="5"/>
      <c r="Z5175" s="5"/>
    </row>
    <row r="5176" spans="1:26" ht="15" x14ac:dyDescent="0.25">
      <c r="A5176" s="4" t="s">
        <v>5174</v>
      </c>
      <c r="B5176" s="4" t="s">
        <v>4550</v>
      </c>
      <c r="C5176" s="2" t="str">
        <f ca="1">IFERROR(__xludf.DUMMYFUNCTION("GOOGLETRANSLATE(A5176,""bn"",""en"")"),"Nothing moved then without copies by us")</f>
        <v>Nothing moved then without copies by us</v>
      </c>
      <c r="D5176" s="5"/>
      <c r="E5176" s="5"/>
      <c r="F5176" s="5"/>
      <c r="G5176" s="5"/>
      <c r="H5176" s="5"/>
      <c r="I5176" s="5"/>
      <c r="J5176" s="5"/>
      <c r="K5176" s="5"/>
      <c r="L5176" s="5"/>
      <c r="M5176" s="5"/>
      <c r="N5176" s="5"/>
      <c r="O5176" s="5"/>
      <c r="P5176" s="5"/>
      <c r="Q5176" s="5"/>
      <c r="R5176" s="5"/>
      <c r="S5176" s="5"/>
      <c r="T5176" s="5"/>
      <c r="U5176" s="5"/>
      <c r="V5176" s="5"/>
      <c r="W5176" s="5"/>
      <c r="X5176" s="5"/>
      <c r="Y5176" s="5"/>
      <c r="Z5176" s="5"/>
    </row>
    <row r="5177" spans="1:26" ht="15" x14ac:dyDescent="0.25">
      <c r="A5177" s="4" t="s">
        <v>5175</v>
      </c>
      <c r="B5177" s="4" t="s">
        <v>4550</v>
      </c>
      <c r="C5177" s="2" t="str">
        <f ca="1">IFERROR(__xludf.DUMMYFUNCTION("GOOGLETRANSLATE(A5177,""bn"",""en"")"),"I was in tears when I first saw it and still can't stop crying when I see it, this picture really doesn't compare.")</f>
        <v>I was in tears when I first saw it and still can't stop crying when I see it, this picture really doesn't compare.</v>
      </c>
      <c r="D5177" s="5"/>
      <c r="E5177" s="5"/>
      <c r="F5177" s="5"/>
      <c r="G5177" s="5"/>
      <c r="H5177" s="5"/>
      <c r="I5177" s="5"/>
      <c r="J5177" s="5"/>
      <c r="K5177" s="5"/>
      <c r="L5177" s="5"/>
      <c r="M5177" s="5"/>
      <c r="N5177" s="5"/>
      <c r="O5177" s="5"/>
      <c r="P5177" s="5"/>
      <c r="Q5177" s="5"/>
      <c r="R5177" s="5"/>
      <c r="S5177" s="5"/>
      <c r="T5177" s="5"/>
      <c r="U5177" s="5"/>
      <c r="V5177" s="5"/>
      <c r="W5177" s="5"/>
      <c r="X5177" s="5"/>
      <c r="Y5177" s="5"/>
      <c r="Z5177" s="5"/>
    </row>
    <row r="5178" spans="1:26" ht="15" x14ac:dyDescent="0.25">
      <c r="A5178" s="4" t="s">
        <v>5176</v>
      </c>
      <c r="B5178" s="4" t="s">
        <v>4550</v>
      </c>
      <c r="C5178" s="2" t="str">
        <f ca="1">IFERROR(__xludf.DUMMYFUNCTION("GOOGLETRANSLATE(A5178,""bn"",""en"")"),"I did not understand the famine of taste or the generation here")</f>
        <v>I did not understand the famine of taste or the generation here</v>
      </c>
      <c r="D5178" s="5"/>
      <c r="E5178" s="5"/>
      <c r="F5178" s="5"/>
      <c r="G5178" s="5"/>
      <c r="H5178" s="5"/>
      <c r="I5178" s="5"/>
      <c r="J5178" s="5"/>
      <c r="K5178" s="5"/>
      <c r="L5178" s="5"/>
      <c r="M5178" s="5"/>
      <c r="N5178" s="5"/>
      <c r="O5178" s="5"/>
      <c r="P5178" s="5"/>
      <c r="Q5178" s="5"/>
      <c r="R5178" s="5"/>
      <c r="S5178" s="5"/>
      <c r="T5178" s="5"/>
      <c r="U5178" s="5"/>
      <c r="V5178" s="5"/>
      <c r="W5178" s="5"/>
      <c r="X5178" s="5"/>
      <c r="Y5178" s="5"/>
      <c r="Z5178" s="5"/>
    </row>
    <row r="5179" spans="1:26" ht="15" x14ac:dyDescent="0.25">
      <c r="A5179" s="4" t="s">
        <v>5177</v>
      </c>
      <c r="B5179" s="4" t="s">
        <v>4550</v>
      </c>
      <c r="C5179" s="2" t="str">
        <f ca="1">IFERROR(__xludf.DUMMYFUNCTION("GOOGLETRANSLATE(A5179,""bn"",""en"")"),"Oh, how colorful were the pictures of the nineteenth century")</f>
        <v>Oh, how colorful were the pictures of the nineteenth century</v>
      </c>
      <c r="D5179" s="5"/>
      <c r="E5179" s="5"/>
      <c r="F5179" s="5"/>
      <c r="G5179" s="5"/>
      <c r="H5179" s="5"/>
      <c r="I5179" s="5"/>
      <c r="J5179" s="5"/>
      <c r="K5179" s="5"/>
      <c r="L5179" s="5"/>
      <c r="M5179" s="5"/>
      <c r="N5179" s="5"/>
      <c r="O5179" s="5"/>
      <c r="P5179" s="5"/>
      <c r="Q5179" s="5"/>
      <c r="R5179" s="5"/>
      <c r="S5179" s="5"/>
      <c r="T5179" s="5"/>
      <c r="U5179" s="5"/>
      <c r="V5179" s="5"/>
      <c r="W5179" s="5"/>
      <c r="X5179" s="5"/>
      <c r="Y5179" s="5"/>
      <c r="Z5179" s="5"/>
    </row>
    <row r="5180" spans="1:26" ht="15" x14ac:dyDescent="0.25">
      <c r="A5180" s="4" t="s">
        <v>5178</v>
      </c>
      <c r="B5180" s="4" t="s">
        <v>4550</v>
      </c>
      <c r="C5180" s="2" t="str">
        <f ca="1">IFERROR(__xludf.DUMMYFUNCTION("GOOGLETRANSLATE(A5180,""bn"",""en"")"),"The most romantic hero in the history of Bengali cinema is called Raj Razzak, an ideal hero to be proud of.")</f>
        <v>The most romantic hero in the history of Bengali cinema is called Raj Razzak, an ideal hero to be proud of.</v>
      </c>
      <c r="D5180" s="5"/>
      <c r="E5180" s="5"/>
      <c r="F5180" s="5"/>
      <c r="G5180" s="5"/>
      <c r="H5180" s="5"/>
      <c r="I5180" s="5"/>
      <c r="J5180" s="5"/>
      <c r="K5180" s="5"/>
      <c r="L5180" s="5"/>
      <c r="M5180" s="5"/>
      <c r="N5180" s="5"/>
      <c r="O5180" s="5"/>
      <c r="P5180" s="5"/>
      <c r="Q5180" s="5"/>
      <c r="R5180" s="5"/>
      <c r="S5180" s="5"/>
      <c r="T5180" s="5"/>
      <c r="U5180" s="5"/>
      <c r="V5180" s="5"/>
      <c r="W5180" s="5"/>
      <c r="X5180" s="5"/>
      <c r="Y5180" s="5"/>
      <c r="Z5180" s="5"/>
    </row>
    <row r="5181" spans="1:26" ht="15" x14ac:dyDescent="0.25">
      <c r="A5181" s="4" t="s">
        <v>5179</v>
      </c>
      <c r="B5181" s="4" t="s">
        <v>4550</v>
      </c>
      <c r="C5181" s="2" t="str">
        <f ca="1">IFERROR(__xludf.DUMMYFUNCTION("GOOGLETRANSLATE(A5181,""bn"",""en"")"),"It was a great educational movie which is not compared to today's movies. Loved the last part")</f>
        <v>It was a great educational movie which is not compared to today's movies. Loved the last part</v>
      </c>
      <c r="D5181" s="5"/>
      <c r="E5181" s="5"/>
      <c r="F5181" s="5"/>
      <c r="G5181" s="5"/>
      <c r="H5181" s="5"/>
      <c r="I5181" s="5"/>
      <c r="J5181" s="5"/>
      <c r="K5181" s="5"/>
      <c r="L5181" s="5"/>
      <c r="M5181" s="5"/>
      <c r="N5181" s="5"/>
      <c r="O5181" s="5"/>
      <c r="P5181" s="5"/>
      <c r="Q5181" s="5"/>
      <c r="R5181" s="5"/>
      <c r="S5181" s="5"/>
      <c r="T5181" s="5"/>
      <c r="U5181" s="5"/>
      <c r="V5181" s="5"/>
      <c r="W5181" s="5"/>
      <c r="X5181" s="5"/>
      <c r="Y5181" s="5"/>
      <c r="Z5181" s="5"/>
    </row>
    <row r="5182" spans="1:26" ht="15" x14ac:dyDescent="0.25">
      <c r="A5182" s="4" t="s">
        <v>5180</v>
      </c>
      <c r="B5182" s="4" t="s">
        <v>4550</v>
      </c>
      <c r="C5182" s="2" t="str">
        <f ca="1">IFERROR(__xludf.DUMMYFUNCTION("GOOGLETRANSLATE(A5182,""bn"",""en"")"),"The movie was good, the conceit needed to be understood by those who did it")</f>
        <v>The movie was good, the conceit needed to be understood by those who did it</v>
      </c>
      <c r="D5182" s="5"/>
      <c r="E5182" s="5"/>
      <c r="F5182" s="5"/>
      <c r="G5182" s="5"/>
      <c r="H5182" s="5"/>
      <c r="I5182" s="5"/>
      <c r="J5182" s="5"/>
      <c r="K5182" s="5"/>
      <c r="L5182" s="5"/>
      <c r="M5182" s="5"/>
      <c r="N5182" s="5"/>
      <c r="O5182" s="5"/>
      <c r="P5182" s="5"/>
      <c r="Q5182" s="5"/>
      <c r="R5182" s="5"/>
      <c r="S5182" s="5"/>
      <c r="T5182" s="5"/>
      <c r="U5182" s="5"/>
      <c r="V5182" s="5"/>
      <c r="W5182" s="5"/>
      <c r="X5182" s="5"/>
      <c r="Y5182" s="5"/>
      <c r="Z5182" s="5"/>
    </row>
    <row r="5183" spans="1:26" ht="15" x14ac:dyDescent="0.25">
      <c r="A5183" s="4" t="s">
        <v>5181</v>
      </c>
      <c r="B5183" s="4" t="s">
        <v>4550</v>
      </c>
      <c r="C5183" s="2" t="str">
        <f ca="1">IFERROR(__xludf.DUMMYFUNCTION("GOOGLETRANSLATE(A5183,""bn"",""en"")"),"This picture was very dear to me because I had a lot of trouble while watching the picture. It was very far.")</f>
        <v>This picture was very dear to me because I had a lot of trouble while watching the picture. It was very far.</v>
      </c>
      <c r="D5183" s="5"/>
      <c r="E5183" s="5"/>
      <c r="F5183" s="5"/>
      <c r="G5183" s="5"/>
      <c r="H5183" s="5"/>
      <c r="I5183" s="5"/>
      <c r="J5183" s="5"/>
      <c r="K5183" s="5"/>
      <c r="L5183" s="5"/>
      <c r="M5183" s="5"/>
      <c r="N5183" s="5"/>
      <c r="O5183" s="5"/>
      <c r="P5183" s="5"/>
      <c r="Q5183" s="5"/>
      <c r="R5183" s="5"/>
      <c r="S5183" s="5"/>
      <c r="T5183" s="5"/>
      <c r="U5183" s="5"/>
      <c r="V5183" s="5"/>
      <c r="W5183" s="5"/>
      <c r="X5183" s="5"/>
      <c r="Y5183" s="5"/>
      <c r="Z5183" s="5"/>
    </row>
    <row r="5184" spans="1:26" ht="15" x14ac:dyDescent="0.25">
      <c r="A5184" s="4" t="s">
        <v>5182</v>
      </c>
      <c r="B5184" s="4" t="s">
        <v>4550</v>
      </c>
      <c r="C5184" s="2" t="str">
        <f ca="1">IFERROR(__xludf.DUMMYFUNCTION("GOOGLETRANSLATE(A5184,""bn"",""en"")"),"Seeing the story of the heart-wrenching film filled my heart, and at the same time, I felt pain watching the film")</f>
        <v>Seeing the story of the heart-wrenching film filled my heart, and at the same time, I felt pain watching the film</v>
      </c>
      <c r="D5184" s="5"/>
      <c r="E5184" s="5"/>
      <c r="F5184" s="5"/>
      <c r="G5184" s="5"/>
      <c r="H5184" s="5"/>
      <c r="I5184" s="5"/>
      <c r="J5184" s="5"/>
      <c r="K5184" s="5"/>
      <c r="L5184" s="5"/>
      <c r="M5184" s="5"/>
      <c r="N5184" s="5"/>
      <c r="O5184" s="5"/>
      <c r="P5184" s="5"/>
      <c r="Q5184" s="5"/>
      <c r="R5184" s="5"/>
      <c r="S5184" s="5"/>
      <c r="T5184" s="5"/>
      <c r="U5184" s="5"/>
      <c r="V5184" s="5"/>
      <c r="W5184" s="5"/>
      <c r="X5184" s="5"/>
      <c r="Y5184" s="5"/>
      <c r="Z5184" s="5"/>
    </row>
    <row r="5185" spans="1:26" ht="15" x14ac:dyDescent="0.25">
      <c r="A5185" s="4" t="s">
        <v>5183</v>
      </c>
      <c r="B5185" s="4" t="s">
        <v>4550</v>
      </c>
      <c r="C5185" s="2" t="str">
        <f ca="1">IFERROR(__xludf.DUMMYFUNCTION("GOOGLETRANSLATE(A5185,""bn"",""en"")"),"It was the sinless movie")</f>
        <v>It was the sinless movie</v>
      </c>
      <c r="D5185" s="5"/>
      <c r="E5185" s="5"/>
      <c r="F5185" s="5"/>
      <c r="G5185" s="5"/>
      <c r="H5185" s="5"/>
      <c r="I5185" s="5"/>
      <c r="J5185" s="5"/>
      <c r="K5185" s="5"/>
      <c r="L5185" s="5"/>
      <c r="M5185" s="5"/>
      <c r="N5185" s="5"/>
      <c r="O5185" s="5"/>
      <c r="P5185" s="5"/>
      <c r="Q5185" s="5"/>
      <c r="R5185" s="5"/>
      <c r="S5185" s="5"/>
      <c r="T5185" s="5"/>
      <c r="U5185" s="5"/>
      <c r="V5185" s="5"/>
      <c r="W5185" s="5"/>
      <c r="X5185" s="5"/>
      <c r="Y5185" s="5"/>
      <c r="Z5185" s="5"/>
    </row>
    <row r="5186" spans="1:26" ht="15" x14ac:dyDescent="0.25">
      <c r="A5186" s="4" t="s">
        <v>5184</v>
      </c>
      <c r="B5186" s="4" t="s">
        <v>4550</v>
      </c>
      <c r="C5186" s="2" t="str">
        <f ca="1">IFERROR(__xludf.DUMMYFUNCTION("GOOGLETRANSLATE(A5186,""bn"",""en"")"),"Anant Jalil gave him a flat, gave him a car and gave him a house")</f>
        <v>Anant Jalil gave him a flat, gave him a car and gave him a house</v>
      </c>
      <c r="D5186" s="5"/>
      <c r="E5186" s="5"/>
      <c r="F5186" s="5"/>
      <c r="G5186" s="5"/>
      <c r="H5186" s="5"/>
      <c r="I5186" s="5"/>
      <c r="J5186" s="5"/>
      <c r="K5186" s="5"/>
      <c r="L5186" s="5"/>
      <c r="M5186" s="5"/>
      <c r="N5186" s="5"/>
      <c r="O5186" s="5"/>
      <c r="P5186" s="5"/>
      <c r="Q5186" s="5"/>
      <c r="R5186" s="5"/>
      <c r="S5186" s="5"/>
      <c r="T5186" s="5"/>
      <c r="U5186" s="5"/>
      <c r="V5186" s="5"/>
      <c r="W5186" s="5"/>
      <c r="X5186" s="5"/>
      <c r="Y5186" s="5"/>
      <c r="Z5186" s="5"/>
    </row>
    <row r="5187" spans="1:26" ht="15" x14ac:dyDescent="0.25">
      <c r="A5187" s="4" t="s">
        <v>5185</v>
      </c>
      <c r="B5187" s="4" t="s">
        <v>4550</v>
      </c>
      <c r="C5187" s="2" t="str">
        <f ca="1">IFERROR(__xludf.DUMMYFUNCTION("GOOGLETRANSLATE(A5187,""bn"",""en"")"),"The story was very funny")</f>
        <v>The story was very funny</v>
      </c>
      <c r="D5187" s="5"/>
      <c r="E5187" s="5"/>
      <c r="F5187" s="5"/>
      <c r="G5187" s="5"/>
      <c r="H5187" s="5"/>
      <c r="I5187" s="5"/>
      <c r="J5187" s="5"/>
      <c r="K5187" s="5"/>
      <c r="L5187" s="5"/>
      <c r="M5187" s="5"/>
      <c r="N5187" s="5"/>
      <c r="O5187" s="5"/>
      <c r="P5187" s="5"/>
      <c r="Q5187" s="5"/>
      <c r="R5187" s="5"/>
      <c r="S5187" s="5"/>
      <c r="T5187" s="5"/>
      <c r="U5187" s="5"/>
      <c r="V5187" s="5"/>
      <c r="W5187" s="5"/>
      <c r="X5187" s="5"/>
      <c r="Y5187" s="5"/>
      <c r="Z5187" s="5"/>
    </row>
    <row r="5188" spans="1:26" ht="15" x14ac:dyDescent="0.25">
      <c r="A5188" s="4" t="s">
        <v>5186</v>
      </c>
      <c r="B5188" s="4" t="s">
        <v>4550</v>
      </c>
      <c r="C5188" s="2" t="str">
        <f ca="1">IFERROR(__xludf.DUMMYFUNCTION("GOOGLETRANSLATE(A5188,""bn"",""en"")"),"I used to miss those days so much. Why are the days gone?")</f>
        <v>I used to miss those days so much. Why are the days gone?</v>
      </c>
      <c r="D5188" s="5"/>
      <c r="E5188" s="5"/>
      <c r="F5188" s="5"/>
      <c r="G5188" s="5"/>
      <c r="H5188" s="5"/>
      <c r="I5188" s="5"/>
      <c r="J5188" s="5"/>
      <c r="K5188" s="5"/>
      <c r="L5188" s="5"/>
      <c r="M5188" s="5"/>
      <c r="N5188" s="5"/>
      <c r="O5188" s="5"/>
      <c r="P5188" s="5"/>
      <c r="Q5188" s="5"/>
      <c r="R5188" s="5"/>
      <c r="S5188" s="5"/>
      <c r="T5188" s="5"/>
      <c r="U5188" s="5"/>
      <c r="V5188" s="5"/>
      <c r="W5188" s="5"/>
      <c r="X5188" s="5"/>
      <c r="Y5188" s="5"/>
      <c r="Z5188" s="5"/>
    </row>
    <row r="5189" spans="1:26" ht="15" x14ac:dyDescent="0.25">
      <c r="A5189" s="4" t="s">
        <v>5187</v>
      </c>
      <c r="B5189" s="4" t="s">
        <v>4550</v>
      </c>
      <c r="C5189" s="2" t="str">
        <f ca="1">IFERROR(__xludf.DUMMYFUNCTION("GOOGLETRANSLATE(A5189,""bn"",""en"")"),"People used to feel attracted towards the movie by watching the songs of a movie but here the songs were bad")</f>
        <v>People used to feel attracted towards the movie by watching the songs of a movie but here the songs were bad</v>
      </c>
      <c r="D5189" s="5"/>
      <c r="E5189" s="5"/>
      <c r="F5189" s="5"/>
      <c r="G5189" s="5"/>
      <c r="H5189" s="5"/>
      <c r="I5189" s="5"/>
      <c r="J5189" s="5"/>
      <c r="K5189" s="5"/>
      <c r="L5189" s="5"/>
      <c r="M5189" s="5"/>
      <c r="N5189" s="5"/>
      <c r="O5189" s="5"/>
      <c r="P5189" s="5"/>
      <c r="Q5189" s="5"/>
      <c r="R5189" s="5"/>
      <c r="S5189" s="5"/>
      <c r="T5189" s="5"/>
      <c r="U5189" s="5"/>
      <c r="V5189" s="5"/>
      <c r="W5189" s="5"/>
      <c r="X5189" s="5"/>
      <c r="Y5189" s="5"/>
      <c r="Z5189" s="5"/>
    </row>
    <row r="5190" spans="1:26" ht="15" x14ac:dyDescent="0.25">
      <c r="A5190" s="4" t="s">
        <v>5188</v>
      </c>
      <c r="B5190" s="4" t="s">
        <v>4550</v>
      </c>
      <c r="C5190" s="2" t="str">
        <f ca="1">IFERROR(__xludf.DUMMYFUNCTION("GOOGLETRANSLATE(A5190,""bn"",""en"")"),"It was the most perfect movie I have seen in my life")</f>
        <v>It was the most perfect movie I have seen in my life</v>
      </c>
      <c r="D5190" s="5"/>
      <c r="E5190" s="5"/>
      <c r="F5190" s="5"/>
      <c r="G5190" s="5"/>
      <c r="H5190" s="5"/>
      <c r="I5190" s="5"/>
      <c r="J5190" s="5"/>
      <c r="K5190" s="5"/>
      <c r="L5190" s="5"/>
      <c r="M5190" s="5"/>
      <c r="N5190" s="5"/>
      <c r="O5190" s="5"/>
      <c r="P5190" s="5"/>
      <c r="Q5190" s="5"/>
      <c r="R5190" s="5"/>
      <c r="S5190" s="5"/>
      <c r="T5190" s="5"/>
      <c r="U5190" s="5"/>
      <c r="V5190" s="5"/>
      <c r="W5190" s="5"/>
      <c r="X5190" s="5"/>
      <c r="Y5190" s="5"/>
      <c r="Z5190" s="5"/>
    </row>
    <row r="5191" spans="1:26" ht="15" x14ac:dyDescent="0.25">
      <c r="A5191" s="4" t="s">
        <v>5189</v>
      </c>
      <c r="B5191" s="4" t="s">
        <v>4550</v>
      </c>
      <c r="C5191" s="2" t="str">
        <f ca="1">IFERROR(__xludf.DUMMYFUNCTION("GOOGLETRANSLATE(A5191,""bn"",""en"")"),"I didn't watch much Bengali movies, but these kind of movies used to touch my heart")</f>
        <v>I didn't watch much Bengali movies, but these kind of movies used to touch my heart</v>
      </c>
      <c r="D5191" s="5"/>
      <c r="E5191" s="5"/>
      <c r="F5191" s="5"/>
      <c r="G5191" s="5"/>
      <c r="H5191" s="5"/>
      <c r="I5191" s="5"/>
      <c r="J5191" s="5"/>
      <c r="K5191" s="5"/>
      <c r="L5191" s="5"/>
      <c r="M5191" s="5"/>
      <c r="N5191" s="5"/>
      <c r="O5191" s="5"/>
      <c r="P5191" s="5"/>
      <c r="Q5191" s="5"/>
      <c r="R5191" s="5"/>
      <c r="S5191" s="5"/>
      <c r="T5191" s="5"/>
      <c r="U5191" s="5"/>
      <c r="V5191" s="5"/>
      <c r="W5191" s="5"/>
      <c r="X5191" s="5"/>
      <c r="Y5191" s="5"/>
      <c r="Z5191" s="5"/>
    </row>
    <row r="5192" spans="1:26" ht="15" x14ac:dyDescent="0.25">
      <c r="A5192" s="4" t="s">
        <v>5190</v>
      </c>
      <c r="B5192" s="4" t="s">
        <v>4550</v>
      </c>
      <c r="C5192" s="2" t="str">
        <f ca="1">IFERROR(__xludf.DUMMYFUNCTION("GOOGLETRANSLATE(A5192,""bn"",""en"")"),"I really liked the movie, I got a lot of peace watching the movie")</f>
        <v>I really liked the movie, I got a lot of peace watching the movie</v>
      </c>
      <c r="D5192" s="5"/>
      <c r="E5192" s="5"/>
      <c r="F5192" s="5"/>
      <c r="G5192" s="5"/>
      <c r="H5192" s="5"/>
      <c r="I5192" s="5"/>
      <c r="J5192" s="5"/>
      <c r="K5192" s="5"/>
      <c r="L5192" s="5"/>
      <c r="M5192" s="5"/>
      <c r="N5192" s="5"/>
      <c r="O5192" s="5"/>
      <c r="P5192" s="5"/>
      <c r="Q5192" s="5"/>
      <c r="R5192" s="5"/>
      <c r="S5192" s="5"/>
      <c r="T5192" s="5"/>
      <c r="U5192" s="5"/>
      <c r="V5192" s="5"/>
      <c r="W5192" s="5"/>
      <c r="X5192" s="5"/>
      <c r="Y5192" s="5"/>
      <c r="Z5192" s="5"/>
    </row>
    <row r="5193" spans="1:26" ht="15" x14ac:dyDescent="0.25">
      <c r="A5193" s="4" t="s">
        <v>5191</v>
      </c>
      <c r="B5193" s="4" t="s">
        <v>4550</v>
      </c>
      <c r="C5193" s="2" t="str">
        <f ca="1">IFERROR(__xludf.DUMMYFUNCTION("GOOGLETRANSLATE(A5193,""bn"",""en"")"),"It was such a mind blowing movie that I watched it again after watching it twice")</f>
        <v>It was such a mind blowing movie that I watched it again after watching it twice</v>
      </c>
      <c r="D5193" s="5"/>
      <c r="E5193" s="5"/>
      <c r="F5193" s="5"/>
      <c r="G5193" s="5"/>
      <c r="H5193" s="5"/>
      <c r="I5193" s="5"/>
      <c r="J5193" s="5"/>
      <c r="K5193" s="5"/>
      <c r="L5193" s="5"/>
      <c r="M5193" s="5"/>
      <c r="N5193" s="5"/>
      <c r="O5193" s="5"/>
      <c r="P5193" s="5"/>
      <c r="Q5193" s="5"/>
      <c r="R5193" s="5"/>
      <c r="S5193" s="5"/>
      <c r="T5193" s="5"/>
      <c r="U5193" s="5"/>
      <c r="V5193" s="5"/>
      <c r="W5193" s="5"/>
      <c r="X5193" s="5"/>
      <c r="Y5193" s="5"/>
      <c r="Z5193" s="5"/>
    </row>
    <row r="5194" spans="1:26" ht="15" x14ac:dyDescent="0.25">
      <c r="A5194" s="4" t="s">
        <v>5192</v>
      </c>
      <c r="B5194" s="4" t="s">
        <v>4550</v>
      </c>
      <c r="C5194" s="2" t="str">
        <f ca="1">IFERROR(__xludf.DUMMYFUNCTION("GOOGLETRANSLATE(A5194,""bn"",""en"")"),"The drama would have been a thousand times better than this as there were so many fouls")</f>
        <v>The drama would have been a thousand times better than this as there were so many fouls</v>
      </c>
      <c r="D5194" s="5"/>
      <c r="E5194" s="5"/>
      <c r="F5194" s="5"/>
      <c r="G5194" s="5"/>
      <c r="H5194" s="5"/>
      <c r="I5194" s="5"/>
      <c r="J5194" s="5"/>
      <c r="K5194" s="5"/>
      <c r="L5194" s="5"/>
      <c r="M5194" s="5"/>
      <c r="N5194" s="5"/>
      <c r="O5194" s="5"/>
      <c r="P5194" s="5"/>
      <c r="Q5194" s="5"/>
      <c r="R5194" s="5"/>
      <c r="S5194" s="5"/>
      <c r="T5194" s="5"/>
      <c r="U5194" s="5"/>
      <c r="V5194" s="5"/>
      <c r="W5194" s="5"/>
      <c r="X5194" s="5"/>
      <c r="Y5194" s="5"/>
      <c r="Z5194" s="5"/>
    </row>
    <row r="5195" spans="1:26" ht="15" x14ac:dyDescent="0.25">
      <c r="A5195" s="4" t="s">
        <v>5193</v>
      </c>
      <c r="B5195" s="4" t="s">
        <v>4550</v>
      </c>
      <c r="C5195" s="2" t="str">
        <f ca="1">IFERROR(__xludf.DUMMYFUNCTION("GOOGLETRANSLATE(A5195,""bn"",""en"")"),"There was no question of seeing the picture")</f>
        <v>There was no question of seeing the picture</v>
      </c>
      <c r="D5195" s="5"/>
      <c r="E5195" s="5"/>
      <c r="F5195" s="5"/>
      <c r="G5195" s="5"/>
      <c r="H5195" s="5"/>
      <c r="I5195" s="5"/>
      <c r="J5195" s="5"/>
      <c r="K5195" s="5"/>
      <c r="L5195" s="5"/>
      <c r="M5195" s="5"/>
      <c r="N5195" s="5"/>
      <c r="O5195" s="5"/>
      <c r="P5195" s="5"/>
      <c r="Q5195" s="5"/>
      <c r="R5195" s="5"/>
      <c r="S5195" s="5"/>
      <c r="T5195" s="5"/>
      <c r="U5195" s="5"/>
      <c r="V5195" s="5"/>
      <c r="W5195" s="5"/>
      <c r="X5195" s="5"/>
      <c r="Y5195" s="5"/>
      <c r="Z5195" s="5"/>
    </row>
    <row r="5196" spans="1:26" ht="15" x14ac:dyDescent="0.25">
      <c r="A5196" s="4" t="s">
        <v>5194</v>
      </c>
      <c r="B5196" s="4" t="s">
        <v>4550</v>
      </c>
      <c r="C5196" s="2" t="str">
        <f ca="1">IFERROR(__xludf.DUMMYFUNCTION("GOOGLETRANSLATE(A5196,""bn"",""en"")"),"Sleeping was better than watching such a movie")</f>
        <v>Sleeping was better than watching such a movie</v>
      </c>
      <c r="D5196" s="5"/>
      <c r="E5196" s="5"/>
      <c r="F5196" s="5"/>
      <c r="G5196" s="5"/>
      <c r="H5196" s="5"/>
      <c r="I5196" s="5"/>
      <c r="J5196" s="5"/>
      <c r="K5196" s="5"/>
      <c r="L5196" s="5"/>
      <c r="M5196" s="5"/>
      <c r="N5196" s="5"/>
      <c r="O5196" s="5"/>
      <c r="P5196" s="5"/>
      <c r="Q5196" s="5"/>
      <c r="R5196" s="5"/>
      <c r="S5196" s="5"/>
      <c r="T5196" s="5"/>
      <c r="U5196" s="5"/>
      <c r="V5196" s="5"/>
      <c r="W5196" s="5"/>
      <c r="X5196" s="5"/>
      <c r="Y5196" s="5"/>
      <c r="Z5196" s="5"/>
    </row>
    <row r="5197" spans="1:26" ht="15" x14ac:dyDescent="0.25">
      <c r="A5197" s="4" t="s">
        <v>5195</v>
      </c>
      <c r="B5197" s="4" t="s">
        <v>4550</v>
      </c>
      <c r="C5197" s="2" t="str">
        <f ca="1">IFERROR(__xludf.DUMMYFUNCTION("GOOGLETRANSLATE(A5197,""bn"",""en"")"),"I thought the picture was very beautiful. Bengali girls never have to leave their husband's hand despite all the hardships. Only seeing the picture of Shabana Ma'am could understand that.")</f>
        <v>I thought the picture was very beautiful. Bengali girls never have to leave their husband's hand despite all the hardships. Only seeing the picture of Shabana Ma'am could understand that.</v>
      </c>
      <c r="D5197" s="5"/>
      <c r="E5197" s="5"/>
      <c r="F5197" s="5"/>
      <c r="G5197" s="5"/>
      <c r="H5197" s="5"/>
      <c r="I5197" s="5"/>
      <c r="J5197" s="5"/>
      <c r="K5197" s="5"/>
      <c r="L5197" s="5"/>
      <c r="M5197" s="5"/>
      <c r="N5197" s="5"/>
      <c r="O5197" s="5"/>
      <c r="P5197" s="5"/>
      <c r="Q5197" s="5"/>
      <c r="R5197" s="5"/>
      <c r="S5197" s="5"/>
      <c r="T5197" s="5"/>
      <c r="U5197" s="5"/>
      <c r="V5197" s="5"/>
      <c r="W5197" s="5"/>
      <c r="X5197" s="5"/>
      <c r="Y5197" s="5"/>
      <c r="Z5197" s="5"/>
    </row>
    <row r="5198" spans="1:26" ht="15" x14ac:dyDescent="0.25">
      <c r="A5198" s="4" t="s">
        <v>5196</v>
      </c>
      <c r="B5198" s="4" t="s">
        <v>4550</v>
      </c>
      <c r="C5198" s="2" t="str">
        <f ca="1">IFERROR(__xludf.DUMMYFUNCTION("GOOGLETRANSLATE(A5198,""bn"",""en"")"),"It was really so funny my stomach hurt from laughing")</f>
        <v>It was really so funny my stomach hurt from laughing</v>
      </c>
      <c r="D5198" s="5"/>
      <c r="E5198" s="5"/>
      <c r="F5198" s="5"/>
      <c r="G5198" s="5"/>
      <c r="H5198" s="5"/>
      <c r="I5198" s="5"/>
      <c r="J5198" s="5"/>
      <c r="K5198" s="5"/>
      <c r="L5198" s="5"/>
      <c r="M5198" s="5"/>
      <c r="N5198" s="5"/>
      <c r="O5198" s="5"/>
      <c r="P5198" s="5"/>
      <c r="Q5198" s="5"/>
      <c r="R5198" s="5"/>
      <c r="S5198" s="5"/>
      <c r="T5198" s="5"/>
      <c r="U5198" s="5"/>
      <c r="V5198" s="5"/>
      <c r="W5198" s="5"/>
      <c r="X5198" s="5"/>
      <c r="Y5198" s="5"/>
      <c r="Z5198" s="5"/>
    </row>
    <row r="5199" spans="1:26" ht="15" x14ac:dyDescent="0.25">
      <c r="A5199" s="4" t="s">
        <v>5197</v>
      </c>
      <c r="B5199" s="4" t="s">
        <v>4550</v>
      </c>
      <c r="C5199" s="2" t="str">
        <f ca="1">IFERROR(__xludf.DUMMYFUNCTION("GOOGLETRANSLATE(A5199,""bn"",""en"")"),"When I was young, my mother scolded me when I went to play or sleep, it would have been better if I was younger")</f>
        <v>When I was young, my mother scolded me when I went to play or sleep, it would have been better if I was younger</v>
      </c>
      <c r="D5199" s="5"/>
      <c r="E5199" s="5"/>
      <c r="F5199" s="5"/>
      <c r="G5199" s="5"/>
      <c r="H5199" s="5"/>
      <c r="I5199" s="5"/>
      <c r="J5199" s="5"/>
      <c r="K5199" s="5"/>
      <c r="L5199" s="5"/>
      <c r="M5199" s="5"/>
      <c r="N5199" s="5"/>
      <c r="O5199" s="5"/>
      <c r="P5199" s="5"/>
      <c r="Q5199" s="5"/>
      <c r="R5199" s="5"/>
      <c r="S5199" s="5"/>
      <c r="T5199" s="5"/>
      <c r="U5199" s="5"/>
      <c r="V5199" s="5"/>
      <c r="W5199" s="5"/>
      <c r="X5199" s="5"/>
      <c r="Y5199" s="5"/>
      <c r="Z5199" s="5"/>
    </row>
    <row r="5200" spans="1:26" ht="15" x14ac:dyDescent="0.25">
      <c r="A5200" s="4" t="s">
        <v>5198</v>
      </c>
      <c r="B5200" s="4" t="s">
        <v>4550</v>
      </c>
      <c r="C5200" s="2" t="str">
        <f ca="1">IFERROR(__xludf.DUMMYFUNCTION("GOOGLETRANSLATE(A5200,""bn"",""en"")"),"It was a bad movie")</f>
        <v>It was a bad movie</v>
      </c>
      <c r="D5200" s="5"/>
      <c r="E5200" s="5"/>
      <c r="F5200" s="5"/>
      <c r="G5200" s="5"/>
      <c r="H5200" s="5"/>
      <c r="I5200" s="5"/>
      <c r="J5200" s="5"/>
      <c r="K5200" s="5"/>
      <c r="L5200" s="5"/>
      <c r="M5200" s="5"/>
      <c r="N5200" s="5"/>
      <c r="O5200" s="5"/>
      <c r="P5200" s="5"/>
      <c r="Q5200" s="5"/>
      <c r="R5200" s="5"/>
      <c r="S5200" s="5"/>
      <c r="T5200" s="5"/>
      <c r="U5200" s="5"/>
      <c r="V5200" s="5"/>
      <c r="W5200" s="5"/>
      <c r="X5200" s="5"/>
      <c r="Y5200" s="5"/>
      <c r="Z5200" s="5"/>
    </row>
    <row r="5201" spans="1:26" ht="15" x14ac:dyDescent="0.25">
      <c r="A5201" s="4" t="s">
        <v>5199</v>
      </c>
      <c r="B5201" s="4" t="s">
        <v>4550</v>
      </c>
      <c r="C5201" s="2" t="str">
        <f ca="1">IFERROR(__xludf.DUMMYFUNCTION("GOOGLETRANSLATE(A5201,""bn"",""en"")"),"It was a touching movie")</f>
        <v>It was a touching movie</v>
      </c>
      <c r="D5201" s="5"/>
      <c r="E5201" s="5"/>
      <c r="F5201" s="5"/>
      <c r="G5201" s="5"/>
      <c r="H5201" s="5"/>
      <c r="I5201" s="5"/>
      <c r="J5201" s="5"/>
      <c r="K5201" s="5"/>
      <c r="L5201" s="5"/>
      <c r="M5201" s="5"/>
      <c r="N5201" s="5"/>
      <c r="O5201" s="5"/>
      <c r="P5201" s="5"/>
      <c r="Q5201" s="5"/>
      <c r="R5201" s="5"/>
      <c r="S5201" s="5"/>
      <c r="T5201" s="5"/>
      <c r="U5201" s="5"/>
      <c r="V5201" s="5"/>
      <c r="W5201" s="5"/>
      <c r="X5201" s="5"/>
      <c r="Y5201" s="5"/>
      <c r="Z5201" s="5"/>
    </row>
    <row r="5202" spans="1:26" ht="15" x14ac:dyDescent="0.25">
      <c r="A5202" s="4" t="s">
        <v>5200</v>
      </c>
      <c r="B5202" s="4" t="s">
        <v>4550</v>
      </c>
      <c r="C5202" s="2" t="str">
        <f ca="1">IFERROR(__xludf.DUMMYFUNCTION("GOOGLETRANSLATE(A5202,""bn"",""en"")"),"Our Salman Shah was much better than this")</f>
        <v>Our Salman Shah was much better than this</v>
      </c>
      <c r="D5202" s="5"/>
      <c r="E5202" s="5"/>
      <c r="F5202" s="5"/>
      <c r="G5202" s="5"/>
      <c r="H5202" s="5"/>
      <c r="I5202" s="5"/>
      <c r="J5202" s="5"/>
      <c r="K5202" s="5"/>
      <c r="L5202" s="5"/>
      <c r="M5202" s="5"/>
      <c r="N5202" s="5"/>
      <c r="O5202" s="5"/>
      <c r="P5202" s="5"/>
      <c r="Q5202" s="5"/>
      <c r="R5202" s="5"/>
      <c r="S5202" s="5"/>
      <c r="T5202" s="5"/>
      <c r="U5202" s="5"/>
      <c r="V5202" s="5"/>
      <c r="W5202" s="5"/>
      <c r="X5202" s="5"/>
      <c r="Y5202" s="5"/>
      <c r="Z5202" s="5"/>
    </row>
    <row r="5203" spans="1:26" ht="15" x14ac:dyDescent="0.25">
      <c r="A5203" s="4" t="s">
        <v>5201</v>
      </c>
      <c r="B5203" s="4" t="s">
        <v>4550</v>
      </c>
      <c r="C5203" s="2" t="str">
        <f ca="1">IFERROR(__xludf.DUMMYFUNCTION("GOOGLETRANSLATE(A5203,""bn"",""en"")"),"The last scene was heartbreaking, such a picture, such a story was doubted to be one in a hundred years")</f>
        <v>The last scene was heartbreaking, such a picture, such a story was doubted to be one in a hundred years</v>
      </c>
      <c r="D5203" s="5"/>
      <c r="E5203" s="5"/>
      <c r="F5203" s="5"/>
      <c r="G5203" s="5"/>
      <c r="H5203" s="5"/>
      <c r="I5203" s="5"/>
      <c r="J5203" s="5"/>
      <c r="K5203" s="5"/>
      <c r="L5203" s="5"/>
      <c r="M5203" s="5"/>
      <c r="N5203" s="5"/>
      <c r="O5203" s="5"/>
      <c r="P5203" s="5"/>
      <c r="Q5203" s="5"/>
      <c r="R5203" s="5"/>
      <c r="S5203" s="5"/>
      <c r="T5203" s="5"/>
      <c r="U5203" s="5"/>
      <c r="V5203" s="5"/>
      <c r="W5203" s="5"/>
      <c r="X5203" s="5"/>
      <c r="Y5203" s="5"/>
      <c r="Z5203" s="5"/>
    </row>
    <row r="5204" spans="1:26" ht="15" x14ac:dyDescent="0.25">
      <c r="A5204" s="4" t="s">
        <v>5202</v>
      </c>
      <c r="B5204" s="4" t="s">
        <v>4550</v>
      </c>
      <c r="C5204" s="2" t="str">
        <f ca="1">IFERROR(__xludf.DUMMYFUNCTION("GOOGLETRANSLATE(A5204,""bn"",""en"")"),"I wonder if it was Jeet's movie")</f>
        <v>I wonder if it was Jeet's movie</v>
      </c>
      <c r="D5204" s="5"/>
      <c r="E5204" s="5"/>
      <c r="F5204" s="5"/>
      <c r="G5204" s="5"/>
      <c r="H5204" s="5"/>
      <c r="I5204" s="5"/>
      <c r="J5204" s="5"/>
      <c r="K5204" s="5"/>
      <c r="L5204" s="5"/>
      <c r="M5204" s="5"/>
      <c r="N5204" s="5"/>
      <c r="O5204" s="5"/>
      <c r="P5204" s="5"/>
      <c r="Q5204" s="5"/>
      <c r="R5204" s="5"/>
      <c r="S5204" s="5"/>
      <c r="T5204" s="5"/>
      <c r="U5204" s="5"/>
      <c r="V5204" s="5"/>
      <c r="W5204" s="5"/>
      <c r="X5204" s="5"/>
      <c r="Y5204" s="5"/>
      <c r="Z5204" s="5"/>
    </row>
    <row r="5205" spans="1:26" ht="15" x14ac:dyDescent="0.25">
      <c r="A5205" s="4" t="s">
        <v>5203</v>
      </c>
      <c r="B5205" s="4" t="s">
        <v>4550</v>
      </c>
      <c r="C5205" s="2" t="str">
        <f ca="1">IFERROR(__xludf.DUMMYFUNCTION("GOOGLETRANSLATE(A5205,""bn"",""en"")"),"Some funny, some sad but very beautiful movie")</f>
        <v>Some funny, some sad but very beautiful movie</v>
      </c>
      <c r="D5205" s="5"/>
      <c r="E5205" s="5"/>
      <c r="F5205" s="5"/>
      <c r="G5205" s="5"/>
      <c r="H5205" s="5"/>
      <c r="I5205" s="5"/>
      <c r="J5205" s="5"/>
      <c r="K5205" s="5"/>
      <c r="L5205" s="5"/>
      <c r="M5205" s="5"/>
      <c r="N5205" s="5"/>
      <c r="O5205" s="5"/>
      <c r="P5205" s="5"/>
      <c r="Q5205" s="5"/>
      <c r="R5205" s="5"/>
      <c r="S5205" s="5"/>
      <c r="T5205" s="5"/>
      <c r="U5205" s="5"/>
      <c r="V5205" s="5"/>
      <c r="W5205" s="5"/>
      <c r="X5205" s="5"/>
      <c r="Y5205" s="5"/>
      <c r="Z5205" s="5"/>
    </row>
    <row r="5206" spans="1:26" ht="15" x14ac:dyDescent="0.25">
      <c r="A5206" s="4" t="s">
        <v>5204</v>
      </c>
      <c r="B5206" s="4" t="s">
        <v>4550</v>
      </c>
      <c r="C5206" s="2" t="str">
        <f ca="1">IFERROR(__xludf.DUMMYFUNCTION("GOOGLETRANSLATE(A5206,""bn"",""en"")"),"Loved watching the movie, watched it again today")</f>
        <v>Loved watching the movie, watched it again today</v>
      </c>
      <c r="D5206" s="5"/>
      <c r="E5206" s="5"/>
      <c r="F5206" s="5"/>
      <c r="G5206" s="5"/>
      <c r="H5206" s="5"/>
      <c r="I5206" s="5"/>
      <c r="J5206" s="5"/>
      <c r="K5206" s="5"/>
      <c r="L5206" s="5"/>
      <c r="M5206" s="5"/>
      <c r="N5206" s="5"/>
      <c r="O5206" s="5"/>
      <c r="P5206" s="5"/>
      <c r="Q5206" s="5"/>
      <c r="R5206" s="5"/>
      <c r="S5206" s="5"/>
      <c r="T5206" s="5"/>
      <c r="U5206" s="5"/>
      <c r="V5206" s="5"/>
      <c r="W5206" s="5"/>
      <c r="X5206" s="5"/>
      <c r="Y5206" s="5"/>
      <c r="Z5206" s="5"/>
    </row>
    <row r="5207" spans="1:26" ht="15" x14ac:dyDescent="0.25">
      <c r="A5207" s="4" t="s">
        <v>5205</v>
      </c>
      <c r="B5207" s="4" t="s">
        <v>4550</v>
      </c>
      <c r="C5207" s="2" t="str">
        <f ca="1">IFERROR(__xludf.DUMMYFUNCTION("GOOGLETRANSLATE(A5207,""bn"",""en"")"),"I couldn't hold back my tears after watching the movie. It would have been a fitting honor to have created the best movie of Bengal")</f>
        <v>I couldn't hold back my tears after watching the movie. It would have been a fitting honor to have created the best movie of Bengal</v>
      </c>
      <c r="D5207" s="5"/>
      <c r="E5207" s="5"/>
      <c r="F5207" s="5"/>
      <c r="G5207" s="5"/>
      <c r="H5207" s="5"/>
      <c r="I5207" s="5"/>
      <c r="J5207" s="5"/>
      <c r="K5207" s="5"/>
      <c r="L5207" s="5"/>
      <c r="M5207" s="5"/>
      <c r="N5207" s="5"/>
      <c r="O5207" s="5"/>
      <c r="P5207" s="5"/>
      <c r="Q5207" s="5"/>
      <c r="R5207" s="5"/>
      <c r="S5207" s="5"/>
      <c r="T5207" s="5"/>
      <c r="U5207" s="5"/>
      <c r="V5207" s="5"/>
      <c r="W5207" s="5"/>
      <c r="X5207" s="5"/>
      <c r="Y5207" s="5"/>
      <c r="Z5207" s="5"/>
    </row>
    <row r="5208" spans="1:26" ht="15" x14ac:dyDescent="0.25">
      <c r="A5208" s="4" t="s">
        <v>5206</v>
      </c>
      <c r="B5208" s="4" t="s">
        <v>4550</v>
      </c>
      <c r="C5208" s="2" t="str">
        <f ca="1">IFERROR(__xludf.DUMMYFUNCTION("GOOGLETRANSLATE(A5208,""bn"",""en"")"),"So much crying in one picture, so much crying of Jaya which was really annoying")</f>
        <v>So much crying in one picture, so much crying of Jaya which was really annoying</v>
      </c>
      <c r="D5208" s="5"/>
      <c r="E5208" s="5"/>
      <c r="F5208" s="5"/>
      <c r="G5208" s="5"/>
      <c r="H5208" s="5"/>
      <c r="I5208" s="5"/>
      <c r="J5208" s="5"/>
      <c r="K5208" s="5"/>
      <c r="L5208" s="5"/>
      <c r="M5208" s="5"/>
      <c r="N5208" s="5"/>
      <c r="O5208" s="5"/>
      <c r="P5208" s="5"/>
      <c r="Q5208" s="5"/>
      <c r="R5208" s="5"/>
      <c r="S5208" s="5"/>
      <c r="T5208" s="5"/>
      <c r="U5208" s="5"/>
      <c r="V5208" s="5"/>
      <c r="W5208" s="5"/>
      <c r="X5208" s="5"/>
      <c r="Y5208" s="5"/>
      <c r="Z5208" s="5"/>
    </row>
    <row r="5209" spans="1:26" ht="15" x14ac:dyDescent="0.25">
      <c r="A5209" s="4" t="s">
        <v>5207</v>
      </c>
      <c r="B5209" s="4" t="s">
        <v>4550</v>
      </c>
      <c r="C5209" s="2" t="str">
        <f ca="1">IFERROR(__xludf.DUMMYFUNCTION("GOOGLETRANSLATE(A5209,""bn"",""en"")"),"There were more dislikes than likes, it was very funny")</f>
        <v>There were more dislikes than likes, it was very funny</v>
      </c>
      <c r="D5209" s="5"/>
      <c r="E5209" s="5"/>
      <c r="F5209" s="5"/>
      <c r="G5209" s="5"/>
      <c r="H5209" s="5"/>
      <c r="I5209" s="5"/>
      <c r="J5209" s="5"/>
      <c r="K5209" s="5"/>
      <c r="L5209" s="5"/>
      <c r="M5209" s="5"/>
      <c r="N5209" s="5"/>
      <c r="O5209" s="5"/>
      <c r="P5209" s="5"/>
      <c r="Q5209" s="5"/>
      <c r="R5209" s="5"/>
      <c r="S5209" s="5"/>
      <c r="T5209" s="5"/>
      <c r="U5209" s="5"/>
      <c r="V5209" s="5"/>
      <c r="W5209" s="5"/>
      <c r="X5209" s="5"/>
      <c r="Y5209" s="5"/>
      <c r="Z5209" s="5"/>
    </row>
    <row r="5210" spans="1:26" ht="15" x14ac:dyDescent="0.25">
      <c r="A5210" s="4" t="s">
        <v>5208</v>
      </c>
      <c r="B5210" s="4" t="s">
        <v>4550</v>
      </c>
      <c r="C5210" s="2" t="str">
        <f ca="1">IFERROR(__xludf.DUMMYFUNCTION("GOOGLETRANSLATE(A5210,""bn"",""en"")"),"Acting skills could not be attempted")</f>
        <v>Acting skills could not be attempted</v>
      </c>
      <c r="D5210" s="5"/>
      <c r="E5210" s="5"/>
      <c r="F5210" s="5"/>
      <c r="G5210" s="5"/>
      <c r="H5210" s="5"/>
      <c r="I5210" s="5"/>
      <c r="J5210" s="5"/>
      <c r="K5210" s="5"/>
      <c r="L5210" s="5"/>
      <c r="M5210" s="5"/>
      <c r="N5210" s="5"/>
      <c r="O5210" s="5"/>
      <c r="P5210" s="5"/>
      <c r="Q5210" s="5"/>
      <c r="R5210" s="5"/>
      <c r="S5210" s="5"/>
      <c r="T5210" s="5"/>
      <c r="U5210" s="5"/>
      <c r="V5210" s="5"/>
      <c r="W5210" s="5"/>
      <c r="X5210" s="5"/>
      <c r="Y5210" s="5"/>
      <c r="Z5210" s="5"/>
    </row>
    <row r="5211" spans="1:26" ht="15" x14ac:dyDescent="0.25">
      <c r="A5211" s="4" t="s">
        <v>5209</v>
      </c>
      <c r="B5211" s="4" t="s">
        <v>4550</v>
      </c>
      <c r="C5211" s="2" t="str">
        <f ca="1">IFERROR(__xludf.DUMMYFUNCTION("GOOGLETRANSLATE(A5211,""bn"",""en"")"),"Brother, till today I have seen many twists of many movies but this twist of this movie was beyond my imagination.")</f>
        <v>Brother, till today I have seen many twists of many movies but this twist of this movie was beyond my imagination.</v>
      </c>
      <c r="D5211" s="5"/>
      <c r="E5211" s="5"/>
      <c r="F5211" s="5"/>
      <c r="G5211" s="5"/>
      <c r="H5211" s="5"/>
      <c r="I5211" s="5"/>
      <c r="J5211" s="5"/>
      <c r="K5211" s="5"/>
      <c r="L5211" s="5"/>
      <c r="M5211" s="5"/>
      <c r="N5211" s="5"/>
      <c r="O5211" s="5"/>
      <c r="P5211" s="5"/>
      <c r="Q5211" s="5"/>
      <c r="R5211" s="5"/>
      <c r="S5211" s="5"/>
      <c r="T5211" s="5"/>
      <c r="U5211" s="5"/>
      <c r="V5211" s="5"/>
      <c r="W5211" s="5"/>
      <c r="X5211" s="5"/>
      <c r="Y5211" s="5"/>
      <c r="Z5211" s="5"/>
    </row>
    <row r="5212" spans="1:26" ht="15" x14ac:dyDescent="0.25">
      <c r="A5212" s="4" t="s">
        <v>5210</v>
      </c>
      <c r="B5212" s="4" t="s">
        <v>4550</v>
      </c>
      <c r="C5212" s="2" t="str">
        <f ca="1">IFERROR(__xludf.DUMMYFUNCTION("GOOGLETRANSLATE(A5212,""bn"",""en"")"),"I saw it again after a long time and it was very nice")</f>
        <v>I saw it again after a long time and it was very nice</v>
      </c>
      <c r="D5212" s="5"/>
      <c r="E5212" s="5"/>
      <c r="F5212" s="5"/>
      <c r="G5212" s="5"/>
      <c r="H5212" s="5"/>
      <c r="I5212" s="5"/>
      <c r="J5212" s="5"/>
      <c r="K5212" s="5"/>
      <c r="L5212" s="5"/>
      <c r="M5212" s="5"/>
      <c r="N5212" s="5"/>
      <c r="O5212" s="5"/>
      <c r="P5212" s="5"/>
      <c r="Q5212" s="5"/>
      <c r="R5212" s="5"/>
      <c r="S5212" s="5"/>
      <c r="T5212" s="5"/>
      <c r="U5212" s="5"/>
      <c r="V5212" s="5"/>
      <c r="W5212" s="5"/>
      <c r="X5212" s="5"/>
      <c r="Y5212" s="5"/>
      <c r="Z5212" s="5"/>
    </row>
    <row r="5213" spans="1:26" ht="15" x14ac:dyDescent="0.25">
      <c r="A5213" s="4" t="s">
        <v>5211</v>
      </c>
      <c r="B5213" s="4" t="s">
        <v>4550</v>
      </c>
      <c r="C5213" s="2" t="str">
        <f ca="1">IFERROR(__xludf.DUMMYFUNCTION("GOOGLETRANSLATE(A5213,""bn"",""en"")"),"It was a crappy movie")</f>
        <v>It was a crappy movie</v>
      </c>
      <c r="D5213" s="5"/>
      <c r="E5213" s="5"/>
      <c r="F5213" s="5"/>
      <c r="G5213" s="5"/>
      <c r="H5213" s="5"/>
      <c r="I5213" s="5"/>
      <c r="J5213" s="5"/>
      <c r="K5213" s="5"/>
      <c r="L5213" s="5"/>
      <c r="M5213" s="5"/>
      <c r="N5213" s="5"/>
      <c r="O5213" s="5"/>
      <c r="P5213" s="5"/>
      <c r="Q5213" s="5"/>
      <c r="R5213" s="5"/>
      <c r="S5213" s="5"/>
      <c r="T5213" s="5"/>
      <c r="U5213" s="5"/>
      <c r="V5213" s="5"/>
      <c r="W5213" s="5"/>
      <c r="X5213" s="5"/>
      <c r="Y5213" s="5"/>
      <c r="Z5213" s="5"/>
    </row>
    <row r="5214" spans="1:26" ht="15" x14ac:dyDescent="0.25">
      <c r="A5214" s="4" t="s">
        <v>5212</v>
      </c>
      <c r="B5214" s="4" t="s">
        <v>4550</v>
      </c>
      <c r="C5214" s="2" t="str">
        <f ca="1">IFERROR(__xludf.DUMMYFUNCTION("GOOGLETRANSLATE(A5214,""bn"",""en"")"),"No one would have made such a movie if they were not stupid")</f>
        <v>No one would have made such a movie if they were not stupid</v>
      </c>
      <c r="D5214" s="5"/>
      <c r="E5214" s="5"/>
      <c r="F5214" s="5"/>
      <c r="G5214" s="5"/>
      <c r="H5214" s="5"/>
      <c r="I5214" s="5"/>
      <c r="J5214" s="5"/>
      <c r="K5214" s="5"/>
      <c r="L5214" s="5"/>
      <c r="M5214" s="5"/>
      <c r="N5214" s="5"/>
      <c r="O5214" s="5"/>
      <c r="P5214" s="5"/>
      <c r="Q5214" s="5"/>
      <c r="R5214" s="5"/>
      <c r="S5214" s="5"/>
      <c r="T5214" s="5"/>
      <c r="U5214" s="5"/>
      <c r="V5214" s="5"/>
      <c r="W5214" s="5"/>
      <c r="X5214" s="5"/>
      <c r="Y5214" s="5"/>
      <c r="Z5214" s="5"/>
    </row>
    <row r="5215" spans="1:26" ht="15" x14ac:dyDescent="0.25">
      <c r="A5215" s="4" t="s">
        <v>5213</v>
      </c>
      <c r="B5215" s="4" t="s">
        <v>4550</v>
      </c>
      <c r="C5215" s="2" t="str">
        <f ca="1">IFERROR(__xludf.DUMMYFUNCTION("GOOGLETRANSLATE(A5215,""bn"",""en"")"),"Educational film thanks to the director of this beautiful film, this is the reality of rural Bengal")</f>
        <v>Educational film thanks to the director of this beautiful film, this is the reality of rural Bengal</v>
      </c>
      <c r="D5215" s="5"/>
      <c r="E5215" s="5"/>
      <c r="F5215" s="5"/>
      <c r="G5215" s="5"/>
      <c r="H5215" s="5"/>
      <c r="I5215" s="5"/>
      <c r="J5215" s="5"/>
      <c r="K5215" s="5"/>
      <c r="L5215" s="5"/>
      <c r="M5215" s="5"/>
      <c r="N5215" s="5"/>
      <c r="O5215" s="5"/>
      <c r="P5215" s="5"/>
      <c r="Q5215" s="5"/>
      <c r="R5215" s="5"/>
      <c r="S5215" s="5"/>
      <c r="T5215" s="5"/>
      <c r="U5215" s="5"/>
      <c r="V5215" s="5"/>
      <c r="W5215" s="5"/>
      <c r="X5215" s="5"/>
      <c r="Y5215" s="5"/>
      <c r="Z5215" s="5"/>
    </row>
    <row r="5216" spans="1:26" ht="15" x14ac:dyDescent="0.25">
      <c r="A5216" s="4" t="s">
        <v>5214</v>
      </c>
      <c r="B5216" s="4" t="s">
        <v>4550</v>
      </c>
      <c r="C5216" s="2" t="str">
        <f ca="1">IFERROR(__xludf.DUMMYFUNCTION("GOOGLETRANSLATE(A5216,""bn"",""en"")"),"A very nice relationship was seen between the two brothers - very good story")</f>
        <v>A very nice relationship was seen between the two brothers - very good story</v>
      </c>
      <c r="D5216" s="5"/>
      <c r="E5216" s="5"/>
      <c r="F5216" s="5"/>
      <c r="G5216" s="5"/>
      <c r="H5216" s="5"/>
      <c r="I5216" s="5"/>
      <c r="J5216" s="5"/>
      <c r="K5216" s="5"/>
      <c r="L5216" s="5"/>
      <c r="M5216" s="5"/>
      <c r="N5216" s="5"/>
      <c r="O5216" s="5"/>
      <c r="P5216" s="5"/>
      <c r="Q5216" s="5"/>
      <c r="R5216" s="5"/>
      <c r="S5216" s="5"/>
      <c r="T5216" s="5"/>
      <c r="U5216" s="5"/>
      <c r="V5216" s="5"/>
      <c r="W5216" s="5"/>
      <c r="X5216" s="5"/>
      <c r="Y5216" s="5"/>
      <c r="Z5216" s="5"/>
    </row>
    <row r="5217" spans="1:26" ht="15" x14ac:dyDescent="0.25">
      <c r="A5217" s="4" t="s">
        <v>5215</v>
      </c>
      <c r="B5217" s="4" t="s">
        <v>4550</v>
      </c>
      <c r="C5217" s="2" t="str">
        <f ca="1">IFERROR(__xludf.DUMMYFUNCTION("GOOGLETRANSLATE(A5217,""bn"",""en"")"),"I sat down to watch the movie with great hope")</f>
        <v>I sat down to watch the movie with great hope</v>
      </c>
      <c r="D5217" s="5"/>
      <c r="E5217" s="5"/>
      <c r="F5217" s="5"/>
      <c r="G5217" s="5"/>
      <c r="H5217" s="5"/>
      <c r="I5217" s="5"/>
      <c r="J5217" s="5"/>
      <c r="K5217" s="5"/>
      <c r="L5217" s="5"/>
      <c r="M5217" s="5"/>
      <c r="N5217" s="5"/>
      <c r="O5217" s="5"/>
      <c r="P5217" s="5"/>
      <c r="Q5217" s="5"/>
      <c r="R5217" s="5"/>
      <c r="S5217" s="5"/>
      <c r="T5217" s="5"/>
      <c r="U5217" s="5"/>
      <c r="V5217" s="5"/>
      <c r="W5217" s="5"/>
      <c r="X5217" s="5"/>
      <c r="Y5217" s="5"/>
      <c r="Z5217" s="5"/>
    </row>
    <row r="5218" spans="1:26" ht="15" x14ac:dyDescent="0.25">
      <c r="A5218" s="4" t="s">
        <v>5216</v>
      </c>
      <c r="B5218" s="4" t="s">
        <v>4550</v>
      </c>
      <c r="C5218" s="2" t="str">
        <f ca="1">IFERROR(__xludf.DUMMYFUNCTION("GOOGLETRANSLATE(A5218,""bn"",""en"")"),"The first film of my life I cried a lot, I saw it as a teenager, I miss a very good film")</f>
        <v>The first film of my life I cried a lot, I saw it as a teenager, I miss a very good film</v>
      </c>
      <c r="D5218" s="5"/>
      <c r="E5218" s="5"/>
      <c r="F5218" s="5"/>
      <c r="G5218" s="5"/>
      <c r="H5218" s="5"/>
      <c r="I5218" s="5"/>
      <c r="J5218" s="5"/>
      <c r="K5218" s="5"/>
      <c r="L5218" s="5"/>
      <c r="M5218" s="5"/>
      <c r="N5218" s="5"/>
      <c r="O5218" s="5"/>
      <c r="P5218" s="5"/>
      <c r="Q5218" s="5"/>
      <c r="R5218" s="5"/>
      <c r="S5218" s="5"/>
      <c r="T5218" s="5"/>
      <c r="U5218" s="5"/>
      <c r="V5218" s="5"/>
      <c r="W5218" s="5"/>
      <c r="X5218" s="5"/>
      <c r="Y5218" s="5"/>
      <c r="Z5218" s="5"/>
    </row>
    <row r="5219" spans="1:26" ht="15" x14ac:dyDescent="0.25">
      <c r="A5219" s="4" t="s">
        <v>5217</v>
      </c>
      <c r="B5219" s="4" t="s">
        <v>4550</v>
      </c>
      <c r="C5219" s="2" t="str">
        <f ca="1">IFERROR(__xludf.DUMMYFUNCTION("GOOGLETRANSLATE(A5219,""bn"",""en"")"),"I liked thinking that the movie could not be seen in the whole movie only liked Rubel's entry and watched the movie with incredible patience.")</f>
        <v>I liked thinking that the movie could not be seen in the whole movie only liked Rubel's entry and watched the movie with incredible patience.</v>
      </c>
      <c r="D5219" s="5"/>
      <c r="E5219" s="5"/>
      <c r="F5219" s="5"/>
      <c r="G5219" s="5"/>
      <c r="H5219" s="5"/>
      <c r="I5219" s="5"/>
      <c r="J5219" s="5"/>
      <c r="K5219" s="5"/>
      <c r="L5219" s="5"/>
      <c r="M5219" s="5"/>
      <c r="N5219" s="5"/>
      <c r="O5219" s="5"/>
      <c r="P5219" s="5"/>
      <c r="Q5219" s="5"/>
      <c r="R5219" s="5"/>
      <c r="S5219" s="5"/>
      <c r="T5219" s="5"/>
      <c r="U5219" s="5"/>
      <c r="V5219" s="5"/>
      <c r="W5219" s="5"/>
      <c r="X5219" s="5"/>
      <c r="Y5219" s="5"/>
      <c r="Z5219" s="5"/>
    </row>
    <row r="5220" spans="1:26" ht="15" x14ac:dyDescent="0.25">
      <c r="A5220" s="4" t="s">
        <v>5218</v>
      </c>
      <c r="B5220" s="4" t="s">
        <v>4550</v>
      </c>
      <c r="C5220" s="2" t="str">
        <f ca="1">IFERROR(__xludf.DUMMYFUNCTION("GOOGLETRANSLATE(A5220,""bn"",""en"")"),"I have not seen the dubbing in Bengali before but now I liked it")</f>
        <v>I have not seen the dubbing in Bengali before but now I liked it</v>
      </c>
      <c r="D5220" s="5"/>
      <c r="E5220" s="5"/>
      <c r="F5220" s="5"/>
      <c r="G5220" s="5"/>
      <c r="H5220" s="5"/>
      <c r="I5220" s="5"/>
      <c r="J5220" s="5"/>
      <c r="K5220" s="5"/>
      <c r="L5220" s="5"/>
      <c r="M5220" s="5"/>
      <c r="N5220" s="5"/>
      <c r="O5220" s="5"/>
      <c r="P5220" s="5"/>
      <c r="Q5220" s="5"/>
      <c r="R5220" s="5"/>
      <c r="S5220" s="5"/>
      <c r="T5220" s="5"/>
      <c r="U5220" s="5"/>
      <c r="V5220" s="5"/>
      <c r="W5220" s="5"/>
      <c r="X5220" s="5"/>
      <c r="Y5220" s="5"/>
      <c r="Z5220" s="5"/>
    </row>
    <row r="5221" spans="1:26" ht="15" x14ac:dyDescent="0.25">
      <c r="A5221" s="4" t="s">
        <v>5219</v>
      </c>
      <c r="B5221" s="4" t="s">
        <v>4550</v>
      </c>
      <c r="C5221" s="2" t="str">
        <f ca="1">IFERROR(__xludf.DUMMYFUNCTION("GOOGLETRANSLATE(A5221,""bn"",""en"")"),"What a silent movie it was")</f>
        <v>What a silent movie it was</v>
      </c>
      <c r="D5221" s="5"/>
      <c r="E5221" s="5"/>
      <c r="F5221" s="5"/>
      <c r="G5221" s="5"/>
      <c r="H5221" s="5"/>
      <c r="I5221" s="5"/>
      <c r="J5221" s="5"/>
      <c r="K5221" s="5"/>
      <c r="L5221" s="5"/>
      <c r="M5221" s="5"/>
      <c r="N5221" s="5"/>
      <c r="O5221" s="5"/>
      <c r="P5221" s="5"/>
      <c r="Q5221" s="5"/>
      <c r="R5221" s="5"/>
      <c r="S5221" s="5"/>
      <c r="T5221" s="5"/>
      <c r="U5221" s="5"/>
      <c r="V5221" s="5"/>
      <c r="W5221" s="5"/>
      <c r="X5221" s="5"/>
      <c r="Y5221" s="5"/>
      <c r="Z5221" s="5"/>
    </row>
    <row r="5222" spans="1:26" ht="15" x14ac:dyDescent="0.25">
      <c r="A5222" s="4" t="s">
        <v>5220</v>
      </c>
      <c r="B5222" s="4" t="s">
        <v>4550</v>
      </c>
      <c r="C5222" s="2" t="str">
        <f ca="1">IFERROR(__xludf.DUMMYFUNCTION("GOOGLETRANSLATE(A5222,""bn"",""en"")"),"Even as a foreigner I used to like Bangladeshi movies a lot")</f>
        <v>Even as a foreigner I used to like Bangladeshi movies a lot</v>
      </c>
      <c r="D5222" s="5"/>
      <c r="E5222" s="5"/>
      <c r="F5222" s="5"/>
      <c r="G5222" s="5"/>
      <c r="H5222" s="5"/>
      <c r="I5222" s="5"/>
      <c r="J5222" s="5"/>
      <c r="K5222" s="5"/>
      <c r="L5222" s="5"/>
      <c r="M5222" s="5"/>
      <c r="N5222" s="5"/>
      <c r="O5222" s="5"/>
      <c r="P5222" s="5"/>
      <c r="Q5222" s="5"/>
      <c r="R5222" s="5"/>
      <c r="S5222" s="5"/>
      <c r="T5222" s="5"/>
      <c r="U5222" s="5"/>
      <c r="V5222" s="5"/>
      <c r="W5222" s="5"/>
      <c r="X5222" s="5"/>
      <c r="Y5222" s="5"/>
      <c r="Z5222" s="5"/>
    </row>
    <row r="5223" spans="1:26" ht="15" x14ac:dyDescent="0.25">
      <c r="A5223" s="4" t="s">
        <v>5221</v>
      </c>
      <c r="B5223" s="4" t="s">
        <v>4550</v>
      </c>
      <c r="C5223" s="2" t="str">
        <f ca="1">IFERROR(__xludf.DUMMYFUNCTION("GOOGLETRANSLATE(A5223,""bn"",""en"")"),"Now I understand that my village was very good, there was no jealousy or competition")</f>
        <v>Now I understand that my village was very good, there was no jealousy or competition</v>
      </c>
      <c r="D5223" s="5"/>
      <c r="E5223" s="5"/>
      <c r="F5223" s="5"/>
      <c r="G5223" s="5"/>
      <c r="H5223" s="5"/>
      <c r="I5223" s="5"/>
      <c r="J5223" s="5"/>
      <c r="K5223" s="5"/>
      <c r="L5223" s="5"/>
      <c r="M5223" s="5"/>
      <c r="N5223" s="5"/>
      <c r="O5223" s="5"/>
      <c r="P5223" s="5"/>
      <c r="Q5223" s="5"/>
      <c r="R5223" s="5"/>
      <c r="S5223" s="5"/>
      <c r="T5223" s="5"/>
      <c r="U5223" s="5"/>
      <c r="V5223" s="5"/>
      <c r="W5223" s="5"/>
      <c r="X5223" s="5"/>
      <c r="Y5223" s="5"/>
      <c r="Z5223" s="5"/>
    </row>
    <row r="5224" spans="1:26" ht="15" x14ac:dyDescent="0.25">
      <c r="A5224" s="4" t="s">
        <v>5222</v>
      </c>
      <c r="B5224" s="4" t="s">
        <v>4550</v>
      </c>
      <c r="C5224" s="2" t="str">
        <f ca="1">IFERROR(__xludf.DUMMYFUNCTION("GOOGLETRANSLATE(A5224,""bn"",""en"")"),"Children When Enemies was one of the best films I have ever seen")</f>
        <v>Children When Enemies was one of the best films I have ever seen</v>
      </c>
      <c r="D5224" s="5"/>
      <c r="E5224" s="5"/>
      <c r="F5224" s="5"/>
      <c r="G5224" s="5"/>
      <c r="H5224" s="5"/>
      <c r="I5224" s="5"/>
      <c r="J5224" s="5"/>
      <c r="K5224" s="5"/>
      <c r="L5224" s="5"/>
      <c r="M5224" s="5"/>
      <c r="N5224" s="5"/>
      <c r="O5224" s="5"/>
      <c r="P5224" s="5"/>
      <c r="Q5224" s="5"/>
      <c r="R5224" s="5"/>
      <c r="S5224" s="5"/>
      <c r="T5224" s="5"/>
      <c r="U5224" s="5"/>
      <c r="V5224" s="5"/>
      <c r="W5224" s="5"/>
      <c r="X5224" s="5"/>
      <c r="Y5224" s="5"/>
      <c r="Z5224" s="5"/>
    </row>
    <row r="5225" spans="1:26" ht="15" x14ac:dyDescent="0.25">
      <c r="A5225" s="4" t="s">
        <v>5223</v>
      </c>
      <c r="B5225" s="4" t="s">
        <v>4550</v>
      </c>
      <c r="C5225" s="2" t="str">
        <f ca="1">IFERROR(__xludf.DUMMYFUNCTION("GOOGLETRANSLATE(A5225,""bn"",""en"")"),"Many beautiful movies were watched")</f>
        <v>Many beautiful movies were watched</v>
      </c>
      <c r="D5225" s="5"/>
      <c r="E5225" s="5"/>
      <c r="F5225" s="5"/>
      <c r="G5225" s="5"/>
      <c r="H5225" s="5"/>
      <c r="I5225" s="5"/>
      <c r="J5225" s="5"/>
      <c r="K5225" s="5"/>
      <c r="L5225" s="5"/>
      <c r="M5225" s="5"/>
      <c r="N5225" s="5"/>
      <c r="O5225" s="5"/>
      <c r="P5225" s="5"/>
      <c r="Q5225" s="5"/>
      <c r="R5225" s="5"/>
      <c r="S5225" s="5"/>
      <c r="T5225" s="5"/>
      <c r="U5225" s="5"/>
      <c r="V5225" s="5"/>
      <c r="W5225" s="5"/>
      <c r="X5225" s="5"/>
      <c r="Y5225" s="5"/>
      <c r="Z5225" s="5"/>
    </row>
    <row r="5226" spans="1:26" ht="15" x14ac:dyDescent="0.25">
      <c r="A5226" s="4" t="s">
        <v>5224</v>
      </c>
      <c r="B5226" s="4" t="s">
        <v>4550</v>
      </c>
      <c r="C5226" s="2" t="str">
        <f ca="1">IFERROR(__xludf.DUMMYFUNCTION("GOOGLETRANSLATE(A5226,""bn"",""en"")"),"It was a very good movie, I watched it together with my mother, father, brother and sister")</f>
        <v>It was a very good movie, I watched it together with my mother, father, brother and sister</v>
      </c>
      <c r="D5226" s="5"/>
      <c r="E5226" s="5"/>
      <c r="F5226" s="5"/>
      <c r="G5226" s="5"/>
      <c r="H5226" s="5"/>
      <c r="I5226" s="5"/>
      <c r="J5226" s="5"/>
      <c r="K5226" s="5"/>
      <c r="L5226" s="5"/>
      <c r="M5226" s="5"/>
      <c r="N5226" s="5"/>
      <c r="O5226" s="5"/>
      <c r="P5226" s="5"/>
      <c r="Q5226" s="5"/>
      <c r="R5226" s="5"/>
      <c r="S5226" s="5"/>
      <c r="T5226" s="5"/>
      <c r="U5226" s="5"/>
      <c r="V5226" s="5"/>
      <c r="W5226" s="5"/>
      <c r="X5226" s="5"/>
      <c r="Y5226" s="5"/>
      <c r="Z5226" s="5"/>
    </row>
    <row r="5227" spans="1:26" ht="15" x14ac:dyDescent="0.25">
      <c r="A5227" s="4" t="s">
        <v>5225</v>
      </c>
      <c r="B5227" s="4" t="s">
        <v>4550</v>
      </c>
      <c r="C5227" s="2" t="str">
        <f ca="1">IFERROR(__xludf.DUMMYFUNCTION("GOOGLETRANSLATE(A5227,""bn"",""en"")"),"There was a historic super duper hit movie in the history of Bengali cinema")</f>
        <v>There was a historic super duper hit movie in the history of Bengali cinema</v>
      </c>
      <c r="D5227" s="5"/>
      <c r="E5227" s="5"/>
      <c r="F5227" s="5"/>
      <c r="G5227" s="5"/>
      <c r="H5227" s="5"/>
      <c r="I5227" s="5"/>
      <c r="J5227" s="5"/>
      <c r="K5227" s="5"/>
      <c r="L5227" s="5"/>
      <c r="M5227" s="5"/>
      <c r="N5227" s="5"/>
      <c r="O5227" s="5"/>
      <c r="P5227" s="5"/>
      <c r="Q5227" s="5"/>
      <c r="R5227" s="5"/>
      <c r="S5227" s="5"/>
      <c r="T5227" s="5"/>
      <c r="U5227" s="5"/>
      <c r="V5227" s="5"/>
      <c r="W5227" s="5"/>
      <c r="X5227" s="5"/>
      <c r="Y5227" s="5"/>
      <c r="Z5227" s="5"/>
    </row>
    <row r="5228" spans="1:26" ht="15" x14ac:dyDescent="0.25">
      <c r="A5228" s="4" t="s">
        <v>5226</v>
      </c>
      <c r="B5228" s="4" t="s">
        <v>4550</v>
      </c>
      <c r="C5228" s="2" t="str">
        <f ca="1">IFERROR(__xludf.DUMMYFUNCTION("GOOGLETRANSLATE(A5228,""bn"",""en"")"),"Veda's daughter Josna was recognized as the best song in the best film of Bangladesh and became the first best movie of Bangladesh and the record of this movie could not be broken by anyone.")</f>
        <v>Veda's daughter Josna was recognized as the best song in the best film of Bangladesh and became the first best movie of Bangladesh and the record of this movie could not be broken by anyone.</v>
      </c>
      <c r="D5228" s="5"/>
      <c r="E5228" s="5"/>
      <c r="F5228" s="5"/>
      <c r="G5228" s="5"/>
      <c r="H5228" s="5"/>
      <c r="I5228" s="5"/>
      <c r="J5228" s="5"/>
      <c r="K5228" s="5"/>
      <c r="L5228" s="5"/>
      <c r="M5228" s="5"/>
      <c r="N5228" s="5"/>
      <c r="O5228" s="5"/>
      <c r="P5228" s="5"/>
      <c r="Q5228" s="5"/>
      <c r="R5228" s="5"/>
      <c r="S5228" s="5"/>
      <c r="T5228" s="5"/>
      <c r="U5228" s="5"/>
      <c r="V5228" s="5"/>
      <c r="W5228" s="5"/>
      <c r="X5228" s="5"/>
      <c r="Y5228" s="5"/>
      <c r="Z5228" s="5"/>
    </row>
    <row r="5229" spans="1:26" ht="15" x14ac:dyDescent="0.25">
      <c r="A5229" s="4" t="s">
        <v>5227</v>
      </c>
      <c r="B5229" s="4" t="s">
        <v>4550</v>
      </c>
      <c r="C5229" s="2" t="str">
        <f ca="1">IFERROR(__xludf.DUMMYFUNCTION("GOOGLETRANSLATE(A5229,""bn"",""en"")"),"It was a bad movie and felt like a waste of time")</f>
        <v>It was a bad movie and felt like a waste of time</v>
      </c>
      <c r="D5229" s="5"/>
      <c r="E5229" s="5"/>
      <c r="F5229" s="5"/>
      <c r="G5229" s="5"/>
      <c r="H5229" s="5"/>
      <c r="I5229" s="5"/>
      <c r="J5229" s="5"/>
      <c r="K5229" s="5"/>
      <c r="L5229" s="5"/>
      <c r="M5229" s="5"/>
      <c r="N5229" s="5"/>
      <c r="O5229" s="5"/>
      <c r="P5229" s="5"/>
      <c r="Q5229" s="5"/>
      <c r="R5229" s="5"/>
      <c r="S5229" s="5"/>
      <c r="T5229" s="5"/>
      <c r="U5229" s="5"/>
      <c r="V5229" s="5"/>
      <c r="W5229" s="5"/>
      <c r="X5229" s="5"/>
      <c r="Y5229" s="5"/>
      <c r="Z5229" s="5"/>
    </row>
    <row r="5230" spans="1:26" ht="15" x14ac:dyDescent="0.25">
      <c r="A5230" s="4" t="s">
        <v>5228</v>
      </c>
      <c r="B5230" s="4" t="s">
        <v>4550</v>
      </c>
      <c r="C5230" s="2" t="str">
        <f ca="1">IFERROR(__xludf.DUMMYFUNCTION("GOOGLETRANSLATE(A5230,""bn"",""en"")"),"Anju and Ilyas Kanchan starred in the film")</f>
        <v>Anju and Ilyas Kanchan starred in the film</v>
      </c>
      <c r="D5230" s="5"/>
      <c r="E5230" s="5"/>
      <c r="F5230" s="5"/>
      <c r="G5230" s="5"/>
      <c r="H5230" s="5"/>
      <c r="I5230" s="5"/>
      <c r="J5230" s="5"/>
      <c r="K5230" s="5"/>
      <c r="L5230" s="5"/>
      <c r="M5230" s="5"/>
      <c r="N5230" s="5"/>
      <c r="O5230" s="5"/>
      <c r="P5230" s="5"/>
      <c r="Q5230" s="5"/>
      <c r="R5230" s="5"/>
      <c r="S5230" s="5"/>
      <c r="T5230" s="5"/>
      <c r="U5230" s="5"/>
      <c r="V5230" s="5"/>
      <c r="W5230" s="5"/>
      <c r="X5230" s="5"/>
      <c r="Y5230" s="5"/>
      <c r="Z5230" s="5"/>
    </row>
    <row r="5231" spans="1:26" ht="15" x14ac:dyDescent="0.25">
      <c r="A5231" s="4" t="s">
        <v>5229</v>
      </c>
      <c r="B5231" s="4" t="s">
        <v>4550</v>
      </c>
      <c r="C5231" s="2" t="str">
        <f ca="1">IFERROR(__xludf.DUMMYFUNCTION("GOOGLETRANSLATE(A5231,""bn"",""en"")"),"Many thanks were given to the director for giving a real religious movie")</f>
        <v>Many thanks were given to the director for giving a real religious movie</v>
      </c>
      <c r="D5231" s="5"/>
      <c r="E5231" s="5"/>
      <c r="F5231" s="5"/>
      <c r="G5231" s="5"/>
      <c r="H5231" s="5"/>
      <c r="I5231" s="5"/>
      <c r="J5231" s="5"/>
      <c r="K5231" s="5"/>
      <c r="L5231" s="5"/>
      <c r="M5231" s="5"/>
      <c r="N5231" s="5"/>
      <c r="O5231" s="5"/>
      <c r="P5231" s="5"/>
      <c r="Q5231" s="5"/>
      <c r="R5231" s="5"/>
      <c r="S5231" s="5"/>
      <c r="T5231" s="5"/>
      <c r="U5231" s="5"/>
      <c r="V5231" s="5"/>
      <c r="W5231" s="5"/>
      <c r="X5231" s="5"/>
      <c r="Y5231" s="5"/>
      <c r="Z5231" s="5"/>
    </row>
    <row r="5232" spans="1:26" ht="15" x14ac:dyDescent="0.25">
      <c r="A5232" s="4" t="s">
        <v>5230</v>
      </c>
      <c r="B5232" s="4" t="s">
        <v>4550</v>
      </c>
      <c r="C5232" s="2" t="str">
        <f ca="1">IFERROR(__xludf.DUMMYFUNCTION("GOOGLETRANSLATE(A5232,""bn"",""en"")"),"No one else could have portrayed this performance so beautifully in Bubli's place")</f>
        <v>No one else could have portrayed this performance so beautifully in Bubli's place</v>
      </c>
      <c r="D5232" s="5"/>
      <c r="E5232" s="5"/>
      <c r="F5232" s="5"/>
      <c r="G5232" s="5"/>
      <c r="H5232" s="5"/>
      <c r="I5232" s="5"/>
      <c r="J5232" s="5"/>
      <c r="K5232" s="5"/>
      <c r="L5232" s="5"/>
      <c r="M5232" s="5"/>
      <c r="N5232" s="5"/>
      <c r="O5232" s="5"/>
      <c r="P5232" s="5"/>
      <c r="Q5232" s="5"/>
      <c r="R5232" s="5"/>
      <c r="S5232" s="5"/>
      <c r="T5232" s="5"/>
      <c r="U5232" s="5"/>
      <c r="V5232" s="5"/>
      <c r="W5232" s="5"/>
      <c r="X5232" s="5"/>
      <c r="Y5232" s="5"/>
      <c r="Z5232" s="5"/>
    </row>
    <row r="5233" spans="1:26" ht="15" x14ac:dyDescent="0.25">
      <c r="A5233" s="4" t="s">
        <v>5231</v>
      </c>
      <c r="B5233" s="4" t="s">
        <v>4550</v>
      </c>
      <c r="C5233" s="2" t="str">
        <f ca="1">IFERROR(__xludf.DUMMYFUNCTION("GOOGLETRANSLATE(A5233,""bn"",""en"")"),"What a silly story")</f>
        <v>What a silly story</v>
      </c>
      <c r="D5233" s="5"/>
      <c r="E5233" s="5"/>
      <c r="F5233" s="5"/>
      <c r="G5233" s="5"/>
      <c r="H5233" s="5"/>
      <c r="I5233" s="5"/>
      <c r="J5233" s="5"/>
      <c r="K5233" s="5"/>
      <c r="L5233" s="5"/>
      <c r="M5233" s="5"/>
      <c r="N5233" s="5"/>
      <c r="O5233" s="5"/>
      <c r="P5233" s="5"/>
      <c r="Q5233" s="5"/>
      <c r="R5233" s="5"/>
      <c r="S5233" s="5"/>
      <c r="T5233" s="5"/>
      <c r="U5233" s="5"/>
      <c r="V5233" s="5"/>
      <c r="W5233" s="5"/>
      <c r="X5233" s="5"/>
      <c r="Y5233" s="5"/>
      <c r="Z5233" s="5"/>
    </row>
    <row r="5234" spans="1:26" ht="15" x14ac:dyDescent="0.25">
      <c r="A5234" s="4" t="s">
        <v>5232</v>
      </c>
      <c r="B5234" s="4" t="s">
        <v>4550</v>
      </c>
      <c r="C5234" s="2" t="str">
        <f ca="1">IFERROR(__xludf.DUMMYFUNCTION("GOOGLETRANSLATE(A5234,""bn"",""en"")"),"So excited to see the latest content")</f>
        <v>So excited to see the latest content</v>
      </c>
      <c r="D5234" s="5"/>
      <c r="E5234" s="5"/>
      <c r="F5234" s="5"/>
      <c r="G5234" s="5"/>
      <c r="H5234" s="5"/>
      <c r="I5234" s="5"/>
      <c r="J5234" s="5"/>
      <c r="K5234" s="5"/>
      <c r="L5234" s="5"/>
      <c r="M5234" s="5"/>
      <c r="N5234" s="5"/>
      <c r="O5234" s="5"/>
      <c r="P5234" s="5"/>
      <c r="Q5234" s="5"/>
      <c r="R5234" s="5"/>
      <c r="S5234" s="5"/>
      <c r="T5234" s="5"/>
      <c r="U5234" s="5"/>
      <c r="V5234" s="5"/>
      <c r="W5234" s="5"/>
      <c r="X5234" s="5"/>
      <c r="Y5234" s="5"/>
      <c r="Z5234" s="5"/>
    </row>
    <row r="5235" spans="1:26" ht="15" x14ac:dyDescent="0.25">
      <c r="A5235" s="4" t="s">
        <v>5233</v>
      </c>
      <c r="B5235" s="4" t="s">
        <v>4550</v>
      </c>
      <c r="C5235" s="2" t="str">
        <f ca="1">IFERROR(__xludf.DUMMYFUNCTION("GOOGLETRANSLATE(A5235,""bn"",""en"")"),"I used to share his food and his poverty")</f>
        <v>I used to share his food and his poverty</v>
      </c>
      <c r="D5235" s="5"/>
      <c r="E5235" s="5"/>
      <c r="F5235" s="5"/>
      <c r="G5235" s="5"/>
      <c r="H5235" s="5"/>
      <c r="I5235" s="5"/>
      <c r="J5235" s="5"/>
      <c r="K5235" s="5"/>
      <c r="L5235" s="5"/>
      <c r="M5235" s="5"/>
      <c r="N5235" s="5"/>
      <c r="O5235" s="5"/>
      <c r="P5235" s="5"/>
      <c r="Q5235" s="5"/>
      <c r="R5235" s="5"/>
      <c r="S5235" s="5"/>
      <c r="T5235" s="5"/>
      <c r="U5235" s="5"/>
      <c r="V5235" s="5"/>
      <c r="W5235" s="5"/>
      <c r="X5235" s="5"/>
      <c r="Y5235" s="5"/>
      <c r="Z5235" s="5"/>
    </row>
    <row r="5236" spans="1:26" ht="15" x14ac:dyDescent="0.25">
      <c r="A5236" s="4" t="s">
        <v>5234</v>
      </c>
      <c r="B5236" s="4" t="s">
        <v>4550</v>
      </c>
      <c r="C5236" s="2" t="str">
        <f ca="1">IFERROR(__xludf.DUMMYFUNCTION("GOOGLETRANSLATE(A5236,""bn"",""en"")"),"It was good when I was a child, I didn't care how much time was passing by playing a beautiful game")</f>
        <v>It was good when I was a child, I didn't care how much time was passing by playing a beautiful game</v>
      </c>
      <c r="D5236" s="5"/>
      <c r="E5236" s="5"/>
      <c r="F5236" s="5"/>
      <c r="G5236" s="5"/>
      <c r="H5236" s="5"/>
      <c r="I5236" s="5"/>
      <c r="J5236" s="5"/>
      <c r="K5236" s="5"/>
      <c r="L5236" s="5"/>
      <c r="M5236" s="5"/>
      <c r="N5236" s="5"/>
      <c r="O5236" s="5"/>
      <c r="P5236" s="5"/>
      <c r="Q5236" s="5"/>
      <c r="R5236" s="5"/>
      <c r="S5236" s="5"/>
      <c r="T5236" s="5"/>
      <c r="U5236" s="5"/>
      <c r="V5236" s="5"/>
      <c r="W5236" s="5"/>
      <c r="X5236" s="5"/>
      <c r="Y5236" s="5"/>
      <c r="Z5236" s="5"/>
    </row>
    <row r="5237" spans="1:26" ht="15" x14ac:dyDescent="0.25">
      <c r="A5237" s="4" t="s">
        <v>5235</v>
      </c>
      <c r="B5237" s="4" t="s">
        <v>4550</v>
      </c>
      <c r="C5237" s="2" t="str">
        <f ca="1">IFERROR(__xludf.DUMMYFUNCTION("GOOGLETRANSLATE(A5237,""bn"",""en"")"),"I saw many beautiful movies")</f>
        <v>I saw many beautiful movies</v>
      </c>
      <c r="D5237" s="5"/>
      <c r="E5237" s="5"/>
      <c r="F5237" s="5"/>
      <c r="G5237" s="5"/>
      <c r="H5237" s="5"/>
      <c r="I5237" s="5"/>
      <c r="J5237" s="5"/>
      <c r="K5237" s="5"/>
      <c r="L5237" s="5"/>
      <c r="M5237" s="5"/>
      <c r="N5237" s="5"/>
      <c r="O5237" s="5"/>
      <c r="P5237" s="5"/>
      <c r="Q5237" s="5"/>
      <c r="R5237" s="5"/>
      <c r="S5237" s="5"/>
      <c r="T5237" s="5"/>
      <c r="U5237" s="5"/>
      <c r="V5237" s="5"/>
      <c r="W5237" s="5"/>
      <c r="X5237" s="5"/>
      <c r="Y5237" s="5"/>
      <c r="Z5237" s="5"/>
    </row>
    <row r="5238" spans="1:26" ht="15" x14ac:dyDescent="0.25">
      <c r="A5238" s="4" t="s">
        <v>5236</v>
      </c>
      <c r="B5238" s="4" t="s">
        <v>4550</v>
      </c>
      <c r="C5238" s="2" t="str">
        <f ca="1">IFERROR(__xludf.DUMMYFUNCTION("GOOGLETRANSLATE(A5238,""bn"",""en"")"),"This movie was widely accepted as the best movie of two eras")</f>
        <v>This movie was widely accepted as the best movie of two eras</v>
      </c>
      <c r="D5238" s="5"/>
      <c r="E5238" s="5"/>
      <c r="F5238" s="5"/>
      <c r="G5238" s="5"/>
      <c r="H5238" s="5"/>
      <c r="I5238" s="5"/>
      <c r="J5238" s="5"/>
      <c r="K5238" s="5"/>
      <c r="L5238" s="5"/>
      <c r="M5238" s="5"/>
      <c r="N5238" s="5"/>
      <c r="O5238" s="5"/>
      <c r="P5238" s="5"/>
      <c r="Q5238" s="5"/>
      <c r="R5238" s="5"/>
      <c r="S5238" s="5"/>
      <c r="T5238" s="5"/>
      <c r="U5238" s="5"/>
      <c r="V5238" s="5"/>
      <c r="W5238" s="5"/>
      <c r="X5238" s="5"/>
      <c r="Y5238" s="5"/>
      <c r="Z5238" s="5"/>
    </row>
    <row r="5239" spans="1:26" ht="15" x14ac:dyDescent="0.25">
      <c r="A5239" s="4" t="s">
        <v>5237</v>
      </c>
      <c r="B5239" s="4" t="s">
        <v>4550</v>
      </c>
      <c r="C5239" s="2" t="str">
        <f ca="1">IFERROR(__xludf.DUMMYFUNCTION("GOOGLETRANSLATE(A5239,""bn"",""en"")"),"It was the best comedy movie I have ever seen in my life")</f>
        <v>It was the best comedy movie I have ever seen in my life</v>
      </c>
      <c r="D5239" s="5"/>
      <c r="E5239" s="5"/>
      <c r="F5239" s="5"/>
      <c r="G5239" s="5"/>
      <c r="H5239" s="5"/>
      <c r="I5239" s="5"/>
      <c r="J5239" s="5"/>
      <c r="K5239" s="5"/>
      <c r="L5239" s="5"/>
      <c r="M5239" s="5"/>
      <c r="N5239" s="5"/>
      <c r="O5239" s="5"/>
      <c r="P5239" s="5"/>
      <c r="Q5239" s="5"/>
      <c r="R5239" s="5"/>
      <c r="S5239" s="5"/>
      <c r="T5239" s="5"/>
      <c r="U5239" s="5"/>
      <c r="V5239" s="5"/>
      <c r="W5239" s="5"/>
      <c r="X5239" s="5"/>
      <c r="Y5239" s="5"/>
      <c r="Z5239" s="5"/>
    </row>
    <row r="5240" spans="1:26" ht="15" x14ac:dyDescent="0.25">
      <c r="A5240" s="4" t="s">
        <v>5238</v>
      </c>
      <c r="B5240" s="4" t="s">
        <v>4550</v>
      </c>
      <c r="C5240" s="2" t="str">
        <f ca="1">IFERROR(__xludf.DUMMYFUNCTION("GOOGLETRANSLATE(A5240,""bn"",""en"")"),"A very beautiful heart touching Bengali movie Shabana compared to Shabana")</f>
        <v>A very beautiful heart touching Bengali movie Shabana compared to Shabana</v>
      </c>
      <c r="D5240" s="5"/>
      <c r="E5240" s="5"/>
      <c r="F5240" s="5"/>
      <c r="G5240" s="5"/>
      <c r="H5240" s="5"/>
      <c r="I5240" s="5"/>
      <c r="J5240" s="5"/>
      <c r="K5240" s="5"/>
      <c r="L5240" s="5"/>
      <c r="M5240" s="5"/>
      <c r="N5240" s="5"/>
      <c r="O5240" s="5"/>
      <c r="P5240" s="5"/>
      <c r="Q5240" s="5"/>
      <c r="R5240" s="5"/>
      <c r="S5240" s="5"/>
      <c r="T5240" s="5"/>
      <c r="U5240" s="5"/>
      <c r="V5240" s="5"/>
      <c r="W5240" s="5"/>
      <c r="X5240" s="5"/>
      <c r="Y5240" s="5"/>
      <c r="Z5240" s="5"/>
    </row>
    <row r="5241" spans="1:26" ht="15" x14ac:dyDescent="0.25">
      <c r="A5241" s="4" t="s">
        <v>5239</v>
      </c>
      <c r="B5241" s="4" t="s">
        <v>4550</v>
      </c>
      <c r="C5241" s="2" t="str">
        <f ca="1">IFERROR(__xludf.DUMMYFUNCTION("GOOGLETRANSLATE(A5241,""bn"",""en"")"),"The film was very good")</f>
        <v>The film was very good</v>
      </c>
      <c r="D5241" s="5"/>
      <c r="E5241" s="5"/>
      <c r="F5241" s="5"/>
      <c r="G5241" s="5"/>
      <c r="H5241" s="5"/>
      <c r="I5241" s="5"/>
      <c r="J5241" s="5"/>
      <c r="K5241" s="5"/>
      <c r="L5241" s="5"/>
      <c r="M5241" s="5"/>
      <c r="N5241" s="5"/>
      <c r="O5241" s="5"/>
      <c r="P5241" s="5"/>
      <c r="Q5241" s="5"/>
      <c r="R5241" s="5"/>
      <c r="S5241" s="5"/>
      <c r="T5241" s="5"/>
      <c r="U5241" s="5"/>
      <c r="V5241" s="5"/>
      <c r="W5241" s="5"/>
      <c r="X5241" s="5"/>
      <c r="Y5241" s="5"/>
      <c r="Z5241" s="5"/>
    </row>
    <row r="5242" spans="1:26" ht="15" x14ac:dyDescent="0.25">
      <c r="A5242" s="4" t="s">
        <v>5240</v>
      </c>
      <c r="B5242" s="4" t="s">
        <v>4550</v>
      </c>
      <c r="C5242" s="2" t="str">
        <f ca="1">IFERROR(__xludf.DUMMYFUNCTION("GOOGLETRANSLATE(A5242,""bn"",""en"")"),"It was very bad")</f>
        <v>It was very bad</v>
      </c>
      <c r="D5242" s="5"/>
      <c r="E5242" s="5"/>
      <c r="F5242" s="5"/>
      <c r="G5242" s="5"/>
      <c r="H5242" s="5"/>
      <c r="I5242" s="5"/>
      <c r="J5242" s="5"/>
      <c r="K5242" s="5"/>
      <c r="L5242" s="5"/>
      <c r="M5242" s="5"/>
      <c r="N5242" s="5"/>
      <c r="O5242" s="5"/>
      <c r="P5242" s="5"/>
      <c r="Q5242" s="5"/>
      <c r="R5242" s="5"/>
      <c r="S5242" s="5"/>
      <c r="T5242" s="5"/>
      <c r="U5242" s="5"/>
      <c r="V5242" s="5"/>
      <c r="W5242" s="5"/>
      <c r="X5242" s="5"/>
      <c r="Y5242" s="5"/>
      <c r="Z5242" s="5"/>
    </row>
    <row r="5243" spans="1:26" ht="15" x14ac:dyDescent="0.25">
      <c r="A5243" s="4" t="s">
        <v>5241</v>
      </c>
      <c r="B5243" s="4" t="s">
        <v>4550</v>
      </c>
      <c r="C5243" s="2" t="str">
        <f ca="1">IFERROR(__xludf.DUMMYFUNCTION("GOOGLETRANSLATE(A5243,""bn"",""en"")"),"Tiktok's short film would have been better than this")</f>
        <v>Tiktok's short film would have been better than this</v>
      </c>
      <c r="D5243" s="5"/>
      <c r="E5243" s="5"/>
      <c r="F5243" s="5"/>
      <c r="G5243" s="5"/>
      <c r="H5243" s="5"/>
      <c r="I5243" s="5"/>
      <c r="J5243" s="5"/>
      <c r="K5243" s="5"/>
      <c r="L5243" s="5"/>
      <c r="M5243" s="5"/>
      <c r="N5243" s="5"/>
      <c r="O5243" s="5"/>
      <c r="P5243" s="5"/>
      <c r="Q5243" s="5"/>
      <c r="R5243" s="5"/>
      <c r="S5243" s="5"/>
      <c r="T5243" s="5"/>
      <c r="U5243" s="5"/>
      <c r="V5243" s="5"/>
      <c r="W5243" s="5"/>
      <c r="X5243" s="5"/>
      <c r="Y5243" s="5"/>
      <c r="Z5243" s="5"/>
    </row>
    <row r="5244" spans="1:26" ht="15" x14ac:dyDescent="0.25">
      <c r="A5244" s="4" t="s">
        <v>5242</v>
      </c>
      <c r="B5244" s="4" t="s">
        <v>4550</v>
      </c>
      <c r="C5244" s="2" t="str">
        <f ca="1">IFERROR(__xludf.DUMMYFUNCTION("GOOGLETRANSLATE(A5244,""bn"",""en"")"),"I did not understand what happened to the story")</f>
        <v>I did not understand what happened to the story</v>
      </c>
      <c r="D5244" s="5"/>
      <c r="E5244" s="5"/>
      <c r="F5244" s="5"/>
      <c r="G5244" s="5"/>
      <c r="H5244" s="5"/>
      <c r="I5244" s="5"/>
      <c r="J5244" s="5"/>
      <c r="K5244" s="5"/>
      <c r="L5244" s="5"/>
      <c r="M5244" s="5"/>
      <c r="N5244" s="5"/>
      <c r="O5244" s="5"/>
      <c r="P5244" s="5"/>
      <c r="Q5244" s="5"/>
      <c r="R5244" s="5"/>
      <c r="S5244" s="5"/>
      <c r="T5244" s="5"/>
      <c r="U5244" s="5"/>
      <c r="V5244" s="5"/>
      <c r="W5244" s="5"/>
      <c r="X5244" s="5"/>
      <c r="Y5244" s="5"/>
      <c r="Z5244" s="5"/>
    </row>
    <row r="5245" spans="1:26" ht="15" x14ac:dyDescent="0.25">
      <c r="A5245" s="4" t="s">
        <v>5243</v>
      </c>
      <c r="B5245" s="4" t="s">
        <v>4550</v>
      </c>
      <c r="C5245" s="2" t="str">
        <f ca="1">IFERROR(__xludf.DUMMYFUNCTION("GOOGLETRANSLATE(A5245,""bn"",""en"")"),"Jeet didn't like it before")</f>
        <v>Jeet didn't like it before</v>
      </c>
      <c r="D5245" s="5"/>
      <c r="E5245" s="5"/>
      <c r="F5245" s="5"/>
      <c r="G5245" s="5"/>
      <c r="H5245" s="5"/>
      <c r="I5245" s="5"/>
      <c r="J5245" s="5"/>
      <c r="K5245" s="5"/>
      <c r="L5245" s="5"/>
      <c r="M5245" s="5"/>
      <c r="N5245" s="5"/>
      <c r="O5245" s="5"/>
      <c r="P5245" s="5"/>
      <c r="Q5245" s="5"/>
      <c r="R5245" s="5"/>
      <c r="S5245" s="5"/>
      <c r="T5245" s="5"/>
      <c r="U5245" s="5"/>
      <c r="V5245" s="5"/>
      <c r="W5245" s="5"/>
      <c r="X5245" s="5"/>
      <c r="Y5245" s="5"/>
      <c r="Z5245" s="5"/>
    </row>
    <row r="5246" spans="1:26" ht="15" x14ac:dyDescent="0.25">
      <c r="A5246" s="4" t="s">
        <v>5244</v>
      </c>
      <c r="B5246" s="4" t="s">
        <v>4550</v>
      </c>
      <c r="C5246" s="2" t="str">
        <f ca="1">IFERROR(__xludf.DUMMYFUNCTION("GOOGLETRANSLATE(A5246,""bn"",""en"")"),"How four to five talented artists acted in this kind of movie")</f>
        <v>How four to five talented artists acted in this kind of movie</v>
      </c>
      <c r="D5246" s="5"/>
      <c r="E5246" s="5"/>
      <c r="F5246" s="5"/>
      <c r="G5246" s="5"/>
      <c r="H5246" s="5"/>
      <c r="I5246" s="5"/>
      <c r="J5246" s="5"/>
      <c r="K5246" s="5"/>
      <c r="L5246" s="5"/>
      <c r="M5246" s="5"/>
      <c r="N5246" s="5"/>
      <c r="O5246" s="5"/>
      <c r="P5246" s="5"/>
      <c r="Q5246" s="5"/>
      <c r="R5246" s="5"/>
      <c r="S5246" s="5"/>
      <c r="T5246" s="5"/>
      <c r="U5246" s="5"/>
      <c r="V5246" s="5"/>
      <c r="W5246" s="5"/>
      <c r="X5246" s="5"/>
      <c r="Y5246" s="5"/>
      <c r="Z5246" s="5"/>
    </row>
    <row r="5247" spans="1:26" ht="15" x14ac:dyDescent="0.25">
      <c r="A5247" s="4" t="s">
        <v>5245</v>
      </c>
      <c r="B5247" s="4" t="s">
        <v>4550</v>
      </c>
      <c r="C5247" s="2" t="str">
        <f ca="1">IFERROR(__xludf.DUMMYFUNCTION("GOOGLETRANSLATE(A5247,""bn"",""en"")"),"I went into a coma after watching this movie")</f>
        <v>I went into a coma after watching this movie</v>
      </c>
      <c r="D5247" s="5"/>
      <c r="E5247" s="5"/>
      <c r="F5247" s="5"/>
      <c r="G5247" s="5"/>
      <c r="H5247" s="5"/>
      <c r="I5247" s="5"/>
      <c r="J5247" s="5"/>
      <c r="K5247" s="5"/>
      <c r="L5247" s="5"/>
      <c r="M5247" s="5"/>
      <c r="N5247" s="5"/>
      <c r="O5247" s="5"/>
      <c r="P5247" s="5"/>
      <c r="Q5247" s="5"/>
      <c r="R5247" s="5"/>
      <c r="S5247" s="5"/>
      <c r="T5247" s="5"/>
      <c r="U5247" s="5"/>
      <c r="V5247" s="5"/>
      <c r="W5247" s="5"/>
      <c r="X5247" s="5"/>
      <c r="Y5247" s="5"/>
      <c r="Z5247" s="5"/>
    </row>
    <row r="5248" spans="1:26" ht="15" x14ac:dyDescent="0.25">
      <c r="A5248" s="4" t="s">
        <v>5246</v>
      </c>
      <c r="B5248" s="4" t="s">
        <v>4550</v>
      </c>
      <c r="C5248" s="2" t="str">
        <f ca="1">IFERROR(__xludf.DUMMYFUNCTION("GOOGLETRANSLATE(A5248,""bn"",""en"")"),"The songs of the movie were amazing and the voice of Andu Kishore Sarre was more than loved")</f>
        <v>The songs of the movie were amazing and the voice of Andu Kishore Sarre was more than loved</v>
      </c>
      <c r="D5248" s="5"/>
      <c r="E5248" s="5"/>
      <c r="F5248" s="5"/>
      <c r="G5248" s="5"/>
      <c r="H5248" s="5"/>
      <c r="I5248" s="5"/>
      <c r="J5248" s="5"/>
      <c r="K5248" s="5"/>
      <c r="L5248" s="5"/>
      <c r="M5248" s="5"/>
      <c r="N5248" s="5"/>
      <c r="O5248" s="5"/>
      <c r="P5248" s="5"/>
      <c r="Q5248" s="5"/>
      <c r="R5248" s="5"/>
      <c r="S5248" s="5"/>
      <c r="T5248" s="5"/>
      <c r="U5248" s="5"/>
      <c r="V5248" s="5"/>
      <c r="W5248" s="5"/>
      <c r="X5248" s="5"/>
      <c r="Y5248" s="5"/>
      <c r="Z5248" s="5"/>
    </row>
    <row r="5249" spans="1:26" ht="15" x14ac:dyDescent="0.25">
      <c r="A5249" s="4" t="s">
        <v>5247</v>
      </c>
      <c r="B5249" s="4" t="s">
        <v>4550</v>
      </c>
      <c r="C5249" s="2" t="str">
        <f ca="1">IFERROR(__xludf.DUMMYFUNCTION("GOOGLETRANSLATE(A5249,""bn"",""en"")"),"It was a very beautiful movie, the real story came out in this movie")</f>
        <v>It was a very beautiful movie, the real story came out in this movie</v>
      </c>
      <c r="D5249" s="5"/>
      <c r="E5249" s="5"/>
      <c r="F5249" s="5"/>
      <c r="G5249" s="5"/>
      <c r="H5249" s="5"/>
      <c r="I5249" s="5"/>
      <c r="J5249" s="5"/>
      <c r="K5249" s="5"/>
      <c r="L5249" s="5"/>
      <c r="M5249" s="5"/>
      <c r="N5249" s="5"/>
      <c r="O5249" s="5"/>
      <c r="P5249" s="5"/>
      <c r="Q5249" s="5"/>
      <c r="R5249" s="5"/>
      <c r="S5249" s="5"/>
      <c r="T5249" s="5"/>
      <c r="U5249" s="5"/>
      <c r="V5249" s="5"/>
      <c r="W5249" s="5"/>
      <c r="X5249" s="5"/>
      <c r="Y5249" s="5"/>
      <c r="Z5249" s="5"/>
    </row>
    <row r="5250" spans="1:26" ht="15" x14ac:dyDescent="0.25">
      <c r="A5250" s="4" t="s">
        <v>5248</v>
      </c>
      <c r="B5250" s="4" t="s">
        <v>4550</v>
      </c>
      <c r="C5250" s="2" t="str">
        <f ca="1">IFERROR(__xludf.DUMMYFUNCTION("GOOGLETRANSLATE(A5250,""bn"",""en"")"),"They were somewhat antisocial")</f>
        <v>They were somewhat antisocial</v>
      </c>
      <c r="D5250" s="5"/>
      <c r="E5250" s="5"/>
      <c r="F5250" s="5"/>
      <c r="G5250" s="5"/>
      <c r="H5250" s="5"/>
      <c r="I5250" s="5"/>
      <c r="J5250" s="5"/>
      <c r="K5250" s="5"/>
      <c r="L5250" s="5"/>
      <c r="M5250" s="5"/>
      <c r="N5250" s="5"/>
      <c r="O5250" s="5"/>
      <c r="P5250" s="5"/>
      <c r="Q5250" s="5"/>
      <c r="R5250" s="5"/>
      <c r="S5250" s="5"/>
      <c r="T5250" s="5"/>
      <c r="U5250" s="5"/>
      <c r="V5250" s="5"/>
      <c r="W5250" s="5"/>
      <c r="X5250" s="5"/>
      <c r="Y5250" s="5"/>
      <c r="Z5250" s="5"/>
    </row>
    <row r="5251" spans="1:26" ht="15" x14ac:dyDescent="0.25">
      <c r="A5251" s="4" t="s">
        <v>5249</v>
      </c>
      <c r="B5251" s="4" t="s">
        <v>4550</v>
      </c>
      <c r="C5251" s="2" t="str">
        <f ca="1">IFERROR(__xludf.DUMMYFUNCTION("GOOGLETRANSLATE(A5251,""bn"",""en"")"),"Jaya Ahsan had such a bad accent and poor acting")</f>
        <v>Jaya Ahsan had such a bad accent and poor acting</v>
      </c>
      <c r="D5251" s="5"/>
      <c r="E5251" s="5"/>
      <c r="F5251" s="5"/>
      <c r="G5251" s="5"/>
      <c r="H5251" s="5"/>
      <c r="I5251" s="5"/>
      <c r="J5251" s="5"/>
      <c r="K5251" s="5"/>
      <c r="L5251" s="5"/>
      <c r="M5251" s="5"/>
      <c r="N5251" s="5"/>
      <c r="O5251" s="5"/>
      <c r="P5251" s="5"/>
      <c r="Q5251" s="5"/>
      <c r="R5251" s="5"/>
      <c r="S5251" s="5"/>
      <c r="T5251" s="5"/>
      <c r="U5251" s="5"/>
      <c r="V5251" s="5"/>
      <c r="W5251" s="5"/>
      <c r="X5251" s="5"/>
      <c r="Y5251" s="5"/>
      <c r="Z5251" s="5"/>
    </row>
    <row r="5252" spans="1:26" ht="15" x14ac:dyDescent="0.25">
      <c r="A5252" s="4" t="s">
        <v>5250</v>
      </c>
      <c r="B5252" s="4" t="s">
        <v>4550</v>
      </c>
      <c r="C5252" s="2" t="str">
        <f ca="1">IFERROR(__xludf.DUMMYFUNCTION("GOOGLETRANSLATE(A5252,""bn"",""en"")"),"If someone from other countries saw them, they would feel ashamed")</f>
        <v>If someone from other countries saw them, they would feel ashamed</v>
      </c>
      <c r="D5252" s="5"/>
      <c r="E5252" s="5"/>
      <c r="F5252" s="5"/>
      <c r="G5252" s="5"/>
      <c r="H5252" s="5"/>
      <c r="I5252" s="5"/>
      <c r="J5252" s="5"/>
      <c r="K5252" s="5"/>
      <c r="L5252" s="5"/>
      <c r="M5252" s="5"/>
      <c r="N5252" s="5"/>
      <c r="O5252" s="5"/>
      <c r="P5252" s="5"/>
      <c r="Q5252" s="5"/>
      <c r="R5252" s="5"/>
      <c r="S5252" s="5"/>
      <c r="T5252" s="5"/>
      <c r="U5252" s="5"/>
      <c r="V5252" s="5"/>
      <c r="W5252" s="5"/>
      <c r="X5252" s="5"/>
      <c r="Y5252" s="5"/>
      <c r="Z5252" s="5"/>
    </row>
    <row r="5253" spans="1:26" ht="15" x14ac:dyDescent="0.25">
      <c r="A5253" s="4" t="s">
        <v>5251</v>
      </c>
      <c r="B5253" s="4" t="s">
        <v>4550</v>
      </c>
      <c r="C5253" s="2" t="str">
        <f ca="1">IFERROR(__xludf.DUMMYFUNCTION("GOOGLETRANSLATE(A5253,""bn"",""en"")"),"It was a completely useless picture")</f>
        <v>It was a completely useless picture</v>
      </c>
      <c r="D5253" s="5"/>
      <c r="E5253" s="5"/>
      <c r="F5253" s="5"/>
      <c r="G5253" s="5"/>
      <c r="H5253" s="5"/>
      <c r="I5253" s="5"/>
      <c r="J5253" s="5"/>
      <c r="K5253" s="5"/>
      <c r="L5253" s="5"/>
      <c r="M5253" s="5"/>
      <c r="N5253" s="5"/>
      <c r="O5253" s="5"/>
      <c r="P5253" s="5"/>
      <c r="Q5253" s="5"/>
      <c r="R5253" s="5"/>
      <c r="S5253" s="5"/>
      <c r="T5253" s="5"/>
      <c r="U5253" s="5"/>
      <c r="V5253" s="5"/>
      <c r="W5253" s="5"/>
      <c r="X5253" s="5"/>
      <c r="Y5253" s="5"/>
      <c r="Z5253" s="5"/>
    </row>
    <row r="5254" spans="1:26" ht="15" x14ac:dyDescent="0.25">
      <c r="A5254" s="4" t="s">
        <v>5252</v>
      </c>
      <c r="B5254" s="4" t="s">
        <v>4550</v>
      </c>
      <c r="C5254" s="2" t="str">
        <f ca="1">IFERROR(__xludf.DUMMYFUNCTION("GOOGLETRANSLATE(A5254,""bn"",""en"")"),"This is a pure joy of film, story, society, acting")</f>
        <v>This is a pure joy of film, story, society, acting</v>
      </c>
      <c r="D5254" s="5"/>
      <c r="E5254" s="5"/>
      <c r="F5254" s="5"/>
      <c r="G5254" s="5"/>
      <c r="H5254" s="5"/>
      <c r="I5254" s="5"/>
      <c r="J5254" s="5"/>
      <c r="K5254" s="5"/>
      <c r="L5254" s="5"/>
      <c r="M5254" s="5"/>
      <c r="N5254" s="5"/>
      <c r="O5254" s="5"/>
      <c r="P5254" s="5"/>
      <c r="Q5254" s="5"/>
      <c r="R5254" s="5"/>
      <c r="S5254" s="5"/>
      <c r="T5254" s="5"/>
      <c r="U5254" s="5"/>
      <c r="V5254" s="5"/>
      <c r="W5254" s="5"/>
      <c r="X5254" s="5"/>
      <c r="Y5254" s="5"/>
      <c r="Z5254" s="5"/>
    </row>
    <row r="5255" spans="1:26" ht="15" x14ac:dyDescent="0.25">
      <c r="A5255" s="4" t="s">
        <v>5253</v>
      </c>
      <c r="B5255" s="4" t="s">
        <v>4550</v>
      </c>
      <c r="C5255" s="2" t="str">
        <f ca="1">IFERROR(__xludf.DUMMYFUNCTION("GOOGLETRANSLATE(A5255,""bn"",""en"")"),"Such a movie has not been made on the soil of Bengal")</f>
        <v>Such a movie has not been made on the soil of Bengal</v>
      </c>
      <c r="D5255" s="5"/>
      <c r="E5255" s="5"/>
      <c r="F5255" s="5"/>
      <c r="G5255" s="5"/>
      <c r="H5255" s="5"/>
      <c r="I5255" s="5"/>
      <c r="J5255" s="5"/>
      <c r="K5255" s="5"/>
      <c r="L5255" s="5"/>
      <c r="M5255" s="5"/>
      <c r="N5255" s="5"/>
      <c r="O5255" s="5"/>
      <c r="P5255" s="5"/>
      <c r="Q5255" s="5"/>
      <c r="R5255" s="5"/>
      <c r="S5255" s="5"/>
      <c r="T5255" s="5"/>
      <c r="U5255" s="5"/>
      <c r="V5255" s="5"/>
      <c r="W5255" s="5"/>
      <c r="X5255" s="5"/>
      <c r="Y5255" s="5"/>
      <c r="Z5255" s="5"/>
    </row>
    <row r="5256" spans="1:26" ht="15" x14ac:dyDescent="0.25">
      <c r="A5256" s="4" t="s">
        <v>5254</v>
      </c>
      <c r="B5256" s="4" t="s">
        <v>4550</v>
      </c>
      <c r="C5256" s="2" t="str">
        <f ca="1">IFERROR(__xludf.DUMMYFUNCTION("GOOGLETRANSLATE(A5256,""bn"",""en"")"),"Some misunderstanding brought chaos to a family, our human life was built according to these things. The story of the film was very beautiful.")</f>
        <v>Some misunderstanding brought chaos to a family, our human life was built according to these things. The story of the film was very beautiful.</v>
      </c>
      <c r="D5256" s="5"/>
      <c r="E5256" s="5"/>
      <c r="F5256" s="5"/>
      <c r="G5256" s="5"/>
      <c r="H5256" s="5"/>
      <c r="I5256" s="5"/>
      <c r="J5256" s="5"/>
      <c r="K5256" s="5"/>
      <c r="L5256" s="5"/>
      <c r="M5256" s="5"/>
      <c r="N5256" s="5"/>
      <c r="O5256" s="5"/>
      <c r="P5256" s="5"/>
      <c r="Q5256" s="5"/>
      <c r="R5256" s="5"/>
      <c r="S5256" s="5"/>
      <c r="T5256" s="5"/>
      <c r="U5256" s="5"/>
      <c r="V5256" s="5"/>
      <c r="W5256" s="5"/>
      <c r="X5256" s="5"/>
      <c r="Y5256" s="5"/>
      <c r="Z5256" s="5"/>
    </row>
    <row r="5257" spans="1:26" ht="15" x14ac:dyDescent="0.25">
      <c r="A5257" s="4" t="s">
        <v>5255</v>
      </c>
      <c r="B5257" s="4" t="s">
        <v>4550</v>
      </c>
      <c r="C5257" s="2" t="str">
        <f ca="1">IFERROR(__xludf.DUMMYFUNCTION("GOOGLETRANSLATE(A5257,""bn"",""en"")"),"It was a very beautiful picture. After a long time, I watched such a heartwarming movie")</f>
        <v>It was a very beautiful picture. After a long time, I watched such a heartwarming movie</v>
      </c>
      <c r="D5257" s="5"/>
      <c r="E5257" s="5"/>
      <c r="F5257" s="5"/>
      <c r="G5257" s="5"/>
      <c r="H5257" s="5"/>
      <c r="I5257" s="5"/>
      <c r="J5257" s="5"/>
      <c r="K5257" s="5"/>
      <c r="L5257" s="5"/>
      <c r="M5257" s="5"/>
      <c r="N5257" s="5"/>
      <c r="O5257" s="5"/>
      <c r="P5257" s="5"/>
      <c r="Q5257" s="5"/>
      <c r="R5257" s="5"/>
      <c r="S5257" s="5"/>
      <c r="T5257" s="5"/>
      <c r="U5257" s="5"/>
      <c r="V5257" s="5"/>
      <c r="W5257" s="5"/>
      <c r="X5257" s="5"/>
      <c r="Y5257" s="5"/>
      <c r="Z5257" s="5"/>
    </row>
    <row r="5258" spans="1:26" ht="15" x14ac:dyDescent="0.25">
      <c r="A5258" s="4" t="s">
        <v>5256</v>
      </c>
      <c r="B5258" s="4" t="s">
        <v>4550</v>
      </c>
      <c r="C5258" s="2" t="str">
        <f ca="1">IFERROR(__xludf.DUMMYFUNCTION("GOOGLETRANSLATE(A5258,""bn"",""en"")"),"This movie was one of the best movies of Bengali cinema. It filled my heart to see the performance of actors like Bapparaj Shabnaaz Alamgir Shabana Anwara Mostafa.")</f>
        <v>This movie was one of the best movies of Bengali cinema. It filled my heart to see the performance of actors like Bapparaj Shabnaaz Alamgir Shabana Anwara Mostafa.</v>
      </c>
      <c r="D5258" s="5"/>
      <c r="E5258" s="5"/>
      <c r="F5258" s="5"/>
      <c r="G5258" s="5"/>
      <c r="H5258" s="5"/>
      <c r="I5258" s="5"/>
      <c r="J5258" s="5"/>
      <c r="K5258" s="5"/>
      <c r="L5258" s="5"/>
      <c r="M5258" s="5"/>
      <c r="N5258" s="5"/>
      <c r="O5258" s="5"/>
      <c r="P5258" s="5"/>
      <c r="Q5258" s="5"/>
      <c r="R5258" s="5"/>
      <c r="S5258" s="5"/>
      <c r="T5258" s="5"/>
      <c r="U5258" s="5"/>
      <c r="V5258" s="5"/>
      <c r="W5258" s="5"/>
      <c r="X5258" s="5"/>
      <c r="Y5258" s="5"/>
      <c r="Z5258" s="5"/>
    </row>
    <row r="5259" spans="1:26" ht="15" x14ac:dyDescent="0.25">
      <c r="A5259" s="4" t="s">
        <v>5257</v>
      </c>
      <c r="B5259" s="4" t="s">
        <v>4550</v>
      </c>
      <c r="C5259" s="2" t="str">
        <f ca="1">IFERROR(__xludf.DUMMYFUNCTION("GOOGLETRANSLATE(A5259,""bn"",""en"")"),"The movie turned out well for the actor who played Jhinuk")</f>
        <v>The movie turned out well for the actor who played Jhinuk</v>
      </c>
      <c r="D5259" s="5"/>
      <c r="E5259" s="5"/>
      <c r="F5259" s="5"/>
      <c r="G5259" s="5"/>
      <c r="H5259" s="5"/>
      <c r="I5259" s="5"/>
      <c r="J5259" s="5"/>
      <c r="K5259" s="5"/>
      <c r="L5259" s="5"/>
      <c r="M5259" s="5"/>
      <c r="N5259" s="5"/>
      <c r="O5259" s="5"/>
      <c r="P5259" s="5"/>
      <c r="Q5259" s="5"/>
      <c r="R5259" s="5"/>
      <c r="S5259" s="5"/>
      <c r="T5259" s="5"/>
      <c r="U5259" s="5"/>
      <c r="V5259" s="5"/>
      <c r="W5259" s="5"/>
      <c r="X5259" s="5"/>
      <c r="Y5259" s="5"/>
      <c r="Z5259" s="5"/>
    </row>
    <row r="5260" spans="1:26" ht="15" x14ac:dyDescent="0.25">
      <c r="A5260" s="4" t="s">
        <v>5258</v>
      </c>
      <c r="B5260" s="4" t="s">
        <v>4550</v>
      </c>
      <c r="C5260" s="2" t="str">
        <f ca="1">IFERROR(__xludf.DUMMYFUNCTION("GOOGLETRANSLATE(A5260,""bn"",""en"")"),"Honestly I have never seen any of Kangana Ranaut's movies but I saw a small clip of her part in this movie a long time ago but I couldn't find it after much searching. Today I watched the full movie and became a fan of Kangana Ranaut.")</f>
        <v>Honestly I have never seen any of Kangana Ranaut's movies but I saw a small clip of her part in this movie a long time ago but I couldn't find it after much searching. Today I watched the full movie and became a fan of Kangana Ranaut.</v>
      </c>
      <c r="D5260" s="5"/>
      <c r="E5260" s="5"/>
      <c r="F5260" s="5"/>
      <c r="G5260" s="5"/>
      <c r="H5260" s="5"/>
      <c r="I5260" s="5"/>
      <c r="J5260" s="5"/>
      <c r="K5260" s="5"/>
      <c r="L5260" s="5"/>
      <c r="M5260" s="5"/>
      <c r="N5260" s="5"/>
      <c r="O5260" s="5"/>
      <c r="P5260" s="5"/>
      <c r="Q5260" s="5"/>
      <c r="R5260" s="5"/>
      <c r="S5260" s="5"/>
      <c r="T5260" s="5"/>
      <c r="U5260" s="5"/>
      <c r="V5260" s="5"/>
      <c r="W5260" s="5"/>
      <c r="X5260" s="5"/>
      <c r="Y5260" s="5"/>
      <c r="Z5260" s="5"/>
    </row>
    <row r="5261" spans="1:26" ht="15" x14ac:dyDescent="0.25">
      <c r="A5261" s="4" t="s">
        <v>5259</v>
      </c>
      <c r="B5261" s="4" t="s">
        <v>4550</v>
      </c>
      <c r="C5261" s="2" t="str">
        <f ca="1">IFERROR(__xludf.DUMMYFUNCTION("GOOGLETRANSLATE(A5261,""bn"",""en"")"),"The movie was really great. I have seen it many times before but every time I watch it it feels new and Koil and Hiron seem to be the best pair.")</f>
        <v>The movie was really great. I have seen it many times before but every time I watch it it feels new and Koil and Hiron seem to be the best pair.</v>
      </c>
      <c r="D5261" s="5"/>
      <c r="E5261" s="5"/>
      <c r="F5261" s="5"/>
      <c r="G5261" s="5"/>
      <c r="H5261" s="5"/>
      <c r="I5261" s="5"/>
      <c r="J5261" s="5"/>
      <c r="K5261" s="5"/>
      <c r="L5261" s="5"/>
      <c r="M5261" s="5"/>
      <c r="N5261" s="5"/>
      <c r="O5261" s="5"/>
      <c r="P5261" s="5"/>
      <c r="Q5261" s="5"/>
      <c r="R5261" s="5"/>
      <c r="S5261" s="5"/>
      <c r="T5261" s="5"/>
      <c r="U5261" s="5"/>
      <c r="V5261" s="5"/>
      <c r="W5261" s="5"/>
      <c r="X5261" s="5"/>
      <c r="Y5261" s="5"/>
      <c r="Z5261" s="5"/>
    </row>
    <row r="5262" spans="1:26" ht="15" x14ac:dyDescent="0.25">
      <c r="A5262" s="4" t="s">
        <v>5260</v>
      </c>
      <c r="B5262" s="4" t="s">
        <v>4550</v>
      </c>
      <c r="C5262" s="2" t="str">
        <f ca="1">IFERROR(__xludf.DUMMYFUNCTION("GOOGLETRANSLATE(A5262,""bn"",""en"")"),"It's not okay to readmit children who didn't like the ending")</f>
        <v>It's not okay to readmit children who didn't like the ending</v>
      </c>
      <c r="D5262" s="5"/>
      <c r="E5262" s="5"/>
      <c r="F5262" s="5"/>
      <c r="G5262" s="5"/>
      <c r="H5262" s="5"/>
      <c r="I5262" s="5"/>
      <c r="J5262" s="5"/>
      <c r="K5262" s="5"/>
      <c r="L5262" s="5"/>
      <c r="M5262" s="5"/>
      <c r="N5262" s="5"/>
      <c r="O5262" s="5"/>
      <c r="P5262" s="5"/>
      <c r="Q5262" s="5"/>
      <c r="R5262" s="5"/>
      <c r="S5262" s="5"/>
      <c r="T5262" s="5"/>
      <c r="U5262" s="5"/>
      <c r="V5262" s="5"/>
      <c r="W5262" s="5"/>
      <c r="X5262" s="5"/>
      <c r="Y5262" s="5"/>
      <c r="Z5262" s="5"/>
    </row>
    <row r="5263" spans="1:26" ht="15" x14ac:dyDescent="0.25">
      <c r="A5263" s="4" t="s">
        <v>5261</v>
      </c>
      <c r="B5263" s="4" t="s">
        <v>4550</v>
      </c>
      <c r="C5263" s="2" t="str">
        <f ca="1">IFERROR(__xludf.DUMMYFUNCTION("GOOGLETRANSLATE(A5263,""bn"",""en"")"),"Up to Rasgolla, I thought I had watched the whole movie, but after watching it, I realized that I had wasted my time watching a useless movie. It was a very low quality movie.")</f>
        <v>Up to Rasgolla, I thought I had watched the whole movie, but after watching it, I realized that I had wasted my time watching a useless movie. It was a very low quality movie.</v>
      </c>
      <c r="D5263" s="5"/>
      <c r="E5263" s="5"/>
      <c r="F5263" s="5"/>
      <c r="G5263" s="5"/>
      <c r="H5263" s="5"/>
      <c r="I5263" s="5"/>
      <c r="J5263" s="5"/>
      <c r="K5263" s="5"/>
      <c r="L5263" s="5"/>
      <c r="M5263" s="5"/>
      <c r="N5263" s="5"/>
      <c r="O5263" s="5"/>
      <c r="P5263" s="5"/>
      <c r="Q5263" s="5"/>
      <c r="R5263" s="5"/>
      <c r="S5263" s="5"/>
      <c r="T5263" s="5"/>
      <c r="U5263" s="5"/>
      <c r="V5263" s="5"/>
      <c r="W5263" s="5"/>
      <c r="X5263" s="5"/>
      <c r="Y5263" s="5"/>
      <c r="Z5263" s="5"/>
    </row>
    <row r="5264" spans="1:26" ht="15" x14ac:dyDescent="0.25">
      <c r="A5264" s="4" t="s">
        <v>5262</v>
      </c>
      <c r="B5264" s="4" t="s">
        <v>4550</v>
      </c>
      <c r="C5264" s="2" t="str">
        <f ca="1">IFERROR(__xludf.DUMMYFUNCTION("GOOGLETRANSLATE(A5264,""bn"",""en"")"),"I had heard about this movie for a long time, today I saw a wonderful performance that I would not have understood if I had not seen it")</f>
        <v>I had heard about this movie for a long time, today I saw a wonderful performance that I would not have understood if I had not seen it</v>
      </c>
      <c r="D5264" s="5"/>
      <c r="E5264" s="5"/>
      <c r="F5264" s="5"/>
      <c r="G5264" s="5"/>
      <c r="H5264" s="5"/>
      <c r="I5264" s="5"/>
      <c r="J5264" s="5"/>
      <c r="K5264" s="5"/>
      <c r="L5264" s="5"/>
      <c r="M5264" s="5"/>
      <c r="N5264" s="5"/>
      <c r="O5264" s="5"/>
      <c r="P5264" s="5"/>
      <c r="Q5264" s="5"/>
      <c r="R5264" s="5"/>
      <c r="S5264" s="5"/>
      <c r="T5264" s="5"/>
      <c r="U5264" s="5"/>
      <c r="V5264" s="5"/>
      <c r="W5264" s="5"/>
      <c r="X5264" s="5"/>
      <c r="Y5264" s="5"/>
      <c r="Z5264" s="5"/>
    </row>
    <row r="5265" spans="1:26" ht="15" x14ac:dyDescent="0.25">
      <c r="A5265" s="4" t="s">
        <v>5263</v>
      </c>
      <c r="B5265" s="4" t="s">
        <v>4550</v>
      </c>
      <c r="C5265" s="2" t="str">
        <f ca="1">IFERROR(__xludf.DUMMYFUNCTION("GOOGLETRANSLATE(A5265,""bn"",""en"")"),"The director has never made anything other than Furti and Bhog movies")</f>
        <v>The director has never made anything other than Furti and Bhog movies</v>
      </c>
      <c r="D5265" s="5"/>
      <c r="E5265" s="5"/>
      <c r="F5265" s="5"/>
      <c r="G5265" s="5"/>
      <c r="H5265" s="5"/>
      <c r="I5265" s="5"/>
      <c r="J5265" s="5"/>
      <c r="K5265" s="5"/>
      <c r="L5265" s="5"/>
      <c r="M5265" s="5"/>
      <c r="N5265" s="5"/>
      <c r="O5265" s="5"/>
      <c r="P5265" s="5"/>
      <c r="Q5265" s="5"/>
      <c r="R5265" s="5"/>
      <c r="S5265" s="5"/>
      <c r="T5265" s="5"/>
      <c r="U5265" s="5"/>
      <c r="V5265" s="5"/>
      <c r="W5265" s="5"/>
      <c r="X5265" s="5"/>
      <c r="Y5265" s="5"/>
      <c r="Z5265" s="5"/>
    </row>
    <row r="5266" spans="1:26" ht="15" x14ac:dyDescent="0.25">
      <c r="A5266" s="4" t="s">
        <v>5264</v>
      </c>
      <c r="B5266" s="4" t="s">
        <v>4550</v>
      </c>
      <c r="C5266" s="2" t="str">
        <f ca="1">IFERROR(__xludf.DUMMYFUNCTION("GOOGLETRANSLATE(A5266,""bn"",""en"")"),"The house was burnt but the furniture and nothing inside the house was burnt")</f>
        <v>The house was burnt but the furniture and nothing inside the house was burnt</v>
      </c>
      <c r="D5266" s="5"/>
      <c r="E5266" s="5"/>
      <c r="F5266" s="5"/>
      <c r="G5266" s="5"/>
      <c r="H5266" s="5"/>
      <c r="I5266" s="5"/>
      <c r="J5266" s="5"/>
      <c r="K5266" s="5"/>
      <c r="L5266" s="5"/>
      <c r="M5266" s="5"/>
      <c r="N5266" s="5"/>
      <c r="O5266" s="5"/>
      <c r="P5266" s="5"/>
      <c r="Q5266" s="5"/>
      <c r="R5266" s="5"/>
      <c r="S5266" s="5"/>
      <c r="T5266" s="5"/>
      <c r="U5266" s="5"/>
      <c r="V5266" s="5"/>
      <c r="W5266" s="5"/>
      <c r="X5266" s="5"/>
      <c r="Y5266" s="5"/>
      <c r="Z5266" s="5"/>
    </row>
    <row r="5267" spans="1:26" ht="15" x14ac:dyDescent="0.25">
      <c r="A5267" s="4" t="s">
        <v>5265</v>
      </c>
      <c r="B5267" s="4" t="s">
        <v>4550</v>
      </c>
      <c r="C5267" s="2" t="str">
        <f ca="1">IFERROR(__xludf.DUMMYFUNCTION("GOOGLETRANSLATE(A5267,""bn"",""en"")"),"I was used to seeing many different twists at the end of the movie, but today I went crazy with the last twist of this movie.")</f>
        <v>I was used to seeing many different twists at the end of the movie, but today I went crazy with the last twist of this movie.</v>
      </c>
      <c r="D5267" s="5"/>
      <c r="E5267" s="5"/>
      <c r="F5267" s="5"/>
      <c r="G5267" s="5"/>
      <c r="H5267" s="5"/>
      <c r="I5267" s="5"/>
      <c r="J5267" s="5"/>
      <c r="K5267" s="5"/>
      <c r="L5267" s="5"/>
      <c r="M5267" s="5"/>
      <c r="N5267" s="5"/>
      <c r="O5267" s="5"/>
      <c r="P5267" s="5"/>
      <c r="Q5267" s="5"/>
      <c r="R5267" s="5"/>
      <c r="S5267" s="5"/>
      <c r="T5267" s="5"/>
      <c r="U5267" s="5"/>
      <c r="V5267" s="5"/>
      <c r="W5267" s="5"/>
      <c r="X5267" s="5"/>
      <c r="Y5267" s="5"/>
      <c r="Z5267" s="5"/>
    </row>
    <row r="5268" spans="1:26" ht="15" x14ac:dyDescent="0.25">
      <c r="A5268" s="4" t="s">
        <v>5266</v>
      </c>
      <c r="B5268" s="4" t="s">
        <v>4550</v>
      </c>
      <c r="C5268" s="2" t="str">
        <f ca="1">IFERROR(__xludf.DUMMYFUNCTION("GOOGLETRANSLATE(A5268,""bn"",""en"")"),"This girl's performance was not good")</f>
        <v>This girl's performance was not good</v>
      </c>
      <c r="D5268" s="5"/>
      <c r="E5268" s="5"/>
      <c r="F5268" s="5"/>
      <c r="G5268" s="5"/>
      <c r="H5268" s="5"/>
      <c r="I5268" s="5"/>
      <c r="J5268" s="5"/>
      <c r="K5268" s="5"/>
      <c r="L5268" s="5"/>
      <c r="M5268" s="5"/>
      <c r="N5268" s="5"/>
      <c r="O5268" s="5"/>
      <c r="P5268" s="5"/>
      <c r="Q5268" s="5"/>
      <c r="R5268" s="5"/>
      <c r="S5268" s="5"/>
      <c r="T5268" s="5"/>
      <c r="U5268" s="5"/>
      <c r="V5268" s="5"/>
      <c r="W5268" s="5"/>
      <c r="X5268" s="5"/>
      <c r="Y5268" s="5"/>
      <c r="Z5268" s="5"/>
    </row>
    <row r="5269" spans="1:26" ht="15" x14ac:dyDescent="0.25">
      <c r="A5269" s="4" t="s">
        <v>5267</v>
      </c>
      <c r="B5269" s="4" t="s">
        <v>4550</v>
      </c>
      <c r="C5269" s="2" t="str">
        <f ca="1">IFERROR(__xludf.DUMMYFUNCTION("GOOGLETRANSLATE(A5269,""bn"",""en"")"),"A silly movie had no story")</f>
        <v>A silly movie had no story</v>
      </c>
      <c r="D5269" s="5"/>
      <c r="E5269" s="5"/>
      <c r="F5269" s="5"/>
      <c r="G5269" s="5"/>
      <c r="H5269" s="5"/>
      <c r="I5269" s="5"/>
      <c r="J5269" s="5"/>
      <c r="K5269" s="5"/>
      <c r="L5269" s="5"/>
      <c r="M5269" s="5"/>
      <c r="N5269" s="5"/>
      <c r="O5269" s="5"/>
      <c r="P5269" s="5"/>
      <c r="Q5269" s="5"/>
      <c r="R5269" s="5"/>
      <c r="S5269" s="5"/>
      <c r="T5269" s="5"/>
      <c r="U5269" s="5"/>
      <c r="V5269" s="5"/>
      <c r="W5269" s="5"/>
      <c r="X5269" s="5"/>
      <c r="Y5269" s="5"/>
      <c r="Z5269" s="5"/>
    </row>
    <row r="5270" spans="1:26" ht="15" x14ac:dyDescent="0.25">
      <c r="A5270" s="4" t="s">
        <v>5268</v>
      </c>
      <c r="B5270" s="4" t="s">
        <v>4550</v>
      </c>
      <c r="C5270" s="2" t="str">
        <f ca="1">IFERROR(__xludf.DUMMYFUNCTION("GOOGLETRANSLATE(A5270,""bn"",""en"")"),"The film proved how advanced the quality of films in our country was")</f>
        <v>The film proved how advanced the quality of films in our country was</v>
      </c>
      <c r="D5270" s="5"/>
      <c r="E5270" s="5"/>
      <c r="F5270" s="5"/>
      <c r="G5270" s="5"/>
      <c r="H5270" s="5"/>
      <c r="I5270" s="5"/>
      <c r="J5270" s="5"/>
      <c r="K5270" s="5"/>
      <c r="L5270" s="5"/>
      <c r="M5270" s="5"/>
      <c r="N5270" s="5"/>
      <c r="O5270" s="5"/>
      <c r="P5270" s="5"/>
      <c r="Q5270" s="5"/>
      <c r="R5270" s="5"/>
      <c r="S5270" s="5"/>
      <c r="T5270" s="5"/>
      <c r="U5270" s="5"/>
      <c r="V5270" s="5"/>
      <c r="W5270" s="5"/>
      <c r="X5270" s="5"/>
      <c r="Y5270" s="5"/>
      <c r="Z5270" s="5"/>
    </row>
    <row r="5271" spans="1:26" ht="15" x14ac:dyDescent="0.25">
      <c r="A5271" s="4" t="s">
        <v>5269</v>
      </c>
      <c r="B5271" s="4" t="s">
        <v>4550</v>
      </c>
      <c r="C5271" s="2" t="str">
        <f ca="1">IFERROR(__xludf.DUMMYFUNCTION("GOOGLETRANSLATE(A5271,""bn"",""en"")"),"What was the performance of spinning eggs?")</f>
        <v>What was the performance of spinning eggs?</v>
      </c>
      <c r="D5271" s="5"/>
      <c r="E5271" s="5"/>
      <c r="F5271" s="5"/>
      <c r="G5271" s="5"/>
      <c r="H5271" s="5"/>
      <c r="I5271" s="5"/>
      <c r="J5271" s="5"/>
      <c r="K5271" s="5"/>
      <c r="L5271" s="5"/>
      <c r="M5271" s="5"/>
      <c r="N5271" s="5"/>
      <c r="O5271" s="5"/>
      <c r="P5271" s="5"/>
      <c r="Q5271" s="5"/>
      <c r="R5271" s="5"/>
      <c r="S5271" s="5"/>
      <c r="T5271" s="5"/>
      <c r="U5271" s="5"/>
      <c r="V5271" s="5"/>
      <c r="W5271" s="5"/>
      <c r="X5271" s="5"/>
      <c r="Y5271" s="5"/>
      <c r="Z5271" s="5"/>
    </row>
    <row r="5272" spans="1:26" ht="15" x14ac:dyDescent="0.25">
      <c r="A5272" s="4" t="s">
        <v>5270</v>
      </c>
      <c r="B5272" s="4" t="s">
        <v>4550</v>
      </c>
      <c r="C5272" s="2" t="str">
        <f ca="1">IFERROR(__xludf.DUMMYFUNCTION("GOOGLETRANSLATE(A5272,""bn"",""en"")"),"Man Chailo told the director about the movie")</f>
        <v>Man Chailo told the director about the movie</v>
      </c>
      <c r="D5272" s="5"/>
      <c r="E5272" s="5"/>
      <c r="F5272" s="5"/>
      <c r="G5272" s="5"/>
      <c r="H5272" s="5"/>
      <c r="I5272" s="5"/>
      <c r="J5272" s="5"/>
      <c r="K5272" s="5"/>
      <c r="L5272" s="5"/>
      <c r="M5272" s="5"/>
      <c r="N5272" s="5"/>
      <c r="O5272" s="5"/>
      <c r="P5272" s="5"/>
      <c r="Q5272" s="5"/>
      <c r="R5272" s="5"/>
      <c r="S5272" s="5"/>
      <c r="T5272" s="5"/>
      <c r="U5272" s="5"/>
      <c r="V5272" s="5"/>
      <c r="W5272" s="5"/>
      <c r="X5272" s="5"/>
      <c r="Y5272" s="5"/>
      <c r="Z5272" s="5"/>
    </row>
    <row r="5273" spans="1:26" ht="15" x14ac:dyDescent="0.25">
      <c r="A5273" s="4" t="s">
        <v>5271</v>
      </c>
      <c r="B5273" s="4" t="s">
        <v>4550</v>
      </c>
      <c r="C5273" s="2" t="str">
        <f ca="1">IFERROR(__xludf.DUMMYFUNCTION("GOOGLETRANSLATE(A5273,""bn"",""en"")"),"I enjoyed it very much")</f>
        <v>I enjoyed it very much</v>
      </c>
      <c r="D5273" s="5"/>
      <c r="E5273" s="5"/>
      <c r="F5273" s="5"/>
      <c r="G5273" s="5"/>
      <c r="H5273" s="5"/>
      <c r="I5273" s="5"/>
      <c r="J5273" s="5"/>
      <c r="K5273" s="5"/>
      <c r="L5273" s="5"/>
      <c r="M5273" s="5"/>
      <c r="N5273" s="5"/>
      <c r="O5273" s="5"/>
      <c r="P5273" s="5"/>
      <c r="Q5273" s="5"/>
      <c r="R5273" s="5"/>
      <c r="S5273" s="5"/>
      <c r="T5273" s="5"/>
      <c r="U5273" s="5"/>
      <c r="V5273" s="5"/>
      <c r="W5273" s="5"/>
      <c r="X5273" s="5"/>
      <c r="Y5273" s="5"/>
      <c r="Z5273" s="5"/>
    </row>
    <row r="5274" spans="1:26" ht="15" x14ac:dyDescent="0.25">
      <c r="A5274" s="4" t="s">
        <v>5272</v>
      </c>
      <c r="B5274" s="4" t="s">
        <v>4550</v>
      </c>
      <c r="C5274" s="2" t="str">
        <f ca="1">IFERROR(__xludf.DUMMYFUNCTION("GOOGLETRANSLATE(A5274,""bn"",""en"")"),"Society was divided into those who were not united in common hatred and those who were united in common terror.")</f>
        <v>Society was divided into those who were not united in common hatred and those who were united in common terror.</v>
      </c>
      <c r="D5274" s="5"/>
      <c r="E5274" s="5"/>
      <c r="F5274" s="5"/>
      <c r="G5274" s="5"/>
      <c r="H5274" s="5"/>
      <c r="I5274" s="5"/>
      <c r="J5274" s="5"/>
      <c r="K5274" s="5"/>
      <c r="L5274" s="5"/>
      <c r="M5274" s="5"/>
      <c r="N5274" s="5"/>
      <c r="O5274" s="5"/>
      <c r="P5274" s="5"/>
      <c r="Q5274" s="5"/>
      <c r="R5274" s="5"/>
      <c r="S5274" s="5"/>
      <c r="T5274" s="5"/>
      <c r="U5274" s="5"/>
      <c r="V5274" s="5"/>
      <c r="W5274" s="5"/>
      <c r="X5274" s="5"/>
      <c r="Y5274" s="5"/>
      <c r="Z5274" s="5"/>
    </row>
    <row r="5275" spans="1:26" ht="15" x14ac:dyDescent="0.25">
      <c r="A5275" s="4" t="s">
        <v>5273</v>
      </c>
      <c r="B5275" s="4" t="s">
        <v>4550</v>
      </c>
      <c r="C5275" s="2" t="str">
        <f ca="1">IFERROR(__xludf.DUMMYFUNCTION("GOOGLETRANSLATE(A5275,""bn"",""en"")"),"Should have been more elegant in terms of clothing")</f>
        <v>Should have been more elegant in terms of clothing</v>
      </c>
      <c r="D5275" s="5"/>
      <c r="E5275" s="5"/>
      <c r="F5275" s="5"/>
      <c r="G5275" s="5"/>
      <c r="H5275" s="5"/>
      <c r="I5275" s="5"/>
      <c r="J5275" s="5"/>
      <c r="K5275" s="5"/>
      <c r="L5275" s="5"/>
      <c r="M5275" s="5"/>
      <c r="N5275" s="5"/>
      <c r="O5275" s="5"/>
      <c r="P5275" s="5"/>
      <c r="Q5275" s="5"/>
      <c r="R5275" s="5"/>
      <c r="S5275" s="5"/>
      <c r="T5275" s="5"/>
      <c r="U5275" s="5"/>
      <c r="V5275" s="5"/>
      <c r="W5275" s="5"/>
      <c r="X5275" s="5"/>
      <c r="Y5275" s="5"/>
      <c r="Z5275" s="5"/>
    </row>
    <row r="5276" spans="1:26" ht="15" x14ac:dyDescent="0.25">
      <c r="A5276" s="4" t="s">
        <v>5274</v>
      </c>
      <c r="B5276" s="4" t="s">
        <v>4550</v>
      </c>
      <c r="C5276" s="2" t="str">
        <f ca="1">IFERROR(__xludf.DUMMYFUNCTION("GOOGLETRANSLATE(A5276,""bn"",""en"")"),"Twenty minutes was wasted")</f>
        <v>Twenty minutes was wasted</v>
      </c>
      <c r="D5276" s="5"/>
      <c r="E5276" s="5"/>
      <c r="F5276" s="5"/>
      <c r="G5276" s="5"/>
      <c r="H5276" s="5"/>
      <c r="I5276" s="5"/>
      <c r="J5276" s="5"/>
      <c r="K5276" s="5"/>
      <c r="L5276" s="5"/>
      <c r="M5276" s="5"/>
      <c r="N5276" s="5"/>
      <c r="O5276" s="5"/>
      <c r="P5276" s="5"/>
      <c r="Q5276" s="5"/>
      <c r="R5276" s="5"/>
      <c r="S5276" s="5"/>
      <c r="T5276" s="5"/>
      <c r="U5276" s="5"/>
      <c r="V5276" s="5"/>
      <c r="W5276" s="5"/>
      <c r="X5276" s="5"/>
      <c r="Y5276" s="5"/>
      <c r="Z5276" s="5"/>
    </row>
    <row r="5277" spans="1:26" ht="15" x14ac:dyDescent="0.25">
      <c r="A5277" s="4" t="s">
        <v>5275</v>
      </c>
      <c r="B5277" s="4" t="s">
        <v>4550</v>
      </c>
      <c r="C5277" s="2" t="str">
        <f ca="1">IFERROR(__xludf.DUMMYFUNCTION("GOOGLETRANSLATE(A5277,""bn"",""en"")"),"I have seen the film named Garib Bhai many times and it was the best film. All his movies demanded very realistic appreciation")</f>
        <v>I have seen the film named Garib Bhai many times and it was the best film. All his movies demanded very realistic appreciation</v>
      </c>
      <c r="D5277" s="5"/>
      <c r="E5277" s="5"/>
      <c r="F5277" s="5"/>
      <c r="G5277" s="5"/>
      <c r="H5277" s="5"/>
      <c r="I5277" s="5"/>
      <c r="J5277" s="5"/>
      <c r="K5277" s="5"/>
      <c r="L5277" s="5"/>
      <c r="M5277" s="5"/>
      <c r="N5277" s="5"/>
      <c r="O5277" s="5"/>
      <c r="P5277" s="5"/>
      <c r="Q5277" s="5"/>
      <c r="R5277" s="5"/>
      <c r="S5277" s="5"/>
      <c r="T5277" s="5"/>
      <c r="U5277" s="5"/>
      <c r="V5277" s="5"/>
      <c r="W5277" s="5"/>
      <c r="X5277" s="5"/>
      <c r="Y5277" s="5"/>
      <c r="Z5277" s="5"/>
    </row>
    <row r="5278" spans="1:26" ht="15" x14ac:dyDescent="0.25">
      <c r="A5278" s="4" t="s">
        <v>5276</v>
      </c>
      <c r="B5278" s="4" t="s">
        <v>4550</v>
      </c>
      <c r="C5278" s="2" t="str">
        <f ca="1">IFERROR(__xludf.DUMMYFUNCTION("GOOGLETRANSLATE(A5278,""bn"",""en"")"),"Kanchan Dada has done a wonderful performance. I liked your performance very much")</f>
        <v>Kanchan Dada has done a wonderful performance. I liked your performance very much</v>
      </c>
      <c r="D5278" s="5"/>
      <c r="E5278" s="5"/>
      <c r="F5278" s="5"/>
      <c r="G5278" s="5"/>
      <c r="H5278" s="5"/>
      <c r="I5278" s="5"/>
      <c r="J5278" s="5"/>
      <c r="K5278" s="5"/>
      <c r="L5278" s="5"/>
      <c r="M5278" s="5"/>
      <c r="N5278" s="5"/>
      <c r="O5278" s="5"/>
      <c r="P5278" s="5"/>
      <c r="Q5278" s="5"/>
      <c r="R5278" s="5"/>
      <c r="S5278" s="5"/>
      <c r="T5278" s="5"/>
      <c r="U5278" s="5"/>
      <c r="V5278" s="5"/>
      <c r="W5278" s="5"/>
      <c r="X5278" s="5"/>
      <c r="Y5278" s="5"/>
      <c r="Z5278" s="5"/>
    </row>
    <row r="5279" spans="1:26" ht="15" x14ac:dyDescent="0.25">
      <c r="A5279" s="4" t="s">
        <v>5277</v>
      </c>
      <c r="B5279" s="4" t="s">
        <v>4550</v>
      </c>
      <c r="C5279" s="2" t="str">
        <f ca="1">IFERROR(__xludf.DUMMYFUNCTION("GOOGLETRANSLATE(A5279,""bn"",""en"")"),"There was nothing in Aga's head in the picture")</f>
        <v>There was nothing in Aga's head in the picture</v>
      </c>
      <c r="D5279" s="5"/>
      <c r="E5279" s="5"/>
      <c r="F5279" s="5"/>
      <c r="G5279" s="5"/>
      <c r="H5279" s="5"/>
      <c r="I5279" s="5"/>
      <c r="J5279" s="5"/>
      <c r="K5279" s="5"/>
      <c r="L5279" s="5"/>
      <c r="M5279" s="5"/>
      <c r="N5279" s="5"/>
      <c r="O5279" s="5"/>
      <c r="P5279" s="5"/>
      <c r="Q5279" s="5"/>
      <c r="R5279" s="5"/>
      <c r="S5279" s="5"/>
      <c r="T5279" s="5"/>
      <c r="U5279" s="5"/>
      <c r="V5279" s="5"/>
      <c r="W5279" s="5"/>
      <c r="X5279" s="5"/>
      <c r="Y5279" s="5"/>
      <c r="Z5279" s="5"/>
    </row>
    <row r="5280" spans="1:26" ht="15" x14ac:dyDescent="0.25">
      <c r="A5280" s="4" t="s">
        <v>5278</v>
      </c>
      <c r="B5280" s="4" t="s">
        <v>4550</v>
      </c>
      <c r="C5280" s="2" t="str">
        <f ca="1">IFERROR(__xludf.DUMMYFUNCTION("GOOGLETRANSLATE(A5280,""bn"",""en"")"),"The ending is not right")</f>
        <v>The ending is not right</v>
      </c>
      <c r="D5280" s="5"/>
      <c r="E5280" s="5"/>
      <c r="F5280" s="5"/>
      <c r="G5280" s="5"/>
      <c r="H5280" s="5"/>
      <c r="I5280" s="5"/>
      <c r="J5280" s="5"/>
      <c r="K5280" s="5"/>
      <c r="L5280" s="5"/>
      <c r="M5280" s="5"/>
      <c r="N5280" s="5"/>
      <c r="O5280" s="5"/>
      <c r="P5280" s="5"/>
      <c r="Q5280" s="5"/>
      <c r="R5280" s="5"/>
      <c r="S5280" s="5"/>
      <c r="T5280" s="5"/>
      <c r="U5280" s="5"/>
      <c r="V5280" s="5"/>
      <c r="W5280" s="5"/>
      <c r="X5280" s="5"/>
      <c r="Y5280" s="5"/>
      <c r="Z5280" s="5"/>
    </row>
    <row r="5281" spans="1:26" ht="15" x14ac:dyDescent="0.25">
      <c r="A5281" s="4" t="s">
        <v>5279</v>
      </c>
      <c r="B5281" s="4" t="s">
        <v>4550</v>
      </c>
      <c r="C5281" s="2" t="str">
        <f ca="1">IFERROR(__xludf.DUMMYFUNCTION("GOOGLETRANSLATE(A5281,""bn"",""en"")"),"Ananta Jalil gave funny dialogues in the movie")</f>
        <v>Ananta Jalil gave funny dialogues in the movie</v>
      </c>
      <c r="D5281" s="5"/>
      <c r="E5281" s="5"/>
      <c r="F5281" s="5"/>
      <c r="G5281" s="5"/>
      <c r="H5281" s="5"/>
      <c r="I5281" s="5"/>
      <c r="J5281" s="5"/>
      <c r="K5281" s="5"/>
      <c r="L5281" s="5"/>
      <c r="M5281" s="5"/>
      <c r="N5281" s="5"/>
      <c r="O5281" s="5"/>
      <c r="P5281" s="5"/>
      <c r="Q5281" s="5"/>
      <c r="R5281" s="5"/>
      <c r="S5281" s="5"/>
      <c r="T5281" s="5"/>
      <c r="U5281" s="5"/>
      <c r="V5281" s="5"/>
      <c r="W5281" s="5"/>
      <c r="X5281" s="5"/>
      <c r="Y5281" s="5"/>
      <c r="Z5281" s="5"/>
    </row>
    <row r="5282" spans="1:26" ht="15" x14ac:dyDescent="0.25">
      <c r="A5282" s="4" t="s">
        <v>5280</v>
      </c>
      <c r="B5282" s="4" t="s">
        <v>4550</v>
      </c>
      <c r="C5282" s="2" t="str">
        <f ca="1">IFERROR(__xludf.DUMMYFUNCTION("GOOGLETRANSLATE(A5282,""bn"",""en"")"),"The story was full of laughter")</f>
        <v>The story was full of laughter</v>
      </c>
      <c r="D5282" s="5"/>
      <c r="E5282" s="5"/>
      <c r="F5282" s="5"/>
      <c r="G5282" s="5"/>
      <c r="H5282" s="5"/>
      <c r="I5282" s="5"/>
      <c r="J5282" s="5"/>
      <c r="K5282" s="5"/>
      <c r="L5282" s="5"/>
      <c r="M5282" s="5"/>
      <c r="N5282" s="5"/>
      <c r="O5282" s="5"/>
      <c r="P5282" s="5"/>
      <c r="Q5282" s="5"/>
      <c r="R5282" s="5"/>
      <c r="S5282" s="5"/>
      <c r="T5282" s="5"/>
      <c r="U5282" s="5"/>
      <c r="V5282" s="5"/>
      <c r="W5282" s="5"/>
      <c r="X5282" s="5"/>
      <c r="Y5282" s="5"/>
      <c r="Z5282" s="5"/>
    </row>
    <row r="5283" spans="1:26" ht="15" x14ac:dyDescent="0.25">
      <c r="A5283" s="4" t="s">
        <v>5281</v>
      </c>
      <c r="B5283" s="4" t="s">
        <v>4550</v>
      </c>
      <c r="C5283" s="2" t="str">
        <f ca="1">IFERROR(__xludf.DUMMYFUNCTION("GOOGLETRANSLATE(A5283,""bn"",""en"")"),"I liked the movie very much. It was like watching a movie together with the family")</f>
        <v>I liked the movie very much. It was like watching a movie together with the family</v>
      </c>
      <c r="D5283" s="5"/>
      <c r="E5283" s="5"/>
      <c r="F5283" s="5"/>
      <c r="G5283" s="5"/>
      <c r="H5283" s="5"/>
      <c r="I5283" s="5"/>
      <c r="J5283" s="5"/>
      <c r="K5283" s="5"/>
      <c r="L5283" s="5"/>
      <c r="M5283" s="5"/>
      <c r="N5283" s="5"/>
      <c r="O5283" s="5"/>
      <c r="P5283" s="5"/>
      <c r="Q5283" s="5"/>
      <c r="R5283" s="5"/>
      <c r="S5283" s="5"/>
      <c r="T5283" s="5"/>
      <c r="U5283" s="5"/>
      <c r="V5283" s="5"/>
      <c r="W5283" s="5"/>
      <c r="X5283" s="5"/>
      <c r="Y5283" s="5"/>
      <c r="Z5283" s="5"/>
    </row>
    <row r="5284" spans="1:26" ht="15" x14ac:dyDescent="0.25">
      <c r="A5284" s="4" t="s">
        <v>5282</v>
      </c>
      <c r="B5284" s="4" t="s">
        <v>4550</v>
      </c>
      <c r="C5284" s="2" t="str">
        <f ca="1">IFERROR(__xludf.DUMMYFUNCTION("GOOGLETRANSLATE(A5284,""bn"",""en"")"),"When I was a child, I saw the movie Mahadevpur Bulbul, it was a very beautiful film")</f>
        <v>When I was a child, I saw the movie Mahadevpur Bulbul, it was a very beautiful film</v>
      </c>
      <c r="D5284" s="5"/>
      <c r="E5284" s="5"/>
      <c r="F5284" s="5"/>
      <c r="G5284" s="5"/>
      <c r="H5284" s="5"/>
      <c r="I5284" s="5"/>
      <c r="J5284" s="5"/>
      <c r="K5284" s="5"/>
      <c r="L5284" s="5"/>
      <c r="M5284" s="5"/>
      <c r="N5284" s="5"/>
      <c r="O5284" s="5"/>
      <c r="P5284" s="5"/>
      <c r="Q5284" s="5"/>
      <c r="R5284" s="5"/>
      <c r="S5284" s="5"/>
      <c r="T5284" s="5"/>
      <c r="U5284" s="5"/>
      <c r="V5284" s="5"/>
      <c r="W5284" s="5"/>
      <c r="X5284" s="5"/>
      <c r="Y5284" s="5"/>
      <c r="Z5284" s="5"/>
    </row>
    <row r="5285" spans="1:26" ht="15" x14ac:dyDescent="0.25">
      <c r="A5285" s="4" t="s">
        <v>5283</v>
      </c>
      <c r="B5285" s="4" t="s">
        <v>4550</v>
      </c>
      <c r="C5285" s="2" t="str">
        <f ca="1">IFERROR(__xludf.DUMMYFUNCTION("GOOGLETRANSLATE(A5285,""bn"",""en"")"),"This movie had an amazing structure")</f>
        <v>This movie had an amazing structure</v>
      </c>
      <c r="D5285" s="5"/>
      <c r="E5285" s="5"/>
      <c r="F5285" s="5"/>
      <c r="G5285" s="5"/>
      <c r="H5285" s="5"/>
      <c r="I5285" s="5"/>
      <c r="J5285" s="5"/>
      <c r="K5285" s="5"/>
      <c r="L5285" s="5"/>
      <c r="M5285" s="5"/>
      <c r="N5285" s="5"/>
      <c r="O5285" s="5"/>
      <c r="P5285" s="5"/>
      <c r="Q5285" s="5"/>
      <c r="R5285" s="5"/>
      <c r="S5285" s="5"/>
      <c r="T5285" s="5"/>
      <c r="U5285" s="5"/>
      <c r="V5285" s="5"/>
      <c r="W5285" s="5"/>
      <c r="X5285" s="5"/>
      <c r="Y5285" s="5"/>
      <c r="Z5285" s="5"/>
    </row>
    <row r="5286" spans="1:26" ht="15" x14ac:dyDescent="0.25">
      <c r="A5286" s="4" t="s">
        <v>5284</v>
      </c>
      <c r="B5286" s="4" t="s">
        <v>4550</v>
      </c>
      <c r="C5286" s="2" t="str">
        <f ca="1">IFERROR(__xludf.DUMMYFUNCTION("GOOGLETRANSLATE(A5286,""bn"",""en"")"),"The movie made me laugh as much as it made me cry because of how beautifully a simple story was portrayed and each person in front and behind the camera reflected their extraordinary talent.")</f>
        <v>The movie made me laugh as much as it made me cry because of how beautifully a simple story was portrayed and each person in front and behind the camera reflected their extraordinary talent.</v>
      </c>
      <c r="D5286" s="5"/>
      <c r="E5286" s="5"/>
      <c r="F5286" s="5"/>
      <c r="G5286" s="5"/>
      <c r="H5286" s="5"/>
      <c r="I5286" s="5"/>
      <c r="J5286" s="5"/>
      <c r="K5286" s="5"/>
      <c r="L5286" s="5"/>
      <c r="M5286" s="5"/>
      <c r="N5286" s="5"/>
      <c r="O5286" s="5"/>
      <c r="P5286" s="5"/>
      <c r="Q5286" s="5"/>
      <c r="R5286" s="5"/>
      <c r="S5286" s="5"/>
      <c r="T5286" s="5"/>
      <c r="U5286" s="5"/>
      <c r="V5286" s="5"/>
      <c r="W5286" s="5"/>
      <c r="X5286" s="5"/>
      <c r="Y5286" s="5"/>
      <c r="Z5286" s="5"/>
    </row>
    <row r="5287" spans="1:26" ht="15" x14ac:dyDescent="0.25">
      <c r="A5287" s="4" t="s">
        <v>5285</v>
      </c>
      <c r="B5287" s="4" t="s">
        <v>4550</v>
      </c>
      <c r="C5287" s="2" t="str">
        <f ca="1">IFERROR(__xludf.DUMMYFUNCTION("GOOGLETRANSLATE(A5287,""bn"",""en"")"),"It was an amazing movie")</f>
        <v>It was an amazing movie</v>
      </c>
      <c r="D5287" s="5"/>
      <c r="E5287" s="5"/>
      <c r="F5287" s="5"/>
      <c r="G5287" s="5"/>
      <c r="H5287" s="5"/>
      <c r="I5287" s="5"/>
      <c r="J5287" s="5"/>
      <c r="K5287" s="5"/>
      <c r="L5287" s="5"/>
      <c r="M5287" s="5"/>
      <c r="N5287" s="5"/>
      <c r="O5287" s="5"/>
      <c r="P5287" s="5"/>
      <c r="Q5287" s="5"/>
      <c r="R5287" s="5"/>
      <c r="S5287" s="5"/>
      <c r="T5287" s="5"/>
      <c r="U5287" s="5"/>
      <c r="V5287" s="5"/>
      <c r="W5287" s="5"/>
      <c r="X5287" s="5"/>
      <c r="Y5287" s="5"/>
      <c r="Z5287" s="5"/>
    </row>
    <row r="5288" spans="1:26" ht="15" x14ac:dyDescent="0.25">
      <c r="A5288" s="4" t="s">
        <v>5286</v>
      </c>
      <c r="B5288" s="4" t="s">
        <v>4550</v>
      </c>
      <c r="C5288" s="2" t="str">
        <f ca="1">IFERROR(__xludf.DUMMYFUNCTION("GOOGLETRANSLATE(A5288,""bn"",""en"")"),"Super movie was I have seen many times Shakib Bubli duo starring Aahangka movie was very good")</f>
        <v>Super movie was I have seen many times Shakib Bubli duo starring Aahangka movie was very good</v>
      </c>
      <c r="D5288" s="5"/>
      <c r="E5288" s="5"/>
      <c r="F5288" s="5"/>
      <c r="G5288" s="5"/>
      <c r="H5288" s="5"/>
      <c r="I5288" s="5"/>
      <c r="J5288" s="5"/>
      <c r="K5288" s="5"/>
      <c r="L5288" s="5"/>
      <c r="M5288" s="5"/>
      <c r="N5288" s="5"/>
      <c r="O5288" s="5"/>
      <c r="P5288" s="5"/>
      <c r="Q5288" s="5"/>
      <c r="R5288" s="5"/>
      <c r="S5288" s="5"/>
      <c r="T5288" s="5"/>
      <c r="U5288" s="5"/>
      <c r="V5288" s="5"/>
      <c r="W5288" s="5"/>
      <c r="X5288" s="5"/>
      <c r="Y5288" s="5"/>
      <c r="Z5288" s="5"/>
    </row>
    <row r="5289" spans="1:26" ht="15" x14ac:dyDescent="0.25">
      <c r="A5289" s="4" t="s">
        <v>5287</v>
      </c>
      <c r="B5289" s="4" t="s">
        <v>4550</v>
      </c>
      <c r="C5289" s="2" t="str">
        <f ca="1">IFERROR(__xludf.DUMMYFUNCTION("GOOGLETRANSLATE(A5289,""bn"",""en"")"),"I don't understand why even if I wanted to cry after watching the previous movie, I couldn't cry")</f>
        <v>I don't understand why even if I wanted to cry after watching the previous movie, I couldn't cry</v>
      </c>
      <c r="D5289" s="5"/>
      <c r="E5289" s="5"/>
      <c r="F5289" s="5"/>
      <c r="G5289" s="5"/>
      <c r="H5289" s="5"/>
      <c r="I5289" s="5"/>
      <c r="J5289" s="5"/>
      <c r="K5289" s="5"/>
      <c r="L5289" s="5"/>
      <c r="M5289" s="5"/>
      <c r="N5289" s="5"/>
      <c r="O5289" s="5"/>
      <c r="P5289" s="5"/>
      <c r="Q5289" s="5"/>
      <c r="R5289" s="5"/>
      <c r="S5289" s="5"/>
      <c r="T5289" s="5"/>
      <c r="U5289" s="5"/>
      <c r="V5289" s="5"/>
      <c r="W5289" s="5"/>
      <c r="X5289" s="5"/>
      <c r="Y5289" s="5"/>
      <c r="Z5289" s="5"/>
    </row>
    <row r="5290" spans="1:26" ht="15" x14ac:dyDescent="0.25">
      <c r="A5290" s="4" t="s">
        <v>5288</v>
      </c>
      <c r="B5290" s="4" t="s">
        <v>4550</v>
      </c>
      <c r="C5290" s="2" t="str">
        <f ca="1">IFERROR(__xludf.DUMMYFUNCTION("GOOGLETRANSLATE(A5290,""bn"",""en"")"),"I felt very bad and couldn't see for thirty minutes")</f>
        <v>I felt very bad and couldn't see for thirty minutes</v>
      </c>
      <c r="D5290" s="5"/>
      <c r="E5290" s="5"/>
      <c r="F5290" s="5"/>
      <c r="G5290" s="5"/>
      <c r="H5290" s="5"/>
      <c r="I5290" s="5"/>
      <c r="J5290" s="5"/>
      <c r="K5290" s="5"/>
      <c r="L5290" s="5"/>
      <c r="M5290" s="5"/>
      <c r="N5290" s="5"/>
      <c r="O5290" s="5"/>
      <c r="P5290" s="5"/>
      <c r="Q5290" s="5"/>
      <c r="R5290" s="5"/>
      <c r="S5290" s="5"/>
      <c r="T5290" s="5"/>
      <c r="U5290" s="5"/>
      <c r="V5290" s="5"/>
      <c r="W5290" s="5"/>
      <c r="X5290" s="5"/>
      <c r="Y5290" s="5"/>
      <c r="Z5290" s="5"/>
    </row>
    <row r="5291" spans="1:26" ht="15" x14ac:dyDescent="0.25">
      <c r="A5291" s="4" t="s">
        <v>5289</v>
      </c>
      <c r="B5291" s="4" t="s">
        <v>4550</v>
      </c>
      <c r="C5291" s="2" t="str">
        <f ca="1">IFERROR(__xludf.DUMMYFUNCTION("GOOGLETRANSLATE(A5291,""bn"",""en"")"),"Where did the director make the movie?")</f>
        <v>Where did the director make the movie?</v>
      </c>
      <c r="D5291" s="5"/>
      <c r="E5291" s="5"/>
      <c r="F5291" s="5"/>
      <c r="G5291" s="5"/>
      <c r="H5291" s="5"/>
      <c r="I5291" s="5"/>
      <c r="J5291" s="5"/>
      <c r="K5291" s="5"/>
      <c r="L5291" s="5"/>
      <c r="M5291" s="5"/>
      <c r="N5291" s="5"/>
      <c r="O5291" s="5"/>
      <c r="P5291" s="5"/>
      <c r="Q5291" s="5"/>
      <c r="R5291" s="5"/>
      <c r="S5291" s="5"/>
      <c r="T5291" s="5"/>
      <c r="U5291" s="5"/>
      <c r="V5291" s="5"/>
      <c r="W5291" s="5"/>
      <c r="X5291" s="5"/>
      <c r="Y5291" s="5"/>
      <c r="Z5291" s="5"/>
    </row>
    <row r="5292" spans="1:26" ht="15" x14ac:dyDescent="0.25">
      <c r="A5292" s="4" t="s">
        <v>5290</v>
      </c>
      <c r="B5292" s="4" t="s">
        <v>4550</v>
      </c>
      <c r="C5292" s="2" t="str">
        <f ca="1">IFERROR(__xludf.DUMMYFUNCTION("GOOGLETRANSLATE(A5292,""bn"",""en"")"),"I can't tell you how many times I watched it, because if I had time every day, I would watch Salman Shah movie at least once, the hero never came to Bangladesh.")</f>
        <v>I can't tell you how many times I watched it, because if I had time every day, I would watch Salman Shah movie at least once, the hero never came to Bangladesh.</v>
      </c>
      <c r="D5292" s="5"/>
      <c r="E5292" s="5"/>
      <c r="F5292" s="5"/>
      <c r="G5292" s="5"/>
      <c r="H5292" s="5"/>
      <c r="I5292" s="5"/>
      <c r="J5292" s="5"/>
      <c r="K5292" s="5"/>
      <c r="L5292" s="5"/>
      <c r="M5292" s="5"/>
      <c r="N5292" s="5"/>
      <c r="O5292" s="5"/>
      <c r="P5292" s="5"/>
      <c r="Q5292" s="5"/>
      <c r="R5292" s="5"/>
      <c r="S5292" s="5"/>
      <c r="T5292" s="5"/>
      <c r="U5292" s="5"/>
      <c r="V5292" s="5"/>
      <c r="W5292" s="5"/>
      <c r="X5292" s="5"/>
      <c r="Y5292" s="5"/>
      <c r="Z5292" s="5"/>
    </row>
    <row r="5293" spans="1:26" ht="15" x14ac:dyDescent="0.25">
      <c r="A5293" s="4" t="s">
        <v>5291</v>
      </c>
      <c r="B5293" s="4" t="s">
        <v>4550</v>
      </c>
      <c r="C5293" s="2" t="str">
        <f ca="1">IFERROR(__xludf.DUMMYFUNCTION("GOOGLETRANSLATE(A5293,""bn"",""en"")"),"Anant Bhai said that he did not like the picture at all")</f>
        <v>Anant Bhai said that he did not like the picture at all</v>
      </c>
      <c r="D5293" s="5"/>
      <c r="E5293" s="5"/>
      <c r="F5293" s="5"/>
      <c r="G5293" s="5"/>
      <c r="H5293" s="5"/>
      <c r="I5293" s="5"/>
      <c r="J5293" s="5"/>
      <c r="K5293" s="5"/>
      <c r="L5293" s="5"/>
      <c r="M5293" s="5"/>
      <c r="N5293" s="5"/>
      <c r="O5293" s="5"/>
      <c r="P5293" s="5"/>
      <c r="Q5293" s="5"/>
      <c r="R5293" s="5"/>
      <c r="S5293" s="5"/>
      <c r="T5293" s="5"/>
      <c r="U5293" s="5"/>
      <c r="V5293" s="5"/>
      <c r="W5293" s="5"/>
      <c r="X5293" s="5"/>
      <c r="Y5293" s="5"/>
      <c r="Z5293" s="5"/>
    </row>
    <row r="5294" spans="1:26" ht="15" x14ac:dyDescent="0.25">
      <c r="A5294" s="4" t="s">
        <v>5292</v>
      </c>
      <c r="B5294" s="4" t="s">
        <v>4550</v>
      </c>
      <c r="C5294" s="2" t="str">
        <f ca="1">IFERROR(__xludf.DUMMYFUNCTION("GOOGLETRANSLATE(A5294,""bn"",""en"")"),"That was the condition of Bengali cinema")</f>
        <v>That was the condition of Bengali cinema</v>
      </c>
      <c r="D5294" s="5"/>
      <c r="E5294" s="5"/>
      <c r="F5294" s="5"/>
      <c r="G5294" s="5"/>
      <c r="H5294" s="5"/>
      <c r="I5294" s="5"/>
      <c r="J5294" s="5"/>
      <c r="K5294" s="5"/>
      <c r="L5294" s="5"/>
      <c r="M5294" s="5"/>
      <c r="N5294" s="5"/>
      <c r="O5294" s="5"/>
      <c r="P5294" s="5"/>
      <c r="Q5294" s="5"/>
      <c r="R5294" s="5"/>
      <c r="S5294" s="5"/>
      <c r="T5294" s="5"/>
      <c r="U5294" s="5"/>
      <c r="V5294" s="5"/>
      <c r="W5294" s="5"/>
      <c r="X5294" s="5"/>
      <c r="Y5294" s="5"/>
      <c r="Z5294" s="5"/>
    </row>
    <row r="5295" spans="1:26" ht="15" x14ac:dyDescent="0.25">
      <c r="A5295" s="4" t="s">
        <v>5293</v>
      </c>
      <c r="B5295" s="4" t="s">
        <v>4550</v>
      </c>
      <c r="C5295" s="2" t="str">
        <f ca="1">IFERROR(__xludf.DUMMYFUNCTION("GOOGLETRANSLATE(A5295,""bn"",""en"")"),"Jaya was annoyed by Ahsan's overacting")</f>
        <v>Jaya was annoyed by Ahsan's overacting</v>
      </c>
      <c r="D5295" s="5"/>
      <c r="E5295" s="5"/>
      <c r="F5295" s="5"/>
      <c r="G5295" s="5"/>
      <c r="H5295" s="5"/>
      <c r="I5295" s="5"/>
      <c r="J5295" s="5"/>
      <c r="K5295" s="5"/>
      <c r="L5295" s="5"/>
      <c r="M5295" s="5"/>
      <c r="N5295" s="5"/>
      <c r="O5295" s="5"/>
      <c r="P5295" s="5"/>
      <c r="Q5295" s="5"/>
      <c r="R5295" s="5"/>
      <c r="S5295" s="5"/>
      <c r="T5295" s="5"/>
      <c r="U5295" s="5"/>
      <c r="V5295" s="5"/>
      <c r="W5295" s="5"/>
      <c r="X5295" s="5"/>
      <c r="Y5295" s="5"/>
      <c r="Z5295" s="5"/>
    </row>
    <row r="5296" spans="1:26" ht="15" x14ac:dyDescent="0.25">
      <c r="A5296" s="4" t="s">
        <v>5294</v>
      </c>
      <c r="B5296" s="4" t="s">
        <v>4550</v>
      </c>
      <c r="C5296" s="2" t="str">
        <f ca="1">IFERROR(__xludf.DUMMYFUNCTION("GOOGLETRANSLATE(A5296,""bn"",""en"")"),"The wife's performance as a flower was very funny")</f>
        <v>The wife's performance as a flower was very funny</v>
      </c>
      <c r="D5296" s="5"/>
      <c r="E5296" s="5"/>
      <c r="F5296" s="5"/>
      <c r="G5296" s="5"/>
      <c r="H5296" s="5"/>
      <c r="I5296" s="5"/>
      <c r="J5296" s="5"/>
      <c r="K5296" s="5"/>
      <c r="L5296" s="5"/>
      <c r="M5296" s="5"/>
      <c r="N5296" s="5"/>
      <c r="O5296" s="5"/>
      <c r="P5296" s="5"/>
      <c r="Q5296" s="5"/>
      <c r="R5296" s="5"/>
      <c r="S5296" s="5"/>
      <c r="T5296" s="5"/>
      <c r="U5296" s="5"/>
      <c r="V5296" s="5"/>
      <c r="W5296" s="5"/>
      <c r="X5296" s="5"/>
      <c r="Y5296" s="5"/>
      <c r="Z5296" s="5"/>
    </row>
    <row r="5297" spans="1:26" ht="15" x14ac:dyDescent="0.25">
      <c r="A5297" s="4" t="s">
        <v>5295</v>
      </c>
      <c r="B5297" s="4" t="s">
        <v>4550</v>
      </c>
      <c r="C5297" s="2" t="str">
        <f ca="1">IFERROR(__xludf.DUMMYFUNCTION("GOOGLETRANSLATE(A5297,""bn"",""en"")"),"It was the most beautiful picture of Bangladesh")</f>
        <v>It was the most beautiful picture of Bangladesh</v>
      </c>
      <c r="D5297" s="5"/>
      <c r="E5297" s="5"/>
      <c r="F5297" s="5"/>
      <c r="G5297" s="5"/>
      <c r="H5297" s="5"/>
      <c r="I5297" s="5"/>
      <c r="J5297" s="5"/>
      <c r="K5297" s="5"/>
      <c r="L5297" s="5"/>
      <c r="M5297" s="5"/>
      <c r="N5297" s="5"/>
      <c r="O5297" s="5"/>
      <c r="P5297" s="5"/>
      <c r="Q5297" s="5"/>
      <c r="R5297" s="5"/>
      <c r="S5297" s="5"/>
      <c r="T5297" s="5"/>
      <c r="U5297" s="5"/>
      <c r="V5297" s="5"/>
      <c r="W5297" s="5"/>
      <c r="X5297" s="5"/>
      <c r="Y5297" s="5"/>
      <c r="Z5297" s="5"/>
    </row>
    <row r="5298" spans="1:26" ht="15" x14ac:dyDescent="0.25">
      <c r="A5298" s="4" t="s">
        <v>5296</v>
      </c>
      <c r="B5298" s="4" t="s">
        <v>4550</v>
      </c>
      <c r="C5298" s="2" t="str">
        <f ca="1">IFERROR(__xludf.DUMMYFUNCTION("GOOGLETRANSLATE(A5298,""bn"",""en"")"),"Such an extraordinary pair and movie have not been found in Bengali history")</f>
        <v>Such an extraordinary pair and movie have not been found in Bengali history</v>
      </c>
      <c r="D5298" s="5"/>
      <c r="E5298" s="5"/>
      <c r="F5298" s="5"/>
      <c r="G5298" s="5"/>
      <c r="H5298" s="5"/>
      <c r="I5298" s="5"/>
      <c r="J5298" s="5"/>
      <c r="K5298" s="5"/>
      <c r="L5298" s="5"/>
      <c r="M5298" s="5"/>
      <c r="N5298" s="5"/>
      <c r="O5298" s="5"/>
      <c r="P5298" s="5"/>
      <c r="Q5298" s="5"/>
      <c r="R5298" s="5"/>
      <c r="S5298" s="5"/>
      <c r="T5298" s="5"/>
      <c r="U5298" s="5"/>
      <c r="V5298" s="5"/>
      <c r="W5298" s="5"/>
      <c r="X5298" s="5"/>
      <c r="Y5298" s="5"/>
      <c r="Z5298" s="5"/>
    </row>
    <row r="5299" spans="1:26" ht="15" x14ac:dyDescent="0.25">
      <c r="A5299" s="4" t="s">
        <v>5297</v>
      </c>
      <c r="B5299" s="4" t="s">
        <v>4550</v>
      </c>
      <c r="C5299" s="2" t="str">
        <f ca="1">IFERROR(__xludf.DUMMYFUNCTION("GOOGLETRANSLATE(A5299,""bn"",""en"")"),"Bissiri was a fat heroine")</f>
        <v>Bissiri was a fat heroine</v>
      </c>
      <c r="D5299" s="5"/>
      <c r="E5299" s="5"/>
      <c r="F5299" s="5"/>
      <c r="G5299" s="5"/>
      <c r="H5299" s="5"/>
      <c r="I5299" s="5"/>
      <c r="J5299" s="5"/>
      <c r="K5299" s="5"/>
      <c r="L5299" s="5"/>
      <c r="M5299" s="5"/>
      <c r="N5299" s="5"/>
      <c r="O5299" s="5"/>
      <c r="P5299" s="5"/>
      <c r="Q5299" s="5"/>
      <c r="R5299" s="5"/>
      <c r="S5299" s="5"/>
      <c r="T5299" s="5"/>
      <c r="U5299" s="5"/>
      <c r="V5299" s="5"/>
      <c r="W5299" s="5"/>
      <c r="X5299" s="5"/>
      <c r="Y5299" s="5"/>
      <c r="Z5299" s="5"/>
    </row>
    <row r="5300" spans="1:26" ht="15" x14ac:dyDescent="0.25">
      <c r="A5300" s="4" t="s">
        <v>5298</v>
      </c>
      <c r="B5300" s="4" t="s">
        <v>4550</v>
      </c>
      <c r="C5300" s="2" t="str">
        <f ca="1">IFERROR(__xludf.DUMMYFUNCTION("GOOGLETRANSLATE(A5300,""bn"",""en"")"),"Seeing the movie actually brought tears to the eyes of the audience")</f>
        <v>Seeing the movie actually brought tears to the eyes of the audience</v>
      </c>
      <c r="D5300" s="5"/>
      <c r="E5300" s="5"/>
      <c r="F5300" s="5"/>
      <c r="G5300" s="5"/>
      <c r="H5300" s="5"/>
      <c r="I5300" s="5"/>
      <c r="J5300" s="5"/>
      <c r="K5300" s="5"/>
      <c r="L5300" s="5"/>
      <c r="M5300" s="5"/>
      <c r="N5300" s="5"/>
      <c r="O5300" s="5"/>
      <c r="P5300" s="5"/>
      <c r="Q5300" s="5"/>
      <c r="R5300" s="5"/>
      <c r="S5300" s="5"/>
      <c r="T5300" s="5"/>
      <c r="U5300" s="5"/>
      <c r="V5300" s="5"/>
      <c r="W5300" s="5"/>
      <c r="X5300" s="5"/>
      <c r="Y5300" s="5"/>
      <c r="Z5300" s="5"/>
    </row>
    <row r="5301" spans="1:26" ht="15" x14ac:dyDescent="0.25">
      <c r="A5301" s="4" t="s">
        <v>5299</v>
      </c>
      <c r="B5301" s="4" t="s">
        <v>4550</v>
      </c>
      <c r="C5301" s="2" t="str">
        <f ca="1">IFERROR(__xludf.DUMMYFUNCTION("GOOGLETRANSLATE(A5301,""bn"",""en"")"),"I actually lost my language and didn't understand the story")</f>
        <v>I actually lost my language and didn't understand the story</v>
      </c>
      <c r="D5301" s="5"/>
      <c r="E5301" s="5"/>
      <c r="F5301" s="5"/>
      <c r="G5301" s="5"/>
      <c r="H5301" s="5"/>
      <c r="I5301" s="5"/>
      <c r="J5301" s="5"/>
      <c r="K5301" s="5"/>
      <c r="L5301" s="5"/>
      <c r="M5301" s="5"/>
      <c r="N5301" s="5"/>
      <c r="O5301" s="5"/>
      <c r="P5301" s="5"/>
      <c r="Q5301" s="5"/>
      <c r="R5301" s="5"/>
      <c r="S5301" s="5"/>
      <c r="T5301" s="5"/>
      <c r="U5301" s="5"/>
      <c r="V5301" s="5"/>
      <c r="W5301" s="5"/>
      <c r="X5301" s="5"/>
      <c r="Y5301" s="5"/>
      <c r="Z5301" s="5"/>
    </row>
    <row r="5302" spans="1:26" ht="15" x14ac:dyDescent="0.25">
      <c r="A5302" s="4" t="s">
        <v>5300</v>
      </c>
      <c r="B5302" s="4" t="s">
        <v>4550</v>
      </c>
      <c r="C5302" s="2" t="str">
        <f ca="1">IFERROR(__xludf.DUMMYFUNCTION("GOOGLETRANSLATE(A5302,""bn"",""en"")"),"The wonderful writing and direction was mind blowing and it showed the power of love")</f>
        <v>The wonderful writing and direction was mind blowing and it showed the power of love</v>
      </c>
      <c r="D5302" s="5"/>
      <c r="E5302" s="5"/>
      <c r="F5302" s="5"/>
      <c r="G5302" s="5"/>
      <c r="H5302" s="5"/>
      <c r="I5302" s="5"/>
      <c r="J5302" s="5"/>
      <c r="K5302" s="5"/>
      <c r="L5302" s="5"/>
      <c r="M5302" s="5"/>
      <c r="N5302" s="5"/>
      <c r="O5302" s="5"/>
      <c r="P5302" s="5"/>
      <c r="Q5302" s="5"/>
      <c r="R5302" s="5"/>
      <c r="S5302" s="5"/>
      <c r="T5302" s="5"/>
      <c r="U5302" s="5"/>
      <c r="V5302" s="5"/>
      <c r="W5302" s="5"/>
      <c r="X5302" s="5"/>
      <c r="Y5302" s="5"/>
      <c r="Z5302" s="5"/>
    </row>
    <row r="5303" spans="1:26" ht="15" x14ac:dyDescent="0.25">
      <c r="A5303" s="4" t="s">
        <v>5301</v>
      </c>
      <c r="B5303" s="4" t="s">
        <v>4550</v>
      </c>
      <c r="C5303" s="2" t="str">
        <f ca="1">IFERROR(__xludf.DUMMYFUNCTION("GOOGLETRANSLATE(A5303,""bn"",""en"")"),"People still paid money to watch such pictures. It seems that the camera of this picture should have been kept in the magic room")</f>
        <v>People still paid money to watch such pictures. It seems that the camera of this picture should have been kept in the magic room</v>
      </c>
      <c r="D5303" s="5"/>
      <c r="E5303" s="5"/>
      <c r="F5303" s="5"/>
      <c r="G5303" s="5"/>
      <c r="H5303" s="5"/>
      <c r="I5303" s="5"/>
      <c r="J5303" s="5"/>
      <c r="K5303" s="5"/>
      <c r="L5303" s="5"/>
      <c r="M5303" s="5"/>
      <c r="N5303" s="5"/>
      <c r="O5303" s="5"/>
      <c r="P5303" s="5"/>
      <c r="Q5303" s="5"/>
      <c r="R5303" s="5"/>
      <c r="S5303" s="5"/>
      <c r="T5303" s="5"/>
      <c r="U5303" s="5"/>
      <c r="V5303" s="5"/>
      <c r="W5303" s="5"/>
      <c r="X5303" s="5"/>
      <c r="Y5303" s="5"/>
      <c r="Z5303" s="5"/>
    </row>
    <row r="5304" spans="1:26" ht="15" x14ac:dyDescent="0.25">
      <c r="A5304" s="4" t="s">
        <v>5302</v>
      </c>
      <c r="B5304" s="4" t="s">
        <v>4550</v>
      </c>
      <c r="C5304" s="2" t="str">
        <f ca="1">IFERROR(__xludf.DUMMYFUNCTION("GOOGLETRANSLATE(A5304,""bn"",""en"")"),"In this film, the social reality was depicted very beautifully, through life-like pictures, injustice was removed from the society and a beautiful society was formed.")</f>
        <v>In this film, the social reality was depicted very beautifully, through life-like pictures, injustice was removed from the society and a beautiful society was formed.</v>
      </c>
      <c r="D5304" s="5"/>
      <c r="E5304" s="5"/>
      <c r="F5304" s="5"/>
      <c r="G5304" s="5"/>
      <c r="H5304" s="5"/>
      <c r="I5304" s="5"/>
      <c r="J5304" s="5"/>
      <c r="K5304" s="5"/>
      <c r="L5304" s="5"/>
      <c r="M5304" s="5"/>
      <c r="N5304" s="5"/>
      <c r="O5304" s="5"/>
      <c r="P5304" s="5"/>
      <c r="Q5304" s="5"/>
      <c r="R5304" s="5"/>
      <c r="S5304" s="5"/>
      <c r="T5304" s="5"/>
      <c r="U5304" s="5"/>
      <c r="V5304" s="5"/>
      <c r="W5304" s="5"/>
      <c r="X5304" s="5"/>
      <c r="Y5304" s="5"/>
      <c r="Z5304" s="5"/>
    </row>
    <row r="5305" spans="1:26" ht="15" x14ac:dyDescent="0.25">
      <c r="A5305" s="4" t="s">
        <v>5303</v>
      </c>
      <c r="B5305" s="4" t="s">
        <v>4550</v>
      </c>
      <c r="C5305" s="2" t="str">
        <f ca="1">IFERROR(__xludf.DUMMYFUNCTION("GOOGLETRANSLATE(A5305,""bn"",""en"")"),"You made a very beautiful movie. It was very difficult to watch the movie. I was hoping that people will learn something in this movie, which people can change a lot by watching it.")</f>
        <v>You made a very beautiful movie. It was very difficult to watch the movie. I was hoping that people will learn something in this movie, which people can change a lot by watching it.</v>
      </c>
      <c r="D5305" s="5"/>
      <c r="E5305" s="5"/>
      <c r="F5305" s="5"/>
      <c r="G5305" s="5"/>
      <c r="H5305" s="5"/>
      <c r="I5305" s="5"/>
      <c r="J5305" s="5"/>
      <c r="K5305" s="5"/>
      <c r="L5305" s="5"/>
      <c r="M5305" s="5"/>
      <c r="N5305" s="5"/>
      <c r="O5305" s="5"/>
      <c r="P5305" s="5"/>
      <c r="Q5305" s="5"/>
      <c r="R5305" s="5"/>
      <c r="S5305" s="5"/>
      <c r="T5305" s="5"/>
      <c r="U5305" s="5"/>
      <c r="V5305" s="5"/>
      <c r="W5305" s="5"/>
      <c r="X5305" s="5"/>
      <c r="Y5305" s="5"/>
      <c r="Z5305" s="5"/>
    </row>
    <row r="5306" spans="1:26" ht="15" x14ac:dyDescent="0.25">
      <c r="A5306" s="4" t="s">
        <v>5304</v>
      </c>
      <c r="B5306" s="4" t="s">
        <v>4550</v>
      </c>
      <c r="C5306" s="2" t="str">
        <f ca="1">IFERROR(__xludf.DUMMYFUNCTION("GOOGLETRANSLATE(A5306,""bn"",""en"")"),"Hero Alam's film was better than this")</f>
        <v>Hero Alam's film was better than this</v>
      </c>
      <c r="D5306" s="5"/>
      <c r="E5306" s="5"/>
      <c r="F5306" s="5"/>
      <c r="G5306" s="5"/>
      <c r="H5306" s="5"/>
      <c r="I5306" s="5"/>
      <c r="J5306" s="5"/>
      <c r="K5306" s="5"/>
      <c r="L5306" s="5"/>
      <c r="M5306" s="5"/>
      <c r="N5306" s="5"/>
      <c r="O5306" s="5"/>
      <c r="P5306" s="5"/>
      <c r="Q5306" s="5"/>
      <c r="R5306" s="5"/>
      <c r="S5306" s="5"/>
      <c r="T5306" s="5"/>
      <c r="U5306" s="5"/>
      <c r="V5306" s="5"/>
      <c r="W5306" s="5"/>
      <c r="X5306" s="5"/>
      <c r="Y5306" s="5"/>
      <c r="Z5306" s="5"/>
    </row>
    <row r="5307" spans="1:26" ht="15" x14ac:dyDescent="0.25">
      <c r="A5307" s="4" t="s">
        <v>5305</v>
      </c>
      <c r="B5307" s="4" t="s">
        <v>4550</v>
      </c>
      <c r="C5307" s="2" t="str">
        <f ca="1">IFERROR(__xludf.DUMMYFUNCTION("GOOGLETRANSLATE(A5307,""bn"",""en"")"),"The story of the film was beautiful, I liked Ferdous more than Moushumi")</f>
        <v>The story of the film was beautiful, I liked Ferdous more than Moushumi</v>
      </c>
      <c r="D5307" s="5"/>
      <c r="E5307" s="5"/>
      <c r="F5307" s="5"/>
      <c r="G5307" s="5"/>
      <c r="H5307" s="5"/>
      <c r="I5307" s="5"/>
      <c r="J5307" s="5"/>
      <c r="K5307" s="5"/>
      <c r="L5307" s="5"/>
      <c r="M5307" s="5"/>
      <c r="N5307" s="5"/>
      <c r="O5307" s="5"/>
      <c r="P5307" s="5"/>
      <c r="Q5307" s="5"/>
      <c r="R5307" s="5"/>
      <c r="S5307" s="5"/>
      <c r="T5307" s="5"/>
      <c r="U5307" s="5"/>
      <c r="V5307" s="5"/>
      <c r="W5307" s="5"/>
      <c r="X5307" s="5"/>
      <c r="Y5307" s="5"/>
      <c r="Z5307" s="5"/>
    </row>
    <row r="5308" spans="1:26" ht="15" x14ac:dyDescent="0.25">
      <c r="A5308" s="4" t="s">
        <v>5306</v>
      </c>
      <c r="B5308" s="4" t="s">
        <v>4550</v>
      </c>
      <c r="C5308" s="2" t="str">
        <f ca="1">IFERROR(__xludf.DUMMYFUNCTION("GOOGLETRANSLATE(A5308,""bn"",""en"")"),"Ahamkar movie was very beautiful")</f>
        <v>Ahamkar movie was very beautiful</v>
      </c>
      <c r="D5308" s="5"/>
      <c r="E5308" s="5"/>
      <c r="F5308" s="5"/>
      <c r="G5308" s="5"/>
      <c r="H5308" s="5"/>
      <c r="I5308" s="5"/>
      <c r="J5308" s="5"/>
      <c r="K5308" s="5"/>
      <c r="L5308" s="5"/>
      <c r="M5308" s="5"/>
      <c r="N5308" s="5"/>
      <c r="O5308" s="5"/>
      <c r="P5308" s="5"/>
      <c r="Q5308" s="5"/>
      <c r="R5308" s="5"/>
      <c r="S5308" s="5"/>
      <c r="T5308" s="5"/>
      <c r="U5308" s="5"/>
      <c r="V5308" s="5"/>
      <c r="W5308" s="5"/>
      <c r="X5308" s="5"/>
      <c r="Y5308" s="5"/>
      <c r="Z5308" s="5"/>
    </row>
    <row r="5309" spans="1:26" ht="15" x14ac:dyDescent="0.25">
      <c r="A5309" s="4" t="s">
        <v>5307</v>
      </c>
      <c r="B5309" s="4" t="s">
        <v>4550</v>
      </c>
      <c r="C5309" s="2" t="str">
        <f ca="1">IFERROR(__xludf.DUMMYFUNCTION("GOOGLETRANSLATE(A5309,""bn"",""en"")"),"The director made this film by consuming expired ganja and the film contained nothing but a shilling")</f>
        <v>The director made this film by consuming expired ganja and the film contained nothing but a shilling</v>
      </c>
      <c r="D5309" s="5"/>
      <c r="E5309" s="5"/>
      <c r="F5309" s="5"/>
      <c r="G5309" s="5"/>
      <c r="H5309" s="5"/>
      <c r="I5309" s="5"/>
      <c r="J5309" s="5"/>
      <c r="K5309" s="5"/>
      <c r="L5309" s="5"/>
      <c r="M5309" s="5"/>
      <c r="N5309" s="5"/>
      <c r="O5309" s="5"/>
      <c r="P5309" s="5"/>
      <c r="Q5309" s="5"/>
      <c r="R5309" s="5"/>
      <c r="S5309" s="5"/>
      <c r="T5309" s="5"/>
      <c r="U5309" s="5"/>
      <c r="V5309" s="5"/>
      <c r="W5309" s="5"/>
      <c r="X5309" s="5"/>
      <c r="Y5309" s="5"/>
      <c r="Z5309" s="5"/>
    </row>
    <row r="5310" spans="1:26" ht="15" x14ac:dyDescent="0.25">
      <c r="A5310" s="4" t="s">
        <v>5308</v>
      </c>
      <c r="B5310" s="4" t="s">
        <v>4550</v>
      </c>
      <c r="C5310" s="2" t="str">
        <f ca="1">IFERROR(__xludf.DUMMYFUNCTION("GOOGLETRANSLATE(A5310,""bn"",""en"")"),"I kicked my stomach and made an attempt to laugh")</f>
        <v>I kicked my stomach and made an attempt to laugh</v>
      </c>
      <c r="D5310" s="5"/>
      <c r="E5310" s="5"/>
      <c r="F5310" s="5"/>
      <c r="G5310" s="5"/>
      <c r="H5310" s="5"/>
      <c r="I5310" s="5"/>
      <c r="J5310" s="5"/>
      <c r="K5310" s="5"/>
      <c r="L5310" s="5"/>
      <c r="M5310" s="5"/>
      <c r="N5310" s="5"/>
      <c r="O5310" s="5"/>
      <c r="P5310" s="5"/>
      <c r="Q5310" s="5"/>
      <c r="R5310" s="5"/>
      <c r="S5310" s="5"/>
      <c r="T5310" s="5"/>
      <c r="U5310" s="5"/>
      <c r="V5310" s="5"/>
      <c r="W5310" s="5"/>
      <c r="X5310" s="5"/>
      <c r="Y5310" s="5"/>
      <c r="Z5310" s="5"/>
    </row>
    <row r="5311" spans="1:26" ht="15" x14ac:dyDescent="0.25">
      <c r="A5311" s="4" t="s">
        <v>5309</v>
      </c>
      <c r="B5311" s="4" t="s">
        <v>4550</v>
      </c>
      <c r="C5311" s="2" t="str">
        <f ca="1">IFERROR(__xludf.DUMMYFUNCTION("GOOGLETRANSLATE(A5311,""bn"",""en"")"),"Really couldn't hold back the tears")</f>
        <v>Really couldn't hold back the tears</v>
      </c>
      <c r="D5311" s="5"/>
      <c r="E5311" s="5"/>
      <c r="F5311" s="5"/>
      <c r="G5311" s="5"/>
      <c r="H5311" s="5"/>
      <c r="I5311" s="5"/>
      <c r="J5311" s="5"/>
      <c r="K5311" s="5"/>
      <c r="L5311" s="5"/>
      <c r="M5311" s="5"/>
      <c r="N5311" s="5"/>
      <c r="O5311" s="5"/>
      <c r="P5311" s="5"/>
      <c r="Q5311" s="5"/>
      <c r="R5311" s="5"/>
      <c r="S5311" s="5"/>
      <c r="T5311" s="5"/>
      <c r="U5311" s="5"/>
      <c r="V5311" s="5"/>
      <c r="W5311" s="5"/>
      <c r="X5311" s="5"/>
      <c r="Y5311" s="5"/>
      <c r="Z5311" s="5"/>
    </row>
    <row r="5312" spans="1:26" ht="15" x14ac:dyDescent="0.25">
      <c r="A5312" s="4" t="s">
        <v>5310</v>
      </c>
      <c r="B5312" s="4" t="s">
        <v>4550</v>
      </c>
      <c r="C5312" s="2" t="str">
        <f ca="1">IFERROR(__xludf.DUMMYFUNCTION("GOOGLETRANSLATE(A5312,""bn"",""en"")"),"What did they make a movie about?")</f>
        <v>What did they make a movie about?</v>
      </c>
      <c r="D5312" s="5"/>
      <c r="E5312" s="5"/>
      <c r="F5312" s="5"/>
      <c r="G5312" s="5"/>
      <c r="H5312" s="5"/>
      <c r="I5312" s="5"/>
      <c r="J5312" s="5"/>
      <c r="K5312" s="5"/>
      <c r="L5312" s="5"/>
      <c r="M5312" s="5"/>
      <c r="N5312" s="5"/>
      <c r="O5312" s="5"/>
      <c r="P5312" s="5"/>
      <c r="Q5312" s="5"/>
      <c r="R5312" s="5"/>
      <c r="S5312" s="5"/>
      <c r="T5312" s="5"/>
      <c r="U5312" s="5"/>
      <c r="V5312" s="5"/>
      <c r="W5312" s="5"/>
      <c r="X5312" s="5"/>
      <c r="Y5312" s="5"/>
      <c r="Z5312" s="5"/>
    </row>
    <row r="5313" spans="1:26" ht="15" x14ac:dyDescent="0.25">
      <c r="A5313" s="4" t="s">
        <v>5311</v>
      </c>
      <c r="B5313" s="4" t="s">
        <v>4550</v>
      </c>
      <c r="C5313" s="2" t="str">
        <f ca="1">IFERROR(__xludf.DUMMYFUNCTION("GOOGLETRANSLATE(A5313,""bn"",""en"")"),"They would destroy the entire movie industry")</f>
        <v>They would destroy the entire movie industry</v>
      </c>
      <c r="D5313" s="5"/>
      <c r="E5313" s="5"/>
      <c r="F5313" s="5"/>
      <c r="G5313" s="5"/>
      <c r="H5313" s="5"/>
      <c r="I5313" s="5"/>
      <c r="J5313" s="5"/>
      <c r="K5313" s="5"/>
      <c r="L5313" s="5"/>
      <c r="M5313" s="5"/>
      <c r="N5313" s="5"/>
      <c r="O5313" s="5"/>
      <c r="P5313" s="5"/>
      <c r="Q5313" s="5"/>
      <c r="R5313" s="5"/>
      <c r="S5313" s="5"/>
      <c r="T5313" s="5"/>
      <c r="U5313" s="5"/>
      <c r="V5313" s="5"/>
      <c r="W5313" s="5"/>
      <c r="X5313" s="5"/>
      <c r="Y5313" s="5"/>
      <c r="Z5313" s="5"/>
    </row>
    <row r="5314" spans="1:26" ht="15" x14ac:dyDescent="0.25">
      <c r="A5314" s="4" t="s">
        <v>5312</v>
      </c>
      <c r="B5314" s="4" t="s">
        <v>4550</v>
      </c>
      <c r="C5314" s="2" t="str">
        <f ca="1">IFERROR(__xludf.DUMMYFUNCTION("GOOGLETRANSLATE(A5314,""bn"",""en"")"),"The film was good, I got some lessons, all were good actors and actresses, apart from that, I liked Soham's performance")</f>
        <v>The film was good, I got some lessons, all were good actors and actresses, apart from that, I liked Soham's performance</v>
      </c>
      <c r="D5314" s="5"/>
      <c r="E5314" s="5"/>
      <c r="F5314" s="5"/>
      <c r="G5314" s="5"/>
      <c r="H5314" s="5"/>
      <c r="I5314" s="5"/>
      <c r="J5314" s="5"/>
      <c r="K5314" s="5"/>
      <c r="L5314" s="5"/>
      <c r="M5314" s="5"/>
      <c r="N5314" s="5"/>
      <c r="O5314" s="5"/>
      <c r="P5314" s="5"/>
      <c r="Q5314" s="5"/>
      <c r="R5314" s="5"/>
      <c r="S5314" s="5"/>
      <c r="T5314" s="5"/>
      <c r="U5314" s="5"/>
      <c r="V5314" s="5"/>
      <c r="W5314" s="5"/>
      <c r="X5314" s="5"/>
      <c r="Y5314" s="5"/>
      <c r="Z5314" s="5"/>
    </row>
    <row r="5315" spans="1:26" ht="15" x14ac:dyDescent="0.25">
      <c r="A5315" s="4" t="s">
        <v>5313</v>
      </c>
      <c r="B5315" s="4" t="s">
        <v>4550</v>
      </c>
      <c r="C5315" s="2" t="str">
        <f ca="1">IFERROR(__xludf.DUMMYFUNCTION("GOOGLETRANSLATE(A5315,""bn"",""en"")"),"This heroine was more beautiful than the comedian Nayakata with bad looks")</f>
        <v>This heroine was more beautiful than the comedian Nayakata with bad looks</v>
      </c>
      <c r="D5315" s="5"/>
      <c r="E5315" s="5"/>
      <c r="F5315" s="5"/>
      <c r="G5315" s="5"/>
      <c r="H5315" s="5"/>
      <c r="I5315" s="5"/>
      <c r="J5315" s="5"/>
      <c r="K5315" s="5"/>
      <c r="L5315" s="5"/>
      <c r="M5315" s="5"/>
      <c r="N5315" s="5"/>
      <c r="O5315" s="5"/>
      <c r="P5315" s="5"/>
      <c r="Q5315" s="5"/>
      <c r="R5315" s="5"/>
      <c r="S5315" s="5"/>
      <c r="T5315" s="5"/>
      <c r="U5315" s="5"/>
      <c r="V5315" s="5"/>
      <c r="W5315" s="5"/>
      <c r="X5315" s="5"/>
      <c r="Y5315" s="5"/>
      <c r="Z5315" s="5"/>
    </row>
    <row r="5316" spans="1:26" ht="15" x14ac:dyDescent="0.25">
      <c r="A5316" s="4" t="s">
        <v>5314</v>
      </c>
      <c r="B5316" s="4" t="s">
        <v>4550</v>
      </c>
      <c r="C5316" s="2" t="str">
        <f ca="1">IFERROR(__xludf.DUMMYFUNCTION("GOOGLETRANSLATE(A5316,""bn"",""en"")"),"The damn movie was cut without wasting any time")</f>
        <v>The damn movie was cut without wasting any time</v>
      </c>
      <c r="D5316" s="5"/>
      <c r="E5316" s="5"/>
      <c r="F5316" s="5"/>
      <c r="G5316" s="5"/>
      <c r="H5316" s="5"/>
      <c r="I5316" s="5"/>
      <c r="J5316" s="5"/>
      <c r="K5316" s="5"/>
      <c r="L5316" s="5"/>
      <c r="M5316" s="5"/>
      <c r="N5316" s="5"/>
      <c r="O5316" s="5"/>
      <c r="P5316" s="5"/>
      <c r="Q5316" s="5"/>
      <c r="R5316" s="5"/>
      <c r="S5316" s="5"/>
      <c r="T5316" s="5"/>
      <c r="U5316" s="5"/>
      <c r="V5316" s="5"/>
      <c r="W5316" s="5"/>
      <c r="X5316" s="5"/>
      <c r="Y5316" s="5"/>
      <c r="Z5316" s="5"/>
    </row>
    <row r="5317" spans="1:26" ht="15" x14ac:dyDescent="0.25">
      <c r="A5317" s="4" t="s">
        <v>5315</v>
      </c>
      <c r="B5317" s="4" t="s">
        <v>4550</v>
      </c>
      <c r="C5317" s="2" t="str">
        <f ca="1">IFERROR(__xludf.DUMMYFUNCTION("GOOGLETRANSLATE(A5317,""bn"",""en"")"),"I didn't like it")</f>
        <v>I didn't like it</v>
      </c>
      <c r="D5317" s="5"/>
      <c r="E5317" s="5"/>
      <c r="F5317" s="5"/>
      <c r="G5317" s="5"/>
      <c r="H5317" s="5"/>
      <c r="I5317" s="5"/>
      <c r="J5317" s="5"/>
      <c r="K5317" s="5"/>
      <c r="L5317" s="5"/>
      <c r="M5317" s="5"/>
      <c r="N5317" s="5"/>
      <c r="O5317" s="5"/>
      <c r="P5317" s="5"/>
      <c r="Q5317" s="5"/>
      <c r="R5317" s="5"/>
      <c r="S5317" s="5"/>
      <c r="T5317" s="5"/>
      <c r="U5317" s="5"/>
      <c r="V5317" s="5"/>
      <c r="W5317" s="5"/>
      <c r="X5317" s="5"/>
      <c r="Y5317" s="5"/>
      <c r="Z5317" s="5"/>
    </row>
    <row r="5318" spans="1:26" ht="15" x14ac:dyDescent="0.25">
      <c r="A5318" s="4" t="s">
        <v>5316</v>
      </c>
      <c r="B5318" s="4" t="s">
        <v>4550</v>
      </c>
      <c r="C5318" s="2" t="str">
        <f ca="1">IFERROR(__xludf.DUMMYFUNCTION("GOOGLETRANSLATE(A5318,""bn"",""en"")"),"Dighi gave the best performance in this film but I could not thank the director of this film")</f>
        <v>Dighi gave the best performance in this film but I could not thank the director of this film</v>
      </c>
      <c r="D5318" s="5"/>
      <c r="E5318" s="5"/>
      <c r="F5318" s="5"/>
      <c r="G5318" s="5"/>
      <c r="H5318" s="5"/>
      <c r="I5318" s="5"/>
      <c r="J5318" s="5"/>
      <c r="K5318" s="5"/>
      <c r="L5318" s="5"/>
      <c r="M5318" s="5"/>
      <c r="N5318" s="5"/>
      <c r="O5318" s="5"/>
      <c r="P5318" s="5"/>
      <c r="Q5318" s="5"/>
      <c r="R5318" s="5"/>
      <c r="S5318" s="5"/>
      <c r="T5318" s="5"/>
      <c r="U5318" s="5"/>
      <c r="V5318" s="5"/>
      <c r="W5318" s="5"/>
      <c r="X5318" s="5"/>
      <c r="Y5318" s="5"/>
      <c r="Z5318" s="5"/>
    </row>
    <row r="5319" spans="1:26" ht="15" x14ac:dyDescent="0.25">
      <c r="A5319" s="4" t="s">
        <v>5317</v>
      </c>
      <c r="B5319" s="4" t="s">
        <v>4550</v>
      </c>
      <c r="C5319" s="2" t="str">
        <f ca="1">IFERROR(__xludf.DUMMYFUNCTION("GOOGLETRANSLATE(A5319,""bn"",""en"")"),"It was an incredibly beautiful picture that I watched again and again, but it was a reflection of real life")</f>
        <v>It was an incredibly beautiful picture that I watched again and again, but it was a reflection of real life</v>
      </c>
      <c r="D5319" s="5"/>
      <c r="E5319" s="5"/>
      <c r="F5319" s="5"/>
      <c r="G5319" s="5"/>
      <c r="H5319" s="5"/>
      <c r="I5319" s="5"/>
      <c r="J5319" s="5"/>
      <c r="K5319" s="5"/>
      <c r="L5319" s="5"/>
      <c r="M5319" s="5"/>
      <c r="N5319" s="5"/>
      <c r="O5319" s="5"/>
      <c r="P5319" s="5"/>
      <c r="Q5319" s="5"/>
      <c r="R5319" s="5"/>
      <c r="S5319" s="5"/>
      <c r="T5319" s="5"/>
      <c r="U5319" s="5"/>
      <c r="V5319" s="5"/>
      <c r="W5319" s="5"/>
      <c r="X5319" s="5"/>
      <c r="Y5319" s="5"/>
      <c r="Z5319" s="5"/>
    </row>
    <row r="5320" spans="1:26" ht="15" x14ac:dyDescent="0.25">
      <c r="A5320" s="4" t="s">
        <v>5318</v>
      </c>
      <c r="B5320" s="4" t="s">
        <v>4550</v>
      </c>
      <c r="C5320" s="2" t="str">
        <f ca="1">IFERROR(__xludf.DUMMYFUNCTION("GOOGLETRANSLATE(A5320,""bn"",""en"")"),"There were many beautiful pictures, I learned a lot")</f>
        <v>There were many beautiful pictures, I learned a lot</v>
      </c>
      <c r="D5320" s="5"/>
      <c r="E5320" s="5"/>
      <c r="F5320" s="5"/>
      <c r="G5320" s="5"/>
      <c r="H5320" s="5"/>
      <c r="I5320" s="5"/>
      <c r="J5320" s="5"/>
      <c r="K5320" s="5"/>
      <c r="L5320" s="5"/>
      <c r="M5320" s="5"/>
      <c r="N5320" s="5"/>
      <c r="O5320" s="5"/>
      <c r="P5320" s="5"/>
      <c r="Q5320" s="5"/>
      <c r="R5320" s="5"/>
      <c r="S5320" s="5"/>
      <c r="T5320" s="5"/>
      <c r="U5320" s="5"/>
      <c r="V5320" s="5"/>
      <c r="W5320" s="5"/>
      <c r="X5320" s="5"/>
      <c r="Y5320" s="5"/>
      <c r="Z5320" s="5"/>
    </row>
    <row r="5321" spans="1:26" ht="15" x14ac:dyDescent="0.25">
      <c r="A5321" s="4" t="s">
        <v>5319</v>
      </c>
      <c r="B5321" s="4" t="s">
        <v>4550</v>
      </c>
      <c r="C5321" s="2" t="str">
        <f ca="1">IFERROR(__xludf.DUMMYFUNCTION("GOOGLETRANSLATE(A5321,""bn"",""en"")"),"After watching the movie, I couldn't help but download the songs. I liked it a lot")</f>
        <v>After watching the movie, I couldn't help but download the songs. I liked it a lot</v>
      </c>
      <c r="D5321" s="5"/>
      <c r="E5321" s="5"/>
      <c r="F5321" s="5"/>
      <c r="G5321" s="5"/>
      <c r="H5321" s="5"/>
      <c r="I5321" s="5"/>
      <c r="J5321" s="5"/>
      <c r="K5321" s="5"/>
      <c r="L5321" s="5"/>
      <c r="M5321" s="5"/>
      <c r="N5321" s="5"/>
      <c r="O5321" s="5"/>
      <c r="P5321" s="5"/>
      <c r="Q5321" s="5"/>
      <c r="R5321" s="5"/>
      <c r="S5321" s="5"/>
      <c r="T5321" s="5"/>
      <c r="U5321" s="5"/>
      <c r="V5321" s="5"/>
      <c r="W5321" s="5"/>
      <c r="X5321" s="5"/>
      <c r="Y5321" s="5"/>
      <c r="Z5321" s="5"/>
    </row>
    <row r="5322" spans="1:26" ht="15" x14ac:dyDescent="0.25">
      <c r="A5322" s="4" t="s">
        <v>5320</v>
      </c>
      <c r="B5322" s="4" t="s">
        <v>4550</v>
      </c>
      <c r="C5322" s="2" t="str">
        <f ca="1">IFERROR(__xludf.DUMMYFUNCTION("GOOGLETRANSLATE(A5322,""bn"",""en"")"),"How could they make such a bad movie?")</f>
        <v>How could they make such a bad movie?</v>
      </c>
      <c r="D5322" s="5"/>
      <c r="E5322" s="5"/>
      <c r="F5322" s="5"/>
      <c r="G5322" s="5"/>
      <c r="H5322" s="5"/>
      <c r="I5322" s="5"/>
      <c r="J5322" s="5"/>
      <c r="K5322" s="5"/>
      <c r="L5322" s="5"/>
      <c r="M5322" s="5"/>
      <c r="N5322" s="5"/>
      <c r="O5322" s="5"/>
      <c r="P5322" s="5"/>
      <c r="Q5322" s="5"/>
      <c r="R5322" s="5"/>
      <c r="S5322" s="5"/>
      <c r="T5322" s="5"/>
      <c r="U5322" s="5"/>
      <c r="V5322" s="5"/>
      <c r="W5322" s="5"/>
      <c r="X5322" s="5"/>
      <c r="Y5322" s="5"/>
      <c r="Z5322" s="5"/>
    </row>
    <row r="5323" spans="1:26" ht="15" x14ac:dyDescent="0.25">
      <c r="A5323" s="4" t="s">
        <v>5321</v>
      </c>
      <c r="B5323" s="4" t="s">
        <v>4550</v>
      </c>
      <c r="C5323" s="2" t="str">
        <f ca="1">IFERROR(__xludf.DUMMYFUNCTION("GOOGLETRANSLATE(A5323,""bn"",""en"")"),"No one has made such a legendary movie in Bengali films till date")</f>
        <v>No one has made such a legendary movie in Bengali films till date</v>
      </c>
      <c r="D5323" s="5"/>
      <c r="E5323" s="5"/>
      <c r="F5323" s="5"/>
      <c r="G5323" s="5"/>
      <c r="H5323" s="5"/>
      <c r="I5323" s="5"/>
      <c r="J5323" s="5"/>
      <c r="K5323" s="5"/>
      <c r="L5323" s="5"/>
      <c r="M5323" s="5"/>
      <c r="N5323" s="5"/>
      <c r="O5323" s="5"/>
      <c r="P5323" s="5"/>
      <c r="Q5323" s="5"/>
      <c r="R5323" s="5"/>
      <c r="S5323" s="5"/>
      <c r="T5323" s="5"/>
      <c r="U5323" s="5"/>
      <c r="V5323" s="5"/>
      <c r="W5323" s="5"/>
      <c r="X5323" s="5"/>
      <c r="Y5323" s="5"/>
      <c r="Z5323" s="5"/>
    </row>
    <row r="5324" spans="1:26" ht="15" x14ac:dyDescent="0.25">
      <c r="A5324" s="4" t="s">
        <v>5322</v>
      </c>
      <c r="B5324" s="4" t="s">
        <v>4550</v>
      </c>
      <c r="C5324" s="2" t="str">
        <f ca="1">IFERROR(__xludf.DUMMYFUNCTION("GOOGLETRANSLATE(A5324,""bn"",""en"")"),"Almost the stories of the film were very close")</f>
        <v>Almost the stories of the film were very close</v>
      </c>
      <c r="D5324" s="5"/>
      <c r="E5324" s="5"/>
      <c r="F5324" s="5"/>
      <c r="G5324" s="5"/>
      <c r="H5324" s="5"/>
      <c r="I5324" s="5"/>
      <c r="J5324" s="5"/>
      <c r="K5324" s="5"/>
      <c r="L5324" s="5"/>
      <c r="M5324" s="5"/>
      <c r="N5324" s="5"/>
      <c r="O5324" s="5"/>
      <c r="P5324" s="5"/>
      <c r="Q5324" s="5"/>
      <c r="R5324" s="5"/>
      <c r="S5324" s="5"/>
      <c r="T5324" s="5"/>
      <c r="U5324" s="5"/>
      <c r="V5324" s="5"/>
      <c r="W5324" s="5"/>
      <c r="X5324" s="5"/>
      <c r="Y5324" s="5"/>
      <c r="Z5324" s="5"/>
    </row>
    <row r="5325" spans="1:26" ht="15" x14ac:dyDescent="0.25">
      <c r="A5325" s="4" t="s">
        <v>5323</v>
      </c>
      <c r="B5325" s="4" t="s">
        <v>4550</v>
      </c>
      <c r="C5325" s="2" t="str">
        <f ca="1">IFERROR(__xludf.DUMMYFUNCTION("GOOGLETRANSLATE(A5325,""bn"",""en"")"),"No it wasn't good")</f>
        <v>No it wasn't good</v>
      </c>
      <c r="D5325" s="5"/>
      <c r="E5325" s="5"/>
      <c r="F5325" s="5"/>
      <c r="G5325" s="5"/>
      <c r="H5325" s="5"/>
      <c r="I5325" s="5"/>
      <c r="J5325" s="5"/>
      <c r="K5325" s="5"/>
      <c r="L5325" s="5"/>
      <c r="M5325" s="5"/>
      <c r="N5325" s="5"/>
      <c r="O5325" s="5"/>
      <c r="P5325" s="5"/>
      <c r="Q5325" s="5"/>
      <c r="R5325" s="5"/>
      <c r="S5325" s="5"/>
      <c r="T5325" s="5"/>
      <c r="U5325" s="5"/>
      <c r="V5325" s="5"/>
      <c r="W5325" s="5"/>
      <c r="X5325" s="5"/>
      <c r="Y5325" s="5"/>
      <c r="Z5325" s="5"/>
    </row>
    <row r="5326" spans="1:26" ht="15" x14ac:dyDescent="0.25">
      <c r="A5326" s="4" t="s">
        <v>5324</v>
      </c>
      <c r="B5326" s="4" t="s">
        <v>4550</v>
      </c>
      <c r="C5326" s="2" t="str">
        <f ca="1">IFERROR(__xludf.DUMMYFUNCTION("GOOGLETRANSLATE(A5326,""bn"",""en"")"),"Acting was very bad and Devojyoti's atmosphere and songs were even worse")</f>
        <v>Acting was very bad and Devojyoti's atmosphere and songs were even worse</v>
      </c>
      <c r="D5326" s="5"/>
      <c r="E5326" s="5"/>
      <c r="F5326" s="5"/>
      <c r="G5326" s="5"/>
      <c r="H5326" s="5"/>
      <c r="I5326" s="5"/>
      <c r="J5326" s="5"/>
      <c r="K5326" s="5"/>
      <c r="L5326" s="5"/>
      <c r="M5326" s="5"/>
      <c r="N5326" s="5"/>
      <c r="O5326" s="5"/>
      <c r="P5326" s="5"/>
      <c r="Q5326" s="5"/>
      <c r="R5326" s="5"/>
      <c r="S5326" s="5"/>
      <c r="T5326" s="5"/>
      <c r="U5326" s="5"/>
      <c r="V5326" s="5"/>
      <c r="W5326" s="5"/>
      <c r="X5326" s="5"/>
      <c r="Y5326" s="5"/>
      <c r="Z5326" s="5"/>
    </row>
    <row r="5327" spans="1:26" ht="15" x14ac:dyDescent="0.25">
      <c r="A5327" s="4" t="s">
        <v>5325</v>
      </c>
      <c r="B5327" s="4" t="s">
        <v>4550</v>
      </c>
      <c r="C5327" s="2" t="str">
        <f ca="1">IFERROR(__xludf.DUMMYFUNCTION("GOOGLETRANSLATE(A5327,""bn"",""en"")"),"I have seen many dramas in my life but I don't know why I couldn't stop crying after watching this movie")</f>
        <v>I have seen many dramas in my life but I don't know why I couldn't stop crying after watching this movie</v>
      </c>
      <c r="D5327" s="5"/>
      <c r="E5327" s="5"/>
      <c r="F5327" s="5"/>
      <c r="G5327" s="5"/>
      <c r="H5327" s="5"/>
      <c r="I5327" s="5"/>
      <c r="J5327" s="5"/>
      <c r="K5327" s="5"/>
      <c r="L5327" s="5"/>
      <c r="M5327" s="5"/>
      <c r="N5327" s="5"/>
      <c r="O5327" s="5"/>
      <c r="P5327" s="5"/>
      <c r="Q5327" s="5"/>
      <c r="R5327" s="5"/>
      <c r="S5327" s="5"/>
      <c r="T5327" s="5"/>
      <c r="U5327" s="5"/>
      <c r="V5327" s="5"/>
      <c r="W5327" s="5"/>
      <c r="X5327" s="5"/>
      <c r="Y5327" s="5"/>
      <c r="Z5327" s="5"/>
    </row>
    <row r="5328" spans="1:26" ht="15" x14ac:dyDescent="0.25">
      <c r="A5328" s="4" t="s">
        <v>5326</v>
      </c>
      <c r="B5328" s="4" t="s">
        <v>4550</v>
      </c>
      <c r="C5328" s="2" t="str">
        <f ca="1">IFERROR(__xludf.DUMMYFUNCTION("GOOGLETRANSLATE(A5328,""bn"",""en"")"),"Children's movie dialogues did not match any of the time I was unemployed and the fight performance was very bad")</f>
        <v>Children's movie dialogues did not match any of the time I was unemployed and the fight performance was very bad</v>
      </c>
      <c r="D5328" s="5"/>
      <c r="E5328" s="5"/>
      <c r="F5328" s="5"/>
      <c r="G5328" s="5"/>
      <c r="H5328" s="5"/>
      <c r="I5328" s="5"/>
      <c r="J5328" s="5"/>
      <c r="K5328" s="5"/>
      <c r="L5328" s="5"/>
      <c r="M5328" s="5"/>
      <c r="N5328" s="5"/>
      <c r="O5328" s="5"/>
      <c r="P5328" s="5"/>
      <c r="Q5328" s="5"/>
      <c r="R5328" s="5"/>
      <c r="S5328" s="5"/>
      <c r="T5328" s="5"/>
      <c r="U5328" s="5"/>
      <c r="V5328" s="5"/>
      <c r="W5328" s="5"/>
      <c r="X5328" s="5"/>
      <c r="Y5328" s="5"/>
      <c r="Z5328" s="5"/>
    </row>
    <row r="5329" spans="1:26" ht="15" x14ac:dyDescent="0.25">
      <c r="A5329" s="4" t="s">
        <v>5327</v>
      </c>
      <c r="B5329" s="4" t="s">
        <v>4550</v>
      </c>
      <c r="C5329" s="2" t="str">
        <f ca="1">IFERROR(__xludf.DUMMYFUNCTION("GOOGLETRANSLATE(A5329,""bn"",""en"")"),"These pictures were able to make a mark in everyone's mind")</f>
        <v>These pictures were able to make a mark in everyone's mind</v>
      </c>
      <c r="D5329" s="5"/>
      <c r="E5329" s="5"/>
      <c r="F5329" s="5"/>
      <c r="G5329" s="5"/>
      <c r="H5329" s="5"/>
      <c r="I5329" s="5"/>
      <c r="J5329" s="5"/>
      <c r="K5329" s="5"/>
      <c r="L5329" s="5"/>
      <c r="M5329" s="5"/>
      <c r="N5329" s="5"/>
      <c r="O5329" s="5"/>
      <c r="P5329" s="5"/>
      <c r="Q5329" s="5"/>
      <c r="R5329" s="5"/>
      <c r="S5329" s="5"/>
      <c r="T5329" s="5"/>
      <c r="U5329" s="5"/>
      <c r="V5329" s="5"/>
      <c r="W5329" s="5"/>
      <c r="X5329" s="5"/>
      <c r="Y5329" s="5"/>
      <c r="Z5329" s="5"/>
    </row>
    <row r="5330" spans="1:26" ht="15" x14ac:dyDescent="0.25">
      <c r="A5330" s="4" t="s">
        <v>5328</v>
      </c>
      <c r="B5330" s="4" t="s">
        <v>4550</v>
      </c>
      <c r="C5330" s="2" t="str">
        <f ca="1">IFERROR(__xludf.DUMMYFUNCTION("GOOGLETRANSLATE(A5330,""bn"",""en"")"),"The ending of the movie was completely awkward")</f>
        <v>The ending of the movie was completely awkward</v>
      </c>
      <c r="D5330" s="5"/>
      <c r="E5330" s="5"/>
      <c r="F5330" s="5"/>
      <c r="G5330" s="5"/>
      <c r="H5330" s="5"/>
      <c r="I5330" s="5"/>
      <c r="J5330" s="5"/>
      <c r="K5330" s="5"/>
      <c r="L5330" s="5"/>
      <c r="M5330" s="5"/>
      <c r="N5330" s="5"/>
      <c r="O5330" s="5"/>
      <c r="P5330" s="5"/>
      <c r="Q5330" s="5"/>
      <c r="R5330" s="5"/>
      <c r="S5330" s="5"/>
      <c r="T5330" s="5"/>
      <c r="U5330" s="5"/>
      <c r="V5330" s="5"/>
      <c r="W5330" s="5"/>
      <c r="X5330" s="5"/>
      <c r="Y5330" s="5"/>
      <c r="Z5330" s="5"/>
    </row>
    <row r="5331" spans="1:26" ht="15" x14ac:dyDescent="0.25">
      <c r="A5331" s="4" t="s">
        <v>5329</v>
      </c>
      <c r="B5331" s="4" t="s">
        <v>4550</v>
      </c>
      <c r="C5331" s="2" t="str">
        <f ca="1">IFERROR(__xludf.DUMMYFUNCTION("GOOGLETRANSLATE(A5331,""bn"",""en"")"),"Foul was the movie when the mood turned bad")</f>
        <v>Foul was the movie when the mood turned bad</v>
      </c>
      <c r="D5331" s="5"/>
      <c r="E5331" s="5"/>
      <c r="F5331" s="5"/>
      <c r="G5331" s="5"/>
      <c r="H5331" s="5"/>
      <c r="I5331" s="5"/>
      <c r="J5331" s="5"/>
      <c r="K5331" s="5"/>
      <c r="L5331" s="5"/>
      <c r="M5331" s="5"/>
      <c r="N5331" s="5"/>
      <c r="O5331" s="5"/>
      <c r="P5331" s="5"/>
      <c r="Q5331" s="5"/>
      <c r="R5331" s="5"/>
      <c r="S5331" s="5"/>
      <c r="T5331" s="5"/>
      <c r="U5331" s="5"/>
      <c r="V5331" s="5"/>
      <c r="W5331" s="5"/>
      <c r="X5331" s="5"/>
      <c r="Y5331" s="5"/>
      <c r="Z5331" s="5"/>
    </row>
    <row r="5332" spans="1:26" ht="15" x14ac:dyDescent="0.25">
      <c r="A5332" s="4" t="s">
        <v>5330</v>
      </c>
      <c r="B5332" s="4" t="s">
        <v>4550</v>
      </c>
      <c r="C5332" s="2" t="str">
        <f ca="1">IFERROR(__xludf.DUMMYFUNCTION("GOOGLETRANSLATE(A5332,""bn"",""en"")"),"It was a good movie in Bengali cinema")</f>
        <v>It was a good movie in Bengali cinema</v>
      </c>
      <c r="D5332" s="5"/>
      <c r="E5332" s="5"/>
      <c r="F5332" s="5"/>
      <c r="G5332" s="5"/>
      <c r="H5332" s="5"/>
      <c r="I5332" s="5"/>
      <c r="J5332" s="5"/>
      <c r="K5332" s="5"/>
      <c r="L5332" s="5"/>
      <c r="M5332" s="5"/>
      <c r="N5332" s="5"/>
      <c r="O5332" s="5"/>
      <c r="P5332" s="5"/>
      <c r="Q5332" s="5"/>
      <c r="R5332" s="5"/>
      <c r="S5332" s="5"/>
      <c r="T5332" s="5"/>
      <c r="U5332" s="5"/>
      <c r="V5332" s="5"/>
      <c r="W5332" s="5"/>
      <c r="X5332" s="5"/>
      <c r="Y5332" s="5"/>
      <c r="Z5332" s="5"/>
    </row>
    <row r="5333" spans="1:26" ht="15" x14ac:dyDescent="0.25">
      <c r="A5333" s="4" t="s">
        <v>5331</v>
      </c>
      <c r="B5333" s="4" t="s">
        <v>4550</v>
      </c>
      <c r="C5333" s="2" t="str">
        <f ca="1">IFERROR(__xludf.DUMMYFUNCTION("GOOGLETRANSLATE(A5333,""bn"",""en"")"),"Salman Shah was the best hero in the world of cinema, Anand Ashra was the best movie in the world of cinema, compared to which today's Bengali cinema is nothing.")</f>
        <v>Salman Shah was the best hero in the world of cinema, Anand Ashra was the best movie in the world of cinema, compared to which today's Bengali cinema is nothing.</v>
      </c>
      <c r="D5333" s="5"/>
      <c r="E5333" s="5"/>
      <c r="F5333" s="5"/>
      <c r="G5333" s="5"/>
      <c r="H5333" s="5"/>
      <c r="I5333" s="5"/>
      <c r="J5333" s="5"/>
      <c r="K5333" s="5"/>
      <c r="L5333" s="5"/>
      <c r="M5333" s="5"/>
      <c r="N5333" s="5"/>
      <c r="O5333" s="5"/>
      <c r="P5333" s="5"/>
      <c r="Q5333" s="5"/>
      <c r="R5333" s="5"/>
      <c r="S5333" s="5"/>
      <c r="T5333" s="5"/>
      <c r="U5333" s="5"/>
      <c r="V5333" s="5"/>
      <c r="W5333" s="5"/>
      <c r="X5333" s="5"/>
      <c r="Y5333" s="5"/>
      <c r="Z5333" s="5"/>
    </row>
    <row r="5334" spans="1:26" ht="15" x14ac:dyDescent="0.25">
      <c r="A5334" s="4" t="s">
        <v>5332</v>
      </c>
      <c r="B5334" s="4" t="s">
        <v>4550</v>
      </c>
      <c r="C5334" s="2" t="str">
        <f ca="1">IFERROR(__xludf.DUMMYFUNCTION("GOOGLETRANSLATE(A5334,""bn"",""en"")"),"Shakibto was an all-rounder with no shortage of performances and Bubli's performance was also a super hit.")</f>
        <v>Shakibto was an all-rounder with no shortage of performances and Bubli's performance was also a super hit.</v>
      </c>
      <c r="D5334" s="5"/>
      <c r="E5334" s="5"/>
      <c r="F5334" s="5"/>
      <c r="G5334" s="5"/>
      <c r="H5334" s="5"/>
      <c r="I5334" s="5"/>
      <c r="J5334" s="5"/>
      <c r="K5334" s="5"/>
      <c r="L5334" s="5"/>
      <c r="M5334" s="5"/>
      <c r="N5334" s="5"/>
      <c r="O5334" s="5"/>
      <c r="P5334" s="5"/>
      <c r="Q5334" s="5"/>
      <c r="R5334" s="5"/>
      <c r="S5334" s="5"/>
      <c r="T5334" s="5"/>
      <c r="U5334" s="5"/>
      <c r="V5334" s="5"/>
      <c r="W5334" s="5"/>
      <c r="X5334" s="5"/>
      <c r="Y5334" s="5"/>
      <c r="Z5334" s="5"/>
    </row>
    <row r="5335" spans="1:26" ht="15" x14ac:dyDescent="0.25">
      <c r="A5335" s="4" t="s">
        <v>5333</v>
      </c>
      <c r="B5335" s="4" t="s">
        <v>4550</v>
      </c>
      <c r="C5335" s="2" t="str">
        <f ca="1">IFERROR(__xludf.DUMMYFUNCTION("GOOGLETRANSLATE(A5335,""bn"",""en"")"),"The color of the lipstick was so bad")</f>
        <v>The color of the lipstick was so bad</v>
      </c>
      <c r="D5335" s="5"/>
      <c r="E5335" s="5"/>
      <c r="F5335" s="5"/>
      <c r="G5335" s="5"/>
      <c r="H5335" s="5"/>
      <c r="I5335" s="5"/>
      <c r="J5335" s="5"/>
      <c r="K5335" s="5"/>
      <c r="L5335" s="5"/>
      <c r="M5335" s="5"/>
      <c r="N5335" s="5"/>
      <c r="O5335" s="5"/>
      <c r="P5335" s="5"/>
      <c r="Q5335" s="5"/>
      <c r="R5335" s="5"/>
      <c r="S5335" s="5"/>
      <c r="T5335" s="5"/>
      <c r="U5335" s="5"/>
      <c r="V5335" s="5"/>
      <c r="W5335" s="5"/>
      <c r="X5335" s="5"/>
      <c r="Y5335" s="5"/>
      <c r="Z5335" s="5"/>
    </row>
    <row r="5336" spans="1:26" ht="15" x14ac:dyDescent="0.25">
      <c r="A5336" s="4" t="s">
        <v>5334</v>
      </c>
      <c r="B5336" s="4" t="s">
        <v>4550</v>
      </c>
      <c r="C5336" s="2" t="str">
        <f ca="1">IFERROR(__xludf.DUMMYFUNCTION("GOOGLETRANSLATE(A5336,""bn"",""en"")"),"I have never seen such bad acting in my life")</f>
        <v>I have never seen such bad acting in my life</v>
      </c>
      <c r="D5336" s="5"/>
      <c r="E5336" s="5"/>
      <c r="F5336" s="5"/>
      <c r="G5336" s="5"/>
      <c r="H5336" s="5"/>
      <c r="I5336" s="5"/>
      <c r="J5336" s="5"/>
      <c r="K5336" s="5"/>
      <c r="L5336" s="5"/>
      <c r="M5336" s="5"/>
      <c r="N5336" s="5"/>
      <c r="O5336" s="5"/>
      <c r="P5336" s="5"/>
      <c r="Q5336" s="5"/>
      <c r="R5336" s="5"/>
      <c r="S5336" s="5"/>
      <c r="T5336" s="5"/>
      <c r="U5336" s="5"/>
      <c r="V5336" s="5"/>
      <c r="W5336" s="5"/>
      <c r="X5336" s="5"/>
      <c r="Y5336" s="5"/>
      <c r="Z5336" s="5"/>
    </row>
    <row r="5337" spans="1:26" ht="15" x14ac:dyDescent="0.25">
      <c r="A5337" s="4" t="s">
        <v>5335</v>
      </c>
      <c r="B5337" s="4" t="s">
        <v>4550</v>
      </c>
      <c r="C5337" s="2" t="str">
        <f ca="1">IFERROR(__xludf.DUMMYFUNCTION("GOOGLETRANSLATE(A5337,""bn"",""en"")"),"Loved the touching story")</f>
        <v>Loved the touching story</v>
      </c>
      <c r="D5337" s="5"/>
      <c r="E5337" s="5"/>
      <c r="F5337" s="5"/>
      <c r="G5337" s="5"/>
      <c r="H5337" s="5"/>
      <c r="I5337" s="5"/>
      <c r="J5337" s="5"/>
      <c r="K5337" s="5"/>
      <c r="L5337" s="5"/>
      <c r="M5337" s="5"/>
      <c r="N5337" s="5"/>
      <c r="O5337" s="5"/>
      <c r="P5337" s="5"/>
      <c r="Q5337" s="5"/>
      <c r="R5337" s="5"/>
      <c r="S5337" s="5"/>
      <c r="T5337" s="5"/>
      <c r="U5337" s="5"/>
      <c r="V5337" s="5"/>
      <c r="W5337" s="5"/>
      <c r="X5337" s="5"/>
      <c r="Y5337" s="5"/>
      <c r="Z5337" s="5"/>
    </row>
    <row r="5338" spans="1:26" ht="15" x14ac:dyDescent="0.25">
      <c r="A5338" s="4" t="s">
        <v>5336</v>
      </c>
      <c r="B5338" s="4" t="s">
        <v>4550</v>
      </c>
      <c r="C5338" s="2" t="str">
        <f ca="1">IFERROR(__xludf.DUMMYFUNCTION("GOOGLETRANSLATE(A5338,""bn"",""en"")"),"I wasted my time watching a stupid movie")</f>
        <v>I wasted my time watching a stupid movie</v>
      </c>
      <c r="D5338" s="5"/>
      <c r="E5338" s="5"/>
      <c r="F5338" s="5"/>
      <c r="G5338" s="5"/>
      <c r="H5338" s="5"/>
      <c r="I5338" s="5"/>
      <c r="J5338" s="5"/>
      <c r="K5338" s="5"/>
      <c r="L5338" s="5"/>
      <c r="M5338" s="5"/>
      <c r="N5338" s="5"/>
      <c r="O5338" s="5"/>
      <c r="P5338" s="5"/>
      <c r="Q5338" s="5"/>
      <c r="R5338" s="5"/>
      <c r="S5338" s="5"/>
      <c r="T5338" s="5"/>
      <c r="U5338" s="5"/>
      <c r="V5338" s="5"/>
      <c r="W5338" s="5"/>
      <c r="X5338" s="5"/>
      <c r="Y5338" s="5"/>
      <c r="Z5338" s="5"/>
    </row>
    <row r="5339" spans="1:26" ht="15" x14ac:dyDescent="0.25">
      <c r="A5339" s="4" t="s">
        <v>5337</v>
      </c>
      <c r="B5339" s="4" t="s">
        <v>4550</v>
      </c>
      <c r="C5339" s="2" t="str">
        <f ca="1">IFERROR(__xludf.DUMMYFUNCTION("GOOGLETRANSLATE(A5339,""bn"",""en"")"),"There was no story, it was a crap movie")</f>
        <v>There was no story, it was a crap movie</v>
      </c>
      <c r="D5339" s="5"/>
      <c r="E5339" s="5"/>
      <c r="F5339" s="5"/>
      <c r="G5339" s="5"/>
      <c r="H5339" s="5"/>
      <c r="I5339" s="5"/>
      <c r="J5339" s="5"/>
      <c r="K5339" s="5"/>
      <c r="L5339" s="5"/>
      <c r="M5339" s="5"/>
      <c r="N5339" s="5"/>
      <c r="O5339" s="5"/>
      <c r="P5339" s="5"/>
      <c r="Q5339" s="5"/>
      <c r="R5339" s="5"/>
      <c r="S5339" s="5"/>
      <c r="T5339" s="5"/>
      <c r="U5339" s="5"/>
      <c r="V5339" s="5"/>
      <c r="W5339" s="5"/>
      <c r="X5339" s="5"/>
      <c r="Y5339" s="5"/>
      <c r="Z5339" s="5"/>
    </row>
    <row r="5340" spans="1:26" ht="15" x14ac:dyDescent="0.25">
      <c r="A5340" s="4" t="s">
        <v>5338</v>
      </c>
      <c r="B5340" s="4" t="s">
        <v>4550</v>
      </c>
      <c r="C5340" s="2" t="str">
        <f ca="1">IFERROR(__xludf.DUMMYFUNCTION("GOOGLETRANSLATE(A5340,""bn"",""en"")"),"I can't think what movie I saw, I was shocked")</f>
        <v>I can't think what movie I saw, I was shocked</v>
      </c>
      <c r="D5340" s="5"/>
      <c r="E5340" s="5"/>
      <c r="F5340" s="5"/>
      <c r="G5340" s="5"/>
      <c r="H5340" s="5"/>
      <c r="I5340" s="5"/>
      <c r="J5340" s="5"/>
      <c r="K5340" s="5"/>
      <c r="L5340" s="5"/>
      <c r="M5340" s="5"/>
      <c r="N5340" s="5"/>
      <c r="O5340" s="5"/>
      <c r="P5340" s="5"/>
      <c r="Q5340" s="5"/>
      <c r="R5340" s="5"/>
      <c r="S5340" s="5"/>
      <c r="T5340" s="5"/>
      <c r="U5340" s="5"/>
      <c r="V5340" s="5"/>
      <c r="W5340" s="5"/>
      <c r="X5340" s="5"/>
      <c r="Y5340" s="5"/>
      <c r="Z5340" s="5"/>
    </row>
    <row r="5341" spans="1:26" ht="15" x14ac:dyDescent="0.25">
      <c r="A5341" s="4" t="s">
        <v>5339</v>
      </c>
      <c r="B5341" s="4" t="s">
        <v>4550</v>
      </c>
      <c r="C5341" s="2" t="str">
        <f ca="1">IFERROR(__xludf.DUMMYFUNCTION("GOOGLETRANSLATE(A5341,""bn"",""en"")"),"These may be true events, but they seemed very bad")</f>
        <v>These may be true events, but they seemed very bad</v>
      </c>
      <c r="D5341" s="5"/>
      <c r="E5341" s="5"/>
      <c r="F5341" s="5"/>
      <c r="G5341" s="5"/>
      <c r="H5341" s="5"/>
      <c r="I5341" s="5"/>
      <c r="J5341" s="5"/>
      <c r="K5341" s="5"/>
      <c r="L5341" s="5"/>
      <c r="M5341" s="5"/>
      <c r="N5341" s="5"/>
      <c r="O5341" s="5"/>
      <c r="P5341" s="5"/>
      <c r="Q5341" s="5"/>
      <c r="R5341" s="5"/>
      <c r="S5341" s="5"/>
      <c r="T5341" s="5"/>
      <c r="U5341" s="5"/>
      <c r="V5341" s="5"/>
      <c r="W5341" s="5"/>
      <c r="X5341" s="5"/>
      <c r="Y5341" s="5"/>
      <c r="Z5341" s="5"/>
    </row>
    <row r="5342" spans="1:26" ht="15" x14ac:dyDescent="0.25">
      <c r="A5342" s="4" t="s">
        <v>5340</v>
      </c>
      <c r="B5342" s="4" t="s">
        <v>4550</v>
      </c>
      <c r="C5342" s="2" t="str">
        <f ca="1">IFERROR(__xludf.DUMMYFUNCTION("GOOGLETRANSLATE(A5342,""bn"",""en"")"),"It was a wonderful movie I found this movie after searching for a long time Thanks a lot for giving this movie Bappi Aanchal and Meem had great acting")</f>
        <v>It was a wonderful movie I found this movie after searching for a long time Thanks a lot for giving this movie Bappi Aanchal and Meem had great acting</v>
      </c>
      <c r="D5342" s="5"/>
      <c r="E5342" s="5"/>
      <c r="F5342" s="5"/>
      <c r="G5342" s="5"/>
      <c r="H5342" s="5"/>
      <c r="I5342" s="5"/>
      <c r="J5342" s="5"/>
      <c r="K5342" s="5"/>
      <c r="L5342" s="5"/>
      <c r="M5342" s="5"/>
      <c r="N5342" s="5"/>
      <c r="O5342" s="5"/>
      <c r="P5342" s="5"/>
      <c r="Q5342" s="5"/>
      <c r="R5342" s="5"/>
      <c r="S5342" s="5"/>
      <c r="T5342" s="5"/>
      <c r="U5342" s="5"/>
      <c r="V5342" s="5"/>
      <c r="W5342" s="5"/>
      <c r="X5342" s="5"/>
      <c r="Y5342" s="5"/>
      <c r="Z5342" s="5"/>
    </row>
    <row r="5343" spans="1:26" ht="15" x14ac:dyDescent="0.25">
      <c r="A5343" s="4" t="s">
        <v>5341</v>
      </c>
      <c r="B5343" s="4" t="s">
        <v>4550</v>
      </c>
      <c r="C5343" s="2" t="str">
        <f ca="1">IFERROR(__xludf.DUMMYFUNCTION("GOOGLETRANSLATE(A5343,""bn"",""en"")"),"No other actress could have acted like Shabnoor")</f>
        <v>No other actress could have acted like Shabnoor</v>
      </c>
      <c r="D5343" s="5"/>
      <c r="E5343" s="5"/>
      <c r="F5343" s="5"/>
      <c r="G5343" s="5"/>
      <c r="H5343" s="5"/>
      <c r="I5343" s="5"/>
      <c r="J5343" s="5"/>
      <c r="K5343" s="5"/>
      <c r="L5343" s="5"/>
      <c r="M5343" s="5"/>
      <c r="N5343" s="5"/>
      <c r="O5343" s="5"/>
      <c r="P5343" s="5"/>
      <c r="Q5343" s="5"/>
      <c r="R5343" s="5"/>
      <c r="S5343" s="5"/>
      <c r="T5343" s="5"/>
      <c r="U5343" s="5"/>
      <c r="V5343" s="5"/>
      <c r="W5343" s="5"/>
      <c r="X5343" s="5"/>
      <c r="Y5343" s="5"/>
      <c r="Z5343" s="5"/>
    </row>
    <row r="5344" spans="1:26" ht="15" x14ac:dyDescent="0.25">
      <c r="A5344" s="4" t="s">
        <v>5342</v>
      </c>
      <c r="B5344" s="4" t="s">
        <v>4550</v>
      </c>
      <c r="C5344" s="2" t="str">
        <f ca="1">IFERROR(__xludf.DUMMYFUNCTION("GOOGLETRANSLATE(A5344,""bn"",""en"")"),"Sometimes I couldn't stop myself from laughing when I saw Ananta's smile")</f>
        <v>Sometimes I couldn't stop myself from laughing when I saw Ananta's smile</v>
      </c>
      <c r="D5344" s="5"/>
      <c r="E5344" s="5"/>
      <c r="F5344" s="5"/>
      <c r="G5344" s="5"/>
      <c r="H5344" s="5"/>
      <c r="I5344" s="5"/>
      <c r="J5344" s="5"/>
      <c r="K5344" s="5"/>
      <c r="L5344" s="5"/>
      <c r="M5344" s="5"/>
      <c r="N5344" s="5"/>
      <c r="O5344" s="5"/>
      <c r="P5344" s="5"/>
      <c r="Q5344" s="5"/>
      <c r="R5344" s="5"/>
      <c r="S5344" s="5"/>
      <c r="T5344" s="5"/>
      <c r="U5344" s="5"/>
      <c r="V5344" s="5"/>
      <c r="W5344" s="5"/>
      <c r="X5344" s="5"/>
      <c r="Y5344" s="5"/>
      <c r="Z5344" s="5"/>
    </row>
    <row r="5345" spans="1:26" ht="15" x14ac:dyDescent="0.25">
      <c r="A5345" s="4" t="s">
        <v>5343</v>
      </c>
      <c r="B5345" s="4" t="s">
        <v>4550</v>
      </c>
      <c r="C5345" s="2" t="str">
        <f ca="1">IFERROR(__xludf.DUMMYFUNCTION("GOOGLETRANSLATE(A5345,""bn"",""en"")"),"There was great acting and great cinematography")</f>
        <v>There was great acting and great cinematography</v>
      </c>
      <c r="D5345" s="5"/>
      <c r="E5345" s="5"/>
      <c r="F5345" s="5"/>
      <c r="G5345" s="5"/>
      <c r="H5345" s="5"/>
      <c r="I5345" s="5"/>
      <c r="J5345" s="5"/>
      <c r="K5345" s="5"/>
      <c r="L5345" s="5"/>
      <c r="M5345" s="5"/>
      <c r="N5345" s="5"/>
      <c r="O5345" s="5"/>
      <c r="P5345" s="5"/>
      <c r="Q5345" s="5"/>
      <c r="R5345" s="5"/>
      <c r="S5345" s="5"/>
      <c r="T5345" s="5"/>
      <c r="U5345" s="5"/>
      <c r="V5345" s="5"/>
      <c r="W5345" s="5"/>
      <c r="X5345" s="5"/>
      <c r="Y5345" s="5"/>
      <c r="Z5345" s="5"/>
    </row>
    <row r="5346" spans="1:26" ht="15" x14ac:dyDescent="0.25">
      <c r="A5346" s="4" t="s">
        <v>5344</v>
      </c>
      <c r="B5346" s="4" t="s">
        <v>4550</v>
      </c>
      <c r="C5346" s="2" t="str">
        <f ca="1">IFERROR(__xludf.DUMMYFUNCTION("GOOGLETRANSLATE(A5346,""bn"",""en"")"),"Very funny book, great acting")</f>
        <v>Very funny book, great acting</v>
      </c>
      <c r="D5346" s="5"/>
      <c r="E5346" s="5"/>
      <c r="F5346" s="5"/>
      <c r="G5346" s="5"/>
      <c r="H5346" s="5"/>
      <c r="I5346" s="5"/>
      <c r="J5346" s="5"/>
      <c r="K5346" s="5"/>
      <c r="L5346" s="5"/>
      <c r="M5346" s="5"/>
      <c r="N5346" s="5"/>
      <c r="O5346" s="5"/>
      <c r="P5346" s="5"/>
      <c r="Q5346" s="5"/>
      <c r="R5346" s="5"/>
      <c r="S5346" s="5"/>
      <c r="T5346" s="5"/>
      <c r="U5346" s="5"/>
      <c r="V5346" s="5"/>
      <c r="W5346" s="5"/>
      <c r="X5346" s="5"/>
      <c r="Y5346" s="5"/>
      <c r="Z5346" s="5"/>
    </row>
    <row r="5347" spans="1:26" ht="15" x14ac:dyDescent="0.25">
      <c r="A5347" s="4" t="s">
        <v>5345</v>
      </c>
      <c r="B5347" s="4" t="s">
        <v>4550</v>
      </c>
      <c r="C5347" s="2" t="str">
        <f ca="1">IFERROR(__xludf.DUMMYFUNCTION("GOOGLETRANSLATE(A5347,""bn"",""en"")"),"Here Purnima got punished but in real sense Riaz and Ilyas Kanchan suffered lifelong punishment and we the audience suffered while watching this movie which is also a kind of punishment.")</f>
        <v>Here Purnima got punished but in real sense Riaz and Ilyas Kanchan suffered lifelong punishment and we the audience suffered while watching this movie which is also a kind of punishment.</v>
      </c>
      <c r="D5347" s="5"/>
      <c r="E5347" s="5"/>
      <c r="F5347" s="5"/>
      <c r="G5347" s="5"/>
      <c r="H5347" s="5"/>
      <c r="I5347" s="5"/>
      <c r="J5347" s="5"/>
      <c r="K5347" s="5"/>
      <c r="L5347" s="5"/>
      <c r="M5347" s="5"/>
      <c r="N5347" s="5"/>
      <c r="O5347" s="5"/>
      <c r="P5347" s="5"/>
      <c r="Q5347" s="5"/>
      <c r="R5347" s="5"/>
      <c r="S5347" s="5"/>
      <c r="T5347" s="5"/>
      <c r="U5347" s="5"/>
      <c r="V5347" s="5"/>
      <c r="W5347" s="5"/>
      <c r="X5347" s="5"/>
      <c r="Y5347" s="5"/>
      <c r="Z5347" s="5"/>
    </row>
    <row r="5348" spans="1:26" ht="15" x14ac:dyDescent="0.25">
      <c r="A5348" s="4" t="s">
        <v>5346</v>
      </c>
      <c r="B5348" s="4" t="s">
        <v>4550</v>
      </c>
      <c r="C5348" s="2" t="str">
        <f ca="1">IFERROR(__xludf.DUMMYFUNCTION("GOOGLETRANSLATE(A5348,""bn"",""en"")"),"Awesome Garib Sansar Movie Choke Water Couldn't Be Hold Thanks to the director of Garib Sansar Movie Delwar Jahan Yantu Sahib and everyone.")</f>
        <v>Awesome Garib Sansar Movie Choke Water Couldn't Be Hold Thanks to the director of Garib Sansar Movie Delwar Jahan Yantu Sahib and everyone.</v>
      </c>
      <c r="D5348" s="5"/>
      <c r="E5348" s="5"/>
      <c r="F5348" s="5"/>
      <c r="G5348" s="5"/>
      <c r="H5348" s="5"/>
      <c r="I5348" s="5"/>
      <c r="J5348" s="5"/>
      <c r="K5348" s="5"/>
      <c r="L5348" s="5"/>
      <c r="M5348" s="5"/>
      <c r="N5348" s="5"/>
      <c r="O5348" s="5"/>
      <c r="P5348" s="5"/>
      <c r="Q5348" s="5"/>
      <c r="R5348" s="5"/>
      <c r="S5348" s="5"/>
      <c r="T5348" s="5"/>
      <c r="U5348" s="5"/>
      <c r="V5348" s="5"/>
      <c r="W5348" s="5"/>
      <c r="X5348" s="5"/>
      <c r="Y5348" s="5"/>
      <c r="Z5348" s="5"/>
    </row>
    <row r="5349" spans="1:26" ht="15" x14ac:dyDescent="0.25">
      <c r="A5349" s="4" t="s">
        <v>5347</v>
      </c>
      <c r="B5349" s="4" t="s">
        <v>4550</v>
      </c>
      <c r="C5349" s="2" t="str">
        <f ca="1">IFERROR(__xludf.DUMMYFUNCTION("GOOGLETRANSLATE(A5349,""bn"",""en"")"),"I didn't understand what it was like before the movie")</f>
        <v>I didn't understand what it was like before the movie</v>
      </c>
      <c r="D5349" s="5"/>
      <c r="E5349" s="5"/>
      <c r="F5349" s="5"/>
      <c r="G5349" s="5"/>
      <c r="H5349" s="5"/>
      <c r="I5349" s="5"/>
      <c r="J5349" s="5"/>
      <c r="K5349" s="5"/>
      <c r="L5349" s="5"/>
      <c r="M5349" s="5"/>
      <c r="N5349" s="5"/>
      <c r="O5349" s="5"/>
      <c r="P5349" s="5"/>
      <c r="Q5349" s="5"/>
      <c r="R5349" s="5"/>
      <c r="S5349" s="5"/>
      <c r="T5349" s="5"/>
      <c r="U5349" s="5"/>
      <c r="V5349" s="5"/>
      <c r="W5349" s="5"/>
      <c r="X5349" s="5"/>
      <c r="Y5349" s="5"/>
      <c r="Z5349" s="5"/>
    </row>
    <row r="5350" spans="1:26" ht="15" x14ac:dyDescent="0.25">
      <c r="A5350" s="4" t="s">
        <v>5348</v>
      </c>
      <c r="B5350" s="4" t="s">
        <v>4550</v>
      </c>
      <c r="C5350" s="2" t="str">
        <f ca="1">IFERROR(__xludf.DUMMYFUNCTION("GOOGLETRANSLATE(A5350,""bn"",""en"")"),"In the end, Alamgir and Shabana's marriage would be complete")</f>
        <v>In the end, Alamgir and Shabana's marriage would be complete</v>
      </c>
      <c r="D5350" s="5"/>
      <c r="E5350" s="5"/>
      <c r="F5350" s="5"/>
      <c r="G5350" s="5"/>
      <c r="H5350" s="5"/>
      <c r="I5350" s="5"/>
      <c r="J5350" s="5"/>
      <c r="K5350" s="5"/>
      <c r="L5350" s="5"/>
      <c r="M5350" s="5"/>
      <c r="N5350" s="5"/>
      <c r="O5350" s="5"/>
      <c r="P5350" s="5"/>
      <c r="Q5350" s="5"/>
      <c r="R5350" s="5"/>
      <c r="S5350" s="5"/>
      <c r="T5350" s="5"/>
      <c r="U5350" s="5"/>
      <c r="V5350" s="5"/>
      <c r="W5350" s="5"/>
      <c r="X5350" s="5"/>
      <c r="Y5350" s="5"/>
      <c r="Z5350" s="5"/>
    </row>
    <row r="5351" spans="1:26" ht="15" x14ac:dyDescent="0.25">
      <c r="A5351" s="4" t="s">
        <v>5349</v>
      </c>
      <c r="B5351" s="4" t="s">
        <v>4550</v>
      </c>
      <c r="C5351" s="2" t="str">
        <f ca="1">IFERROR(__xludf.DUMMYFUNCTION("GOOGLETRANSLATE(A5351,""bn"",""en"")"),"Such performance was possible only by ATM Shamsuzzaman")</f>
        <v>Such performance was possible only by ATM Shamsuzzaman</v>
      </c>
      <c r="D5351" s="5"/>
      <c r="E5351" s="5"/>
      <c r="F5351" s="5"/>
      <c r="G5351" s="5"/>
      <c r="H5351" s="5"/>
      <c r="I5351" s="5"/>
      <c r="J5351" s="5"/>
      <c r="K5351" s="5"/>
      <c r="L5351" s="5"/>
      <c r="M5351" s="5"/>
      <c r="N5351" s="5"/>
      <c r="O5351" s="5"/>
      <c r="P5351" s="5"/>
      <c r="Q5351" s="5"/>
      <c r="R5351" s="5"/>
      <c r="S5351" s="5"/>
      <c r="T5351" s="5"/>
      <c r="U5351" s="5"/>
      <c r="V5351" s="5"/>
      <c r="W5351" s="5"/>
      <c r="X5351" s="5"/>
      <c r="Y5351" s="5"/>
      <c r="Z5351" s="5"/>
    </row>
    <row r="5352" spans="1:26" ht="15" x14ac:dyDescent="0.25">
      <c r="A5352" s="4" t="s">
        <v>5350</v>
      </c>
      <c r="B5352" s="4" t="s">
        <v>4550</v>
      </c>
      <c r="C5352" s="2" t="str">
        <f ca="1">IFERROR(__xludf.DUMMYFUNCTION("GOOGLETRANSLATE(A5352,""bn"",""en"")"),"I didn't get a very good message")</f>
        <v>I didn't get a very good message</v>
      </c>
      <c r="D5352" s="5"/>
      <c r="E5352" s="5"/>
      <c r="F5352" s="5"/>
      <c r="G5352" s="5"/>
      <c r="H5352" s="5"/>
      <c r="I5352" s="5"/>
      <c r="J5352" s="5"/>
      <c r="K5352" s="5"/>
      <c r="L5352" s="5"/>
      <c r="M5352" s="5"/>
      <c r="N5352" s="5"/>
      <c r="O5352" s="5"/>
      <c r="P5352" s="5"/>
      <c r="Q5352" s="5"/>
      <c r="R5352" s="5"/>
      <c r="S5352" s="5"/>
      <c r="T5352" s="5"/>
      <c r="U5352" s="5"/>
      <c r="V5352" s="5"/>
      <c r="W5352" s="5"/>
      <c r="X5352" s="5"/>
      <c r="Y5352" s="5"/>
      <c r="Z5352" s="5"/>
    </row>
    <row r="5353" spans="1:26" ht="15" x14ac:dyDescent="0.25">
      <c r="A5353" s="4" t="s">
        <v>5351</v>
      </c>
      <c r="B5353" s="4" t="s">
        <v>4550</v>
      </c>
      <c r="C5353" s="2" t="str">
        <f ca="1">IFERROR(__xludf.DUMMYFUNCTION("GOOGLETRANSLATE(A5353,""bn"",""en"")"),"One of my favorite pictures was Rangangila Mansoor Rangangilare The picture was the best for this song")</f>
        <v>One of my favorite pictures was Rangangila Mansoor Rangangilare The picture was the best for this song</v>
      </c>
      <c r="D5353" s="5"/>
      <c r="E5353" s="5"/>
      <c r="F5353" s="5"/>
      <c r="G5353" s="5"/>
      <c r="H5353" s="5"/>
      <c r="I5353" s="5"/>
      <c r="J5353" s="5"/>
      <c r="K5353" s="5"/>
      <c r="L5353" s="5"/>
      <c r="M5353" s="5"/>
      <c r="N5353" s="5"/>
      <c r="O5353" s="5"/>
      <c r="P5353" s="5"/>
      <c r="Q5353" s="5"/>
      <c r="R5353" s="5"/>
      <c r="S5353" s="5"/>
      <c r="T5353" s="5"/>
      <c r="U5353" s="5"/>
      <c r="V5353" s="5"/>
      <c r="W5353" s="5"/>
      <c r="X5353" s="5"/>
      <c r="Y5353" s="5"/>
      <c r="Z5353" s="5"/>
    </row>
    <row r="5354" spans="1:26" ht="15" x14ac:dyDescent="0.25">
      <c r="A5354" s="4" t="s">
        <v>5352</v>
      </c>
      <c r="B5354" s="4" t="s">
        <v>4550</v>
      </c>
      <c r="C5354" s="2" t="str">
        <f ca="1">IFERROR(__xludf.DUMMYFUNCTION("GOOGLETRANSLATE(A5354,""bn"",""en"")"),"No, nothing went well")</f>
        <v>No, nothing went well</v>
      </c>
      <c r="D5354" s="5"/>
      <c r="E5354" s="5"/>
      <c r="F5354" s="5"/>
      <c r="G5354" s="5"/>
      <c r="H5354" s="5"/>
      <c r="I5354" s="5"/>
      <c r="J5354" s="5"/>
      <c r="K5354" s="5"/>
      <c r="L5354" s="5"/>
      <c r="M5354" s="5"/>
      <c r="N5354" s="5"/>
      <c r="O5354" s="5"/>
      <c r="P5354" s="5"/>
      <c r="Q5354" s="5"/>
      <c r="R5354" s="5"/>
      <c r="S5354" s="5"/>
      <c r="T5354" s="5"/>
      <c r="U5354" s="5"/>
      <c r="V5354" s="5"/>
      <c r="W5354" s="5"/>
      <c r="X5354" s="5"/>
      <c r="Y5354" s="5"/>
      <c r="Z5354" s="5"/>
    </row>
    <row r="5355" spans="1:26" ht="15" x14ac:dyDescent="0.25">
      <c r="A5355" s="4" t="s">
        <v>5353</v>
      </c>
      <c r="B5355" s="4" t="s">
        <v>4550</v>
      </c>
      <c r="C5355" s="2" t="str">
        <f ca="1">IFERROR(__xludf.DUMMYFUNCTION("GOOGLETRANSLATE(A5355,""bn"",""en"")"),"It was never right for a judge to go public about a lawyer's personal affairs.")</f>
        <v>It was never right for a judge to go public about a lawyer's personal affairs.</v>
      </c>
      <c r="D5355" s="5"/>
      <c r="E5355" s="5"/>
      <c r="F5355" s="5"/>
      <c r="G5355" s="5"/>
      <c r="H5355" s="5"/>
      <c r="I5355" s="5"/>
      <c r="J5355" s="5"/>
      <c r="K5355" s="5"/>
      <c r="L5355" s="5"/>
      <c r="M5355" s="5"/>
      <c r="N5355" s="5"/>
      <c r="O5355" s="5"/>
      <c r="P5355" s="5"/>
      <c r="Q5355" s="5"/>
      <c r="R5355" s="5"/>
      <c r="S5355" s="5"/>
      <c r="T5355" s="5"/>
      <c r="U5355" s="5"/>
      <c r="V5355" s="5"/>
      <c r="W5355" s="5"/>
      <c r="X5355" s="5"/>
      <c r="Y5355" s="5"/>
      <c r="Z5355" s="5"/>
    </row>
    <row r="5356" spans="1:26" ht="15" x14ac:dyDescent="0.25">
      <c r="A5356" s="4" t="s">
        <v>5354</v>
      </c>
      <c r="B5356" s="4" t="s">
        <v>4550</v>
      </c>
      <c r="C5356" s="2" t="str">
        <f ca="1">IFERROR(__xludf.DUMMYFUNCTION("GOOGLETRANSLATE(A5356,""bn"",""en"")"),"Bobby had to suffer a lot. I liked this movie. I watched it twice")</f>
        <v>Bobby had to suffer a lot. I liked this movie. I watched it twice</v>
      </c>
      <c r="D5356" s="5"/>
      <c r="E5356" s="5"/>
      <c r="F5356" s="5"/>
      <c r="G5356" s="5"/>
      <c r="H5356" s="5"/>
      <c r="I5356" s="5"/>
      <c r="J5356" s="5"/>
      <c r="K5356" s="5"/>
      <c r="L5356" s="5"/>
      <c r="M5356" s="5"/>
      <c r="N5356" s="5"/>
      <c r="O5356" s="5"/>
      <c r="P5356" s="5"/>
      <c r="Q5356" s="5"/>
      <c r="R5356" s="5"/>
      <c r="S5356" s="5"/>
      <c r="T5356" s="5"/>
      <c r="U5356" s="5"/>
      <c r="V5356" s="5"/>
      <c r="W5356" s="5"/>
      <c r="X5356" s="5"/>
      <c r="Y5356" s="5"/>
      <c r="Z5356" s="5"/>
    </row>
    <row r="5357" spans="1:26" ht="15" x14ac:dyDescent="0.25">
      <c r="A5357" s="4" t="s">
        <v>5355</v>
      </c>
      <c r="B5357" s="4" t="s">
        <v>4550</v>
      </c>
      <c r="C5357" s="2" t="str">
        <f ca="1">IFERROR(__xludf.DUMMYFUNCTION("GOOGLETRANSLATE(A5357,""bn"",""en"")"),"The hobby of watching Bengali movies was over")</f>
        <v>The hobby of watching Bengali movies was over</v>
      </c>
      <c r="D5357" s="5"/>
      <c r="E5357" s="5"/>
      <c r="F5357" s="5"/>
      <c r="G5357" s="5"/>
      <c r="H5357" s="5"/>
      <c r="I5357" s="5"/>
      <c r="J5357" s="5"/>
      <c r="K5357" s="5"/>
      <c r="L5357" s="5"/>
      <c r="M5357" s="5"/>
      <c r="N5357" s="5"/>
      <c r="O5357" s="5"/>
      <c r="P5357" s="5"/>
      <c r="Q5357" s="5"/>
      <c r="R5357" s="5"/>
      <c r="S5357" s="5"/>
      <c r="T5357" s="5"/>
      <c r="U5357" s="5"/>
      <c r="V5357" s="5"/>
      <c r="W5357" s="5"/>
      <c r="X5357" s="5"/>
      <c r="Y5357" s="5"/>
      <c r="Z5357" s="5"/>
    </row>
    <row r="5358" spans="1:26" ht="15" x14ac:dyDescent="0.25">
      <c r="A5358" s="4" t="s">
        <v>5356</v>
      </c>
      <c r="B5358" s="4" t="s">
        <v>4550</v>
      </c>
      <c r="C5358" s="2" t="str">
        <f ca="1">IFERROR(__xludf.DUMMYFUNCTION("GOOGLETRANSLATE(A5358,""bn"",""en"")"),"Shakib Riaz Shabnoor did a great job")</f>
        <v>Shakib Riaz Shabnoor did a great job</v>
      </c>
      <c r="D5358" s="5"/>
      <c r="E5358" s="5"/>
      <c r="F5358" s="5"/>
      <c r="G5358" s="5"/>
      <c r="H5358" s="5"/>
      <c r="I5358" s="5"/>
      <c r="J5358" s="5"/>
      <c r="K5358" s="5"/>
      <c r="L5358" s="5"/>
      <c r="M5358" s="5"/>
      <c r="N5358" s="5"/>
      <c r="O5358" s="5"/>
      <c r="P5358" s="5"/>
      <c r="Q5358" s="5"/>
      <c r="R5358" s="5"/>
      <c r="S5358" s="5"/>
      <c r="T5358" s="5"/>
      <c r="U5358" s="5"/>
      <c r="V5358" s="5"/>
      <c r="W5358" s="5"/>
      <c r="X5358" s="5"/>
      <c r="Y5358" s="5"/>
      <c r="Z5358" s="5"/>
    </row>
    <row r="5359" spans="1:26" ht="15" x14ac:dyDescent="0.25">
      <c r="A5359" s="4" t="s">
        <v>5357</v>
      </c>
      <c r="B5359" s="4" t="s">
        <v>4550</v>
      </c>
      <c r="C5359" s="2" t="str">
        <f ca="1">IFERROR(__xludf.DUMMYFUNCTION("GOOGLETRANSLATE(A5359,""bn"",""en"")"),"The tragic social story of the 1980s changed the essence of the movie with time and people's tastes liked the movie.")</f>
        <v>The tragic social story of the 1980s changed the essence of the movie with time and people's tastes liked the movie.</v>
      </c>
      <c r="D5359" s="5"/>
      <c r="E5359" s="5"/>
      <c r="F5359" s="5"/>
      <c r="G5359" s="5"/>
      <c r="H5359" s="5"/>
      <c r="I5359" s="5"/>
      <c r="J5359" s="5"/>
      <c r="K5359" s="5"/>
      <c r="L5359" s="5"/>
      <c r="M5359" s="5"/>
      <c r="N5359" s="5"/>
      <c r="O5359" s="5"/>
      <c r="P5359" s="5"/>
      <c r="Q5359" s="5"/>
      <c r="R5359" s="5"/>
      <c r="S5359" s="5"/>
      <c r="T5359" s="5"/>
      <c r="U5359" s="5"/>
      <c r="V5359" s="5"/>
      <c r="W5359" s="5"/>
      <c r="X5359" s="5"/>
      <c r="Y5359" s="5"/>
      <c r="Z5359" s="5"/>
    </row>
    <row r="5360" spans="1:26" ht="15" x14ac:dyDescent="0.25">
      <c r="A5360" s="4" t="s">
        <v>5358</v>
      </c>
      <c r="B5360" s="4" t="s">
        <v>4550</v>
      </c>
      <c r="C5360" s="2" t="str">
        <f ca="1">IFERROR(__xludf.DUMMYFUNCTION("GOOGLETRANSLATE(A5360,""bn"",""en"")"),"Videography was updated")</f>
        <v>Videography was updated</v>
      </c>
      <c r="D5360" s="5"/>
      <c r="E5360" s="5"/>
      <c r="F5360" s="5"/>
      <c r="G5360" s="5"/>
      <c r="H5360" s="5"/>
      <c r="I5360" s="5"/>
      <c r="J5360" s="5"/>
      <c r="K5360" s="5"/>
      <c r="L5360" s="5"/>
      <c r="M5360" s="5"/>
      <c r="N5360" s="5"/>
      <c r="O5360" s="5"/>
      <c r="P5360" s="5"/>
      <c r="Q5360" s="5"/>
      <c r="R5360" s="5"/>
      <c r="S5360" s="5"/>
      <c r="T5360" s="5"/>
      <c r="U5360" s="5"/>
      <c r="V5360" s="5"/>
      <c r="W5360" s="5"/>
      <c r="X5360" s="5"/>
      <c r="Y5360" s="5"/>
      <c r="Z5360" s="5"/>
    </row>
    <row r="5361" spans="1:26" ht="15" x14ac:dyDescent="0.25">
      <c r="A5361" s="4" t="s">
        <v>5359</v>
      </c>
      <c r="B5361" s="4" t="s">
        <v>4550</v>
      </c>
      <c r="C5361" s="2" t="str">
        <f ca="1">IFERROR(__xludf.DUMMYFUNCTION("GOOGLETRANSLATE(A5361,""bn"",""en"")"),"The first picture I saw in my hall was with all the family sitting on my mother's lap and I remembered the old memories")</f>
        <v>The first picture I saw in my hall was with all the family sitting on my mother's lap and I remembered the old memories</v>
      </c>
      <c r="D5361" s="5"/>
      <c r="E5361" s="5"/>
      <c r="F5361" s="5"/>
      <c r="G5361" s="5"/>
      <c r="H5361" s="5"/>
      <c r="I5361" s="5"/>
      <c r="J5361" s="5"/>
      <c r="K5361" s="5"/>
      <c r="L5361" s="5"/>
      <c r="M5361" s="5"/>
      <c r="N5361" s="5"/>
      <c r="O5361" s="5"/>
      <c r="P5361" s="5"/>
      <c r="Q5361" s="5"/>
      <c r="R5361" s="5"/>
      <c r="S5361" s="5"/>
      <c r="T5361" s="5"/>
      <c r="U5361" s="5"/>
      <c r="V5361" s="5"/>
      <c r="W5361" s="5"/>
      <c r="X5361" s="5"/>
      <c r="Y5361" s="5"/>
      <c r="Z5361" s="5"/>
    </row>
    <row r="5362" spans="1:26" ht="15" x14ac:dyDescent="0.25">
      <c r="A5362" s="4" t="s">
        <v>5360</v>
      </c>
      <c r="B5362" s="4" t="s">
        <v>4550</v>
      </c>
      <c r="C5362" s="2" t="str">
        <f ca="1">IFERROR(__xludf.DUMMYFUNCTION("GOOGLETRANSLATE(A5362,""bn"",""en"")"),"Such a wonderful performance was possible only with the great hero Sir Salman Shah.")</f>
        <v>Such a wonderful performance was possible only with the great hero Sir Salman Shah.</v>
      </c>
      <c r="D5362" s="5"/>
      <c r="E5362" s="5"/>
      <c r="F5362" s="5"/>
      <c r="G5362" s="5"/>
      <c r="H5362" s="5"/>
      <c r="I5362" s="5"/>
      <c r="J5362" s="5"/>
      <c r="K5362" s="5"/>
      <c r="L5362" s="5"/>
      <c r="M5362" s="5"/>
      <c r="N5362" s="5"/>
      <c r="O5362" s="5"/>
      <c r="P5362" s="5"/>
      <c r="Q5362" s="5"/>
      <c r="R5362" s="5"/>
      <c r="S5362" s="5"/>
      <c r="T5362" s="5"/>
      <c r="U5362" s="5"/>
      <c r="V5362" s="5"/>
      <c r="W5362" s="5"/>
      <c r="X5362" s="5"/>
      <c r="Y5362" s="5"/>
      <c r="Z5362" s="5"/>
    </row>
    <row r="5363" spans="1:26" ht="15" x14ac:dyDescent="0.25">
      <c r="A5363" s="4" t="s">
        <v>5361</v>
      </c>
      <c r="B5363" s="4" t="s">
        <v>4550</v>
      </c>
      <c r="C5363" s="2" t="str">
        <f ca="1">IFERROR(__xludf.DUMMYFUNCTION("GOOGLETRANSLATE(A5363,""bn"",""en"")"),"A wonderful film that I wanted to see again and again even after seeing it a few times")</f>
        <v>A wonderful film that I wanted to see again and again even after seeing it a few times</v>
      </c>
      <c r="D5363" s="5"/>
      <c r="E5363" s="5"/>
      <c r="F5363" s="5"/>
      <c r="G5363" s="5"/>
      <c r="H5363" s="5"/>
      <c r="I5363" s="5"/>
      <c r="J5363" s="5"/>
      <c r="K5363" s="5"/>
      <c r="L5363" s="5"/>
      <c r="M5363" s="5"/>
      <c r="N5363" s="5"/>
      <c r="O5363" s="5"/>
      <c r="P5363" s="5"/>
      <c r="Q5363" s="5"/>
      <c r="R5363" s="5"/>
      <c r="S5363" s="5"/>
      <c r="T5363" s="5"/>
      <c r="U5363" s="5"/>
      <c r="V5363" s="5"/>
      <c r="W5363" s="5"/>
      <c r="X5363" s="5"/>
      <c r="Y5363" s="5"/>
      <c r="Z5363" s="5"/>
    </row>
    <row r="5364" spans="1:26" ht="15" x14ac:dyDescent="0.25">
      <c r="A5364" s="4" t="s">
        <v>5362</v>
      </c>
      <c r="B5364" s="4" t="s">
        <v>4550</v>
      </c>
      <c r="C5364" s="2" t="str">
        <f ca="1">IFERROR(__xludf.DUMMYFUNCTION("GOOGLETRANSLATE(A5364,""bn"",""en"")"),"An educational film that every family should see")</f>
        <v>An educational film that every family should see</v>
      </c>
      <c r="D5364" s="5"/>
      <c r="E5364" s="5"/>
      <c r="F5364" s="5"/>
      <c r="G5364" s="5"/>
      <c r="H5364" s="5"/>
      <c r="I5364" s="5"/>
      <c r="J5364" s="5"/>
      <c r="K5364" s="5"/>
      <c r="L5364" s="5"/>
      <c r="M5364" s="5"/>
      <c r="N5364" s="5"/>
      <c r="O5364" s="5"/>
      <c r="P5364" s="5"/>
      <c r="Q5364" s="5"/>
      <c r="R5364" s="5"/>
      <c r="S5364" s="5"/>
      <c r="T5364" s="5"/>
      <c r="U5364" s="5"/>
      <c r="V5364" s="5"/>
      <c r="W5364" s="5"/>
      <c r="X5364" s="5"/>
      <c r="Y5364" s="5"/>
      <c r="Z5364" s="5"/>
    </row>
    <row r="5365" spans="1:26" ht="15" x14ac:dyDescent="0.25">
      <c r="A5365" s="4" t="s">
        <v>5363</v>
      </c>
      <c r="B5365" s="4" t="s">
        <v>4550</v>
      </c>
      <c r="C5365" s="2" t="str">
        <f ca="1">IFERROR(__xludf.DUMMYFUNCTION("GOOGLETRANSLATE(A5365,""bn"",""en"")"),"It was a terrible movie")</f>
        <v>It was a terrible movie</v>
      </c>
      <c r="D5365" s="5"/>
      <c r="E5365" s="5"/>
      <c r="F5365" s="5"/>
      <c r="G5365" s="5"/>
      <c r="H5365" s="5"/>
      <c r="I5365" s="5"/>
      <c r="J5365" s="5"/>
      <c r="K5365" s="5"/>
      <c r="L5365" s="5"/>
      <c r="M5365" s="5"/>
      <c r="N5365" s="5"/>
      <c r="O5365" s="5"/>
      <c r="P5365" s="5"/>
      <c r="Q5365" s="5"/>
      <c r="R5365" s="5"/>
      <c r="S5365" s="5"/>
      <c r="T5365" s="5"/>
      <c r="U5365" s="5"/>
      <c r="V5365" s="5"/>
      <c r="W5365" s="5"/>
      <c r="X5365" s="5"/>
      <c r="Y5365" s="5"/>
      <c r="Z5365" s="5"/>
    </row>
    <row r="5366" spans="1:26" ht="15" x14ac:dyDescent="0.25">
      <c r="A5366" s="4" t="s">
        <v>5364</v>
      </c>
      <c r="B5366" s="4" t="s">
        <v>4550</v>
      </c>
      <c r="C5366" s="2" t="str">
        <f ca="1">IFERROR(__xludf.DUMMYFUNCTION("GOOGLETRANSLATE(A5366,""bn"",""en"")"),"I think there was a lack of heroes in Bengali cinema in India otherwise how would such a hero have become a hero")</f>
        <v>I think there was a lack of heroes in Bengali cinema in India otherwise how would such a hero have become a hero</v>
      </c>
      <c r="D5366" s="5"/>
      <c r="E5366" s="5"/>
      <c r="F5366" s="5"/>
      <c r="G5366" s="5"/>
      <c r="H5366" s="5"/>
      <c r="I5366" s="5"/>
      <c r="J5366" s="5"/>
      <c r="K5366" s="5"/>
      <c r="L5366" s="5"/>
      <c r="M5366" s="5"/>
      <c r="N5366" s="5"/>
      <c r="O5366" s="5"/>
      <c r="P5366" s="5"/>
      <c r="Q5366" s="5"/>
      <c r="R5366" s="5"/>
      <c r="S5366" s="5"/>
      <c r="T5366" s="5"/>
      <c r="U5366" s="5"/>
      <c r="V5366" s="5"/>
      <c r="W5366" s="5"/>
      <c r="X5366" s="5"/>
      <c r="Y5366" s="5"/>
      <c r="Z5366" s="5"/>
    </row>
    <row r="5367" spans="1:26" ht="15" x14ac:dyDescent="0.25">
      <c r="A5367" s="4" t="s">
        <v>5365</v>
      </c>
      <c r="B5367" s="4" t="s">
        <v>4550</v>
      </c>
      <c r="C5367" s="2" t="str">
        <f ca="1">IFERROR(__xludf.DUMMYFUNCTION("GOOGLETRANSLATE(A5367,""bn"",""en"")"),"He does not understand the story of the movie was excellent")</f>
        <v>He does not understand the story of the movie was excellent</v>
      </c>
      <c r="D5367" s="5"/>
      <c r="E5367" s="5"/>
      <c r="F5367" s="5"/>
      <c r="G5367" s="5"/>
      <c r="H5367" s="5"/>
      <c r="I5367" s="5"/>
      <c r="J5367" s="5"/>
      <c r="K5367" s="5"/>
      <c r="L5367" s="5"/>
      <c r="M5367" s="5"/>
      <c r="N5367" s="5"/>
      <c r="O5367" s="5"/>
      <c r="P5367" s="5"/>
      <c r="Q5367" s="5"/>
      <c r="R5367" s="5"/>
      <c r="S5367" s="5"/>
      <c r="T5367" s="5"/>
      <c r="U5367" s="5"/>
      <c r="V5367" s="5"/>
      <c r="W5367" s="5"/>
      <c r="X5367" s="5"/>
      <c r="Y5367" s="5"/>
      <c r="Z5367" s="5"/>
    </row>
    <row r="5368" spans="1:26" ht="15" x14ac:dyDescent="0.25">
      <c r="A5368" s="4" t="s">
        <v>5366</v>
      </c>
      <c r="B5368" s="4" t="s">
        <v>4550</v>
      </c>
      <c r="C5368" s="2" t="str">
        <f ca="1">IFERROR(__xludf.DUMMYFUNCTION("GOOGLETRANSLATE(A5368,""bn"",""en"")"),"Manik Banerjee, who introduced me to Padma River sailors for thousands of years, had a remarkable life story.")</f>
        <v>Manik Banerjee, who introduced me to Padma River sailors for thousands of years, had a remarkable life story.</v>
      </c>
      <c r="D5368" s="5"/>
      <c r="E5368" s="5"/>
      <c r="F5368" s="5"/>
      <c r="G5368" s="5"/>
      <c r="H5368" s="5"/>
      <c r="I5368" s="5"/>
      <c r="J5368" s="5"/>
      <c r="K5368" s="5"/>
      <c r="L5368" s="5"/>
      <c r="M5368" s="5"/>
      <c r="N5368" s="5"/>
      <c r="O5368" s="5"/>
      <c r="P5368" s="5"/>
      <c r="Q5368" s="5"/>
      <c r="R5368" s="5"/>
      <c r="S5368" s="5"/>
      <c r="T5368" s="5"/>
      <c r="U5368" s="5"/>
      <c r="V5368" s="5"/>
      <c r="W5368" s="5"/>
      <c r="X5368" s="5"/>
      <c r="Y5368" s="5"/>
      <c r="Z5368" s="5"/>
    </row>
    <row r="5369" spans="1:26" ht="15" x14ac:dyDescent="0.25">
      <c r="A5369" s="4" t="s">
        <v>5367</v>
      </c>
      <c r="B5369" s="4" t="s">
        <v>4550</v>
      </c>
      <c r="C5369" s="2" t="str">
        <f ca="1">IFERROR(__xludf.DUMMYFUNCTION("GOOGLETRANSLATE(A5369,""bn"",""en"")"),"This picture of Bobby was much more beautiful than the pictures of Bubli and Mahia Mahi")</f>
        <v>This picture of Bobby was much more beautiful than the pictures of Bubli and Mahia Mahi</v>
      </c>
      <c r="D5369" s="5"/>
      <c r="E5369" s="5"/>
      <c r="F5369" s="5"/>
      <c r="G5369" s="5"/>
      <c r="H5369" s="5"/>
      <c r="I5369" s="5"/>
      <c r="J5369" s="5"/>
      <c r="K5369" s="5"/>
      <c r="L5369" s="5"/>
      <c r="M5369" s="5"/>
      <c r="N5369" s="5"/>
      <c r="O5369" s="5"/>
      <c r="P5369" s="5"/>
      <c r="Q5369" s="5"/>
      <c r="R5369" s="5"/>
      <c r="S5369" s="5"/>
      <c r="T5369" s="5"/>
      <c r="U5369" s="5"/>
      <c r="V5369" s="5"/>
      <c r="W5369" s="5"/>
      <c r="X5369" s="5"/>
      <c r="Y5369" s="5"/>
      <c r="Z5369" s="5"/>
    </row>
    <row r="5370" spans="1:26" ht="15" x14ac:dyDescent="0.25">
      <c r="A5370" s="4" t="s">
        <v>5368</v>
      </c>
      <c r="B5370" s="4" t="s">
        <v>4550</v>
      </c>
      <c r="C5370" s="2" t="str">
        <f ca="1">IFERROR(__xludf.DUMMYFUNCTION("GOOGLETRANSLATE(A5370,""bn"",""en"")"),"The previous pictures did not compare the previous pictures were really beautiful")</f>
        <v>The previous pictures did not compare the previous pictures were really beautiful</v>
      </c>
      <c r="D5370" s="5"/>
      <c r="E5370" s="5"/>
      <c r="F5370" s="5"/>
      <c r="G5370" s="5"/>
      <c r="H5370" s="5"/>
      <c r="I5370" s="5"/>
      <c r="J5370" s="5"/>
      <c r="K5370" s="5"/>
      <c r="L5370" s="5"/>
      <c r="M5370" s="5"/>
      <c r="N5370" s="5"/>
      <c r="O5370" s="5"/>
      <c r="P5370" s="5"/>
      <c r="Q5370" s="5"/>
      <c r="R5370" s="5"/>
      <c r="S5370" s="5"/>
      <c r="T5370" s="5"/>
      <c r="U5370" s="5"/>
      <c r="V5370" s="5"/>
      <c r="W5370" s="5"/>
      <c r="X5370" s="5"/>
      <c r="Y5370" s="5"/>
      <c r="Z5370" s="5"/>
    </row>
    <row r="5371" spans="1:26" ht="15" x14ac:dyDescent="0.25">
      <c r="A5371" s="4" t="s">
        <v>5369</v>
      </c>
      <c r="B5371" s="4" t="s">
        <v>4550</v>
      </c>
      <c r="C5371" s="2" t="str">
        <f ca="1">IFERROR(__xludf.DUMMYFUNCTION("GOOGLETRANSLATE(A5371,""bn"",""en"")"),"I wanted to abuse")</f>
        <v>I wanted to abuse</v>
      </c>
      <c r="D5371" s="5"/>
      <c r="E5371" s="5"/>
      <c r="F5371" s="5"/>
      <c r="G5371" s="5"/>
      <c r="H5371" s="5"/>
      <c r="I5371" s="5"/>
      <c r="J5371" s="5"/>
      <c r="K5371" s="5"/>
      <c r="L5371" s="5"/>
      <c r="M5371" s="5"/>
      <c r="N5371" s="5"/>
      <c r="O5371" s="5"/>
      <c r="P5371" s="5"/>
      <c r="Q5371" s="5"/>
      <c r="R5371" s="5"/>
      <c r="S5371" s="5"/>
      <c r="T5371" s="5"/>
      <c r="U5371" s="5"/>
      <c r="V5371" s="5"/>
      <c r="W5371" s="5"/>
      <c r="X5371" s="5"/>
      <c r="Y5371" s="5"/>
      <c r="Z5371" s="5"/>
    </row>
    <row r="5372" spans="1:26" ht="15" x14ac:dyDescent="0.25">
      <c r="A5372" s="4" t="s">
        <v>5370</v>
      </c>
      <c r="B5372" s="4" t="s">
        <v>4550</v>
      </c>
      <c r="C5372" s="2" t="str">
        <f ca="1">IFERROR(__xludf.DUMMYFUNCTION("GOOGLETRANSLATE(A5372,""bn"",""en"")"),"The story of this movie will be immortal for ages, I really had tears in my eyes after watching the movie, Manna is the best actor, an actor who was never born in this world.")</f>
        <v>The story of this movie will be immortal for ages, I really had tears in my eyes after watching the movie, Manna is the best actor, an actor who was never born in this world.</v>
      </c>
      <c r="D5372" s="5"/>
      <c r="E5372" s="5"/>
      <c r="F5372" s="5"/>
      <c r="G5372" s="5"/>
      <c r="H5372" s="5"/>
      <c r="I5372" s="5"/>
      <c r="J5372" s="5"/>
      <c r="K5372" s="5"/>
      <c r="L5372" s="5"/>
      <c r="M5372" s="5"/>
      <c r="N5372" s="5"/>
      <c r="O5372" s="5"/>
      <c r="P5372" s="5"/>
      <c r="Q5372" s="5"/>
      <c r="R5372" s="5"/>
      <c r="S5372" s="5"/>
      <c r="T5372" s="5"/>
      <c r="U5372" s="5"/>
      <c r="V5372" s="5"/>
      <c r="W5372" s="5"/>
      <c r="X5372" s="5"/>
      <c r="Y5372" s="5"/>
      <c r="Z5372" s="5"/>
    </row>
    <row r="5373" spans="1:26" ht="15" x14ac:dyDescent="0.25">
      <c r="A5373" s="4" t="s">
        <v>5371</v>
      </c>
      <c r="B5373" s="4" t="s">
        <v>4550</v>
      </c>
      <c r="C5373" s="2" t="str">
        <f ca="1">IFERROR(__xludf.DUMMYFUNCTION("GOOGLETRANSLATE(A5373,""bn"",""en"")"),"How could Angel Digital upload such a third class movie")</f>
        <v>How could Angel Digital upload such a third class movie</v>
      </c>
      <c r="D5373" s="5"/>
      <c r="E5373" s="5"/>
      <c r="F5373" s="5"/>
      <c r="G5373" s="5"/>
      <c r="H5373" s="5"/>
      <c r="I5373" s="5"/>
      <c r="J5373" s="5"/>
      <c r="K5373" s="5"/>
      <c r="L5373" s="5"/>
      <c r="M5373" s="5"/>
      <c r="N5373" s="5"/>
      <c r="O5373" s="5"/>
      <c r="P5373" s="5"/>
      <c r="Q5373" s="5"/>
      <c r="R5373" s="5"/>
      <c r="S5373" s="5"/>
      <c r="T5373" s="5"/>
      <c r="U5373" s="5"/>
      <c r="V5373" s="5"/>
      <c r="W5373" s="5"/>
      <c r="X5373" s="5"/>
      <c r="Y5373" s="5"/>
      <c r="Z5373" s="5"/>
    </row>
    <row r="5374" spans="1:26" ht="15" x14ac:dyDescent="0.25">
      <c r="A5374" s="4" t="s">
        <v>5372</v>
      </c>
      <c r="B5374" s="4" t="s">
        <v>4550</v>
      </c>
      <c r="C5374" s="2" t="str">
        <f ca="1">IFERROR(__xludf.DUMMYFUNCTION("GOOGLETRANSLATE(A5374,""bn"",""en"")"),"Alamgir's Sir Purai Savage Bengali movie was indeed a piece of gold once the story combined with realistic acting and camera angles were vividly presented.")</f>
        <v>Alamgir's Sir Purai Savage Bengali movie was indeed a piece of gold once the story combined with realistic acting and camera angles were vividly presented.</v>
      </c>
      <c r="D5374" s="5"/>
      <c r="E5374" s="5"/>
      <c r="F5374" s="5"/>
      <c r="G5374" s="5"/>
      <c r="H5374" s="5"/>
      <c r="I5374" s="5"/>
      <c r="J5374" s="5"/>
      <c r="K5374" s="5"/>
      <c r="L5374" s="5"/>
      <c r="M5374" s="5"/>
      <c r="N5374" s="5"/>
      <c r="O5374" s="5"/>
      <c r="P5374" s="5"/>
      <c r="Q5374" s="5"/>
      <c r="R5374" s="5"/>
      <c r="S5374" s="5"/>
      <c r="T5374" s="5"/>
      <c r="U5374" s="5"/>
      <c r="V5374" s="5"/>
      <c r="W5374" s="5"/>
      <c r="X5374" s="5"/>
      <c r="Y5374" s="5"/>
      <c r="Z5374" s="5"/>
    </row>
    <row r="5375" spans="1:26" ht="15" x14ac:dyDescent="0.25">
      <c r="A5375" s="4" t="s">
        <v>5373</v>
      </c>
      <c r="B5375" s="4" t="s">
        <v>4550</v>
      </c>
      <c r="C5375" s="2" t="str">
        <f ca="1">IFERROR(__xludf.DUMMYFUNCTION("GOOGLETRANSLATE(A5375,""bn"",""en"")"),"Mindblowing excellent acting great and heartwarming movie was great to watch")</f>
        <v>Mindblowing excellent acting great and heartwarming movie was great to watch</v>
      </c>
      <c r="D5375" s="5"/>
      <c r="E5375" s="5"/>
      <c r="F5375" s="5"/>
      <c r="G5375" s="5"/>
      <c r="H5375" s="5"/>
      <c r="I5375" s="5"/>
      <c r="J5375" s="5"/>
      <c r="K5375" s="5"/>
      <c r="L5375" s="5"/>
      <c r="M5375" s="5"/>
      <c r="N5375" s="5"/>
      <c r="O5375" s="5"/>
      <c r="P5375" s="5"/>
      <c r="Q5375" s="5"/>
      <c r="R5375" s="5"/>
      <c r="S5375" s="5"/>
      <c r="T5375" s="5"/>
      <c r="U5375" s="5"/>
      <c r="V5375" s="5"/>
      <c r="W5375" s="5"/>
      <c r="X5375" s="5"/>
      <c r="Y5375" s="5"/>
      <c r="Z5375" s="5"/>
    </row>
    <row r="5376" spans="1:26" ht="15" x14ac:dyDescent="0.25">
      <c r="A5376" s="4" t="s">
        <v>5374</v>
      </c>
      <c r="B5376" s="4" t="s">
        <v>4550</v>
      </c>
      <c r="C5376" s="2" t="str">
        <f ca="1">IFERROR(__xludf.DUMMYFUNCTION("GOOGLETRANSLATE(A5376,""bn"",""en"")"),"In fact, there should have been a Bengali wife in the house for a very, very great picture")</f>
        <v>In fact, there should have been a Bengali wife in the house for a very, very great picture</v>
      </c>
      <c r="D5376" s="5"/>
      <c r="E5376" s="5"/>
      <c r="F5376" s="5"/>
      <c r="G5376" s="5"/>
      <c r="H5376" s="5"/>
      <c r="I5376" s="5"/>
      <c r="J5376" s="5"/>
      <c r="K5376" s="5"/>
      <c r="L5376" s="5"/>
      <c r="M5376" s="5"/>
      <c r="N5376" s="5"/>
      <c r="O5376" s="5"/>
      <c r="P5376" s="5"/>
      <c r="Q5376" s="5"/>
      <c r="R5376" s="5"/>
      <c r="S5376" s="5"/>
      <c r="T5376" s="5"/>
      <c r="U5376" s="5"/>
      <c r="V5376" s="5"/>
      <c r="W5376" s="5"/>
      <c r="X5376" s="5"/>
      <c r="Y5376" s="5"/>
      <c r="Z5376" s="5"/>
    </row>
    <row r="5377" spans="1:26" ht="15" x14ac:dyDescent="0.25">
      <c r="A5377" s="4" t="s">
        <v>5375</v>
      </c>
      <c r="B5377" s="4" t="s">
        <v>4550</v>
      </c>
      <c r="C5377" s="2" t="str">
        <f ca="1">IFERROR(__xludf.DUMMYFUNCTION("GOOGLETRANSLATE(A5377,""bn"",""en"")"),"It was a great movie")</f>
        <v>It was a great movie</v>
      </c>
      <c r="D5377" s="5"/>
      <c r="E5377" s="5"/>
      <c r="F5377" s="5"/>
      <c r="G5377" s="5"/>
      <c r="H5377" s="5"/>
      <c r="I5377" s="5"/>
      <c r="J5377" s="5"/>
      <c r="K5377" s="5"/>
      <c r="L5377" s="5"/>
      <c r="M5377" s="5"/>
      <c r="N5377" s="5"/>
      <c r="O5377" s="5"/>
      <c r="P5377" s="5"/>
      <c r="Q5377" s="5"/>
      <c r="R5377" s="5"/>
      <c r="S5377" s="5"/>
      <c r="T5377" s="5"/>
      <c r="U5377" s="5"/>
      <c r="V5377" s="5"/>
      <c r="W5377" s="5"/>
      <c r="X5377" s="5"/>
      <c r="Y5377" s="5"/>
      <c r="Z5377" s="5"/>
    </row>
    <row r="5378" spans="1:26" ht="15" x14ac:dyDescent="0.25">
      <c r="A5378" s="4" t="s">
        <v>5376</v>
      </c>
      <c r="B5378" s="4" t="s">
        <v>4550</v>
      </c>
      <c r="C5378" s="2" t="str">
        <f ca="1">IFERROR(__xludf.DUMMYFUNCTION("GOOGLETRANSLATE(A5378,""bn"",""en"")"),"Loved the touching story of mother-in-law's heart-rending struggle")</f>
        <v>Loved the touching story of mother-in-law's heart-rending struggle</v>
      </c>
      <c r="D5378" s="5"/>
      <c r="E5378" s="5"/>
      <c r="F5378" s="5"/>
      <c r="G5378" s="5"/>
      <c r="H5378" s="5"/>
      <c r="I5378" s="5"/>
      <c r="J5378" s="5"/>
      <c r="K5378" s="5"/>
      <c r="L5378" s="5"/>
      <c r="M5378" s="5"/>
      <c r="N5378" s="5"/>
      <c r="O5378" s="5"/>
      <c r="P5378" s="5"/>
      <c r="Q5378" s="5"/>
      <c r="R5378" s="5"/>
      <c r="S5378" s="5"/>
      <c r="T5378" s="5"/>
      <c r="U5378" s="5"/>
      <c r="V5378" s="5"/>
      <c r="W5378" s="5"/>
      <c r="X5378" s="5"/>
      <c r="Y5378" s="5"/>
      <c r="Z5378" s="5"/>
    </row>
    <row r="5379" spans="1:26" ht="15" x14ac:dyDescent="0.25">
      <c r="A5379" s="4" t="s">
        <v>5377</v>
      </c>
      <c r="B5379" s="4" t="s">
        <v>4550</v>
      </c>
      <c r="C5379" s="2" t="str">
        <f ca="1">IFERROR(__xludf.DUMMYFUNCTION("GOOGLETRANSLATE(A5379,""bn"",""en"")"),"Movies like this always needed some realistic portrayal of society")</f>
        <v>Movies like this always needed some realistic portrayal of society</v>
      </c>
      <c r="D5379" s="5"/>
      <c r="E5379" s="5"/>
      <c r="F5379" s="5"/>
      <c r="G5379" s="5"/>
      <c r="H5379" s="5"/>
      <c r="I5379" s="5"/>
      <c r="J5379" s="5"/>
      <c r="K5379" s="5"/>
      <c r="L5379" s="5"/>
      <c r="M5379" s="5"/>
      <c r="N5379" s="5"/>
      <c r="O5379" s="5"/>
      <c r="P5379" s="5"/>
      <c r="Q5379" s="5"/>
      <c r="R5379" s="5"/>
      <c r="S5379" s="5"/>
      <c r="T5379" s="5"/>
      <c r="U5379" s="5"/>
      <c r="V5379" s="5"/>
      <c r="W5379" s="5"/>
      <c r="X5379" s="5"/>
      <c r="Y5379" s="5"/>
      <c r="Z5379" s="5"/>
    </row>
    <row r="5380" spans="1:26" ht="15" x14ac:dyDescent="0.25">
      <c r="A5380" s="4" t="s">
        <v>5378</v>
      </c>
      <c r="B5380" s="4" t="s">
        <v>4550</v>
      </c>
      <c r="C5380" s="2" t="str">
        <f ca="1">IFERROR(__xludf.DUMMYFUNCTION("GOOGLETRANSLATE(A5380,""bn"",""en"")"),"Good story, fun to watch, really beautiful pictures")</f>
        <v>Good story, fun to watch, really beautiful pictures</v>
      </c>
      <c r="D5380" s="5"/>
      <c r="E5380" s="5"/>
      <c r="F5380" s="5"/>
      <c r="G5380" s="5"/>
      <c r="H5380" s="5"/>
      <c r="I5380" s="5"/>
      <c r="J5380" s="5"/>
      <c r="K5380" s="5"/>
      <c r="L5380" s="5"/>
      <c r="M5380" s="5"/>
      <c r="N5380" s="5"/>
      <c r="O5380" s="5"/>
      <c r="P5380" s="5"/>
      <c r="Q5380" s="5"/>
      <c r="R5380" s="5"/>
      <c r="S5380" s="5"/>
      <c r="T5380" s="5"/>
      <c r="U5380" s="5"/>
      <c r="V5380" s="5"/>
      <c r="W5380" s="5"/>
      <c r="X5380" s="5"/>
      <c r="Y5380" s="5"/>
      <c r="Z5380" s="5"/>
    </row>
    <row r="5381" spans="1:26" ht="15" x14ac:dyDescent="0.25">
      <c r="A5381" s="4" t="s">
        <v>5379</v>
      </c>
      <c r="B5381" s="4" t="s">
        <v>4550</v>
      </c>
      <c r="C5381" s="2" t="str">
        <f ca="1">IFERROR(__xludf.DUMMYFUNCTION("GOOGLETRANSLATE(A5381,""bn"",""en"")"),"Shabnoor had a nice picture")</f>
        <v>Shabnoor had a nice picture</v>
      </c>
      <c r="D5381" s="5"/>
      <c r="E5381" s="5"/>
      <c r="F5381" s="5"/>
      <c r="G5381" s="5"/>
      <c r="H5381" s="5"/>
      <c r="I5381" s="5"/>
      <c r="J5381" s="5"/>
      <c r="K5381" s="5"/>
      <c r="L5381" s="5"/>
      <c r="M5381" s="5"/>
      <c r="N5381" s="5"/>
      <c r="O5381" s="5"/>
      <c r="P5381" s="5"/>
      <c r="Q5381" s="5"/>
      <c r="R5381" s="5"/>
      <c r="S5381" s="5"/>
      <c r="T5381" s="5"/>
      <c r="U5381" s="5"/>
      <c r="V5381" s="5"/>
      <c r="W5381" s="5"/>
      <c r="X5381" s="5"/>
      <c r="Y5381" s="5"/>
      <c r="Z5381" s="5"/>
    </row>
    <row r="5382" spans="1:26" ht="15" x14ac:dyDescent="0.25">
      <c r="A5382" s="4" t="s">
        <v>5380</v>
      </c>
      <c r="B5382" s="4" t="s">
        <v>4550</v>
      </c>
      <c r="C5382" s="2" t="str">
        <f ca="1">IFERROR(__xludf.DUMMYFUNCTION("GOOGLETRANSLATE(A5382,""bn"",""en"")"),"Why did you bother so much brother?")</f>
        <v>Why did you bother so much brother?</v>
      </c>
      <c r="D5382" s="5"/>
      <c r="E5382" s="5"/>
      <c r="F5382" s="5"/>
      <c r="G5382" s="5"/>
      <c r="H5382" s="5"/>
      <c r="I5382" s="5"/>
      <c r="J5382" s="5"/>
      <c r="K5382" s="5"/>
      <c r="L5382" s="5"/>
      <c r="M5382" s="5"/>
      <c r="N5382" s="5"/>
      <c r="O5382" s="5"/>
      <c r="P5382" s="5"/>
      <c r="Q5382" s="5"/>
      <c r="R5382" s="5"/>
      <c r="S5382" s="5"/>
      <c r="T5382" s="5"/>
      <c r="U5382" s="5"/>
      <c r="V5382" s="5"/>
      <c r="W5382" s="5"/>
      <c r="X5382" s="5"/>
      <c r="Y5382" s="5"/>
      <c r="Z5382" s="5"/>
    </row>
    <row r="5383" spans="1:26" ht="15" x14ac:dyDescent="0.25">
      <c r="A5383" s="4" t="s">
        <v>5381</v>
      </c>
      <c r="B5383" s="4" t="s">
        <v>4550</v>
      </c>
      <c r="C5383" s="2" t="str">
        <f ca="1">IFERROR(__xludf.DUMMYFUNCTION("GOOGLETRANSLATE(A5383,""bn"",""en"")"),"I enjoyed watching the movie Ice today")</f>
        <v>I enjoyed watching the movie Ice today</v>
      </c>
      <c r="D5383" s="5"/>
      <c r="E5383" s="5"/>
      <c r="F5383" s="5"/>
      <c r="G5383" s="5"/>
      <c r="H5383" s="5"/>
      <c r="I5383" s="5"/>
      <c r="J5383" s="5"/>
      <c r="K5383" s="5"/>
      <c r="L5383" s="5"/>
      <c r="M5383" s="5"/>
      <c r="N5383" s="5"/>
      <c r="O5383" s="5"/>
      <c r="P5383" s="5"/>
      <c r="Q5383" s="5"/>
      <c r="R5383" s="5"/>
      <c r="S5383" s="5"/>
      <c r="T5383" s="5"/>
      <c r="U5383" s="5"/>
      <c r="V5383" s="5"/>
      <c r="W5383" s="5"/>
      <c r="X5383" s="5"/>
      <c r="Y5383" s="5"/>
      <c r="Z5383" s="5"/>
    </row>
    <row r="5384" spans="1:26" ht="15" x14ac:dyDescent="0.25">
      <c r="A5384" s="4" t="s">
        <v>5382</v>
      </c>
      <c r="B5384" s="4" t="s">
        <v>4550</v>
      </c>
      <c r="C5384" s="2" t="str">
        <f ca="1">IFERROR(__xludf.DUMMYFUNCTION("GOOGLETRANSLATE(A5384,""bn"",""en"")"),"I was ashamed to see the styling of Bangladeshi girls' dresses")</f>
        <v>I was ashamed to see the styling of Bangladeshi girls' dresses</v>
      </c>
      <c r="D5384" s="5"/>
      <c r="E5384" s="5"/>
      <c r="F5384" s="5"/>
      <c r="G5384" s="5"/>
      <c r="H5384" s="5"/>
      <c r="I5384" s="5"/>
      <c r="J5384" s="5"/>
      <c r="K5384" s="5"/>
      <c r="L5384" s="5"/>
      <c r="M5384" s="5"/>
      <c r="N5384" s="5"/>
      <c r="O5384" s="5"/>
      <c r="P5384" s="5"/>
      <c r="Q5384" s="5"/>
      <c r="R5384" s="5"/>
      <c r="S5384" s="5"/>
      <c r="T5384" s="5"/>
      <c r="U5384" s="5"/>
      <c r="V5384" s="5"/>
      <c r="W5384" s="5"/>
      <c r="X5384" s="5"/>
      <c r="Y5384" s="5"/>
      <c r="Z5384" s="5"/>
    </row>
    <row r="5385" spans="1:26" ht="15" x14ac:dyDescent="0.25">
      <c r="A5385" s="4" t="s">
        <v>5383</v>
      </c>
      <c r="B5385" s="4" t="s">
        <v>4550</v>
      </c>
      <c r="C5385" s="2" t="str">
        <f ca="1">IFERROR(__xludf.DUMMYFUNCTION("GOOGLETRANSLATE(A5385,""bn"",""en"")"),"I finished it in minutes")</f>
        <v>I finished it in minutes</v>
      </c>
      <c r="D5385" s="5"/>
      <c r="E5385" s="5"/>
      <c r="F5385" s="5"/>
      <c r="G5385" s="5"/>
      <c r="H5385" s="5"/>
      <c r="I5385" s="5"/>
      <c r="J5385" s="5"/>
      <c r="K5385" s="5"/>
      <c r="L5385" s="5"/>
      <c r="M5385" s="5"/>
      <c r="N5385" s="5"/>
      <c r="O5385" s="5"/>
      <c r="P5385" s="5"/>
      <c r="Q5385" s="5"/>
      <c r="R5385" s="5"/>
      <c r="S5385" s="5"/>
      <c r="T5385" s="5"/>
      <c r="U5385" s="5"/>
      <c r="V5385" s="5"/>
      <c r="W5385" s="5"/>
      <c r="X5385" s="5"/>
      <c r="Y5385" s="5"/>
      <c r="Z5385" s="5"/>
    </row>
    <row r="5386" spans="1:26" ht="15" x14ac:dyDescent="0.25">
      <c r="A5386" s="4" t="s">
        <v>5384</v>
      </c>
      <c r="B5386" s="4" t="s">
        <v>4550</v>
      </c>
      <c r="C5386" s="2" t="str">
        <f ca="1">IFERROR(__xludf.DUMMYFUNCTION("GOOGLETRANSLATE(A5386,""bn"",""en"")"),"The story was amazing, I felt like I was watching a masterpiece, although it was a remake of a Nepali movie, but such a friendship story rarely happened in Bengali movies.")</f>
        <v>The story was amazing, I felt like I was watching a masterpiece, although it was a remake of a Nepali movie, but such a friendship story rarely happened in Bengali movies.</v>
      </c>
      <c r="D5386" s="5"/>
      <c r="E5386" s="5"/>
      <c r="F5386" s="5"/>
      <c r="G5386" s="5"/>
      <c r="H5386" s="5"/>
      <c r="I5386" s="5"/>
      <c r="J5386" s="5"/>
      <c r="K5386" s="5"/>
      <c r="L5386" s="5"/>
      <c r="M5386" s="5"/>
      <c r="N5386" s="5"/>
      <c r="O5386" s="5"/>
      <c r="P5386" s="5"/>
      <c r="Q5386" s="5"/>
      <c r="R5386" s="5"/>
      <c r="S5386" s="5"/>
      <c r="T5386" s="5"/>
      <c r="U5386" s="5"/>
      <c r="V5386" s="5"/>
      <c r="W5386" s="5"/>
      <c r="X5386" s="5"/>
      <c r="Y5386" s="5"/>
      <c r="Z5386" s="5"/>
    </row>
    <row r="5387" spans="1:26" ht="15" x14ac:dyDescent="0.25">
      <c r="A5387" s="4" t="s">
        <v>5385</v>
      </c>
      <c r="B5387" s="4" t="s">
        <v>4550</v>
      </c>
      <c r="C5387" s="2" t="str">
        <f ca="1">IFERROR(__xludf.DUMMYFUNCTION("GOOGLETRANSLATE(A5387,""bn"",""en"")"),"Bapparaj was a hero of that level now that Shakib Ra could not even come close to Bapparaj in his lifetime.")</f>
        <v>Bapparaj was a hero of that level now that Shakib Ra could not even come close to Bapparaj in his lifetime.</v>
      </c>
      <c r="D5387" s="5"/>
      <c r="E5387" s="5"/>
      <c r="F5387" s="5"/>
      <c r="G5387" s="5"/>
      <c r="H5387" s="5"/>
      <c r="I5387" s="5"/>
      <c r="J5387" s="5"/>
      <c r="K5387" s="5"/>
      <c r="L5387" s="5"/>
      <c r="M5387" s="5"/>
      <c r="N5387" s="5"/>
      <c r="O5387" s="5"/>
      <c r="P5387" s="5"/>
      <c r="Q5387" s="5"/>
      <c r="R5387" s="5"/>
      <c r="S5387" s="5"/>
      <c r="T5387" s="5"/>
      <c r="U5387" s="5"/>
      <c r="V5387" s="5"/>
      <c r="W5387" s="5"/>
      <c r="X5387" s="5"/>
      <c r="Y5387" s="5"/>
      <c r="Z5387" s="5"/>
    </row>
    <row r="5388" spans="1:26" ht="15" x14ac:dyDescent="0.25">
      <c r="A5388" s="4" t="s">
        <v>5386</v>
      </c>
      <c r="B5388" s="4" t="s">
        <v>4550</v>
      </c>
      <c r="C5388" s="2" t="str">
        <f ca="1">IFERROR(__xludf.DUMMYFUNCTION("GOOGLETRANSLATE(A5388,""bn"",""en"")"),"It was an amazing movie especially for those who are in a relationship. A lot to learn from this movie. It was a movie to watch with family.")</f>
        <v>It was an amazing movie especially for those who are in a relationship. A lot to learn from this movie. It was a movie to watch with family.</v>
      </c>
      <c r="D5388" s="5"/>
      <c r="E5388" s="5"/>
      <c r="F5388" s="5"/>
      <c r="G5388" s="5"/>
      <c r="H5388" s="5"/>
      <c r="I5388" s="5"/>
      <c r="J5388" s="5"/>
      <c r="K5388" s="5"/>
      <c r="L5388" s="5"/>
      <c r="M5388" s="5"/>
      <c r="N5388" s="5"/>
      <c r="O5388" s="5"/>
      <c r="P5388" s="5"/>
      <c r="Q5388" s="5"/>
      <c r="R5388" s="5"/>
      <c r="S5388" s="5"/>
      <c r="T5388" s="5"/>
      <c r="U5388" s="5"/>
      <c r="V5388" s="5"/>
      <c r="W5388" s="5"/>
      <c r="X5388" s="5"/>
      <c r="Y5388" s="5"/>
      <c r="Z5388" s="5"/>
    </row>
    <row r="5389" spans="1:26" ht="15" x14ac:dyDescent="0.25">
      <c r="A5389" s="4" t="s">
        <v>5387</v>
      </c>
      <c r="B5389" s="4" t="s">
        <v>4550</v>
      </c>
      <c r="C5389" s="2" t="str">
        <f ca="1">IFERROR(__xludf.DUMMYFUNCTION("GOOGLETRANSLATE(A5389,""bn"",""en"")"),"If you can't pronounce and say the mantra properly, don't say it")</f>
        <v>If you can't pronounce and say the mantra properly, don't say it</v>
      </c>
      <c r="D5389" s="5"/>
      <c r="E5389" s="5"/>
      <c r="F5389" s="5"/>
      <c r="G5389" s="5"/>
      <c r="H5389" s="5"/>
      <c r="I5389" s="5"/>
      <c r="J5389" s="5"/>
      <c r="K5389" s="5"/>
      <c r="L5389" s="5"/>
      <c r="M5389" s="5"/>
      <c r="N5389" s="5"/>
      <c r="O5389" s="5"/>
      <c r="P5389" s="5"/>
      <c r="Q5389" s="5"/>
      <c r="R5389" s="5"/>
      <c r="S5389" s="5"/>
      <c r="T5389" s="5"/>
      <c r="U5389" s="5"/>
      <c r="V5389" s="5"/>
      <c r="W5389" s="5"/>
      <c r="X5389" s="5"/>
      <c r="Y5389" s="5"/>
      <c r="Z5389" s="5"/>
    </row>
    <row r="5390" spans="1:26" ht="15" x14ac:dyDescent="0.25">
      <c r="A5390" s="4" t="s">
        <v>5388</v>
      </c>
      <c r="B5390" s="4" t="s">
        <v>4550</v>
      </c>
      <c r="C5390" s="2" t="str">
        <f ca="1">IFERROR(__xludf.DUMMYFUNCTION("GOOGLETRANSLATE(A5390,""bn"",""en"")"),"Watching the movie felt like Eid")</f>
        <v>Watching the movie felt like Eid</v>
      </c>
      <c r="D5390" s="5"/>
      <c r="E5390" s="5"/>
      <c r="F5390" s="5"/>
      <c r="G5390" s="5"/>
      <c r="H5390" s="5"/>
      <c r="I5390" s="5"/>
      <c r="J5390" s="5"/>
      <c r="K5390" s="5"/>
      <c r="L5390" s="5"/>
      <c r="M5390" s="5"/>
      <c r="N5390" s="5"/>
      <c r="O5390" s="5"/>
      <c r="P5390" s="5"/>
      <c r="Q5390" s="5"/>
      <c r="R5390" s="5"/>
      <c r="S5390" s="5"/>
      <c r="T5390" s="5"/>
      <c r="U5390" s="5"/>
      <c r="V5390" s="5"/>
      <c r="W5390" s="5"/>
      <c r="X5390" s="5"/>
      <c r="Y5390" s="5"/>
      <c r="Z5390" s="5"/>
    </row>
    <row r="5391" spans="1:26" ht="15" x14ac:dyDescent="0.25">
      <c r="A5391" s="4" t="s">
        <v>5389</v>
      </c>
      <c r="B5391" s="4" t="s">
        <v>4550</v>
      </c>
      <c r="C5391" s="2" t="str">
        <f ca="1">IFERROR(__xludf.DUMMYFUNCTION("GOOGLETRANSLATE(A5391,""bn"",""en"")"),"Many beautiful movies were filled with the mind after watching the previous burnt movies")</f>
        <v>Many beautiful movies were filled with the mind after watching the previous burnt movies</v>
      </c>
      <c r="D5391" s="5"/>
      <c r="E5391" s="5"/>
      <c r="F5391" s="5"/>
      <c r="G5391" s="5"/>
      <c r="H5391" s="5"/>
      <c r="I5391" s="5"/>
      <c r="J5391" s="5"/>
      <c r="K5391" s="5"/>
      <c r="L5391" s="5"/>
      <c r="M5391" s="5"/>
      <c r="N5391" s="5"/>
      <c r="O5391" s="5"/>
      <c r="P5391" s="5"/>
      <c r="Q5391" s="5"/>
      <c r="R5391" s="5"/>
      <c r="S5391" s="5"/>
      <c r="T5391" s="5"/>
      <c r="U5391" s="5"/>
      <c r="V5391" s="5"/>
      <c r="W5391" s="5"/>
      <c r="X5391" s="5"/>
      <c r="Y5391" s="5"/>
      <c r="Z5391" s="5"/>
    </row>
    <row r="5392" spans="1:26" ht="15" x14ac:dyDescent="0.25">
      <c r="A5392" s="4" t="s">
        <v>5390</v>
      </c>
      <c r="B5392" s="4" t="s">
        <v>4550</v>
      </c>
      <c r="C5392" s="2" t="str">
        <f ca="1">IFERROR(__xludf.DUMMYFUNCTION("GOOGLETRANSLATE(A5392,""bn"",""en"")"),"The movie was my favorite movie, Shabnoor Apu and Ferdous Bhaiyya were acting very nicely")</f>
        <v>The movie was my favorite movie, Shabnoor Apu and Ferdous Bhaiyya were acting very nicely</v>
      </c>
      <c r="D5392" s="5"/>
      <c r="E5392" s="5"/>
      <c r="F5392" s="5"/>
      <c r="G5392" s="5"/>
      <c r="H5392" s="5"/>
      <c r="I5392" s="5"/>
      <c r="J5392" s="5"/>
      <c r="K5392" s="5"/>
      <c r="L5392" s="5"/>
      <c r="M5392" s="5"/>
      <c r="N5392" s="5"/>
      <c r="O5392" s="5"/>
      <c r="P5392" s="5"/>
      <c r="Q5392" s="5"/>
      <c r="R5392" s="5"/>
      <c r="S5392" s="5"/>
      <c r="T5392" s="5"/>
      <c r="U5392" s="5"/>
      <c r="V5392" s="5"/>
      <c r="W5392" s="5"/>
      <c r="X5392" s="5"/>
      <c r="Y5392" s="5"/>
      <c r="Z5392" s="5"/>
    </row>
    <row r="5393" spans="1:26" ht="15" x14ac:dyDescent="0.25">
      <c r="A5393" s="4" t="s">
        <v>5391</v>
      </c>
      <c r="B5393" s="4" t="s">
        <v>4550</v>
      </c>
      <c r="C5393" s="2" t="str">
        <f ca="1">IFERROR(__xludf.DUMMYFUNCTION("GOOGLETRANSLATE(A5393,""bn"",""en"")"),"Raima Sen was very beautiful")</f>
        <v>Raima Sen was very beautiful</v>
      </c>
      <c r="D5393" s="5"/>
      <c r="E5393" s="5"/>
      <c r="F5393" s="5"/>
      <c r="G5393" s="5"/>
      <c r="H5393" s="5"/>
      <c r="I5393" s="5"/>
      <c r="J5393" s="5"/>
      <c r="K5393" s="5"/>
      <c r="L5393" s="5"/>
      <c r="M5393" s="5"/>
      <c r="N5393" s="5"/>
      <c r="O5393" s="5"/>
      <c r="P5393" s="5"/>
      <c r="Q5393" s="5"/>
      <c r="R5393" s="5"/>
      <c r="S5393" s="5"/>
      <c r="T5393" s="5"/>
      <c r="U5393" s="5"/>
      <c r="V5393" s="5"/>
      <c r="W5393" s="5"/>
      <c r="X5393" s="5"/>
      <c r="Y5393" s="5"/>
      <c r="Z5393" s="5"/>
    </row>
    <row r="5394" spans="1:26" ht="15" x14ac:dyDescent="0.25">
      <c r="A5394" s="4" t="s">
        <v>5392</v>
      </c>
      <c r="B5394" s="4" t="s">
        <v>4550</v>
      </c>
      <c r="C5394" s="2" t="str">
        <f ca="1">IFERROR(__xludf.DUMMYFUNCTION("GOOGLETRANSLATE(A5394,""bn"",""en"")"),"There was nothing like Anant Jalil or Ananta Jalil in the movie")</f>
        <v>There was nothing like Anant Jalil or Ananta Jalil in the movie</v>
      </c>
      <c r="D5394" s="5"/>
      <c r="E5394" s="5"/>
      <c r="F5394" s="5"/>
      <c r="G5394" s="5"/>
      <c r="H5394" s="5"/>
      <c r="I5394" s="5"/>
      <c r="J5394" s="5"/>
      <c r="K5394" s="5"/>
      <c r="L5394" s="5"/>
      <c r="M5394" s="5"/>
      <c r="N5394" s="5"/>
      <c r="O5394" s="5"/>
      <c r="P5394" s="5"/>
      <c r="Q5394" s="5"/>
      <c r="R5394" s="5"/>
      <c r="S5394" s="5"/>
      <c r="T5394" s="5"/>
      <c r="U5394" s="5"/>
      <c r="V5394" s="5"/>
      <c r="W5394" s="5"/>
      <c r="X5394" s="5"/>
      <c r="Y5394" s="5"/>
      <c r="Z5394" s="5"/>
    </row>
    <row r="5395" spans="1:26" ht="15" x14ac:dyDescent="0.25">
      <c r="A5395" s="4" t="s">
        <v>5393</v>
      </c>
      <c r="B5395" s="4" t="s">
        <v>4550</v>
      </c>
      <c r="C5395" s="2" t="str">
        <f ca="1">IFERROR(__xludf.DUMMYFUNCTION("GOOGLETRANSLATE(A5395,""bn"",""en"")"),"Bhaire Bhai I couldn't watch this movie it was so eye-rolling")</f>
        <v>Bhaire Bhai I couldn't watch this movie it was so eye-rolling</v>
      </c>
      <c r="D5395" s="5"/>
      <c r="E5395" s="5"/>
      <c r="F5395" s="5"/>
      <c r="G5395" s="5"/>
      <c r="H5395" s="5"/>
      <c r="I5395" s="5"/>
      <c r="J5395" s="5"/>
      <c r="K5395" s="5"/>
      <c r="L5395" s="5"/>
      <c r="M5395" s="5"/>
      <c r="N5395" s="5"/>
      <c r="O5395" s="5"/>
      <c r="P5395" s="5"/>
      <c r="Q5395" s="5"/>
      <c r="R5395" s="5"/>
      <c r="S5395" s="5"/>
      <c r="T5395" s="5"/>
      <c r="U5395" s="5"/>
      <c r="V5395" s="5"/>
      <c r="W5395" s="5"/>
      <c r="X5395" s="5"/>
      <c r="Y5395" s="5"/>
      <c r="Z5395" s="5"/>
    </row>
    <row r="5396" spans="1:26" ht="15" x14ac:dyDescent="0.25">
      <c r="A5396" s="4" t="s">
        <v>5394</v>
      </c>
      <c r="B5396" s="4" t="s">
        <v>4550</v>
      </c>
      <c r="C5396" s="2" t="str">
        <f ca="1">IFERROR(__xludf.DUMMYFUNCTION("GOOGLETRANSLATE(A5396,""bn"",""en"")"),"Jassim's lottery was cringe")</f>
        <v>Jassim's lottery was cringe</v>
      </c>
      <c r="D5396" s="5"/>
      <c r="E5396" s="5"/>
      <c r="F5396" s="5"/>
      <c r="G5396" s="5"/>
      <c r="H5396" s="5"/>
      <c r="I5396" s="5"/>
      <c r="J5396" s="5"/>
      <c r="K5396" s="5"/>
      <c r="L5396" s="5"/>
      <c r="M5396" s="5"/>
      <c r="N5396" s="5"/>
      <c r="O5396" s="5"/>
      <c r="P5396" s="5"/>
      <c r="Q5396" s="5"/>
      <c r="R5396" s="5"/>
      <c r="S5396" s="5"/>
      <c r="T5396" s="5"/>
      <c r="U5396" s="5"/>
      <c r="V5396" s="5"/>
      <c r="W5396" s="5"/>
      <c r="X5396" s="5"/>
      <c r="Y5396" s="5"/>
      <c r="Z5396" s="5"/>
    </row>
    <row r="5397" spans="1:26" ht="15" x14ac:dyDescent="0.25">
      <c r="A5397" s="4" t="s">
        <v>5395</v>
      </c>
      <c r="B5397" s="4" t="s">
        <v>4550</v>
      </c>
      <c r="C5397" s="2" t="str">
        <f ca="1">IFERROR(__xludf.DUMMYFUNCTION("GOOGLETRANSLATE(A5397,""bn"",""en"")"),"The story of the film was not bad but the heroines were full of profanity which was annoying and no one would want to watch it again after watching it once.")</f>
        <v>The story of the film was not bad but the heroines were full of profanity which was annoying and no one would want to watch it again after watching it once.</v>
      </c>
      <c r="D5397" s="5"/>
      <c r="E5397" s="5"/>
      <c r="F5397" s="5"/>
      <c r="G5397" s="5"/>
      <c r="H5397" s="5"/>
      <c r="I5397" s="5"/>
      <c r="J5397" s="5"/>
      <c r="K5397" s="5"/>
      <c r="L5397" s="5"/>
      <c r="M5397" s="5"/>
      <c r="N5397" s="5"/>
      <c r="O5397" s="5"/>
      <c r="P5397" s="5"/>
      <c r="Q5397" s="5"/>
      <c r="R5397" s="5"/>
      <c r="S5397" s="5"/>
      <c r="T5397" s="5"/>
      <c r="U5397" s="5"/>
      <c r="V5397" s="5"/>
      <c r="W5397" s="5"/>
      <c r="X5397" s="5"/>
      <c r="Y5397" s="5"/>
      <c r="Z5397" s="5"/>
    </row>
    <row r="5398" spans="1:26" ht="15" x14ac:dyDescent="0.25">
      <c r="A5398" s="4" t="s">
        <v>5396</v>
      </c>
      <c r="B5398" s="4" t="s">
        <v>4550</v>
      </c>
      <c r="C5398" s="2" t="str">
        <f ca="1">IFERROR(__xludf.DUMMYFUNCTION("GOOGLETRANSLATE(A5398,""bn"",""en"")"),"It was one of the best movies in the world")</f>
        <v>It was one of the best movies in the world</v>
      </c>
      <c r="D5398" s="5"/>
      <c r="E5398" s="5"/>
      <c r="F5398" s="5"/>
      <c r="G5398" s="5"/>
      <c r="H5398" s="5"/>
      <c r="I5398" s="5"/>
      <c r="J5398" s="5"/>
      <c r="K5398" s="5"/>
      <c r="L5398" s="5"/>
      <c r="M5398" s="5"/>
      <c r="N5398" s="5"/>
      <c r="O5398" s="5"/>
      <c r="P5398" s="5"/>
      <c r="Q5398" s="5"/>
      <c r="R5398" s="5"/>
      <c r="S5398" s="5"/>
      <c r="T5398" s="5"/>
      <c r="U5398" s="5"/>
      <c r="V5398" s="5"/>
      <c r="W5398" s="5"/>
      <c r="X5398" s="5"/>
      <c r="Y5398" s="5"/>
      <c r="Z5398" s="5"/>
    </row>
    <row r="5399" spans="1:26" ht="15" x14ac:dyDescent="0.25">
      <c r="A5399" s="4" t="s">
        <v>5397</v>
      </c>
      <c r="B5399" s="4" t="s">
        <v>4550</v>
      </c>
      <c r="C5399" s="2" t="str">
        <f ca="1">IFERROR(__xludf.DUMMYFUNCTION("GOOGLETRANSLATE(A5399,""bn"",""en"")"),"The songs were not that good")</f>
        <v>The songs were not that good</v>
      </c>
      <c r="D5399" s="5"/>
      <c r="E5399" s="5"/>
      <c r="F5399" s="5"/>
      <c r="G5399" s="5"/>
      <c r="H5399" s="5"/>
      <c r="I5399" s="5"/>
      <c r="J5399" s="5"/>
      <c r="K5399" s="5"/>
      <c r="L5399" s="5"/>
      <c r="M5399" s="5"/>
      <c r="N5399" s="5"/>
      <c r="O5399" s="5"/>
      <c r="P5399" s="5"/>
      <c r="Q5399" s="5"/>
      <c r="R5399" s="5"/>
      <c r="S5399" s="5"/>
      <c r="T5399" s="5"/>
      <c r="U5399" s="5"/>
      <c r="V5399" s="5"/>
      <c r="W5399" s="5"/>
      <c r="X5399" s="5"/>
      <c r="Y5399" s="5"/>
      <c r="Z5399" s="5"/>
    </row>
    <row r="5400" spans="1:26" ht="15" x14ac:dyDescent="0.25">
      <c r="A5400" s="4" t="s">
        <v>5398</v>
      </c>
      <c r="B5400" s="4" t="s">
        <v>4550</v>
      </c>
      <c r="C5400" s="2" t="str">
        <f ca="1">IFERROR(__xludf.DUMMYFUNCTION("GOOGLETRANSLATE(A5400,""bn"",""en"")"),"There was a huge difference between the previous movie and the current movie")</f>
        <v>There was a huge difference between the previous movie and the current movie</v>
      </c>
      <c r="D5400" s="5"/>
      <c r="E5400" s="5"/>
      <c r="F5400" s="5"/>
      <c r="G5400" s="5"/>
      <c r="H5400" s="5"/>
      <c r="I5400" s="5"/>
      <c r="J5400" s="5"/>
      <c r="K5400" s="5"/>
      <c r="L5400" s="5"/>
      <c r="M5400" s="5"/>
      <c r="N5400" s="5"/>
      <c r="O5400" s="5"/>
      <c r="P5400" s="5"/>
      <c r="Q5400" s="5"/>
      <c r="R5400" s="5"/>
      <c r="S5400" s="5"/>
      <c r="T5400" s="5"/>
      <c r="U5400" s="5"/>
      <c r="V5400" s="5"/>
      <c r="W5400" s="5"/>
      <c r="X5400" s="5"/>
      <c r="Y5400" s="5"/>
      <c r="Z5400" s="5"/>
    </row>
    <row r="5401" spans="1:26" ht="15" x14ac:dyDescent="0.25">
      <c r="A5401" s="4" t="s">
        <v>5399</v>
      </c>
      <c r="B5401" s="4" t="s">
        <v>4550</v>
      </c>
      <c r="C5401" s="2" t="str">
        <f ca="1">IFERROR(__xludf.DUMMYFUNCTION("GOOGLETRANSLATE(A5401,""bn"",""en"")"),"I was hopeful of winning but could not win because the team did not perform well")</f>
        <v>I was hopeful of winning but could not win because the team did not perform well</v>
      </c>
      <c r="D5401" s="5"/>
      <c r="E5401" s="5"/>
      <c r="F5401" s="5"/>
      <c r="G5401" s="5"/>
      <c r="H5401" s="5"/>
      <c r="I5401" s="5"/>
      <c r="J5401" s="5"/>
      <c r="K5401" s="5"/>
      <c r="L5401" s="5"/>
      <c r="M5401" s="5"/>
      <c r="N5401" s="5"/>
      <c r="O5401" s="5"/>
      <c r="P5401" s="5"/>
      <c r="Q5401" s="5"/>
      <c r="R5401" s="5"/>
      <c r="S5401" s="5"/>
      <c r="T5401" s="5"/>
      <c r="U5401" s="5"/>
      <c r="V5401" s="5"/>
      <c r="W5401" s="5"/>
      <c r="X5401" s="5"/>
      <c r="Y5401" s="5"/>
      <c r="Z5401" s="5"/>
    </row>
    <row r="5402" spans="1:26" ht="15" x14ac:dyDescent="0.25">
      <c r="A5402" s="4" t="s">
        <v>5400</v>
      </c>
      <c r="B5402" s="4" t="s">
        <v>4550</v>
      </c>
      <c r="C5402" s="2" t="str">
        <f ca="1">IFERROR(__xludf.DUMMYFUNCTION("GOOGLETRANSLATE(A5402,""bn"",""en"")"),"I saw, I heard, I understood. I kept quiet at the end of the afternoon")</f>
        <v>I saw, I heard, I understood. I kept quiet at the end of the afternoon</v>
      </c>
      <c r="D5402" s="5"/>
      <c r="E5402" s="5"/>
      <c r="F5402" s="5"/>
      <c r="G5402" s="5"/>
      <c r="H5402" s="5"/>
      <c r="I5402" s="5"/>
      <c r="J5402" s="5"/>
      <c r="K5402" s="5"/>
      <c r="L5402" s="5"/>
      <c r="M5402" s="5"/>
      <c r="N5402" s="5"/>
      <c r="O5402" s="5"/>
      <c r="P5402" s="5"/>
      <c r="Q5402" s="5"/>
      <c r="R5402" s="5"/>
      <c r="S5402" s="5"/>
      <c r="T5402" s="5"/>
      <c r="U5402" s="5"/>
      <c r="V5402" s="5"/>
      <c r="W5402" s="5"/>
      <c r="X5402" s="5"/>
      <c r="Y5402" s="5"/>
      <c r="Z5402" s="5"/>
    </row>
    <row r="5403" spans="1:26" ht="15" x14ac:dyDescent="0.25">
      <c r="A5403" s="4" t="s">
        <v>5401</v>
      </c>
      <c r="B5403" s="4" t="s">
        <v>4550</v>
      </c>
      <c r="C5403" s="2" t="str">
        <f ca="1">IFERROR(__xludf.DUMMYFUNCTION("GOOGLETRANSLATE(A5403,""bn"",""en"")"),"It was a movie and I couldn't write anything, the drama was much better")</f>
        <v>It was a movie and I couldn't write anything, the drama was much better</v>
      </c>
      <c r="D5403" s="5"/>
      <c r="E5403" s="5"/>
      <c r="F5403" s="5"/>
      <c r="G5403" s="5"/>
      <c r="H5403" s="5"/>
      <c r="I5403" s="5"/>
      <c r="J5403" s="5"/>
      <c r="K5403" s="5"/>
      <c r="L5403" s="5"/>
      <c r="M5403" s="5"/>
      <c r="N5403" s="5"/>
      <c r="O5403" s="5"/>
      <c r="P5403" s="5"/>
      <c r="Q5403" s="5"/>
      <c r="R5403" s="5"/>
      <c r="S5403" s="5"/>
      <c r="T5403" s="5"/>
      <c r="U5403" s="5"/>
      <c r="V5403" s="5"/>
      <c r="W5403" s="5"/>
      <c r="X5403" s="5"/>
      <c r="Y5403" s="5"/>
      <c r="Z5403" s="5"/>
    </row>
    <row r="5404" spans="1:26" ht="15" x14ac:dyDescent="0.25">
      <c r="A5404" s="4" t="s">
        <v>5402</v>
      </c>
      <c r="B5404" s="4" t="s">
        <v>4550</v>
      </c>
      <c r="C5404" s="2" t="str">
        <f ca="1">IFERROR(__xludf.DUMMYFUNCTION("GOOGLETRANSLATE(A5404,""bn"",""en"")"),"I liked the movie very much")</f>
        <v>I liked the movie very much</v>
      </c>
      <c r="D5404" s="5"/>
      <c r="E5404" s="5"/>
      <c r="F5404" s="5"/>
      <c r="G5404" s="5"/>
      <c r="H5404" s="5"/>
      <c r="I5404" s="5"/>
      <c r="J5404" s="5"/>
      <c r="K5404" s="5"/>
      <c r="L5404" s="5"/>
      <c r="M5404" s="5"/>
      <c r="N5404" s="5"/>
      <c r="O5404" s="5"/>
      <c r="P5404" s="5"/>
      <c r="Q5404" s="5"/>
      <c r="R5404" s="5"/>
      <c r="S5404" s="5"/>
      <c r="T5404" s="5"/>
      <c r="U5404" s="5"/>
      <c r="V5404" s="5"/>
      <c r="W5404" s="5"/>
      <c r="X5404" s="5"/>
      <c r="Y5404" s="5"/>
      <c r="Z5404" s="5"/>
    </row>
    <row r="5405" spans="1:26" ht="15" x14ac:dyDescent="0.25">
      <c r="A5405" s="4" t="s">
        <v>5403</v>
      </c>
      <c r="B5405" s="4" t="s">
        <v>4550</v>
      </c>
      <c r="C5405" s="2" t="str">
        <f ca="1">IFERROR(__xludf.DUMMYFUNCTION("GOOGLETRANSLATE(A5405,""bn"",""en"")"),"How could a man be so talented, such beautiful songs, such beautiful acting, his speaking style, everything was so good together")</f>
        <v>How could a man be so talented, such beautiful songs, such beautiful acting, his speaking style, everything was so good together</v>
      </c>
      <c r="D5405" s="5"/>
      <c r="E5405" s="5"/>
      <c r="F5405" s="5"/>
      <c r="G5405" s="5"/>
      <c r="H5405" s="5"/>
      <c r="I5405" s="5"/>
      <c r="J5405" s="5"/>
      <c r="K5405" s="5"/>
      <c r="L5405" s="5"/>
      <c r="M5405" s="5"/>
      <c r="N5405" s="5"/>
      <c r="O5405" s="5"/>
      <c r="P5405" s="5"/>
      <c r="Q5405" s="5"/>
      <c r="R5405" s="5"/>
      <c r="S5405" s="5"/>
      <c r="T5405" s="5"/>
      <c r="U5405" s="5"/>
      <c r="V5405" s="5"/>
      <c r="W5405" s="5"/>
      <c r="X5405" s="5"/>
      <c r="Y5405" s="5"/>
      <c r="Z5405" s="5"/>
    </row>
    <row r="5406" spans="1:26" ht="15" x14ac:dyDescent="0.25">
      <c r="A5406" s="4" t="s">
        <v>5404</v>
      </c>
      <c r="B5406" s="4" t="s">
        <v>4550</v>
      </c>
      <c r="C5406" s="2" t="str">
        <f ca="1">IFERROR(__xludf.DUMMYFUNCTION("GOOGLETRANSLATE(A5406,""bn"",""en"")"),"It was one of the best movies ever seen in life")</f>
        <v>It was one of the best movies ever seen in life</v>
      </c>
      <c r="D5406" s="5"/>
      <c r="E5406" s="5"/>
      <c r="F5406" s="5"/>
      <c r="G5406" s="5"/>
      <c r="H5406" s="5"/>
      <c r="I5406" s="5"/>
      <c r="J5406" s="5"/>
      <c r="K5406" s="5"/>
      <c r="L5406" s="5"/>
      <c r="M5406" s="5"/>
      <c r="N5406" s="5"/>
      <c r="O5406" s="5"/>
      <c r="P5406" s="5"/>
      <c r="Q5406" s="5"/>
      <c r="R5406" s="5"/>
      <c r="S5406" s="5"/>
      <c r="T5406" s="5"/>
      <c r="U5406" s="5"/>
      <c r="V5406" s="5"/>
      <c r="W5406" s="5"/>
      <c r="X5406" s="5"/>
      <c r="Y5406" s="5"/>
      <c r="Z5406" s="5"/>
    </row>
    <row r="5407" spans="1:26" ht="15" x14ac:dyDescent="0.25">
      <c r="A5407" s="4" t="s">
        <v>5405</v>
      </c>
      <c r="B5407" s="4" t="s">
        <v>4550</v>
      </c>
      <c r="C5407" s="2" t="str">
        <f ca="1">IFERROR(__xludf.DUMMYFUNCTION("GOOGLETRANSLATE(A5407,""bn"",""en"")"),"As I thought the film would be like Fatafa, it was not that bad film Kuba Kubi was needed Mair of Pulapain I wanted to be Mair of Hindi film then I had to say the film like the film")</f>
        <v>As I thought the film would be like Fatafa, it was not that bad film Kuba Kubi was needed Mair of Pulapain I wanted to be Mair of Hindi film then I had to say the film like the film</v>
      </c>
      <c r="D5407" s="5"/>
      <c r="E5407" s="5"/>
      <c r="F5407" s="5"/>
      <c r="G5407" s="5"/>
      <c r="H5407" s="5"/>
      <c r="I5407" s="5"/>
      <c r="J5407" s="5"/>
      <c r="K5407" s="5"/>
      <c r="L5407" s="5"/>
      <c r="M5407" s="5"/>
      <c r="N5407" s="5"/>
      <c r="O5407" s="5"/>
      <c r="P5407" s="5"/>
      <c r="Q5407" s="5"/>
      <c r="R5407" s="5"/>
      <c r="S5407" s="5"/>
      <c r="T5407" s="5"/>
      <c r="U5407" s="5"/>
      <c r="V5407" s="5"/>
      <c r="W5407" s="5"/>
      <c r="X5407" s="5"/>
      <c r="Y5407" s="5"/>
      <c r="Z5407" s="5"/>
    </row>
    <row r="5408" spans="1:26" ht="15" x14ac:dyDescent="0.25">
      <c r="A5408" s="4" t="s">
        <v>5406</v>
      </c>
      <c r="B5408" s="4" t="s">
        <v>4550</v>
      </c>
      <c r="C5408" s="2" t="str">
        <f ca="1">IFERROR(__xludf.DUMMYFUNCTION("GOOGLETRANSLATE(A5408,""bn"",""en"")"),"The movie was very good but the ending ruined the whole movie")</f>
        <v>The movie was very good but the ending ruined the whole movie</v>
      </c>
      <c r="D5408" s="5"/>
      <c r="E5408" s="5"/>
      <c r="F5408" s="5"/>
      <c r="G5408" s="5"/>
      <c r="H5408" s="5"/>
      <c r="I5408" s="5"/>
      <c r="J5408" s="5"/>
      <c r="K5408" s="5"/>
      <c r="L5408" s="5"/>
      <c r="M5408" s="5"/>
      <c r="N5408" s="5"/>
      <c r="O5408" s="5"/>
      <c r="P5408" s="5"/>
      <c r="Q5408" s="5"/>
      <c r="R5408" s="5"/>
      <c r="S5408" s="5"/>
      <c r="T5408" s="5"/>
      <c r="U5408" s="5"/>
      <c r="V5408" s="5"/>
      <c r="W5408" s="5"/>
      <c r="X5408" s="5"/>
      <c r="Y5408" s="5"/>
      <c r="Z5408" s="5"/>
    </row>
    <row r="5409" spans="1:26" ht="15" x14ac:dyDescent="0.25">
      <c r="A5409" s="4" t="s">
        <v>5407</v>
      </c>
      <c r="B5409" s="4" t="s">
        <v>4550</v>
      </c>
      <c r="C5409" s="2" t="str">
        <f ca="1">IFERROR(__xludf.DUMMYFUNCTION("GOOGLETRANSLATE(A5409,""bn"",""en"")"),"He made this screenplay with great thought, there was no loophole and he did a perfect job")</f>
        <v>He made this screenplay with great thought, there was no loophole and he did a perfect job</v>
      </c>
      <c r="D5409" s="5"/>
      <c r="E5409" s="5"/>
      <c r="F5409" s="5"/>
      <c r="G5409" s="5"/>
      <c r="H5409" s="5"/>
      <c r="I5409" s="5"/>
      <c r="J5409" s="5"/>
      <c r="K5409" s="5"/>
      <c r="L5409" s="5"/>
      <c r="M5409" s="5"/>
      <c r="N5409" s="5"/>
      <c r="O5409" s="5"/>
      <c r="P5409" s="5"/>
      <c r="Q5409" s="5"/>
      <c r="R5409" s="5"/>
      <c r="S5409" s="5"/>
      <c r="T5409" s="5"/>
      <c r="U5409" s="5"/>
      <c r="V5409" s="5"/>
      <c r="W5409" s="5"/>
      <c r="X5409" s="5"/>
      <c r="Y5409" s="5"/>
      <c r="Z5409" s="5"/>
    </row>
    <row r="5410" spans="1:26" ht="15" x14ac:dyDescent="0.25">
      <c r="A5410" s="4" t="s">
        <v>5408</v>
      </c>
      <c r="B5410" s="4" t="s">
        <v>4550</v>
      </c>
      <c r="C5410" s="2" t="str">
        <f ca="1">IFERROR(__xludf.DUMMYFUNCTION("GOOGLETRANSLATE(A5410,""bn"",""en"")"),"I could have spent my time doing something else")</f>
        <v>I could have spent my time doing something else</v>
      </c>
      <c r="D5410" s="5"/>
      <c r="E5410" s="5"/>
      <c r="F5410" s="5"/>
      <c r="G5410" s="5"/>
      <c r="H5410" s="5"/>
      <c r="I5410" s="5"/>
      <c r="J5410" s="5"/>
      <c r="K5410" s="5"/>
      <c r="L5410" s="5"/>
      <c r="M5410" s="5"/>
      <c r="N5410" s="5"/>
      <c r="O5410" s="5"/>
      <c r="P5410" s="5"/>
      <c r="Q5410" s="5"/>
      <c r="R5410" s="5"/>
      <c r="S5410" s="5"/>
      <c r="T5410" s="5"/>
      <c r="U5410" s="5"/>
      <c r="V5410" s="5"/>
      <c r="W5410" s="5"/>
      <c r="X5410" s="5"/>
      <c r="Y5410" s="5"/>
      <c r="Z5410" s="5"/>
    </row>
    <row r="5411" spans="1:26" ht="15" x14ac:dyDescent="0.25">
      <c r="A5411" s="4" t="s">
        <v>5409</v>
      </c>
      <c r="B5411" s="4" t="s">
        <v>4550</v>
      </c>
      <c r="C5411" s="2" t="str">
        <f ca="1">IFERROR(__xludf.DUMMYFUNCTION("GOOGLETRANSLATE(A5411,""bn"",""en"")"),"This is how the quality movies were uploaded on the channel hit the audience with the new movies of super star Shakib Khan along with the new movies of other heroes in good quality.")</f>
        <v>This is how the quality movies were uploaded on the channel hit the audience with the new movies of super star Shakib Khan along with the new movies of other heroes in good quality.</v>
      </c>
      <c r="D5411" s="5"/>
      <c r="E5411" s="5"/>
      <c r="F5411" s="5"/>
      <c r="G5411" s="5"/>
      <c r="H5411" s="5"/>
      <c r="I5411" s="5"/>
      <c r="J5411" s="5"/>
      <c r="K5411" s="5"/>
      <c r="L5411" s="5"/>
      <c r="M5411" s="5"/>
      <c r="N5411" s="5"/>
      <c r="O5411" s="5"/>
      <c r="P5411" s="5"/>
      <c r="Q5411" s="5"/>
      <c r="R5411" s="5"/>
      <c r="S5411" s="5"/>
      <c r="T5411" s="5"/>
      <c r="U5411" s="5"/>
      <c r="V5411" s="5"/>
      <c r="W5411" s="5"/>
      <c r="X5411" s="5"/>
      <c r="Y5411" s="5"/>
      <c r="Z5411" s="5"/>
    </row>
    <row r="5412" spans="1:26" ht="15" x14ac:dyDescent="0.25">
      <c r="A5412" s="4" t="s">
        <v>5410</v>
      </c>
      <c r="B5412" s="4" t="s">
        <v>4550</v>
      </c>
      <c r="C5412" s="2" t="str">
        <f ca="1">IFERROR(__xludf.DUMMYFUNCTION("GOOGLETRANSLATE(A5412,""bn"",""en"")"),"The look was good but the acting and the story were rubbish")</f>
        <v>The look was good but the acting and the story were rubbish</v>
      </c>
      <c r="D5412" s="5"/>
      <c r="E5412" s="5"/>
      <c r="F5412" s="5"/>
      <c r="G5412" s="5"/>
      <c r="H5412" s="5"/>
      <c r="I5412" s="5"/>
      <c r="J5412" s="5"/>
      <c r="K5412" s="5"/>
      <c r="L5412" s="5"/>
      <c r="M5412" s="5"/>
      <c r="N5412" s="5"/>
      <c r="O5412" s="5"/>
      <c r="P5412" s="5"/>
      <c r="Q5412" s="5"/>
      <c r="R5412" s="5"/>
      <c r="S5412" s="5"/>
      <c r="T5412" s="5"/>
      <c r="U5412" s="5"/>
      <c r="V5412" s="5"/>
      <c r="W5412" s="5"/>
      <c r="X5412" s="5"/>
      <c r="Y5412" s="5"/>
      <c r="Z5412" s="5"/>
    </row>
    <row r="5413" spans="1:26" ht="15" x14ac:dyDescent="0.25">
      <c r="A5413" s="4" t="s">
        <v>5411</v>
      </c>
      <c r="B5413" s="4" t="s">
        <v>4550</v>
      </c>
      <c r="C5413" s="2" t="str">
        <f ca="1">IFERROR(__xludf.DUMMYFUNCTION("GOOGLETRANSLATE(A5413,""bn"",""en"")"),"The song earned more than the money earned in this film, it was a truly amazing movie till date no one in Bangladesh broke the income budget of this film.")</f>
        <v>The song earned more than the money earned in this film, it was a truly amazing movie till date no one in Bangladesh broke the income budget of this film.</v>
      </c>
      <c r="D5413" s="5"/>
      <c r="E5413" s="5"/>
      <c r="F5413" s="5"/>
      <c r="G5413" s="5"/>
      <c r="H5413" s="5"/>
      <c r="I5413" s="5"/>
      <c r="J5413" s="5"/>
      <c r="K5413" s="5"/>
      <c r="L5413" s="5"/>
      <c r="M5413" s="5"/>
      <c r="N5413" s="5"/>
      <c r="O5413" s="5"/>
      <c r="P5413" s="5"/>
      <c r="Q5413" s="5"/>
      <c r="R5413" s="5"/>
      <c r="S5413" s="5"/>
      <c r="T5413" s="5"/>
      <c r="U5413" s="5"/>
      <c r="V5413" s="5"/>
      <c r="W5413" s="5"/>
      <c r="X5413" s="5"/>
      <c r="Y5413" s="5"/>
      <c r="Z5413" s="5"/>
    </row>
    <row r="5414" spans="1:26" ht="15" x14ac:dyDescent="0.25">
      <c r="A5414" s="4" t="s">
        <v>5412</v>
      </c>
      <c r="B5414" s="4" t="s">
        <v>4550</v>
      </c>
      <c r="C5414" s="2" t="str">
        <f ca="1">IFERROR(__xludf.DUMMYFUNCTION("GOOGLETRANSLATE(A5414,""bn"",""en"")"),"The all-time favorite movie was unparalleled")</f>
        <v>The all-time favorite movie was unparalleled</v>
      </c>
      <c r="D5414" s="5"/>
      <c r="E5414" s="5"/>
      <c r="F5414" s="5"/>
      <c r="G5414" s="5"/>
      <c r="H5414" s="5"/>
      <c r="I5414" s="5"/>
      <c r="J5414" s="5"/>
      <c r="K5414" s="5"/>
      <c r="L5414" s="5"/>
      <c r="M5414" s="5"/>
      <c r="N5414" s="5"/>
      <c r="O5414" s="5"/>
      <c r="P5414" s="5"/>
      <c r="Q5414" s="5"/>
      <c r="R5414" s="5"/>
      <c r="S5414" s="5"/>
      <c r="T5414" s="5"/>
      <c r="U5414" s="5"/>
      <c r="V5414" s="5"/>
      <c r="W5414" s="5"/>
      <c r="X5414" s="5"/>
      <c r="Y5414" s="5"/>
      <c r="Z5414" s="5"/>
    </row>
    <row r="5415" spans="1:26" ht="15" x14ac:dyDescent="0.25">
      <c r="A5415" s="4" t="s">
        <v>5413</v>
      </c>
      <c r="B5415" s="4" t="s">
        <v>4550</v>
      </c>
      <c r="C5415" s="2" t="str">
        <f ca="1">IFERROR(__xludf.DUMMYFUNCTION("GOOGLETRANSLATE(A5415,""bn"",""en"")"),"The story of the movie was good but the dialogues were terrible and the direction needed to be improved")</f>
        <v>The story of the movie was good but the dialogues were terrible and the direction needed to be improved</v>
      </c>
      <c r="D5415" s="5"/>
      <c r="E5415" s="5"/>
      <c r="F5415" s="5"/>
      <c r="G5415" s="5"/>
      <c r="H5415" s="5"/>
      <c r="I5415" s="5"/>
      <c r="J5415" s="5"/>
      <c r="K5415" s="5"/>
      <c r="L5415" s="5"/>
      <c r="M5415" s="5"/>
      <c r="N5415" s="5"/>
      <c r="O5415" s="5"/>
      <c r="P5415" s="5"/>
      <c r="Q5415" s="5"/>
      <c r="R5415" s="5"/>
      <c r="S5415" s="5"/>
      <c r="T5415" s="5"/>
      <c r="U5415" s="5"/>
      <c r="V5415" s="5"/>
      <c r="W5415" s="5"/>
      <c r="X5415" s="5"/>
      <c r="Y5415" s="5"/>
      <c r="Z5415" s="5"/>
    </row>
    <row r="5416" spans="1:26" ht="15" x14ac:dyDescent="0.25">
      <c r="A5416" s="4" t="s">
        <v>5414</v>
      </c>
      <c r="B5416" s="4" t="s">
        <v>4550</v>
      </c>
      <c r="C5416" s="2" t="str">
        <f ca="1">IFERROR(__xludf.DUMMYFUNCTION("GOOGLETRANSLATE(A5416,""bn"",""en"")"),"The films that Jasim and Bapparaj acted together were amazing")</f>
        <v>The films that Jasim and Bapparaj acted together were amazing</v>
      </c>
      <c r="D5416" s="5"/>
      <c r="E5416" s="5"/>
      <c r="F5416" s="5"/>
      <c r="G5416" s="5"/>
      <c r="H5416" s="5"/>
      <c r="I5416" s="5"/>
      <c r="J5416" s="5"/>
      <c r="K5416" s="5"/>
      <c r="L5416" s="5"/>
      <c r="M5416" s="5"/>
      <c r="N5416" s="5"/>
      <c r="O5416" s="5"/>
      <c r="P5416" s="5"/>
      <c r="Q5416" s="5"/>
      <c r="R5416" s="5"/>
      <c r="S5416" s="5"/>
      <c r="T5416" s="5"/>
      <c r="U5416" s="5"/>
      <c r="V5416" s="5"/>
      <c r="W5416" s="5"/>
      <c r="X5416" s="5"/>
      <c r="Y5416" s="5"/>
      <c r="Z5416" s="5"/>
    </row>
    <row r="5417" spans="1:26" ht="15" x14ac:dyDescent="0.25">
      <c r="A5417" s="4" t="s">
        <v>5415</v>
      </c>
      <c r="B5417" s="4" t="s">
        <v>4550</v>
      </c>
      <c r="C5417" s="2" t="str">
        <f ca="1">IFERROR(__xludf.DUMMYFUNCTION("GOOGLETRANSLATE(A5417,""bn"",""en"")"),"The more I saw, the more I liked it")</f>
        <v>The more I saw, the more I liked it</v>
      </c>
      <c r="D5417" s="5"/>
      <c r="E5417" s="5"/>
      <c r="F5417" s="5"/>
      <c r="G5417" s="5"/>
      <c r="H5417" s="5"/>
      <c r="I5417" s="5"/>
      <c r="J5417" s="5"/>
      <c r="K5417" s="5"/>
      <c r="L5417" s="5"/>
      <c r="M5417" s="5"/>
      <c r="N5417" s="5"/>
      <c r="O5417" s="5"/>
      <c r="P5417" s="5"/>
      <c r="Q5417" s="5"/>
      <c r="R5417" s="5"/>
      <c r="S5417" s="5"/>
      <c r="T5417" s="5"/>
      <c r="U5417" s="5"/>
      <c r="V5417" s="5"/>
      <c r="W5417" s="5"/>
      <c r="X5417" s="5"/>
      <c r="Y5417" s="5"/>
      <c r="Z5417" s="5"/>
    </row>
    <row r="5418" spans="1:26" ht="15" x14ac:dyDescent="0.25">
      <c r="A5418" s="4" t="s">
        <v>5416</v>
      </c>
      <c r="B5418" s="4" t="s">
        <v>4550</v>
      </c>
      <c r="C5418" s="2" t="str">
        <f ca="1">IFERROR(__xludf.DUMMYFUNCTION("GOOGLETRANSLATE(A5418,""bn"",""en"")"),"I left without seeing the end of the film")</f>
        <v>I left without seeing the end of the film</v>
      </c>
      <c r="D5418" s="5"/>
      <c r="E5418" s="5"/>
      <c r="F5418" s="5"/>
      <c r="G5418" s="5"/>
      <c r="H5418" s="5"/>
      <c r="I5418" s="5"/>
      <c r="J5418" s="5"/>
      <c r="K5418" s="5"/>
      <c r="L5418" s="5"/>
      <c r="M5418" s="5"/>
      <c r="N5418" s="5"/>
      <c r="O5418" s="5"/>
      <c r="P5418" s="5"/>
      <c r="Q5418" s="5"/>
      <c r="R5418" s="5"/>
      <c r="S5418" s="5"/>
      <c r="T5418" s="5"/>
      <c r="U5418" s="5"/>
      <c r="V5418" s="5"/>
      <c r="W5418" s="5"/>
      <c r="X5418" s="5"/>
      <c r="Y5418" s="5"/>
      <c r="Z5418" s="5"/>
    </row>
    <row r="5419" spans="1:26" ht="15" x14ac:dyDescent="0.25">
      <c r="A5419" s="4" t="s">
        <v>5417</v>
      </c>
      <c r="B5419" s="4" t="s">
        <v>4550</v>
      </c>
      <c r="C5419" s="2" t="str">
        <f ca="1">IFERROR(__xludf.DUMMYFUNCTION("GOOGLETRANSLATE(A5419,""bn"",""en"")"),"I liked the movie very much. It was a wonderful movie. I watched it a long time ago and watched it again")</f>
        <v>I liked the movie very much. It was a wonderful movie. I watched it a long time ago and watched it again</v>
      </c>
      <c r="D5419" s="5"/>
      <c r="E5419" s="5"/>
      <c r="F5419" s="5"/>
      <c r="G5419" s="5"/>
      <c r="H5419" s="5"/>
      <c r="I5419" s="5"/>
      <c r="J5419" s="5"/>
      <c r="K5419" s="5"/>
      <c r="L5419" s="5"/>
      <c r="M5419" s="5"/>
      <c r="N5419" s="5"/>
      <c r="O5419" s="5"/>
      <c r="P5419" s="5"/>
      <c r="Q5419" s="5"/>
      <c r="R5419" s="5"/>
      <c r="S5419" s="5"/>
      <c r="T5419" s="5"/>
      <c r="U5419" s="5"/>
      <c r="V5419" s="5"/>
      <c r="W5419" s="5"/>
      <c r="X5419" s="5"/>
      <c r="Y5419" s="5"/>
      <c r="Z5419" s="5"/>
    </row>
    <row r="5420" spans="1:26" ht="15" x14ac:dyDescent="0.25">
      <c r="A5420" s="4" t="s">
        <v>5418</v>
      </c>
      <c r="B5420" s="4" t="s">
        <v>4550</v>
      </c>
      <c r="C5420" s="2" t="str">
        <f ca="1">IFERROR(__xludf.DUMMYFUNCTION("GOOGLETRANSLATE(A5420,""bn"",""en"")"),"All aspects of the movie were pretty good")</f>
        <v>All aspects of the movie were pretty good</v>
      </c>
      <c r="D5420" s="5"/>
      <c r="E5420" s="5"/>
      <c r="F5420" s="5"/>
      <c r="G5420" s="5"/>
      <c r="H5420" s="5"/>
      <c r="I5420" s="5"/>
      <c r="J5420" s="5"/>
      <c r="K5420" s="5"/>
      <c r="L5420" s="5"/>
      <c r="M5420" s="5"/>
      <c r="N5420" s="5"/>
      <c r="O5420" s="5"/>
      <c r="P5420" s="5"/>
      <c r="Q5420" s="5"/>
      <c r="R5420" s="5"/>
      <c r="S5420" s="5"/>
      <c r="T5420" s="5"/>
      <c r="U5420" s="5"/>
      <c r="V5420" s="5"/>
      <c r="W5420" s="5"/>
      <c r="X5420" s="5"/>
      <c r="Y5420" s="5"/>
      <c r="Z5420" s="5"/>
    </row>
    <row r="5421" spans="1:26" ht="15" x14ac:dyDescent="0.25">
      <c r="A5421" s="4" t="s">
        <v>5419</v>
      </c>
      <c r="B5421" s="4" t="s">
        <v>4550</v>
      </c>
      <c r="C5421" s="2" t="str">
        <f ca="1">IFERROR(__xludf.DUMMYFUNCTION("GOOGLETRANSLATE(A5421,""bn"",""en"")"),"The whole thing was funny")</f>
        <v>The whole thing was funny</v>
      </c>
      <c r="D5421" s="5"/>
      <c r="E5421" s="5"/>
      <c r="F5421" s="5"/>
      <c r="G5421" s="5"/>
      <c r="H5421" s="5"/>
      <c r="I5421" s="5"/>
      <c r="J5421" s="5"/>
      <c r="K5421" s="5"/>
      <c r="L5421" s="5"/>
      <c r="M5421" s="5"/>
      <c r="N5421" s="5"/>
      <c r="O5421" s="5"/>
      <c r="P5421" s="5"/>
      <c r="Q5421" s="5"/>
      <c r="R5421" s="5"/>
      <c r="S5421" s="5"/>
      <c r="T5421" s="5"/>
      <c r="U5421" s="5"/>
      <c r="V5421" s="5"/>
      <c r="W5421" s="5"/>
      <c r="X5421" s="5"/>
      <c r="Y5421" s="5"/>
      <c r="Z5421" s="5"/>
    </row>
    <row r="5422" spans="1:26" ht="15" x14ac:dyDescent="0.25">
      <c r="A5422" s="4" t="s">
        <v>5420</v>
      </c>
      <c r="B5422" s="4" t="s">
        <v>4550</v>
      </c>
      <c r="C5422" s="2" t="str">
        <f ca="1">IFERROR(__xludf.DUMMYFUNCTION("GOOGLETRANSLATE(A5422,""bn"",""en"")"),"The movie was simply amazing and very similar to reality")</f>
        <v>The movie was simply amazing and very similar to reality</v>
      </c>
      <c r="D5422" s="5"/>
      <c r="E5422" s="5"/>
      <c r="F5422" s="5"/>
      <c r="G5422" s="5"/>
      <c r="H5422" s="5"/>
      <c r="I5422" s="5"/>
      <c r="J5422" s="5"/>
      <c r="K5422" s="5"/>
      <c r="L5422" s="5"/>
      <c r="M5422" s="5"/>
      <c r="N5422" s="5"/>
      <c r="O5422" s="5"/>
      <c r="P5422" s="5"/>
      <c r="Q5422" s="5"/>
      <c r="R5422" s="5"/>
      <c r="S5422" s="5"/>
      <c r="T5422" s="5"/>
      <c r="U5422" s="5"/>
      <c r="V5422" s="5"/>
      <c r="W5422" s="5"/>
      <c r="X5422" s="5"/>
      <c r="Y5422" s="5"/>
      <c r="Z5422" s="5"/>
    </row>
    <row r="5423" spans="1:26" ht="15" x14ac:dyDescent="0.25">
      <c r="A5423" s="4" t="s">
        <v>5421</v>
      </c>
      <c r="B5423" s="4" t="s">
        <v>4550</v>
      </c>
      <c r="C5423" s="2" t="str">
        <f ca="1">IFERROR(__xludf.DUMMYFUNCTION("GOOGLETRANSLATE(A5423,""bn"",""en"")"),"Khairun Sundari was my mother's favorite movie. I watched this movie when I was a child and cried a lot. Today I saw it again. It was a very good movie. It was a very nice movie. It was a very funny movie.")</f>
        <v>Khairun Sundari was my mother's favorite movie. I watched this movie when I was a child and cried a lot. Today I saw it again. It was a very good movie. It was a very nice movie. It was a very funny movie.</v>
      </c>
      <c r="D5423" s="5"/>
      <c r="E5423" s="5"/>
      <c r="F5423" s="5"/>
      <c r="G5423" s="5"/>
      <c r="H5423" s="5"/>
      <c r="I5423" s="5"/>
      <c r="J5423" s="5"/>
      <c r="K5423" s="5"/>
      <c r="L5423" s="5"/>
      <c r="M5423" s="5"/>
      <c r="N5423" s="5"/>
      <c r="O5423" s="5"/>
      <c r="P5423" s="5"/>
      <c r="Q5423" s="5"/>
      <c r="R5423" s="5"/>
      <c r="S5423" s="5"/>
      <c r="T5423" s="5"/>
      <c r="U5423" s="5"/>
      <c r="V5423" s="5"/>
      <c r="W5423" s="5"/>
      <c r="X5423" s="5"/>
      <c r="Y5423" s="5"/>
      <c r="Z5423" s="5"/>
    </row>
    <row r="5424" spans="1:26" ht="15" x14ac:dyDescent="0.25">
      <c r="A5424" s="4" t="s">
        <v>5422</v>
      </c>
      <c r="B5424" s="4" t="s">
        <v>4550</v>
      </c>
      <c r="C5424" s="2" t="str">
        <f ca="1">IFERROR(__xludf.DUMMYFUNCTION("GOOGLETRANSLATE(A5424,""bn"",""en"")"),"I saw it, I laughed a lot, I enjoyed it, it was a great movie")</f>
        <v>I saw it, I laughed a lot, I enjoyed it, it was a great movie</v>
      </c>
      <c r="D5424" s="5"/>
      <c r="E5424" s="5"/>
      <c r="F5424" s="5"/>
      <c r="G5424" s="5"/>
      <c r="H5424" s="5"/>
      <c r="I5424" s="5"/>
      <c r="J5424" s="5"/>
      <c r="K5424" s="5"/>
      <c r="L5424" s="5"/>
      <c r="M5424" s="5"/>
      <c r="N5424" s="5"/>
      <c r="O5424" s="5"/>
      <c r="P5424" s="5"/>
      <c r="Q5424" s="5"/>
      <c r="R5424" s="5"/>
      <c r="S5424" s="5"/>
      <c r="T5424" s="5"/>
      <c r="U5424" s="5"/>
      <c r="V5424" s="5"/>
      <c r="W5424" s="5"/>
      <c r="X5424" s="5"/>
      <c r="Y5424" s="5"/>
      <c r="Z5424" s="5"/>
    </row>
    <row r="5425" spans="1:26" ht="15" x14ac:dyDescent="0.25">
      <c r="A5425" s="4" t="s">
        <v>5423</v>
      </c>
      <c r="B5425" s="4" t="s">
        <v>4550</v>
      </c>
      <c r="C5425" s="2" t="str">
        <f ca="1">IFERROR(__xludf.DUMMYFUNCTION("GOOGLETRANSLATE(A5425,""bn"",""en"")"),"I saw a different picture of Shabnoor's different acting and Nasreen's amazing acting was really beautiful. I think the character was portrayed very well.")</f>
        <v>I saw a different picture of Shabnoor's different acting and Nasreen's amazing acting was really beautiful. I think the character was portrayed very well.</v>
      </c>
      <c r="D5425" s="5"/>
      <c r="E5425" s="5"/>
      <c r="F5425" s="5"/>
      <c r="G5425" s="5"/>
      <c r="H5425" s="5"/>
      <c r="I5425" s="5"/>
      <c r="J5425" s="5"/>
      <c r="K5425" s="5"/>
      <c r="L5425" s="5"/>
      <c r="M5425" s="5"/>
      <c r="N5425" s="5"/>
      <c r="O5425" s="5"/>
      <c r="P5425" s="5"/>
      <c r="Q5425" s="5"/>
      <c r="R5425" s="5"/>
      <c r="S5425" s="5"/>
      <c r="T5425" s="5"/>
      <c r="U5425" s="5"/>
      <c r="V5425" s="5"/>
      <c r="W5425" s="5"/>
      <c r="X5425" s="5"/>
      <c r="Y5425" s="5"/>
      <c r="Z5425" s="5"/>
    </row>
    <row r="5426" spans="1:26" ht="15" x14ac:dyDescent="0.25">
      <c r="A5426" s="4" t="s">
        <v>5424</v>
      </c>
      <c r="B5426" s="4" t="s">
        <v>4550</v>
      </c>
      <c r="C5426" s="2" t="str">
        <f ca="1">IFERROR(__xludf.DUMMYFUNCTION("GOOGLETRANSLATE(A5426,""bn"",""en"")"),"Anup Kumar is a very good comedian but he was incongruous in the role of Jatayu")</f>
        <v>Anup Kumar is a very good comedian but he was incongruous in the role of Jatayu</v>
      </c>
      <c r="D5426" s="5"/>
      <c r="E5426" s="5"/>
      <c r="F5426" s="5"/>
      <c r="G5426" s="5"/>
      <c r="H5426" s="5"/>
      <c r="I5426" s="5"/>
      <c r="J5426" s="5"/>
      <c r="K5426" s="5"/>
      <c r="L5426" s="5"/>
      <c r="M5426" s="5"/>
      <c r="N5426" s="5"/>
      <c r="O5426" s="5"/>
      <c r="P5426" s="5"/>
      <c r="Q5426" s="5"/>
      <c r="R5426" s="5"/>
      <c r="S5426" s="5"/>
      <c r="T5426" s="5"/>
      <c r="U5426" s="5"/>
      <c r="V5426" s="5"/>
      <c r="W5426" s="5"/>
      <c r="X5426" s="5"/>
      <c r="Y5426" s="5"/>
      <c r="Z5426" s="5"/>
    </row>
    <row r="5427" spans="1:26" ht="15" x14ac:dyDescent="0.25">
      <c r="A5427" s="4" t="s">
        <v>5425</v>
      </c>
      <c r="B5427" s="4" t="s">
        <v>4550</v>
      </c>
      <c r="C5427" s="2" t="str">
        <f ca="1">IFERROR(__xludf.DUMMYFUNCTION("GOOGLETRANSLATE(A5427,""bn"",""en"")"),"It was the best movie I have seen in my life")</f>
        <v>It was the best movie I have seen in my life</v>
      </c>
      <c r="D5427" s="5"/>
      <c r="E5427" s="5"/>
      <c r="F5427" s="5"/>
      <c r="G5427" s="5"/>
      <c r="H5427" s="5"/>
      <c r="I5427" s="5"/>
      <c r="J5427" s="5"/>
      <c r="K5427" s="5"/>
      <c r="L5427" s="5"/>
      <c r="M5427" s="5"/>
      <c r="N5427" s="5"/>
      <c r="O5427" s="5"/>
      <c r="P5427" s="5"/>
      <c r="Q5427" s="5"/>
      <c r="R5427" s="5"/>
      <c r="S5427" s="5"/>
      <c r="T5427" s="5"/>
      <c r="U5427" s="5"/>
      <c r="V5427" s="5"/>
      <c r="W5427" s="5"/>
      <c r="X5427" s="5"/>
      <c r="Y5427" s="5"/>
      <c r="Z5427" s="5"/>
    </row>
    <row r="5428" spans="1:26" ht="15" x14ac:dyDescent="0.25">
      <c r="A5428" s="4" t="s">
        <v>5426</v>
      </c>
      <c r="B5428" s="4" t="s">
        <v>4550</v>
      </c>
      <c r="C5428" s="2" t="str">
        <f ca="1">IFERROR(__xludf.DUMMYFUNCTION("GOOGLETRANSLATE(A5428,""bn"",""en"")"),"There was very very very bad acting")</f>
        <v>There was very very very bad acting</v>
      </c>
      <c r="D5428" s="5"/>
      <c r="E5428" s="5"/>
      <c r="F5428" s="5"/>
      <c r="G5428" s="5"/>
      <c r="H5428" s="5"/>
      <c r="I5428" s="5"/>
      <c r="J5428" s="5"/>
      <c r="K5428" s="5"/>
      <c r="L5428" s="5"/>
      <c r="M5428" s="5"/>
      <c r="N5428" s="5"/>
      <c r="O5428" s="5"/>
      <c r="P5428" s="5"/>
      <c r="Q5428" s="5"/>
      <c r="R5428" s="5"/>
      <c r="S5428" s="5"/>
      <c r="T5428" s="5"/>
      <c r="U5428" s="5"/>
      <c r="V5428" s="5"/>
      <c r="W5428" s="5"/>
      <c r="X5428" s="5"/>
      <c r="Y5428" s="5"/>
      <c r="Z5428" s="5"/>
    </row>
    <row r="5429" spans="1:26" ht="15" x14ac:dyDescent="0.25">
      <c r="A5429" s="4" t="s">
        <v>5427</v>
      </c>
      <c r="B5429" s="4" t="s">
        <v>4550</v>
      </c>
      <c r="C5429" s="2" t="str">
        <f ca="1">IFERROR(__xludf.DUMMYFUNCTION("GOOGLETRANSLATE(A5429,""bn"",""en"")"),"It was better to be blind than to see this movie")</f>
        <v>It was better to be blind than to see this movie</v>
      </c>
      <c r="D5429" s="5"/>
      <c r="E5429" s="5"/>
      <c r="F5429" s="5"/>
      <c r="G5429" s="5"/>
      <c r="H5429" s="5"/>
      <c r="I5429" s="5"/>
      <c r="J5429" s="5"/>
      <c r="K5429" s="5"/>
      <c r="L5429" s="5"/>
      <c r="M5429" s="5"/>
      <c r="N5429" s="5"/>
      <c r="O5429" s="5"/>
      <c r="P5429" s="5"/>
      <c r="Q5429" s="5"/>
      <c r="R5429" s="5"/>
      <c r="S5429" s="5"/>
      <c r="T5429" s="5"/>
      <c r="U5429" s="5"/>
      <c r="V5429" s="5"/>
      <c r="W5429" s="5"/>
      <c r="X5429" s="5"/>
      <c r="Y5429" s="5"/>
      <c r="Z5429" s="5"/>
    </row>
    <row r="5430" spans="1:26" ht="15" x14ac:dyDescent="0.25">
      <c r="A5430" s="4" t="s">
        <v>5428</v>
      </c>
      <c r="B5430" s="4" t="s">
        <v>4550</v>
      </c>
      <c r="C5430" s="2" t="str">
        <f ca="1">IFERROR(__xludf.DUMMYFUNCTION("GOOGLETRANSLATE(A5430,""bn"",""en"")"),"I couldn't think of what to comment, maybe there won't be a movie like that, even if I try a hundred times, I won't know such a movie. In a word, it was amazing.")</f>
        <v>I couldn't think of what to comment, maybe there won't be a movie like that, even if I try a hundred times, I won't know such a movie. In a word, it was amazing.</v>
      </c>
      <c r="D5430" s="5"/>
      <c r="E5430" s="5"/>
      <c r="F5430" s="5"/>
      <c r="G5430" s="5"/>
      <c r="H5430" s="5"/>
      <c r="I5430" s="5"/>
      <c r="J5430" s="5"/>
      <c r="K5430" s="5"/>
      <c r="L5430" s="5"/>
      <c r="M5430" s="5"/>
      <c r="N5430" s="5"/>
      <c r="O5430" s="5"/>
      <c r="P5430" s="5"/>
      <c r="Q5430" s="5"/>
      <c r="R5430" s="5"/>
      <c r="S5430" s="5"/>
      <c r="T5430" s="5"/>
      <c r="U5430" s="5"/>
      <c r="V5430" s="5"/>
      <c r="W5430" s="5"/>
      <c r="X5430" s="5"/>
      <c r="Y5430" s="5"/>
      <c r="Z5430" s="5"/>
    </row>
    <row r="5431" spans="1:26" ht="15" x14ac:dyDescent="0.25">
      <c r="A5431" s="4" t="s">
        <v>5429</v>
      </c>
      <c r="B5431" s="4" t="s">
        <v>4550</v>
      </c>
      <c r="C5431" s="2" t="str">
        <f ca="1">IFERROR(__xludf.DUMMYFUNCTION("GOOGLETRANSLATE(A5431,""bn"",""en"")"),"The sound quality was very poor")</f>
        <v>The sound quality was very poor</v>
      </c>
      <c r="D5431" s="5"/>
      <c r="E5431" s="5"/>
      <c r="F5431" s="5"/>
      <c r="G5431" s="5"/>
      <c r="H5431" s="5"/>
      <c r="I5431" s="5"/>
      <c r="J5431" s="5"/>
      <c r="K5431" s="5"/>
      <c r="L5431" s="5"/>
      <c r="M5431" s="5"/>
      <c r="N5431" s="5"/>
      <c r="O5431" s="5"/>
      <c r="P5431" s="5"/>
      <c r="Q5431" s="5"/>
      <c r="R5431" s="5"/>
      <c r="S5431" s="5"/>
      <c r="T5431" s="5"/>
      <c r="U5431" s="5"/>
      <c r="V5431" s="5"/>
      <c r="W5431" s="5"/>
      <c r="X5431" s="5"/>
      <c r="Y5431" s="5"/>
      <c r="Z5431" s="5"/>
    </row>
    <row r="5432" spans="1:26" ht="15" x14ac:dyDescent="0.25">
      <c r="A5432" s="4" t="s">
        <v>5430</v>
      </c>
      <c r="B5432" s="4" t="s">
        <v>4550</v>
      </c>
      <c r="C5432" s="2" t="str">
        <f ca="1">IFERROR(__xludf.DUMMYFUNCTION("GOOGLETRANSLATE(A5432,""bn"",""en"")"),"I think there was no other movie like this")</f>
        <v>I think there was no other movie like this</v>
      </c>
      <c r="D5432" s="5"/>
      <c r="E5432" s="5"/>
      <c r="F5432" s="5"/>
      <c r="G5432" s="5"/>
      <c r="H5432" s="5"/>
      <c r="I5432" s="5"/>
      <c r="J5432" s="5"/>
      <c r="K5432" s="5"/>
      <c r="L5432" s="5"/>
      <c r="M5432" s="5"/>
      <c r="N5432" s="5"/>
      <c r="O5432" s="5"/>
      <c r="P5432" s="5"/>
      <c r="Q5432" s="5"/>
      <c r="R5432" s="5"/>
      <c r="S5432" s="5"/>
      <c r="T5432" s="5"/>
      <c r="U5432" s="5"/>
      <c r="V5432" s="5"/>
      <c r="W5432" s="5"/>
      <c r="X5432" s="5"/>
      <c r="Y5432" s="5"/>
      <c r="Z5432" s="5"/>
    </row>
    <row r="5433" spans="1:26" ht="15" x14ac:dyDescent="0.25">
      <c r="A5433" s="4" t="s">
        <v>5431</v>
      </c>
      <c r="B5433" s="4" t="s">
        <v>4550</v>
      </c>
      <c r="C5433" s="2" t="str">
        <f ca="1">IFERROR(__xludf.DUMMYFUNCTION("GOOGLETRANSLATE(A5433,""bn"",""en"")"),"No, I didn't like it at all")</f>
        <v>No, I didn't like it at all</v>
      </c>
      <c r="D5433" s="5"/>
      <c r="E5433" s="5"/>
      <c r="F5433" s="5"/>
      <c r="G5433" s="5"/>
      <c r="H5433" s="5"/>
      <c r="I5433" s="5"/>
      <c r="J5433" s="5"/>
      <c r="K5433" s="5"/>
      <c r="L5433" s="5"/>
      <c r="M5433" s="5"/>
      <c r="N5433" s="5"/>
      <c r="O5433" s="5"/>
      <c r="P5433" s="5"/>
      <c r="Q5433" s="5"/>
      <c r="R5433" s="5"/>
      <c r="S5433" s="5"/>
      <c r="T5433" s="5"/>
      <c r="U5433" s="5"/>
      <c r="V5433" s="5"/>
      <c r="W5433" s="5"/>
      <c r="X5433" s="5"/>
      <c r="Y5433" s="5"/>
      <c r="Z5433" s="5"/>
    </row>
    <row r="5434" spans="1:26" ht="15" x14ac:dyDescent="0.25">
      <c r="A5434" s="4" t="s">
        <v>5432</v>
      </c>
      <c r="B5434" s="4" t="s">
        <v>4550</v>
      </c>
      <c r="C5434" s="2" t="str">
        <f ca="1">IFERROR(__xludf.DUMMYFUNCTION("GOOGLETRANSLATE(A5434,""bn"",""en"")"),"It was a beautiful movie and Bappa Bhai's acting was unparalleled")</f>
        <v>It was a beautiful movie and Bappa Bhai's acting was unparalleled</v>
      </c>
      <c r="D5434" s="5"/>
      <c r="E5434" s="5"/>
      <c r="F5434" s="5"/>
      <c r="G5434" s="5"/>
      <c r="H5434" s="5"/>
      <c r="I5434" s="5"/>
      <c r="J5434" s="5"/>
      <c r="K5434" s="5"/>
      <c r="L5434" s="5"/>
      <c r="M5434" s="5"/>
      <c r="N5434" s="5"/>
      <c r="O5434" s="5"/>
      <c r="P5434" s="5"/>
      <c r="Q5434" s="5"/>
      <c r="R5434" s="5"/>
      <c r="S5434" s="5"/>
      <c r="T5434" s="5"/>
      <c r="U5434" s="5"/>
      <c r="V5434" s="5"/>
      <c r="W5434" s="5"/>
      <c r="X5434" s="5"/>
      <c r="Y5434" s="5"/>
      <c r="Z5434" s="5"/>
    </row>
    <row r="5435" spans="1:26" ht="15" x14ac:dyDescent="0.25">
      <c r="A5435" s="4" t="s">
        <v>5433</v>
      </c>
      <c r="B5435" s="4" t="s">
        <v>4550</v>
      </c>
      <c r="C5435" s="2" t="str">
        <f ca="1">IFERROR(__xludf.DUMMYFUNCTION("GOOGLETRANSLATE(A5435,""bn"",""en"")"),"I don't understand how Shabana madam acted so natural, I think she was the only woman in the whole world in terms of emotions.")</f>
        <v>I don't understand how Shabana madam acted so natural, I think she was the only woman in the whole world in terms of emotions.</v>
      </c>
      <c r="D5435" s="5"/>
      <c r="E5435" s="5"/>
      <c r="F5435" s="5"/>
      <c r="G5435" s="5"/>
      <c r="H5435" s="5"/>
      <c r="I5435" s="5"/>
      <c r="J5435" s="5"/>
      <c r="K5435" s="5"/>
      <c r="L5435" s="5"/>
      <c r="M5435" s="5"/>
      <c r="N5435" s="5"/>
      <c r="O5435" s="5"/>
      <c r="P5435" s="5"/>
      <c r="Q5435" s="5"/>
      <c r="R5435" s="5"/>
      <c r="S5435" s="5"/>
      <c r="T5435" s="5"/>
      <c r="U5435" s="5"/>
      <c r="V5435" s="5"/>
      <c r="W5435" s="5"/>
      <c r="X5435" s="5"/>
      <c r="Y5435" s="5"/>
      <c r="Z5435" s="5"/>
    </row>
    <row r="5436" spans="1:26" ht="15" x14ac:dyDescent="0.25">
      <c r="A5436" s="4" t="s">
        <v>5434</v>
      </c>
      <c r="B5436" s="4" t="s">
        <v>4550</v>
      </c>
      <c r="C5436" s="2" t="str">
        <f ca="1">IFERROR(__xludf.DUMMYFUNCTION("GOOGLETRANSLATE(A5436,""bn"",""en"")"),"I have never seen such a bad movie")</f>
        <v>I have never seen such a bad movie</v>
      </c>
      <c r="D5436" s="5"/>
      <c r="E5436" s="5"/>
      <c r="F5436" s="5"/>
      <c r="G5436" s="5"/>
      <c r="H5436" s="5"/>
      <c r="I5436" s="5"/>
      <c r="J5436" s="5"/>
      <c r="K5436" s="5"/>
      <c r="L5436" s="5"/>
      <c r="M5436" s="5"/>
      <c r="N5436" s="5"/>
      <c r="O5436" s="5"/>
      <c r="P5436" s="5"/>
      <c r="Q5436" s="5"/>
      <c r="R5436" s="5"/>
      <c r="S5436" s="5"/>
      <c r="T5436" s="5"/>
      <c r="U5436" s="5"/>
      <c r="V5436" s="5"/>
      <c r="W5436" s="5"/>
      <c r="X5436" s="5"/>
      <c r="Y5436" s="5"/>
      <c r="Z5436" s="5"/>
    </row>
    <row r="5437" spans="1:26" ht="15" x14ac:dyDescent="0.25">
      <c r="A5437" s="4" t="s">
        <v>5435</v>
      </c>
      <c r="B5437" s="4" t="s">
        <v>4550</v>
      </c>
      <c r="C5437" s="2" t="str">
        <f ca="1">IFERROR(__xludf.DUMMYFUNCTION("GOOGLETRANSLATE(A5437,""bn"",""en"")"),"I lost my interest in watching movies because of what script")</f>
        <v>I lost my interest in watching movies because of what script</v>
      </c>
      <c r="D5437" s="5"/>
      <c r="E5437" s="5"/>
      <c r="F5437" s="5"/>
      <c r="G5437" s="5"/>
      <c r="H5437" s="5"/>
      <c r="I5437" s="5"/>
      <c r="J5437" s="5"/>
      <c r="K5437" s="5"/>
      <c r="L5437" s="5"/>
      <c r="M5437" s="5"/>
      <c r="N5437" s="5"/>
      <c r="O5437" s="5"/>
      <c r="P5437" s="5"/>
      <c r="Q5437" s="5"/>
      <c r="R5437" s="5"/>
      <c r="S5437" s="5"/>
      <c r="T5437" s="5"/>
      <c r="U5437" s="5"/>
      <c r="V5437" s="5"/>
      <c r="W5437" s="5"/>
      <c r="X5437" s="5"/>
      <c r="Y5437" s="5"/>
      <c r="Z5437" s="5"/>
    </row>
    <row r="5438" spans="1:26" ht="15" x14ac:dyDescent="0.25">
      <c r="A5438" s="4" t="s">
        <v>5436</v>
      </c>
      <c r="B5438" s="4" t="s">
        <v>4550</v>
      </c>
      <c r="C5438" s="2" t="str">
        <f ca="1">IFERROR(__xludf.DUMMYFUNCTION("GOOGLETRANSLATE(A5438,""bn"",""en"")"),"Parimani acted badly in the movie")</f>
        <v>Parimani acted badly in the movie</v>
      </c>
      <c r="D5438" s="5"/>
      <c r="E5438" s="5"/>
      <c r="F5438" s="5"/>
      <c r="G5438" s="5"/>
      <c r="H5438" s="5"/>
      <c r="I5438" s="5"/>
      <c r="J5438" s="5"/>
      <c r="K5438" s="5"/>
      <c r="L5438" s="5"/>
      <c r="M5438" s="5"/>
      <c r="N5438" s="5"/>
      <c r="O5438" s="5"/>
      <c r="P5438" s="5"/>
      <c r="Q5438" s="5"/>
      <c r="R5438" s="5"/>
      <c r="S5438" s="5"/>
      <c r="T5438" s="5"/>
      <c r="U5438" s="5"/>
      <c r="V5438" s="5"/>
      <c r="W5438" s="5"/>
      <c r="X5438" s="5"/>
      <c r="Y5438" s="5"/>
      <c r="Z5438" s="5"/>
    </row>
    <row r="5439" spans="1:26" ht="15" x14ac:dyDescent="0.25">
      <c r="A5439" s="4" t="s">
        <v>5437</v>
      </c>
      <c r="B5439" s="4" t="s">
        <v>4550</v>
      </c>
      <c r="C5439" s="2" t="str">
        <f ca="1">IFERROR(__xludf.DUMMYFUNCTION("GOOGLETRANSLATE(A5439,""bn"",""en"")"),"Moushumi was such an egomaniac in most of the movies")</f>
        <v>Moushumi was such an egomaniac in most of the movies</v>
      </c>
      <c r="D5439" s="5"/>
      <c r="E5439" s="5"/>
      <c r="F5439" s="5"/>
      <c r="G5439" s="5"/>
      <c r="H5439" s="5"/>
      <c r="I5439" s="5"/>
      <c r="J5439" s="5"/>
      <c r="K5439" s="5"/>
      <c r="L5439" s="5"/>
      <c r="M5439" s="5"/>
      <c r="N5439" s="5"/>
      <c r="O5439" s="5"/>
      <c r="P5439" s="5"/>
      <c r="Q5439" s="5"/>
      <c r="R5439" s="5"/>
      <c r="S5439" s="5"/>
      <c r="T5439" s="5"/>
      <c r="U5439" s="5"/>
      <c r="V5439" s="5"/>
      <c r="W5439" s="5"/>
      <c r="X5439" s="5"/>
      <c r="Y5439" s="5"/>
      <c r="Z5439" s="5"/>
    </row>
    <row r="5440" spans="1:26" ht="15" x14ac:dyDescent="0.25">
      <c r="A5440" s="4" t="s">
        <v>5438</v>
      </c>
      <c r="B5440" s="4" t="s">
        <v>4550</v>
      </c>
      <c r="C5440" s="2" t="str">
        <f ca="1">IFERROR(__xludf.DUMMYFUNCTION("GOOGLETRANSLATE(A5440,""bn"",""en"")"),"Did the old director die or the previous film and the current film should have been a film in this digital age, their videos were thousands of times better than Tik Tok.")</f>
        <v>Did the old director die or the previous film and the current film should have been a film in this digital age, their videos were thousands of times better than Tik Tok.</v>
      </c>
      <c r="D5440" s="5"/>
      <c r="E5440" s="5"/>
      <c r="F5440" s="5"/>
      <c r="G5440" s="5"/>
      <c r="H5440" s="5"/>
      <c r="I5440" s="5"/>
      <c r="J5440" s="5"/>
      <c r="K5440" s="5"/>
      <c r="L5440" s="5"/>
      <c r="M5440" s="5"/>
      <c r="N5440" s="5"/>
      <c r="O5440" s="5"/>
      <c r="P5440" s="5"/>
      <c r="Q5440" s="5"/>
      <c r="R5440" s="5"/>
      <c r="S5440" s="5"/>
      <c r="T5440" s="5"/>
      <c r="U5440" s="5"/>
      <c r="V5440" s="5"/>
      <c r="W5440" s="5"/>
      <c r="X5440" s="5"/>
      <c r="Y5440" s="5"/>
      <c r="Z5440" s="5"/>
    </row>
    <row r="5441" spans="1:26" ht="15" x14ac:dyDescent="0.25">
      <c r="A5441" s="4" t="s">
        <v>5439</v>
      </c>
      <c r="B5441" s="4" t="s">
        <v>4550</v>
      </c>
      <c r="C5441" s="2" t="str">
        <f ca="1">IFERROR(__xludf.DUMMYFUNCTION("GOOGLETRANSLATE(A5441,""bn"",""en"")"),"I was coming to see Ammajan again after a long time. She was incredibly beautiful")</f>
        <v>I was coming to see Ammajan again after a long time. She was incredibly beautiful</v>
      </c>
      <c r="D5441" s="5"/>
      <c r="E5441" s="5"/>
      <c r="F5441" s="5"/>
      <c r="G5441" s="5"/>
      <c r="H5441" s="5"/>
      <c r="I5441" s="5"/>
      <c r="J5441" s="5"/>
      <c r="K5441" s="5"/>
      <c r="L5441" s="5"/>
      <c r="M5441" s="5"/>
      <c r="N5441" s="5"/>
      <c r="O5441" s="5"/>
      <c r="P5441" s="5"/>
      <c r="Q5441" s="5"/>
      <c r="R5441" s="5"/>
      <c r="S5441" s="5"/>
      <c r="T5441" s="5"/>
      <c r="U5441" s="5"/>
      <c r="V5441" s="5"/>
      <c r="W5441" s="5"/>
      <c r="X5441" s="5"/>
      <c r="Y5441" s="5"/>
      <c r="Z5441" s="5"/>
    </row>
    <row r="5442" spans="1:26" ht="15" x14ac:dyDescent="0.25">
      <c r="A5442" s="4" t="s">
        <v>5440</v>
      </c>
      <c r="B5442" s="4" t="s">
        <v>4550</v>
      </c>
      <c r="C5442" s="2" t="str">
        <f ca="1">IFERROR(__xludf.DUMMYFUNCTION("GOOGLETRANSLATE(A5442,""bn"",""en"")"),"The movie was really good thanks to all the actors and actresses")</f>
        <v>The movie was really good thanks to all the actors and actresses</v>
      </c>
      <c r="D5442" s="5"/>
      <c r="E5442" s="5"/>
      <c r="F5442" s="5"/>
      <c r="G5442" s="5"/>
      <c r="H5442" s="5"/>
      <c r="I5442" s="5"/>
      <c r="J5442" s="5"/>
      <c r="K5442" s="5"/>
      <c r="L5442" s="5"/>
      <c r="M5442" s="5"/>
      <c r="N5442" s="5"/>
      <c r="O5442" s="5"/>
      <c r="P5442" s="5"/>
      <c r="Q5442" s="5"/>
      <c r="R5442" s="5"/>
      <c r="S5442" s="5"/>
      <c r="T5442" s="5"/>
      <c r="U5442" s="5"/>
      <c r="V5442" s="5"/>
      <c r="W5442" s="5"/>
      <c r="X5442" s="5"/>
      <c r="Y5442" s="5"/>
      <c r="Z5442" s="5"/>
    </row>
    <row r="5443" spans="1:26" ht="15" x14ac:dyDescent="0.25">
      <c r="A5443" s="4" t="s">
        <v>5441</v>
      </c>
      <c r="B5443" s="4" t="s">
        <v>4550</v>
      </c>
      <c r="C5443" s="2" t="str">
        <f ca="1">IFERROR(__xludf.DUMMYFUNCTION("GOOGLETRANSLATE(A5443,""bn"",""en"")"),"They would not have been able to act properly if they had named it a comedy movie instead of an action movie")</f>
        <v>They would not have been able to act properly if they had named it a comedy movie instead of an action movie</v>
      </c>
      <c r="D5443" s="5"/>
      <c r="E5443" s="5"/>
      <c r="F5443" s="5"/>
      <c r="G5443" s="5"/>
      <c r="H5443" s="5"/>
      <c r="I5443" s="5"/>
      <c r="J5443" s="5"/>
      <c r="K5443" s="5"/>
      <c r="L5443" s="5"/>
      <c r="M5443" s="5"/>
      <c r="N5443" s="5"/>
      <c r="O5443" s="5"/>
      <c r="P5443" s="5"/>
      <c r="Q5443" s="5"/>
      <c r="R5443" s="5"/>
      <c r="S5443" s="5"/>
      <c r="T5443" s="5"/>
      <c r="U5443" s="5"/>
      <c r="V5443" s="5"/>
      <c r="W5443" s="5"/>
      <c r="X5443" s="5"/>
      <c r="Y5443" s="5"/>
      <c r="Z5443" s="5"/>
    </row>
    <row r="5444" spans="1:26" ht="15" x14ac:dyDescent="0.25">
      <c r="A5444" s="4" t="s">
        <v>5442</v>
      </c>
      <c r="B5444" s="4" t="s">
        <v>4550</v>
      </c>
      <c r="C5444" s="2" t="str">
        <f ca="1">IFERROR(__xludf.DUMMYFUNCTION("GOOGLETRANSLATE(A5444,""bn"",""en"")"),"A strong citizen Alamgir Hussain made such a strong film story a reality")</f>
        <v>A strong citizen Alamgir Hussain made such a strong film story a reality</v>
      </c>
      <c r="D5444" s="5"/>
      <c r="E5444" s="5"/>
      <c r="F5444" s="5"/>
      <c r="G5444" s="5"/>
      <c r="H5444" s="5"/>
      <c r="I5444" s="5"/>
      <c r="J5444" s="5"/>
      <c r="K5444" s="5"/>
      <c r="L5444" s="5"/>
      <c r="M5444" s="5"/>
      <c r="N5444" s="5"/>
      <c r="O5444" s="5"/>
      <c r="P5444" s="5"/>
      <c r="Q5444" s="5"/>
      <c r="R5444" s="5"/>
      <c r="S5444" s="5"/>
      <c r="T5444" s="5"/>
      <c r="U5444" s="5"/>
      <c r="V5444" s="5"/>
      <c r="W5444" s="5"/>
      <c r="X5444" s="5"/>
      <c r="Y5444" s="5"/>
      <c r="Z5444" s="5"/>
    </row>
    <row r="5445" spans="1:26" ht="15" x14ac:dyDescent="0.25">
      <c r="A5445" s="4" t="s">
        <v>5443</v>
      </c>
      <c r="B5445" s="4" t="s">
        <v>4550</v>
      </c>
      <c r="C5445" s="2" t="str">
        <f ca="1">IFERROR(__xludf.DUMMYFUNCTION("GOOGLETRANSLATE(A5445,""bn"",""en"")"),"Great story great acting very good")</f>
        <v>Great story great acting very good</v>
      </c>
      <c r="D5445" s="5"/>
      <c r="E5445" s="5"/>
      <c r="F5445" s="5"/>
      <c r="G5445" s="5"/>
      <c r="H5445" s="5"/>
      <c r="I5445" s="5"/>
      <c r="J5445" s="5"/>
      <c r="K5445" s="5"/>
      <c r="L5445" s="5"/>
      <c r="M5445" s="5"/>
      <c r="N5445" s="5"/>
      <c r="O5445" s="5"/>
      <c r="P5445" s="5"/>
      <c r="Q5445" s="5"/>
      <c r="R5445" s="5"/>
      <c r="S5445" s="5"/>
      <c r="T5445" s="5"/>
      <c r="U5445" s="5"/>
      <c r="V5445" s="5"/>
      <c r="W5445" s="5"/>
      <c r="X5445" s="5"/>
      <c r="Y5445" s="5"/>
      <c r="Z5445" s="5"/>
    </row>
    <row r="5446" spans="1:26" ht="15" x14ac:dyDescent="0.25">
      <c r="A5446" s="4" t="s">
        <v>5444</v>
      </c>
      <c r="B5446" s="4" t="s">
        <v>4550</v>
      </c>
      <c r="C5446" s="2" t="str">
        <f ca="1">IFERROR(__xludf.DUMMYFUNCTION("GOOGLETRANSLATE(A5446,""bn"",""en"")"),"Did the flop happen like that?")</f>
        <v>Did the flop happen like that?</v>
      </c>
      <c r="D5446" s="5"/>
      <c r="E5446" s="5"/>
      <c r="F5446" s="5"/>
      <c r="G5446" s="5"/>
      <c r="H5446" s="5"/>
      <c r="I5446" s="5"/>
      <c r="J5446" s="5"/>
      <c r="K5446" s="5"/>
      <c r="L5446" s="5"/>
      <c r="M5446" s="5"/>
      <c r="N5446" s="5"/>
      <c r="O5446" s="5"/>
      <c r="P5446" s="5"/>
      <c r="Q5446" s="5"/>
      <c r="R5446" s="5"/>
      <c r="S5446" s="5"/>
      <c r="T5446" s="5"/>
      <c r="U5446" s="5"/>
      <c r="V5446" s="5"/>
      <c r="W5446" s="5"/>
      <c r="X5446" s="5"/>
      <c r="Y5446" s="5"/>
      <c r="Z5446" s="5"/>
    </row>
    <row r="5447" spans="1:26" ht="15" x14ac:dyDescent="0.25">
      <c r="A5447" s="4" t="s">
        <v>5445</v>
      </c>
      <c r="B5447" s="4" t="s">
        <v>4550</v>
      </c>
      <c r="C5447" s="2" t="str">
        <f ca="1">IFERROR(__xludf.DUMMYFUNCTION("GOOGLETRANSLATE(A5447,""bn"",""en"")"),"The reality was brought out through extraordinary acting")</f>
        <v>The reality was brought out through extraordinary acting</v>
      </c>
      <c r="D5447" s="5"/>
      <c r="E5447" s="5"/>
      <c r="F5447" s="5"/>
      <c r="G5447" s="5"/>
      <c r="H5447" s="5"/>
      <c r="I5447" s="5"/>
      <c r="J5447" s="5"/>
      <c r="K5447" s="5"/>
      <c r="L5447" s="5"/>
      <c r="M5447" s="5"/>
      <c r="N5447" s="5"/>
      <c r="O5447" s="5"/>
      <c r="P5447" s="5"/>
      <c r="Q5447" s="5"/>
      <c r="R5447" s="5"/>
      <c r="S5447" s="5"/>
      <c r="T5447" s="5"/>
      <c r="U5447" s="5"/>
      <c r="V5447" s="5"/>
      <c r="W5447" s="5"/>
      <c r="X5447" s="5"/>
      <c r="Y5447" s="5"/>
      <c r="Z5447" s="5"/>
    </row>
    <row r="5448" spans="1:26" ht="15" x14ac:dyDescent="0.25">
      <c r="A5448" s="4" t="s">
        <v>5446</v>
      </c>
      <c r="B5448" s="4" t="s">
        <v>4550</v>
      </c>
      <c r="C5448" s="2" t="str">
        <f ca="1">IFERROR(__xludf.DUMMYFUNCTION("GOOGLETRANSLATE(A5448,""bn"",""en"")"),"What was the main attraction of Jilipi 2.5 Patch was its audio glitches, overall it would have been better.")</f>
        <v>What was the main attraction of Jilipi 2.5 Patch was its audio glitches, overall it would have been better.</v>
      </c>
      <c r="D5448" s="5"/>
      <c r="E5448" s="5"/>
      <c r="F5448" s="5"/>
      <c r="G5448" s="5"/>
      <c r="H5448" s="5"/>
      <c r="I5448" s="5"/>
      <c r="J5448" s="5"/>
      <c r="K5448" s="5"/>
      <c r="L5448" s="5"/>
      <c r="M5448" s="5"/>
      <c r="N5448" s="5"/>
      <c r="O5448" s="5"/>
      <c r="P5448" s="5"/>
      <c r="Q5448" s="5"/>
      <c r="R5448" s="5"/>
      <c r="S5448" s="5"/>
      <c r="T5448" s="5"/>
      <c r="U5448" s="5"/>
      <c r="V5448" s="5"/>
      <c r="W5448" s="5"/>
      <c r="X5448" s="5"/>
      <c r="Y5448" s="5"/>
      <c r="Z5448" s="5"/>
    </row>
    <row r="5449" spans="1:26" ht="15" x14ac:dyDescent="0.25">
      <c r="A5449" s="4" t="s">
        <v>5447</v>
      </c>
      <c r="B5449" s="4" t="s">
        <v>4550</v>
      </c>
      <c r="C5449" s="2" t="str">
        <f ca="1">IFERROR(__xludf.DUMMYFUNCTION("GOOGLETRANSLATE(A5449,""bn"",""en"")"),"Srilekha was an old witch")</f>
        <v>Srilekha was an old witch</v>
      </c>
      <c r="D5449" s="5"/>
      <c r="E5449" s="5"/>
      <c r="F5449" s="5"/>
      <c r="G5449" s="5"/>
      <c r="H5449" s="5"/>
      <c r="I5449" s="5"/>
      <c r="J5449" s="5"/>
      <c r="K5449" s="5"/>
      <c r="L5449" s="5"/>
      <c r="M5449" s="5"/>
      <c r="N5449" s="5"/>
      <c r="O5449" s="5"/>
      <c r="P5449" s="5"/>
      <c r="Q5449" s="5"/>
      <c r="R5449" s="5"/>
      <c r="S5449" s="5"/>
      <c r="T5449" s="5"/>
      <c r="U5449" s="5"/>
      <c r="V5449" s="5"/>
      <c r="W5449" s="5"/>
      <c r="X5449" s="5"/>
      <c r="Y5449" s="5"/>
      <c r="Z5449" s="5"/>
    </row>
    <row r="5450" spans="1:26" ht="15" x14ac:dyDescent="0.25">
      <c r="A5450" s="4" t="s">
        <v>5448</v>
      </c>
      <c r="B5450" s="4" t="s">
        <v>4550</v>
      </c>
      <c r="C5450" s="2" t="str">
        <f ca="1">IFERROR(__xludf.DUMMYFUNCTION("GOOGLETRANSLATE(A5450,""bn"",""en"")"),"How could people spend money to make such rubbish pictures")</f>
        <v>How could people spend money to make such rubbish pictures</v>
      </c>
      <c r="D5450" s="5"/>
      <c r="E5450" s="5"/>
      <c r="F5450" s="5"/>
      <c r="G5450" s="5"/>
      <c r="H5450" s="5"/>
      <c r="I5450" s="5"/>
      <c r="J5450" s="5"/>
      <c r="K5450" s="5"/>
      <c r="L5450" s="5"/>
      <c r="M5450" s="5"/>
      <c r="N5450" s="5"/>
      <c r="O5450" s="5"/>
      <c r="P5450" s="5"/>
      <c r="Q5450" s="5"/>
      <c r="R5450" s="5"/>
      <c r="S5450" s="5"/>
      <c r="T5450" s="5"/>
      <c r="U5450" s="5"/>
      <c r="V5450" s="5"/>
      <c r="W5450" s="5"/>
      <c r="X5450" s="5"/>
      <c r="Y5450" s="5"/>
      <c r="Z5450" s="5"/>
    </row>
    <row r="5451" spans="1:26" ht="15" x14ac:dyDescent="0.25">
      <c r="A5451" s="4" t="s">
        <v>5449</v>
      </c>
      <c r="B5451" s="4" t="s">
        <v>4550</v>
      </c>
      <c r="C5451" s="2" t="str">
        <f ca="1">IFERROR(__xludf.DUMMYFUNCTION("GOOGLETRANSLATE(A5451,""bn"",""en"")"),"It was a wonderful picture Salman Shah Bhai and Shabnoor Apu's Jooty was the best Jooty ever")</f>
        <v>It was a wonderful picture Salman Shah Bhai and Shabnoor Apu's Jooty was the best Jooty ever</v>
      </c>
      <c r="D5451" s="5"/>
      <c r="E5451" s="5"/>
      <c r="F5451" s="5"/>
      <c r="G5451" s="5"/>
      <c r="H5451" s="5"/>
      <c r="I5451" s="5"/>
      <c r="J5451" s="5"/>
      <c r="K5451" s="5"/>
      <c r="L5451" s="5"/>
      <c r="M5451" s="5"/>
      <c r="N5451" s="5"/>
      <c r="O5451" s="5"/>
      <c r="P5451" s="5"/>
      <c r="Q5451" s="5"/>
      <c r="R5451" s="5"/>
      <c r="S5451" s="5"/>
      <c r="T5451" s="5"/>
      <c r="U5451" s="5"/>
      <c r="V5451" s="5"/>
      <c r="W5451" s="5"/>
      <c r="X5451" s="5"/>
      <c r="Y5451" s="5"/>
      <c r="Z5451" s="5"/>
    </row>
    <row r="5452" spans="1:26" ht="15" x14ac:dyDescent="0.25">
      <c r="A5452" s="4" t="s">
        <v>5450</v>
      </c>
      <c r="B5452" s="4" t="s">
        <v>4550</v>
      </c>
      <c r="C5452" s="2" t="str">
        <f ca="1">IFERROR(__xludf.DUMMYFUNCTION("GOOGLETRANSLATE(A5452,""bn"",""en"")"),"There was no other movie like this on earth")</f>
        <v>There was no other movie like this on earth</v>
      </c>
      <c r="D5452" s="5"/>
      <c r="E5452" s="5"/>
      <c r="F5452" s="5"/>
      <c r="G5452" s="5"/>
      <c r="H5452" s="5"/>
      <c r="I5452" s="5"/>
      <c r="J5452" s="5"/>
      <c r="K5452" s="5"/>
      <c r="L5452" s="5"/>
      <c r="M5452" s="5"/>
      <c r="N5452" s="5"/>
      <c r="O5452" s="5"/>
      <c r="P5452" s="5"/>
      <c r="Q5452" s="5"/>
      <c r="R5452" s="5"/>
      <c r="S5452" s="5"/>
      <c r="T5452" s="5"/>
      <c r="U5452" s="5"/>
      <c r="V5452" s="5"/>
      <c r="W5452" s="5"/>
      <c r="X5452" s="5"/>
      <c r="Y5452" s="5"/>
      <c r="Z5452" s="5"/>
    </row>
    <row r="5453" spans="1:26" ht="15" x14ac:dyDescent="0.25">
      <c r="A5453" s="4" t="s">
        <v>5451</v>
      </c>
      <c r="B5453" s="4" t="s">
        <v>4550</v>
      </c>
      <c r="C5453" s="2" t="str">
        <f ca="1">IFERROR(__xludf.DUMMYFUNCTION("GOOGLETRANSLATE(A5453,""bn"",""en"")"),"The note that the fruit withered before it ripened and the tree died prematurely was disturbing to the boy")</f>
        <v>The note that the fruit withered before it ripened and the tree died prematurely was disturbing to the boy</v>
      </c>
      <c r="D5453" s="5"/>
      <c r="E5453" s="5"/>
      <c r="F5453" s="5"/>
      <c r="G5453" s="5"/>
      <c r="H5453" s="5"/>
      <c r="I5453" s="5"/>
      <c r="J5453" s="5"/>
      <c r="K5453" s="5"/>
      <c r="L5453" s="5"/>
      <c r="M5453" s="5"/>
      <c r="N5453" s="5"/>
      <c r="O5453" s="5"/>
      <c r="P5453" s="5"/>
      <c r="Q5453" s="5"/>
      <c r="R5453" s="5"/>
      <c r="S5453" s="5"/>
      <c r="T5453" s="5"/>
      <c r="U5453" s="5"/>
      <c r="V5453" s="5"/>
      <c r="W5453" s="5"/>
      <c r="X5453" s="5"/>
      <c r="Y5453" s="5"/>
      <c r="Z5453" s="5"/>
    </row>
    <row r="5454" spans="1:26" ht="15" x14ac:dyDescent="0.25">
      <c r="A5454" s="4" t="s">
        <v>5452</v>
      </c>
      <c r="B5454" s="4" t="s">
        <v>4550</v>
      </c>
      <c r="C5454" s="2" t="str">
        <f ca="1">IFERROR(__xludf.DUMMYFUNCTION("GOOGLETRANSLATE(A5454,""bn"",""en"")"),"The picture was amazing so I liked it")</f>
        <v>The picture was amazing so I liked it</v>
      </c>
      <c r="D5454" s="5"/>
      <c r="E5454" s="5"/>
      <c r="F5454" s="5"/>
      <c r="G5454" s="5"/>
      <c r="H5454" s="5"/>
      <c r="I5454" s="5"/>
      <c r="J5454" s="5"/>
      <c r="K5454" s="5"/>
      <c r="L5454" s="5"/>
      <c r="M5454" s="5"/>
      <c r="N5454" s="5"/>
      <c r="O5454" s="5"/>
      <c r="P5454" s="5"/>
      <c r="Q5454" s="5"/>
      <c r="R5454" s="5"/>
      <c r="S5454" s="5"/>
      <c r="T5454" s="5"/>
      <c r="U5454" s="5"/>
      <c r="V5454" s="5"/>
      <c r="W5454" s="5"/>
      <c r="X5454" s="5"/>
      <c r="Y5454" s="5"/>
      <c r="Z5454" s="5"/>
    </row>
    <row r="5455" spans="1:26" ht="15" x14ac:dyDescent="0.25">
      <c r="A5455" s="4" t="s">
        <v>5453</v>
      </c>
      <c r="B5455" s="4" t="s">
        <v>4550</v>
      </c>
      <c r="C5455" s="2" t="str">
        <f ca="1">IFERROR(__xludf.DUMMYFUNCTION("GOOGLETRANSLATE(A5455,""bn"",""en"")"),"Stomach ached from laughing")</f>
        <v>Stomach ached from laughing</v>
      </c>
      <c r="D5455" s="5"/>
      <c r="E5455" s="5"/>
      <c r="F5455" s="5"/>
      <c r="G5455" s="5"/>
      <c r="H5455" s="5"/>
      <c r="I5455" s="5"/>
      <c r="J5455" s="5"/>
      <c r="K5455" s="5"/>
      <c r="L5455" s="5"/>
      <c r="M5455" s="5"/>
      <c r="N5455" s="5"/>
      <c r="O5455" s="5"/>
      <c r="P5455" s="5"/>
      <c r="Q5455" s="5"/>
      <c r="R5455" s="5"/>
      <c r="S5455" s="5"/>
      <c r="T5455" s="5"/>
      <c r="U5455" s="5"/>
      <c r="V5455" s="5"/>
      <c r="W5455" s="5"/>
      <c r="X5455" s="5"/>
      <c r="Y5455" s="5"/>
      <c r="Z5455" s="5"/>
    </row>
    <row r="5456" spans="1:26" ht="15" x14ac:dyDescent="0.25">
      <c r="A5456" s="4" t="s">
        <v>5454</v>
      </c>
      <c r="B5456" s="4" t="s">
        <v>4550</v>
      </c>
      <c r="C5456" s="2" t="str">
        <f ca="1">IFERROR(__xludf.DUMMYFUNCTION("GOOGLETRANSLATE(A5456,""bn"",""en"")"),"Such movies were reported by hundreds of thousands")</f>
        <v>Such movies were reported by hundreds of thousands</v>
      </c>
      <c r="D5456" s="5"/>
      <c r="E5456" s="5"/>
      <c r="F5456" s="5"/>
      <c r="G5456" s="5"/>
      <c r="H5456" s="5"/>
      <c r="I5456" s="5"/>
      <c r="J5456" s="5"/>
      <c r="K5456" s="5"/>
      <c r="L5456" s="5"/>
      <c r="M5456" s="5"/>
      <c r="N5456" s="5"/>
      <c r="O5456" s="5"/>
      <c r="P5456" s="5"/>
      <c r="Q5456" s="5"/>
      <c r="R5456" s="5"/>
      <c r="S5456" s="5"/>
      <c r="T5456" s="5"/>
      <c r="U5456" s="5"/>
      <c r="V5456" s="5"/>
      <c r="W5456" s="5"/>
      <c r="X5456" s="5"/>
      <c r="Y5456" s="5"/>
      <c r="Z5456" s="5"/>
    </row>
    <row r="5457" spans="1:26" ht="15" x14ac:dyDescent="0.25">
      <c r="A5457" s="4" t="s">
        <v>5455</v>
      </c>
      <c r="B5457" s="4" t="s">
        <v>4550</v>
      </c>
      <c r="C5457" s="2" t="str">
        <f ca="1">IFERROR(__xludf.DUMMYFUNCTION("GOOGLETRANSLATE(A5457,""bn"",""en"")"),"The film was much more beautiful, now there is no more words like Puran Chaole Bate, thank you director.")</f>
        <v>The film was much more beautiful, now there is no more words like Puran Chaole Bate, thank you director.</v>
      </c>
      <c r="D5457" s="5"/>
      <c r="E5457" s="5"/>
      <c r="F5457" s="5"/>
      <c r="G5457" s="5"/>
      <c r="H5457" s="5"/>
      <c r="I5457" s="5"/>
      <c r="J5457" s="5"/>
      <c r="K5457" s="5"/>
      <c r="L5457" s="5"/>
      <c r="M5457" s="5"/>
      <c r="N5457" s="5"/>
      <c r="O5457" s="5"/>
      <c r="P5457" s="5"/>
      <c r="Q5457" s="5"/>
      <c r="R5457" s="5"/>
      <c r="S5457" s="5"/>
      <c r="T5457" s="5"/>
      <c r="U5457" s="5"/>
      <c r="V5457" s="5"/>
      <c r="W5457" s="5"/>
      <c r="X5457" s="5"/>
      <c r="Y5457" s="5"/>
      <c r="Z5457" s="5"/>
    </row>
    <row r="5458" spans="1:26" ht="15" x14ac:dyDescent="0.25">
      <c r="A5458" s="4" t="s">
        <v>5456</v>
      </c>
      <c r="B5458" s="4" t="s">
        <v>4550</v>
      </c>
      <c r="C5458" s="2" t="str">
        <f ca="1">IFERROR(__xludf.DUMMYFUNCTION("GOOGLETRANSLATE(A5458,""bn"",""en"")"),"It was Shaswat Babu's misfortune that he was born in this Bengal otherwise the directors here would not have been able to use him properly except for a few but he would have been tested in all kinds of roles from hero to villain to comedy to comedy.")</f>
        <v>It was Shaswat Babu's misfortune that he was born in this Bengal otherwise the directors here would not have been able to use him properly except for a few but he would have been tested in all kinds of roles from hero to villain to comedy to comedy.</v>
      </c>
      <c r="D5458" s="5"/>
      <c r="E5458" s="5"/>
      <c r="F5458" s="5"/>
      <c r="G5458" s="5"/>
      <c r="H5458" s="5"/>
      <c r="I5458" s="5"/>
      <c r="J5458" s="5"/>
      <c r="K5458" s="5"/>
      <c r="L5458" s="5"/>
      <c r="M5458" s="5"/>
      <c r="N5458" s="5"/>
      <c r="O5458" s="5"/>
      <c r="P5458" s="5"/>
      <c r="Q5458" s="5"/>
      <c r="R5458" s="5"/>
      <c r="S5458" s="5"/>
      <c r="T5458" s="5"/>
      <c r="U5458" s="5"/>
      <c r="V5458" s="5"/>
      <c r="W5458" s="5"/>
      <c r="X5458" s="5"/>
      <c r="Y5458" s="5"/>
      <c r="Z5458" s="5"/>
    </row>
    <row r="5459" spans="1:26" ht="15" x14ac:dyDescent="0.25">
      <c r="A5459" s="4" t="s">
        <v>5457</v>
      </c>
      <c r="B5459" s="4" t="s">
        <v>4550</v>
      </c>
      <c r="C5459" s="2" t="str">
        <f ca="1">IFERROR(__xludf.DUMMYFUNCTION("GOOGLETRANSLATE(A5459,""bn"",""en"")"),"There was a nonsense like the wind")</f>
        <v>There was a nonsense like the wind</v>
      </c>
      <c r="D5459" s="5"/>
      <c r="E5459" s="5"/>
      <c r="F5459" s="5"/>
      <c r="G5459" s="5"/>
      <c r="H5459" s="5"/>
      <c r="I5459" s="5"/>
      <c r="J5459" s="5"/>
      <c r="K5459" s="5"/>
      <c r="L5459" s="5"/>
      <c r="M5459" s="5"/>
      <c r="N5459" s="5"/>
      <c r="O5459" s="5"/>
      <c r="P5459" s="5"/>
      <c r="Q5459" s="5"/>
      <c r="R5459" s="5"/>
      <c r="S5459" s="5"/>
      <c r="T5459" s="5"/>
      <c r="U5459" s="5"/>
      <c r="V5459" s="5"/>
      <c r="W5459" s="5"/>
      <c r="X5459" s="5"/>
      <c r="Y5459" s="5"/>
      <c r="Z5459" s="5"/>
    </row>
    <row r="5460" spans="1:26" ht="15" x14ac:dyDescent="0.25">
      <c r="A5460" s="4" t="s">
        <v>5458</v>
      </c>
      <c r="B5460" s="4" t="s">
        <v>4550</v>
      </c>
      <c r="C5460" s="2" t="str">
        <f ca="1">IFERROR(__xludf.DUMMYFUNCTION("GOOGLETRANSLATE(A5460,""bn"",""en"")"),"Babita Farooq Shabnoor Ferdous both Ghar Jamai pictures were beautiful")</f>
        <v>Babita Farooq Shabnoor Ferdous both Ghar Jamai pictures were beautiful</v>
      </c>
      <c r="D5460" s="5"/>
      <c r="E5460" s="5"/>
      <c r="F5460" s="5"/>
      <c r="G5460" s="5"/>
      <c r="H5460" s="5"/>
      <c r="I5460" s="5"/>
      <c r="J5460" s="5"/>
      <c r="K5460" s="5"/>
      <c r="L5460" s="5"/>
      <c r="M5460" s="5"/>
      <c r="N5460" s="5"/>
      <c r="O5460" s="5"/>
      <c r="P5460" s="5"/>
      <c r="Q5460" s="5"/>
      <c r="R5460" s="5"/>
      <c r="S5460" s="5"/>
      <c r="T5460" s="5"/>
      <c r="U5460" s="5"/>
      <c r="V5460" s="5"/>
      <c r="W5460" s="5"/>
      <c r="X5460" s="5"/>
      <c r="Y5460" s="5"/>
      <c r="Z5460" s="5"/>
    </row>
    <row r="5461" spans="1:26" ht="15" x14ac:dyDescent="0.25">
      <c r="A5461" s="4" t="s">
        <v>5459</v>
      </c>
      <c r="B5461" s="4" t="s">
        <v>4550</v>
      </c>
      <c r="C5461" s="2" t="str">
        <f ca="1">IFERROR(__xludf.DUMMYFUNCTION("GOOGLETRANSLATE(A5461,""bn"",""en"")"),"Should have been more accommodating")</f>
        <v>Should have been more accommodating</v>
      </c>
      <c r="D5461" s="5"/>
      <c r="E5461" s="5"/>
      <c r="F5461" s="5"/>
      <c r="G5461" s="5"/>
      <c r="H5461" s="5"/>
      <c r="I5461" s="5"/>
      <c r="J5461" s="5"/>
      <c r="K5461" s="5"/>
      <c r="L5461" s="5"/>
      <c r="M5461" s="5"/>
      <c r="N5461" s="5"/>
      <c r="O5461" s="5"/>
      <c r="P5461" s="5"/>
      <c r="Q5461" s="5"/>
      <c r="R5461" s="5"/>
      <c r="S5461" s="5"/>
      <c r="T5461" s="5"/>
      <c r="U5461" s="5"/>
      <c r="V5461" s="5"/>
      <c r="W5461" s="5"/>
      <c r="X5461" s="5"/>
      <c r="Y5461" s="5"/>
      <c r="Z5461" s="5"/>
    </row>
    <row r="5462" spans="1:26" ht="15" x14ac:dyDescent="0.25">
      <c r="A5462" s="4" t="s">
        <v>5460</v>
      </c>
      <c r="B5462" s="4" t="s">
        <v>4550</v>
      </c>
      <c r="C5462" s="2" t="str">
        <f ca="1">IFERROR(__xludf.DUMMYFUNCTION("GOOGLETRANSLATE(A5462,""bn"",""en"")"),"I had high hopes for the movie and was disappointed")</f>
        <v>I had high hopes for the movie and was disappointed</v>
      </c>
      <c r="D5462" s="5"/>
      <c r="E5462" s="5"/>
      <c r="F5462" s="5"/>
      <c r="G5462" s="5"/>
      <c r="H5462" s="5"/>
      <c r="I5462" s="5"/>
      <c r="J5462" s="5"/>
      <c r="K5462" s="5"/>
      <c r="L5462" s="5"/>
      <c r="M5462" s="5"/>
      <c r="N5462" s="5"/>
      <c r="O5462" s="5"/>
      <c r="P5462" s="5"/>
      <c r="Q5462" s="5"/>
      <c r="R5462" s="5"/>
      <c r="S5462" s="5"/>
      <c r="T5462" s="5"/>
      <c r="U5462" s="5"/>
      <c r="V5462" s="5"/>
      <c r="W5462" s="5"/>
      <c r="X5462" s="5"/>
      <c r="Y5462" s="5"/>
      <c r="Z5462" s="5"/>
    </row>
    <row r="5463" spans="1:26" ht="15" x14ac:dyDescent="0.25">
      <c r="A5463" s="4" t="s">
        <v>5461</v>
      </c>
      <c r="B5463" s="4" t="s">
        <v>4550</v>
      </c>
      <c r="C5463" s="2" t="str">
        <f ca="1">IFERROR(__xludf.DUMMYFUNCTION("GOOGLETRANSLATE(A5463,""bn"",""en"")"),"It was very nice to see another Suchitra Sen among Raima Sen")</f>
        <v>It was very nice to see another Suchitra Sen among Raima Sen</v>
      </c>
      <c r="D5463" s="5"/>
      <c r="E5463" s="5"/>
      <c r="F5463" s="5"/>
      <c r="G5463" s="5"/>
      <c r="H5463" s="5"/>
      <c r="I5463" s="5"/>
      <c r="J5463" s="5"/>
      <c r="K5463" s="5"/>
      <c r="L5463" s="5"/>
      <c r="M5463" s="5"/>
      <c r="N5463" s="5"/>
      <c r="O5463" s="5"/>
      <c r="P5463" s="5"/>
      <c r="Q5463" s="5"/>
      <c r="R5463" s="5"/>
      <c r="S5463" s="5"/>
      <c r="T5463" s="5"/>
      <c r="U5463" s="5"/>
      <c r="V5463" s="5"/>
      <c r="W5463" s="5"/>
      <c r="X5463" s="5"/>
      <c r="Y5463" s="5"/>
      <c r="Z5463" s="5"/>
    </row>
    <row r="5464" spans="1:26" ht="15" x14ac:dyDescent="0.25">
      <c r="A5464" s="4" t="s">
        <v>5462</v>
      </c>
      <c r="B5464" s="4" t="s">
        <v>4550</v>
      </c>
      <c r="C5464" s="2" t="str">
        <f ca="1">IFERROR(__xludf.DUMMYFUNCTION("GOOGLETRANSLATE(A5464,""bn"",""en"")"),"I couldn't stop laughing when I saw my brother")</f>
        <v>I couldn't stop laughing when I saw my brother</v>
      </c>
      <c r="D5464" s="5"/>
      <c r="E5464" s="5"/>
      <c r="F5464" s="5"/>
      <c r="G5464" s="5"/>
      <c r="H5464" s="5"/>
      <c r="I5464" s="5"/>
      <c r="J5464" s="5"/>
      <c r="K5464" s="5"/>
      <c r="L5464" s="5"/>
      <c r="M5464" s="5"/>
      <c r="N5464" s="5"/>
      <c r="O5464" s="5"/>
      <c r="P5464" s="5"/>
      <c r="Q5464" s="5"/>
      <c r="R5464" s="5"/>
      <c r="S5464" s="5"/>
      <c r="T5464" s="5"/>
      <c r="U5464" s="5"/>
      <c r="V5464" s="5"/>
      <c r="W5464" s="5"/>
      <c r="X5464" s="5"/>
      <c r="Y5464" s="5"/>
      <c r="Z5464" s="5"/>
    </row>
    <row r="5465" spans="1:26" ht="15" x14ac:dyDescent="0.25">
      <c r="A5465" s="4" t="s">
        <v>5463</v>
      </c>
      <c r="B5465" s="4" t="s">
        <v>4550</v>
      </c>
      <c r="C5465" s="2" t="str">
        <f ca="1">IFERROR(__xludf.DUMMYFUNCTION("GOOGLETRANSLATE(A5465,""bn"",""en"")"),"Junior was basically a movie with bad script and cheap acting spin off from various Hollywood spy movies")</f>
        <v>Junior was basically a movie with bad script and cheap acting spin off from various Hollywood spy movies</v>
      </c>
      <c r="D5465" s="5"/>
      <c r="E5465" s="5"/>
      <c r="F5465" s="5"/>
      <c r="G5465" s="5"/>
      <c r="H5465" s="5"/>
      <c r="I5465" s="5"/>
      <c r="J5465" s="5"/>
      <c r="K5465" s="5"/>
      <c r="L5465" s="5"/>
      <c r="M5465" s="5"/>
      <c r="N5465" s="5"/>
      <c r="O5465" s="5"/>
      <c r="P5465" s="5"/>
      <c r="Q5465" s="5"/>
      <c r="R5465" s="5"/>
      <c r="S5465" s="5"/>
      <c r="T5465" s="5"/>
      <c r="U5465" s="5"/>
      <c r="V5465" s="5"/>
      <c r="W5465" s="5"/>
      <c r="X5465" s="5"/>
      <c r="Y5465" s="5"/>
      <c r="Z5465" s="5"/>
    </row>
    <row r="5466" spans="1:26" ht="15" x14ac:dyDescent="0.25">
      <c r="A5466" s="4" t="s">
        <v>5464</v>
      </c>
      <c r="B5466" s="4" t="s">
        <v>4550</v>
      </c>
      <c r="C5466" s="2" t="str">
        <f ca="1">IFERROR(__xludf.DUMMYFUNCTION("GOOGLETRANSLATE(A5466,""bn"",""en"")"),"I saw a beautiful movie to watch with the whole family, and my heart was full")</f>
        <v>I saw a beautiful movie to watch with the whole family, and my heart was full</v>
      </c>
      <c r="D5466" s="5"/>
      <c r="E5466" s="5"/>
      <c r="F5466" s="5"/>
      <c r="G5466" s="5"/>
      <c r="H5466" s="5"/>
      <c r="I5466" s="5"/>
      <c r="J5466" s="5"/>
      <c r="K5466" s="5"/>
      <c r="L5466" s="5"/>
      <c r="M5466" s="5"/>
      <c r="N5466" s="5"/>
      <c r="O5466" s="5"/>
      <c r="P5466" s="5"/>
      <c r="Q5466" s="5"/>
      <c r="R5466" s="5"/>
      <c r="S5466" s="5"/>
      <c r="T5466" s="5"/>
      <c r="U5466" s="5"/>
      <c r="V5466" s="5"/>
      <c r="W5466" s="5"/>
      <c r="X5466" s="5"/>
      <c r="Y5466" s="5"/>
      <c r="Z5466" s="5"/>
    </row>
    <row r="5467" spans="1:26" ht="15" x14ac:dyDescent="0.25">
      <c r="A5467" s="4" t="s">
        <v>5465</v>
      </c>
      <c r="B5467" s="4" t="s">
        <v>4550</v>
      </c>
      <c r="C5467" s="2" t="str">
        <f ca="1">IFERROR(__xludf.DUMMYFUNCTION("GOOGLETRANSLATE(A5467,""bn"",""en"")"),"There was no juice in the movie")</f>
        <v>There was no juice in the movie</v>
      </c>
      <c r="D5467" s="5"/>
      <c r="E5467" s="5"/>
      <c r="F5467" s="5"/>
      <c r="G5467" s="5"/>
      <c r="H5467" s="5"/>
      <c r="I5467" s="5"/>
      <c r="J5467" s="5"/>
      <c r="K5467" s="5"/>
      <c r="L5467" s="5"/>
      <c r="M5467" s="5"/>
      <c r="N5467" s="5"/>
      <c r="O5467" s="5"/>
      <c r="P5467" s="5"/>
      <c r="Q5467" s="5"/>
      <c r="R5467" s="5"/>
      <c r="S5467" s="5"/>
      <c r="T5467" s="5"/>
      <c r="U5467" s="5"/>
      <c r="V5467" s="5"/>
      <c r="W5467" s="5"/>
      <c r="X5467" s="5"/>
      <c r="Y5467" s="5"/>
      <c r="Z5467" s="5"/>
    </row>
    <row r="5468" spans="1:26" ht="15" x14ac:dyDescent="0.25">
      <c r="A5468" s="4" t="s">
        <v>5466</v>
      </c>
      <c r="B5468" s="4" t="s">
        <v>4550</v>
      </c>
      <c r="C5468" s="2" t="str">
        <f ca="1">IFERROR(__xludf.DUMMYFUNCTION("GOOGLETRANSLATE(A5468,""bn"",""en"")"),"There was no acting skills")</f>
        <v>There was no acting skills</v>
      </c>
      <c r="D5468" s="5"/>
      <c r="E5468" s="5"/>
      <c r="F5468" s="5"/>
      <c r="G5468" s="5"/>
      <c r="H5468" s="5"/>
      <c r="I5468" s="5"/>
      <c r="J5468" s="5"/>
      <c r="K5468" s="5"/>
      <c r="L5468" s="5"/>
      <c r="M5468" s="5"/>
      <c r="N5468" s="5"/>
      <c r="O5468" s="5"/>
      <c r="P5468" s="5"/>
      <c r="Q5468" s="5"/>
      <c r="R5468" s="5"/>
      <c r="S5468" s="5"/>
      <c r="T5468" s="5"/>
      <c r="U5468" s="5"/>
      <c r="V5468" s="5"/>
      <c r="W5468" s="5"/>
      <c r="X5468" s="5"/>
      <c r="Y5468" s="5"/>
      <c r="Z5468" s="5"/>
    </row>
    <row r="5469" spans="1:26" ht="15" x14ac:dyDescent="0.25">
      <c r="A5469" s="4" t="s">
        <v>5467</v>
      </c>
      <c r="B5469" s="4" t="s">
        <v>4550</v>
      </c>
      <c r="C5469" s="2" t="str">
        <f ca="1">IFERROR(__xludf.DUMMYFUNCTION("GOOGLETRANSLATE(A5469,""bn"",""en"")"),"Every dialogue of the movie, every scene, every song was mixed in everything, childhood memories, emotions, how many events, how much more I remembered that era of CDs, I was surprised to see every crew of the movie, I wished them well from the bottom of "&amp;"my heart.")</f>
        <v>Every dialogue of the movie, every scene, every song was mixed in everything, childhood memories, emotions, how many events, how much more I remembered that era of CDs, I was surprised to see every crew of the movie, I wished them well from the bottom of my heart.</v>
      </c>
      <c r="D5469" s="5"/>
      <c r="E5469" s="5"/>
      <c r="F5469" s="5"/>
      <c r="G5469" s="5"/>
      <c r="H5469" s="5"/>
      <c r="I5469" s="5"/>
      <c r="J5469" s="5"/>
      <c r="K5469" s="5"/>
      <c r="L5469" s="5"/>
      <c r="M5469" s="5"/>
      <c r="N5469" s="5"/>
      <c r="O5469" s="5"/>
      <c r="P5469" s="5"/>
      <c r="Q5469" s="5"/>
      <c r="R5469" s="5"/>
      <c r="S5469" s="5"/>
      <c r="T5469" s="5"/>
      <c r="U5469" s="5"/>
      <c r="V5469" s="5"/>
      <c r="W5469" s="5"/>
      <c r="X5469" s="5"/>
      <c r="Y5469" s="5"/>
      <c r="Z5469" s="5"/>
    </row>
    <row r="5470" spans="1:26" ht="15" x14ac:dyDescent="0.25">
      <c r="A5470" s="4" t="s">
        <v>5468</v>
      </c>
      <c r="B5470" s="4" t="s">
        <v>4550</v>
      </c>
      <c r="C5470" s="2" t="str">
        <f ca="1">IFERROR(__xludf.DUMMYFUNCTION("GOOGLETRANSLATE(A5470,""bn"",""en"")"),"Moushumi should have been awarded the National Film Award for this performance. Outstanding actress Moushumi")</f>
        <v>Moushumi should have been awarded the National Film Award for this performance. Outstanding actress Moushumi</v>
      </c>
      <c r="D5470" s="5"/>
      <c r="E5470" s="5"/>
      <c r="F5470" s="5"/>
      <c r="G5470" s="5"/>
      <c r="H5470" s="5"/>
      <c r="I5470" s="5"/>
      <c r="J5470" s="5"/>
      <c r="K5470" s="5"/>
      <c r="L5470" s="5"/>
      <c r="M5470" s="5"/>
      <c r="N5470" s="5"/>
      <c r="O5470" s="5"/>
      <c r="P5470" s="5"/>
      <c r="Q5470" s="5"/>
      <c r="R5470" s="5"/>
      <c r="S5470" s="5"/>
      <c r="T5470" s="5"/>
      <c r="U5470" s="5"/>
      <c r="V5470" s="5"/>
      <c r="W5470" s="5"/>
      <c r="X5470" s="5"/>
      <c r="Y5470" s="5"/>
      <c r="Z5470" s="5"/>
    </row>
    <row r="5471" spans="1:26" ht="15" x14ac:dyDescent="0.25">
      <c r="A5471" s="4" t="s">
        <v>5469</v>
      </c>
      <c r="B5471" s="4" t="s">
        <v>4550</v>
      </c>
      <c r="C5471" s="2" t="str">
        <f ca="1">IFERROR(__xludf.DUMMYFUNCTION("GOOGLETRANSLATE(A5471,""bn"",""en"")"),"I watched the movie four times I liked Ranjit Mallik sir I used to love watching whose movies I used to watch everyday")</f>
        <v>I watched the movie four times I liked Ranjit Mallik sir I used to love watching whose movies I used to watch everyday</v>
      </c>
      <c r="D5471" s="5"/>
      <c r="E5471" s="5"/>
      <c r="F5471" s="5"/>
      <c r="G5471" s="5"/>
      <c r="H5471" s="5"/>
      <c r="I5471" s="5"/>
      <c r="J5471" s="5"/>
      <c r="K5471" s="5"/>
      <c r="L5471" s="5"/>
      <c r="M5471" s="5"/>
      <c r="N5471" s="5"/>
      <c r="O5471" s="5"/>
      <c r="P5471" s="5"/>
      <c r="Q5471" s="5"/>
      <c r="R5471" s="5"/>
      <c r="S5471" s="5"/>
      <c r="T5471" s="5"/>
      <c r="U5471" s="5"/>
      <c r="V5471" s="5"/>
      <c r="W5471" s="5"/>
      <c r="X5471" s="5"/>
      <c r="Y5471" s="5"/>
      <c r="Z5471" s="5"/>
    </row>
    <row r="5472" spans="1:26" ht="15" x14ac:dyDescent="0.25">
      <c r="A5472" s="4" t="s">
        <v>5470</v>
      </c>
      <c r="B5472" s="4" t="s">
        <v>4550</v>
      </c>
      <c r="C5472" s="2" t="str">
        <f ca="1">IFERROR(__xludf.DUMMYFUNCTION("GOOGLETRANSLATE(A5472,""bn"",""en"")"),"I thought the acting was very beautiful and touching")</f>
        <v>I thought the acting was very beautiful and touching</v>
      </c>
      <c r="D5472" s="5"/>
      <c r="E5472" s="5"/>
      <c r="F5472" s="5"/>
      <c r="G5472" s="5"/>
      <c r="H5472" s="5"/>
      <c r="I5472" s="5"/>
      <c r="J5472" s="5"/>
      <c r="K5472" s="5"/>
      <c r="L5472" s="5"/>
      <c r="M5472" s="5"/>
      <c r="N5472" s="5"/>
      <c r="O5472" s="5"/>
      <c r="P5472" s="5"/>
      <c r="Q5472" s="5"/>
      <c r="R5472" s="5"/>
      <c r="S5472" s="5"/>
      <c r="T5472" s="5"/>
      <c r="U5472" s="5"/>
      <c r="V5472" s="5"/>
      <c r="W5472" s="5"/>
      <c r="X5472" s="5"/>
      <c r="Y5472" s="5"/>
      <c r="Z5472" s="5"/>
    </row>
    <row r="5473" spans="1:26" ht="15" x14ac:dyDescent="0.25">
      <c r="A5473" s="4" t="s">
        <v>5471</v>
      </c>
      <c r="B5473" s="4" t="s">
        <v>4550</v>
      </c>
      <c r="C5473" s="2" t="str">
        <f ca="1">IFERROR(__xludf.DUMMYFUNCTION("GOOGLETRANSLATE(A5473,""bn"",""en"")"),"The director ended up laughing at the power of thought")</f>
        <v>The director ended up laughing at the power of thought</v>
      </c>
      <c r="D5473" s="5"/>
      <c r="E5473" s="5"/>
      <c r="F5473" s="5"/>
      <c r="G5473" s="5"/>
      <c r="H5473" s="5"/>
      <c r="I5473" s="5"/>
      <c r="J5473" s="5"/>
      <c r="K5473" s="5"/>
      <c r="L5473" s="5"/>
      <c r="M5473" s="5"/>
      <c r="N5473" s="5"/>
      <c r="O5473" s="5"/>
      <c r="P5473" s="5"/>
      <c r="Q5473" s="5"/>
      <c r="R5473" s="5"/>
      <c r="S5473" s="5"/>
      <c r="T5473" s="5"/>
      <c r="U5473" s="5"/>
      <c r="V5473" s="5"/>
      <c r="W5473" s="5"/>
      <c r="X5473" s="5"/>
      <c r="Y5473" s="5"/>
      <c r="Z5473" s="5"/>
    </row>
    <row r="5474" spans="1:26" ht="15" x14ac:dyDescent="0.25">
      <c r="A5474" s="4" t="s">
        <v>5472</v>
      </c>
      <c r="B5474" s="4" t="s">
        <v>4550</v>
      </c>
      <c r="C5474" s="2" t="str">
        <f ca="1">IFERROR(__xludf.DUMMYFUNCTION("GOOGLETRANSLATE(A5474,""bn"",""en"")"),"Shakib Khan's performance was excellent and Shabnoor's performance was also excellent")</f>
        <v>Shakib Khan's performance was excellent and Shabnoor's performance was also excellent</v>
      </c>
      <c r="D5474" s="5"/>
      <c r="E5474" s="5"/>
      <c r="F5474" s="5"/>
      <c r="G5474" s="5"/>
      <c r="H5474" s="5"/>
      <c r="I5474" s="5"/>
      <c r="J5474" s="5"/>
      <c r="K5474" s="5"/>
      <c r="L5474" s="5"/>
      <c r="M5474" s="5"/>
      <c r="N5474" s="5"/>
      <c r="O5474" s="5"/>
      <c r="P5474" s="5"/>
      <c r="Q5474" s="5"/>
      <c r="R5474" s="5"/>
      <c r="S5474" s="5"/>
      <c r="T5474" s="5"/>
      <c r="U5474" s="5"/>
      <c r="V5474" s="5"/>
      <c r="W5474" s="5"/>
      <c r="X5474" s="5"/>
      <c r="Y5474" s="5"/>
      <c r="Z5474" s="5"/>
    </row>
    <row r="5475" spans="1:26" ht="15" x14ac:dyDescent="0.25">
      <c r="A5475" s="4" t="s">
        <v>5473</v>
      </c>
      <c r="B5475" s="4" t="s">
        <v>4550</v>
      </c>
      <c r="C5475" s="2" t="str">
        <f ca="1">IFERROR(__xludf.DUMMYFUNCTION("GOOGLETRANSLATE(A5475,""bn"",""en"")"),"Contemporary like this actress was quite fluent")</f>
        <v>Contemporary like this actress was quite fluent</v>
      </c>
      <c r="D5475" s="5"/>
      <c r="E5475" s="5"/>
      <c r="F5475" s="5"/>
      <c r="G5475" s="5"/>
      <c r="H5475" s="5"/>
      <c r="I5475" s="5"/>
      <c r="J5475" s="5"/>
      <c r="K5475" s="5"/>
      <c r="L5475" s="5"/>
      <c r="M5475" s="5"/>
      <c r="N5475" s="5"/>
      <c r="O5475" s="5"/>
      <c r="P5475" s="5"/>
      <c r="Q5475" s="5"/>
      <c r="R5475" s="5"/>
      <c r="S5475" s="5"/>
      <c r="T5475" s="5"/>
      <c r="U5475" s="5"/>
      <c r="V5475" s="5"/>
      <c r="W5475" s="5"/>
      <c r="X5475" s="5"/>
      <c r="Y5475" s="5"/>
      <c r="Z5475" s="5"/>
    </row>
    <row r="5476" spans="1:26" ht="15" x14ac:dyDescent="0.25">
      <c r="A5476" s="4" t="s">
        <v>5474</v>
      </c>
      <c r="B5476" s="4" t="s">
        <v>4550</v>
      </c>
      <c r="C5476" s="2" t="str">
        <f ca="1">IFERROR(__xludf.DUMMYFUNCTION("GOOGLETRANSLATE(A5476,""bn"",""en"")"),"What a beautiful movie I watched this movie a few times but it was still heart touching this movie had amazing songs and romantic music touched the heart.")</f>
        <v>What a beautiful movie I watched this movie a few times but it was still heart touching this movie had amazing songs and romantic music touched the heart.</v>
      </c>
      <c r="D5476" s="5"/>
      <c r="E5476" s="5"/>
      <c r="F5476" s="5"/>
      <c r="G5476" s="5"/>
      <c r="H5476" s="5"/>
      <c r="I5476" s="5"/>
      <c r="J5476" s="5"/>
      <c r="K5476" s="5"/>
      <c r="L5476" s="5"/>
      <c r="M5476" s="5"/>
      <c r="N5476" s="5"/>
      <c r="O5476" s="5"/>
      <c r="P5476" s="5"/>
      <c r="Q5476" s="5"/>
      <c r="R5476" s="5"/>
      <c r="S5476" s="5"/>
      <c r="T5476" s="5"/>
      <c r="U5476" s="5"/>
      <c r="V5476" s="5"/>
      <c r="W5476" s="5"/>
      <c r="X5476" s="5"/>
      <c r="Y5476" s="5"/>
      <c r="Z5476" s="5"/>
    </row>
    <row r="5477" spans="1:26" ht="15" x14ac:dyDescent="0.25">
      <c r="A5477" s="4" t="s">
        <v>5475</v>
      </c>
      <c r="B5477" s="4" t="s">
        <v>4550</v>
      </c>
      <c r="C5477" s="2" t="str">
        <f ca="1">IFERROR(__xludf.DUMMYFUNCTION("GOOGLETRANSLATE(A5477,""bn"",""en"")"),"The director to whom I gave thousands of salutes for making such a film")</f>
        <v>The director to whom I gave thousands of salutes for making such a film</v>
      </c>
      <c r="D5477" s="5"/>
      <c r="E5477" s="5"/>
      <c r="F5477" s="5"/>
      <c r="G5477" s="5"/>
      <c r="H5477" s="5"/>
      <c r="I5477" s="5"/>
      <c r="J5477" s="5"/>
      <c r="K5477" s="5"/>
      <c r="L5477" s="5"/>
      <c r="M5477" s="5"/>
      <c r="N5477" s="5"/>
      <c r="O5477" s="5"/>
      <c r="P5477" s="5"/>
      <c r="Q5477" s="5"/>
      <c r="R5477" s="5"/>
      <c r="S5477" s="5"/>
      <c r="T5477" s="5"/>
      <c r="U5477" s="5"/>
      <c r="V5477" s="5"/>
      <c r="W5477" s="5"/>
      <c r="X5477" s="5"/>
      <c r="Y5477" s="5"/>
      <c r="Z5477" s="5"/>
    </row>
    <row r="5478" spans="1:26" ht="15" x14ac:dyDescent="0.25">
      <c r="A5478" s="4" t="s">
        <v>5476</v>
      </c>
      <c r="B5478" s="4" t="s">
        <v>4550</v>
      </c>
      <c r="C5478" s="2" t="str">
        <f ca="1">IFERROR(__xludf.DUMMYFUNCTION("GOOGLETRANSLATE(A5478,""bn"",""en"")"),"Maharani Moushumi of Bengali films was a wonderful Bengali wife with her acting unmatched")</f>
        <v>Maharani Moushumi of Bengali films was a wonderful Bengali wife with her acting unmatched</v>
      </c>
      <c r="D5478" s="5"/>
      <c r="E5478" s="5"/>
      <c r="F5478" s="5"/>
      <c r="G5478" s="5"/>
      <c r="H5478" s="5"/>
      <c r="I5478" s="5"/>
      <c r="J5478" s="5"/>
      <c r="K5478" s="5"/>
      <c r="L5478" s="5"/>
      <c r="M5478" s="5"/>
      <c r="N5478" s="5"/>
      <c r="O5478" s="5"/>
      <c r="P5478" s="5"/>
      <c r="Q5478" s="5"/>
      <c r="R5478" s="5"/>
      <c r="S5478" s="5"/>
      <c r="T5478" s="5"/>
      <c r="U5478" s="5"/>
      <c r="V5478" s="5"/>
      <c r="W5478" s="5"/>
      <c r="X5478" s="5"/>
      <c r="Y5478" s="5"/>
      <c r="Z5478" s="5"/>
    </row>
    <row r="5479" spans="1:26" ht="15" x14ac:dyDescent="0.25">
      <c r="A5479" s="4" t="s">
        <v>5477</v>
      </c>
      <c r="B5479" s="4" t="s">
        <v>4550</v>
      </c>
      <c r="C5479" s="2" t="str">
        <f ca="1">IFERROR(__xludf.DUMMYFUNCTION("GOOGLETRANSLATE(A5479,""bn"",""en"")"),"Whenever I saw Amma Jaan movie, it felt amazing at that time. Amma Jaan movie was the best movie ever in the history of Bangladesh")</f>
        <v>Whenever I saw Amma Jaan movie, it felt amazing at that time. Amma Jaan movie was the best movie ever in the history of Bangladesh</v>
      </c>
      <c r="D5479" s="5"/>
      <c r="E5479" s="5"/>
      <c r="F5479" s="5"/>
      <c r="G5479" s="5"/>
      <c r="H5479" s="5"/>
      <c r="I5479" s="5"/>
      <c r="J5479" s="5"/>
      <c r="K5479" s="5"/>
      <c r="L5479" s="5"/>
      <c r="M5479" s="5"/>
      <c r="N5479" s="5"/>
      <c r="O5479" s="5"/>
      <c r="P5479" s="5"/>
      <c r="Q5479" s="5"/>
      <c r="R5479" s="5"/>
      <c r="S5479" s="5"/>
      <c r="T5479" s="5"/>
      <c r="U5479" s="5"/>
      <c r="V5479" s="5"/>
      <c r="W5479" s="5"/>
      <c r="X5479" s="5"/>
      <c r="Y5479" s="5"/>
      <c r="Z5479" s="5"/>
    </row>
    <row r="5480" spans="1:26" ht="15" x14ac:dyDescent="0.25">
      <c r="A5480" s="4" t="s">
        <v>5478</v>
      </c>
      <c r="B5480" s="4" t="s">
        <v>4550</v>
      </c>
      <c r="C5480" s="2" t="str">
        <f ca="1">IFERROR(__xludf.DUMMYFUNCTION("GOOGLETRANSLATE(A5480,""bn"",""en"")"),"Shakib's performance was great")</f>
        <v>Shakib's performance was great</v>
      </c>
      <c r="D5480" s="5"/>
      <c r="E5480" s="5"/>
      <c r="F5480" s="5"/>
      <c r="G5480" s="5"/>
      <c r="H5480" s="5"/>
      <c r="I5480" s="5"/>
      <c r="J5480" s="5"/>
      <c r="K5480" s="5"/>
      <c r="L5480" s="5"/>
      <c r="M5480" s="5"/>
      <c r="N5480" s="5"/>
      <c r="O5480" s="5"/>
      <c r="P5480" s="5"/>
      <c r="Q5480" s="5"/>
      <c r="R5480" s="5"/>
      <c r="S5480" s="5"/>
      <c r="T5480" s="5"/>
      <c r="U5480" s="5"/>
      <c r="V5480" s="5"/>
      <c r="W5480" s="5"/>
      <c r="X5480" s="5"/>
      <c r="Y5480" s="5"/>
      <c r="Z5480" s="5"/>
    </row>
    <row r="5481" spans="1:26" ht="15" x14ac:dyDescent="0.25">
      <c r="A5481" s="4" t="s">
        <v>5479</v>
      </c>
      <c r="B5481" s="4" t="s">
        <v>4550</v>
      </c>
      <c r="C5481" s="2" t="str">
        <f ca="1">IFERROR(__xludf.DUMMYFUNCTION("GOOGLETRANSLATE(A5481,""bn"",""en"")"),"It was a very beautiful picture, it was really wonderful")</f>
        <v>It was a very beautiful picture, it was really wonderful</v>
      </c>
      <c r="D5481" s="5"/>
      <c r="E5481" s="5"/>
      <c r="F5481" s="5"/>
      <c r="G5481" s="5"/>
      <c r="H5481" s="5"/>
      <c r="I5481" s="5"/>
      <c r="J5481" s="5"/>
      <c r="K5481" s="5"/>
      <c r="L5481" s="5"/>
      <c r="M5481" s="5"/>
      <c r="N5481" s="5"/>
      <c r="O5481" s="5"/>
      <c r="P5481" s="5"/>
      <c r="Q5481" s="5"/>
      <c r="R5481" s="5"/>
      <c r="S5481" s="5"/>
      <c r="T5481" s="5"/>
      <c r="U5481" s="5"/>
      <c r="V5481" s="5"/>
      <c r="W5481" s="5"/>
      <c r="X5481" s="5"/>
      <c r="Y5481" s="5"/>
      <c r="Z5481" s="5"/>
    </row>
    <row r="5482" spans="1:26" ht="15" x14ac:dyDescent="0.25">
      <c r="A5482" s="4" t="s">
        <v>5480</v>
      </c>
      <c r="B5482" s="4" t="s">
        <v>4550</v>
      </c>
      <c r="C5482" s="2" t="str">
        <f ca="1">IFERROR(__xludf.DUMMYFUNCTION("GOOGLETRANSLATE(A5482,""bn"",""en"")"),"It was an incredibly beautiful movie, it was amazing in one word")</f>
        <v>It was an incredibly beautiful movie, it was amazing in one word</v>
      </c>
      <c r="D5482" s="5"/>
      <c r="E5482" s="5"/>
      <c r="F5482" s="5"/>
      <c r="G5482" s="5"/>
      <c r="H5482" s="5"/>
      <c r="I5482" s="5"/>
      <c r="J5482" s="5"/>
      <c r="K5482" s="5"/>
      <c r="L5482" s="5"/>
      <c r="M5482" s="5"/>
      <c r="N5482" s="5"/>
      <c r="O5482" s="5"/>
      <c r="P5482" s="5"/>
      <c r="Q5482" s="5"/>
      <c r="R5482" s="5"/>
      <c r="S5482" s="5"/>
      <c r="T5482" s="5"/>
      <c r="U5482" s="5"/>
      <c r="V5482" s="5"/>
      <c r="W5482" s="5"/>
      <c r="X5482" s="5"/>
      <c r="Y5482" s="5"/>
      <c r="Z5482" s="5"/>
    </row>
    <row r="5483" spans="1:26" ht="15" x14ac:dyDescent="0.25">
      <c r="A5483" s="4" t="s">
        <v>5481</v>
      </c>
      <c r="B5483" s="4" t="s">
        <v>4550</v>
      </c>
      <c r="C5483" s="2" t="str">
        <f ca="1">IFERROR(__xludf.DUMMYFUNCTION("GOOGLETRANSLATE(A5483,""bn"",""en"")"),"Although late, I saw a nice picture")</f>
        <v>Although late, I saw a nice picture</v>
      </c>
      <c r="D5483" s="5"/>
      <c r="E5483" s="5"/>
      <c r="F5483" s="5"/>
      <c r="G5483" s="5"/>
      <c r="H5483" s="5"/>
      <c r="I5483" s="5"/>
      <c r="J5483" s="5"/>
      <c r="K5483" s="5"/>
      <c r="L5483" s="5"/>
      <c r="M5483" s="5"/>
      <c r="N5483" s="5"/>
      <c r="O5483" s="5"/>
      <c r="P5483" s="5"/>
      <c r="Q5483" s="5"/>
      <c r="R5483" s="5"/>
      <c r="S5483" s="5"/>
      <c r="T5483" s="5"/>
      <c r="U5483" s="5"/>
      <c r="V5483" s="5"/>
      <c r="W5483" s="5"/>
      <c r="X5483" s="5"/>
      <c r="Y5483" s="5"/>
      <c r="Z5483" s="5"/>
    </row>
    <row r="5484" spans="1:26" ht="15" x14ac:dyDescent="0.25">
      <c r="A5484" s="4" t="s">
        <v>5482</v>
      </c>
      <c r="B5484" s="4" t="s">
        <v>4550</v>
      </c>
      <c r="C5484" s="2" t="str">
        <f ca="1">IFERROR(__xludf.DUMMYFUNCTION("GOOGLETRANSLATE(A5484,""bn"",""en"")"),"A state of society was what our children were learning")</f>
        <v>A state of society was what our children were learning</v>
      </c>
      <c r="D5484" s="5"/>
      <c r="E5484" s="5"/>
      <c r="F5484" s="5"/>
      <c r="G5484" s="5"/>
      <c r="H5484" s="5"/>
      <c r="I5484" s="5"/>
      <c r="J5484" s="5"/>
      <c r="K5484" s="5"/>
      <c r="L5484" s="5"/>
      <c r="M5484" s="5"/>
      <c r="N5484" s="5"/>
      <c r="O5484" s="5"/>
      <c r="P5484" s="5"/>
      <c r="Q5484" s="5"/>
      <c r="R5484" s="5"/>
      <c r="S5484" s="5"/>
      <c r="T5484" s="5"/>
      <c r="U5484" s="5"/>
      <c r="V5484" s="5"/>
      <c r="W5484" s="5"/>
      <c r="X5484" s="5"/>
      <c r="Y5484" s="5"/>
      <c r="Z5484" s="5"/>
    </row>
    <row r="5485" spans="1:26" ht="15" x14ac:dyDescent="0.25">
      <c r="A5485" s="4" t="s">
        <v>5483</v>
      </c>
      <c r="B5485" s="4" t="s">
        <v>4550</v>
      </c>
      <c r="C5485" s="2" t="str">
        <f ca="1">IFERROR(__xludf.DUMMYFUNCTION("GOOGLETRANSLATE(A5485,""bn"",""en"")"),"What a wonderful performance, tears came to my eyes without knowing it")</f>
        <v>What a wonderful performance, tears came to my eyes without knowing it</v>
      </c>
      <c r="D5485" s="5"/>
      <c r="E5485" s="5"/>
      <c r="F5485" s="5"/>
      <c r="G5485" s="5"/>
      <c r="H5485" s="5"/>
      <c r="I5485" s="5"/>
      <c r="J5485" s="5"/>
      <c r="K5485" s="5"/>
      <c r="L5485" s="5"/>
      <c r="M5485" s="5"/>
      <c r="N5485" s="5"/>
      <c r="O5485" s="5"/>
      <c r="P5485" s="5"/>
      <c r="Q5485" s="5"/>
      <c r="R5485" s="5"/>
      <c r="S5485" s="5"/>
      <c r="T5485" s="5"/>
      <c r="U5485" s="5"/>
      <c r="V5485" s="5"/>
      <c r="W5485" s="5"/>
      <c r="X5485" s="5"/>
      <c r="Y5485" s="5"/>
      <c r="Z5485" s="5"/>
    </row>
    <row r="5486" spans="1:26" ht="15" x14ac:dyDescent="0.25">
      <c r="A5486" s="4" t="s">
        <v>5484</v>
      </c>
      <c r="B5486" s="4" t="s">
        <v>4550</v>
      </c>
      <c r="C5486" s="2" t="str">
        <f ca="1">IFERROR(__xludf.DUMMYFUNCTION("GOOGLETRANSLATE(A5486,""bn"",""en"")"),"In such a beautiful film, it ruined the honor of the film by giving it to Mayuri")</f>
        <v>In such a beautiful film, it ruined the honor of the film by giving it to Mayuri</v>
      </c>
      <c r="D5486" s="5"/>
      <c r="E5486" s="5"/>
      <c r="F5486" s="5"/>
      <c r="G5486" s="5"/>
      <c r="H5486" s="5"/>
      <c r="I5486" s="5"/>
      <c r="J5486" s="5"/>
      <c r="K5486" s="5"/>
      <c r="L5486" s="5"/>
      <c r="M5486" s="5"/>
      <c r="N5486" s="5"/>
      <c r="O5486" s="5"/>
      <c r="P5486" s="5"/>
      <c r="Q5486" s="5"/>
      <c r="R5486" s="5"/>
      <c r="S5486" s="5"/>
      <c r="T5486" s="5"/>
      <c r="U5486" s="5"/>
      <c r="V5486" s="5"/>
      <c r="W5486" s="5"/>
      <c r="X5486" s="5"/>
      <c r="Y5486" s="5"/>
      <c r="Z5486" s="5"/>
    </row>
    <row r="5487" spans="1:26" ht="15" x14ac:dyDescent="0.25">
      <c r="A5487" s="4" t="s">
        <v>5485</v>
      </c>
      <c r="B5487" s="4" t="s">
        <v>4550</v>
      </c>
      <c r="C5487" s="2" t="str">
        <f ca="1">IFERROR(__xludf.DUMMYFUNCTION("GOOGLETRANSLATE(A5487,""bn"",""en"")"),"There are no words to say how much I liked this picture")</f>
        <v>There are no words to say how much I liked this picture</v>
      </c>
      <c r="D5487" s="5"/>
      <c r="E5487" s="5"/>
      <c r="F5487" s="5"/>
      <c r="G5487" s="5"/>
      <c r="H5487" s="5"/>
      <c r="I5487" s="5"/>
      <c r="J5487" s="5"/>
      <c r="K5487" s="5"/>
      <c r="L5487" s="5"/>
      <c r="M5487" s="5"/>
      <c r="N5487" s="5"/>
      <c r="O5487" s="5"/>
      <c r="P5487" s="5"/>
      <c r="Q5487" s="5"/>
      <c r="R5487" s="5"/>
      <c r="S5487" s="5"/>
      <c r="T5487" s="5"/>
      <c r="U5487" s="5"/>
      <c r="V5487" s="5"/>
      <c r="W5487" s="5"/>
      <c r="X5487" s="5"/>
      <c r="Y5487" s="5"/>
      <c r="Z5487" s="5"/>
    </row>
    <row r="5488" spans="1:26" ht="15" x14ac:dyDescent="0.25">
      <c r="A5488" s="4" t="s">
        <v>5486</v>
      </c>
      <c r="B5488" s="4" t="s">
        <v>4550</v>
      </c>
      <c r="C5488" s="2" t="str">
        <f ca="1">IFERROR(__xludf.DUMMYFUNCTION("GOOGLETRANSLATE(A5488,""bn"",""en"")"),"I could not express in words such a beautiful picture and it was not in the soil of Bengal")</f>
        <v>I could not express in words such a beautiful picture and it was not in the soil of Bengal</v>
      </c>
      <c r="D5488" s="5"/>
      <c r="E5488" s="5"/>
      <c r="F5488" s="5"/>
      <c r="G5488" s="5"/>
      <c r="H5488" s="5"/>
      <c r="I5488" s="5"/>
      <c r="J5488" s="5"/>
      <c r="K5488" s="5"/>
      <c r="L5488" s="5"/>
      <c r="M5488" s="5"/>
      <c r="N5488" s="5"/>
      <c r="O5488" s="5"/>
      <c r="P5488" s="5"/>
      <c r="Q5488" s="5"/>
      <c r="R5488" s="5"/>
      <c r="S5488" s="5"/>
      <c r="T5488" s="5"/>
      <c r="U5488" s="5"/>
      <c r="V5488" s="5"/>
      <c r="W5488" s="5"/>
      <c r="X5488" s="5"/>
      <c r="Y5488" s="5"/>
      <c r="Z5488" s="5"/>
    </row>
    <row r="5489" spans="1:26" ht="15" x14ac:dyDescent="0.25">
      <c r="A5489" s="4" t="s">
        <v>5487</v>
      </c>
      <c r="B5489" s="4" t="s">
        <v>4550</v>
      </c>
      <c r="C5489" s="2" t="str">
        <f ca="1">IFERROR(__xludf.DUMMYFUNCTION("GOOGLETRANSLATE(A5489,""bn"",""en"")"),"Looking at Jalil's getup, he seemed to be from Pabna, not from Dhaka")</f>
        <v>Looking at Jalil's getup, he seemed to be from Pabna, not from Dhaka</v>
      </c>
      <c r="D5489" s="5"/>
      <c r="E5489" s="5"/>
      <c r="F5489" s="5"/>
      <c r="G5489" s="5"/>
      <c r="H5489" s="5"/>
      <c r="I5489" s="5"/>
      <c r="J5489" s="5"/>
      <c r="K5489" s="5"/>
      <c r="L5489" s="5"/>
      <c r="M5489" s="5"/>
      <c r="N5489" s="5"/>
      <c r="O5489" s="5"/>
      <c r="P5489" s="5"/>
      <c r="Q5489" s="5"/>
      <c r="R5489" s="5"/>
      <c r="S5489" s="5"/>
      <c r="T5489" s="5"/>
      <c r="U5489" s="5"/>
      <c r="V5489" s="5"/>
      <c r="W5489" s="5"/>
      <c r="X5489" s="5"/>
      <c r="Y5489" s="5"/>
      <c r="Z5489" s="5"/>
    </row>
    <row r="5490" spans="1:26" ht="15" x14ac:dyDescent="0.25">
      <c r="A5490" s="4" t="s">
        <v>5488</v>
      </c>
      <c r="B5490" s="4" t="s">
        <v>4550</v>
      </c>
      <c r="C5490" s="2" t="str">
        <f ca="1">IFERROR(__xludf.DUMMYFUNCTION("GOOGLETRANSLATE(A5490,""bn"",""en"")"),"They were finishing the film")</f>
        <v>They were finishing the film</v>
      </c>
      <c r="D5490" s="5"/>
      <c r="E5490" s="5"/>
      <c r="F5490" s="5"/>
      <c r="G5490" s="5"/>
      <c r="H5490" s="5"/>
      <c r="I5490" s="5"/>
      <c r="J5490" s="5"/>
      <c r="K5490" s="5"/>
      <c r="L5490" s="5"/>
      <c r="M5490" s="5"/>
      <c r="N5490" s="5"/>
      <c r="O5490" s="5"/>
      <c r="P5490" s="5"/>
      <c r="Q5490" s="5"/>
      <c r="R5490" s="5"/>
      <c r="S5490" s="5"/>
      <c r="T5490" s="5"/>
      <c r="U5490" s="5"/>
      <c r="V5490" s="5"/>
      <c r="W5490" s="5"/>
      <c r="X5490" s="5"/>
      <c r="Y5490" s="5"/>
      <c r="Z5490" s="5"/>
    </row>
    <row r="5491" spans="1:26" ht="15" x14ac:dyDescent="0.25">
      <c r="A5491" s="4" t="s">
        <v>5489</v>
      </c>
      <c r="B5491" s="4" t="s">
        <v>4550</v>
      </c>
      <c r="C5491" s="2" t="str">
        <f ca="1">IFERROR(__xludf.DUMMYFUNCTION("GOOGLETRANSLATE(A5491,""bn"",""en"")"),"The more I watched the movie, the more I liked Shabnoor's performance and the madness for Salman Shah's true love was truly amazing.")</f>
        <v>The more I watched the movie, the more I liked Shabnoor's performance and the madness for Salman Shah's true love was truly amazing.</v>
      </c>
      <c r="D5491" s="5"/>
      <c r="E5491" s="5"/>
      <c r="F5491" s="5"/>
      <c r="G5491" s="5"/>
      <c r="H5491" s="5"/>
      <c r="I5491" s="5"/>
      <c r="J5491" s="5"/>
      <c r="K5491" s="5"/>
      <c r="L5491" s="5"/>
      <c r="M5491" s="5"/>
      <c r="N5491" s="5"/>
      <c r="O5491" s="5"/>
      <c r="P5491" s="5"/>
      <c r="Q5491" s="5"/>
      <c r="R5491" s="5"/>
      <c r="S5491" s="5"/>
      <c r="T5491" s="5"/>
      <c r="U5491" s="5"/>
      <c r="V5491" s="5"/>
      <c r="W5491" s="5"/>
      <c r="X5491" s="5"/>
      <c r="Y5491" s="5"/>
      <c r="Z5491" s="5"/>
    </row>
    <row r="5492" spans="1:26" ht="15" x14ac:dyDescent="0.25">
      <c r="A5492" s="4" t="s">
        <v>5490</v>
      </c>
      <c r="B5492" s="4" t="s">
        <v>4550</v>
      </c>
      <c r="C5492" s="2" t="str">
        <f ca="1">IFERROR(__xludf.DUMMYFUNCTION("GOOGLETRANSLATE(A5492,""bn"",""en"")"),"He was actually mentally ill so he made such a sick brain movie")</f>
        <v>He was actually mentally ill so he made such a sick brain movie</v>
      </c>
      <c r="D5492" s="5"/>
      <c r="E5492" s="5"/>
      <c r="F5492" s="5"/>
      <c r="G5492" s="5"/>
      <c r="H5492" s="5"/>
      <c r="I5492" s="5"/>
      <c r="J5492" s="5"/>
      <c r="K5492" s="5"/>
      <c r="L5492" s="5"/>
      <c r="M5492" s="5"/>
      <c r="N5492" s="5"/>
      <c r="O5492" s="5"/>
      <c r="P5492" s="5"/>
      <c r="Q5492" s="5"/>
      <c r="R5492" s="5"/>
      <c r="S5492" s="5"/>
      <c r="T5492" s="5"/>
      <c r="U5492" s="5"/>
      <c r="V5492" s="5"/>
      <c r="W5492" s="5"/>
      <c r="X5492" s="5"/>
      <c r="Y5492" s="5"/>
      <c r="Z5492" s="5"/>
    </row>
    <row r="5493" spans="1:26" ht="15" x14ac:dyDescent="0.25">
      <c r="A5493" s="4" t="s">
        <v>5491</v>
      </c>
      <c r="B5493" s="4" t="s">
        <v>4550</v>
      </c>
      <c r="C5493" s="2" t="str">
        <f ca="1">IFERROR(__xludf.DUMMYFUNCTION("GOOGLETRANSLATE(A5493,""bn"",""en"")"),"Fakini looked like the movie was such a bad performance that one had to give up watching the movie")</f>
        <v>Fakini looked like the movie was such a bad performance that one had to give up watching the movie</v>
      </c>
      <c r="D5493" s="5"/>
      <c r="E5493" s="5"/>
      <c r="F5493" s="5"/>
      <c r="G5493" s="5"/>
      <c r="H5493" s="5"/>
      <c r="I5493" s="5"/>
      <c r="J5493" s="5"/>
      <c r="K5493" s="5"/>
      <c r="L5493" s="5"/>
      <c r="M5493" s="5"/>
      <c r="N5493" s="5"/>
      <c r="O5493" s="5"/>
      <c r="P5493" s="5"/>
      <c r="Q5493" s="5"/>
      <c r="R5493" s="5"/>
      <c r="S5493" s="5"/>
      <c r="T5493" s="5"/>
      <c r="U5493" s="5"/>
      <c r="V5493" s="5"/>
      <c r="W5493" s="5"/>
      <c r="X5493" s="5"/>
      <c r="Y5493" s="5"/>
      <c r="Z5493" s="5"/>
    </row>
    <row r="5494" spans="1:26" ht="15" x14ac:dyDescent="0.25">
      <c r="A5494" s="4" t="s">
        <v>5492</v>
      </c>
      <c r="B5494" s="4" t="s">
        <v>4550</v>
      </c>
      <c r="C5494" s="2" t="str">
        <f ca="1">IFERROR(__xludf.DUMMYFUNCTION("GOOGLETRANSLATE(A5494,""bn"",""en"")"),"Anyway, Bubli's performance was very good")</f>
        <v>Anyway, Bubli's performance was very good</v>
      </c>
      <c r="D5494" s="5"/>
      <c r="E5494" s="5"/>
      <c r="F5494" s="5"/>
      <c r="G5494" s="5"/>
      <c r="H5494" s="5"/>
      <c r="I5494" s="5"/>
      <c r="J5494" s="5"/>
      <c r="K5494" s="5"/>
      <c r="L5494" s="5"/>
      <c r="M5494" s="5"/>
      <c r="N5494" s="5"/>
      <c r="O5494" s="5"/>
      <c r="P5494" s="5"/>
      <c r="Q5494" s="5"/>
      <c r="R5494" s="5"/>
      <c r="S5494" s="5"/>
      <c r="T5494" s="5"/>
      <c r="U5494" s="5"/>
      <c r="V5494" s="5"/>
      <c r="W5494" s="5"/>
      <c r="X5494" s="5"/>
      <c r="Y5494" s="5"/>
      <c r="Z5494" s="5"/>
    </row>
    <row r="5495" spans="1:26" ht="15" x14ac:dyDescent="0.25">
      <c r="A5495" s="4" t="s">
        <v>5493</v>
      </c>
      <c r="B5495" s="4" t="s">
        <v>4550</v>
      </c>
      <c r="C5495" s="2" t="str">
        <f ca="1">IFERROR(__xludf.DUMMYFUNCTION("GOOGLETRANSLATE(A5495,""bn"",""en"")"),"I didn't watch the particular movie this year was my secondary exam so movies almost disappeared from my life but I couldn't resist the temptation to see the poster of this movie Jai Feluda")</f>
        <v>I didn't watch the particular movie this year was my secondary exam so movies almost disappeared from my life but I couldn't resist the temptation to see the poster of this movie Jai Feluda</v>
      </c>
      <c r="D5495" s="5"/>
      <c r="E5495" s="5"/>
      <c r="F5495" s="5"/>
      <c r="G5495" s="5"/>
      <c r="H5495" s="5"/>
      <c r="I5495" s="5"/>
      <c r="J5495" s="5"/>
      <c r="K5495" s="5"/>
      <c r="L5495" s="5"/>
      <c r="M5495" s="5"/>
      <c r="N5495" s="5"/>
      <c r="O5495" s="5"/>
      <c r="P5495" s="5"/>
      <c r="Q5495" s="5"/>
      <c r="R5495" s="5"/>
      <c r="S5495" s="5"/>
      <c r="T5495" s="5"/>
      <c r="U5495" s="5"/>
      <c r="V5495" s="5"/>
      <c r="W5495" s="5"/>
      <c r="X5495" s="5"/>
      <c r="Y5495" s="5"/>
      <c r="Z5495" s="5"/>
    </row>
    <row r="5496" spans="1:26" ht="15" x14ac:dyDescent="0.25">
      <c r="A5496" s="4" t="s">
        <v>5494</v>
      </c>
      <c r="B5496" s="4" t="s">
        <v>4550</v>
      </c>
      <c r="C5496" s="2" t="str">
        <f ca="1">IFERROR(__xludf.DUMMYFUNCTION("GOOGLETRANSLATE(A5496,""bn"",""en"")"),"The movie felt like a gourd")</f>
        <v>The movie felt like a gourd</v>
      </c>
      <c r="D5496" s="5"/>
      <c r="E5496" s="5"/>
      <c r="F5496" s="5"/>
      <c r="G5496" s="5"/>
      <c r="H5496" s="5"/>
      <c r="I5496" s="5"/>
      <c r="J5496" s="5"/>
      <c r="K5496" s="5"/>
      <c r="L5496" s="5"/>
      <c r="M5496" s="5"/>
      <c r="N5496" s="5"/>
      <c r="O5496" s="5"/>
      <c r="P5496" s="5"/>
      <c r="Q5496" s="5"/>
      <c r="R5496" s="5"/>
      <c r="S5496" s="5"/>
      <c r="T5496" s="5"/>
      <c r="U5496" s="5"/>
      <c r="V5496" s="5"/>
      <c r="W5496" s="5"/>
      <c r="X5496" s="5"/>
      <c r="Y5496" s="5"/>
      <c r="Z5496" s="5"/>
    </row>
    <row r="5497" spans="1:26" ht="15" x14ac:dyDescent="0.25">
      <c r="A5497" s="4" t="s">
        <v>5495</v>
      </c>
      <c r="B5497" s="4" t="s">
        <v>4550</v>
      </c>
      <c r="C5497" s="2" t="str">
        <f ca="1">IFERROR(__xludf.DUMMYFUNCTION("GOOGLETRANSLATE(A5497,""bn"",""en"")"),"I didn't like the movie")</f>
        <v>I didn't like the movie</v>
      </c>
      <c r="D5497" s="5"/>
      <c r="E5497" s="5"/>
      <c r="F5497" s="5"/>
      <c r="G5497" s="5"/>
      <c r="H5497" s="5"/>
      <c r="I5497" s="5"/>
      <c r="J5497" s="5"/>
      <c r="K5497" s="5"/>
      <c r="L5497" s="5"/>
      <c r="M5497" s="5"/>
      <c r="N5497" s="5"/>
      <c r="O5497" s="5"/>
      <c r="P5497" s="5"/>
      <c r="Q5497" s="5"/>
      <c r="R5497" s="5"/>
      <c r="S5497" s="5"/>
      <c r="T5497" s="5"/>
      <c r="U5497" s="5"/>
      <c r="V5497" s="5"/>
      <c r="W5497" s="5"/>
      <c r="X5497" s="5"/>
      <c r="Y5497" s="5"/>
      <c r="Z5497" s="5"/>
    </row>
    <row r="5498" spans="1:26" ht="15" x14ac:dyDescent="0.25">
      <c r="A5498" s="4" t="s">
        <v>5496</v>
      </c>
      <c r="B5498" s="4" t="s">
        <v>4550</v>
      </c>
      <c r="C5498" s="2" t="str">
        <f ca="1">IFERROR(__xludf.DUMMYFUNCTION("GOOGLETRANSLATE(A5498,""bn"",""en"")"),"He went out to look for his son after the rain stopped")</f>
        <v>He went out to look for his son after the rain stopped</v>
      </c>
      <c r="D5498" s="5"/>
      <c r="E5498" s="5"/>
      <c r="F5498" s="5"/>
      <c r="G5498" s="5"/>
      <c r="H5498" s="5"/>
      <c r="I5498" s="5"/>
      <c r="J5498" s="5"/>
      <c r="K5498" s="5"/>
      <c r="L5498" s="5"/>
      <c r="M5498" s="5"/>
      <c r="N5498" s="5"/>
      <c r="O5498" s="5"/>
      <c r="P5498" s="5"/>
      <c r="Q5498" s="5"/>
      <c r="R5498" s="5"/>
      <c r="S5498" s="5"/>
      <c r="T5498" s="5"/>
      <c r="U5498" s="5"/>
      <c r="V5498" s="5"/>
      <c r="W5498" s="5"/>
      <c r="X5498" s="5"/>
      <c r="Y5498" s="5"/>
      <c r="Z5498" s="5"/>
    </row>
    <row r="5499" spans="1:26" ht="15" x14ac:dyDescent="0.25">
      <c r="A5499" s="4" t="s">
        <v>5497</v>
      </c>
      <c r="B5499" s="4" t="s">
        <v>4550</v>
      </c>
      <c r="C5499" s="2" t="str">
        <f ca="1">IFERROR(__xludf.DUMMYFUNCTION("GOOGLETRANSLATE(A5499,""bn"",""en"")"),"Bappi Anchal was the best pairing")</f>
        <v>Bappi Anchal was the best pairing</v>
      </c>
      <c r="D5499" s="5"/>
      <c r="E5499" s="5"/>
      <c r="F5499" s="5"/>
      <c r="G5499" s="5"/>
      <c r="H5499" s="5"/>
      <c r="I5499" s="5"/>
      <c r="J5499" s="5"/>
      <c r="K5499" s="5"/>
      <c r="L5499" s="5"/>
      <c r="M5499" s="5"/>
      <c r="N5499" s="5"/>
      <c r="O5499" s="5"/>
      <c r="P5499" s="5"/>
      <c r="Q5499" s="5"/>
      <c r="R5499" s="5"/>
      <c r="S5499" s="5"/>
      <c r="T5499" s="5"/>
      <c r="U5499" s="5"/>
      <c r="V5499" s="5"/>
      <c r="W5499" s="5"/>
      <c r="X5499" s="5"/>
      <c r="Y5499" s="5"/>
      <c r="Z5499" s="5"/>
    </row>
    <row r="5500" spans="1:26" ht="15" x14ac:dyDescent="0.25">
      <c r="A5500" s="4" t="s">
        <v>5498</v>
      </c>
      <c r="B5500" s="4" t="s">
        <v>4550</v>
      </c>
      <c r="C5500" s="2" t="str">
        <f ca="1">IFERROR(__xludf.DUMMYFUNCTION("GOOGLETRANSLATE(A5500,""bn"",""en"")"),"The mind was touched")</f>
        <v>The mind was touched</v>
      </c>
      <c r="D5500" s="5"/>
      <c r="E5500" s="5"/>
      <c r="F5500" s="5"/>
      <c r="G5500" s="5"/>
      <c r="H5500" s="5"/>
      <c r="I5500" s="5"/>
      <c r="J5500" s="5"/>
      <c r="K5500" s="5"/>
      <c r="L5500" s="5"/>
      <c r="M5500" s="5"/>
      <c r="N5500" s="5"/>
      <c r="O5500" s="5"/>
      <c r="P5500" s="5"/>
      <c r="Q5500" s="5"/>
      <c r="R5500" s="5"/>
      <c r="S5500" s="5"/>
      <c r="T5500" s="5"/>
      <c r="U5500" s="5"/>
      <c r="V5500" s="5"/>
      <c r="W5500" s="5"/>
      <c r="X5500" s="5"/>
      <c r="Y5500" s="5"/>
      <c r="Z5500" s="5"/>
    </row>
    <row r="5501" spans="1:26" ht="15" x14ac:dyDescent="0.25">
      <c r="A5501" s="4" t="s">
        <v>5499</v>
      </c>
      <c r="B5501" s="4" t="s">
        <v>4550</v>
      </c>
      <c r="C5501" s="2" t="str">
        <f ca="1">IFERROR(__xludf.DUMMYFUNCTION("GOOGLETRANSLATE(A5501,""bn"",""en"")"),"Shakib and Shabnoor and Riyaz Shab were doing the story of Rheumatic. It was a beautiful movie. I liked it. Thank you all.")</f>
        <v>Shakib and Shabnoor and Riyaz Shab were doing the story of Rheumatic. It was a beautiful movie. I liked it. Thank you all.</v>
      </c>
      <c r="D5501" s="5"/>
      <c r="E5501" s="5"/>
      <c r="F5501" s="5"/>
      <c r="G5501" s="5"/>
      <c r="H5501" s="5"/>
      <c r="I5501" s="5"/>
      <c r="J5501" s="5"/>
      <c r="K5501" s="5"/>
      <c r="L5501" s="5"/>
      <c r="M5501" s="5"/>
      <c r="N5501" s="5"/>
      <c r="O5501" s="5"/>
      <c r="P5501" s="5"/>
      <c r="Q5501" s="5"/>
      <c r="R5501" s="5"/>
      <c r="S5501" s="5"/>
      <c r="T5501" s="5"/>
      <c r="U5501" s="5"/>
      <c r="V5501" s="5"/>
      <c r="W5501" s="5"/>
      <c r="X5501" s="5"/>
      <c r="Y5501" s="5"/>
      <c r="Z5501" s="5"/>
    </row>
    <row r="5502" spans="1:26" ht="15" x14ac:dyDescent="0.25">
      <c r="A5502" s="4" t="s">
        <v>5500</v>
      </c>
      <c r="B5502" s="4" t="s">
        <v>4550</v>
      </c>
      <c r="C5502" s="2" t="str">
        <f ca="1">IFERROR(__xludf.DUMMYFUNCTION("GOOGLETRANSLATE(A5502,""bn"",""en"")"),"Everything was fine speaking English acting was fine")</f>
        <v>Everything was fine speaking English acting was fine</v>
      </c>
      <c r="D5502" s="5"/>
      <c r="E5502" s="5"/>
      <c r="F5502" s="5"/>
      <c r="G5502" s="5"/>
      <c r="H5502" s="5"/>
      <c r="I5502" s="5"/>
      <c r="J5502" s="5"/>
      <c r="K5502" s="5"/>
      <c r="L5502" s="5"/>
      <c r="M5502" s="5"/>
      <c r="N5502" s="5"/>
      <c r="O5502" s="5"/>
      <c r="P5502" s="5"/>
      <c r="Q5502" s="5"/>
      <c r="R5502" s="5"/>
      <c r="S5502" s="5"/>
      <c r="T5502" s="5"/>
      <c r="U5502" s="5"/>
      <c r="V5502" s="5"/>
      <c r="W5502" s="5"/>
      <c r="X5502" s="5"/>
      <c r="Y5502" s="5"/>
      <c r="Z5502" s="5"/>
    </row>
    <row r="5503" spans="1:26" ht="15" x14ac:dyDescent="0.25">
      <c r="A5503" s="4" t="s">
        <v>5501</v>
      </c>
      <c r="B5503" s="4" t="s">
        <v>4550</v>
      </c>
      <c r="C5503" s="2" t="str">
        <f ca="1">IFERROR(__xludf.DUMMYFUNCTION("GOOGLETRANSLATE(A5503,""bn"",""en"")"),"A picture Ray Bhai was just crying and crying")</f>
        <v>A picture Ray Bhai was just crying and crying</v>
      </c>
      <c r="D5503" s="5"/>
      <c r="E5503" s="5"/>
      <c r="F5503" s="5"/>
      <c r="G5503" s="5"/>
      <c r="H5503" s="5"/>
      <c r="I5503" s="5"/>
      <c r="J5503" s="5"/>
      <c r="K5503" s="5"/>
      <c r="L5503" s="5"/>
      <c r="M5503" s="5"/>
      <c r="N5503" s="5"/>
      <c r="O5503" s="5"/>
      <c r="P5503" s="5"/>
      <c r="Q5503" s="5"/>
      <c r="R5503" s="5"/>
      <c r="S5503" s="5"/>
      <c r="T5503" s="5"/>
      <c r="U5503" s="5"/>
      <c r="V5503" s="5"/>
      <c r="W5503" s="5"/>
      <c r="X5503" s="5"/>
      <c r="Y5503" s="5"/>
      <c r="Z5503" s="5"/>
    </row>
    <row r="5504" spans="1:26" ht="15" x14ac:dyDescent="0.25">
      <c r="A5504" s="4" t="s">
        <v>5502</v>
      </c>
      <c r="B5504" s="4" t="s">
        <v>4550</v>
      </c>
      <c r="C5504" s="2" t="str">
        <f ca="1">IFERROR(__xludf.DUMMYFUNCTION("GOOGLETRANSLATE(A5504,""bn"",""en"")"),"What else can I say, I just want to say that this was the best film in history")</f>
        <v>What else can I say, I just want to say that this was the best film in history</v>
      </c>
      <c r="D5504" s="5"/>
      <c r="E5504" s="5"/>
      <c r="F5504" s="5"/>
      <c r="G5504" s="5"/>
      <c r="H5504" s="5"/>
      <c r="I5504" s="5"/>
      <c r="J5504" s="5"/>
      <c r="K5504" s="5"/>
      <c r="L5504" s="5"/>
      <c r="M5504" s="5"/>
      <c r="N5504" s="5"/>
      <c r="O5504" s="5"/>
      <c r="P5504" s="5"/>
      <c r="Q5504" s="5"/>
      <c r="R5504" s="5"/>
      <c r="S5504" s="5"/>
      <c r="T5504" s="5"/>
      <c r="U5504" s="5"/>
      <c r="V5504" s="5"/>
      <c r="W5504" s="5"/>
      <c r="X5504" s="5"/>
      <c r="Y5504" s="5"/>
      <c r="Z5504" s="5"/>
    </row>
    <row r="5505" spans="1:26" ht="15" x14ac:dyDescent="0.25">
      <c r="A5505" s="4" t="s">
        <v>5503</v>
      </c>
      <c r="B5505" s="4" t="s">
        <v>4550</v>
      </c>
      <c r="C5505" s="2" t="str">
        <f ca="1">IFERROR(__xludf.DUMMYFUNCTION("GOOGLETRANSLATE(A5505,""bn"",""en"")"),"Liked all the acting was good mother's song was amazing")</f>
        <v>Liked all the acting was good mother's song was amazing</v>
      </c>
      <c r="D5505" s="5"/>
      <c r="E5505" s="5"/>
      <c r="F5505" s="5"/>
      <c r="G5505" s="5"/>
      <c r="H5505" s="5"/>
      <c r="I5505" s="5"/>
      <c r="J5505" s="5"/>
      <c r="K5505" s="5"/>
      <c r="L5505" s="5"/>
      <c r="M5505" s="5"/>
      <c r="N5505" s="5"/>
      <c r="O5505" s="5"/>
      <c r="P5505" s="5"/>
      <c r="Q5505" s="5"/>
      <c r="R5505" s="5"/>
      <c r="S5505" s="5"/>
      <c r="T5505" s="5"/>
      <c r="U5505" s="5"/>
      <c r="V5505" s="5"/>
      <c r="W5505" s="5"/>
      <c r="X5505" s="5"/>
      <c r="Y5505" s="5"/>
      <c r="Z5505" s="5"/>
    </row>
    <row r="5506" spans="1:26" ht="15" x14ac:dyDescent="0.25">
      <c r="A5506" s="4" t="s">
        <v>5504</v>
      </c>
      <c r="B5506" s="4" t="s">
        <v>4550</v>
      </c>
      <c r="C5506" s="2" t="str">
        <f ca="1">IFERROR(__xludf.DUMMYFUNCTION("GOOGLETRANSLATE(A5506,""bn"",""en"")"),"A real story movie with an amazing story was really commendable")</f>
        <v>A real story movie with an amazing story was really commendable</v>
      </c>
      <c r="D5506" s="5"/>
      <c r="E5506" s="5"/>
      <c r="F5506" s="5"/>
      <c r="G5506" s="5"/>
      <c r="H5506" s="5"/>
      <c r="I5506" s="5"/>
      <c r="J5506" s="5"/>
      <c r="K5506" s="5"/>
      <c r="L5506" s="5"/>
      <c r="M5506" s="5"/>
      <c r="N5506" s="5"/>
      <c r="O5506" s="5"/>
      <c r="P5506" s="5"/>
      <c r="Q5506" s="5"/>
      <c r="R5506" s="5"/>
      <c r="S5506" s="5"/>
      <c r="T5506" s="5"/>
      <c r="U5506" s="5"/>
      <c r="V5506" s="5"/>
      <c r="W5506" s="5"/>
      <c r="X5506" s="5"/>
      <c r="Y5506" s="5"/>
      <c r="Z5506" s="5"/>
    </row>
    <row r="5507" spans="1:26" ht="15" x14ac:dyDescent="0.25">
      <c r="A5507" s="4" t="s">
        <v>5505</v>
      </c>
      <c r="B5507" s="4" t="s">
        <v>4550</v>
      </c>
      <c r="C5507" s="2" t="str">
        <f ca="1">IFERROR(__xludf.DUMMYFUNCTION("GOOGLETRANSLATE(A5507,""bn"",""en"")"),"I was laughing as much as I wanted in the whole film")</f>
        <v>I was laughing as much as I wanted in the whole film</v>
      </c>
      <c r="D5507" s="5"/>
      <c r="E5507" s="5"/>
      <c r="F5507" s="5"/>
      <c r="G5507" s="5"/>
      <c r="H5507" s="5"/>
      <c r="I5507" s="5"/>
      <c r="J5507" s="5"/>
      <c r="K5507" s="5"/>
      <c r="L5507" s="5"/>
      <c r="M5507" s="5"/>
      <c r="N5507" s="5"/>
      <c r="O5507" s="5"/>
      <c r="P5507" s="5"/>
      <c r="Q5507" s="5"/>
      <c r="R5507" s="5"/>
      <c r="S5507" s="5"/>
      <c r="T5507" s="5"/>
      <c r="U5507" s="5"/>
      <c r="V5507" s="5"/>
      <c r="W5507" s="5"/>
      <c r="X5507" s="5"/>
      <c r="Y5507" s="5"/>
      <c r="Z5507" s="5"/>
    </row>
    <row r="5508" spans="1:26" ht="15" x14ac:dyDescent="0.25">
      <c r="A5508" s="4" t="s">
        <v>5506</v>
      </c>
      <c r="B5508" s="4" t="s">
        <v>4550</v>
      </c>
      <c r="C5508" s="2" t="str">
        <f ca="1">IFERROR(__xludf.DUMMYFUNCTION("GOOGLETRANSLATE(A5508,""bn"",""en"")"),"I was coming to see the film after seeing Sapan Saha Dada's name, but I did not understand that such a bad quality low quality film is made in India. Like Madan, Madan is also the heroine.")</f>
        <v>I was coming to see the film after seeing Sapan Saha Dada's name, but I did not understand that such a bad quality low quality film is made in India. Like Madan, Madan is also the heroine.</v>
      </c>
      <c r="D5508" s="5"/>
      <c r="E5508" s="5"/>
      <c r="F5508" s="5"/>
      <c r="G5508" s="5"/>
      <c r="H5508" s="5"/>
      <c r="I5508" s="5"/>
      <c r="J5508" s="5"/>
      <c r="K5508" s="5"/>
      <c r="L5508" s="5"/>
      <c r="M5508" s="5"/>
      <c r="N5508" s="5"/>
      <c r="O5508" s="5"/>
      <c r="P5508" s="5"/>
      <c r="Q5508" s="5"/>
      <c r="R5508" s="5"/>
      <c r="S5508" s="5"/>
      <c r="T5508" s="5"/>
      <c r="U5508" s="5"/>
      <c r="V5508" s="5"/>
      <c r="W5508" s="5"/>
      <c r="X5508" s="5"/>
      <c r="Y5508" s="5"/>
      <c r="Z5508" s="5"/>
    </row>
    <row r="5509" spans="1:26" ht="15" x14ac:dyDescent="0.25">
      <c r="A5509" s="4" t="s">
        <v>5507</v>
      </c>
      <c r="B5509" s="4" t="s">
        <v>4550</v>
      </c>
      <c r="C5509" s="2" t="str">
        <f ca="1">IFERROR(__xludf.DUMMYFUNCTION("GOOGLETRANSLATE(A5509,""bn"",""en"")"),"It was a very beautiful picture, I enjoyed watching the movie")</f>
        <v>It was a very beautiful picture, I enjoyed watching the movie</v>
      </c>
      <c r="D5509" s="5"/>
      <c r="E5509" s="5"/>
      <c r="F5509" s="5"/>
      <c r="G5509" s="5"/>
      <c r="H5509" s="5"/>
      <c r="I5509" s="5"/>
      <c r="J5509" s="5"/>
      <c r="K5509" s="5"/>
      <c r="L5509" s="5"/>
      <c r="M5509" s="5"/>
      <c r="N5509" s="5"/>
      <c r="O5509" s="5"/>
      <c r="P5509" s="5"/>
      <c r="Q5509" s="5"/>
      <c r="R5509" s="5"/>
      <c r="S5509" s="5"/>
      <c r="T5509" s="5"/>
      <c r="U5509" s="5"/>
      <c r="V5509" s="5"/>
      <c r="W5509" s="5"/>
      <c r="X5509" s="5"/>
      <c r="Y5509" s="5"/>
      <c r="Z5509" s="5"/>
    </row>
    <row r="5510" spans="1:26" ht="15" x14ac:dyDescent="0.25">
      <c r="A5510" s="4" t="s">
        <v>5508</v>
      </c>
      <c r="B5510" s="4" t="s">
        <v>4550</v>
      </c>
      <c r="C5510" s="2" t="str">
        <f ca="1">IFERROR(__xludf.DUMMYFUNCTION("GOOGLETRANSLATE(A5510,""bn"",""en"")"),"The child's performance was touching")</f>
        <v>The child's performance was touching</v>
      </c>
      <c r="D5510" s="5"/>
      <c r="E5510" s="5"/>
      <c r="F5510" s="5"/>
      <c r="G5510" s="5"/>
      <c r="H5510" s="5"/>
      <c r="I5510" s="5"/>
      <c r="J5510" s="5"/>
      <c r="K5510" s="5"/>
      <c r="L5510" s="5"/>
      <c r="M5510" s="5"/>
      <c r="N5510" s="5"/>
      <c r="O5510" s="5"/>
      <c r="P5510" s="5"/>
      <c r="Q5510" s="5"/>
      <c r="R5510" s="5"/>
      <c r="S5510" s="5"/>
      <c r="T5510" s="5"/>
      <c r="U5510" s="5"/>
      <c r="V5510" s="5"/>
      <c r="W5510" s="5"/>
      <c r="X5510" s="5"/>
      <c r="Y5510" s="5"/>
      <c r="Z5510" s="5"/>
    </row>
    <row r="5511" spans="1:26" ht="15" x14ac:dyDescent="0.25">
      <c r="A5511" s="4" t="s">
        <v>5509</v>
      </c>
      <c r="B5511" s="4" t="s">
        <v>4550</v>
      </c>
      <c r="C5511" s="2" t="str">
        <f ca="1">IFERROR(__xludf.DUMMYFUNCTION("GOOGLETRANSLATE(A5511,""bn"",""en"")"),"It was such a good movie that brought tears to my eyes")</f>
        <v>It was such a good movie that brought tears to my eyes</v>
      </c>
      <c r="D5511" s="5"/>
      <c r="E5511" s="5"/>
      <c r="F5511" s="5"/>
      <c r="G5511" s="5"/>
      <c r="H5511" s="5"/>
      <c r="I5511" s="5"/>
      <c r="J5511" s="5"/>
      <c r="K5511" s="5"/>
      <c r="L5511" s="5"/>
      <c r="M5511" s="5"/>
      <c r="N5511" s="5"/>
      <c r="O5511" s="5"/>
      <c r="P5511" s="5"/>
      <c r="Q5511" s="5"/>
      <c r="R5511" s="5"/>
      <c r="S5511" s="5"/>
      <c r="T5511" s="5"/>
      <c r="U5511" s="5"/>
      <c r="V5511" s="5"/>
      <c r="W5511" s="5"/>
      <c r="X5511" s="5"/>
      <c r="Y5511" s="5"/>
      <c r="Z5511" s="5"/>
    </row>
    <row r="5512" spans="1:26" ht="15" x14ac:dyDescent="0.25">
      <c r="A5512" s="4" t="s">
        <v>5510</v>
      </c>
      <c r="B5512" s="4" t="s">
        <v>4550</v>
      </c>
      <c r="C5512" s="2" t="str">
        <f ca="1">IFERROR(__xludf.DUMMYFUNCTION("GOOGLETRANSLATE(A5512,""bn"",""en"")"),"Not as good as I thought")</f>
        <v>Not as good as I thought</v>
      </c>
      <c r="D5512" s="5"/>
      <c r="E5512" s="5"/>
      <c r="F5512" s="5"/>
      <c r="G5512" s="5"/>
      <c r="H5512" s="5"/>
      <c r="I5512" s="5"/>
      <c r="J5512" s="5"/>
      <c r="K5512" s="5"/>
      <c r="L5512" s="5"/>
      <c r="M5512" s="5"/>
      <c r="N5512" s="5"/>
      <c r="O5512" s="5"/>
      <c r="P5512" s="5"/>
      <c r="Q5512" s="5"/>
      <c r="R5512" s="5"/>
      <c r="S5512" s="5"/>
      <c r="T5512" s="5"/>
      <c r="U5512" s="5"/>
      <c r="V5512" s="5"/>
      <c r="W5512" s="5"/>
      <c r="X5512" s="5"/>
      <c r="Y5512" s="5"/>
      <c r="Z5512" s="5"/>
    </row>
    <row r="5513" spans="1:26" ht="15" x14ac:dyDescent="0.25">
      <c r="A5513" s="4" t="s">
        <v>5511</v>
      </c>
      <c r="B5513" s="4" t="s">
        <v>4550</v>
      </c>
      <c r="C5513" s="2" t="str">
        <f ca="1">IFERROR(__xludf.DUMMYFUNCTION("GOOGLETRANSLATE(A5513,""bn"",""en"")"),"Paran Rajtav Kanchan Vishwanath acted in these kind of films and Sujeet Guha directed it.I don't think there was any piracy.")</f>
        <v>Paran Rajtav Kanchan Vishwanath acted in these kind of films and Sujeet Guha directed it.I don't think there was any piracy.</v>
      </c>
      <c r="D5513" s="5"/>
      <c r="E5513" s="5"/>
      <c r="F5513" s="5"/>
      <c r="G5513" s="5"/>
      <c r="H5513" s="5"/>
      <c r="I5513" s="5"/>
      <c r="J5513" s="5"/>
      <c r="K5513" s="5"/>
      <c r="L5513" s="5"/>
      <c r="M5513" s="5"/>
      <c r="N5513" s="5"/>
      <c r="O5513" s="5"/>
      <c r="P5513" s="5"/>
      <c r="Q5513" s="5"/>
      <c r="R5513" s="5"/>
      <c r="S5513" s="5"/>
      <c r="T5513" s="5"/>
      <c r="U5513" s="5"/>
      <c r="V5513" s="5"/>
      <c r="W5513" s="5"/>
      <c r="X5513" s="5"/>
      <c r="Y5513" s="5"/>
      <c r="Z5513" s="5"/>
    </row>
    <row r="5514" spans="1:26" ht="15" x14ac:dyDescent="0.25">
      <c r="A5514" s="4" t="s">
        <v>5512</v>
      </c>
      <c r="B5514" s="4" t="s">
        <v>4550</v>
      </c>
      <c r="C5514" s="2" t="str">
        <f ca="1">IFERROR(__xludf.DUMMYFUNCTION("GOOGLETRANSLATE(A5514,""bn"",""en"")"),"I had tears in my eyes three times while watching the picture")</f>
        <v>I had tears in my eyes three times while watching the picture</v>
      </c>
      <c r="D5514" s="5"/>
      <c r="E5514" s="5"/>
      <c r="F5514" s="5"/>
      <c r="G5514" s="5"/>
      <c r="H5514" s="5"/>
      <c r="I5514" s="5"/>
      <c r="J5514" s="5"/>
      <c r="K5514" s="5"/>
      <c r="L5514" s="5"/>
      <c r="M5514" s="5"/>
      <c r="N5514" s="5"/>
      <c r="O5514" s="5"/>
      <c r="P5514" s="5"/>
      <c r="Q5514" s="5"/>
      <c r="R5514" s="5"/>
      <c r="S5514" s="5"/>
      <c r="T5514" s="5"/>
      <c r="U5514" s="5"/>
      <c r="V5514" s="5"/>
      <c r="W5514" s="5"/>
      <c r="X5514" s="5"/>
      <c r="Y5514" s="5"/>
      <c r="Z5514" s="5"/>
    </row>
    <row r="5515" spans="1:26" ht="15" x14ac:dyDescent="0.25">
      <c r="A5515" s="4" t="s">
        <v>5513</v>
      </c>
      <c r="B5515" s="4" t="s">
        <v>4550</v>
      </c>
      <c r="C5515" s="2" t="str">
        <f ca="1">IFERROR(__xludf.DUMMYFUNCTION("GOOGLETRANSLATE(A5515,""bn"",""en"")"),"Masterpiece is our pride Raisul Islam Asad")</f>
        <v>Masterpiece is our pride Raisul Islam Asad</v>
      </c>
      <c r="D5515" s="5"/>
      <c r="E5515" s="5"/>
      <c r="F5515" s="5"/>
      <c r="G5515" s="5"/>
      <c r="H5515" s="5"/>
      <c r="I5515" s="5"/>
      <c r="J5515" s="5"/>
      <c r="K5515" s="5"/>
      <c r="L5515" s="5"/>
      <c r="M5515" s="5"/>
      <c r="N5515" s="5"/>
      <c r="O5515" s="5"/>
      <c r="P5515" s="5"/>
      <c r="Q5515" s="5"/>
      <c r="R5515" s="5"/>
      <c r="S5515" s="5"/>
      <c r="T5515" s="5"/>
      <c r="U5515" s="5"/>
      <c r="V5515" s="5"/>
      <c r="W5515" s="5"/>
      <c r="X5515" s="5"/>
      <c r="Y5515" s="5"/>
      <c r="Z5515" s="5"/>
    </row>
    <row r="5516" spans="1:26" ht="15" x14ac:dyDescent="0.25">
      <c r="A5516" s="4" t="s">
        <v>5514</v>
      </c>
      <c r="B5516" s="4" t="s">
        <v>4550</v>
      </c>
      <c r="C5516" s="2" t="str">
        <f ca="1">IFERROR(__xludf.DUMMYFUNCTION("GOOGLETRANSLATE(A5516,""bn"",""en"")"),"The film and the songs of the film were all mind blowing")</f>
        <v>The film and the songs of the film were all mind blowing</v>
      </c>
      <c r="D5516" s="5"/>
      <c r="E5516" s="5"/>
      <c r="F5516" s="5"/>
      <c r="G5516" s="5"/>
      <c r="H5516" s="5"/>
      <c r="I5516" s="5"/>
      <c r="J5516" s="5"/>
      <c r="K5516" s="5"/>
      <c r="L5516" s="5"/>
      <c r="M5516" s="5"/>
      <c r="N5516" s="5"/>
      <c r="O5516" s="5"/>
      <c r="P5516" s="5"/>
      <c r="Q5516" s="5"/>
      <c r="R5516" s="5"/>
      <c r="S5516" s="5"/>
      <c r="T5516" s="5"/>
      <c r="U5516" s="5"/>
      <c r="V5516" s="5"/>
      <c r="W5516" s="5"/>
      <c r="X5516" s="5"/>
      <c r="Y5516" s="5"/>
      <c r="Z5516" s="5"/>
    </row>
    <row r="5517" spans="1:26" ht="15" x14ac:dyDescent="0.25">
      <c r="A5517" s="4" t="s">
        <v>5515</v>
      </c>
      <c r="B5517" s="4" t="s">
        <v>4550</v>
      </c>
      <c r="C5517" s="2" t="str">
        <f ca="1">IFERROR(__xludf.DUMMYFUNCTION("GOOGLETRANSLATE(A5517,""bn"",""en"")"),"It was a wonderful movie and it was not a movie. It was necessary to congratulate the hero Ilyas Kanchan sir")</f>
        <v>It was a wonderful movie and it was not a movie. It was necessary to congratulate the hero Ilyas Kanchan sir</v>
      </c>
      <c r="D5517" s="5"/>
      <c r="E5517" s="5"/>
      <c r="F5517" s="5"/>
      <c r="G5517" s="5"/>
      <c r="H5517" s="5"/>
      <c r="I5517" s="5"/>
      <c r="J5517" s="5"/>
      <c r="K5517" s="5"/>
      <c r="L5517" s="5"/>
      <c r="M5517" s="5"/>
      <c r="N5517" s="5"/>
      <c r="O5517" s="5"/>
      <c r="P5517" s="5"/>
      <c r="Q5517" s="5"/>
      <c r="R5517" s="5"/>
      <c r="S5517" s="5"/>
      <c r="T5517" s="5"/>
      <c r="U5517" s="5"/>
      <c r="V5517" s="5"/>
      <c r="W5517" s="5"/>
      <c r="X5517" s="5"/>
      <c r="Y5517" s="5"/>
      <c r="Z5517" s="5"/>
    </row>
    <row r="5518" spans="1:26" ht="15" x14ac:dyDescent="0.25">
      <c r="A5518" s="4" t="s">
        <v>5516</v>
      </c>
      <c r="B5518" s="4" t="s">
        <v>4550</v>
      </c>
      <c r="C5518" s="2" t="str">
        <f ca="1">IFERROR(__xludf.DUMMYFUNCTION("GOOGLETRANSLATE(A5518,""bn"",""en"")"),"The picture was really beautiful and there were many similarities with reality. I couldn't hold back my tears")</f>
        <v>The picture was really beautiful and there were many similarities with reality. I couldn't hold back my tears</v>
      </c>
      <c r="D5518" s="5"/>
      <c r="E5518" s="5"/>
      <c r="F5518" s="5"/>
      <c r="G5518" s="5"/>
      <c r="H5518" s="5"/>
      <c r="I5518" s="5"/>
      <c r="J5518" s="5"/>
      <c r="K5518" s="5"/>
      <c r="L5518" s="5"/>
      <c r="M5518" s="5"/>
      <c r="N5518" s="5"/>
      <c r="O5518" s="5"/>
      <c r="P5518" s="5"/>
      <c r="Q5518" s="5"/>
      <c r="R5518" s="5"/>
      <c r="S5518" s="5"/>
      <c r="T5518" s="5"/>
      <c r="U5518" s="5"/>
      <c r="V5518" s="5"/>
      <c r="W5518" s="5"/>
      <c r="X5518" s="5"/>
      <c r="Y5518" s="5"/>
      <c r="Z5518" s="5"/>
    </row>
    <row r="5519" spans="1:26" ht="15" x14ac:dyDescent="0.25">
      <c r="A5519" s="4" t="s">
        <v>5517</v>
      </c>
      <c r="B5519" s="4" t="s">
        <v>4550</v>
      </c>
      <c r="C5519" s="2" t="str">
        <f ca="1">IFERROR(__xludf.DUMMYFUNCTION("GOOGLETRANSLATE(A5519,""bn"",""en"")"),"I saw this picture many times it was very beautiful")</f>
        <v>I saw this picture many times it was very beautiful</v>
      </c>
      <c r="D5519" s="5"/>
      <c r="E5519" s="5"/>
      <c r="F5519" s="5"/>
      <c r="G5519" s="5"/>
      <c r="H5519" s="5"/>
      <c r="I5519" s="5"/>
      <c r="J5519" s="5"/>
      <c r="K5519" s="5"/>
      <c r="L5519" s="5"/>
      <c r="M5519" s="5"/>
      <c r="N5519" s="5"/>
      <c r="O5519" s="5"/>
      <c r="P5519" s="5"/>
      <c r="Q5519" s="5"/>
      <c r="R5519" s="5"/>
      <c r="S5519" s="5"/>
      <c r="T5519" s="5"/>
      <c r="U5519" s="5"/>
      <c r="V5519" s="5"/>
      <c r="W5519" s="5"/>
      <c r="X5519" s="5"/>
      <c r="Y5519" s="5"/>
      <c r="Z5519" s="5"/>
    </row>
    <row r="5520" spans="1:26" ht="15" x14ac:dyDescent="0.25">
      <c r="A5520" s="4" t="s">
        <v>5518</v>
      </c>
      <c r="B5520" s="4" t="s">
        <v>4550</v>
      </c>
      <c r="C5520" s="2" t="str">
        <f ca="1">IFERROR(__xludf.DUMMYFUNCTION("GOOGLETRANSLATE(A5520,""bn"",""en"")"),"There was an exemplary movie for job seekers like us")</f>
        <v>There was an exemplary movie for job seekers like us</v>
      </c>
      <c r="D5520" s="5"/>
      <c r="E5520" s="5"/>
      <c r="F5520" s="5"/>
      <c r="G5520" s="5"/>
      <c r="H5520" s="5"/>
      <c r="I5520" s="5"/>
      <c r="J5520" s="5"/>
      <c r="K5520" s="5"/>
      <c r="L5520" s="5"/>
      <c r="M5520" s="5"/>
      <c r="N5520" s="5"/>
      <c r="O5520" s="5"/>
      <c r="P5520" s="5"/>
      <c r="Q5520" s="5"/>
      <c r="R5520" s="5"/>
      <c r="S5520" s="5"/>
      <c r="T5520" s="5"/>
      <c r="U5520" s="5"/>
      <c r="V5520" s="5"/>
      <c r="W5520" s="5"/>
      <c r="X5520" s="5"/>
      <c r="Y5520" s="5"/>
      <c r="Z5520" s="5"/>
    </row>
    <row r="5521" spans="1:26" ht="15" x14ac:dyDescent="0.25">
      <c r="A5521" s="4" t="s">
        <v>5519</v>
      </c>
      <c r="B5521" s="4" t="s">
        <v>4550</v>
      </c>
      <c r="C5521" s="2" t="str">
        <f ca="1">IFERROR(__xludf.DUMMYFUNCTION("GOOGLETRANSLATE(A5521,""bn"",""en"")"),"I don't know that much, but those who have seen or watched this movie in this era have a different mind from ten other people in the society.")</f>
        <v>I don't know that much, but those who have seen or watched this movie in this era have a different mind from ten other people in the society.</v>
      </c>
      <c r="D5521" s="5"/>
      <c r="E5521" s="5"/>
      <c r="F5521" s="5"/>
      <c r="G5521" s="5"/>
      <c r="H5521" s="5"/>
      <c r="I5521" s="5"/>
      <c r="J5521" s="5"/>
      <c r="K5521" s="5"/>
      <c r="L5521" s="5"/>
      <c r="M5521" s="5"/>
      <c r="N5521" s="5"/>
      <c r="O5521" s="5"/>
      <c r="P5521" s="5"/>
      <c r="Q5521" s="5"/>
      <c r="R5521" s="5"/>
      <c r="S5521" s="5"/>
      <c r="T5521" s="5"/>
      <c r="U5521" s="5"/>
      <c r="V5521" s="5"/>
      <c r="W5521" s="5"/>
      <c r="X5521" s="5"/>
      <c r="Y5521" s="5"/>
      <c r="Z5521" s="5"/>
    </row>
    <row r="5522" spans="1:26" ht="15" x14ac:dyDescent="0.25">
      <c r="A5522" s="4" t="s">
        <v>5520</v>
      </c>
      <c r="B5522" s="4" t="s">
        <v>4550</v>
      </c>
      <c r="C5522" s="2" t="str">
        <f ca="1">IFERROR(__xludf.DUMMYFUNCTION("GOOGLETRANSLATE(A5522,""bn"",""en"")"),"Jaya's excessive acting and excessive crying, screaming and shouting, I used to not watch her drama movies for fear of noise pollution.")</f>
        <v>Jaya's excessive acting and excessive crying, screaming and shouting, I used to not watch her drama movies for fear of noise pollution.</v>
      </c>
      <c r="D5522" s="5"/>
      <c r="E5522" s="5"/>
      <c r="F5522" s="5"/>
      <c r="G5522" s="5"/>
      <c r="H5522" s="5"/>
      <c r="I5522" s="5"/>
      <c r="J5522" s="5"/>
      <c r="K5522" s="5"/>
      <c r="L5522" s="5"/>
      <c r="M5522" s="5"/>
      <c r="N5522" s="5"/>
      <c r="O5522" s="5"/>
      <c r="P5522" s="5"/>
      <c r="Q5522" s="5"/>
      <c r="R5522" s="5"/>
      <c r="S5522" s="5"/>
      <c r="T5522" s="5"/>
      <c r="U5522" s="5"/>
      <c r="V5522" s="5"/>
      <c r="W5522" s="5"/>
      <c r="X5522" s="5"/>
      <c r="Y5522" s="5"/>
      <c r="Z5522" s="5"/>
    </row>
    <row r="5523" spans="1:26" ht="15" x14ac:dyDescent="0.25">
      <c r="A5523" s="4" t="s">
        <v>5521</v>
      </c>
      <c r="B5523" s="4" t="s">
        <v>4550</v>
      </c>
      <c r="C5523" s="2" t="str">
        <f ca="1">IFERROR(__xludf.DUMMYFUNCTION("GOOGLETRANSLATE(A5523,""bn"",""en"")"),"It was the best Bengali movie I've ever seen. I didn't even think they acted")</f>
        <v>It was the best Bengali movie I've ever seen. I didn't even think they acted</v>
      </c>
      <c r="D5523" s="5"/>
      <c r="E5523" s="5"/>
      <c r="F5523" s="5"/>
      <c r="G5523" s="5"/>
      <c r="H5523" s="5"/>
      <c r="I5523" s="5"/>
      <c r="J5523" s="5"/>
      <c r="K5523" s="5"/>
      <c r="L5523" s="5"/>
      <c r="M5523" s="5"/>
      <c r="N5523" s="5"/>
      <c r="O5523" s="5"/>
      <c r="P5523" s="5"/>
      <c r="Q5523" s="5"/>
      <c r="R5523" s="5"/>
      <c r="S5523" s="5"/>
      <c r="T5523" s="5"/>
      <c r="U5523" s="5"/>
      <c r="V5523" s="5"/>
      <c r="W5523" s="5"/>
      <c r="X5523" s="5"/>
      <c r="Y5523" s="5"/>
      <c r="Z5523" s="5"/>
    </row>
    <row r="5524" spans="1:26" ht="15" x14ac:dyDescent="0.25">
      <c r="A5524" s="4" t="s">
        <v>5522</v>
      </c>
      <c r="B5524" s="4" t="s">
        <v>4550</v>
      </c>
      <c r="C5524" s="2" t="str">
        <f ca="1">IFERROR(__xludf.DUMMYFUNCTION("GOOGLETRANSLATE(A5524,""bn"",""en"")"),"Great Great Great After a long time I felt the taste of the satisfying ending of the story with such smooth acting full of impeccable dialogues.")</f>
        <v>Great Great Great After a long time I felt the taste of the satisfying ending of the story with such smooth acting full of impeccable dialogues.</v>
      </c>
      <c r="D5524" s="5"/>
      <c r="E5524" s="5"/>
      <c r="F5524" s="5"/>
      <c r="G5524" s="5"/>
      <c r="H5524" s="5"/>
      <c r="I5524" s="5"/>
      <c r="J5524" s="5"/>
      <c r="K5524" s="5"/>
      <c r="L5524" s="5"/>
      <c r="M5524" s="5"/>
      <c r="N5524" s="5"/>
      <c r="O5524" s="5"/>
      <c r="P5524" s="5"/>
      <c r="Q5524" s="5"/>
      <c r="R5524" s="5"/>
      <c r="S5524" s="5"/>
      <c r="T5524" s="5"/>
      <c r="U5524" s="5"/>
      <c r="V5524" s="5"/>
      <c r="W5524" s="5"/>
      <c r="X5524" s="5"/>
      <c r="Y5524" s="5"/>
      <c r="Z5524" s="5"/>
    </row>
    <row r="5525" spans="1:26" ht="15" x14ac:dyDescent="0.25">
      <c r="A5525" s="4" t="s">
        <v>5523</v>
      </c>
      <c r="B5525" s="4" t="s">
        <v>4550</v>
      </c>
      <c r="C5525" s="2" t="str">
        <f ca="1">IFERROR(__xludf.DUMMYFUNCTION("GOOGLETRANSLATE(A5525,""bn"",""en"")"),"The reality is that the journey of becoming a BCS cadre was very beautiful and one had to put in a lot of talent and hard work.")</f>
        <v>The reality is that the journey of becoming a BCS cadre was very beautiful and one had to put in a lot of talent and hard work.</v>
      </c>
      <c r="D5525" s="5"/>
      <c r="E5525" s="5"/>
      <c r="F5525" s="5"/>
      <c r="G5525" s="5"/>
      <c r="H5525" s="5"/>
      <c r="I5525" s="5"/>
      <c r="J5525" s="5"/>
      <c r="K5525" s="5"/>
      <c r="L5525" s="5"/>
      <c r="M5525" s="5"/>
      <c r="N5525" s="5"/>
      <c r="O5525" s="5"/>
      <c r="P5525" s="5"/>
      <c r="Q5525" s="5"/>
      <c r="R5525" s="5"/>
      <c r="S5525" s="5"/>
      <c r="T5525" s="5"/>
      <c r="U5525" s="5"/>
      <c r="V5525" s="5"/>
      <c r="W5525" s="5"/>
      <c r="X5525" s="5"/>
      <c r="Y5525" s="5"/>
      <c r="Z5525" s="5"/>
    </row>
    <row r="5526" spans="1:26" ht="15" x14ac:dyDescent="0.25">
      <c r="A5526" s="4" t="s">
        <v>5524</v>
      </c>
      <c r="B5526" s="4" t="s">
        <v>4550</v>
      </c>
      <c r="C5526" s="2" t="str">
        <f ca="1">IFERROR(__xludf.DUMMYFUNCTION("GOOGLETRANSLATE(A5526,""bn"",""en"")"),"The acting of the little boy was very beautiful, his face was very charming, he came to the foreign life and saw such a charming face, he really burst into tears.")</f>
        <v>The acting of the little boy was very beautiful, his face was very charming, he came to the foreign life and saw such a charming face, he really burst into tears.</v>
      </c>
      <c r="D5526" s="5"/>
      <c r="E5526" s="5"/>
      <c r="F5526" s="5"/>
      <c r="G5526" s="5"/>
      <c r="H5526" s="5"/>
      <c r="I5526" s="5"/>
      <c r="J5526" s="5"/>
      <c r="K5526" s="5"/>
      <c r="L5526" s="5"/>
      <c r="M5526" s="5"/>
      <c r="N5526" s="5"/>
      <c r="O5526" s="5"/>
      <c r="P5526" s="5"/>
      <c r="Q5526" s="5"/>
      <c r="R5526" s="5"/>
      <c r="S5526" s="5"/>
      <c r="T5526" s="5"/>
      <c r="U5526" s="5"/>
      <c r="V5526" s="5"/>
      <c r="W5526" s="5"/>
      <c r="X5526" s="5"/>
      <c r="Y5526" s="5"/>
      <c r="Z5526" s="5"/>
    </row>
    <row r="5527" spans="1:26" ht="15" x14ac:dyDescent="0.25">
      <c r="A5527" s="4" t="s">
        <v>5525</v>
      </c>
      <c r="B5527" s="4" t="s">
        <v>4550</v>
      </c>
      <c r="C5527" s="2" t="str">
        <f ca="1">IFERROR(__xludf.DUMMYFUNCTION("GOOGLETRANSLATE(A5527,""bn"",""en"")"),"I watched the full movie from India, it left a scar in my mind how the freedom fighters of that time were martyred, it was very heart breaking, the responsibility of all people to maintain this freedom.")</f>
        <v>I watched the full movie from India, it left a scar in my mind how the freedom fighters of that time were martyred, it was very heart breaking, the responsibility of all people to maintain this freedom.</v>
      </c>
      <c r="D5527" s="5"/>
      <c r="E5527" s="5"/>
      <c r="F5527" s="5"/>
      <c r="G5527" s="5"/>
      <c r="H5527" s="5"/>
      <c r="I5527" s="5"/>
      <c r="J5527" s="5"/>
      <c r="K5527" s="5"/>
      <c r="L5527" s="5"/>
      <c r="M5527" s="5"/>
      <c r="N5527" s="5"/>
      <c r="O5527" s="5"/>
      <c r="P5527" s="5"/>
      <c r="Q5527" s="5"/>
      <c r="R5527" s="5"/>
      <c r="S5527" s="5"/>
      <c r="T5527" s="5"/>
      <c r="U5527" s="5"/>
      <c r="V5527" s="5"/>
      <c r="W5527" s="5"/>
      <c r="X5527" s="5"/>
      <c r="Y5527" s="5"/>
      <c r="Z5527" s="5"/>
    </row>
    <row r="5528" spans="1:26" ht="15" x14ac:dyDescent="0.25">
      <c r="A5528" s="4" t="s">
        <v>5526</v>
      </c>
      <c r="B5528" s="4" t="s">
        <v>4550</v>
      </c>
      <c r="C5528" s="2" t="str">
        <f ca="1">IFERROR(__xludf.DUMMYFUNCTION("GOOGLETRANSLATE(A5528,""bn"",""en"")"),"It was a family photo")</f>
        <v>It was a family photo</v>
      </c>
      <c r="D5528" s="5"/>
      <c r="E5528" s="5"/>
      <c r="F5528" s="5"/>
      <c r="G5528" s="5"/>
      <c r="H5528" s="5"/>
      <c r="I5528" s="5"/>
      <c r="J5528" s="5"/>
      <c r="K5528" s="5"/>
      <c r="L5528" s="5"/>
      <c r="M5528" s="5"/>
      <c r="N5528" s="5"/>
      <c r="O5528" s="5"/>
      <c r="P5528" s="5"/>
      <c r="Q5528" s="5"/>
      <c r="R5528" s="5"/>
      <c r="S5528" s="5"/>
      <c r="T5528" s="5"/>
      <c r="U5528" s="5"/>
      <c r="V5528" s="5"/>
      <c r="W5528" s="5"/>
      <c r="X5528" s="5"/>
      <c r="Y5528" s="5"/>
      <c r="Z5528" s="5"/>
    </row>
    <row r="5529" spans="1:26" ht="15" x14ac:dyDescent="0.25">
      <c r="A5529" s="4" t="s">
        <v>5527</v>
      </c>
      <c r="B5529" s="4" t="s">
        <v>4550</v>
      </c>
      <c r="C5529" s="2" t="str">
        <f ca="1">IFERROR(__xludf.DUMMYFUNCTION("GOOGLETRANSLATE(A5529,""bn"",""en"")"),"I couldn't hold back my tears as many times as I saw the last scene of the film")</f>
        <v>I couldn't hold back my tears as many times as I saw the last scene of the film</v>
      </c>
      <c r="D5529" s="5"/>
      <c r="E5529" s="5"/>
      <c r="F5529" s="5"/>
      <c r="G5529" s="5"/>
      <c r="H5529" s="5"/>
      <c r="I5529" s="5"/>
      <c r="J5529" s="5"/>
      <c r="K5529" s="5"/>
      <c r="L5529" s="5"/>
      <c r="M5529" s="5"/>
      <c r="N5529" s="5"/>
      <c r="O5529" s="5"/>
      <c r="P5529" s="5"/>
      <c r="Q5529" s="5"/>
      <c r="R5529" s="5"/>
      <c r="S5529" s="5"/>
      <c r="T5529" s="5"/>
      <c r="U5529" s="5"/>
      <c r="V5529" s="5"/>
      <c r="W5529" s="5"/>
      <c r="X5529" s="5"/>
      <c r="Y5529" s="5"/>
      <c r="Z5529" s="5"/>
    </row>
    <row r="5530" spans="1:26" ht="15" x14ac:dyDescent="0.25">
      <c r="A5530" s="4" t="s">
        <v>5528</v>
      </c>
      <c r="B5530" s="4" t="s">
        <v>4550</v>
      </c>
      <c r="C5530" s="2" t="str">
        <f ca="1">IFERROR(__xludf.DUMMYFUNCTION("GOOGLETRANSLATE(A5530,""bn"",""en"")"),"It didn't feel good")</f>
        <v>It didn't feel good</v>
      </c>
      <c r="D5530" s="5"/>
      <c r="E5530" s="5"/>
      <c r="F5530" s="5"/>
      <c r="G5530" s="5"/>
      <c r="H5530" s="5"/>
      <c r="I5530" s="5"/>
      <c r="J5530" s="5"/>
      <c r="K5530" s="5"/>
      <c r="L5530" s="5"/>
      <c r="M5530" s="5"/>
      <c r="N5530" s="5"/>
      <c r="O5530" s="5"/>
      <c r="P5530" s="5"/>
      <c r="Q5530" s="5"/>
      <c r="R5530" s="5"/>
      <c r="S5530" s="5"/>
      <c r="T5530" s="5"/>
      <c r="U5530" s="5"/>
      <c r="V5530" s="5"/>
      <c r="W5530" s="5"/>
      <c r="X5530" s="5"/>
      <c r="Y5530" s="5"/>
      <c r="Z5530" s="5"/>
    </row>
    <row r="5531" spans="1:26" ht="15" x14ac:dyDescent="0.25">
      <c r="A5531" s="4" t="s">
        <v>5529</v>
      </c>
      <c r="B5531" s="4" t="s">
        <v>4550</v>
      </c>
      <c r="C5531" s="2" t="str">
        <f ca="1">IFERROR(__xludf.DUMMYFUNCTION("GOOGLETRANSLATE(A5531,""bn"",""en"")"),"Anant Jalil used to get a smile when he saw him, it seemed that he acted very hard")</f>
        <v>Anant Jalil used to get a smile when he saw him, it seemed that he acted very hard</v>
      </c>
      <c r="D5531" s="5"/>
      <c r="E5531" s="5"/>
      <c r="F5531" s="5"/>
      <c r="G5531" s="5"/>
      <c r="H5531" s="5"/>
      <c r="I5531" s="5"/>
      <c r="J5531" s="5"/>
      <c r="K5531" s="5"/>
      <c r="L5531" s="5"/>
      <c r="M5531" s="5"/>
      <c r="N5531" s="5"/>
      <c r="O5531" s="5"/>
      <c r="P5531" s="5"/>
      <c r="Q5531" s="5"/>
      <c r="R5531" s="5"/>
      <c r="S5531" s="5"/>
      <c r="T5531" s="5"/>
      <c r="U5531" s="5"/>
      <c r="V5531" s="5"/>
      <c r="W5531" s="5"/>
      <c r="X5531" s="5"/>
      <c r="Y5531" s="5"/>
      <c r="Z5531" s="5"/>
    </row>
    <row r="5532" spans="1:26" ht="15" x14ac:dyDescent="0.25">
      <c r="A5532" s="4" t="s">
        <v>5530</v>
      </c>
      <c r="B5532" s="4" t="s">
        <v>4550</v>
      </c>
      <c r="C5532" s="2" t="str">
        <f ca="1">IFERROR(__xludf.DUMMYFUNCTION("GOOGLETRANSLATE(A5532,""bn"",""en"")"),"In one word, it was really amazing")</f>
        <v>In one word, it was really amazing</v>
      </c>
      <c r="D5532" s="5"/>
      <c r="E5532" s="5"/>
      <c r="F5532" s="5"/>
      <c r="G5532" s="5"/>
      <c r="H5532" s="5"/>
      <c r="I5532" s="5"/>
      <c r="J5532" s="5"/>
      <c r="K5532" s="5"/>
      <c r="L5532" s="5"/>
      <c r="M5532" s="5"/>
      <c r="N5532" s="5"/>
      <c r="O5532" s="5"/>
      <c r="P5532" s="5"/>
      <c r="Q5532" s="5"/>
      <c r="R5532" s="5"/>
      <c r="S5532" s="5"/>
      <c r="T5532" s="5"/>
      <c r="U5532" s="5"/>
      <c r="V5532" s="5"/>
      <c r="W5532" s="5"/>
      <c r="X5532" s="5"/>
      <c r="Y5532" s="5"/>
      <c r="Z5532" s="5"/>
    </row>
    <row r="5533" spans="1:26" ht="15" x14ac:dyDescent="0.25">
      <c r="A5533" s="4" t="s">
        <v>5531</v>
      </c>
      <c r="B5533" s="4" t="s">
        <v>4550</v>
      </c>
      <c r="C5533" s="2" t="str">
        <f ca="1">IFERROR(__xludf.DUMMYFUNCTION("GOOGLETRANSLATE(A5533,""bn"",""en"")"),"I don't understand why there is no story in the current movie")</f>
        <v>I don't understand why there is no story in the current movie</v>
      </c>
      <c r="D5533" s="5"/>
      <c r="E5533" s="5"/>
      <c r="F5533" s="5"/>
      <c r="G5533" s="5"/>
      <c r="H5533" s="5"/>
      <c r="I5533" s="5"/>
      <c r="J5533" s="5"/>
      <c r="K5533" s="5"/>
      <c r="L5533" s="5"/>
      <c r="M5533" s="5"/>
      <c r="N5533" s="5"/>
      <c r="O5533" s="5"/>
      <c r="P5533" s="5"/>
      <c r="Q5533" s="5"/>
      <c r="R5533" s="5"/>
      <c r="S5533" s="5"/>
      <c r="T5533" s="5"/>
      <c r="U5533" s="5"/>
      <c r="V5533" s="5"/>
      <c r="W5533" s="5"/>
      <c r="X5533" s="5"/>
      <c r="Y5533" s="5"/>
      <c r="Z5533" s="5"/>
    </row>
    <row r="5534" spans="1:26" ht="15" x14ac:dyDescent="0.25">
      <c r="A5534" s="4" t="s">
        <v>5532</v>
      </c>
      <c r="B5534" s="4" t="s">
        <v>4550</v>
      </c>
      <c r="C5534" s="2" t="str">
        <f ca="1">IFERROR(__xludf.DUMMYFUNCTION("GOOGLETRANSLATE(A5534,""bn"",""en"")"),"Like the movie, the songs were all absolutely amazing")</f>
        <v>Like the movie, the songs were all absolutely amazing</v>
      </c>
      <c r="D5534" s="5"/>
      <c r="E5534" s="5"/>
      <c r="F5534" s="5"/>
      <c r="G5534" s="5"/>
      <c r="H5534" s="5"/>
      <c r="I5534" s="5"/>
      <c r="J5534" s="5"/>
      <c r="K5534" s="5"/>
      <c r="L5534" s="5"/>
      <c r="M5534" s="5"/>
      <c r="N5534" s="5"/>
      <c r="O5534" s="5"/>
      <c r="P5534" s="5"/>
      <c r="Q5534" s="5"/>
      <c r="R5534" s="5"/>
      <c r="S5534" s="5"/>
      <c r="T5534" s="5"/>
      <c r="U5534" s="5"/>
      <c r="V5534" s="5"/>
      <c r="W5534" s="5"/>
      <c r="X5534" s="5"/>
      <c r="Y5534" s="5"/>
      <c r="Z5534" s="5"/>
    </row>
    <row r="5535" spans="1:26" ht="15" x14ac:dyDescent="0.25">
      <c r="A5535" s="4" t="s">
        <v>5533</v>
      </c>
      <c r="B5535" s="4" t="s">
        <v>4550</v>
      </c>
      <c r="C5535" s="2" t="str">
        <f ca="1">IFERROR(__xludf.DUMMYFUNCTION("GOOGLETRANSLATE(A5535,""bn"",""en"")"),"I can't say how much I liked it")</f>
        <v>I can't say how much I liked it</v>
      </c>
      <c r="D5535" s="5"/>
      <c r="E5535" s="5"/>
      <c r="F5535" s="5"/>
      <c r="G5535" s="5"/>
      <c r="H5535" s="5"/>
      <c r="I5535" s="5"/>
      <c r="J5535" s="5"/>
      <c r="K5535" s="5"/>
      <c r="L5535" s="5"/>
      <c r="M5535" s="5"/>
      <c r="N5535" s="5"/>
      <c r="O5535" s="5"/>
      <c r="P5535" s="5"/>
      <c r="Q5535" s="5"/>
      <c r="R5535" s="5"/>
      <c r="S5535" s="5"/>
      <c r="T5535" s="5"/>
      <c r="U5535" s="5"/>
      <c r="V5535" s="5"/>
      <c r="W5535" s="5"/>
      <c r="X5535" s="5"/>
      <c r="Y5535" s="5"/>
      <c r="Z5535" s="5"/>
    </row>
    <row r="5536" spans="1:26" ht="15" x14ac:dyDescent="0.25">
      <c r="A5536" s="4" t="s">
        <v>5534</v>
      </c>
      <c r="B5536" s="4" t="s">
        <v>4550</v>
      </c>
      <c r="C5536" s="2" t="str">
        <f ca="1">IFERROR(__xludf.DUMMYFUNCTION("GOOGLETRANSLATE(A5536,""bn"",""en"")"),"It was a very beautiful movie, Shabnoor, I used to pray that you will live for the rest of your life")</f>
        <v>It was a very beautiful movie, Shabnoor, I used to pray that you will live for the rest of your life</v>
      </c>
      <c r="D5536" s="5"/>
      <c r="E5536" s="5"/>
      <c r="F5536" s="5"/>
      <c r="G5536" s="5"/>
      <c r="H5536" s="5"/>
      <c r="I5536" s="5"/>
      <c r="J5536" s="5"/>
      <c r="K5536" s="5"/>
      <c r="L5536" s="5"/>
      <c r="M5536" s="5"/>
      <c r="N5536" s="5"/>
      <c r="O5536" s="5"/>
      <c r="P5536" s="5"/>
      <c r="Q5536" s="5"/>
      <c r="R5536" s="5"/>
      <c r="S5536" s="5"/>
      <c r="T5536" s="5"/>
      <c r="U5536" s="5"/>
      <c r="V5536" s="5"/>
      <c r="W5536" s="5"/>
      <c r="X5536" s="5"/>
      <c r="Y5536" s="5"/>
      <c r="Z5536" s="5"/>
    </row>
    <row r="5537" spans="1:26" ht="15" x14ac:dyDescent="0.25">
      <c r="A5537" s="4" t="s">
        <v>5535</v>
      </c>
      <c r="B5537" s="4" t="s">
        <v>4550</v>
      </c>
      <c r="C5537" s="2" t="str">
        <f ca="1">IFERROR(__xludf.DUMMYFUNCTION("GOOGLETRANSLATE(A5537,""bn"",""en"")"),"After a long time I saw the madness of the madman")</f>
        <v>After a long time I saw the madness of the madman</v>
      </c>
      <c r="D5537" s="5"/>
      <c r="E5537" s="5"/>
      <c r="F5537" s="5"/>
      <c r="G5537" s="5"/>
      <c r="H5537" s="5"/>
      <c r="I5537" s="5"/>
      <c r="J5537" s="5"/>
      <c r="K5537" s="5"/>
      <c r="L5537" s="5"/>
      <c r="M5537" s="5"/>
      <c r="N5537" s="5"/>
      <c r="O5537" s="5"/>
      <c r="P5537" s="5"/>
      <c r="Q5537" s="5"/>
      <c r="R5537" s="5"/>
      <c r="S5537" s="5"/>
      <c r="T5537" s="5"/>
      <c r="U5537" s="5"/>
      <c r="V5537" s="5"/>
      <c r="W5537" s="5"/>
      <c r="X5537" s="5"/>
      <c r="Y5537" s="5"/>
      <c r="Z5537" s="5"/>
    </row>
    <row r="5538" spans="1:26" ht="15" x14ac:dyDescent="0.25">
      <c r="A5538" s="4" t="s">
        <v>5536</v>
      </c>
      <c r="B5538" s="4" t="s">
        <v>4550</v>
      </c>
      <c r="C5538" s="2" t="str">
        <f ca="1">IFERROR(__xludf.DUMMYFUNCTION("GOOGLETRANSLATE(A5538,""bn"",""en"")"),"Is it crazy that these were the scandals of the movie")</f>
        <v>Is it crazy that these were the scandals of the movie</v>
      </c>
      <c r="D5538" s="5"/>
      <c r="E5538" s="5"/>
      <c r="F5538" s="5"/>
      <c r="G5538" s="5"/>
      <c r="H5538" s="5"/>
      <c r="I5538" s="5"/>
      <c r="J5538" s="5"/>
      <c r="K5538" s="5"/>
      <c r="L5538" s="5"/>
      <c r="M5538" s="5"/>
      <c r="N5538" s="5"/>
      <c r="O5538" s="5"/>
      <c r="P5538" s="5"/>
      <c r="Q5538" s="5"/>
      <c r="R5538" s="5"/>
      <c r="S5538" s="5"/>
      <c r="T5538" s="5"/>
      <c r="U5538" s="5"/>
      <c r="V5538" s="5"/>
      <c r="W5538" s="5"/>
      <c r="X5538" s="5"/>
      <c r="Y5538" s="5"/>
      <c r="Z5538" s="5"/>
    </row>
    <row r="5539" spans="1:26" ht="15" x14ac:dyDescent="0.25">
      <c r="A5539" s="4" t="s">
        <v>5537</v>
      </c>
      <c r="B5539" s="4" t="s">
        <v>4550</v>
      </c>
      <c r="C5539" s="2" t="str">
        <f ca="1">IFERROR(__xludf.DUMMYFUNCTION("GOOGLETRANSLATE(A5539,""bn"",""en"")"),"She was very beautiful but alcoholism was a disease that ate away beautiful things")</f>
        <v>She was very beautiful but alcoholism was a disease that ate away beautiful things</v>
      </c>
      <c r="D5539" s="5"/>
      <c r="E5539" s="5"/>
      <c r="F5539" s="5"/>
      <c r="G5539" s="5"/>
      <c r="H5539" s="5"/>
      <c r="I5539" s="5"/>
      <c r="J5539" s="5"/>
      <c r="K5539" s="5"/>
      <c r="L5539" s="5"/>
      <c r="M5539" s="5"/>
      <c r="N5539" s="5"/>
      <c r="O5539" s="5"/>
      <c r="P5539" s="5"/>
      <c r="Q5539" s="5"/>
      <c r="R5539" s="5"/>
      <c r="S5539" s="5"/>
      <c r="T5539" s="5"/>
      <c r="U5539" s="5"/>
      <c r="V5539" s="5"/>
      <c r="W5539" s="5"/>
      <c r="X5539" s="5"/>
      <c r="Y5539" s="5"/>
      <c r="Z5539" s="5"/>
    </row>
    <row r="5540" spans="1:26" ht="15" x14ac:dyDescent="0.25">
      <c r="A5540" s="4" t="s">
        <v>5538</v>
      </c>
      <c r="B5540" s="4" t="s">
        <v>4550</v>
      </c>
      <c r="C5540" s="2" t="str">
        <f ca="1">IFERROR(__xludf.DUMMYFUNCTION("GOOGLETRANSLATE(A5540,""bn"",""en"")"),"Best movie of that time Anjughosh acting was great but the print would have been better but still it was a great movie.")</f>
        <v>Best movie of that time Anjughosh acting was great but the print would have been better but still it was a great movie.</v>
      </c>
      <c r="D5540" s="5"/>
      <c r="E5540" s="5"/>
      <c r="F5540" s="5"/>
      <c r="G5540" s="5"/>
      <c r="H5540" s="5"/>
      <c r="I5540" s="5"/>
      <c r="J5540" s="5"/>
      <c r="K5540" s="5"/>
      <c r="L5540" s="5"/>
      <c r="M5540" s="5"/>
      <c r="N5540" s="5"/>
      <c r="O5540" s="5"/>
      <c r="P5540" s="5"/>
      <c r="Q5540" s="5"/>
      <c r="R5540" s="5"/>
      <c r="S5540" s="5"/>
      <c r="T5540" s="5"/>
      <c r="U5540" s="5"/>
      <c r="V5540" s="5"/>
      <c r="W5540" s="5"/>
      <c r="X5540" s="5"/>
      <c r="Y5540" s="5"/>
      <c r="Z5540" s="5"/>
    </row>
    <row r="5541" spans="1:26" ht="15" x14ac:dyDescent="0.25">
      <c r="A5541" s="4" t="s">
        <v>5539</v>
      </c>
      <c r="B5541" s="4" t="s">
        <v>4550</v>
      </c>
      <c r="C5541" s="2" t="str">
        <f ca="1">IFERROR(__xludf.DUMMYFUNCTION("GOOGLETRANSLATE(A5541,""bn"",""en"")"),"I couldn't take the picture")</f>
        <v>I couldn't take the picture</v>
      </c>
      <c r="D5541" s="5"/>
      <c r="E5541" s="5"/>
      <c r="F5541" s="5"/>
      <c r="G5541" s="5"/>
      <c r="H5541" s="5"/>
      <c r="I5541" s="5"/>
      <c r="J5541" s="5"/>
      <c r="K5541" s="5"/>
      <c r="L5541" s="5"/>
      <c r="M5541" s="5"/>
      <c r="N5541" s="5"/>
      <c r="O5541" s="5"/>
      <c r="P5541" s="5"/>
      <c r="Q5541" s="5"/>
      <c r="R5541" s="5"/>
      <c r="S5541" s="5"/>
      <c r="T5541" s="5"/>
      <c r="U5541" s="5"/>
      <c r="V5541" s="5"/>
      <c r="W5541" s="5"/>
      <c r="X5541" s="5"/>
      <c r="Y5541" s="5"/>
      <c r="Z5541" s="5"/>
    </row>
    <row r="5542" spans="1:26" ht="15" x14ac:dyDescent="0.25">
      <c r="A5542" s="4" t="s">
        <v>5540</v>
      </c>
      <c r="B5542" s="4" t="s">
        <v>4550</v>
      </c>
      <c r="C5542" s="2" t="str">
        <f ca="1">IFERROR(__xludf.DUMMYFUNCTION("GOOGLETRANSLATE(A5542,""bn"",""en"")"),"I saw such a beautiful action movie of Bangladesh after a long time")</f>
        <v>I saw such a beautiful action movie of Bangladesh after a long time</v>
      </c>
      <c r="D5542" s="5"/>
      <c r="E5542" s="5"/>
      <c r="F5542" s="5"/>
      <c r="G5542" s="5"/>
      <c r="H5542" s="5"/>
      <c r="I5542" s="5"/>
      <c r="J5542" s="5"/>
      <c r="K5542" s="5"/>
      <c r="L5542" s="5"/>
      <c r="M5542" s="5"/>
      <c r="N5542" s="5"/>
      <c r="O5542" s="5"/>
      <c r="P5542" s="5"/>
      <c r="Q5542" s="5"/>
      <c r="R5542" s="5"/>
      <c r="S5542" s="5"/>
      <c r="T5542" s="5"/>
      <c r="U5542" s="5"/>
      <c r="V5542" s="5"/>
      <c r="W5542" s="5"/>
      <c r="X5542" s="5"/>
      <c r="Y5542" s="5"/>
      <c r="Z5542" s="5"/>
    </row>
    <row r="5543" spans="1:26" ht="15" x14ac:dyDescent="0.25">
      <c r="A5543" s="4" t="s">
        <v>5541</v>
      </c>
      <c r="B5543" s="4" t="s">
        <v>4550</v>
      </c>
      <c r="C5543" s="2" t="str">
        <f ca="1">IFERROR(__xludf.DUMMYFUNCTION("GOOGLETRANSLATE(A5543,""bn"",""en"")"),"It is Gram Bangla Kapano Prosenjit blockbuster movie")</f>
        <v>It is Gram Bangla Kapano Prosenjit blockbuster movie</v>
      </c>
      <c r="D5543" s="5"/>
      <c r="E5543" s="5"/>
      <c r="F5543" s="5"/>
      <c r="G5543" s="5"/>
      <c r="H5543" s="5"/>
      <c r="I5543" s="5"/>
      <c r="J5543" s="5"/>
      <c r="K5543" s="5"/>
      <c r="L5543" s="5"/>
      <c r="M5543" s="5"/>
      <c r="N5543" s="5"/>
      <c r="O5543" s="5"/>
      <c r="P5543" s="5"/>
      <c r="Q5543" s="5"/>
      <c r="R5543" s="5"/>
      <c r="S5543" s="5"/>
      <c r="T5543" s="5"/>
      <c r="U5543" s="5"/>
      <c r="V5543" s="5"/>
      <c r="W5543" s="5"/>
      <c r="X5543" s="5"/>
      <c r="Y5543" s="5"/>
      <c r="Z5543" s="5"/>
    </row>
    <row r="5544" spans="1:26" ht="15" x14ac:dyDescent="0.25">
      <c r="A5544" s="4" t="s">
        <v>5542</v>
      </c>
      <c r="B5544" s="4" t="s">
        <v>4550</v>
      </c>
      <c r="C5544" s="2" t="str">
        <f ca="1">IFERROR(__xludf.DUMMYFUNCTION("GOOGLETRANSLATE(A5544,""bn"",""en"")"),"The movie was quite old but the story that was revealed was really amazing")</f>
        <v>The movie was quite old but the story that was revealed was really amazing</v>
      </c>
      <c r="D5544" s="5"/>
      <c r="E5544" s="5"/>
      <c r="F5544" s="5"/>
      <c r="G5544" s="5"/>
      <c r="H5544" s="5"/>
      <c r="I5544" s="5"/>
      <c r="J5544" s="5"/>
      <c r="K5544" s="5"/>
      <c r="L5544" s="5"/>
      <c r="M5544" s="5"/>
      <c r="N5544" s="5"/>
      <c r="O5544" s="5"/>
      <c r="P5544" s="5"/>
      <c r="Q5544" s="5"/>
      <c r="R5544" s="5"/>
      <c r="S5544" s="5"/>
      <c r="T5544" s="5"/>
      <c r="U5544" s="5"/>
      <c r="V5544" s="5"/>
      <c r="W5544" s="5"/>
      <c r="X5544" s="5"/>
      <c r="Y5544" s="5"/>
      <c r="Z5544" s="5"/>
    </row>
    <row r="5545" spans="1:26" ht="15" x14ac:dyDescent="0.25">
      <c r="A5545" s="4" t="s">
        <v>5543</v>
      </c>
      <c r="B5545" s="4" t="s">
        <v>4550</v>
      </c>
      <c r="C5545" s="2" t="str">
        <f ca="1">IFERROR(__xludf.DUMMYFUNCTION("GOOGLETRANSLATE(A5545,""bn"",""en"")"),"If it was not for the donkey, no one would have seen the whole")</f>
        <v>If it was not for the donkey, no one would have seen the whole</v>
      </c>
      <c r="D5545" s="5"/>
      <c r="E5545" s="5"/>
      <c r="F5545" s="5"/>
      <c r="G5545" s="5"/>
      <c r="H5545" s="5"/>
      <c r="I5545" s="5"/>
      <c r="J5545" s="5"/>
      <c r="K5545" s="5"/>
      <c r="L5545" s="5"/>
      <c r="M5545" s="5"/>
      <c r="N5545" s="5"/>
      <c r="O5545" s="5"/>
      <c r="P5545" s="5"/>
      <c r="Q5545" s="5"/>
      <c r="R5545" s="5"/>
      <c r="S5545" s="5"/>
      <c r="T5545" s="5"/>
      <c r="U5545" s="5"/>
      <c r="V5545" s="5"/>
      <c r="W5545" s="5"/>
      <c r="X5545" s="5"/>
      <c r="Y5545" s="5"/>
      <c r="Z5545" s="5"/>
    </row>
    <row r="5546" spans="1:26" ht="15" x14ac:dyDescent="0.25">
      <c r="A5546" s="4" t="s">
        <v>5544</v>
      </c>
      <c r="B5546" s="4" t="s">
        <v>4550</v>
      </c>
      <c r="C5546" s="2" t="str">
        <f ca="1">IFERROR(__xludf.DUMMYFUNCTION("GOOGLETRANSLATE(A5546,""bn"",""en"")"),"It was a very funny movie as I laughed but it was very scary and I liked the scenes")</f>
        <v>It was a very funny movie as I laughed but it was very scary and I liked the scenes</v>
      </c>
      <c r="D5546" s="5"/>
      <c r="E5546" s="5"/>
      <c r="F5546" s="5"/>
      <c r="G5546" s="5"/>
      <c r="H5546" s="5"/>
      <c r="I5546" s="5"/>
      <c r="J5546" s="5"/>
      <c r="K5546" s="5"/>
      <c r="L5546" s="5"/>
      <c r="M5546" s="5"/>
      <c r="N5546" s="5"/>
      <c r="O5546" s="5"/>
      <c r="P5546" s="5"/>
      <c r="Q5546" s="5"/>
      <c r="R5546" s="5"/>
      <c r="S5546" s="5"/>
      <c r="T5546" s="5"/>
      <c r="U5546" s="5"/>
      <c r="V5546" s="5"/>
      <c r="W5546" s="5"/>
      <c r="X5546" s="5"/>
      <c r="Y5546" s="5"/>
      <c r="Z5546" s="5"/>
    </row>
    <row r="5547" spans="1:26" ht="15" x14ac:dyDescent="0.25">
      <c r="A5547" s="4" t="s">
        <v>5545</v>
      </c>
      <c r="B5547" s="4" t="s">
        <v>4550</v>
      </c>
      <c r="C5547" s="2" t="str">
        <f ca="1">IFERROR(__xludf.DUMMYFUNCTION("GOOGLETRANSLATE(A5547,""bn"",""en"")"),"What was the pronunciation?")</f>
        <v>What was the pronunciation?</v>
      </c>
      <c r="D5547" s="5"/>
      <c r="E5547" s="5"/>
      <c r="F5547" s="5"/>
      <c r="G5547" s="5"/>
      <c r="H5547" s="5"/>
      <c r="I5547" s="5"/>
      <c r="J5547" s="5"/>
      <c r="K5547" s="5"/>
      <c r="L5547" s="5"/>
      <c r="M5547" s="5"/>
      <c r="N5547" s="5"/>
      <c r="O5547" s="5"/>
      <c r="P5547" s="5"/>
      <c r="Q5547" s="5"/>
      <c r="R5547" s="5"/>
      <c r="S5547" s="5"/>
      <c r="T5547" s="5"/>
      <c r="U5547" s="5"/>
      <c r="V5547" s="5"/>
      <c r="W5547" s="5"/>
      <c r="X5547" s="5"/>
      <c r="Y5547" s="5"/>
      <c r="Z5547" s="5"/>
    </row>
    <row r="5548" spans="1:26" ht="15" x14ac:dyDescent="0.25">
      <c r="A5548" s="4" t="s">
        <v>5546</v>
      </c>
      <c r="B5548" s="4" t="s">
        <v>4550</v>
      </c>
      <c r="C5548" s="2" t="str">
        <f ca="1">IFERROR(__xludf.DUMMYFUNCTION("GOOGLETRANSLATE(A5548,""bn"",""en"")"),"The fun of watching these movies was different as long as I watched them")</f>
        <v>The fun of watching these movies was different as long as I watched them</v>
      </c>
      <c r="D5548" s="5"/>
      <c r="E5548" s="5"/>
      <c r="F5548" s="5"/>
      <c r="G5548" s="5"/>
      <c r="H5548" s="5"/>
      <c r="I5548" s="5"/>
      <c r="J5548" s="5"/>
      <c r="K5548" s="5"/>
      <c r="L5548" s="5"/>
      <c r="M5548" s="5"/>
      <c r="N5548" s="5"/>
      <c r="O5548" s="5"/>
      <c r="P5548" s="5"/>
      <c r="Q5548" s="5"/>
      <c r="R5548" s="5"/>
      <c r="S5548" s="5"/>
      <c r="T5548" s="5"/>
      <c r="U5548" s="5"/>
      <c r="V5548" s="5"/>
      <c r="W5548" s="5"/>
      <c r="X5548" s="5"/>
      <c r="Y5548" s="5"/>
      <c r="Z5548" s="5"/>
    </row>
    <row r="5549" spans="1:26" ht="15" x14ac:dyDescent="0.25">
      <c r="A5549" s="4" t="s">
        <v>5547</v>
      </c>
      <c r="B5549" s="4" t="s">
        <v>4550</v>
      </c>
      <c r="C5549" s="2" t="str">
        <f ca="1">IFERROR(__xludf.DUMMYFUNCTION("GOOGLETRANSLATE(A5549,""bn"",""en"")"),"It was a wonderful romantic melodious movie")</f>
        <v>It was a wonderful romantic melodious movie</v>
      </c>
      <c r="D5549" s="5"/>
      <c r="E5549" s="5"/>
      <c r="F5549" s="5"/>
      <c r="G5549" s="5"/>
      <c r="H5549" s="5"/>
      <c r="I5549" s="5"/>
      <c r="J5549" s="5"/>
      <c r="K5549" s="5"/>
      <c r="L5549" s="5"/>
      <c r="M5549" s="5"/>
      <c r="N5549" s="5"/>
      <c r="O5549" s="5"/>
      <c r="P5549" s="5"/>
      <c r="Q5549" s="5"/>
      <c r="R5549" s="5"/>
      <c r="S5549" s="5"/>
      <c r="T5549" s="5"/>
      <c r="U5549" s="5"/>
      <c r="V5549" s="5"/>
      <c r="W5549" s="5"/>
      <c r="X5549" s="5"/>
      <c r="Y5549" s="5"/>
      <c r="Z5549" s="5"/>
    </row>
    <row r="5550" spans="1:26" ht="15" x14ac:dyDescent="0.25">
      <c r="A5550" s="4" t="s">
        <v>5548</v>
      </c>
      <c r="B5550" s="4" t="s">
        <v>4550</v>
      </c>
      <c r="C5550" s="2" t="str">
        <f ca="1">IFERROR(__xludf.DUMMYFUNCTION("GOOGLETRANSLATE(A5550,""bn"",""en"")"),"The movie was really amazing and Riaz and Purnima were the best pair")</f>
        <v>The movie was really amazing and Riaz and Purnima were the best pair</v>
      </c>
      <c r="D5550" s="5"/>
      <c r="E5550" s="5"/>
      <c r="F5550" s="5"/>
      <c r="G5550" s="5"/>
      <c r="H5550" s="5"/>
      <c r="I5550" s="5"/>
      <c r="J5550" s="5"/>
      <c r="K5550" s="5"/>
      <c r="L5550" s="5"/>
      <c r="M5550" s="5"/>
      <c r="N5550" s="5"/>
      <c r="O5550" s="5"/>
      <c r="P5550" s="5"/>
      <c r="Q5550" s="5"/>
      <c r="R5550" s="5"/>
      <c r="S5550" s="5"/>
      <c r="T5550" s="5"/>
      <c r="U5550" s="5"/>
      <c r="V5550" s="5"/>
      <c r="W5550" s="5"/>
      <c r="X5550" s="5"/>
      <c r="Y5550" s="5"/>
      <c r="Z5550" s="5"/>
    </row>
    <row r="5551" spans="1:26" ht="15" x14ac:dyDescent="0.25">
      <c r="A5551" s="4" t="s">
        <v>5549</v>
      </c>
      <c r="B5551" s="4" t="s">
        <v>4550</v>
      </c>
      <c r="C5551" s="2" t="str">
        <f ca="1">IFERROR(__xludf.DUMMYFUNCTION("GOOGLETRANSLATE(A5551,""bn"",""en"")"),"I didn't like Jaya's performance at all, there were many flaws")</f>
        <v>I didn't like Jaya's performance at all, there were many flaws</v>
      </c>
      <c r="D5551" s="5"/>
      <c r="E5551" s="5"/>
      <c r="F5551" s="5"/>
      <c r="G5551" s="5"/>
      <c r="H5551" s="5"/>
      <c r="I5551" s="5"/>
      <c r="J5551" s="5"/>
      <c r="K5551" s="5"/>
      <c r="L5551" s="5"/>
      <c r="M5551" s="5"/>
      <c r="N5551" s="5"/>
      <c r="O5551" s="5"/>
      <c r="P5551" s="5"/>
      <c r="Q5551" s="5"/>
      <c r="R5551" s="5"/>
      <c r="S5551" s="5"/>
      <c r="T5551" s="5"/>
      <c r="U5551" s="5"/>
      <c r="V5551" s="5"/>
      <c r="W5551" s="5"/>
      <c r="X5551" s="5"/>
      <c r="Y5551" s="5"/>
      <c r="Z5551" s="5"/>
    </row>
    <row r="5552" spans="1:26" ht="15" x14ac:dyDescent="0.25">
      <c r="A5552" s="4" t="s">
        <v>5550</v>
      </c>
      <c r="B5552" s="4" t="s">
        <v>4550</v>
      </c>
      <c r="C5552" s="2" t="str">
        <f ca="1">IFERROR(__xludf.DUMMYFUNCTION("GOOGLETRANSLATE(A5552,""bn"",""en"")"),"This movie was copied from Telugu movie Bommarilu")</f>
        <v>This movie was copied from Telugu movie Bommarilu</v>
      </c>
      <c r="D5552" s="5"/>
      <c r="E5552" s="5"/>
      <c r="F5552" s="5"/>
      <c r="G5552" s="5"/>
      <c r="H5552" s="5"/>
      <c r="I5552" s="5"/>
      <c r="J5552" s="5"/>
      <c r="K5552" s="5"/>
      <c r="L5552" s="5"/>
      <c r="M5552" s="5"/>
      <c r="N5552" s="5"/>
      <c r="O5552" s="5"/>
      <c r="P5552" s="5"/>
      <c r="Q5552" s="5"/>
      <c r="R5552" s="5"/>
      <c r="S5552" s="5"/>
      <c r="T5552" s="5"/>
      <c r="U5552" s="5"/>
      <c r="V5552" s="5"/>
      <c r="W5552" s="5"/>
      <c r="X5552" s="5"/>
      <c r="Y5552" s="5"/>
      <c r="Z5552" s="5"/>
    </row>
    <row r="5553" spans="1:26" ht="15" x14ac:dyDescent="0.25">
      <c r="A5553" s="4" t="s">
        <v>5551</v>
      </c>
      <c r="B5553" s="4" t="s">
        <v>4550</v>
      </c>
      <c r="C5553" s="2" t="str">
        <f ca="1">IFERROR(__xludf.DUMMYFUNCTION("GOOGLETRANSLATE(A5553,""bn"",""en"")"),"I have never seen such a horrible movie")</f>
        <v>I have never seen such a horrible movie</v>
      </c>
      <c r="D5553" s="5"/>
      <c r="E5553" s="5"/>
      <c r="F5553" s="5"/>
      <c r="G5553" s="5"/>
      <c r="H5553" s="5"/>
      <c r="I5553" s="5"/>
      <c r="J5553" s="5"/>
      <c r="K5553" s="5"/>
      <c r="L5553" s="5"/>
      <c r="M5553" s="5"/>
      <c r="N5553" s="5"/>
      <c r="O5553" s="5"/>
      <c r="P5553" s="5"/>
      <c r="Q5553" s="5"/>
      <c r="R5553" s="5"/>
      <c r="S5553" s="5"/>
      <c r="T5553" s="5"/>
      <c r="U5553" s="5"/>
      <c r="V5553" s="5"/>
      <c r="W5553" s="5"/>
      <c r="X5553" s="5"/>
      <c r="Y5553" s="5"/>
      <c r="Z5553" s="5"/>
    </row>
    <row r="5554" spans="1:26" ht="15" x14ac:dyDescent="0.25">
      <c r="A5554" s="4" t="s">
        <v>5552</v>
      </c>
      <c r="B5554" s="4" t="s">
        <v>4550</v>
      </c>
      <c r="C5554" s="2" t="str">
        <f ca="1">IFERROR(__xludf.DUMMYFUNCTION("GOOGLETRANSLATE(A5554,""bn"",""en"")"),"It was very beautiful. I watched that movie many times")</f>
        <v>It was very beautiful. I watched that movie many times</v>
      </c>
      <c r="D5554" s="5"/>
      <c r="E5554" s="5"/>
      <c r="F5554" s="5"/>
      <c r="G5554" s="5"/>
      <c r="H5554" s="5"/>
      <c r="I5554" s="5"/>
      <c r="J5554" s="5"/>
      <c r="K5554" s="5"/>
      <c r="L5554" s="5"/>
      <c r="M5554" s="5"/>
      <c r="N5554" s="5"/>
      <c r="O5554" s="5"/>
      <c r="P5554" s="5"/>
      <c r="Q5554" s="5"/>
      <c r="R5554" s="5"/>
      <c r="S5554" s="5"/>
      <c r="T5554" s="5"/>
      <c r="U5554" s="5"/>
      <c r="V5554" s="5"/>
      <c r="W5554" s="5"/>
      <c r="X5554" s="5"/>
      <c r="Y5554" s="5"/>
      <c r="Z5554" s="5"/>
    </row>
    <row r="5555" spans="1:26" ht="15" x14ac:dyDescent="0.25">
      <c r="A5555" s="4" t="s">
        <v>5553</v>
      </c>
      <c r="B5555" s="4" t="s">
        <v>4550</v>
      </c>
      <c r="C5555" s="2" t="str">
        <f ca="1">IFERROR(__xludf.DUMMYFUNCTION("GOOGLETRANSLATE(A5555,""bn"",""en"")"),"It looked like I was watching a Bengali serial")</f>
        <v>It looked like I was watching a Bengali serial</v>
      </c>
      <c r="D5555" s="5"/>
      <c r="E5555" s="5"/>
      <c r="F5555" s="5"/>
      <c r="G5555" s="5"/>
      <c r="H5555" s="5"/>
      <c r="I5555" s="5"/>
      <c r="J5555" s="5"/>
      <c r="K5555" s="5"/>
      <c r="L5555" s="5"/>
      <c r="M5555" s="5"/>
      <c r="N5555" s="5"/>
      <c r="O5555" s="5"/>
      <c r="P5555" s="5"/>
      <c r="Q5555" s="5"/>
      <c r="R5555" s="5"/>
      <c r="S5555" s="5"/>
      <c r="T5555" s="5"/>
      <c r="U5555" s="5"/>
      <c r="V5555" s="5"/>
      <c r="W5555" s="5"/>
      <c r="X5555" s="5"/>
      <c r="Y5555" s="5"/>
      <c r="Z5555" s="5"/>
    </row>
    <row r="5556" spans="1:26" ht="15" x14ac:dyDescent="0.25">
      <c r="A5556" s="4" t="s">
        <v>5554</v>
      </c>
      <c r="B5556" s="4" t="s">
        <v>4550</v>
      </c>
      <c r="C5556" s="2" t="str">
        <f ca="1">IFERROR(__xludf.DUMMYFUNCTION("GOOGLETRANSLATE(A5556,""bn"",""en"")"),"This was a ghost movie")</f>
        <v>This was a ghost movie</v>
      </c>
      <c r="D5556" s="5"/>
      <c r="E5556" s="5"/>
      <c r="F5556" s="5"/>
      <c r="G5556" s="5"/>
      <c r="H5556" s="5"/>
      <c r="I5556" s="5"/>
      <c r="J5556" s="5"/>
      <c r="K5556" s="5"/>
      <c r="L5556" s="5"/>
      <c r="M5556" s="5"/>
      <c r="N5556" s="5"/>
      <c r="O5556" s="5"/>
      <c r="P5556" s="5"/>
      <c r="Q5556" s="5"/>
      <c r="R5556" s="5"/>
      <c r="S5556" s="5"/>
      <c r="T5556" s="5"/>
      <c r="U5556" s="5"/>
      <c r="V5556" s="5"/>
      <c r="W5556" s="5"/>
      <c r="X5556" s="5"/>
      <c r="Y5556" s="5"/>
      <c r="Z5556" s="5"/>
    </row>
    <row r="5557" spans="1:26" ht="15" x14ac:dyDescent="0.25">
      <c r="A5557" s="4" t="s">
        <v>5555</v>
      </c>
      <c r="B5557" s="4" t="s">
        <v>4550</v>
      </c>
      <c r="C5557" s="2" t="str">
        <f ca="1">IFERROR(__xludf.DUMMYFUNCTION("GOOGLETRANSLATE(A5557,""bn"",""en"")"),"I had no words to say, my eyes were watery after watching the last part. Everyone should watch this movie. Thank you for giving me such a life changing movie.")</f>
        <v>I had no words to say, my eyes were watery after watching the last part. Everyone should watch this movie. Thank you for giving me such a life changing movie.</v>
      </c>
      <c r="D5557" s="5"/>
      <c r="E5557" s="5"/>
      <c r="F5557" s="5"/>
      <c r="G5557" s="5"/>
      <c r="H5557" s="5"/>
      <c r="I5557" s="5"/>
      <c r="J5557" s="5"/>
      <c r="K5557" s="5"/>
      <c r="L5557" s="5"/>
      <c r="M5557" s="5"/>
      <c r="N5557" s="5"/>
      <c r="O5557" s="5"/>
      <c r="P5557" s="5"/>
      <c r="Q5557" s="5"/>
      <c r="R5557" s="5"/>
      <c r="S5557" s="5"/>
      <c r="T5557" s="5"/>
      <c r="U5557" s="5"/>
      <c r="V5557" s="5"/>
      <c r="W5557" s="5"/>
      <c r="X5557" s="5"/>
      <c r="Y5557" s="5"/>
      <c r="Z5557" s="5"/>
    </row>
    <row r="5558" spans="1:26" ht="15" x14ac:dyDescent="0.25">
      <c r="A5558" s="4" t="s">
        <v>5556</v>
      </c>
      <c r="B5558" s="4" t="s">
        <v>4550</v>
      </c>
      <c r="C5558" s="2" t="str">
        <f ca="1">IFERROR(__xludf.DUMMYFUNCTION("GOOGLETRANSLATE(A5558,""bn"",""en"")"),"Every time I saw the picture, I wanted to see it again, the picture was amazing")</f>
        <v>Every time I saw the picture, I wanted to see it again, the picture was amazing</v>
      </c>
      <c r="D5558" s="5"/>
      <c r="E5558" s="5"/>
      <c r="F5558" s="5"/>
      <c r="G5558" s="5"/>
      <c r="H5558" s="5"/>
      <c r="I5558" s="5"/>
      <c r="J5558" s="5"/>
      <c r="K5558" s="5"/>
      <c r="L5558" s="5"/>
      <c r="M5558" s="5"/>
      <c r="N5558" s="5"/>
      <c r="O5558" s="5"/>
      <c r="P5558" s="5"/>
      <c r="Q5558" s="5"/>
      <c r="R5558" s="5"/>
      <c r="S5558" s="5"/>
      <c r="T5558" s="5"/>
      <c r="U5558" s="5"/>
      <c r="V5558" s="5"/>
      <c r="W5558" s="5"/>
      <c r="X5558" s="5"/>
      <c r="Y5558" s="5"/>
      <c r="Z5558" s="5"/>
    </row>
    <row r="5559" spans="1:26" ht="15" x14ac:dyDescent="0.25">
      <c r="A5559" s="4" t="s">
        <v>5557</v>
      </c>
      <c r="B5559" s="4" t="s">
        <v>4550</v>
      </c>
      <c r="C5559" s="2" t="str">
        <f ca="1">IFERROR(__xludf.DUMMYFUNCTION("GOOGLETRANSLATE(A5559,""bn"",""en"")"),"The amazing duo was Shabnoor and Shakib they were Bangladesh's greatest ever")</f>
        <v>The amazing duo was Shabnoor and Shakib they were Bangladesh's greatest ever</v>
      </c>
      <c r="D5559" s="5"/>
      <c r="E5559" s="5"/>
      <c r="F5559" s="5"/>
      <c r="G5559" s="5"/>
      <c r="H5559" s="5"/>
      <c r="I5559" s="5"/>
      <c r="J5559" s="5"/>
      <c r="K5559" s="5"/>
      <c r="L5559" s="5"/>
      <c r="M5559" s="5"/>
      <c r="N5559" s="5"/>
      <c r="O5559" s="5"/>
      <c r="P5559" s="5"/>
      <c r="Q5559" s="5"/>
      <c r="R5559" s="5"/>
      <c r="S5559" s="5"/>
      <c r="T5559" s="5"/>
      <c r="U5559" s="5"/>
      <c r="V5559" s="5"/>
      <c r="W5559" s="5"/>
      <c r="X5559" s="5"/>
      <c r="Y5559" s="5"/>
      <c r="Z5559" s="5"/>
    </row>
    <row r="5560" spans="1:26" ht="15" x14ac:dyDescent="0.25">
      <c r="A5560" s="4" t="s">
        <v>5558</v>
      </c>
      <c r="B5560" s="4" t="s">
        <v>4550</v>
      </c>
      <c r="C5560" s="2" t="str">
        <f ca="1">IFERROR(__xludf.DUMMYFUNCTION("GOOGLETRANSLATE(A5560,""bn"",""en"")"),"It was not like that")</f>
        <v>It was not like that</v>
      </c>
      <c r="D5560" s="5"/>
      <c r="E5560" s="5"/>
      <c r="F5560" s="5"/>
      <c r="G5560" s="5"/>
      <c r="H5560" s="5"/>
      <c r="I5560" s="5"/>
      <c r="J5560" s="5"/>
      <c r="K5560" s="5"/>
      <c r="L5560" s="5"/>
      <c r="M5560" s="5"/>
      <c r="N5560" s="5"/>
      <c r="O5560" s="5"/>
      <c r="P5560" s="5"/>
      <c r="Q5560" s="5"/>
      <c r="R5560" s="5"/>
      <c r="S5560" s="5"/>
      <c r="T5560" s="5"/>
      <c r="U5560" s="5"/>
      <c r="V5560" s="5"/>
      <c r="W5560" s="5"/>
      <c r="X5560" s="5"/>
      <c r="Y5560" s="5"/>
      <c r="Z5560" s="5"/>
    </row>
    <row r="5561" spans="1:26" ht="15" x14ac:dyDescent="0.25">
      <c r="A5561" s="4" t="s">
        <v>5559</v>
      </c>
      <c r="B5561" s="4" t="s">
        <v>4550</v>
      </c>
      <c r="C5561" s="2" t="str">
        <f ca="1">IFERROR(__xludf.DUMMYFUNCTION("GOOGLETRANSLATE(A5561,""bn"",""en"")"),"Dev was able to come so far as he used to watch so many movies he was doing now had no story")</f>
        <v>Dev was able to come so far as he used to watch so many movies he was doing now had no story</v>
      </c>
      <c r="D5561" s="5"/>
      <c r="E5561" s="5"/>
      <c r="F5561" s="5"/>
      <c r="G5561" s="5"/>
      <c r="H5561" s="5"/>
      <c r="I5561" s="5"/>
      <c r="J5561" s="5"/>
      <c r="K5561" s="5"/>
      <c r="L5561" s="5"/>
      <c r="M5561" s="5"/>
      <c r="N5561" s="5"/>
      <c r="O5561" s="5"/>
      <c r="P5561" s="5"/>
      <c r="Q5561" s="5"/>
      <c r="R5561" s="5"/>
      <c r="S5561" s="5"/>
      <c r="T5561" s="5"/>
      <c r="U5561" s="5"/>
      <c r="V5561" s="5"/>
      <c r="W5561" s="5"/>
      <c r="X5561" s="5"/>
      <c r="Y5561" s="5"/>
      <c r="Z5561" s="5"/>
    </row>
    <row r="5562" spans="1:26" ht="15" x14ac:dyDescent="0.25">
      <c r="A5562" s="4" t="s">
        <v>5560</v>
      </c>
      <c r="B5562" s="4" t="s">
        <v>4550</v>
      </c>
      <c r="C5562" s="2" t="str">
        <f ca="1">IFERROR(__xludf.DUMMYFUNCTION("GOOGLETRANSLATE(A5562,""bn"",""en"")"),"My favorite movie was Ghar Duar")</f>
        <v>My favorite movie was Ghar Duar</v>
      </c>
      <c r="D5562" s="5"/>
      <c r="E5562" s="5"/>
      <c r="F5562" s="5"/>
      <c r="G5562" s="5"/>
      <c r="H5562" s="5"/>
      <c r="I5562" s="5"/>
      <c r="J5562" s="5"/>
      <c r="K5562" s="5"/>
      <c r="L5562" s="5"/>
      <c r="M5562" s="5"/>
      <c r="N5562" s="5"/>
      <c r="O5562" s="5"/>
      <c r="P5562" s="5"/>
      <c r="Q5562" s="5"/>
      <c r="R5562" s="5"/>
      <c r="S5562" s="5"/>
      <c r="T5562" s="5"/>
      <c r="U5562" s="5"/>
      <c r="V5562" s="5"/>
      <c r="W5562" s="5"/>
      <c r="X5562" s="5"/>
      <c r="Y5562" s="5"/>
      <c r="Z5562" s="5"/>
    </row>
    <row r="5563" spans="1:26" ht="15" x14ac:dyDescent="0.25">
      <c r="A5563" s="4" t="s">
        <v>5561</v>
      </c>
      <c r="B5563" s="4" t="s">
        <v>4550</v>
      </c>
      <c r="C5563" s="2" t="str">
        <f ca="1">IFERROR(__xludf.DUMMYFUNCTION("GOOGLETRANSLATE(A5563,""bn"",""en"")"),"I liked the movie very much, I felt that one should live his life freely in his own way and should not be imprisoned by anyone.")</f>
        <v>I liked the movie very much, I felt that one should live his life freely in his own way and should not be imprisoned by anyone.</v>
      </c>
      <c r="D5563" s="5"/>
      <c r="E5563" s="5"/>
      <c r="F5563" s="5"/>
      <c r="G5563" s="5"/>
      <c r="H5563" s="5"/>
      <c r="I5563" s="5"/>
      <c r="J5563" s="5"/>
      <c r="K5563" s="5"/>
      <c r="L5563" s="5"/>
      <c r="M5563" s="5"/>
      <c r="N5563" s="5"/>
      <c r="O5563" s="5"/>
      <c r="P5563" s="5"/>
      <c r="Q5563" s="5"/>
      <c r="R5563" s="5"/>
      <c r="S5563" s="5"/>
      <c r="T5563" s="5"/>
      <c r="U5563" s="5"/>
      <c r="V5563" s="5"/>
      <c r="W5563" s="5"/>
      <c r="X5563" s="5"/>
      <c r="Y5563" s="5"/>
      <c r="Z5563" s="5"/>
    </row>
    <row r="5564" spans="1:26" ht="15" x14ac:dyDescent="0.25">
      <c r="A5564" s="4" t="s">
        <v>5562</v>
      </c>
      <c r="B5564" s="4" t="s">
        <v>4550</v>
      </c>
      <c r="C5564" s="2" t="str">
        <f ca="1">IFERROR(__xludf.DUMMYFUNCTION("GOOGLETRANSLATE(A5564,""bn"",""en"")"),"It's not just a movie, we had to learn a lot from this movie")</f>
        <v>It's not just a movie, we had to learn a lot from this movie</v>
      </c>
      <c r="D5564" s="5"/>
      <c r="E5564" s="5"/>
      <c r="F5564" s="5"/>
      <c r="G5564" s="5"/>
      <c r="H5564" s="5"/>
      <c r="I5564" s="5"/>
      <c r="J5564" s="5"/>
      <c r="K5564" s="5"/>
      <c r="L5564" s="5"/>
      <c r="M5564" s="5"/>
      <c r="N5564" s="5"/>
      <c r="O5564" s="5"/>
      <c r="P5564" s="5"/>
      <c r="Q5564" s="5"/>
      <c r="R5564" s="5"/>
      <c r="S5564" s="5"/>
      <c r="T5564" s="5"/>
      <c r="U5564" s="5"/>
      <c r="V5564" s="5"/>
      <c r="W5564" s="5"/>
      <c r="X5564" s="5"/>
      <c r="Y5564" s="5"/>
      <c r="Z5564" s="5"/>
    </row>
    <row r="5565" spans="1:26" ht="15" x14ac:dyDescent="0.25">
      <c r="A5565" s="4" t="s">
        <v>5563</v>
      </c>
      <c r="B5565" s="4" t="s">
        <v>4550</v>
      </c>
      <c r="C5565" s="2" t="str">
        <f ca="1">IFERROR(__xludf.DUMMYFUNCTION("GOOGLETRANSLATE(A5565,""bn"",""en"")"),"The film was ruined by dirty songs")</f>
        <v>The film was ruined by dirty songs</v>
      </c>
      <c r="D5565" s="5"/>
      <c r="E5565" s="5"/>
      <c r="F5565" s="5"/>
      <c r="G5565" s="5"/>
      <c r="H5565" s="5"/>
      <c r="I5565" s="5"/>
      <c r="J5565" s="5"/>
      <c r="K5565" s="5"/>
      <c r="L5565" s="5"/>
      <c r="M5565" s="5"/>
      <c r="N5565" s="5"/>
      <c r="O5565" s="5"/>
      <c r="P5565" s="5"/>
      <c r="Q5565" s="5"/>
      <c r="R5565" s="5"/>
      <c r="S5565" s="5"/>
      <c r="T5565" s="5"/>
      <c r="U5565" s="5"/>
      <c r="V5565" s="5"/>
      <c r="W5565" s="5"/>
      <c r="X5565" s="5"/>
      <c r="Y5565" s="5"/>
      <c r="Z5565" s="5"/>
    </row>
    <row r="5566" spans="1:26" ht="15" x14ac:dyDescent="0.25">
      <c r="A5566" s="4" t="s">
        <v>5564</v>
      </c>
      <c r="B5566" s="4" t="s">
        <v>4550</v>
      </c>
      <c r="C5566" s="2" t="str">
        <f ca="1">IFERROR(__xludf.DUMMYFUNCTION("GOOGLETRANSLATE(A5566,""bn"",""en"")"),"So many good films were made then everyone thronged the cinema hall to watch the film")</f>
        <v>So many good films were made then everyone thronged the cinema hall to watch the film</v>
      </c>
      <c r="D5566" s="5"/>
      <c r="E5566" s="5"/>
      <c r="F5566" s="5"/>
      <c r="G5566" s="5"/>
      <c r="H5566" s="5"/>
      <c r="I5566" s="5"/>
      <c r="J5566" s="5"/>
      <c r="K5566" s="5"/>
      <c r="L5566" s="5"/>
      <c r="M5566" s="5"/>
      <c r="N5566" s="5"/>
      <c r="O5566" s="5"/>
      <c r="P5566" s="5"/>
      <c r="Q5566" s="5"/>
      <c r="R5566" s="5"/>
      <c r="S5566" s="5"/>
      <c r="T5566" s="5"/>
      <c r="U5566" s="5"/>
      <c r="V5566" s="5"/>
      <c r="W5566" s="5"/>
      <c r="X5566" s="5"/>
      <c r="Y5566" s="5"/>
      <c r="Z5566" s="5"/>
    </row>
    <row r="5567" spans="1:26" ht="15" x14ac:dyDescent="0.25">
      <c r="A5567" s="4" t="s">
        <v>5565</v>
      </c>
      <c r="B5567" s="4" t="s">
        <v>4550</v>
      </c>
      <c r="C5567" s="2" t="str">
        <f ca="1">IFERROR(__xludf.DUMMYFUNCTION("GOOGLETRANSLATE(A5567,""bn"",""en"")"),"I vowed not to watch Bengali movies again because they were so bad")</f>
        <v>I vowed not to watch Bengali movies again because they were so bad</v>
      </c>
      <c r="D5567" s="5"/>
      <c r="E5567" s="5"/>
      <c r="F5567" s="5"/>
      <c r="G5567" s="5"/>
      <c r="H5567" s="5"/>
      <c r="I5567" s="5"/>
      <c r="J5567" s="5"/>
      <c r="K5567" s="5"/>
      <c r="L5567" s="5"/>
      <c r="M5567" s="5"/>
      <c r="N5567" s="5"/>
      <c r="O5567" s="5"/>
      <c r="P5567" s="5"/>
      <c r="Q5567" s="5"/>
      <c r="R5567" s="5"/>
      <c r="S5567" s="5"/>
      <c r="T5567" s="5"/>
      <c r="U5567" s="5"/>
      <c r="V5567" s="5"/>
      <c r="W5567" s="5"/>
      <c r="X5567" s="5"/>
      <c r="Y5567" s="5"/>
      <c r="Z5567" s="5"/>
    </row>
    <row r="5568" spans="1:26" ht="15" x14ac:dyDescent="0.25">
      <c r="A5568" s="4" t="s">
        <v>5566</v>
      </c>
      <c r="B5568" s="4" t="s">
        <v>4550</v>
      </c>
      <c r="C5568" s="2" t="str">
        <f ca="1">IFERROR(__xludf.DUMMYFUNCTION("GOOGLETRANSLATE(A5568,""bn"",""en"")"),"Tears came to my eyes. It was very beautiful. I felt love for Bangladesh from the movie India")</f>
        <v>Tears came to my eyes. It was very beautiful. I felt love for Bangladesh from the movie India</v>
      </c>
      <c r="D5568" s="5"/>
      <c r="E5568" s="5"/>
      <c r="F5568" s="5"/>
      <c r="G5568" s="5"/>
      <c r="H5568" s="5"/>
      <c r="I5568" s="5"/>
      <c r="J5568" s="5"/>
      <c r="K5568" s="5"/>
      <c r="L5568" s="5"/>
      <c r="M5568" s="5"/>
      <c r="N5568" s="5"/>
      <c r="O5568" s="5"/>
      <c r="P5568" s="5"/>
      <c r="Q5568" s="5"/>
      <c r="R5568" s="5"/>
      <c r="S5568" s="5"/>
      <c r="T5568" s="5"/>
      <c r="U5568" s="5"/>
      <c r="V5568" s="5"/>
      <c r="W5568" s="5"/>
      <c r="X5568" s="5"/>
      <c r="Y5568" s="5"/>
      <c r="Z5568" s="5"/>
    </row>
    <row r="5569" spans="1:26" ht="15" x14ac:dyDescent="0.25">
      <c r="A5569" s="4" t="s">
        <v>5567</v>
      </c>
      <c r="B5569" s="4" t="s">
        <v>4550</v>
      </c>
      <c r="C5569" s="2" t="str">
        <f ca="1">IFERROR(__xludf.DUMMYFUNCTION("GOOGLETRANSLATE(A5569,""bn"",""en"")"),"In that one movie Yami Gautam played the character very perfectly")</f>
        <v>In that one movie Yami Gautam played the character very perfectly</v>
      </c>
      <c r="D5569" s="5"/>
      <c r="E5569" s="5"/>
      <c r="F5569" s="5"/>
      <c r="G5569" s="5"/>
      <c r="H5569" s="5"/>
      <c r="I5569" s="5"/>
      <c r="J5569" s="5"/>
      <c r="K5569" s="5"/>
      <c r="L5569" s="5"/>
      <c r="M5569" s="5"/>
      <c r="N5569" s="5"/>
      <c r="O5569" s="5"/>
      <c r="P5569" s="5"/>
      <c r="Q5569" s="5"/>
      <c r="R5569" s="5"/>
      <c r="S5569" s="5"/>
      <c r="T5569" s="5"/>
      <c r="U5569" s="5"/>
      <c r="V5569" s="5"/>
      <c r="W5569" s="5"/>
      <c r="X5569" s="5"/>
      <c r="Y5569" s="5"/>
      <c r="Z5569" s="5"/>
    </row>
    <row r="5570" spans="1:26" ht="15" x14ac:dyDescent="0.25">
      <c r="A5570" s="4" t="s">
        <v>5568</v>
      </c>
      <c r="B5570" s="4" t="s">
        <v>4550</v>
      </c>
      <c r="C5570" s="2" t="str">
        <f ca="1">IFERROR(__xludf.DUMMYFUNCTION("GOOGLETRANSLATE(A5570,""bn"",""en"")"),"It was a wonderful movie")</f>
        <v>It was a wonderful movie</v>
      </c>
      <c r="D5570" s="5"/>
      <c r="E5570" s="5"/>
      <c r="F5570" s="5"/>
      <c r="G5570" s="5"/>
      <c r="H5570" s="5"/>
      <c r="I5570" s="5"/>
      <c r="J5570" s="5"/>
      <c r="K5570" s="5"/>
      <c r="L5570" s="5"/>
      <c r="M5570" s="5"/>
      <c r="N5570" s="5"/>
      <c r="O5570" s="5"/>
      <c r="P5570" s="5"/>
      <c r="Q5570" s="5"/>
      <c r="R5570" s="5"/>
      <c r="S5570" s="5"/>
      <c r="T5570" s="5"/>
      <c r="U5570" s="5"/>
      <c r="V5570" s="5"/>
      <c r="W5570" s="5"/>
      <c r="X5570" s="5"/>
      <c r="Y5570" s="5"/>
      <c r="Z5570" s="5"/>
    </row>
    <row r="5571" spans="1:26" ht="15" x14ac:dyDescent="0.25">
      <c r="A5571" s="4" t="s">
        <v>5569</v>
      </c>
      <c r="B5571" s="4" t="s">
        <v>4550</v>
      </c>
      <c r="C5571" s="2" t="str">
        <f ca="1">IFERROR(__xludf.DUMMYFUNCTION("GOOGLETRANSLATE(A5571,""bn"",""en"")"),"It didn't look good, it was bad")</f>
        <v>It didn't look good, it was bad</v>
      </c>
      <c r="D5571" s="5"/>
      <c r="E5571" s="5"/>
      <c r="F5571" s="5"/>
      <c r="G5571" s="5"/>
      <c r="H5571" s="5"/>
      <c r="I5571" s="5"/>
      <c r="J5571" s="5"/>
      <c r="K5571" s="5"/>
      <c r="L5571" s="5"/>
      <c r="M5571" s="5"/>
      <c r="N5571" s="5"/>
      <c r="O5571" s="5"/>
      <c r="P5571" s="5"/>
      <c r="Q5571" s="5"/>
      <c r="R5571" s="5"/>
      <c r="S5571" s="5"/>
      <c r="T5571" s="5"/>
      <c r="U5571" s="5"/>
      <c r="V5571" s="5"/>
      <c r="W5571" s="5"/>
      <c r="X5571" s="5"/>
      <c r="Y5571" s="5"/>
      <c r="Z5571" s="5"/>
    </row>
    <row r="5572" spans="1:26" ht="15" x14ac:dyDescent="0.25">
      <c r="A5572" s="4" t="s">
        <v>5570</v>
      </c>
      <c r="B5572" s="4" t="s">
        <v>4550</v>
      </c>
      <c r="C5572" s="2" t="str">
        <f ca="1">IFERROR(__xludf.DUMMYFUNCTION("GOOGLETRANSLATE(A5572,""bn"",""en"")"),"If you think of Bengali films, you feel bad, but if you think of Manna, there is nothing as good as a film.")</f>
        <v>If you think of Bengali films, you feel bad, but if you think of Manna, there is nothing as good as a film.</v>
      </c>
      <c r="D5572" s="5"/>
      <c r="E5572" s="5"/>
      <c r="F5572" s="5"/>
      <c r="G5572" s="5"/>
      <c r="H5572" s="5"/>
      <c r="I5572" s="5"/>
      <c r="J5572" s="5"/>
      <c r="K5572" s="5"/>
      <c r="L5572" s="5"/>
      <c r="M5572" s="5"/>
      <c r="N5572" s="5"/>
      <c r="O5572" s="5"/>
      <c r="P5572" s="5"/>
      <c r="Q5572" s="5"/>
      <c r="R5572" s="5"/>
      <c r="S5572" s="5"/>
      <c r="T5572" s="5"/>
      <c r="U5572" s="5"/>
      <c r="V5572" s="5"/>
      <c r="W5572" s="5"/>
      <c r="X5572" s="5"/>
      <c r="Y5572" s="5"/>
      <c r="Z5572" s="5"/>
    </row>
    <row r="5573" spans="1:26" ht="15" x14ac:dyDescent="0.25">
      <c r="A5573" s="4" t="s">
        <v>5571</v>
      </c>
      <c r="B5573" s="4" t="s">
        <v>4550</v>
      </c>
      <c r="C5573" s="2" t="str">
        <f ca="1">IFERROR(__xludf.DUMMYFUNCTION("GOOGLETRANSLATE(A5573,""bn"",""en"")"),"A wonderful movie was made in such a beautiful scene of rural Bengal")</f>
        <v>A wonderful movie was made in such a beautiful scene of rural Bengal</v>
      </c>
      <c r="D5573" s="5"/>
      <c r="E5573" s="5"/>
      <c r="F5573" s="5"/>
      <c r="G5573" s="5"/>
      <c r="H5573" s="5"/>
      <c r="I5573" s="5"/>
      <c r="J5573" s="5"/>
      <c r="K5573" s="5"/>
      <c r="L5573" s="5"/>
      <c r="M5573" s="5"/>
      <c r="N5573" s="5"/>
      <c r="O5573" s="5"/>
      <c r="P5573" s="5"/>
      <c r="Q5573" s="5"/>
      <c r="R5573" s="5"/>
      <c r="S5573" s="5"/>
      <c r="T5573" s="5"/>
      <c r="U5573" s="5"/>
      <c r="V5573" s="5"/>
      <c r="W5573" s="5"/>
      <c r="X5573" s="5"/>
      <c r="Y5573" s="5"/>
      <c r="Z5573" s="5"/>
    </row>
    <row r="5574" spans="1:26" ht="15" x14ac:dyDescent="0.25">
      <c r="A5574" s="4" t="s">
        <v>5572</v>
      </c>
      <c r="B5574" s="4" t="s">
        <v>4550</v>
      </c>
      <c r="C5574" s="2" t="str">
        <f ca="1">IFERROR(__xludf.DUMMYFUNCTION("GOOGLETRANSLATE(A5574,""bn"",""en"")"),"Jeet's teammates and champions were truly amazing")</f>
        <v>Jeet's teammates and champions were truly amazing</v>
      </c>
      <c r="D5574" s="5"/>
      <c r="E5574" s="5"/>
      <c r="F5574" s="5"/>
      <c r="G5574" s="5"/>
      <c r="H5574" s="5"/>
      <c r="I5574" s="5"/>
      <c r="J5574" s="5"/>
      <c r="K5574" s="5"/>
      <c r="L5574" s="5"/>
      <c r="M5574" s="5"/>
      <c r="N5574" s="5"/>
      <c r="O5574" s="5"/>
      <c r="P5574" s="5"/>
      <c r="Q5574" s="5"/>
      <c r="R5574" s="5"/>
      <c r="S5574" s="5"/>
      <c r="T5574" s="5"/>
      <c r="U5574" s="5"/>
      <c r="V5574" s="5"/>
      <c r="W5574" s="5"/>
      <c r="X5574" s="5"/>
      <c r="Y5574" s="5"/>
      <c r="Z5574" s="5"/>
    </row>
    <row r="5575" spans="1:26" ht="15" x14ac:dyDescent="0.25">
      <c r="A5575" s="4" t="s">
        <v>5573</v>
      </c>
      <c r="B5575" s="4" t="s">
        <v>4550</v>
      </c>
      <c r="C5575" s="2" t="str">
        <f ca="1">IFERROR(__xludf.DUMMYFUNCTION("GOOGLETRANSLATE(A5575,""bn"",""en"")"),"At the end of the wait, it was sweet")</f>
        <v>At the end of the wait, it was sweet</v>
      </c>
      <c r="D5575" s="5"/>
      <c r="E5575" s="5"/>
      <c r="F5575" s="5"/>
      <c r="G5575" s="5"/>
      <c r="H5575" s="5"/>
      <c r="I5575" s="5"/>
      <c r="J5575" s="5"/>
      <c r="K5575" s="5"/>
      <c r="L5575" s="5"/>
      <c r="M5575" s="5"/>
      <c r="N5575" s="5"/>
      <c r="O5575" s="5"/>
      <c r="P5575" s="5"/>
      <c r="Q5575" s="5"/>
      <c r="R5575" s="5"/>
      <c r="S5575" s="5"/>
      <c r="T5575" s="5"/>
      <c r="U5575" s="5"/>
      <c r="V5575" s="5"/>
      <c r="W5575" s="5"/>
      <c r="X5575" s="5"/>
      <c r="Y5575" s="5"/>
      <c r="Z5575" s="5"/>
    </row>
    <row r="5576" spans="1:26" ht="15" x14ac:dyDescent="0.25">
      <c r="A5576" s="4" t="s">
        <v>5574</v>
      </c>
      <c r="B5576" s="4" t="s">
        <v>4550</v>
      </c>
      <c r="C5576" s="2" t="str">
        <f ca="1">IFERROR(__xludf.DUMMYFUNCTION("GOOGLETRANSLATE(A5576,""bn"",""en"")"),"I went to see Jati cinema with my cousin and the movie was very good")</f>
        <v>I went to see Jati cinema with my cousin and the movie was very good</v>
      </c>
      <c r="D5576" s="5"/>
      <c r="E5576" s="5"/>
      <c r="F5576" s="5"/>
      <c r="G5576" s="5"/>
      <c r="H5576" s="5"/>
      <c r="I5576" s="5"/>
      <c r="J5576" s="5"/>
      <c r="K5576" s="5"/>
      <c r="L5576" s="5"/>
      <c r="M5576" s="5"/>
      <c r="N5576" s="5"/>
      <c r="O5576" s="5"/>
      <c r="P5576" s="5"/>
      <c r="Q5576" s="5"/>
      <c r="R5576" s="5"/>
      <c r="S5576" s="5"/>
      <c r="T5576" s="5"/>
      <c r="U5576" s="5"/>
      <c r="V5576" s="5"/>
      <c r="W5576" s="5"/>
      <c r="X5576" s="5"/>
      <c r="Y5576" s="5"/>
      <c r="Z5576" s="5"/>
    </row>
    <row r="5577" spans="1:26" ht="15" x14ac:dyDescent="0.25">
      <c r="A5577" s="4" t="s">
        <v>5575</v>
      </c>
      <c r="B5577" s="4" t="s">
        <v>4550</v>
      </c>
      <c r="C5577" s="2" t="str">
        <f ca="1">IFERROR(__xludf.DUMMYFUNCTION("GOOGLETRANSLATE(A5577,""bn"",""en"")"),"It was a completely rubbish movie")</f>
        <v>It was a completely rubbish movie</v>
      </c>
      <c r="D5577" s="5"/>
      <c r="E5577" s="5"/>
      <c r="F5577" s="5"/>
      <c r="G5577" s="5"/>
      <c r="H5577" s="5"/>
      <c r="I5577" s="5"/>
      <c r="J5577" s="5"/>
      <c r="K5577" s="5"/>
      <c r="L5577" s="5"/>
      <c r="M5577" s="5"/>
      <c r="N5577" s="5"/>
      <c r="O5577" s="5"/>
      <c r="P5577" s="5"/>
      <c r="Q5577" s="5"/>
      <c r="R5577" s="5"/>
      <c r="S5577" s="5"/>
      <c r="T5577" s="5"/>
      <c r="U5577" s="5"/>
      <c r="V5577" s="5"/>
      <c r="W5577" s="5"/>
      <c r="X5577" s="5"/>
      <c r="Y5577" s="5"/>
      <c r="Z5577" s="5"/>
    </row>
    <row r="5578" spans="1:26" ht="15" x14ac:dyDescent="0.25">
      <c r="A5578" s="4" t="s">
        <v>5576</v>
      </c>
      <c r="B5578" s="4" t="s">
        <v>4550</v>
      </c>
      <c r="C5578" s="2" t="str">
        <f ca="1">IFERROR(__xludf.DUMMYFUNCTION("GOOGLETRANSLATE(A5578,""bn"",""en"")"),"Time was wasted")</f>
        <v>Time was wasted</v>
      </c>
      <c r="D5578" s="5"/>
      <c r="E5578" s="5"/>
      <c r="F5578" s="5"/>
      <c r="G5578" s="5"/>
      <c r="H5578" s="5"/>
      <c r="I5578" s="5"/>
      <c r="J5578" s="5"/>
      <c r="K5578" s="5"/>
      <c r="L5578" s="5"/>
      <c r="M5578" s="5"/>
      <c r="N5578" s="5"/>
      <c r="O5578" s="5"/>
      <c r="P5578" s="5"/>
      <c r="Q5578" s="5"/>
      <c r="R5578" s="5"/>
      <c r="S5578" s="5"/>
      <c r="T5578" s="5"/>
      <c r="U5578" s="5"/>
      <c r="V5578" s="5"/>
      <c r="W5578" s="5"/>
      <c r="X5578" s="5"/>
      <c r="Y5578" s="5"/>
      <c r="Z5578" s="5"/>
    </row>
    <row r="5579" spans="1:26" ht="15" x14ac:dyDescent="0.25">
      <c r="A5579" s="4" t="s">
        <v>5577</v>
      </c>
      <c r="B5579" s="4" t="s">
        <v>4550</v>
      </c>
      <c r="C5579" s="2" t="str">
        <f ca="1">IFERROR(__xludf.DUMMYFUNCTION("GOOGLETRANSLATE(A5579,""bn"",""en"")"),"Bobby's performance was excellent")</f>
        <v>Bobby's performance was excellent</v>
      </c>
      <c r="D5579" s="5"/>
      <c r="E5579" s="5"/>
      <c r="F5579" s="5"/>
      <c r="G5579" s="5"/>
      <c r="H5579" s="5"/>
      <c r="I5579" s="5"/>
      <c r="J5579" s="5"/>
      <c r="K5579" s="5"/>
      <c r="L5579" s="5"/>
      <c r="M5579" s="5"/>
      <c r="N5579" s="5"/>
      <c r="O5579" s="5"/>
      <c r="P5579" s="5"/>
      <c r="Q5579" s="5"/>
      <c r="R5579" s="5"/>
      <c r="S5579" s="5"/>
      <c r="T5579" s="5"/>
      <c r="U5579" s="5"/>
      <c r="V5579" s="5"/>
      <c r="W5579" s="5"/>
      <c r="X5579" s="5"/>
      <c r="Y5579" s="5"/>
      <c r="Z5579" s="5"/>
    </row>
    <row r="5580" spans="1:26" ht="15" x14ac:dyDescent="0.25">
      <c r="A5580" s="4" t="s">
        <v>5578</v>
      </c>
      <c r="B5580" s="4" t="s">
        <v>4550</v>
      </c>
      <c r="C5580" s="2" t="str">
        <f ca="1">IFERROR(__xludf.DUMMYFUNCTION("GOOGLETRANSLATE(A5580,""bn"",""en"")"),"The more times I saw it, the more I liked it")</f>
        <v>The more times I saw it, the more I liked it</v>
      </c>
      <c r="D5580" s="5"/>
      <c r="E5580" s="5"/>
      <c r="F5580" s="5"/>
      <c r="G5580" s="5"/>
      <c r="H5580" s="5"/>
      <c r="I5580" s="5"/>
      <c r="J5580" s="5"/>
      <c r="K5580" s="5"/>
      <c r="L5580" s="5"/>
      <c r="M5580" s="5"/>
      <c r="N5580" s="5"/>
      <c r="O5580" s="5"/>
      <c r="P5580" s="5"/>
      <c r="Q5580" s="5"/>
      <c r="R5580" s="5"/>
      <c r="S5580" s="5"/>
      <c r="T5580" s="5"/>
      <c r="U5580" s="5"/>
      <c r="V5580" s="5"/>
      <c r="W5580" s="5"/>
      <c r="X5580" s="5"/>
      <c r="Y5580" s="5"/>
      <c r="Z5580" s="5"/>
    </row>
    <row r="5581" spans="1:26" ht="15" x14ac:dyDescent="0.25">
      <c r="A5581" s="4" t="s">
        <v>5579</v>
      </c>
      <c r="B5581" s="4" t="s">
        <v>4550</v>
      </c>
      <c r="C5581" s="2" t="str">
        <f ca="1">IFERROR(__xludf.DUMMYFUNCTION("GOOGLETRANSLATE(A5581,""bn"",""en"")"),"Jaya Ahsan's performance was not that good")</f>
        <v>Jaya Ahsan's performance was not that good</v>
      </c>
      <c r="D5581" s="5"/>
      <c r="E5581" s="5"/>
      <c r="F5581" s="5"/>
      <c r="G5581" s="5"/>
      <c r="H5581" s="5"/>
      <c r="I5581" s="5"/>
      <c r="J5581" s="5"/>
      <c r="K5581" s="5"/>
      <c r="L5581" s="5"/>
      <c r="M5581" s="5"/>
      <c r="N5581" s="5"/>
      <c r="O5581" s="5"/>
      <c r="P5581" s="5"/>
      <c r="Q5581" s="5"/>
      <c r="R5581" s="5"/>
      <c r="S5581" s="5"/>
      <c r="T5581" s="5"/>
      <c r="U5581" s="5"/>
      <c r="V5581" s="5"/>
      <c r="W5581" s="5"/>
      <c r="X5581" s="5"/>
      <c r="Y5581" s="5"/>
      <c r="Z5581" s="5"/>
    </row>
    <row r="5582" spans="1:26" ht="15" x14ac:dyDescent="0.25">
      <c r="A5582" s="4" t="s">
        <v>5580</v>
      </c>
      <c r="B5582" s="4" t="s">
        <v>4550</v>
      </c>
      <c r="C5582" s="2" t="str">
        <f ca="1">IFERROR(__xludf.DUMMYFUNCTION("GOOGLETRANSLATE(A5582,""bn"",""en"")"),"It was a wonderful movie that touched the heart")</f>
        <v>It was a wonderful movie that touched the heart</v>
      </c>
      <c r="D5582" s="5"/>
      <c r="E5582" s="5"/>
      <c r="F5582" s="5"/>
      <c r="G5582" s="5"/>
      <c r="H5582" s="5"/>
      <c r="I5582" s="5"/>
      <c r="J5582" s="5"/>
      <c r="K5582" s="5"/>
      <c r="L5582" s="5"/>
      <c r="M5582" s="5"/>
      <c r="N5582" s="5"/>
      <c r="O5582" s="5"/>
      <c r="P5582" s="5"/>
      <c r="Q5582" s="5"/>
      <c r="R5582" s="5"/>
      <c r="S5582" s="5"/>
      <c r="T5582" s="5"/>
      <c r="U5582" s="5"/>
      <c r="V5582" s="5"/>
      <c r="W5582" s="5"/>
      <c r="X5582" s="5"/>
      <c r="Y5582" s="5"/>
      <c r="Z5582" s="5"/>
    </row>
    <row r="5583" spans="1:26" ht="15" x14ac:dyDescent="0.25">
      <c r="A5583" s="4" t="s">
        <v>5581</v>
      </c>
      <c r="B5583" s="4" t="s">
        <v>4550</v>
      </c>
      <c r="C5583" s="2" t="str">
        <f ca="1">IFERROR(__xludf.DUMMYFUNCTION("GOOGLETRANSLATE(A5583,""bn"",""en"")"),"I watched this movie when I was a child, I didn't remember any scene, only the scene of Shabana putting grass in the glass of water, I remembered watching the whole movie after so many years.")</f>
        <v>I watched this movie when I was a child, I didn't remember any scene, only the scene of Shabana putting grass in the glass of water, I remembered watching the whole movie after so many years.</v>
      </c>
      <c r="D5583" s="5"/>
      <c r="E5583" s="5"/>
      <c r="F5583" s="5"/>
      <c r="G5583" s="5"/>
      <c r="H5583" s="5"/>
      <c r="I5583" s="5"/>
      <c r="J5583" s="5"/>
      <c r="K5583" s="5"/>
      <c r="L5583" s="5"/>
      <c r="M5583" s="5"/>
      <c r="N5583" s="5"/>
      <c r="O5583" s="5"/>
      <c r="P5583" s="5"/>
      <c r="Q5583" s="5"/>
      <c r="R5583" s="5"/>
      <c r="S5583" s="5"/>
      <c r="T5583" s="5"/>
      <c r="U5583" s="5"/>
      <c r="V5583" s="5"/>
      <c r="W5583" s="5"/>
      <c r="X5583" s="5"/>
      <c r="Y5583" s="5"/>
      <c r="Z5583" s="5"/>
    </row>
    <row r="5584" spans="1:26" ht="15" x14ac:dyDescent="0.25">
      <c r="A5584" s="4" t="s">
        <v>5582</v>
      </c>
      <c r="B5584" s="4" t="s">
        <v>4550</v>
      </c>
      <c r="C5584" s="2" t="str">
        <f ca="1">IFERROR(__xludf.DUMMYFUNCTION("GOOGLETRANSLATE(A5584,""bn"",""en"")"),"I saw a very bad movie. If more movies like this were made, Bengali cinema would have gone to hell. No one would have watched the movie")</f>
        <v>I saw a very bad movie. If more movies like this were made, Bengali cinema would have gone to hell. No one would have watched the movie</v>
      </c>
      <c r="D5584" s="5"/>
      <c r="E5584" s="5"/>
      <c r="F5584" s="5"/>
      <c r="G5584" s="5"/>
      <c r="H5584" s="5"/>
      <c r="I5584" s="5"/>
      <c r="J5584" s="5"/>
      <c r="K5584" s="5"/>
      <c r="L5584" s="5"/>
      <c r="M5584" s="5"/>
      <c r="N5584" s="5"/>
      <c r="O5584" s="5"/>
      <c r="P5584" s="5"/>
      <c r="Q5584" s="5"/>
      <c r="R5584" s="5"/>
      <c r="S5584" s="5"/>
      <c r="T5584" s="5"/>
      <c r="U5584" s="5"/>
      <c r="V5584" s="5"/>
      <c r="W5584" s="5"/>
      <c r="X5584" s="5"/>
      <c r="Y5584" s="5"/>
      <c r="Z5584" s="5"/>
    </row>
    <row r="5585" spans="1:26" ht="15" x14ac:dyDescent="0.25">
      <c r="A5585" s="4" t="s">
        <v>5583</v>
      </c>
      <c r="B5585" s="4" t="s">
        <v>4550</v>
      </c>
      <c r="C5585" s="2" t="str">
        <f ca="1">IFERROR(__xludf.DUMMYFUNCTION("GOOGLETRANSLATE(A5585,""bn"",""en"")"),"It was a complete waste of time, no one has seen such a movie")</f>
        <v>It was a complete waste of time, no one has seen such a movie</v>
      </c>
      <c r="D5585" s="5"/>
      <c r="E5585" s="5"/>
      <c r="F5585" s="5"/>
      <c r="G5585" s="5"/>
      <c r="H5585" s="5"/>
      <c r="I5585" s="5"/>
      <c r="J5585" s="5"/>
      <c r="K5585" s="5"/>
      <c r="L5585" s="5"/>
      <c r="M5585" s="5"/>
      <c r="N5585" s="5"/>
      <c r="O5585" s="5"/>
      <c r="P5585" s="5"/>
      <c r="Q5585" s="5"/>
      <c r="R5585" s="5"/>
      <c r="S5585" s="5"/>
      <c r="T5585" s="5"/>
      <c r="U5585" s="5"/>
      <c r="V5585" s="5"/>
      <c r="W5585" s="5"/>
      <c r="X5585" s="5"/>
      <c r="Y5585" s="5"/>
      <c r="Z5585" s="5"/>
    </row>
    <row r="5586" spans="1:26" ht="15" x14ac:dyDescent="0.25">
      <c r="A5586" s="4" t="s">
        <v>5584</v>
      </c>
      <c r="B5586" s="4" t="s">
        <v>4550</v>
      </c>
      <c r="C5586" s="2" t="str">
        <f ca="1">IFERROR(__xludf.DUMMYFUNCTION("GOOGLETRANSLATE(A5586,""bn"",""en"")"),"What a beautiful movie I watched this movie when I was a child Ranjit Mallick's acting was amazing I really enjoyed watching the movie at that level")</f>
        <v>What a beautiful movie I watched this movie when I was a child Ranjit Mallick's acting was amazing I really enjoyed watching the movie at that level</v>
      </c>
      <c r="D5586" s="5"/>
      <c r="E5586" s="5"/>
      <c r="F5586" s="5"/>
      <c r="G5586" s="5"/>
      <c r="H5586" s="5"/>
      <c r="I5586" s="5"/>
      <c r="J5586" s="5"/>
      <c r="K5586" s="5"/>
      <c r="L5586" s="5"/>
      <c r="M5586" s="5"/>
      <c r="N5586" s="5"/>
      <c r="O5586" s="5"/>
      <c r="P5586" s="5"/>
      <c r="Q5586" s="5"/>
      <c r="R5586" s="5"/>
      <c r="S5586" s="5"/>
      <c r="T5586" s="5"/>
      <c r="U5586" s="5"/>
      <c r="V5586" s="5"/>
      <c r="W5586" s="5"/>
      <c r="X5586" s="5"/>
      <c r="Y5586" s="5"/>
      <c r="Z5586" s="5"/>
    </row>
    <row r="5587" spans="1:26" ht="15" x14ac:dyDescent="0.25">
      <c r="A5587" s="4" t="s">
        <v>5585</v>
      </c>
      <c r="B5587" s="4" t="s">
        <v>4550</v>
      </c>
      <c r="C5587" s="2" t="str">
        <f ca="1">IFERROR(__xludf.DUMMYFUNCTION("GOOGLETRANSLATE(A5587,""bn"",""en"")"),"There was more work to be done on their acting skills and more learning to do")</f>
        <v>There was more work to be done on their acting skills and more learning to do</v>
      </c>
      <c r="D5587" s="5"/>
      <c r="E5587" s="5"/>
      <c r="F5587" s="5"/>
      <c r="G5587" s="5"/>
      <c r="H5587" s="5"/>
      <c r="I5587" s="5"/>
      <c r="J5587" s="5"/>
      <c r="K5587" s="5"/>
      <c r="L5587" s="5"/>
      <c r="M5587" s="5"/>
      <c r="N5587" s="5"/>
      <c r="O5587" s="5"/>
      <c r="P5587" s="5"/>
      <c r="Q5587" s="5"/>
      <c r="R5587" s="5"/>
      <c r="S5587" s="5"/>
      <c r="T5587" s="5"/>
      <c r="U5587" s="5"/>
      <c r="V5587" s="5"/>
      <c r="W5587" s="5"/>
      <c r="X5587" s="5"/>
      <c r="Y5587" s="5"/>
      <c r="Z5587" s="5"/>
    </row>
    <row r="5588" spans="1:26" ht="15" x14ac:dyDescent="0.25">
      <c r="A5588" s="4" t="s">
        <v>5586</v>
      </c>
      <c r="B5588" s="4" t="s">
        <v>4550</v>
      </c>
      <c r="C5588" s="2" t="str">
        <f ca="1">IFERROR(__xludf.DUMMYFUNCTION("GOOGLETRANSLATE(A5588,""bn"",""en"")"),"What was the perfect performance of the two?")</f>
        <v>What was the perfect performance of the two?</v>
      </c>
      <c r="D5588" s="5"/>
      <c r="E5588" s="5"/>
      <c r="F5588" s="5"/>
      <c r="G5588" s="5"/>
      <c r="H5588" s="5"/>
      <c r="I5588" s="5"/>
      <c r="J5588" s="5"/>
      <c r="K5588" s="5"/>
      <c r="L5588" s="5"/>
      <c r="M5588" s="5"/>
      <c r="N5588" s="5"/>
      <c r="O5588" s="5"/>
      <c r="P5588" s="5"/>
      <c r="Q5588" s="5"/>
      <c r="R5588" s="5"/>
      <c r="S5588" s="5"/>
      <c r="T5588" s="5"/>
      <c r="U5588" s="5"/>
      <c r="V5588" s="5"/>
      <c r="W5588" s="5"/>
      <c r="X5588" s="5"/>
      <c r="Y5588" s="5"/>
      <c r="Z5588" s="5"/>
    </row>
    <row r="5589" spans="1:26" ht="15" x14ac:dyDescent="0.25">
      <c r="A5589" s="4" t="s">
        <v>5587</v>
      </c>
      <c r="B5589" s="4" t="s">
        <v>4550</v>
      </c>
      <c r="C5589" s="2" t="str">
        <f ca="1">IFERROR(__xludf.DUMMYFUNCTION("GOOGLETRANSLATE(A5589,""bn"",""en"")"),"What made them heroes?")</f>
        <v>What made them heroes?</v>
      </c>
      <c r="D5589" s="5"/>
      <c r="E5589" s="5"/>
      <c r="F5589" s="5"/>
      <c r="G5589" s="5"/>
      <c r="H5589" s="5"/>
      <c r="I5589" s="5"/>
      <c r="J5589" s="5"/>
      <c r="K5589" s="5"/>
      <c r="L5589" s="5"/>
      <c r="M5589" s="5"/>
      <c r="N5589" s="5"/>
      <c r="O5589" s="5"/>
      <c r="P5589" s="5"/>
      <c r="Q5589" s="5"/>
      <c r="R5589" s="5"/>
      <c r="S5589" s="5"/>
      <c r="T5589" s="5"/>
      <c r="U5589" s="5"/>
      <c r="V5589" s="5"/>
      <c r="W5589" s="5"/>
      <c r="X5589" s="5"/>
      <c r="Y5589" s="5"/>
      <c r="Z5589" s="5"/>
    </row>
    <row r="5590" spans="1:26" ht="15" x14ac:dyDescent="0.25">
      <c r="A5590" s="4" t="s">
        <v>5588</v>
      </c>
      <c r="B5590" s="4" t="s">
        <v>4550</v>
      </c>
      <c r="C5590" s="2" t="str">
        <f ca="1">IFERROR(__xludf.DUMMYFUNCTION("GOOGLETRANSLATE(A5590,""bn"",""en"")"),"Manpura This movie was the best movie I have seen in my life")</f>
        <v>Manpura This movie was the best movie I have seen in my life</v>
      </c>
      <c r="D5590" s="5"/>
      <c r="E5590" s="5"/>
      <c r="F5590" s="5"/>
      <c r="G5590" s="5"/>
      <c r="H5590" s="5"/>
      <c r="I5590" s="5"/>
      <c r="J5590" s="5"/>
      <c r="K5590" s="5"/>
      <c r="L5590" s="5"/>
      <c r="M5590" s="5"/>
      <c r="N5590" s="5"/>
      <c r="O5590" s="5"/>
      <c r="P5590" s="5"/>
      <c r="Q5590" s="5"/>
      <c r="R5590" s="5"/>
      <c r="S5590" s="5"/>
      <c r="T5590" s="5"/>
      <c r="U5590" s="5"/>
      <c r="V5590" s="5"/>
      <c r="W5590" s="5"/>
      <c r="X5590" s="5"/>
      <c r="Y5590" s="5"/>
      <c r="Z5590" s="5"/>
    </row>
    <row r="5591" spans="1:26" ht="15" x14ac:dyDescent="0.25">
      <c r="A5591" s="4" t="s">
        <v>5589</v>
      </c>
      <c r="B5591" s="4" t="s">
        <v>4550</v>
      </c>
      <c r="C5591" s="2" t="str">
        <f ca="1">IFERROR(__xludf.DUMMYFUNCTION("GOOGLETRANSLATE(A5591,""bn"",""en"")"),"I have faced many difficult moments in my life but I have never faced this reality")</f>
        <v>I have faced many difficult moments in my life but I have never faced this reality</v>
      </c>
      <c r="D5591" s="5"/>
      <c r="E5591" s="5"/>
      <c r="F5591" s="5"/>
      <c r="G5591" s="5"/>
      <c r="H5591" s="5"/>
      <c r="I5591" s="5"/>
      <c r="J5591" s="5"/>
      <c r="K5591" s="5"/>
      <c r="L5591" s="5"/>
      <c r="M5591" s="5"/>
      <c r="N5591" s="5"/>
      <c r="O5591" s="5"/>
      <c r="P5591" s="5"/>
      <c r="Q5591" s="5"/>
      <c r="R5591" s="5"/>
      <c r="S5591" s="5"/>
      <c r="T5591" s="5"/>
      <c r="U5591" s="5"/>
      <c r="V5591" s="5"/>
      <c r="W5591" s="5"/>
      <c r="X5591" s="5"/>
      <c r="Y5591" s="5"/>
      <c r="Z5591" s="5"/>
    </row>
    <row r="5592" spans="1:26" ht="15" x14ac:dyDescent="0.25">
      <c r="A5592" s="4" t="s">
        <v>5590</v>
      </c>
      <c r="B5592" s="4" t="s">
        <v>4550</v>
      </c>
      <c r="C5592" s="2" t="str">
        <f ca="1">IFERROR(__xludf.DUMMYFUNCTION("GOOGLETRANSLATE(A5592,""bn"",""en"")"),"Veda's daughter Jyotsna was one of the most popular films ever made on the Bengali cinema screen")</f>
        <v>Veda's daughter Jyotsna was one of the most popular films ever made on the Bengali cinema screen</v>
      </c>
      <c r="D5592" s="5"/>
      <c r="E5592" s="5"/>
      <c r="F5592" s="5"/>
      <c r="G5592" s="5"/>
      <c r="H5592" s="5"/>
      <c r="I5592" s="5"/>
      <c r="J5592" s="5"/>
      <c r="K5592" s="5"/>
      <c r="L5592" s="5"/>
      <c r="M5592" s="5"/>
      <c r="N5592" s="5"/>
      <c r="O5592" s="5"/>
      <c r="P5592" s="5"/>
      <c r="Q5592" s="5"/>
      <c r="R5592" s="5"/>
      <c r="S5592" s="5"/>
      <c r="T5592" s="5"/>
      <c r="U5592" s="5"/>
      <c r="V5592" s="5"/>
      <c r="W5592" s="5"/>
      <c r="X5592" s="5"/>
      <c r="Y5592" s="5"/>
      <c r="Z5592" s="5"/>
    </row>
    <row r="5593" spans="1:26" ht="15" x14ac:dyDescent="0.25">
      <c r="A5593" s="4" t="s">
        <v>5591</v>
      </c>
      <c r="B5593" s="4" t="s">
        <v>4550</v>
      </c>
      <c r="C5593" s="2" t="str">
        <f ca="1">IFERROR(__xludf.DUMMYFUNCTION("GOOGLETRANSLATE(A5593,""bn"",""en"")"),"This exciting movie was very beautiful")</f>
        <v>This exciting movie was very beautiful</v>
      </c>
      <c r="D5593" s="5"/>
      <c r="E5593" s="5"/>
      <c r="F5593" s="5"/>
      <c r="G5593" s="5"/>
      <c r="H5593" s="5"/>
      <c r="I5593" s="5"/>
      <c r="J5593" s="5"/>
      <c r="K5593" s="5"/>
      <c r="L5593" s="5"/>
      <c r="M5593" s="5"/>
      <c r="N5593" s="5"/>
      <c r="O5593" s="5"/>
      <c r="P5593" s="5"/>
      <c r="Q5593" s="5"/>
      <c r="R5593" s="5"/>
      <c r="S5593" s="5"/>
      <c r="T5593" s="5"/>
      <c r="U5593" s="5"/>
      <c r="V5593" s="5"/>
      <c r="W5593" s="5"/>
      <c r="X5593" s="5"/>
      <c r="Y5593" s="5"/>
      <c r="Z5593" s="5"/>
    </row>
    <row r="5594" spans="1:26" ht="15" x14ac:dyDescent="0.25">
      <c r="A5594" s="4" t="s">
        <v>5592</v>
      </c>
      <c r="B5594" s="4" t="s">
        <v>4550</v>
      </c>
      <c r="C5594" s="2" t="str">
        <f ca="1">IFERROR(__xludf.DUMMYFUNCTION("GOOGLETRANSLATE(A5594,""bn"",""en"")"),"Some people were not able to make such movies because their knowledge would not be reasonable")</f>
        <v>Some people were not able to make such movies because their knowledge would not be reasonable</v>
      </c>
      <c r="D5594" s="5"/>
      <c r="E5594" s="5"/>
      <c r="F5594" s="5"/>
      <c r="G5594" s="5"/>
      <c r="H5594" s="5"/>
      <c r="I5594" s="5"/>
      <c r="J5594" s="5"/>
      <c r="K5594" s="5"/>
      <c r="L5594" s="5"/>
      <c r="M5594" s="5"/>
      <c r="N5594" s="5"/>
      <c r="O5594" s="5"/>
      <c r="P5594" s="5"/>
      <c r="Q5594" s="5"/>
      <c r="R5594" s="5"/>
      <c r="S5594" s="5"/>
      <c r="T5594" s="5"/>
      <c r="U5594" s="5"/>
      <c r="V5594" s="5"/>
      <c r="W5594" s="5"/>
      <c r="X5594" s="5"/>
      <c r="Y5594" s="5"/>
      <c r="Z5594" s="5"/>
    </row>
    <row r="5595" spans="1:26" ht="15" x14ac:dyDescent="0.25">
      <c r="A5595" s="4" t="s">
        <v>5593</v>
      </c>
      <c r="B5595" s="4" t="s">
        <v>4550</v>
      </c>
      <c r="C5595" s="2" t="str">
        <f ca="1">IFERROR(__xludf.DUMMYFUNCTION("GOOGLETRANSLATE(A5595,""bn"",""en"")"),"The movie was the best depiction of mother's affection and I thought it was the most appealing movie in the history of Bengali cinema.")</f>
        <v>The movie was the best depiction of mother's affection and I thought it was the most appealing movie in the history of Bengali cinema.</v>
      </c>
      <c r="D5595" s="5"/>
      <c r="E5595" s="5"/>
      <c r="F5595" s="5"/>
      <c r="G5595" s="5"/>
      <c r="H5595" s="5"/>
      <c r="I5595" s="5"/>
      <c r="J5595" s="5"/>
      <c r="K5595" s="5"/>
      <c r="L5595" s="5"/>
      <c r="M5595" s="5"/>
      <c r="N5595" s="5"/>
      <c r="O5595" s="5"/>
      <c r="P5595" s="5"/>
      <c r="Q5595" s="5"/>
      <c r="R5595" s="5"/>
      <c r="S5595" s="5"/>
      <c r="T5595" s="5"/>
      <c r="U5595" s="5"/>
      <c r="V5595" s="5"/>
      <c r="W5595" s="5"/>
      <c r="X5595" s="5"/>
      <c r="Y5595" s="5"/>
      <c r="Z5595" s="5"/>
    </row>
    <row r="5596" spans="1:26" ht="15" x14ac:dyDescent="0.25">
      <c r="A5596" s="4" t="s">
        <v>5594</v>
      </c>
      <c r="B5596" s="4" t="s">
        <v>4550</v>
      </c>
      <c r="C5596" s="2" t="str">
        <f ca="1">IFERROR(__xludf.DUMMYFUNCTION("GOOGLETRANSLATE(A5596,""bn"",""en"")"),"At first I felt very sad and at the end I got to see Reena Kutni's performance with a smile")</f>
        <v>At first I felt very sad and at the end I got to see Reena Kutni's performance with a smile</v>
      </c>
      <c r="D5596" s="5"/>
      <c r="E5596" s="5"/>
      <c r="F5596" s="5"/>
      <c r="G5596" s="5"/>
      <c r="H5596" s="5"/>
      <c r="I5596" s="5"/>
      <c r="J5596" s="5"/>
      <c r="K5596" s="5"/>
      <c r="L5596" s="5"/>
      <c r="M5596" s="5"/>
      <c r="N5596" s="5"/>
      <c r="O5596" s="5"/>
      <c r="P5596" s="5"/>
      <c r="Q5596" s="5"/>
      <c r="R5596" s="5"/>
      <c r="S5596" s="5"/>
      <c r="T5596" s="5"/>
      <c r="U5596" s="5"/>
      <c r="V5596" s="5"/>
      <c r="W5596" s="5"/>
      <c r="X5596" s="5"/>
      <c r="Y5596" s="5"/>
      <c r="Z5596" s="5"/>
    </row>
    <row r="5597" spans="1:26" ht="15" x14ac:dyDescent="0.25">
      <c r="A5597" s="4" t="s">
        <v>5595</v>
      </c>
      <c r="B5597" s="4" t="s">
        <v>4550</v>
      </c>
      <c r="C5597" s="2" t="str">
        <f ca="1">IFERROR(__xludf.DUMMYFUNCTION("GOOGLETRANSLATE(A5597,""bn"",""en"")"),"The picture was good but the biological needs from motherhood were superseded")</f>
        <v>The picture was good but the biological needs from motherhood were superseded</v>
      </c>
      <c r="D5597" s="5"/>
      <c r="E5597" s="5"/>
      <c r="F5597" s="5"/>
      <c r="G5597" s="5"/>
      <c r="H5597" s="5"/>
      <c r="I5597" s="5"/>
      <c r="J5597" s="5"/>
      <c r="K5597" s="5"/>
      <c r="L5597" s="5"/>
      <c r="M5597" s="5"/>
      <c r="N5597" s="5"/>
      <c r="O5597" s="5"/>
      <c r="P5597" s="5"/>
      <c r="Q5597" s="5"/>
      <c r="R5597" s="5"/>
      <c r="S5597" s="5"/>
      <c r="T5597" s="5"/>
      <c r="U5597" s="5"/>
      <c r="V5597" s="5"/>
      <c r="W5597" s="5"/>
      <c r="X5597" s="5"/>
      <c r="Y5597" s="5"/>
      <c r="Z5597" s="5"/>
    </row>
    <row r="5598" spans="1:26" ht="15" x14ac:dyDescent="0.25">
      <c r="A5598" s="4" t="s">
        <v>5596</v>
      </c>
      <c r="B5598" s="4" t="s">
        <v>4550</v>
      </c>
      <c r="C5598" s="2" t="str">
        <f ca="1">IFERROR(__xludf.DUMMYFUNCTION("GOOGLETRANSLATE(A5598,""bn"",""en"")"),"People did not watch these flour sack movies")</f>
        <v>People did not watch these flour sack movies</v>
      </c>
      <c r="D5598" s="5"/>
      <c r="E5598" s="5"/>
      <c r="F5598" s="5"/>
      <c r="G5598" s="5"/>
      <c r="H5598" s="5"/>
      <c r="I5598" s="5"/>
      <c r="J5598" s="5"/>
      <c r="K5598" s="5"/>
      <c r="L5598" s="5"/>
      <c r="M5598" s="5"/>
      <c r="N5598" s="5"/>
      <c r="O5598" s="5"/>
      <c r="P5598" s="5"/>
      <c r="Q5598" s="5"/>
      <c r="R5598" s="5"/>
      <c r="S5598" s="5"/>
      <c r="T5598" s="5"/>
      <c r="U5598" s="5"/>
      <c r="V5598" s="5"/>
      <c r="W5598" s="5"/>
      <c r="X5598" s="5"/>
      <c r="Y5598" s="5"/>
      <c r="Z5598" s="5"/>
    </row>
    <row r="5599" spans="1:26" ht="15" x14ac:dyDescent="0.25">
      <c r="A5599" s="4" t="s">
        <v>5597</v>
      </c>
      <c r="B5599" s="4" t="s">
        <v>4550</v>
      </c>
      <c r="C5599" s="2" t="str">
        <f ca="1">IFERROR(__xludf.DUMMYFUNCTION("GOOGLETRANSLATE(A5599,""bn"",""en"")"),"The story of the film was beautiful Moushumi and Ferdous acting was beautiful Moushumi's acting was very beautiful")</f>
        <v>The story of the film was beautiful Moushumi and Ferdous acting was beautiful Moushumi's acting was very beautiful</v>
      </c>
      <c r="D5599" s="5"/>
      <c r="E5599" s="5"/>
      <c r="F5599" s="5"/>
      <c r="G5599" s="5"/>
      <c r="H5599" s="5"/>
      <c r="I5599" s="5"/>
      <c r="J5599" s="5"/>
      <c r="K5599" s="5"/>
      <c r="L5599" s="5"/>
      <c r="M5599" s="5"/>
      <c r="N5599" s="5"/>
      <c r="O5599" s="5"/>
      <c r="P5599" s="5"/>
      <c r="Q5599" s="5"/>
      <c r="R5599" s="5"/>
      <c r="S5599" s="5"/>
      <c r="T5599" s="5"/>
      <c r="U5599" s="5"/>
      <c r="V5599" s="5"/>
      <c r="W5599" s="5"/>
      <c r="X5599" s="5"/>
      <c r="Y5599" s="5"/>
      <c r="Z5599" s="5"/>
    </row>
    <row r="5600" spans="1:26" ht="15" x14ac:dyDescent="0.25">
      <c r="A5600" s="4" t="s">
        <v>5598</v>
      </c>
      <c r="B5600" s="4" t="s">
        <v>4550</v>
      </c>
      <c r="C5600" s="2" t="str">
        <f ca="1">IFERROR(__xludf.DUMMYFUNCTION("GOOGLETRANSLATE(A5600,""bn"",""en"")"),"Bobby Apu's movie was very beautiful")</f>
        <v>Bobby Apu's movie was very beautiful</v>
      </c>
      <c r="D5600" s="5"/>
      <c r="E5600" s="5"/>
      <c r="F5600" s="5"/>
      <c r="G5600" s="5"/>
      <c r="H5600" s="5"/>
      <c r="I5600" s="5"/>
      <c r="J5600" s="5"/>
      <c r="K5600" s="5"/>
      <c r="L5600" s="5"/>
      <c r="M5600" s="5"/>
      <c r="N5600" s="5"/>
      <c r="O5600" s="5"/>
      <c r="P5600" s="5"/>
      <c r="Q5600" s="5"/>
      <c r="R5600" s="5"/>
      <c r="S5600" s="5"/>
      <c r="T5600" s="5"/>
      <c r="U5600" s="5"/>
      <c r="V5600" s="5"/>
      <c r="W5600" s="5"/>
      <c r="X5600" s="5"/>
      <c r="Y5600" s="5"/>
      <c r="Z5600" s="5"/>
    </row>
    <row r="5601" spans="1:26" ht="15" x14ac:dyDescent="0.25">
      <c r="A5601" s="4" t="s">
        <v>5599</v>
      </c>
      <c r="B5601" s="4" t="s">
        <v>4550</v>
      </c>
      <c r="C5601" s="2" t="str">
        <f ca="1">IFERROR(__xludf.DUMMYFUNCTION("GOOGLETRANSLATE(A5601,""bn"",""en"")"),"There has never been a worse picture")</f>
        <v>There has never been a worse picture</v>
      </c>
      <c r="D5601" s="5"/>
      <c r="E5601" s="5"/>
      <c r="F5601" s="5"/>
      <c r="G5601" s="5"/>
      <c r="H5601" s="5"/>
      <c r="I5601" s="5"/>
      <c r="J5601" s="5"/>
      <c r="K5601" s="5"/>
      <c r="L5601" s="5"/>
      <c r="M5601" s="5"/>
      <c r="N5601" s="5"/>
      <c r="O5601" s="5"/>
      <c r="P5601" s="5"/>
      <c r="Q5601" s="5"/>
      <c r="R5601" s="5"/>
      <c r="S5601" s="5"/>
      <c r="T5601" s="5"/>
      <c r="U5601" s="5"/>
      <c r="V5601" s="5"/>
      <c r="W5601" s="5"/>
      <c r="X5601" s="5"/>
      <c r="Y5601" s="5"/>
      <c r="Z5601" s="5"/>
    </row>
    <row r="5602" spans="1:26" ht="15" x14ac:dyDescent="0.25">
      <c r="A5602" s="4" t="s">
        <v>5600</v>
      </c>
      <c r="B5602" s="4" t="s">
        <v>4550</v>
      </c>
      <c r="C5602" s="2" t="str">
        <f ca="1">IFERROR(__xludf.DUMMYFUNCTION("GOOGLETRANSLATE(A5602,""bn"",""en"")"),"It was the best movie of business success in Bangladesh")</f>
        <v>It was the best movie of business success in Bangladesh</v>
      </c>
      <c r="D5602" s="5"/>
      <c r="E5602" s="5"/>
      <c r="F5602" s="5"/>
      <c r="G5602" s="5"/>
      <c r="H5602" s="5"/>
      <c r="I5602" s="5"/>
      <c r="J5602" s="5"/>
      <c r="K5602" s="5"/>
      <c r="L5602" s="5"/>
      <c r="M5602" s="5"/>
      <c r="N5602" s="5"/>
      <c r="O5602" s="5"/>
      <c r="P5602" s="5"/>
      <c r="Q5602" s="5"/>
      <c r="R5602" s="5"/>
      <c r="S5602" s="5"/>
      <c r="T5602" s="5"/>
      <c r="U5602" s="5"/>
      <c r="V5602" s="5"/>
      <c r="W5602" s="5"/>
      <c r="X5602" s="5"/>
      <c r="Y5602" s="5"/>
      <c r="Z5602" s="5"/>
    </row>
    <row r="5603" spans="1:26" ht="15" x14ac:dyDescent="0.25">
      <c r="A5603" s="4" t="s">
        <v>5601</v>
      </c>
      <c r="B5603" s="4" t="s">
        <v>4550</v>
      </c>
      <c r="C5603" s="2" t="str">
        <f ca="1">IFERROR(__xludf.DUMMYFUNCTION("GOOGLETRANSLATE(A5603,""bn"",""en"")"),"I watched a stupid movie but I don't know why this movie was made and I didn't understand anything about what he wanted to say")</f>
        <v>I watched a stupid movie but I don't know why this movie was made and I didn't understand anything about what he wanted to say</v>
      </c>
      <c r="D5603" s="5"/>
      <c r="E5603" s="5"/>
      <c r="F5603" s="5"/>
      <c r="G5603" s="5"/>
      <c r="H5603" s="5"/>
      <c r="I5603" s="5"/>
      <c r="J5603" s="5"/>
      <c r="K5603" s="5"/>
      <c r="L5603" s="5"/>
      <c r="M5603" s="5"/>
      <c r="N5603" s="5"/>
      <c r="O5603" s="5"/>
      <c r="P5603" s="5"/>
      <c r="Q5603" s="5"/>
      <c r="R5603" s="5"/>
      <c r="S5603" s="5"/>
      <c r="T5603" s="5"/>
      <c r="U5603" s="5"/>
      <c r="V5603" s="5"/>
      <c r="W5603" s="5"/>
      <c r="X5603" s="5"/>
      <c r="Y5603" s="5"/>
      <c r="Z5603" s="5"/>
    </row>
    <row r="5604" spans="1:26" ht="15" x14ac:dyDescent="0.25">
      <c r="A5604" s="4" t="s">
        <v>5602</v>
      </c>
      <c r="B5604" s="4" t="s">
        <v>4550</v>
      </c>
      <c r="C5604" s="2" t="str">
        <f ca="1">IFERROR(__xludf.DUMMYFUNCTION("GOOGLETRANSLATE(A5604,""bn"",""en"")"),"This Ammajan movie will become history in the heart of the world")</f>
        <v>This Ammajan movie will become history in the heart of the world</v>
      </c>
      <c r="D5604" s="5"/>
      <c r="E5604" s="5"/>
      <c r="F5604" s="5"/>
      <c r="G5604" s="5"/>
      <c r="H5604" s="5"/>
      <c r="I5604" s="5"/>
      <c r="J5604" s="5"/>
      <c r="K5604" s="5"/>
      <c r="L5604" s="5"/>
      <c r="M5604" s="5"/>
      <c r="N5604" s="5"/>
      <c r="O5604" s="5"/>
      <c r="P5604" s="5"/>
      <c r="Q5604" s="5"/>
      <c r="R5604" s="5"/>
      <c r="S5604" s="5"/>
      <c r="T5604" s="5"/>
      <c r="U5604" s="5"/>
      <c r="V5604" s="5"/>
      <c r="W5604" s="5"/>
      <c r="X5604" s="5"/>
      <c r="Y5604" s="5"/>
      <c r="Z5604" s="5"/>
    </row>
    <row r="5605" spans="1:26" ht="15" x14ac:dyDescent="0.25">
      <c r="A5605" s="4" t="s">
        <v>5603</v>
      </c>
      <c r="B5605" s="4" t="s">
        <v>4550</v>
      </c>
      <c r="C5605" s="2" t="str">
        <f ca="1">IFERROR(__xludf.DUMMYFUNCTION("GOOGLETRANSLATE(A5605,""bn"",""en"")"),"Hey hey what was this?")</f>
        <v>Hey hey what was this?</v>
      </c>
      <c r="D5605" s="5"/>
      <c r="E5605" s="5"/>
      <c r="F5605" s="5"/>
      <c r="G5605" s="5"/>
      <c r="H5605" s="5"/>
      <c r="I5605" s="5"/>
      <c r="J5605" s="5"/>
      <c r="K5605" s="5"/>
      <c r="L5605" s="5"/>
      <c r="M5605" s="5"/>
      <c r="N5605" s="5"/>
      <c r="O5605" s="5"/>
      <c r="P5605" s="5"/>
      <c r="Q5605" s="5"/>
      <c r="R5605" s="5"/>
      <c r="S5605" s="5"/>
      <c r="T5605" s="5"/>
      <c r="U5605" s="5"/>
      <c r="V5605" s="5"/>
      <c r="W5605" s="5"/>
      <c r="X5605" s="5"/>
      <c r="Y5605" s="5"/>
      <c r="Z5605" s="5"/>
    </row>
    <row r="5606" spans="1:26" ht="15" x14ac:dyDescent="0.25">
      <c r="A5606" s="4" t="s">
        <v>5604</v>
      </c>
      <c r="B5606" s="4" t="s">
        <v>4550</v>
      </c>
      <c r="C5606" s="2" t="str">
        <f ca="1">IFERROR(__xludf.DUMMYFUNCTION("GOOGLETRANSLATE(A5606,""bn"",""en"")"),"The story of the movie was good but the action was not good")</f>
        <v>The story of the movie was good but the action was not good</v>
      </c>
      <c r="D5606" s="5"/>
      <c r="E5606" s="5"/>
      <c r="F5606" s="5"/>
      <c r="G5606" s="5"/>
      <c r="H5606" s="5"/>
      <c r="I5606" s="5"/>
      <c r="J5606" s="5"/>
      <c r="K5606" s="5"/>
      <c r="L5606" s="5"/>
      <c r="M5606" s="5"/>
      <c r="N5606" s="5"/>
      <c r="O5606" s="5"/>
      <c r="P5606" s="5"/>
      <c r="Q5606" s="5"/>
      <c r="R5606" s="5"/>
      <c r="S5606" s="5"/>
      <c r="T5606" s="5"/>
      <c r="U5606" s="5"/>
      <c r="V5606" s="5"/>
      <c r="W5606" s="5"/>
      <c r="X5606" s="5"/>
      <c r="Y5606" s="5"/>
      <c r="Z5606" s="5"/>
    </row>
    <row r="5607" spans="1:26" ht="15" x14ac:dyDescent="0.25">
      <c r="A5607" s="4" t="s">
        <v>5605</v>
      </c>
      <c r="B5607" s="4" t="s">
        <v>4550</v>
      </c>
      <c r="C5607" s="2" t="str">
        <f ca="1">IFERROR(__xludf.DUMMYFUNCTION("GOOGLETRANSLATE(A5607,""bn"",""en"")"),"Jaya Ahsan was the only one who was overacting and the others were not less than him, although I was forced to say that even in Bangladesh, Jaya ruined the movie.")</f>
        <v>Jaya Ahsan was the only one who was overacting and the others were not less than him, although I was forced to say that even in Bangladesh, Jaya ruined the movie.</v>
      </c>
      <c r="D5607" s="5"/>
      <c r="E5607" s="5"/>
      <c r="F5607" s="5"/>
      <c r="G5607" s="5"/>
      <c r="H5607" s="5"/>
      <c r="I5607" s="5"/>
      <c r="J5607" s="5"/>
      <c r="K5607" s="5"/>
      <c r="L5607" s="5"/>
      <c r="M5607" s="5"/>
      <c r="N5607" s="5"/>
      <c r="O5607" s="5"/>
      <c r="P5607" s="5"/>
      <c r="Q5607" s="5"/>
      <c r="R5607" s="5"/>
      <c r="S5607" s="5"/>
      <c r="T5607" s="5"/>
      <c r="U5607" s="5"/>
      <c r="V5607" s="5"/>
      <c r="W5607" s="5"/>
      <c r="X5607" s="5"/>
      <c r="Y5607" s="5"/>
      <c r="Z5607" s="5"/>
    </row>
    <row r="5608" spans="1:26" ht="15" x14ac:dyDescent="0.25">
      <c r="A5608" s="4" t="s">
        <v>5606</v>
      </c>
      <c r="B5608" s="4" t="s">
        <v>4550</v>
      </c>
      <c r="C5608" s="2" t="str">
        <f ca="1">IFERROR(__xludf.DUMMYFUNCTION("GOOGLETRANSLATE(A5608,""bn"",""en"")"),"Good movie but Ilyaskanchan's acting was too arrogant")</f>
        <v>Good movie but Ilyaskanchan's acting was too arrogant</v>
      </c>
      <c r="D5608" s="5"/>
      <c r="E5608" s="5"/>
      <c r="F5608" s="5"/>
      <c r="G5608" s="5"/>
      <c r="H5608" s="5"/>
      <c r="I5608" s="5"/>
      <c r="J5608" s="5"/>
      <c r="K5608" s="5"/>
      <c r="L5608" s="5"/>
      <c r="M5608" s="5"/>
      <c r="N5608" s="5"/>
      <c r="O5608" s="5"/>
      <c r="P5608" s="5"/>
      <c r="Q5608" s="5"/>
      <c r="R5608" s="5"/>
      <c r="S5608" s="5"/>
      <c r="T5608" s="5"/>
      <c r="U5608" s="5"/>
      <c r="V5608" s="5"/>
      <c r="W5608" s="5"/>
      <c r="X5608" s="5"/>
      <c r="Y5608" s="5"/>
      <c r="Z5608" s="5"/>
    </row>
    <row r="5609" spans="1:26" ht="15" x14ac:dyDescent="0.25">
      <c r="A5609" s="4" t="s">
        <v>5607</v>
      </c>
      <c r="B5609" s="4" t="s">
        <v>4550</v>
      </c>
      <c r="C5609" s="2" t="str">
        <f ca="1">IFERROR(__xludf.DUMMYFUNCTION("GOOGLETRANSLATE(A5609,""bn"",""en"")"),"In the world, the hobby of watching pictures was settled")</f>
        <v>In the world, the hobby of watching pictures was settled</v>
      </c>
      <c r="D5609" s="5"/>
      <c r="E5609" s="5"/>
      <c r="F5609" s="5"/>
      <c r="G5609" s="5"/>
      <c r="H5609" s="5"/>
      <c r="I5609" s="5"/>
      <c r="J5609" s="5"/>
      <c r="K5609" s="5"/>
      <c r="L5609" s="5"/>
      <c r="M5609" s="5"/>
      <c r="N5609" s="5"/>
      <c r="O5609" s="5"/>
      <c r="P5609" s="5"/>
      <c r="Q5609" s="5"/>
      <c r="R5609" s="5"/>
      <c r="S5609" s="5"/>
      <c r="T5609" s="5"/>
      <c r="U5609" s="5"/>
      <c r="V5609" s="5"/>
      <c r="W5609" s="5"/>
      <c r="X5609" s="5"/>
      <c r="Y5609" s="5"/>
      <c r="Z5609" s="5"/>
    </row>
    <row r="5610" spans="1:26" ht="15" x14ac:dyDescent="0.25">
      <c r="A5610" s="4" t="s">
        <v>5608</v>
      </c>
      <c r="B5610" s="4" t="s">
        <v>4550</v>
      </c>
      <c r="C5610" s="2" t="str">
        <f ca="1">IFERROR(__xludf.DUMMYFUNCTION("GOOGLETRANSLATE(A5610,""bn"",""en"")"),"It was a tear-jerking movie")</f>
        <v>It was a tear-jerking movie</v>
      </c>
      <c r="D5610" s="5"/>
      <c r="E5610" s="5"/>
      <c r="F5610" s="5"/>
      <c r="G5610" s="5"/>
      <c r="H5610" s="5"/>
      <c r="I5610" s="5"/>
      <c r="J5610" s="5"/>
      <c r="K5610" s="5"/>
      <c r="L5610" s="5"/>
      <c r="M5610" s="5"/>
      <c r="N5610" s="5"/>
      <c r="O5610" s="5"/>
      <c r="P5610" s="5"/>
      <c r="Q5610" s="5"/>
      <c r="R5610" s="5"/>
      <c r="S5610" s="5"/>
      <c r="T5610" s="5"/>
      <c r="U5610" s="5"/>
      <c r="V5610" s="5"/>
      <c r="W5610" s="5"/>
      <c r="X5610" s="5"/>
      <c r="Y5610" s="5"/>
      <c r="Z5610" s="5"/>
    </row>
    <row r="5611" spans="1:26" ht="15" x14ac:dyDescent="0.25">
      <c r="A5611" s="4" t="s">
        <v>5609</v>
      </c>
      <c r="B5611" s="4" t="s">
        <v>4550</v>
      </c>
      <c r="C5611" s="2" t="str">
        <f ca="1">IFERROR(__xludf.DUMMYFUNCTION("GOOGLETRANSLATE(A5611,""bn"",""en"")"),"It was great that we shot in Srimangal")</f>
        <v>It was great that we shot in Srimangal</v>
      </c>
      <c r="D5611" s="5"/>
      <c r="E5611" s="5"/>
      <c r="F5611" s="5"/>
      <c r="G5611" s="5"/>
      <c r="H5611" s="5"/>
      <c r="I5611" s="5"/>
      <c r="J5611" s="5"/>
      <c r="K5611" s="5"/>
      <c r="L5611" s="5"/>
      <c r="M5611" s="5"/>
      <c r="N5611" s="5"/>
      <c r="O5611" s="5"/>
      <c r="P5611" s="5"/>
      <c r="Q5611" s="5"/>
      <c r="R5611" s="5"/>
      <c r="S5611" s="5"/>
      <c r="T5611" s="5"/>
      <c r="U5611" s="5"/>
      <c r="V5611" s="5"/>
      <c r="W5611" s="5"/>
      <c r="X5611" s="5"/>
      <c r="Y5611" s="5"/>
      <c r="Z5611" s="5"/>
    </row>
    <row r="5612" spans="1:26" ht="15" x14ac:dyDescent="0.25">
      <c r="A5612" s="4" t="s">
        <v>5610</v>
      </c>
      <c r="B5612" s="4" t="s">
        <v>4550</v>
      </c>
      <c r="C5612" s="2" t="str">
        <f ca="1">IFERROR(__xludf.DUMMYFUNCTION("GOOGLETRANSLATE(A5612,""bn"",""en"")"),"I saw a very beautiful movie and my heart was full")</f>
        <v>I saw a very beautiful movie and my heart was full</v>
      </c>
      <c r="D5612" s="5"/>
      <c r="E5612" s="5"/>
      <c r="F5612" s="5"/>
      <c r="G5612" s="5"/>
      <c r="H5612" s="5"/>
      <c r="I5612" s="5"/>
      <c r="J5612" s="5"/>
      <c r="K5612" s="5"/>
      <c r="L5612" s="5"/>
      <c r="M5612" s="5"/>
      <c r="N5612" s="5"/>
      <c r="O5612" s="5"/>
      <c r="P5612" s="5"/>
      <c r="Q5612" s="5"/>
      <c r="R5612" s="5"/>
      <c r="S5612" s="5"/>
      <c r="T5612" s="5"/>
      <c r="U5612" s="5"/>
      <c r="V5612" s="5"/>
      <c r="W5612" s="5"/>
      <c r="X5612" s="5"/>
      <c r="Y5612" s="5"/>
      <c r="Z5612" s="5"/>
    </row>
    <row r="5613" spans="1:26" ht="15" x14ac:dyDescent="0.25">
      <c r="A5613" s="4" t="s">
        <v>5611</v>
      </c>
      <c r="B5613" s="4" t="s">
        <v>4550</v>
      </c>
      <c r="C5613" s="2" t="str">
        <f ca="1">IFERROR(__xludf.DUMMYFUNCTION("GOOGLETRANSLATE(A5613,""bn"",""en"")"),"In a word, the picture was amazing")</f>
        <v>In a word, the picture was amazing</v>
      </c>
      <c r="D5613" s="5"/>
      <c r="E5613" s="5"/>
      <c r="F5613" s="5"/>
      <c r="G5613" s="5"/>
      <c r="H5613" s="5"/>
      <c r="I5613" s="5"/>
      <c r="J5613" s="5"/>
      <c r="K5613" s="5"/>
      <c r="L5613" s="5"/>
      <c r="M5613" s="5"/>
      <c r="N5613" s="5"/>
      <c r="O5613" s="5"/>
      <c r="P5613" s="5"/>
      <c r="Q5613" s="5"/>
      <c r="R5613" s="5"/>
      <c r="S5613" s="5"/>
      <c r="T5613" s="5"/>
      <c r="U5613" s="5"/>
      <c r="V5613" s="5"/>
      <c r="W5613" s="5"/>
      <c r="X5613" s="5"/>
      <c r="Y5613" s="5"/>
      <c r="Z5613" s="5"/>
    </row>
    <row r="5614" spans="1:26" ht="15" x14ac:dyDescent="0.25">
      <c r="A5614" s="4" t="s">
        <v>5612</v>
      </c>
      <c r="B5614" s="4" t="s">
        <v>4550</v>
      </c>
      <c r="C5614" s="2" t="str">
        <f ca="1">IFERROR(__xludf.DUMMYFUNCTION("GOOGLETRANSLATE(A5614,""bn"",""en"")"),"Zayed Khan was sent to Pabna, they did not need to do movies")</f>
        <v>Zayed Khan was sent to Pabna, they did not need to do movies</v>
      </c>
      <c r="D5614" s="5"/>
      <c r="E5614" s="5"/>
      <c r="F5614" s="5"/>
      <c r="G5614" s="5"/>
      <c r="H5614" s="5"/>
      <c r="I5614" s="5"/>
      <c r="J5614" s="5"/>
      <c r="K5614" s="5"/>
      <c r="L5614" s="5"/>
      <c r="M5614" s="5"/>
      <c r="N5614" s="5"/>
      <c r="O5614" s="5"/>
      <c r="P5614" s="5"/>
      <c r="Q5614" s="5"/>
      <c r="R5614" s="5"/>
      <c r="S5614" s="5"/>
      <c r="T5614" s="5"/>
      <c r="U5614" s="5"/>
      <c r="V5614" s="5"/>
      <c r="W5614" s="5"/>
      <c r="X5614" s="5"/>
      <c r="Y5614" s="5"/>
      <c r="Z5614" s="5"/>
    </row>
    <row r="5615" spans="1:26" ht="15" x14ac:dyDescent="0.25">
      <c r="A5615" s="4" t="s">
        <v>5613</v>
      </c>
      <c r="B5615" s="4" t="s">
        <v>4550</v>
      </c>
      <c r="C5615" s="2" t="str">
        <f ca="1">IFERROR(__xludf.DUMMYFUNCTION("GOOGLETRANSLATE(A5615,""bn"",""en"")"),"Bangla's wife had a very beautiful seasonal ending and a song sung by Mumtaz, the main story of the film unfolded.")</f>
        <v>Bangla's wife had a very beautiful seasonal ending and a song sung by Mumtaz, the main story of the film unfolded.</v>
      </c>
      <c r="D5615" s="5"/>
      <c r="E5615" s="5"/>
      <c r="F5615" s="5"/>
      <c r="G5615" s="5"/>
      <c r="H5615" s="5"/>
      <c r="I5615" s="5"/>
      <c r="J5615" s="5"/>
      <c r="K5615" s="5"/>
      <c r="L5615" s="5"/>
      <c r="M5615" s="5"/>
      <c r="N5615" s="5"/>
      <c r="O5615" s="5"/>
      <c r="P5615" s="5"/>
      <c r="Q5615" s="5"/>
      <c r="R5615" s="5"/>
      <c r="S5615" s="5"/>
      <c r="T5615" s="5"/>
      <c r="U5615" s="5"/>
      <c r="V5615" s="5"/>
      <c r="W5615" s="5"/>
      <c r="X5615" s="5"/>
      <c r="Y5615" s="5"/>
      <c r="Z5615" s="5"/>
    </row>
    <row r="5616" spans="1:26" ht="15" x14ac:dyDescent="0.25">
      <c r="A5616" s="4" t="s">
        <v>5614</v>
      </c>
      <c r="B5616" s="4" t="s">
        <v>4550</v>
      </c>
      <c r="C5616" s="2" t="str">
        <f ca="1">IFERROR(__xludf.DUMMYFUNCTION("GOOGLETRANSLATE(A5616,""bn"",""en"")"),"A wonderful movie, the most interesting thing about the story of the movie was the respect of mothers")</f>
        <v>A wonderful movie, the most interesting thing about the story of the movie was the respect of mothers</v>
      </c>
      <c r="D5616" s="5"/>
      <c r="E5616" s="5"/>
      <c r="F5616" s="5"/>
      <c r="G5616" s="5"/>
      <c r="H5616" s="5"/>
      <c r="I5616" s="5"/>
      <c r="J5616" s="5"/>
      <c r="K5616" s="5"/>
      <c r="L5616" s="5"/>
      <c r="M5616" s="5"/>
      <c r="N5616" s="5"/>
      <c r="O5616" s="5"/>
      <c r="P5616" s="5"/>
      <c r="Q5616" s="5"/>
      <c r="R5616" s="5"/>
      <c r="S5616" s="5"/>
      <c r="T5616" s="5"/>
      <c r="U5616" s="5"/>
      <c r="V5616" s="5"/>
      <c r="W5616" s="5"/>
      <c r="X5616" s="5"/>
      <c r="Y5616" s="5"/>
      <c r="Z5616" s="5"/>
    </row>
    <row r="5617" spans="1:26" ht="15" x14ac:dyDescent="0.25">
      <c r="A5617" s="4" t="s">
        <v>5615</v>
      </c>
      <c r="B5617" s="4" t="s">
        <v>4550</v>
      </c>
      <c r="C5617" s="2" t="str">
        <f ca="1">IFERROR(__xludf.DUMMYFUNCTION("GOOGLETRANSLATE(A5617,""bn"",""en"")"),"It was one of the best movies I've seen in my life and tears were hard to hold back")</f>
        <v>It was one of the best movies I've seen in my life and tears were hard to hold back</v>
      </c>
      <c r="D5617" s="5"/>
      <c r="E5617" s="5"/>
      <c r="F5617" s="5"/>
      <c r="G5617" s="5"/>
      <c r="H5617" s="5"/>
      <c r="I5617" s="5"/>
      <c r="J5617" s="5"/>
      <c r="K5617" s="5"/>
      <c r="L5617" s="5"/>
      <c r="M5617" s="5"/>
      <c r="N5617" s="5"/>
      <c r="O5617" s="5"/>
      <c r="P5617" s="5"/>
      <c r="Q5617" s="5"/>
      <c r="R5617" s="5"/>
      <c r="S5617" s="5"/>
      <c r="T5617" s="5"/>
      <c r="U5617" s="5"/>
      <c r="V5617" s="5"/>
      <c r="W5617" s="5"/>
      <c r="X5617" s="5"/>
      <c r="Y5617" s="5"/>
      <c r="Z5617" s="5"/>
    </row>
    <row r="5618" spans="1:26" ht="15" x14ac:dyDescent="0.25">
      <c r="A5618" s="4" t="s">
        <v>5616</v>
      </c>
      <c r="B5618" s="4" t="s">
        <v>4550</v>
      </c>
      <c r="C5618" s="2" t="str">
        <f ca="1">IFERROR(__xludf.DUMMYFUNCTION("GOOGLETRANSLATE(A5618,""bn"",""en"")"),"The more I watched, the more I liked the blood pressure, no one could forget it was a wonderful picture")</f>
        <v>The more I watched, the more I liked the blood pressure, no one could forget it was a wonderful picture</v>
      </c>
      <c r="D5618" s="5"/>
      <c r="E5618" s="5"/>
      <c r="F5618" s="5"/>
      <c r="G5618" s="5"/>
      <c r="H5618" s="5"/>
      <c r="I5618" s="5"/>
      <c r="J5618" s="5"/>
      <c r="K5618" s="5"/>
      <c r="L5618" s="5"/>
      <c r="M5618" s="5"/>
      <c r="N5618" s="5"/>
      <c r="O5618" s="5"/>
      <c r="P5618" s="5"/>
      <c r="Q5618" s="5"/>
      <c r="R5618" s="5"/>
      <c r="S5618" s="5"/>
      <c r="T5618" s="5"/>
      <c r="U5618" s="5"/>
      <c r="V5618" s="5"/>
      <c r="W5618" s="5"/>
      <c r="X5618" s="5"/>
      <c r="Y5618" s="5"/>
      <c r="Z5618" s="5"/>
    </row>
    <row r="5619" spans="1:26" ht="15" x14ac:dyDescent="0.25">
      <c r="A5619" s="4" t="s">
        <v>5617</v>
      </c>
      <c r="B5619" s="4" t="s">
        <v>4550</v>
      </c>
      <c r="C5619" s="2" t="str">
        <f ca="1">IFERROR(__xludf.DUMMYFUNCTION("GOOGLETRANSLATE(A5619,""bn"",""en"")"),"Watching cartoons was much better than watching them")</f>
        <v>Watching cartoons was much better than watching them</v>
      </c>
      <c r="D5619" s="5"/>
      <c r="E5619" s="5"/>
      <c r="F5619" s="5"/>
      <c r="G5619" s="5"/>
      <c r="H5619" s="5"/>
      <c r="I5619" s="5"/>
      <c r="J5619" s="5"/>
      <c r="K5619" s="5"/>
      <c r="L5619" s="5"/>
      <c r="M5619" s="5"/>
      <c r="N5619" s="5"/>
      <c r="O5619" s="5"/>
      <c r="P5619" s="5"/>
      <c r="Q5619" s="5"/>
      <c r="R5619" s="5"/>
      <c r="S5619" s="5"/>
      <c r="T5619" s="5"/>
      <c r="U5619" s="5"/>
      <c r="V5619" s="5"/>
      <c r="W5619" s="5"/>
      <c r="X5619" s="5"/>
      <c r="Y5619" s="5"/>
      <c r="Z5619" s="5"/>
    </row>
    <row r="5620" spans="1:26" ht="15" x14ac:dyDescent="0.25">
      <c r="A5620" s="4" t="s">
        <v>5618</v>
      </c>
      <c r="B5620" s="4" t="s">
        <v>4550</v>
      </c>
      <c r="C5620" s="2" t="str">
        <f ca="1">IFERROR(__xludf.DUMMYFUNCTION("GOOGLETRANSLATE(A5620,""bn"",""en"")"),"Achal was cast in the movie because he could not act expressionless")</f>
        <v>Achal was cast in the movie because he could not act expressionless</v>
      </c>
      <c r="D5620" s="5"/>
      <c r="E5620" s="5"/>
      <c r="F5620" s="5"/>
      <c r="G5620" s="5"/>
      <c r="H5620" s="5"/>
      <c r="I5620" s="5"/>
      <c r="J5620" s="5"/>
      <c r="K5620" s="5"/>
      <c r="L5620" s="5"/>
      <c r="M5620" s="5"/>
      <c r="N5620" s="5"/>
      <c r="O5620" s="5"/>
      <c r="P5620" s="5"/>
      <c r="Q5620" s="5"/>
      <c r="R5620" s="5"/>
      <c r="S5620" s="5"/>
      <c r="T5620" s="5"/>
      <c r="U5620" s="5"/>
      <c r="V5620" s="5"/>
      <c r="W5620" s="5"/>
      <c r="X5620" s="5"/>
      <c r="Y5620" s="5"/>
      <c r="Z5620" s="5"/>
    </row>
    <row r="5621" spans="1:26" ht="15" x14ac:dyDescent="0.25">
      <c r="A5621" s="4" t="s">
        <v>5619</v>
      </c>
      <c r="B5621" s="4" t="s">
        <v>4550</v>
      </c>
      <c r="C5621" s="2" t="str">
        <f ca="1">IFERROR(__xludf.DUMMYFUNCTION("GOOGLETRANSLATE(A5621,""bn"",""en"")"),"Bangladesh's biggest commercial success was the number one film in the world")</f>
        <v>Bangladesh's biggest commercial success was the number one film in the world</v>
      </c>
      <c r="D5621" s="5"/>
      <c r="E5621" s="5"/>
      <c r="F5621" s="5"/>
      <c r="G5621" s="5"/>
      <c r="H5621" s="5"/>
      <c r="I5621" s="5"/>
      <c r="J5621" s="5"/>
      <c r="K5621" s="5"/>
      <c r="L5621" s="5"/>
      <c r="M5621" s="5"/>
      <c r="N5621" s="5"/>
      <c r="O5621" s="5"/>
      <c r="P5621" s="5"/>
      <c r="Q5621" s="5"/>
      <c r="R5621" s="5"/>
      <c r="S5621" s="5"/>
      <c r="T5621" s="5"/>
      <c r="U5621" s="5"/>
      <c r="V5621" s="5"/>
      <c r="W5621" s="5"/>
      <c r="X5621" s="5"/>
      <c r="Y5621" s="5"/>
      <c r="Z5621" s="5"/>
    </row>
    <row r="5622" spans="1:26" ht="15" x14ac:dyDescent="0.25">
      <c r="A5622" s="4" t="s">
        <v>5620</v>
      </c>
      <c r="B5622" s="4" t="s">
        <v>4550</v>
      </c>
      <c r="C5622" s="2" t="str">
        <f ca="1">IFERROR(__xludf.DUMMYFUNCTION("GOOGLETRANSLATE(A5622,""bn"",""en"")"),"I didn't expect this from Shahrukh's movie")</f>
        <v>I didn't expect this from Shahrukh's movie</v>
      </c>
      <c r="D5622" s="5"/>
      <c r="E5622" s="5"/>
      <c r="F5622" s="5"/>
      <c r="G5622" s="5"/>
      <c r="H5622" s="5"/>
      <c r="I5622" s="5"/>
      <c r="J5622" s="5"/>
      <c r="K5622" s="5"/>
      <c r="L5622" s="5"/>
      <c r="M5622" s="5"/>
      <c r="N5622" s="5"/>
      <c r="O5622" s="5"/>
      <c r="P5622" s="5"/>
      <c r="Q5622" s="5"/>
      <c r="R5622" s="5"/>
      <c r="S5622" s="5"/>
      <c r="T5622" s="5"/>
      <c r="U5622" s="5"/>
      <c r="V5622" s="5"/>
      <c r="W5622" s="5"/>
      <c r="X5622" s="5"/>
      <c r="Y5622" s="5"/>
      <c r="Z5622" s="5"/>
    </row>
    <row r="5623" spans="1:26" ht="15" x14ac:dyDescent="0.25">
      <c r="A5623" s="4" t="s">
        <v>5621</v>
      </c>
      <c r="B5623" s="4" t="s">
        <v>4550</v>
      </c>
      <c r="C5623" s="2" t="str">
        <f ca="1">IFERROR(__xludf.DUMMYFUNCTION("GOOGLETRANSLATE(A5623,""bn"",""en"")"),"Wanted to change myself for him but he changed himself")</f>
        <v>Wanted to change myself for him but he changed himself</v>
      </c>
      <c r="D5623" s="5"/>
      <c r="E5623" s="5"/>
      <c r="F5623" s="5"/>
      <c r="G5623" s="5"/>
      <c r="H5623" s="5"/>
      <c r="I5623" s="5"/>
      <c r="J5623" s="5"/>
      <c r="K5623" s="5"/>
      <c r="L5623" s="5"/>
      <c r="M5623" s="5"/>
      <c r="N5623" s="5"/>
      <c r="O5623" s="5"/>
      <c r="P5623" s="5"/>
      <c r="Q5623" s="5"/>
      <c r="R5623" s="5"/>
      <c r="S5623" s="5"/>
      <c r="T5623" s="5"/>
      <c r="U5623" s="5"/>
      <c r="V5623" s="5"/>
      <c r="W5623" s="5"/>
      <c r="X5623" s="5"/>
      <c r="Y5623" s="5"/>
      <c r="Z5623" s="5"/>
    </row>
    <row r="5624" spans="1:26" ht="15" x14ac:dyDescent="0.25">
      <c r="A5624" s="4" t="s">
        <v>5622</v>
      </c>
      <c r="B5624" s="4" t="s">
        <v>4550</v>
      </c>
      <c r="C5624" s="2" t="str">
        <f ca="1">IFERROR(__xludf.DUMMYFUNCTION("GOOGLETRANSLATE(A5624,""bn"",""en"")"),"I did not understand anything about whose feelings worked towards whom")</f>
        <v>I did not understand anything about whose feelings worked towards whom</v>
      </c>
      <c r="D5624" s="5"/>
      <c r="E5624" s="5"/>
      <c r="F5624" s="5"/>
      <c r="G5624" s="5"/>
      <c r="H5624" s="5"/>
      <c r="I5624" s="5"/>
      <c r="J5624" s="5"/>
      <c r="K5624" s="5"/>
      <c r="L5624" s="5"/>
      <c r="M5624" s="5"/>
      <c r="N5624" s="5"/>
      <c r="O5624" s="5"/>
      <c r="P5624" s="5"/>
      <c r="Q5624" s="5"/>
      <c r="R5624" s="5"/>
      <c r="S5624" s="5"/>
      <c r="T5624" s="5"/>
      <c r="U5624" s="5"/>
      <c r="V5624" s="5"/>
      <c r="W5624" s="5"/>
      <c r="X5624" s="5"/>
      <c r="Y5624" s="5"/>
      <c r="Z5624" s="5"/>
    </row>
    <row r="5625" spans="1:26" ht="15" x14ac:dyDescent="0.25">
      <c r="A5625" s="4" t="s">
        <v>5623</v>
      </c>
      <c r="B5625" s="4" t="s">
        <v>4550</v>
      </c>
      <c r="C5625" s="2" t="str">
        <f ca="1">IFERROR(__xludf.DUMMYFUNCTION("GOOGLETRANSLATE(A5625,""bn"",""en"")"),"It was the best educational movie I have ever seen and most importantly all the characters in the movie were amazing")</f>
        <v>It was the best educational movie I have ever seen and most importantly all the characters in the movie were amazing</v>
      </c>
      <c r="D5625" s="5"/>
      <c r="E5625" s="5"/>
      <c r="F5625" s="5"/>
      <c r="G5625" s="5"/>
      <c r="H5625" s="5"/>
      <c r="I5625" s="5"/>
      <c r="J5625" s="5"/>
      <c r="K5625" s="5"/>
      <c r="L5625" s="5"/>
      <c r="M5625" s="5"/>
      <c r="N5625" s="5"/>
      <c r="O5625" s="5"/>
      <c r="P5625" s="5"/>
      <c r="Q5625" s="5"/>
      <c r="R5625" s="5"/>
      <c r="S5625" s="5"/>
      <c r="T5625" s="5"/>
      <c r="U5625" s="5"/>
      <c r="V5625" s="5"/>
      <c r="W5625" s="5"/>
      <c r="X5625" s="5"/>
      <c r="Y5625" s="5"/>
      <c r="Z5625" s="5"/>
    </row>
    <row r="5626" spans="1:26" ht="15" x14ac:dyDescent="0.25">
      <c r="A5626" s="4" t="s">
        <v>5624</v>
      </c>
      <c r="B5626" s="4" t="s">
        <v>4550</v>
      </c>
      <c r="C5626" s="2" t="str">
        <f ca="1">IFERROR(__xludf.DUMMYFUNCTION("GOOGLETRANSLATE(A5626,""bn"",""en"")"),"Full copied")</f>
        <v>Full copied</v>
      </c>
      <c r="D5626" s="5"/>
      <c r="E5626" s="5"/>
      <c r="F5626" s="5"/>
      <c r="G5626" s="5"/>
      <c r="H5626" s="5"/>
      <c r="I5626" s="5"/>
      <c r="J5626" s="5"/>
      <c r="K5626" s="5"/>
      <c r="L5626" s="5"/>
      <c r="M5626" s="5"/>
      <c r="N5626" s="5"/>
      <c r="O5626" s="5"/>
      <c r="P5626" s="5"/>
      <c r="Q5626" s="5"/>
      <c r="R5626" s="5"/>
      <c r="S5626" s="5"/>
      <c r="T5626" s="5"/>
      <c r="U5626" s="5"/>
      <c r="V5626" s="5"/>
      <c r="W5626" s="5"/>
      <c r="X5626" s="5"/>
      <c r="Y5626" s="5"/>
      <c r="Z5626" s="5"/>
    </row>
    <row r="5627" spans="1:26" ht="15" x14ac:dyDescent="0.25">
      <c r="A5627" s="4" t="s">
        <v>5625</v>
      </c>
      <c r="B5627" s="4" t="s">
        <v>4550</v>
      </c>
      <c r="C5627" s="2" t="str">
        <f ca="1">IFERROR(__xludf.DUMMYFUNCTION("GOOGLETRANSLATE(A5627,""bn"",""en"")"),"Aanchal's performance was beautiful beyond words")</f>
        <v>Aanchal's performance was beautiful beyond words</v>
      </c>
      <c r="D5627" s="5"/>
      <c r="E5627" s="5"/>
      <c r="F5627" s="5"/>
      <c r="G5627" s="5"/>
      <c r="H5627" s="5"/>
      <c r="I5627" s="5"/>
      <c r="J5627" s="5"/>
      <c r="K5627" s="5"/>
      <c r="L5627" s="5"/>
      <c r="M5627" s="5"/>
      <c r="N5627" s="5"/>
      <c r="O5627" s="5"/>
      <c r="P5627" s="5"/>
      <c r="Q5627" s="5"/>
      <c r="R5627" s="5"/>
      <c r="S5627" s="5"/>
      <c r="T5627" s="5"/>
      <c r="U5627" s="5"/>
      <c r="V5627" s="5"/>
      <c r="W5627" s="5"/>
      <c r="X5627" s="5"/>
      <c r="Y5627" s="5"/>
      <c r="Z5627" s="5"/>
    </row>
    <row r="5628" spans="1:26" ht="15" x14ac:dyDescent="0.25">
      <c r="A5628" s="4" t="s">
        <v>5626</v>
      </c>
      <c r="B5628" s="4" t="s">
        <v>4550</v>
      </c>
      <c r="C5628" s="2" t="str">
        <f ca="1">IFERROR(__xludf.DUMMYFUNCTION("GOOGLETRANSLATE(A5628,""bn"",""en"")"),"There was no similarity with the trailer in this movie")</f>
        <v>There was no similarity with the trailer in this movie</v>
      </c>
      <c r="D5628" s="5"/>
      <c r="E5628" s="5"/>
      <c r="F5628" s="5"/>
      <c r="G5628" s="5"/>
      <c r="H5628" s="5"/>
      <c r="I5628" s="5"/>
      <c r="J5628" s="5"/>
      <c r="K5628" s="5"/>
      <c r="L5628" s="5"/>
      <c r="M5628" s="5"/>
      <c r="N5628" s="5"/>
      <c r="O5628" s="5"/>
      <c r="P5628" s="5"/>
      <c r="Q5628" s="5"/>
      <c r="R5628" s="5"/>
      <c r="S5628" s="5"/>
      <c r="T5628" s="5"/>
      <c r="U5628" s="5"/>
      <c r="V5628" s="5"/>
      <c r="W5628" s="5"/>
      <c r="X5628" s="5"/>
      <c r="Y5628" s="5"/>
      <c r="Z5628" s="5"/>
    </row>
    <row r="5629" spans="1:26" ht="15" x14ac:dyDescent="0.25">
      <c r="A5629" s="4" t="s">
        <v>5627</v>
      </c>
      <c r="B5629" s="4" t="s">
        <v>4550</v>
      </c>
      <c r="C5629" s="2" t="str">
        <f ca="1">IFERROR(__xludf.DUMMYFUNCTION("GOOGLETRANSLATE(A5629,""bn"",""en"")"),"This was the best for me")</f>
        <v>This was the best for me</v>
      </c>
      <c r="D5629" s="5"/>
      <c r="E5629" s="5"/>
      <c r="F5629" s="5"/>
      <c r="G5629" s="5"/>
      <c r="H5629" s="5"/>
      <c r="I5629" s="5"/>
      <c r="J5629" s="5"/>
      <c r="K5629" s="5"/>
      <c r="L5629" s="5"/>
      <c r="M5629" s="5"/>
      <c r="N5629" s="5"/>
      <c r="O5629" s="5"/>
      <c r="P5629" s="5"/>
      <c r="Q5629" s="5"/>
      <c r="R5629" s="5"/>
      <c r="S5629" s="5"/>
      <c r="T5629" s="5"/>
      <c r="U5629" s="5"/>
      <c r="V5629" s="5"/>
      <c r="W5629" s="5"/>
      <c r="X5629" s="5"/>
      <c r="Y5629" s="5"/>
      <c r="Z5629" s="5"/>
    </row>
    <row r="5630" spans="1:26" ht="15" x14ac:dyDescent="0.25">
      <c r="A5630" s="4" t="s">
        <v>5628</v>
      </c>
      <c r="B5630" s="4" t="s">
        <v>4550</v>
      </c>
      <c r="C5630" s="2" t="str">
        <f ca="1">IFERROR(__xludf.DUMMYFUNCTION("GOOGLETRANSLATE(A5630,""bn"",""en"")"),"It was a movie with no frills")</f>
        <v>It was a movie with no frills</v>
      </c>
      <c r="D5630" s="5"/>
      <c r="E5630" s="5"/>
      <c r="F5630" s="5"/>
      <c r="G5630" s="5"/>
      <c r="H5630" s="5"/>
      <c r="I5630" s="5"/>
      <c r="J5630" s="5"/>
      <c r="K5630" s="5"/>
      <c r="L5630" s="5"/>
      <c r="M5630" s="5"/>
      <c r="N5630" s="5"/>
      <c r="O5630" s="5"/>
      <c r="P5630" s="5"/>
      <c r="Q5630" s="5"/>
      <c r="R5630" s="5"/>
      <c r="S5630" s="5"/>
      <c r="T5630" s="5"/>
      <c r="U5630" s="5"/>
      <c r="V5630" s="5"/>
      <c r="W5630" s="5"/>
      <c r="X5630" s="5"/>
      <c r="Y5630" s="5"/>
      <c r="Z5630" s="5"/>
    </row>
    <row r="5631" spans="1:26" ht="15" x14ac:dyDescent="0.25">
      <c r="A5631" s="4" t="s">
        <v>5629</v>
      </c>
      <c r="B5631" s="4" t="s">
        <v>4550</v>
      </c>
      <c r="C5631" s="2" t="str">
        <f ca="1">IFERROR(__xludf.DUMMYFUNCTION("GOOGLETRANSLATE(A5631,""bn"",""en"")"),"One of the best was the family photo")</f>
        <v>One of the best was the family photo</v>
      </c>
      <c r="D5631" s="5"/>
      <c r="E5631" s="5"/>
      <c r="F5631" s="5"/>
      <c r="G5631" s="5"/>
      <c r="H5631" s="5"/>
      <c r="I5631" s="5"/>
      <c r="J5631" s="5"/>
      <c r="K5631" s="5"/>
      <c r="L5631" s="5"/>
      <c r="M5631" s="5"/>
      <c r="N5631" s="5"/>
      <c r="O5631" s="5"/>
      <c r="P5631" s="5"/>
      <c r="Q5631" s="5"/>
      <c r="R5631" s="5"/>
      <c r="S5631" s="5"/>
      <c r="T5631" s="5"/>
      <c r="U5631" s="5"/>
      <c r="V5631" s="5"/>
      <c r="W5631" s="5"/>
      <c r="X5631" s="5"/>
      <c r="Y5631" s="5"/>
      <c r="Z5631" s="5"/>
    </row>
    <row r="5632" spans="1:26" ht="15" x14ac:dyDescent="0.25">
      <c r="A5632" s="4" t="s">
        <v>5630</v>
      </c>
      <c r="B5632" s="4" t="s">
        <v>4550</v>
      </c>
      <c r="C5632" s="2" t="str">
        <f ca="1">IFERROR(__xludf.DUMMYFUNCTION("GOOGLETRANSLATE(A5632,""bn"",""en"")"),"There was a crappy director")</f>
        <v>There was a crappy director</v>
      </c>
      <c r="D5632" s="5"/>
      <c r="E5632" s="5"/>
      <c r="F5632" s="5"/>
      <c r="G5632" s="5"/>
      <c r="H5632" s="5"/>
      <c r="I5632" s="5"/>
      <c r="J5632" s="5"/>
      <c r="K5632" s="5"/>
      <c r="L5632" s="5"/>
      <c r="M5632" s="5"/>
      <c r="N5632" s="5"/>
      <c r="O5632" s="5"/>
      <c r="P5632" s="5"/>
      <c r="Q5632" s="5"/>
      <c r="R5632" s="5"/>
      <c r="S5632" s="5"/>
      <c r="T5632" s="5"/>
      <c r="U5632" s="5"/>
      <c r="V5632" s="5"/>
      <c r="W5632" s="5"/>
      <c r="X5632" s="5"/>
      <c r="Y5632" s="5"/>
      <c r="Z5632" s="5"/>
    </row>
    <row r="5633" spans="1:26" ht="15" x14ac:dyDescent="0.25">
      <c r="A5633" s="4" t="s">
        <v>5631</v>
      </c>
      <c r="B5633" s="4" t="s">
        <v>4550</v>
      </c>
      <c r="C5633" s="2" t="str">
        <f ca="1">IFERROR(__xludf.DUMMYFUNCTION("GOOGLETRANSLATE(A5633,""bn"",""en"")"),"I mean, did I say that the director had gone mad or not?")</f>
        <v>I mean, did I say that the director had gone mad or not?</v>
      </c>
      <c r="D5633" s="5"/>
      <c r="E5633" s="5"/>
      <c r="F5633" s="5"/>
      <c r="G5633" s="5"/>
      <c r="H5633" s="5"/>
      <c r="I5633" s="5"/>
      <c r="J5633" s="5"/>
      <c r="K5633" s="5"/>
      <c r="L5633" s="5"/>
      <c r="M5633" s="5"/>
      <c r="N5633" s="5"/>
      <c r="O5633" s="5"/>
      <c r="P5633" s="5"/>
      <c r="Q5633" s="5"/>
      <c r="R5633" s="5"/>
      <c r="S5633" s="5"/>
      <c r="T5633" s="5"/>
      <c r="U5633" s="5"/>
      <c r="V5633" s="5"/>
      <c r="W5633" s="5"/>
      <c r="X5633" s="5"/>
      <c r="Y5633" s="5"/>
      <c r="Z5633" s="5"/>
    </row>
    <row r="5634" spans="1:26" ht="15" x14ac:dyDescent="0.25">
      <c r="A5634" s="4" t="s">
        <v>5632</v>
      </c>
      <c r="B5634" s="4" t="s">
        <v>4550</v>
      </c>
      <c r="C5634" s="2" t="str">
        <f ca="1">IFERROR(__xludf.DUMMYFUNCTION("GOOGLETRANSLATE(A5634,""bn"",""en"")"),"It was an act")</f>
        <v>It was an act</v>
      </c>
      <c r="D5634" s="5"/>
      <c r="E5634" s="5"/>
      <c r="F5634" s="5"/>
      <c r="G5634" s="5"/>
      <c r="H5634" s="5"/>
      <c r="I5634" s="5"/>
      <c r="J5634" s="5"/>
      <c r="K5634" s="5"/>
      <c r="L5634" s="5"/>
      <c r="M5634" s="5"/>
      <c r="N5634" s="5"/>
      <c r="O5634" s="5"/>
      <c r="P5634" s="5"/>
      <c r="Q5634" s="5"/>
      <c r="R5634" s="5"/>
      <c r="S5634" s="5"/>
      <c r="T5634" s="5"/>
      <c r="U5634" s="5"/>
      <c r="V5634" s="5"/>
      <c r="W5634" s="5"/>
      <c r="X5634" s="5"/>
      <c r="Y5634" s="5"/>
      <c r="Z5634" s="5"/>
    </row>
    <row r="5635" spans="1:26" ht="15" x14ac:dyDescent="0.25">
      <c r="A5635" s="4" t="s">
        <v>5633</v>
      </c>
      <c r="B5635" s="4" t="s">
        <v>4550</v>
      </c>
      <c r="C5635" s="2" t="str">
        <f ca="1">IFERROR(__xludf.DUMMYFUNCTION("GOOGLETRANSLATE(A5635,""bn"",""en"")"),"I finished in 2 minutes on Tenetun, not so good pictures, so I finished it quickly")</f>
        <v>I finished in 2 minutes on Tenetun, not so good pictures, so I finished it quickly</v>
      </c>
      <c r="D5635" s="5"/>
      <c r="E5635" s="5"/>
      <c r="F5635" s="5"/>
      <c r="G5635" s="5"/>
      <c r="H5635" s="5"/>
      <c r="I5635" s="5"/>
      <c r="J5635" s="5"/>
      <c r="K5635" s="5"/>
      <c r="L5635" s="5"/>
      <c r="M5635" s="5"/>
      <c r="N5635" s="5"/>
      <c r="O5635" s="5"/>
      <c r="P5635" s="5"/>
      <c r="Q5635" s="5"/>
      <c r="R5635" s="5"/>
      <c r="S5635" s="5"/>
      <c r="T5635" s="5"/>
      <c r="U5635" s="5"/>
      <c r="V5635" s="5"/>
      <c r="W5635" s="5"/>
      <c r="X5635" s="5"/>
      <c r="Y5635" s="5"/>
      <c r="Z5635" s="5"/>
    </row>
    <row r="5636" spans="1:26" ht="15" x14ac:dyDescent="0.25">
      <c r="A5636" s="4" t="s">
        <v>5634</v>
      </c>
      <c r="B5636" s="4" t="s">
        <v>4550</v>
      </c>
      <c r="C5636" s="2" t="str">
        <f ca="1">IFERROR(__xludf.DUMMYFUNCTION("GOOGLETRANSLATE(A5636,""bn"",""en"")"),"What I thought and what I saw")</f>
        <v>What I thought and what I saw</v>
      </c>
      <c r="D5636" s="5"/>
      <c r="E5636" s="5"/>
      <c r="F5636" s="5"/>
      <c r="G5636" s="5"/>
      <c r="H5636" s="5"/>
      <c r="I5636" s="5"/>
      <c r="J5636" s="5"/>
      <c r="K5636" s="5"/>
      <c r="L5636" s="5"/>
      <c r="M5636" s="5"/>
      <c r="N5636" s="5"/>
      <c r="O5636" s="5"/>
      <c r="P5636" s="5"/>
      <c r="Q5636" s="5"/>
      <c r="R5636" s="5"/>
      <c r="S5636" s="5"/>
      <c r="T5636" s="5"/>
      <c r="U5636" s="5"/>
      <c r="V5636" s="5"/>
      <c r="W5636" s="5"/>
      <c r="X5636" s="5"/>
      <c r="Y5636" s="5"/>
      <c r="Z5636" s="5"/>
    </row>
    <row r="5637" spans="1:26" ht="15" x14ac:dyDescent="0.25">
      <c r="A5637" s="4" t="s">
        <v>5635</v>
      </c>
      <c r="B5637" s="4" t="s">
        <v>4550</v>
      </c>
      <c r="C5637" s="2" t="str">
        <f ca="1">IFERROR(__xludf.DUMMYFUNCTION("GOOGLETRANSLATE(A5637,""bn"",""en"")"),"I laughed and I cried. Everyone acted brilliantly")</f>
        <v>I laughed and I cried. Everyone acted brilliantly</v>
      </c>
      <c r="D5637" s="5"/>
      <c r="E5637" s="5"/>
      <c r="F5637" s="5"/>
      <c r="G5637" s="5"/>
      <c r="H5637" s="5"/>
      <c r="I5637" s="5"/>
      <c r="J5637" s="5"/>
      <c r="K5637" s="5"/>
      <c r="L5637" s="5"/>
      <c r="M5637" s="5"/>
      <c r="N5637" s="5"/>
      <c r="O5637" s="5"/>
      <c r="P5637" s="5"/>
      <c r="Q5637" s="5"/>
      <c r="R5637" s="5"/>
      <c r="S5637" s="5"/>
      <c r="T5637" s="5"/>
      <c r="U5637" s="5"/>
      <c r="V5637" s="5"/>
      <c r="W5637" s="5"/>
      <c r="X5637" s="5"/>
      <c r="Y5637" s="5"/>
      <c r="Z5637" s="5"/>
    </row>
    <row r="5638" spans="1:26" ht="15" x14ac:dyDescent="0.25">
      <c r="A5638" s="4" t="s">
        <v>5636</v>
      </c>
      <c r="B5638" s="4" t="s">
        <v>4550</v>
      </c>
      <c r="C5638" s="2" t="str">
        <f ca="1">IFERROR(__xludf.DUMMYFUNCTION("GOOGLETRANSLATE(A5638,""bn"",""en"")"),"The movie was such that it could not change the society in one go but it had a message to change because Irfan Khan was there so this movie was so heart touching.")</f>
        <v>The movie was such that it could not change the society in one go but it had a message to change because Irfan Khan was there so this movie was so heart touching.</v>
      </c>
      <c r="D5638" s="5"/>
      <c r="E5638" s="5"/>
      <c r="F5638" s="5"/>
      <c r="G5638" s="5"/>
      <c r="H5638" s="5"/>
      <c r="I5638" s="5"/>
      <c r="J5638" s="5"/>
      <c r="K5638" s="5"/>
      <c r="L5638" s="5"/>
      <c r="M5638" s="5"/>
      <c r="N5638" s="5"/>
      <c r="O5638" s="5"/>
      <c r="P5638" s="5"/>
      <c r="Q5638" s="5"/>
      <c r="R5638" s="5"/>
      <c r="S5638" s="5"/>
      <c r="T5638" s="5"/>
      <c r="U5638" s="5"/>
      <c r="V5638" s="5"/>
      <c r="W5638" s="5"/>
      <c r="X5638" s="5"/>
      <c r="Y5638" s="5"/>
      <c r="Z5638" s="5"/>
    </row>
    <row r="5639" spans="1:26" ht="15" x14ac:dyDescent="0.25">
      <c r="A5639" s="4" t="s">
        <v>5637</v>
      </c>
      <c r="B5639" s="4" t="s">
        <v>4550</v>
      </c>
      <c r="C5639" s="2" t="str">
        <f ca="1">IFERROR(__xludf.DUMMYFUNCTION("GOOGLETRANSLATE(A5639,""bn"",""en"")"),"If you call it a comedy movie, it could not be called a thriller movie, there was no climax, nothing, it was a movie.")</f>
        <v>If you call it a comedy movie, it could not be called a thriller movie, there was no climax, nothing, it was a movie.</v>
      </c>
      <c r="D5639" s="5"/>
      <c r="E5639" s="5"/>
      <c r="F5639" s="5"/>
      <c r="G5639" s="5"/>
      <c r="H5639" s="5"/>
      <c r="I5639" s="5"/>
      <c r="J5639" s="5"/>
      <c r="K5639" s="5"/>
      <c r="L5639" s="5"/>
      <c r="M5639" s="5"/>
      <c r="N5639" s="5"/>
      <c r="O5639" s="5"/>
      <c r="P5639" s="5"/>
      <c r="Q5639" s="5"/>
      <c r="R5639" s="5"/>
      <c r="S5639" s="5"/>
      <c r="T5639" s="5"/>
      <c r="U5639" s="5"/>
      <c r="V5639" s="5"/>
      <c r="W5639" s="5"/>
      <c r="X5639" s="5"/>
      <c r="Y5639" s="5"/>
      <c r="Z5639" s="5"/>
    </row>
    <row r="5640" spans="1:26" ht="15" x14ac:dyDescent="0.25">
      <c r="A5640" s="4" t="s">
        <v>5638</v>
      </c>
      <c r="B5640" s="4" t="s">
        <v>4550</v>
      </c>
      <c r="C5640" s="2" t="str">
        <f ca="1">IFERROR(__xludf.DUMMYFUNCTION("GOOGLETRANSLATE(A5640,""bn"",""en"")"),"It was very funny")</f>
        <v>It was very funny</v>
      </c>
      <c r="D5640" s="5"/>
      <c r="E5640" s="5"/>
      <c r="F5640" s="5"/>
      <c r="G5640" s="5"/>
      <c r="H5640" s="5"/>
      <c r="I5640" s="5"/>
      <c r="J5640" s="5"/>
      <c r="K5640" s="5"/>
      <c r="L5640" s="5"/>
      <c r="M5640" s="5"/>
      <c r="N5640" s="5"/>
      <c r="O5640" s="5"/>
      <c r="P5640" s="5"/>
      <c r="Q5640" s="5"/>
      <c r="R5640" s="5"/>
      <c r="S5640" s="5"/>
      <c r="T5640" s="5"/>
      <c r="U5640" s="5"/>
      <c r="V5640" s="5"/>
      <c r="W5640" s="5"/>
      <c r="X5640" s="5"/>
      <c r="Y5640" s="5"/>
      <c r="Z5640" s="5"/>
    </row>
    <row r="5641" spans="1:26" ht="15" x14ac:dyDescent="0.25">
      <c r="A5641" s="4" t="s">
        <v>5639</v>
      </c>
      <c r="B5641" s="4" t="s">
        <v>4550</v>
      </c>
      <c r="C5641" s="2" t="str">
        <f ca="1">IFERROR(__xludf.DUMMYFUNCTION("GOOGLETRANSLATE(A5641,""bn"",""en"")"),"It doesn't get any worse movies")</f>
        <v>It doesn't get any worse movies</v>
      </c>
      <c r="D5641" s="5"/>
      <c r="E5641" s="5"/>
      <c r="F5641" s="5"/>
      <c r="G5641" s="5"/>
      <c r="H5641" s="5"/>
      <c r="I5641" s="5"/>
      <c r="J5641" s="5"/>
      <c r="K5641" s="5"/>
      <c r="L5641" s="5"/>
      <c r="M5641" s="5"/>
      <c r="N5641" s="5"/>
      <c r="O5641" s="5"/>
      <c r="P5641" s="5"/>
      <c r="Q5641" s="5"/>
      <c r="R5641" s="5"/>
      <c r="S5641" s="5"/>
      <c r="T5641" s="5"/>
      <c r="U5641" s="5"/>
      <c r="V5641" s="5"/>
      <c r="W5641" s="5"/>
      <c r="X5641" s="5"/>
      <c r="Y5641" s="5"/>
      <c r="Z5641" s="5"/>
    </row>
    <row r="5642" spans="1:26" ht="15" x14ac:dyDescent="0.25">
      <c r="A5642" s="4" t="s">
        <v>5640</v>
      </c>
      <c r="B5642" s="4" t="s">
        <v>4550</v>
      </c>
      <c r="C5642" s="2" t="str">
        <f ca="1">IFERROR(__xludf.DUMMYFUNCTION("GOOGLETRANSLATE(A5642,""bn"",""en"")"),"After watching this film, I still couldn't forget Salman Shah")</f>
        <v>After watching this film, I still couldn't forget Salman Shah</v>
      </c>
      <c r="D5642" s="5"/>
      <c r="E5642" s="5"/>
      <c r="F5642" s="5"/>
      <c r="G5642" s="5"/>
      <c r="H5642" s="5"/>
      <c r="I5642" s="5"/>
      <c r="J5642" s="5"/>
      <c r="K5642" s="5"/>
      <c r="L5642" s="5"/>
      <c r="M5642" s="5"/>
      <c r="N5642" s="5"/>
      <c r="O5642" s="5"/>
      <c r="P5642" s="5"/>
      <c r="Q5642" s="5"/>
      <c r="R5642" s="5"/>
      <c r="S5642" s="5"/>
      <c r="T5642" s="5"/>
      <c r="U5642" s="5"/>
      <c r="V5642" s="5"/>
      <c r="W5642" s="5"/>
      <c r="X5642" s="5"/>
      <c r="Y5642" s="5"/>
      <c r="Z5642" s="5"/>
    </row>
    <row r="5643" spans="1:26" ht="15" x14ac:dyDescent="0.25">
      <c r="A5643" s="4" t="s">
        <v>5641</v>
      </c>
      <c r="B5643" s="4" t="s">
        <v>4550</v>
      </c>
      <c r="C5643" s="2" t="str">
        <f ca="1">IFERROR(__xludf.DUMMYFUNCTION("GOOGLETRANSLATE(A5643,""bn"",""en"")"),"I was starting to smoke cigarettes after having a bad conversation. After I got sick today, I realized what harm it did to me")</f>
        <v>I was starting to smoke cigarettes after having a bad conversation. After I got sick today, I realized what harm it did to me</v>
      </c>
      <c r="D5643" s="5"/>
      <c r="E5643" s="5"/>
      <c r="F5643" s="5"/>
      <c r="G5643" s="5"/>
      <c r="H5643" s="5"/>
      <c r="I5643" s="5"/>
      <c r="J5643" s="5"/>
      <c r="K5643" s="5"/>
      <c r="L5643" s="5"/>
      <c r="M5643" s="5"/>
      <c r="N5643" s="5"/>
      <c r="O5643" s="5"/>
      <c r="P5643" s="5"/>
      <c r="Q5643" s="5"/>
      <c r="R5643" s="5"/>
      <c r="S5643" s="5"/>
      <c r="T5643" s="5"/>
      <c r="U5643" s="5"/>
      <c r="V5643" s="5"/>
      <c r="W5643" s="5"/>
      <c r="X5643" s="5"/>
      <c r="Y5643" s="5"/>
      <c r="Z5643" s="5"/>
    </row>
    <row r="5644" spans="1:26" ht="15" x14ac:dyDescent="0.25">
      <c r="A5644" s="4" t="s">
        <v>5642</v>
      </c>
      <c r="B5644" s="4" t="s">
        <v>4550</v>
      </c>
      <c r="C5644" s="2" t="str">
        <f ca="1">IFERROR(__xludf.DUMMYFUNCTION("GOOGLETRANSLATE(A5644,""bn"",""en"")"),"Anant Jalil could not speak, what else would he give a dialogue, the movie would tell the story and if there was only a story, the movie would not run.")</f>
        <v>Anant Jalil could not speak, what else would he give a dialogue, the movie would tell the story and if there was only a story, the movie would not run.</v>
      </c>
      <c r="D5644" s="5"/>
      <c r="E5644" s="5"/>
      <c r="F5644" s="5"/>
      <c r="G5644" s="5"/>
      <c r="H5644" s="5"/>
      <c r="I5644" s="5"/>
      <c r="J5644" s="5"/>
      <c r="K5644" s="5"/>
      <c r="L5644" s="5"/>
      <c r="M5644" s="5"/>
      <c r="N5644" s="5"/>
      <c r="O5644" s="5"/>
      <c r="P5644" s="5"/>
      <c r="Q5644" s="5"/>
      <c r="R5644" s="5"/>
      <c r="S5644" s="5"/>
      <c r="T5644" s="5"/>
      <c r="U5644" s="5"/>
      <c r="V5644" s="5"/>
      <c r="W5644" s="5"/>
      <c r="X5644" s="5"/>
      <c r="Y5644" s="5"/>
      <c r="Z5644" s="5"/>
    </row>
    <row r="5645" spans="1:26" ht="15" x14ac:dyDescent="0.25">
      <c r="A5645" s="4" t="s">
        <v>5643</v>
      </c>
      <c r="B5645" s="4" t="s">
        <v>4550</v>
      </c>
      <c r="C5645" s="2" t="str">
        <f ca="1">IFERROR(__xludf.DUMMYFUNCTION("GOOGLETRANSLATE(A5645,""bn"",""en"")"),"I never thought a film would make me cry like this")</f>
        <v>I never thought a film would make me cry like this</v>
      </c>
      <c r="D5645" s="5"/>
      <c r="E5645" s="5"/>
      <c r="F5645" s="5"/>
      <c r="G5645" s="5"/>
      <c r="H5645" s="5"/>
      <c r="I5645" s="5"/>
      <c r="J5645" s="5"/>
      <c r="K5645" s="5"/>
      <c r="L5645" s="5"/>
      <c r="M5645" s="5"/>
      <c r="N5645" s="5"/>
      <c r="O5645" s="5"/>
      <c r="P5645" s="5"/>
      <c r="Q5645" s="5"/>
      <c r="R5645" s="5"/>
      <c r="S5645" s="5"/>
      <c r="T5645" s="5"/>
      <c r="U5645" s="5"/>
      <c r="V5645" s="5"/>
      <c r="W5645" s="5"/>
      <c r="X5645" s="5"/>
      <c r="Y5645" s="5"/>
      <c r="Z5645" s="5"/>
    </row>
    <row r="5646" spans="1:26" ht="15" x14ac:dyDescent="0.25">
      <c r="A5646" s="4" t="s">
        <v>5644</v>
      </c>
      <c r="B5646" s="4" t="s">
        <v>4550</v>
      </c>
      <c r="C5646" s="2" t="str">
        <f ca="1">IFERROR(__xludf.DUMMYFUNCTION("GOOGLETRANSLATE(A5646,""bn"",""en"")"),"There was so much cringe in the previous movie too")</f>
        <v>There was so much cringe in the previous movie too</v>
      </c>
      <c r="D5646" s="5"/>
      <c r="E5646" s="5"/>
      <c r="F5646" s="5"/>
      <c r="G5646" s="5"/>
      <c r="H5646" s="5"/>
      <c r="I5646" s="5"/>
      <c r="J5646" s="5"/>
      <c r="K5646" s="5"/>
      <c r="L5646" s="5"/>
      <c r="M5646" s="5"/>
      <c r="N5646" s="5"/>
      <c r="O5646" s="5"/>
      <c r="P5646" s="5"/>
      <c r="Q5646" s="5"/>
      <c r="R5646" s="5"/>
      <c r="S5646" s="5"/>
      <c r="T5646" s="5"/>
      <c r="U5646" s="5"/>
      <c r="V5646" s="5"/>
      <c r="W5646" s="5"/>
      <c r="X5646" s="5"/>
      <c r="Y5646" s="5"/>
      <c r="Z5646" s="5"/>
    </row>
    <row r="5647" spans="1:26" ht="15" x14ac:dyDescent="0.25">
      <c r="A5647" s="4" t="s">
        <v>5645</v>
      </c>
      <c r="B5647" s="4" t="s">
        <v>4550</v>
      </c>
      <c r="C5647" s="2" t="str">
        <f ca="1">IFERROR(__xludf.DUMMYFUNCTION("GOOGLETRANSLATE(A5647,""bn"",""en"")"),"The few times I saw the picture, I could not hold back the tears, the child's face was so beautiful")</f>
        <v>The few times I saw the picture, I could not hold back the tears, the child's face was so beautiful</v>
      </c>
      <c r="D5647" s="5"/>
      <c r="E5647" s="5"/>
      <c r="F5647" s="5"/>
      <c r="G5647" s="5"/>
      <c r="H5647" s="5"/>
      <c r="I5647" s="5"/>
      <c r="J5647" s="5"/>
      <c r="K5647" s="5"/>
      <c r="L5647" s="5"/>
      <c r="M5647" s="5"/>
      <c r="N5647" s="5"/>
      <c r="O5647" s="5"/>
      <c r="P5647" s="5"/>
      <c r="Q5647" s="5"/>
      <c r="R5647" s="5"/>
      <c r="S5647" s="5"/>
      <c r="T5647" s="5"/>
      <c r="U5647" s="5"/>
      <c r="V5647" s="5"/>
      <c r="W5647" s="5"/>
      <c r="X5647" s="5"/>
      <c r="Y5647" s="5"/>
      <c r="Z5647" s="5"/>
    </row>
    <row r="5648" spans="1:26" ht="15" x14ac:dyDescent="0.25">
      <c r="A5648" s="4" t="s">
        <v>5646</v>
      </c>
      <c r="B5648" s="4" t="s">
        <v>4550</v>
      </c>
      <c r="C5648" s="2" t="str">
        <f ca="1">IFERROR(__xludf.DUMMYFUNCTION("GOOGLETRANSLATE(A5648,""bn"",""en"")"),"Such a scene was never expected in a Bangladeshi movie")</f>
        <v>Such a scene was never expected in a Bangladeshi movie</v>
      </c>
      <c r="D5648" s="5"/>
      <c r="E5648" s="5"/>
      <c r="F5648" s="5"/>
      <c r="G5648" s="5"/>
      <c r="H5648" s="5"/>
      <c r="I5648" s="5"/>
      <c r="J5648" s="5"/>
      <c r="K5648" s="5"/>
      <c r="L5648" s="5"/>
      <c r="M5648" s="5"/>
      <c r="N5648" s="5"/>
      <c r="O5648" s="5"/>
      <c r="P5648" s="5"/>
      <c r="Q5648" s="5"/>
      <c r="R5648" s="5"/>
      <c r="S5648" s="5"/>
      <c r="T5648" s="5"/>
      <c r="U5648" s="5"/>
      <c r="V5648" s="5"/>
      <c r="W5648" s="5"/>
      <c r="X5648" s="5"/>
      <c r="Y5648" s="5"/>
      <c r="Z5648" s="5"/>
    </row>
    <row r="5649" spans="1:26" ht="15" x14ac:dyDescent="0.25">
      <c r="A5649" s="4" t="s">
        <v>5647</v>
      </c>
      <c r="B5649" s="4" t="s">
        <v>4550</v>
      </c>
      <c r="C5649" s="2" t="str">
        <f ca="1">IFERROR(__xludf.DUMMYFUNCTION("GOOGLETRANSLATE(A5649,""bn"",""en"")"),"The end was not perfect somehow")</f>
        <v>The end was not perfect somehow</v>
      </c>
      <c r="D5649" s="5"/>
      <c r="E5649" s="5"/>
      <c r="F5649" s="5"/>
      <c r="G5649" s="5"/>
      <c r="H5649" s="5"/>
      <c r="I5649" s="5"/>
      <c r="J5649" s="5"/>
      <c r="K5649" s="5"/>
      <c r="L5649" s="5"/>
      <c r="M5649" s="5"/>
      <c r="N5649" s="5"/>
      <c r="O5649" s="5"/>
      <c r="P5649" s="5"/>
      <c r="Q5649" s="5"/>
      <c r="R5649" s="5"/>
      <c r="S5649" s="5"/>
      <c r="T5649" s="5"/>
      <c r="U5649" s="5"/>
      <c r="V5649" s="5"/>
      <c r="W5649" s="5"/>
      <c r="X5649" s="5"/>
      <c r="Y5649" s="5"/>
      <c r="Z5649" s="5"/>
    </row>
    <row r="5650" spans="1:26" ht="15" x14ac:dyDescent="0.25">
      <c r="A5650" s="4" t="s">
        <v>5648</v>
      </c>
      <c r="B5650" s="4" t="s">
        <v>4550</v>
      </c>
      <c r="C5650" s="2" t="str">
        <f ca="1">IFERROR(__xludf.DUMMYFUNCTION("GOOGLETRANSLATE(A5650,""bn"",""en"")"),"Bangla Bau and Khairun were very beautiful in these two films, the hero and heroine acted as one, these two films captured the hearts of thousands of viewers.")</f>
        <v>Bangla Bau and Khairun were very beautiful in these two films, the hero and heroine acted as one, these two films captured the hearts of thousands of viewers.</v>
      </c>
      <c r="D5650" s="5"/>
      <c r="E5650" s="5"/>
      <c r="F5650" s="5"/>
      <c r="G5650" s="5"/>
      <c r="H5650" s="5"/>
      <c r="I5650" s="5"/>
      <c r="J5650" s="5"/>
      <c r="K5650" s="5"/>
      <c r="L5650" s="5"/>
      <c r="M5650" s="5"/>
      <c r="N5650" s="5"/>
      <c r="O5650" s="5"/>
      <c r="P5650" s="5"/>
      <c r="Q5650" s="5"/>
      <c r="R5650" s="5"/>
      <c r="S5650" s="5"/>
      <c r="T5650" s="5"/>
      <c r="U5650" s="5"/>
      <c r="V5650" s="5"/>
      <c r="W5650" s="5"/>
      <c r="X5650" s="5"/>
      <c r="Y5650" s="5"/>
      <c r="Z5650" s="5"/>
    </row>
    <row r="5651" spans="1:26" ht="15" x14ac:dyDescent="0.25">
      <c r="A5651" s="4" t="s">
        <v>5649</v>
      </c>
      <c r="B5651" s="4" t="s">
        <v>4550</v>
      </c>
      <c r="C5651" s="2" t="str">
        <f ca="1">IFERROR(__xludf.DUMMYFUNCTION("GOOGLETRANSLATE(A5651,""bn"",""en"")"),"Shakib Shabnoor's first movie was amazing")</f>
        <v>Shakib Shabnoor's first movie was amazing</v>
      </c>
      <c r="D5651" s="5"/>
      <c r="E5651" s="5"/>
      <c r="F5651" s="5"/>
      <c r="G5651" s="5"/>
      <c r="H5651" s="5"/>
      <c r="I5651" s="5"/>
      <c r="J5651" s="5"/>
      <c r="K5651" s="5"/>
      <c r="L5651" s="5"/>
      <c r="M5651" s="5"/>
      <c r="N5651" s="5"/>
      <c r="O5651" s="5"/>
      <c r="P5651" s="5"/>
      <c r="Q5651" s="5"/>
      <c r="R5651" s="5"/>
      <c r="S5651" s="5"/>
      <c r="T5651" s="5"/>
      <c r="U5651" s="5"/>
      <c r="V5651" s="5"/>
      <c r="W5651" s="5"/>
      <c r="X5651" s="5"/>
      <c r="Y5651" s="5"/>
      <c r="Z5651" s="5"/>
    </row>
    <row r="5652" spans="1:26" ht="15" x14ac:dyDescent="0.25">
      <c r="A5652" s="4" t="s">
        <v>5650</v>
      </c>
      <c r="B5652" s="4" t="s">
        <v>4550</v>
      </c>
      <c r="C5652" s="2" t="str">
        <f ca="1">IFERROR(__xludf.DUMMYFUNCTION("GOOGLETRANSLATE(A5652,""bn"",""en"")"),"Great movie absolutely heart touching great acting")</f>
        <v>Great movie absolutely heart touching great acting</v>
      </c>
      <c r="D5652" s="5"/>
      <c r="E5652" s="5"/>
      <c r="F5652" s="5"/>
      <c r="G5652" s="5"/>
      <c r="H5652" s="5"/>
      <c r="I5652" s="5"/>
      <c r="J5652" s="5"/>
      <c r="K5652" s="5"/>
      <c r="L5652" s="5"/>
      <c r="M5652" s="5"/>
      <c r="N5652" s="5"/>
      <c r="O5652" s="5"/>
      <c r="P5652" s="5"/>
      <c r="Q5652" s="5"/>
      <c r="R5652" s="5"/>
      <c r="S5652" s="5"/>
      <c r="T5652" s="5"/>
      <c r="U5652" s="5"/>
      <c r="V5652" s="5"/>
      <c r="W5652" s="5"/>
      <c r="X5652" s="5"/>
      <c r="Y5652" s="5"/>
      <c r="Z5652" s="5"/>
    </row>
    <row r="5653" spans="1:26" ht="15" x14ac:dyDescent="0.25">
      <c r="A5653" s="4" t="s">
        <v>5651</v>
      </c>
      <c r="B5653" s="4" t="s">
        <v>4550</v>
      </c>
      <c r="C5653" s="2" t="str">
        <f ca="1">IFERROR(__xludf.DUMMYFUNCTION("GOOGLETRANSLATE(A5653,""bn"",""en"")"),"I saw the film a long time ago, today I saw it again")</f>
        <v>I saw the film a long time ago, today I saw it again</v>
      </c>
      <c r="D5653" s="5"/>
      <c r="E5653" s="5"/>
      <c r="F5653" s="5"/>
      <c r="G5653" s="5"/>
      <c r="H5653" s="5"/>
      <c r="I5653" s="5"/>
      <c r="J5653" s="5"/>
      <c r="K5653" s="5"/>
      <c r="L5653" s="5"/>
      <c r="M5653" s="5"/>
      <c r="N5653" s="5"/>
      <c r="O5653" s="5"/>
      <c r="P5653" s="5"/>
      <c r="Q5653" s="5"/>
      <c r="R5653" s="5"/>
      <c r="S5653" s="5"/>
      <c r="T5653" s="5"/>
      <c r="U5653" s="5"/>
      <c r="V5653" s="5"/>
      <c r="W5653" s="5"/>
      <c r="X5653" s="5"/>
      <c r="Y5653" s="5"/>
      <c r="Z5653" s="5"/>
    </row>
    <row r="5654" spans="1:26" ht="15" x14ac:dyDescent="0.25">
      <c r="A5654" s="4" t="s">
        <v>5652</v>
      </c>
      <c r="B5654" s="4" t="s">
        <v>4550</v>
      </c>
      <c r="C5654" s="2" t="str">
        <f ca="1">IFERROR(__xludf.DUMMYFUNCTION("GOOGLETRANSLATE(A5654,""bn"",""en"")"),"I watched the movie with great interest but not the lesson I got")</f>
        <v>I watched the movie with great interest but not the lesson I got</v>
      </c>
      <c r="D5654" s="5"/>
      <c r="E5654" s="5"/>
      <c r="F5654" s="5"/>
      <c r="G5654" s="5"/>
      <c r="H5654" s="5"/>
      <c r="I5654" s="5"/>
      <c r="J5654" s="5"/>
      <c r="K5654" s="5"/>
      <c r="L5654" s="5"/>
      <c r="M5654" s="5"/>
      <c r="N5654" s="5"/>
      <c r="O5654" s="5"/>
      <c r="P5654" s="5"/>
      <c r="Q5654" s="5"/>
      <c r="R5654" s="5"/>
      <c r="S5654" s="5"/>
      <c r="T5654" s="5"/>
      <c r="U5654" s="5"/>
      <c r="V5654" s="5"/>
      <c r="W5654" s="5"/>
      <c r="X5654" s="5"/>
      <c r="Y5654" s="5"/>
      <c r="Z5654" s="5"/>
    </row>
    <row r="5655" spans="1:26" ht="15" x14ac:dyDescent="0.25">
      <c r="A5655" s="4" t="s">
        <v>5653</v>
      </c>
      <c r="B5655" s="4" t="s">
        <v>4550</v>
      </c>
      <c r="C5655" s="2" t="str">
        <f ca="1">IFERROR(__xludf.DUMMYFUNCTION("GOOGLETRANSLATE(A5655,""bn"",""en"")"),"How crazy I was for this movie when I was a kid, I laugh now when I think about how crazy I was then")</f>
        <v>How crazy I was for this movie when I was a kid, I laugh now when I think about how crazy I was then</v>
      </c>
      <c r="D5655" s="5"/>
      <c r="E5655" s="5"/>
      <c r="F5655" s="5"/>
      <c r="G5655" s="5"/>
      <c r="H5655" s="5"/>
      <c r="I5655" s="5"/>
      <c r="J5655" s="5"/>
      <c r="K5655" s="5"/>
      <c r="L5655" s="5"/>
      <c r="M5655" s="5"/>
      <c r="N5655" s="5"/>
      <c r="O5655" s="5"/>
      <c r="P5655" s="5"/>
      <c r="Q5655" s="5"/>
      <c r="R5655" s="5"/>
      <c r="S5655" s="5"/>
      <c r="T5655" s="5"/>
      <c r="U5655" s="5"/>
      <c r="V5655" s="5"/>
      <c r="W5655" s="5"/>
      <c r="X5655" s="5"/>
      <c r="Y5655" s="5"/>
      <c r="Z5655" s="5"/>
    </row>
    <row r="5656" spans="1:26" ht="15" x14ac:dyDescent="0.25">
      <c r="A5656" s="4" t="s">
        <v>5654</v>
      </c>
      <c r="B5656" s="4" t="s">
        <v>4550</v>
      </c>
      <c r="C5656" s="2" t="str">
        <f ca="1">IFERROR(__xludf.DUMMYFUNCTION("GOOGLETRANSLATE(A5656,""bn"",""en"")"),"Rezaul Karim Bappa Bhai's performance was excellent")</f>
        <v>Rezaul Karim Bappa Bhai's performance was excellent</v>
      </c>
      <c r="D5656" s="5"/>
      <c r="E5656" s="5"/>
      <c r="F5656" s="5"/>
      <c r="G5656" s="5"/>
      <c r="H5656" s="5"/>
      <c r="I5656" s="5"/>
      <c r="J5656" s="5"/>
      <c r="K5656" s="5"/>
      <c r="L5656" s="5"/>
      <c r="M5656" s="5"/>
      <c r="N5656" s="5"/>
      <c r="O5656" s="5"/>
      <c r="P5656" s="5"/>
      <c r="Q5656" s="5"/>
      <c r="R5656" s="5"/>
      <c r="S5656" s="5"/>
      <c r="T5656" s="5"/>
      <c r="U5656" s="5"/>
      <c r="V5656" s="5"/>
      <c r="W5656" s="5"/>
      <c r="X5656" s="5"/>
      <c r="Y5656" s="5"/>
      <c r="Z5656" s="5"/>
    </row>
    <row r="5657" spans="1:26" ht="15" x14ac:dyDescent="0.25">
      <c r="A5657" s="4" t="s">
        <v>5655</v>
      </c>
      <c r="B5657" s="4" t="s">
        <v>4550</v>
      </c>
      <c r="C5657" s="2" t="str">
        <f ca="1">IFERROR(__xludf.DUMMYFUNCTION("GOOGLETRANSLATE(A5657,""bn"",""en"")"),"Watching the movie of Elias Bhai for the first time today, I think it is a wonderful movie, no one else could have made such a movie in the history of Bangladesh")</f>
        <v>Watching the movie of Elias Bhai for the first time today, I think it is a wonderful movie, no one else could have made such a movie in the history of Bangladesh</v>
      </c>
      <c r="D5657" s="5"/>
      <c r="E5657" s="5"/>
      <c r="F5657" s="5"/>
      <c r="G5657" s="5"/>
      <c r="H5657" s="5"/>
      <c r="I5657" s="5"/>
      <c r="J5657" s="5"/>
      <c r="K5657" s="5"/>
      <c r="L5657" s="5"/>
      <c r="M5657" s="5"/>
      <c r="N5657" s="5"/>
      <c r="O5657" s="5"/>
      <c r="P5657" s="5"/>
      <c r="Q5657" s="5"/>
      <c r="R5657" s="5"/>
      <c r="S5657" s="5"/>
      <c r="T5657" s="5"/>
      <c r="U5657" s="5"/>
      <c r="V5657" s="5"/>
      <c r="W5657" s="5"/>
      <c r="X5657" s="5"/>
      <c r="Y5657" s="5"/>
      <c r="Z5657" s="5"/>
    </row>
    <row r="5658" spans="1:26" ht="15" x14ac:dyDescent="0.25">
      <c r="A5658" s="4" t="s">
        <v>5656</v>
      </c>
      <c r="B5658" s="4" t="s">
        <v>4550</v>
      </c>
      <c r="C5658" s="2" t="str">
        <f ca="1">IFERROR(__xludf.DUMMYFUNCTION("GOOGLETRANSLATE(A5658,""bn"",""en"")"),"Manpura is not just a film it is a timeless creation an emotion a love name Manpura was")</f>
        <v>Manpura is not just a film it is a timeless creation an emotion a love name Manpura was</v>
      </c>
      <c r="D5658" s="5"/>
      <c r="E5658" s="5"/>
      <c r="F5658" s="5"/>
      <c r="G5658" s="5"/>
      <c r="H5658" s="5"/>
      <c r="I5658" s="5"/>
      <c r="J5658" s="5"/>
      <c r="K5658" s="5"/>
      <c r="L5658" s="5"/>
      <c r="M5658" s="5"/>
      <c r="N5658" s="5"/>
      <c r="O5658" s="5"/>
      <c r="P5658" s="5"/>
      <c r="Q5658" s="5"/>
      <c r="R5658" s="5"/>
      <c r="S5658" s="5"/>
      <c r="T5658" s="5"/>
      <c r="U5658" s="5"/>
      <c r="V5658" s="5"/>
      <c r="W5658" s="5"/>
      <c r="X5658" s="5"/>
      <c r="Y5658" s="5"/>
      <c r="Z5658" s="5"/>
    </row>
    <row r="5659" spans="1:26" ht="15" x14ac:dyDescent="0.25">
      <c r="A5659" s="4" t="s">
        <v>5657</v>
      </c>
      <c r="B5659" s="4" t="s">
        <v>4550</v>
      </c>
      <c r="C5659" s="2" t="str">
        <f ca="1">IFERROR(__xludf.DUMMYFUNCTION("GOOGLETRANSLATE(A5659,""bn"",""en"")"),"Bangladesh drama was much better than this")</f>
        <v>Bangladesh drama was much better than this</v>
      </c>
      <c r="D5659" s="5"/>
      <c r="E5659" s="5"/>
      <c r="F5659" s="5"/>
      <c r="G5659" s="5"/>
      <c r="H5659" s="5"/>
      <c r="I5659" s="5"/>
      <c r="J5659" s="5"/>
      <c r="K5659" s="5"/>
      <c r="L5659" s="5"/>
      <c r="M5659" s="5"/>
      <c r="N5659" s="5"/>
      <c r="O5659" s="5"/>
      <c r="P5659" s="5"/>
      <c r="Q5659" s="5"/>
      <c r="R5659" s="5"/>
      <c r="S5659" s="5"/>
      <c r="T5659" s="5"/>
      <c r="U5659" s="5"/>
      <c r="V5659" s="5"/>
      <c r="W5659" s="5"/>
      <c r="X5659" s="5"/>
      <c r="Y5659" s="5"/>
      <c r="Z5659" s="5"/>
    </row>
    <row r="5660" spans="1:26" ht="15" x14ac:dyDescent="0.25">
      <c r="A5660" s="4" t="s">
        <v>5658</v>
      </c>
      <c r="B5660" s="4" t="s">
        <v>4550</v>
      </c>
      <c r="C5660" s="2" t="str">
        <f ca="1">IFERROR(__xludf.DUMMYFUNCTION("GOOGLETRANSLATE(A5660,""bn"",""en"")"),"Jasim bhai's acting was very good and Shabana and Jasim's acting was very nice")</f>
        <v>Jasim bhai's acting was very good and Shabana and Jasim's acting was very nice</v>
      </c>
      <c r="D5660" s="5"/>
      <c r="E5660" s="5"/>
      <c r="F5660" s="5"/>
      <c r="G5660" s="5"/>
      <c r="H5660" s="5"/>
      <c r="I5660" s="5"/>
      <c r="J5660" s="5"/>
      <c r="K5660" s="5"/>
      <c r="L5660" s="5"/>
      <c r="M5660" s="5"/>
      <c r="N5660" s="5"/>
      <c r="O5660" s="5"/>
      <c r="P5660" s="5"/>
      <c r="Q5660" s="5"/>
      <c r="R5660" s="5"/>
      <c r="S5660" s="5"/>
      <c r="T5660" s="5"/>
      <c r="U5660" s="5"/>
      <c r="V5660" s="5"/>
      <c r="W5660" s="5"/>
      <c r="X5660" s="5"/>
      <c r="Y5660" s="5"/>
      <c r="Z5660" s="5"/>
    </row>
    <row r="5661" spans="1:26" ht="15" x14ac:dyDescent="0.25">
      <c r="A5661" s="4" t="s">
        <v>5659</v>
      </c>
      <c r="B5661" s="4" t="s">
        <v>4550</v>
      </c>
      <c r="C5661" s="2" t="str">
        <f ca="1">IFERROR(__xludf.DUMMYFUNCTION("GOOGLETRANSLATE(A5661,""bn"",""en"")"),"At this point it was the best movie of my life")</f>
        <v>At this point it was the best movie of my life</v>
      </c>
      <c r="D5661" s="5"/>
      <c r="E5661" s="5"/>
      <c r="F5661" s="5"/>
      <c r="G5661" s="5"/>
      <c r="H5661" s="5"/>
      <c r="I5661" s="5"/>
      <c r="J5661" s="5"/>
      <c r="K5661" s="5"/>
      <c r="L5661" s="5"/>
      <c r="M5661" s="5"/>
      <c r="N5661" s="5"/>
      <c r="O5661" s="5"/>
      <c r="P5661" s="5"/>
      <c r="Q5661" s="5"/>
      <c r="R5661" s="5"/>
      <c r="S5661" s="5"/>
      <c r="T5661" s="5"/>
      <c r="U5661" s="5"/>
      <c r="V5661" s="5"/>
      <c r="W5661" s="5"/>
      <c r="X5661" s="5"/>
      <c r="Y5661" s="5"/>
      <c r="Z5661" s="5"/>
    </row>
    <row r="5662" spans="1:26" ht="15" x14ac:dyDescent="0.25">
      <c r="A5662" s="4" t="s">
        <v>5660</v>
      </c>
      <c r="B5662" s="4" t="s">
        <v>4550</v>
      </c>
      <c r="C5662" s="2" t="str">
        <f ca="1">IFERROR(__xludf.DUMMYFUNCTION("GOOGLETRANSLATE(A5662,""bn"",""en"")"),"The current picture and the previous picture were comparable")</f>
        <v>The current picture and the previous picture were comparable</v>
      </c>
      <c r="D5662" s="5"/>
      <c r="E5662" s="5"/>
      <c r="F5662" s="5"/>
      <c r="G5662" s="5"/>
      <c r="H5662" s="5"/>
      <c r="I5662" s="5"/>
      <c r="J5662" s="5"/>
      <c r="K5662" s="5"/>
      <c r="L5662" s="5"/>
      <c r="M5662" s="5"/>
      <c r="N5662" s="5"/>
      <c r="O5662" s="5"/>
      <c r="P5662" s="5"/>
      <c r="Q5662" s="5"/>
      <c r="R5662" s="5"/>
      <c r="S5662" s="5"/>
      <c r="T5662" s="5"/>
      <c r="U5662" s="5"/>
      <c r="V5662" s="5"/>
      <c r="W5662" s="5"/>
      <c r="X5662" s="5"/>
      <c r="Y5662" s="5"/>
      <c r="Z5662" s="5"/>
    </row>
    <row r="5663" spans="1:26" ht="15" x14ac:dyDescent="0.25">
      <c r="A5663" s="4" t="s">
        <v>5661</v>
      </c>
      <c r="B5663" s="4" t="s">
        <v>4550</v>
      </c>
      <c r="C5663" s="2" t="str">
        <f ca="1">IFERROR(__xludf.DUMMYFUNCTION("GOOGLETRANSLATE(A5663,""bn"",""en"")"),"I didn't like it, I didn't like it at all")</f>
        <v>I didn't like it, I didn't like it at all</v>
      </c>
      <c r="D5663" s="5"/>
      <c r="E5663" s="5"/>
      <c r="F5663" s="5"/>
      <c r="G5663" s="5"/>
      <c r="H5663" s="5"/>
      <c r="I5663" s="5"/>
      <c r="J5663" s="5"/>
      <c r="K5663" s="5"/>
      <c r="L5663" s="5"/>
      <c r="M5663" s="5"/>
      <c r="N5663" s="5"/>
      <c r="O5663" s="5"/>
      <c r="P5663" s="5"/>
      <c r="Q5663" s="5"/>
      <c r="R5663" s="5"/>
      <c r="S5663" s="5"/>
      <c r="T5663" s="5"/>
      <c r="U5663" s="5"/>
      <c r="V5663" s="5"/>
      <c r="W5663" s="5"/>
      <c r="X5663" s="5"/>
      <c r="Y5663" s="5"/>
      <c r="Z5663" s="5"/>
    </row>
    <row r="5664" spans="1:26" ht="15" x14ac:dyDescent="0.25">
      <c r="A5664" s="4" t="s">
        <v>5662</v>
      </c>
      <c r="B5664" s="4" t="s">
        <v>4550</v>
      </c>
      <c r="C5664" s="2" t="str">
        <f ca="1">IFERROR(__xludf.DUMMYFUNCTION("GOOGLETRANSLATE(A5664,""bn"",""en"")"),"No the movie was not good and their acting too")</f>
        <v>No the movie was not good and their acting too</v>
      </c>
      <c r="D5664" s="5"/>
      <c r="E5664" s="5"/>
      <c r="F5664" s="5"/>
      <c r="G5664" s="5"/>
      <c r="H5664" s="5"/>
      <c r="I5664" s="5"/>
      <c r="J5664" s="5"/>
      <c r="K5664" s="5"/>
      <c r="L5664" s="5"/>
      <c r="M5664" s="5"/>
      <c r="N5664" s="5"/>
      <c r="O5664" s="5"/>
      <c r="P5664" s="5"/>
      <c r="Q5664" s="5"/>
      <c r="R5664" s="5"/>
      <c r="S5664" s="5"/>
      <c r="T5664" s="5"/>
      <c r="U5664" s="5"/>
      <c r="V5664" s="5"/>
      <c r="W5664" s="5"/>
      <c r="X5664" s="5"/>
      <c r="Y5664" s="5"/>
      <c r="Z5664" s="5"/>
    </row>
    <row r="5665" spans="1:26" ht="15" x14ac:dyDescent="0.25">
      <c r="A5665" s="4" t="s">
        <v>5663</v>
      </c>
      <c r="B5665" s="4" t="s">
        <v>4550</v>
      </c>
      <c r="C5665" s="2" t="str">
        <f ca="1">IFERROR(__xludf.DUMMYFUNCTION("GOOGLETRANSLATE(A5665,""bn"",""en"")"),"My favorite movie was Ghar Duar")</f>
        <v>My favorite movie was Ghar Duar</v>
      </c>
      <c r="D5665" s="5"/>
      <c r="E5665" s="5"/>
      <c r="F5665" s="5"/>
      <c r="G5665" s="5"/>
      <c r="H5665" s="5"/>
      <c r="I5665" s="5"/>
      <c r="J5665" s="5"/>
      <c r="K5665" s="5"/>
      <c r="L5665" s="5"/>
      <c r="M5665" s="5"/>
      <c r="N5665" s="5"/>
      <c r="O5665" s="5"/>
      <c r="P5665" s="5"/>
      <c r="Q5665" s="5"/>
      <c r="R5665" s="5"/>
      <c r="S5665" s="5"/>
      <c r="T5665" s="5"/>
      <c r="U5665" s="5"/>
      <c r="V5665" s="5"/>
      <c r="W5665" s="5"/>
      <c r="X5665" s="5"/>
      <c r="Y5665" s="5"/>
      <c r="Z5665" s="5"/>
    </row>
    <row r="5666" spans="1:26" ht="15" x14ac:dyDescent="0.25">
      <c r="A5666" s="4" t="s">
        <v>5664</v>
      </c>
      <c r="B5666" s="4" t="s">
        <v>4550</v>
      </c>
      <c r="C5666" s="2" t="str">
        <f ca="1">IFERROR(__xludf.DUMMYFUNCTION("GOOGLETRANSLATE(A5666,""bn"",""en"")"),"A wonderful movie was the pair of Shabana Alamgir was wonderful")</f>
        <v>A wonderful movie was the pair of Shabana Alamgir was wonderful</v>
      </c>
      <c r="D5666" s="5"/>
      <c r="E5666" s="5"/>
      <c r="F5666" s="5"/>
      <c r="G5666" s="5"/>
      <c r="H5666" s="5"/>
      <c r="I5666" s="5"/>
      <c r="J5666" s="5"/>
      <c r="K5666" s="5"/>
      <c r="L5666" s="5"/>
      <c r="M5666" s="5"/>
      <c r="N5666" s="5"/>
      <c r="O5666" s="5"/>
      <c r="P5666" s="5"/>
      <c r="Q5666" s="5"/>
      <c r="R5666" s="5"/>
      <c r="S5666" s="5"/>
      <c r="T5666" s="5"/>
      <c r="U5666" s="5"/>
      <c r="V5666" s="5"/>
      <c r="W5666" s="5"/>
      <c r="X5666" s="5"/>
      <c r="Y5666" s="5"/>
      <c r="Z5666" s="5"/>
    </row>
    <row r="5667" spans="1:26" ht="15" x14ac:dyDescent="0.25">
      <c r="A5667" s="4" t="s">
        <v>5665</v>
      </c>
      <c r="B5667" s="4" t="s">
        <v>4550</v>
      </c>
      <c r="C5667" s="2" t="str">
        <f ca="1">IFERROR(__xludf.DUMMYFUNCTION("GOOGLETRANSLATE(A5667,""bn"",""en"")"),"Hero did not look good in this film")</f>
        <v>Hero did not look good in this film</v>
      </c>
      <c r="D5667" s="5"/>
      <c r="E5667" s="5"/>
      <c r="F5667" s="5"/>
      <c r="G5667" s="5"/>
      <c r="H5667" s="5"/>
      <c r="I5667" s="5"/>
      <c r="J5667" s="5"/>
      <c r="K5667" s="5"/>
      <c r="L5667" s="5"/>
      <c r="M5667" s="5"/>
      <c r="N5667" s="5"/>
      <c r="O5667" s="5"/>
      <c r="P5667" s="5"/>
      <c r="Q5667" s="5"/>
      <c r="R5667" s="5"/>
      <c r="S5667" s="5"/>
      <c r="T5667" s="5"/>
      <c r="U5667" s="5"/>
      <c r="V5667" s="5"/>
      <c r="W5667" s="5"/>
      <c r="X5667" s="5"/>
      <c r="Y5667" s="5"/>
      <c r="Z5667" s="5"/>
    </row>
    <row r="5668" spans="1:26" ht="15" x14ac:dyDescent="0.25">
      <c r="A5668" s="4" t="s">
        <v>5666</v>
      </c>
      <c r="B5668" s="4" t="s">
        <v>4550</v>
      </c>
      <c r="C5668" s="2" t="str">
        <f ca="1">IFERROR(__xludf.DUMMYFUNCTION("GOOGLETRANSLATE(A5668,""bn"",""en"")"),"The movie was amazing and Bobby's performance was unmatched")</f>
        <v>The movie was amazing and Bobby's performance was unmatched</v>
      </c>
      <c r="D5668" s="5"/>
      <c r="E5668" s="5"/>
      <c r="F5668" s="5"/>
      <c r="G5668" s="5"/>
      <c r="H5668" s="5"/>
      <c r="I5668" s="5"/>
      <c r="J5668" s="5"/>
      <c r="K5668" s="5"/>
      <c r="L5668" s="5"/>
      <c r="M5668" s="5"/>
      <c r="N5668" s="5"/>
      <c r="O5668" s="5"/>
      <c r="P5668" s="5"/>
      <c r="Q5668" s="5"/>
      <c r="R5668" s="5"/>
      <c r="S5668" s="5"/>
      <c r="T5668" s="5"/>
      <c r="U5668" s="5"/>
      <c r="V5668" s="5"/>
      <c r="W5668" s="5"/>
      <c r="X5668" s="5"/>
      <c r="Y5668" s="5"/>
      <c r="Z5668" s="5"/>
    </row>
    <row r="5669" spans="1:26" ht="15" x14ac:dyDescent="0.25">
      <c r="A5669" s="4" t="s">
        <v>5667</v>
      </c>
      <c r="B5669" s="4" t="s">
        <v>4550</v>
      </c>
      <c r="C5669" s="2" t="str">
        <f ca="1">IFERROR(__xludf.DUMMYFUNCTION("GOOGLETRANSLATE(A5669,""bn"",""en"")"),"I liked the picture so much that I wanted to see it again and again")</f>
        <v>I liked the picture so much that I wanted to see it again and again</v>
      </c>
      <c r="D5669" s="5"/>
      <c r="E5669" s="5"/>
      <c r="F5669" s="5"/>
      <c r="G5669" s="5"/>
      <c r="H5669" s="5"/>
      <c r="I5669" s="5"/>
      <c r="J5669" s="5"/>
      <c r="K5669" s="5"/>
      <c r="L5669" s="5"/>
      <c r="M5669" s="5"/>
      <c r="N5669" s="5"/>
      <c r="O5669" s="5"/>
      <c r="P5669" s="5"/>
      <c r="Q5669" s="5"/>
      <c r="R5669" s="5"/>
      <c r="S5669" s="5"/>
      <c r="T5669" s="5"/>
      <c r="U5669" s="5"/>
      <c r="V5669" s="5"/>
      <c r="W5669" s="5"/>
      <c r="X5669" s="5"/>
      <c r="Y5669" s="5"/>
      <c r="Z5669" s="5"/>
    </row>
    <row r="5670" spans="1:26" ht="15" x14ac:dyDescent="0.25">
      <c r="A5670" s="4" t="s">
        <v>5668</v>
      </c>
      <c r="B5670" s="4" t="s">
        <v>4550</v>
      </c>
      <c r="C5670" s="2" t="str">
        <f ca="1">IFERROR(__xludf.DUMMYFUNCTION("GOOGLETRANSLATE(A5670,""bn"",""en"")"),"The picture was so intense that I never had time to watch it. It was just amazing")</f>
        <v>The picture was so intense that I never had time to watch it. It was just amazing</v>
      </c>
      <c r="D5670" s="5"/>
      <c r="E5670" s="5"/>
      <c r="F5670" s="5"/>
      <c r="G5670" s="5"/>
      <c r="H5670" s="5"/>
      <c r="I5670" s="5"/>
      <c r="J5670" s="5"/>
      <c r="K5670" s="5"/>
      <c r="L5670" s="5"/>
      <c r="M5670" s="5"/>
      <c r="N5670" s="5"/>
      <c r="O5670" s="5"/>
      <c r="P5670" s="5"/>
      <c r="Q5670" s="5"/>
      <c r="R5670" s="5"/>
      <c r="S5670" s="5"/>
      <c r="T5670" s="5"/>
      <c r="U5670" s="5"/>
      <c r="V5670" s="5"/>
      <c r="W5670" s="5"/>
      <c r="X5670" s="5"/>
      <c r="Y5670" s="5"/>
      <c r="Z5670" s="5"/>
    </row>
    <row r="5671" spans="1:26" ht="15" x14ac:dyDescent="0.25">
      <c r="A5671" s="4" t="s">
        <v>5669</v>
      </c>
      <c r="B5671" s="4" t="s">
        <v>4550</v>
      </c>
      <c r="C5671" s="2" t="str">
        <f ca="1">IFERROR(__xludf.DUMMYFUNCTION("GOOGLETRANSLATE(A5671,""bn"",""en"")"),"The picture was full")</f>
        <v>The picture was full</v>
      </c>
      <c r="D5671" s="5"/>
      <c r="E5671" s="5"/>
      <c r="F5671" s="5"/>
      <c r="G5671" s="5"/>
      <c r="H5671" s="5"/>
      <c r="I5671" s="5"/>
      <c r="J5671" s="5"/>
      <c r="K5671" s="5"/>
      <c r="L5671" s="5"/>
      <c r="M5671" s="5"/>
      <c r="N5671" s="5"/>
      <c r="O5671" s="5"/>
      <c r="P5671" s="5"/>
      <c r="Q5671" s="5"/>
      <c r="R5671" s="5"/>
      <c r="S5671" s="5"/>
      <c r="T5671" s="5"/>
      <c r="U5671" s="5"/>
      <c r="V5671" s="5"/>
      <c r="W5671" s="5"/>
      <c r="X5671" s="5"/>
      <c r="Y5671" s="5"/>
      <c r="Z5671" s="5"/>
    </row>
    <row r="5672" spans="1:26" ht="15" x14ac:dyDescent="0.25">
      <c r="A5672" s="4" t="s">
        <v>5670</v>
      </c>
      <c r="B5672" s="4" t="s">
        <v>4550</v>
      </c>
      <c r="C5672" s="2" t="str">
        <f ca="1">IFERROR(__xludf.DUMMYFUNCTION("GOOGLETRANSLATE(A5672,""bn"",""en"")"),"The most beautiful was the acting of Hussain's character that touched the heart")</f>
        <v>The most beautiful was the acting of Hussain's character that touched the heart</v>
      </c>
      <c r="D5672" s="5"/>
      <c r="E5672" s="5"/>
      <c r="F5672" s="5"/>
      <c r="G5672" s="5"/>
      <c r="H5672" s="5"/>
      <c r="I5672" s="5"/>
      <c r="J5672" s="5"/>
      <c r="K5672" s="5"/>
      <c r="L5672" s="5"/>
      <c r="M5672" s="5"/>
      <c r="N5672" s="5"/>
      <c r="O5672" s="5"/>
      <c r="P5672" s="5"/>
      <c r="Q5672" s="5"/>
      <c r="R5672" s="5"/>
      <c r="S5672" s="5"/>
      <c r="T5672" s="5"/>
      <c r="U5672" s="5"/>
      <c r="V5672" s="5"/>
      <c r="W5672" s="5"/>
      <c r="X5672" s="5"/>
      <c r="Y5672" s="5"/>
      <c r="Z5672" s="5"/>
    </row>
    <row r="5673" spans="1:26" ht="15" x14ac:dyDescent="0.25">
      <c r="A5673" s="4" t="s">
        <v>5671</v>
      </c>
      <c r="B5673" s="4" t="s">
        <v>4550</v>
      </c>
      <c r="C5673" s="2" t="str">
        <f ca="1">IFERROR(__xludf.DUMMYFUNCTION("GOOGLETRANSLATE(A5673,""bn"",""en"")"),"We were speaking from Rajmita village in Assam state, India. These films of Bangladesh gained a lot of popularity")</f>
        <v>We were speaking from Rajmita village in Assam state, India. These films of Bangladesh gained a lot of popularity</v>
      </c>
      <c r="D5673" s="5"/>
      <c r="E5673" s="5"/>
      <c r="F5673" s="5"/>
      <c r="G5673" s="5"/>
      <c r="H5673" s="5"/>
      <c r="I5673" s="5"/>
      <c r="J5673" s="5"/>
      <c r="K5673" s="5"/>
      <c r="L5673" s="5"/>
      <c r="M5673" s="5"/>
      <c r="N5673" s="5"/>
      <c r="O5673" s="5"/>
      <c r="P5673" s="5"/>
      <c r="Q5673" s="5"/>
      <c r="R5673" s="5"/>
      <c r="S5673" s="5"/>
      <c r="T5673" s="5"/>
      <c r="U5673" s="5"/>
      <c r="V5673" s="5"/>
      <c r="W5673" s="5"/>
      <c r="X5673" s="5"/>
      <c r="Y5673" s="5"/>
      <c r="Z5673" s="5"/>
    </row>
    <row r="5674" spans="1:26" ht="15" x14ac:dyDescent="0.25">
      <c r="A5674" s="4" t="s">
        <v>5672</v>
      </c>
      <c r="B5674" s="4" t="s">
        <v>4550</v>
      </c>
      <c r="C5674" s="2" t="str">
        <f ca="1">IFERROR(__xludf.DUMMYFUNCTION("GOOGLETRANSLATE(A5674,""bn"",""en"")"),"Oh what a picture what a story all sins were destroyed")</f>
        <v>Oh what a picture what a story all sins were destroyed</v>
      </c>
      <c r="D5674" s="5"/>
      <c r="E5674" s="5"/>
      <c r="F5674" s="5"/>
      <c r="G5674" s="5"/>
      <c r="H5674" s="5"/>
      <c r="I5674" s="5"/>
      <c r="J5674" s="5"/>
      <c r="K5674" s="5"/>
      <c r="L5674" s="5"/>
      <c r="M5674" s="5"/>
      <c r="N5674" s="5"/>
      <c r="O5674" s="5"/>
      <c r="P5674" s="5"/>
      <c r="Q5674" s="5"/>
      <c r="R5674" s="5"/>
      <c r="S5674" s="5"/>
      <c r="T5674" s="5"/>
      <c r="U5674" s="5"/>
      <c r="V5674" s="5"/>
      <c r="W5674" s="5"/>
      <c r="X5674" s="5"/>
      <c r="Y5674" s="5"/>
      <c r="Z5674" s="5"/>
    </row>
    <row r="5675" spans="1:26" ht="15" x14ac:dyDescent="0.25">
      <c r="A5675" s="4" t="s">
        <v>5673</v>
      </c>
      <c r="B5675" s="4" t="s">
        <v>4550</v>
      </c>
      <c r="C5675" s="2" t="str">
        <f ca="1">IFERROR(__xludf.DUMMYFUNCTION("GOOGLETRANSLATE(A5675,""bn"",""en"")"),"Great movie paran da i love it and what else can i say about abir sir i really enjoyed watching the movie")</f>
        <v>Great movie paran da i love it and what else can i say about abir sir i really enjoyed watching the movie</v>
      </c>
      <c r="D5675" s="5"/>
      <c r="E5675" s="5"/>
      <c r="F5675" s="5"/>
      <c r="G5675" s="5"/>
      <c r="H5675" s="5"/>
      <c r="I5675" s="5"/>
      <c r="J5675" s="5"/>
      <c r="K5675" s="5"/>
      <c r="L5675" s="5"/>
      <c r="M5675" s="5"/>
      <c r="N5675" s="5"/>
      <c r="O5675" s="5"/>
      <c r="P5675" s="5"/>
      <c r="Q5675" s="5"/>
      <c r="R5675" s="5"/>
      <c r="S5675" s="5"/>
      <c r="T5675" s="5"/>
      <c r="U5675" s="5"/>
      <c r="V5675" s="5"/>
      <c r="W5675" s="5"/>
      <c r="X5675" s="5"/>
      <c r="Y5675" s="5"/>
      <c r="Z5675" s="5"/>
    </row>
    <row r="5676" spans="1:26" ht="15" x14ac:dyDescent="0.25">
      <c r="A5676" s="4" t="s">
        <v>5674</v>
      </c>
      <c r="B5676" s="4" t="s">
        <v>4550</v>
      </c>
      <c r="C5676" s="2" t="str">
        <f ca="1">IFERROR(__xludf.DUMMYFUNCTION("GOOGLETRANSLATE(A5676,""bn"",""en"")"),"The picture was pretty admirable")</f>
        <v>The picture was pretty admirable</v>
      </c>
      <c r="D5676" s="5"/>
      <c r="E5676" s="5"/>
      <c r="F5676" s="5"/>
      <c r="G5676" s="5"/>
      <c r="H5676" s="5"/>
      <c r="I5676" s="5"/>
      <c r="J5676" s="5"/>
      <c r="K5676" s="5"/>
      <c r="L5676" s="5"/>
      <c r="M5676" s="5"/>
      <c r="N5676" s="5"/>
      <c r="O5676" s="5"/>
      <c r="P5676" s="5"/>
      <c r="Q5676" s="5"/>
      <c r="R5676" s="5"/>
      <c r="S5676" s="5"/>
      <c r="T5676" s="5"/>
      <c r="U5676" s="5"/>
      <c r="V5676" s="5"/>
      <c r="W5676" s="5"/>
      <c r="X5676" s="5"/>
      <c r="Y5676" s="5"/>
      <c r="Z5676" s="5"/>
    </row>
    <row r="5677" spans="1:26" ht="15" x14ac:dyDescent="0.25">
      <c r="A5677" s="4" t="s">
        <v>5675</v>
      </c>
      <c r="B5677" s="4" t="s">
        <v>4550</v>
      </c>
      <c r="C5677" s="2" t="str">
        <f ca="1">IFERROR(__xludf.DUMMYFUNCTION("GOOGLETRANSLATE(A5677,""bn"",""en"")"),"I don't understand why they make them")</f>
        <v>I don't understand why they make them</v>
      </c>
      <c r="D5677" s="5"/>
      <c r="E5677" s="5"/>
      <c r="F5677" s="5"/>
      <c r="G5677" s="5"/>
      <c r="H5677" s="5"/>
      <c r="I5677" s="5"/>
      <c r="J5677" s="5"/>
      <c r="K5677" s="5"/>
      <c r="L5677" s="5"/>
      <c r="M5677" s="5"/>
      <c r="N5677" s="5"/>
      <c r="O5677" s="5"/>
      <c r="P5677" s="5"/>
      <c r="Q5677" s="5"/>
      <c r="R5677" s="5"/>
      <c r="S5677" s="5"/>
      <c r="T5677" s="5"/>
      <c r="U5677" s="5"/>
      <c r="V5677" s="5"/>
      <c r="W5677" s="5"/>
      <c r="X5677" s="5"/>
      <c r="Y5677" s="5"/>
      <c r="Z5677" s="5"/>
    </row>
    <row r="5678" spans="1:26" ht="15" x14ac:dyDescent="0.25">
      <c r="A5678" s="4" t="s">
        <v>5676</v>
      </c>
      <c r="B5678" s="4" t="s">
        <v>4550</v>
      </c>
      <c r="C5678" s="2" t="str">
        <f ca="1">IFERROR(__xludf.DUMMYFUNCTION("GOOGLETRANSLATE(A5678,""bn"",""en"")"),"We deserved to lose the way we played today")</f>
        <v>We deserved to lose the way we played today</v>
      </c>
      <c r="D5678" s="5"/>
      <c r="E5678" s="5"/>
      <c r="F5678" s="5"/>
      <c r="G5678" s="5"/>
      <c r="H5678" s="5"/>
      <c r="I5678" s="5"/>
      <c r="J5678" s="5"/>
      <c r="K5678" s="5"/>
      <c r="L5678" s="5"/>
      <c r="M5678" s="5"/>
      <c r="N5678" s="5"/>
      <c r="O5678" s="5"/>
      <c r="P5678" s="5"/>
      <c r="Q5678" s="5"/>
      <c r="R5678" s="5"/>
      <c r="S5678" s="5"/>
      <c r="T5678" s="5"/>
      <c r="U5678" s="5"/>
      <c r="V5678" s="5"/>
      <c r="W5678" s="5"/>
      <c r="X5678" s="5"/>
      <c r="Y5678" s="5"/>
      <c r="Z5678" s="5"/>
    </row>
    <row r="5679" spans="1:26" ht="15" x14ac:dyDescent="0.25">
      <c r="A5679" s="4" t="s">
        <v>5677</v>
      </c>
      <c r="B5679" s="4" t="s">
        <v>4550</v>
      </c>
      <c r="C5679" s="2" t="str">
        <f ca="1">IFERROR(__xludf.DUMMYFUNCTION("GOOGLETRANSLATE(A5679,""bn"",""en"")"),"All these chale faltu movies in india were only mb cost")</f>
        <v>All these chale faltu movies in india were only mb cost</v>
      </c>
      <c r="D5679" s="5"/>
      <c r="E5679" s="5"/>
      <c r="F5679" s="5"/>
      <c r="G5679" s="5"/>
      <c r="H5679" s="5"/>
      <c r="I5679" s="5"/>
      <c r="J5679" s="5"/>
      <c r="K5679" s="5"/>
      <c r="L5679" s="5"/>
      <c r="M5679" s="5"/>
      <c r="N5679" s="5"/>
      <c r="O5679" s="5"/>
      <c r="P5679" s="5"/>
      <c r="Q5679" s="5"/>
      <c r="R5679" s="5"/>
      <c r="S5679" s="5"/>
      <c r="T5679" s="5"/>
      <c r="U5679" s="5"/>
      <c r="V5679" s="5"/>
      <c r="W5679" s="5"/>
      <c r="X5679" s="5"/>
      <c r="Y5679" s="5"/>
      <c r="Z5679" s="5"/>
    </row>
    <row r="5680" spans="1:26" ht="15" x14ac:dyDescent="0.25">
      <c r="A5680" s="4" t="s">
        <v>5678</v>
      </c>
      <c r="B5680" s="4" t="s">
        <v>4550</v>
      </c>
      <c r="C5680" s="2" t="str">
        <f ca="1">IFERROR(__xludf.DUMMYFUNCTION("GOOGLETRANSLATE(A5680,""bn"",""en"")"),"Alamgir and Sabana's duo Faridi was more amazing")</f>
        <v>Alamgir and Sabana's duo Faridi was more amazing</v>
      </c>
      <c r="D5680" s="5"/>
      <c r="E5680" s="5"/>
      <c r="F5680" s="5"/>
      <c r="G5680" s="5"/>
      <c r="H5680" s="5"/>
      <c r="I5680" s="5"/>
      <c r="J5680" s="5"/>
      <c r="K5680" s="5"/>
      <c r="L5680" s="5"/>
      <c r="M5680" s="5"/>
      <c r="N5680" s="5"/>
      <c r="O5680" s="5"/>
      <c r="P5680" s="5"/>
      <c r="Q5680" s="5"/>
      <c r="R5680" s="5"/>
      <c r="S5680" s="5"/>
      <c r="T5680" s="5"/>
      <c r="U5680" s="5"/>
      <c r="V5680" s="5"/>
      <c r="W5680" s="5"/>
      <c r="X5680" s="5"/>
      <c r="Y5680" s="5"/>
      <c r="Z5680" s="5"/>
    </row>
    <row r="5681" spans="1:26" ht="15" x14ac:dyDescent="0.25">
      <c r="A5681" s="4" t="s">
        <v>5679</v>
      </c>
      <c r="B5681" s="4" t="s">
        <v>4550</v>
      </c>
      <c r="C5681" s="2" t="str">
        <f ca="1">IFERROR(__xludf.DUMMYFUNCTION("GOOGLETRANSLATE(A5681,""bn"",""en"")"),"Keerthy's performance was the best in the movie")</f>
        <v>Keerthy's performance was the best in the movie</v>
      </c>
      <c r="D5681" s="5"/>
      <c r="E5681" s="5"/>
      <c r="F5681" s="5"/>
      <c r="G5681" s="5"/>
      <c r="H5681" s="5"/>
      <c r="I5681" s="5"/>
      <c r="J5681" s="5"/>
      <c r="K5681" s="5"/>
      <c r="L5681" s="5"/>
      <c r="M5681" s="5"/>
      <c r="N5681" s="5"/>
      <c r="O5681" s="5"/>
      <c r="P5681" s="5"/>
      <c r="Q5681" s="5"/>
      <c r="R5681" s="5"/>
      <c r="S5681" s="5"/>
      <c r="T5681" s="5"/>
      <c r="U5681" s="5"/>
      <c r="V5681" s="5"/>
      <c r="W5681" s="5"/>
      <c r="X5681" s="5"/>
      <c r="Y5681" s="5"/>
      <c r="Z5681" s="5"/>
    </row>
    <row r="5682" spans="1:26" ht="15" x14ac:dyDescent="0.25">
      <c r="A5682" s="4" t="s">
        <v>5680</v>
      </c>
      <c r="B5682" s="4" t="s">
        <v>4550</v>
      </c>
      <c r="C5682" s="2" t="str">
        <f ca="1">IFERROR(__xludf.DUMMYFUNCTION("GOOGLETRANSLATE(A5682,""bn"",""en"")"),"I could not see anything to say")</f>
        <v>I could not see anything to say</v>
      </c>
      <c r="D5682" s="5"/>
      <c r="E5682" s="5"/>
      <c r="F5682" s="5"/>
      <c r="G5682" s="5"/>
      <c r="H5682" s="5"/>
      <c r="I5682" s="5"/>
      <c r="J5682" s="5"/>
      <c r="K5682" s="5"/>
      <c r="L5682" s="5"/>
      <c r="M5682" s="5"/>
      <c r="N5682" s="5"/>
      <c r="O5682" s="5"/>
      <c r="P5682" s="5"/>
      <c r="Q5682" s="5"/>
      <c r="R5682" s="5"/>
      <c r="S5682" s="5"/>
      <c r="T5682" s="5"/>
      <c r="U5682" s="5"/>
      <c r="V5682" s="5"/>
      <c r="W5682" s="5"/>
      <c r="X5682" s="5"/>
      <c r="Y5682" s="5"/>
      <c r="Z5682" s="5"/>
    </row>
    <row r="5683" spans="1:26" ht="15" x14ac:dyDescent="0.25">
      <c r="A5683" s="4" t="s">
        <v>5681</v>
      </c>
      <c r="B5683" s="4" t="s">
        <v>4550</v>
      </c>
      <c r="C5683" s="2" t="str">
        <f ca="1">IFERROR(__xludf.DUMMYFUNCTION("GOOGLETRANSLATE(A5683,""bn"",""en"")"),"After a long time, I got to see a film that marked the coming of age of Bengali cinema, and Arpita's performance impressed me.")</f>
        <v>After a long time, I got to see a film that marked the coming of age of Bengali cinema, and Arpita's performance impressed me.</v>
      </c>
      <c r="D5683" s="5"/>
      <c r="E5683" s="5"/>
      <c r="F5683" s="5"/>
      <c r="G5683" s="5"/>
      <c r="H5683" s="5"/>
      <c r="I5683" s="5"/>
      <c r="J5683" s="5"/>
      <c r="K5683" s="5"/>
      <c r="L5683" s="5"/>
      <c r="M5683" s="5"/>
      <c r="N5683" s="5"/>
      <c r="O5683" s="5"/>
      <c r="P5683" s="5"/>
      <c r="Q5683" s="5"/>
      <c r="R5683" s="5"/>
      <c r="S5683" s="5"/>
      <c r="T5683" s="5"/>
      <c r="U5683" s="5"/>
      <c r="V5683" s="5"/>
      <c r="W5683" s="5"/>
      <c r="X5683" s="5"/>
      <c r="Y5683" s="5"/>
      <c r="Z5683" s="5"/>
    </row>
    <row r="5684" spans="1:26" ht="15" x14ac:dyDescent="0.25">
      <c r="A5684" s="4" t="s">
        <v>5682</v>
      </c>
      <c r="B5684" s="4" t="s">
        <v>4550</v>
      </c>
      <c r="C5684" s="2" t="str">
        <f ca="1">IFERROR(__xludf.DUMMYFUNCTION("GOOGLETRANSLATE(A5684,""bn"",""en"")"),"The worst fart was the picture")</f>
        <v>The worst fart was the picture</v>
      </c>
      <c r="D5684" s="5"/>
      <c r="E5684" s="5"/>
      <c r="F5684" s="5"/>
      <c r="G5684" s="5"/>
      <c r="H5684" s="5"/>
      <c r="I5684" s="5"/>
      <c r="J5684" s="5"/>
      <c r="K5684" s="5"/>
      <c r="L5684" s="5"/>
      <c r="M5684" s="5"/>
      <c r="N5684" s="5"/>
      <c r="O5684" s="5"/>
      <c r="P5684" s="5"/>
      <c r="Q5684" s="5"/>
      <c r="R5684" s="5"/>
      <c r="S5684" s="5"/>
      <c r="T5684" s="5"/>
      <c r="U5684" s="5"/>
      <c r="V5684" s="5"/>
      <c r="W5684" s="5"/>
      <c r="X5684" s="5"/>
      <c r="Y5684" s="5"/>
      <c r="Z5684" s="5"/>
    </row>
    <row r="5685" spans="1:26" ht="15" x14ac:dyDescent="0.25">
      <c r="A5685" s="4" t="s">
        <v>5683</v>
      </c>
      <c r="B5685" s="4" t="s">
        <v>4550</v>
      </c>
      <c r="C5685" s="2" t="str">
        <f ca="1">IFERROR(__xludf.DUMMYFUNCTION("GOOGLETRANSLATE(A5685,""bn"",""en"")"),"I was about to burst out laughing")</f>
        <v>I was about to burst out laughing</v>
      </c>
      <c r="D5685" s="5"/>
      <c r="E5685" s="5"/>
      <c r="F5685" s="5"/>
      <c r="G5685" s="5"/>
      <c r="H5685" s="5"/>
      <c r="I5685" s="5"/>
      <c r="J5685" s="5"/>
      <c r="K5685" s="5"/>
      <c r="L5685" s="5"/>
      <c r="M5685" s="5"/>
      <c r="N5685" s="5"/>
      <c r="O5685" s="5"/>
      <c r="P5685" s="5"/>
      <c r="Q5685" s="5"/>
      <c r="R5685" s="5"/>
      <c r="S5685" s="5"/>
      <c r="T5685" s="5"/>
      <c r="U5685" s="5"/>
      <c r="V5685" s="5"/>
      <c r="W5685" s="5"/>
      <c r="X5685" s="5"/>
      <c r="Y5685" s="5"/>
      <c r="Z5685" s="5"/>
    </row>
    <row r="5686" spans="1:26" ht="15" x14ac:dyDescent="0.25">
      <c r="A5686" s="4" t="s">
        <v>5684</v>
      </c>
      <c r="B5686" s="4" t="s">
        <v>4550</v>
      </c>
      <c r="C5686" s="2" t="str">
        <f ca="1">IFERROR(__xludf.DUMMYFUNCTION("GOOGLETRANSLATE(A5686,""bn"",""en"")"),"What were they watching bro?")</f>
        <v>What were they watching bro?</v>
      </c>
      <c r="D5686" s="5"/>
      <c r="E5686" s="5"/>
      <c r="F5686" s="5"/>
      <c r="G5686" s="5"/>
      <c r="H5686" s="5"/>
      <c r="I5686" s="5"/>
      <c r="J5686" s="5"/>
      <c r="K5686" s="5"/>
      <c r="L5686" s="5"/>
      <c r="M5686" s="5"/>
      <c r="N5686" s="5"/>
      <c r="O5686" s="5"/>
      <c r="P5686" s="5"/>
      <c r="Q5686" s="5"/>
      <c r="R5686" s="5"/>
      <c r="S5686" s="5"/>
      <c r="T5686" s="5"/>
      <c r="U5686" s="5"/>
      <c r="V5686" s="5"/>
      <c r="W5686" s="5"/>
      <c r="X5686" s="5"/>
      <c r="Y5686" s="5"/>
      <c r="Z5686" s="5"/>
    </row>
    <row r="5687" spans="1:26" ht="15" x14ac:dyDescent="0.25">
      <c r="A5687" s="4" t="s">
        <v>5685</v>
      </c>
      <c r="B5687" s="4" t="s">
        <v>4550</v>
      </c>
      <c r="C5687" s="2" t="str">
        <f ca="1">IFERROR(__xludf.DUMMYFUNCTION("GOOGLETRANSLATE(A5687,""bn"",""en"")"),"I was not ready for such a natural tranquility")</f>
        <v>I was not ready for such a natural tranquility</v>
      </c>
      <c r="D5687" s="5"/>
      <c r="E5687" s="5"/>
      <c r="F5687" s="5"/>
      <c r="G5687" s="5"/>
      <c r="H5687" s="5"/>
      <c r="I5687" s="5"/>
      <c r="J5687" s="5"/>
      <c r="K5687" s="5"/>
      <c r="L5687" s="5"/>
      <c r="M5687" s="5"/>
      <c r="N5687" s="5"/>
      <c r="O5687" s="5"/>
      <c r="P5687" s="5"/>
      <c r="Q5687" s="5"/>
      <c r="R5687" s="5"/>
      <c r="S5687" s="5"/>
      <c r="T5687" s="5"/>
      <c r="U5687" s="5"/>
      <c r="V5687" s="5"/>
      <c r="W5687" s="5"/>
      <c r="X5687" s="5"/>
      <c r="Y5687" s="5"/>
      <c r="Z5687" s="5"/>
    </row>
    <row r="5688" spans="1:26" ht="15" x14ac:dyDescent="0.25">
      <c r="A5688" s="4" t="s">
        <v>5686</v>
      </c>
      <c r="B5688" s="4" t="s">
        <v>4550</v>
      </c>
      <c r="C5688" s="2" t="str">
        <f ca="1">IFERROR(__xludf.DUMMYFUNCTION("GOOGLETRANSLATE(A5688,""bn"",""en"")"),"I started to see that Rudranil was there, but with all the goats, people had become goats, so I didn't have the courage to look.")</f>
        <v>I started to see that Rudranil was there, but with all the goats, people had become goats, so I didn't have the courage to look.</v>
      </c>
      <c r="D5688" s="5"/>
      <c r="E5688" s="5"/>
      <c r="F5688" s="5"/>
      <c r="G5688" s="5"/>
      <c r="H5688" s="5"/>
      <c r="I5688" s="5"/>
      <c r="J5688" s="5"/>
      <c r="K5688" s="5"/>
      <c r="L5688" s="5"/>
      <c r="M5688" s="5"/>
      <c r="N5688" s="5"/>
      <c r="O5688" s="5"/>
      <c r="P5688" s="5"/>
      <c r="Q5688" s="5"/>
      <c r="R5688" s="5"/>
      <c r="S5688" s="5"/>
      <c r="T5688" s="5"/>
      <c r="U5688" s="5"/>
      <c r="V5688" s="5"/>
      <c r="W5688" s="5"/>
      <c r="X5688" s="5"/>
      <c r="Y5688" s="5"/>
      <c r="Z5688" s="5"/>
    </row>
    <row r="5689" spans="1:26" ht="15" x14ac:dyDescent="0.25">
      <c r="A5689" s="4" t="s">
        <v>5687</v>
      </c>
      <c r="B5689" s="4" t="s">
        <v>4550</v>
      </c>
      <c r="C5689" s="2" t="str">
        <f ca="1">IFERROR(__xludf.DUMMYFUNCTION("GOOGLETRANSLATE(A5689,""bn"",""en"")"),"Good motivational movie very nice thanks for making such a movie")</f>
        <v>Good motivational movie very nice thanks for making such a movie</v>
      </c>
      <c r="D5689" s="5"/>
      <c r="E5689" s="5"/>
      <c r="F5689" s="5"/>
      <c r="G5689" s="5"/>
      <c r="H5689" s="5"/>
      <c r="I5689" s="5"/>
      <c r="J5689" s="5"/>
      <c r="K5689" s="5"/>
      <c r="L5689" s="5"/>
      <c r="M5689" s="5"/>
      <c r="N5689" s="5"/>
      <c r="O5689" s="5"/>
      <c r="P5689" s="5"/>
      <c r="Q5689" s="5"/>
      <c r="R5689" s="5"/>
      <c r="S5689" s="5"/>
      <c r="T5689" s="5"/>
      <c r="U5689" s="5"/>
      <c r="V5689" s="5"/>
      <c r="W5689" s="5"/>
      <c r="X5689" s="5"/>
      <c r="Y5689" s="5"/>
      <c r="Z5689" s="5"/>
    </row>
    <row r="5690" spans="1:26" ht="15" x14ac:dyDescent="0.25">
      <c r="A5690" s="4" t="s">
        <v>5688</v>
      </c>
      <c r="B5690" s="4" t="s">
        <v>4550</v>
      </c>
      <c r="C5690" s="2" t="str">
        <f ca="1">IFERROR(__xludf.DUMMYFUNCTION("GOOGLETRANSLATE(A5690,""bn"",""en"")"),"It was a great film and TM Shamsuzzaman contributed among the best of the best")</f>
        <v>It was a great film and TM Shamsuzzaman contributed among the best of the best</v>
      </c>
      <c r="D5690" s="5"/>
      <c r="E5690" s="5"/>
      <c r="F5690" s="5"/>
      <c r="G5690" s="5"/>
      <c r="H5690" s="5"/>
      <c r="I5690" s="5"/>
      <c r="J5690" s="5"/>
      <c r="K5690" s="5"/>
      <c r="L5690" s="5"/>
      <c r="M5690" s="5"/>
      <c r="N5690" s="5"/>
      <c r="O5690" s="5"/>
      <c r="P5690" s="5"/>
      <c r="Q5690" s="5"/>
      <c r="R5690" s="5"/>
      <c r="S5690" s="5"/>
      <c r="T5690" s="5"/>
      <c r="U5690" s="5"/>
      <c r="V5690" s="5"/>
      <c r="W5690" s="5"/>
      <c r="X5690" s="5"/>
      <c r="Y5690" s="5"/>
      <c r="Z5690" s="5"/>
    </row>
    <row r="5691" spans="1:26" ht="15" x14ac:dyDescent="0.25">
      <c r="A5691" s="4" t="s">
        <v>5689</v>
      </c>
      <c r="B5691" s="4" t="s">
        <v>4550</v>
      </c>
      <c r="C5691" s="2" t="str">
        <f ca="1">IFERROR(__xludf.DUMMYFUNCTION("GOOGLETRANSLATE(A5691,""bn"",""en"")"),"The film had no story and was nonsense")</f>
        <v>The film had no story and was nonsense</v>
      </c>
      <c r="D5691" s="5"/>
      <c r="E5691" s="5"/>
      <c r="F5691" s="5"/>
      <c r="G5691" s="5"/>
      <c r="H5691" s="5"/>
      <c r="I5691" s="5"/>
      <c r="J5691" s="5"/>
      <c r="K5691" s="5"/>
      <c r="L5691" s="5"/>
      <c r="M5691" s="5"/>
      <c r="N5691" s="5"/>
      <c r="O5691" s="5"/>
      <c r="P5691" s="5"/>
      <c r="Q5691" s="5"/>
      <c r="R5691" s="5"/>
      <c r="S5691" s="5"/>
      <c r="T5691" s="5"/>
      <c r="U5691" s="5"/>
      <c r="V5691" s="5"/>
      <c r="W5691" s="5"/>
      <c r="X5691" s="5"/>
      <c r="Y5691" s="5"/>
      <c r="Z5691" s="5"/>
    </row>
    <row r="5692" spans="1:26" ht="15" x14ac:dyDescent="0.25">
      <c r="A5692" s="4" t="s">
        <v>5690</v>
      </c>
      <c r="B5692" s="4" t="s">
        <v>4550</v>
      </c>
      <c r="C5692" s="2" t="str">
        <f ca="1">IFERROR(__xludf.DUMMYFUNCTION("GOOGLETRANSLATE(A5692,""bn"",""en"")"),"I liked the movie very much. It was a wonderful movie. The wife would have doubted it so much. Otherwise, there would have been chaos in the world.")</f>
        <v>I liked the movie very much. It was a wonderful movie. The wife would have doubted it so much. Otherwise, there would have been chaos in the world.</v>
      </c>
      <c r="D5692" s="5"/>
      <c r="E5692" s="5"/>
      <c r="F5692" s="5"/>
      <c r="G5692" s="5"/>
      <c r="H5692" s="5"/>
      <c r="I5692" s="5"/>
      <c r="J5692" s="5"/>
      <c r="K5692" s="5"/>
      <c r="L5692" s="5"/>
      <c r="M5692" s="5"/>
      <c r="N5692" s="5"/>
      <c r="O5692" s="5"/>
      <c r="P5692" s="5"/>
      <c r="Q5692" s="5"/>
      <c r="R5692" s="5"/>
      <c r="S5692" s="5"/>
      <c r="T5692" s="5"/>
      <c r="U5692" s="5"/>
      <c r="V5692" s="5"/>
      <c r="W5692" s="5"/>
      <c r="X5692" s="5"/>
      <c r="Y5692" s="5"/>
      <c r="Z5692" s="5"/>
    </row>
    <row r="5693" spans="1:26" ht="15" x14ac:dyDescent="0.25">
      <c r="A5693" s="4" t="s">
        <v>5691</v>
      </c>
      <c r="B5693" s="4" t="s">
        <v>4550</v>
      </c>
      <c r="C5693" s="2" t="str">
        <f ca="1">IFERROR(__xludf.DUMMYFUNCTION("GOOGLETRANSLATE(A5693,""bn"",""en"")"),"The film had more villains")</f>
        <v>The film had more villains</v>
      </c>
      <c r="D5693" s="5"/>
      <c r="E5693" s="5"/>
      <c r="F5693" s="5"/>
      <c r="G5693" s="5"/>
      <c r="H5693" s="5"/>
      <c r="I5693" s="5"/>
      <c r="J5693" s="5"/>
      <c r="K5693" s="5"/>
      <c r="L5693" s="5"/>
      <c r="M5693" s="5"/>
      <c r="N5693" s="5"/>
      <c r="O5693" s="5"/>
      <c r="P5693" s="5"/>
      <c r="Q5693" s="5"/>
      <c r="R5693" s="5"/>
      <c r="S5693" s="5"/>
      <c r="T5693" s="5"/>
      <c r="U5693" s="5"/>
      <c r="V5693" s="5"/>
      <c r="W5693" s="5"/>
      <c r="X5693" s="5"/>
      <c r="Y5693" s="5"/>
      <c r="Z5693" s="5"/>
    </row>
    <row r="5694" spans="1:26" ht="15" x14ac:dyDescent="0.25">
      <c r="A5694" s="4" t="s">
        <v>5692</v>
      </c>
      <c r="B5694" s="4" t="s">
        <v>4550</v>
      </c>
      <c r="C5694" s="2" t="str">
        <f ca="1">IFERROR(__xludf.DUMMYFUNCTION("GOOGLETRANSLATE(A5694,""bn"",""en"")"),"After many days I did not watch a full movie but I watched it. The movie was good. There were some educational points in the movie. Grandfather's acting was very good.")</f>
        <v>After many days I did not watch a full movie but I watched it. The movie was good. There were some educational points in the movie. Grandfather's acting was very good.</v>
      </c>
      <c r="D5694" s="5"/>
      <c r="E5694" s="5"/>
      <c r="F5694" s="5"/>
      <c r="G5694" s="5"/>
      <c r="H5694" s="5"/>
      <c r="I5694" s="5"/>
      <c r="J5694" s="5"/>
      <c r="K5694" s="5"/>
      <c r="L5694" s="5"/>
      <c r="M5694" s="5"/>
      <c r="N5694" s="5"/>
      <c r="O5694" s="5"/>
      <c r="P5694" s="5"/>
      <c r="Q5694" s="5"/>
      <c r="R5694" s="5"/>
      <c r="S5694" s="5"/>
      <c r="T5694" s="5"/>
      <c r="U5694" s="5"/>
      <c r="V5694" s="5"/>
      <c r="W5694" s="5"/>
      <c r="X5694" s="5"/>
      <c r="Y5694" s="5"/>
      <c r="Z5694" s="5"/>
    </row>
    <row r="5695" spans="1:26" ht="15" x14ac:dyDescent="0.25">
      <c r="A5695" s="4" t="s">
        <v>5693</v>
      </c>
      <c r="B5695" s="4" t="s">
        <v>4550</v>
      </c>
      <c r="C5695" s="2" t="str">
        <f ca="1">IFERROR(__xludf.DUMMYFUNCTION("GOOGLETRANSLATE(A5695,""bn"",""en"")"),"It was a movie worth watching")</f>
        <v>It was a movie worth watching</v>
      </c>
      <c r="D5695" s="5"/>
      <c r="E5695" s="5"/>
      <c r="F5695" s="5"/>
      <c r="G5695" s="5"/>
      <c r="H5695" s="5"/>
      <c r="I5695" s="5"/>
      <c r="J5695" s="5"/>
      <c r="K5695" s="5"/>
      <c r="L5695" s="5"/>
      <c r="M5695" s="5"/>
      <c r="N5695" s="5"/>
      <c r="O5695" s="5"/>
      <c r="P5695" s="5"/>
      <c r="Q5695" s="5"/>
      <c r="R5695" s="5"/>
      <c r="S5695" s="5"/>
      <c r="T5695" s="5"/>
      <c r="U5695" s="5"/>
      <c r="V5695" s="5"/>
      <c r="W5695" s="5"/>
      <c r="X5695" s="5"/>
      <c r="Y5695" s="5"/>
      <c r="Z5695" s="5"/>
    </row>
    <row r="5696" spans="1:26" ht="15" x14ac:dyDescent="0.25">
      <c r="A5696" s="4" t="s">
        <v>5694</v>
      </c>
      <c r="B5696" s="4" t="s">
        <v>4550</v>
      </c>
      <c r="C5696" s="2" t="str">
        <f ca="1">IFERROR(__xludf.DUMMYFUNCTION("GOOGLETRANSLATE(A5696,""bn"",""en"")"),"Couldn't smile at all")</f>
        <v>Couldn't smile at all</v>
      </c>
      <c r="D5696" s="5"/>
      <c r="E5696" s="5"/>
      <c r="F5696" s="5"/>
      <c r="G5696" s="5"/>
      <c r="H5696" s="5"/>
      <c r="I5696" s="5"/>
      <c r="J5696" s="5"/>
      <c r="K5696" s="5"/>
      <c r="L5696" s="5"/>
      <c r="M5696" s="5"/>
      <c r="N5696" s="5"/>
      <c r="O5696" s="5"/>
      <c r="P5696" s="5"/>
      <c r="Q5696" s="5"/>
      <c r="R5696" s="5"/>
      <c r="S5696" s="5"/>
      <c r="T5696" s="5"/>
      <c r="U5696" s="5"/>
      <c r="V5696" s="5"/>
      <c r="W5696" s="5"/>
      <c r="X5696" s="5"/>
      <c r="Y5696" s="5"/>
      <c r="Z5696" s="5"/>
    </row>
    <row r="5697" spans="1:26" ht="15" x14ac:dyDescent="0.25">
      <c r="A5697" s="4" t="s">
        <v>5695</v>
      </c>
      <c r="B5697" s="4" t="s">
        <v>4550</v>
      </c>
      <c r="C5697" s="2" t="str">
        <f ca="1">IFERROR(__xludf.DUMMYFUNCTION("GOOGLETRANSLATE(A5697,""bn"",""en"")"),"The sound system of the movie was excellent")</f>
        <v>The sound system of the movie was excellent</v>
      </c>
      <c r="D5697" s="5"/>
      <c r="E5697" s="5"/>
      <c r="F5697" s="5"/>
      <c r="G5697" s="5"/>
      <c r="H5697" s="5"/>
      <c r="I5697" s="5"/>
      <c r="J5697" s="5"/>
      <c r="K5697" s="5"/>
      <c r="L5697" s="5"/>
      <c r="M5697" s="5"/>
      <c r="N5697" s="5"/>
      <c r="O5697" s="5"/>
      <c r="P5697" s="5"/>
      <c r="Q5697" s="5"/>
      <c r="R5697" s="5"/>
      <c r="S5697" s="5"/>
      <c r="T5697" s="5"/>
      <c r="U5697" s="5"/>
      <c r="V5697" s="5"/>
      <c r="W5697" s="5"/>
      <c r="X5697" s="5"/>
      <c r="Y5697" s="5"/>
      <c r="Z5697" s="5"/>
    </row>
    <row r="5698" spans="1:26" ht="15" x14ac:dyDescent="0.25">
      <c r="A5698" s="4" t="s">
        <v>5696</v>
      </c>
      <c r="B5698" s="4" t="s">
        <v>4550</v>
      </c>
      <c r="C5698" s="2" t="str">
        <f ca="1">IFERROR(__xludf.DUMMYFUNCTION("GOOGLETRANSLATE(A5698,""bn"",""en"")"),"No one will cry like a real story after watching this film")</f>
        <v>No one will cry like a real story after watching this film</v>
      </c>
      <c r="D5698" s="5"/>
      <c r="E5698" s="5"/>
      <c r="F5698" s="5"/>
      <c r="G5698" s="5"/>
      <c r="H5698" s="5"/>
      <c r="I5698" s="5"/>
      <c r="J5698" s="5"/>
      <c r="K5698" s="5"/>
      <c r="L5698" s="5"/>
      <c r="M5698" s="5"/>
      <c r="N5698" s="5"/>
      <c r="O5698" s="5"/>
      <c r="P5698" s="5"/>
      <c r="Q5698" s="5"/>
      <c r="R5698" s="5"/>
      <c r="S5698" s="5"/>
      <c r="T5698" s="5"/>
      <c r="U5698" s="5"/>
      <c r="V5698" s="5"/>
      <c r="W5698" s="5"/>
      <c r="X5698" s="5"/>
      <c r="Y5698" s="5"/>
      <c r="Z5698" s="5"/>
    </row>
    <row r="5699" spans="1:26" ht="15" x14ac:dyDescent="0.25">
      <c r="A5699" s="4" t="s">
        <v>5697</v>
      </c>
      <c r="B5699" s="4" t="s">
        <v>4550</v>
      </c>
      <c r="C5699" s="2" t="str">
        <f ca="1">IFERROR(__xludf.DUMMYFUNCTION("GOOGLETRANSLATE(A5699,""bn"",""en"")"),"I can't count how many times I watched this movie Surya Dighal Bari, I used to watch this movie when I felt lonely.")</f>
        <v>I can't count how many times I watched this movie Surya Dighal Bari, I used to watch this movie when I felt lonely.</v>
      </c>
      <c r="D5699" s="5"/>
      <c r="E5699" s="5"/>
      <c r="F5699" s="5"/>
      <c r="G5699" s="5"/>
      <c r="H5699" s="5"/>
      <c r="I5699" s="5"/>
      <c r="J5699" s="5"/>
      <c r="K5699" s="5"/>
      <c r="L5699" s="5"/>
      <c r="M5699" s="5"/>
      <c r="N5699" s="5"/>
      <c r="O5699" s="5"/>
      <c r="P5699" s="5"/>
      <c r="Q5699" s="5"/>
      <c r="R5699" s="5"/>
      <c r="S5699" s="5"/>
      <c r="T5699" s="5"/>
      <c r="U5699" s="5"/>
      <c r="V5699" s="5"/>
      <c r="W5699" s="5"/>
      <c r="X5699" s="5"/>
      <c r="Y5699" s="5"/>
      <c r="Z5699" s="5"/>
    </row>
    <row r="5700" spans="1:26" ht="15" x14ac:dyDescent="0.25">
      <c r="A5700" s="4" t="s">
        <v>5698</v>
      </c>
      <c r="B5700" s="4" t="s">
        <v>4550</v>
      </c>
      <c r="C5700" s="2" t="str">
        <f ca="1">IFERROR(__xludf.DUMMYFUNCTION("GOOGLETRANSLATE(A5700,""bn"",""en"")"),"The best film I have seen in my life was Manna Bhai Apte Ekkem Legend Bengali movie Manna Bhai was a legend")</f>
        <v>The best film I have seen in my life was Manna Bhai Apte Ekkem Legend Bengali movie Manna Bhai was a legend</v>
      </c>
      <c r="D5700" s="5"/>
      <c r="E5700" s="5"/>
      <c r="F5700" s="5"/>
      <c r="G5700" s="5"/>
      <c r="H5700" s="5"/>
      <c r="I5700" s="5"/>
      <c r="J5700" s="5"/>
      <c r="K5700" s="5"/>
      <c r="L5700" s="5"/>
      <c r="M5700" s="5"/>
      <c r="N5700" s="5"/>
      <c r="O5700" s="5"/>
      <c r="P5700" s="5"/>
      <c r="Q5700" s="5"/>
      <c r="R5700" s="5"/>
      <c r="S5700" s="5"/>
      <c r="T5700" s="5"/>
      <c r="U5700" s="5"/>
      <c r="V5700" s="5"/>
      <c r="W5700" s="5"/>
      <c r="X5700" s="5"/>
      <c r="Y5700" s="5"/>
      <c r="Z5700" s="5"/>
    </row>
    <row r="5701" spans="1:26" ht="15" x14ac:dyDescent="0.25">
      <c r="A5701" s="4" t="s">
        <v>5699</v>
      </c>
      <c r="B5701" s="4" t="s">
        <v>4550</v>
      </c>
      <c r="C5701" s="2" t="str">
        <f ca="1">IFERROR(__xludf.DUMMYFUNCTION("GOOGLETRANSLATE(A5701,""bn"",""en"")"),"Even the good eye was wasted watching this movie. No one will watch this movie. Time was wasted")</f>
        <v>Even the good eye was wasted watching this movie. No one will watch this movie. Time was wasted</v>
      </c>
      <c r="D5701" s="5"/>
      <c r="E5701" s="5"/>
      <c r="F5701" s="5"/>
      <c r="G5701" s="5"/>
      <c r="H5701" s="5"/>
      <c r="I5701" s="5"/>
      <c r="J5701" s="5"/>
      <c r="K5701" s="5"/>
      <c r="L5701" s="5"/>
      <c r="M5701" s="5"/>
      <c r="N5701" s="5"/>
      <c r="O5701" s="5"/>
      <c r="P5701" s="5"/>
      <c r="Q5701" s="5"/>
      <c r="R5701" s="5"/>
      <c r="S5701" s="5"/>
      <c r="T5701" s="5"/>
      <c r="U5701" s="5"/>
      <c r="V5701" s="5"/>
      <c r="W5701" s="5"/>
      <c r="X5701" s="5"/>
      <c r="Y5701" s="5"/>
      <c r="Z5701" s="5"/>
    </row>
    <row r="5702" spans="1:26" ht="15" x14ac:dyDescent="0.25">
      <c r="A5702" s="4" t="s">
        <v>5700</v>
      </c>
      <c r="B5702" s="4" t="s">
        <v>4550</v>
      </c>
      <c r="C5702" s="2" t="str">
        <f ca="1">IFERROR(__xludf.DUMMYFUNCTION("GOOGLETRANSLATE(A5702,""bn"",""en"")"),"Humayun Fardi sir was very handsome and wonderful actor")</f>
        <v>Humayun Fardi sir was very handsome and wonderful actor</v>
      </c>
      <c r="D5702" s="5"/>
      <c r="E5702" s="5"/>
      <c r="F5702" s="5"/>
      <c r="G5702" s="5"/>
      <c r="H5702" s="5"/>
      <c r="I5702" s="5"/>
      <c r="J5702" s="5"/>
      <c r="K5702" s="5"/>
      <c r="L5702" s="5"/>
      <c r="M5702" s="5"/>
      <c r="N5702" s="5"/>
      <c r="O5702" s="5"/>
      <c r="P5702" s="5"/>
      <c r="Q5702" s="5"/>
      <c r="R5702" s="5"/>
      <c r="S5702" s="5"/>
      <c r="T5702" s="5"/>
      <c r="U5702" s="5"/>
      <c r="V5702" s="5"/>
      <c r="W5702" s="5"/>
      <c r="X5702" s="5"/>
      <c r="Y5702" s="5"/>
      <c r="Z5702" s="5"/>
    </row>
    <row r="5703" spans="1:26" ht="15" x14ac:dyDescent="0.25">
      <c r="A5703" s="4" t="s">
        <v>5701</v>
      </c>
      <c r="B5703" s="4" t="s">
        <v>4550</v>
      </c>
      <c r="C5703" s="2" t="str">
        <f ca="1">IFERROR(__xludf.DUMMYFUNCTION("GOOGLETRANSLATE(A5703,""bn"",""en"")"),"What a beautiful movie I saw how bad people's behavior can be due to social problems Uppal Dutt's performance shows Kali Banerjee's performance was excellent Anjan Chowdhury Mahashay I must thank Ranjit Mallik was the best actor no doubt")</f>
        <v>What a beautiful movie I saw how bad people's behavior can be due to social problems Uppal Dutt's performance shows Kali Banerjee's performance was excellent Anjan Chowdhury Mahashay I must thank Ranjit Mallik was the best actor no doubt</v>
      </c>
      <c r="D5703" s="5"/>
      <c r="E5703" s="5"/>
      <c r="F5703" s="5"/>
      <c r="G5703" s="5"/>
      <c r="H5703" s="5"/>
      <c r="I5703" s="5"/>
      <c r="J5703" s="5"/>
      <c r="K5703" s="5"/>
      <c r="L5703" s="5"/>
      <c r="M5703" s="5"/>
      <c r="N5703" s="5"/>
      <c r="O5703" s="5"/>
      <c r="P5703" s="5"/>
      <c r="Q5703" s="5"/>
      <c r="R5703" s="5"/>
      <c r="S5703" s="5"/>
      <c r="T5703" s="5"/>
      <c r="U5703" s="5"/>
      <c r="V5703" s="5"/>
      <c r="W5703" s="5"/>
      <c r="X5703" s="5"/>
      <c r="Y5703" s="5"/>
      <c r="Z5703" s="5"/>
    </row>
    <row r="5704" spans="1:26" ht="15" x14ac:dyDescent="0.25">
      <c r="A5704" s="4" t="s">
        <v>5702</v>
      </c>
      <c r="B5704" s="4" t="s">
        <v>4550</v>
      </c>
      <c r="C5704" s="2" t="str">
        <f ca="1">IFERROR(__xludf.DUMMYFUNCTION("GOOGLETRANSLATE(A5704,""bn"",""en"")"),"The whole thing was uuuuuuuuuuuuuuuuuuuuuuuuuuuuuuuuuuuuuuuu")</f>
        <v>The whole thing was uuuuuuuuuuuuuuuuuuuuuuuuuuuuuuuuuuuuuuuu</v>
      </c>
      <c r="D5704" s="5"/>
      <c r="E5704" s="5"/>
      <c r="F5704" s="5"/>
      <c r="G5704" s="5"/>
      <c r="H5704" s="5"/>
      <c r="I5704" s="5"/>
      <c r="J5704" s="5"/>
      <c r="K5704" s="5"/>
      <c r="L5704" s="5"/>
      <c r="M5704" s="5"/>
      <c r="N5704" s="5"/>
      <c r="O5704" s="5"/>
      <c r="P5704" s="5"/>
      <c r="Q5704" s="5"/>
      <c r="R5704" s="5"/>
      <c r="S5704" s="5"/>
      <c r="T5704" s="5"/>
      <c r="U5704" s="5"/>
      <c r="V5704" s="5"/>
      <c r="W5704" s="5"/>
      <c r="X5704" s="5"/>
      <c r="Y5704" s="5"/>
      <c r="Z5704" s="5"/>
    </row>
    <row r="5705" spans="1:26" ht="15" x14ac:dyDescent="0.25">
      <c r="A5705" s="4" t="s">
        <v>5703</v>
      </c>
      <c r="B5705" s="4" t="s">
        <v>4550</v>
      </c>
      <c r="C5705" s="2" t="str">
        <f ca="1">IFERROR(__xludf.DUMMYFUNCTION("GOOGLETRANSLATE(A5705,""bn"",""en"")"),"I saw a very nice movie and I especially liked Sabana mam's movie")</f>
        <v>I saw a very nice movie and I especially liked Sabana mam's movie</v>
      </c>
      <c r="D5705" s="5"/>
      <c r="E5705" s="5"/>
      <c r="F5705" s="5"/>
      <c r="G5705" s="5"/>
      <c r="H5705" s="5"/>
      <c r="I5705" s="5"/>
      <c r="J5705" s="5"/>
      <c r="K5705" s="5"/>
      <c r="L5705" s="5"/>
      <c r="M5705" s="5"/>
      <c r="N5705" s="5"/>
      <c r="O5705" s="5"/>
      <c r="P5705" s="5"/>
      <c r="Q5705" s="5"/>
      <c r="R5705" s="5"/>
      <c r="S5705" s="5"/>
      <c r="T5705" s="5"/>
      <c r="U5705" s="5"/>
      <c r="V5705" s="5"/>
      <c r="W5705" s="5"/>
      <c r="X5705" s="5"/>
      <c r="Y5705" s="5"/>
      <c r="Z5705" s="5"/>
    </row>
    <row r="5706" spans="1:26" ht="15" x14ac:dyDescent="0.25">
      <c r="A5706" s="4" t="s">
        <v>5704</v>
      </c>
      <c r="B5706" s="4" t="s">
        <v>4550</v>
      </c>
      <c r="C5706" s="2" t="str">
        <f ca="1">IFERROR(__xludf.DUMMYFUNCTION("GOOGLETRANSLATE(A5706,""bn"",""en"")"),"Anyone who was touched by the picture has now liked it")</f>
        <v>Anyone who was touched by the picture has now liked it</v>
      </c>
      <c r="D5706" s="5"/>
      <c r="E5706" s="5"/>
      <c r="F5706" s="5"/>
      <c r="G5706" s="5"/>
      <c r="H5706" s="5"/>
      <c r="I5706" s="5"/>
      <c r="J5706" s="5"/>
      <c r="K5706" s="5"/>
      <c r="L5706" s="5"/>
      <c r="M5706" s="5"/>
      <c r="N5706" s="5"/>
      <c r="O5706" s="5"/>
      <c r="P5706" s="5"/>
      <c r="Q5706" s="5"/>
      <c r="R5706" s="5"/>
      <c r="S5706" s="5"/>
      <c r="T5706" s="5"/>
      <c r="U5706" s="5"/>
      <c r="V5706" s="5"/>
      <c r="W5706" s="5"/>
      <c r="X5706" s="5"/>
      <c r="Y5706" s="5"/>
      <c r="Z5706" s="5"/>
    </row>
    <row r="5707" spans="1:26" ht="15" x14ac:dyDescent="0.25">
      <c r="A5707" s="4" t="s">
        <v>5705</v>
      </c>
      <c r="B5707" s="4" t="s">
        <v>4550</v>
      </c>
      <c r="C5707" s="2" t="str">
        <f ca="1">IFERROR(__xludf.DUMMYFUNCTION("GOOGLETRANSLATE(A5707,""bn"",""en"")"),"I didn't think it would be so beautiful at first. In one word, it was amazing")</f>
        <v>I didn't think it would be so beautiful at first. In one word, it was amazing</v>
      </c>
      <c r="D5707" s="5"/>
      <c r="E5707" s="5"/>
      <c r="F5707" s="5"/>
      <c r="G5707" s="5"/>
      <c r="H5707" s="5"/>
      <c r="I5707" s="5"/>
      <c r="J5707" s="5"/>
      <c r="K5707" s="5"/>
      <c r="L5707" s="5"/>
      <c r="M5707" s="5"/>
      <c r="N5707" s="5"/>
      <c r="O5707" s="5"/>
      <c r="P5707" s="5"/>
      <c r="Q5707" s="5"/>
      <c r="R5707" s="5"/>
      <c r="S5707" s="5"/>
      <c r="T5707" s="5"/>
      <c r="U5707" s="5"/>
      <c r="V5707" s="5"/>
      <c r="W5707" s="5"/>
      <c r="X5707" s="5"/>
      <c r="Y5707" s="5"/>
      <c r="Z5707" s="5"/>
    </row>
    <row r="5708" spans="1:26" ht="15" x14ac:dyDescent="0.25">
      <c r="A5708" s="4" t="s">
        <v>5706</v>
      </c>
      <c r="B5708" s="4" t="s">
        <v>4550</v>
      </c>
      <c r="C5708" s="2" t="str">
        <f ca="1">IFERROR(__xludf.DUMMYFUNCTION("GOOGLETRANSLATE(A5708,""bn"",""en"")"),"It was really sad not to be misused in this way by Satyajit Roy's idiosyncratic movie")</f>
        <v>It was really sad not to be misused in this way by Satyajit Roy's idiosyncratic movie</v>
      </c>
      <c r="D5708" s="5"/>
      <c r="E5708" s="5"/>
      <c r="F5708" s="5"/>
      <c r="G5708" s="5"/>
      <c r="H5708" s="5"/>
      <c r="I5708" s="5"/>
      <c r="J5708" s="5"/>
      <c r="K5708" s="5"/>
      <c r="L5708" s="5"/>
      <c r="M5708" s="5"/>
      <c r="N5708" s="5"/>
      <c r="O5708" s="5"/>
      <c r="P5708" s="5"/>
      <c r="Q5708" s="5"/>
      <c r="R5708" s="5"/>
      <c r="S5708" s="5"/>
      <c r="T5708" s="5"/>
      <c r="U5708" s="5"/>
      <c r="V5708" s="5"/>
      <c r="W5708" s="5"/>
      <c r="X5708" s="5"/>
      <c r="Y5708" s="5"/>
      <c r="Z5708" s="5"/>
    </row>
    <row r="5709" spans="1:26" ht="15" x14ac:dyDescent="0.25">
      <c r="A5709" s="4" t="s">
        <v>5707</v>
      </c>
      <c r="B5709" s="4" t="s">
        <v>4550</v>
      </c>
      <c r="C5709" s="2" t="str">
        <f ca="1">IFERROR(__xludf.DUMMYFUNCTION("GOOGLETRANSLATE(A5709,""bn"",""en"")"),"He was a technician")</f>
        <v>He was a technician</v>
      </c>
      <c r="D5709" s="5"/>
      <c r="E5709" s="5"/>
      <c r="F5709" s="5"/>
      <c r="G5709" s="5"/>
      <c r="H5709" s="5"/>
      <c r="I5709" s="5"/>
      <c r="J5709" s="5"/>
      <c r="K5709" s="5"/>
      <c r="L5709" s="5"/>
      <c r="M5709" s="5"/>
      <c r="N5709" s="5"/>
      <c r="O5709" s="5"/>
      <c r="P5709" s="5"/>
      <c r="Q5709" s="5"/>
      <c r="R5709" s="5"/>
      <c r="S5709" s="5"/>
      <c r="T5709" s="5"/>
      <c r="U5709" s="5"/>
      <c r="V5709" s="5"/>
      <c r="W5709" s="5"/>
      <c r="X5709" s="5"/>
      <c r="Y5709" s="5"/>
      <c r="Z5709" s="5"/>
    </row>
    <row r="5710" spans="1:26" ht="15" x14ac:dyDescent="0.25">
      <c r="A5710" s="4" t="s">
        <v>5708</v>
      </c>
      <c r="B5710" s="4" t="s">
        <v>4550</v>
      </c>
      <c r="C5710" s="2" t="str">
        <f ca="1">IFERROR(__xludf.DUMMYFUNCTION("GOOGLETRANSLATE(A5710,""bn"",""en"")"),"They were reading books")</f>
        <v>They were reading books</v>
      </c>
      <c r="D5710" s="5"/>
      <c r="E5710" s="5"/>
      <c r="F5710" s="5"/>
      <c r="G5710" s="5"/>
      <c r="H5710" s="5"/>
      <c r="I5710" s="5"/>
      <c r="J5710" s="5"/>
      <c r="K5710" s="5"/>
      <c r="L5710" s="5"/>
      <c r="M5710" s="5"/>
      <c r="N5710" s="5"/>
      <c r="O5710" s="5"/>
      <c r="P5710" s="5"/>
      <c r="Q5710" s="5"/>
      <c r="R5710" s="5"/>
      <c r="S5710" s="5"/>
      <c r="T5710" s="5"/>
      <c r="U5710" s="5"/>
      <c r="V5710" s="5"/>
      <c r="W5710" s="5"/>
      <c r="X5710" s="5"/>
      <c r="Y5710" s="5"/>
      <c r="Z5710" s="5"/>
    </row>
    <row r="5711" spans="1:26" ht="15" x14ac:dyDescent="0.25">
      <c r="A5711" s="4" t="s">
        <v>5709</v>
      </c>
      <c r="B5711" s="4" t="s">
        <v>4550</v>
      </c>
      <c r="C5711" s="2" t="str">
        <f ca="1">IFERROR(__xludf.DUMMYFUNCTION("GOOGLETRANSLATE(A5711,""bn"",""en"")"),"crossed the sea")</f>
        <v>crossed the sea</v>
      </c>
      <c r="D5711" s="5"/>
      <c r="E5711" s="5"/>
      <c r="F5711" s="5"/>
      <c r="G5711" s="5"/>
      <c r="H5711" s="5"/>
      <c r="I5711" s="5"/>
      <c r="J5711" s="5"/>
      <c r="K5711" s="5"/>
      <c r="L5711" s="5"/>
      <c r="M5711" s="5"/>
      <c r="N5711" s="5"/>
      <c r="O5711" s="5"/>
      <c r="P5711" s="5"/>
      <c r="Q5711" s="5"/>
      <c r="R5711" s="5"/>
      <c r="S5711" s="5"/>
      <c r="T5711" s="5"/>
      <c r="U5711" s="5"/>
      <c r="V5711" s="5"/>
      <c r="W5711" s="5"/>
      <c r="X5711" s="5"/>
      <c r="Y5711" s="5"/>
      <c r="Z5711" s="5"/>
    </row>
    <row r="5712" spans="1:26" ht="15" x14ac:dyDescent="0.25">
      <c r="A5712" s="4" t="s">
        <v>5710</v>
      </c>
      <c r="B5712" s="4" t="s">
        <v>4550</v>
      </c>
      <c r="C5712" s="2" t="str">
        <f ca="1">IFERROR(__xludf.DUMMYFUNCTION("GOOGLETRANSLATE(A5712,""bn"",""en"")"),"He used to sing in his spare time")</f>
        <v>He used to sing in his spare time</v>
      </c>
      <c r="D5712" s="5"/>
      <c r="E5712" s="5"/>
      <c r="F5712" s="5"/>
      <c r="G5712" s="5"/>
      <c r="H5712" s="5"/>
      <c r="I5712" s="5"/>
      <c r="J5712" s="5"/>
      <c r="K5712" s="5"/>
      <c r="L5712" s="5"/>
      <c r="M5712" s="5"/>
      <c r="N5712" s="5"/>
      <c r="O5712" s="5"/>
      <c r="P5712" s="5"/>
      <c r="Q5712" s="5"/>
      <c r="R5712" s="5"/>
      <c r="S5712" s="5"/>
      <c r="T5712" s="5"/>
      <c r="U5712" s="5"/>
      <c r="V5712" s="5"/>
      <c r="W5712" s="5"/>
      <c r="X5712" s="5"/>
      <c r="Y5712" s="5"/>
      <c r="Z5712" s="5"/>
    </row>
    <row r="5713" spans="1:26" ht="15" x14ac:dyDescent="0.25">
      <c r="A5713" s="4" t="s">
        <v>5711</v>
      </c>
      <c r="B5713" s="4" t="s">
        <v>4550</v>
      </c>
      <c r="C5713" s="2" t="str">
        <f ca="1">IFERROR(__xludf.DUMMYFUNCTION("GOOGLETRANSLATE(A5713,""bn"",""en"")"),"I understood well")</f>
        <v>I understood well</v>
      </c>
      <c r="D5713" s="5"/>
      <c r="E5713" s="5"/>
      <c r="F5713" s="5"/>
      <c r="G5713" s="5"/>
      <c r="H5713" s="5"/>
      <c r="I5713" s="5"/>
      <c r="J5713" s="5"/>
      <c r="K5713" s="5"/>
      <c r="L5713" s="5"/>
      <c r="M5713" s="5"/>
      <c r="N5713" s="5"/>
      <c r="O5713" s="5"/>
      <c r="P5713" s="5"/>
      <c r="Q5713" s="5"/>
      <c r="R5713" s="5"/>
      <c r="S5713" s="5"/>
      <c r="T5713" s="5"/>
      <c r="U5713" s="5"/>
      <c r="V5713" s="5"/>
      <c r="W5713" s="5"/>
      <c r="X5713" s="5"/>
      <c r="Y5713" s="5"/>
      <c r="Z5713" s="5"/>
    </row>
    <row r="5714" spans="1:26" ht="15" x14ac:dyDescent="0.25">
      <c r="A5714" s="4" t="s">
        <v>5712</v>
      </c>
      <c r="B5714" s="4" t="s">
        <v>4550</v>
      </c>
      <c r="C5714" s="2" t="str">
        <f ca="1">IFERROR(__xludf.DUMMYFUNCTION("GOOGLETRANSLATE(A5714,""bn"",""en"")"),"Sufla Sufla was Bangladesh")</f>
        <v>Sufla Sufla was Bangladesh</v>
      </c>
      <c r="D5714" s="5"/>
      <c r="E5714" s="5"/>
      <c r="F5714" s="5"/>
      <c r="G5714" s="5"/>
      <c r="H5714" s="5"/>
      <c r="I5714" s="5"/>
      <c r="J5714" s="5"/>
      <c r="K5714" s="5"/>
      <c r="L5714" s="5"/>
      <c r="M5714" s="5"/>
      <c r="N5714" s="5"/>
      <c r="O5714" s="5"/>
      <c r="P5714" s="5"/>
      <c r="Q5714" s="5"/>
      <c r="R5714" s="5"/>
      <c r="S5714" s="5"/>
      <c r="T5714" s="5"/>
      <c r="U5714" s="5"/>
      <c r="V5714" s="5"/>
      <c r="W5714" s="5"/>
      <c r="X5714" s="5"/>
      <c r="Y5714" s="5"/>
      <c r="Z5714" s="5"/>
    </row>
    <row r="5715" spans="1:26" ht="15" x14ac:dyDescent="0.25">
      <c r="A5715" s="4" t="s">
        <v>5713</v>
      </c>
      <c r="B5715" s="4" t="s">
        <v>4550</v>
      </c>
      <c r="C5715" s="2" t="str">
        <f ca="1">IFERROR(__xludf.DUMMYFUNCTION("GOOGLETRANSLATE(A5715,""bn"",""en"")"),"It took time to download the software")</f>
        <v>It took time to download the software</v>
      </c>
      <c r="D5715" s="5"/>
      <c r="E5715" s="5"/>
      <c r="F5715" s="5"/>
      <c r="G5715" s="5"/>
      <c r="H5715" s="5"/>
      <c r="I5715" s="5"/>
      <c r="J5715" s="5"/>
      <c r="K5715" s="5"/>
      <c r="L5715" s="5"/>
      <c r="M5715" s="5"/>
      <c r="N5715" s="5"/>
      <c r="O5715" s="5"/>
      <c r="P5715" s="5"/>
      <c r="Q5715" s="5"/>
      <c r="R5715" s="5"/>
      <c r="S5715" s="5"/>
      <c r="T5715" s="5"/>
      <c r="U5715" s="5"/>
      <c r="V5715" s="5"/>
      <c r="W5715" s="5"/>
      <c r="X5715" s="5"/>
      <c r="Y5715" s="5"/>
      <c r="Z5715" s="5"/>
    </row>
    <row r="5716" spans="1:26" ht="15" x14ac:dyDescent="0.25">
      <c r="A5716" s="4" t="s">
        <v>5714</v>
      </c>
      <c r="B5716" s="4" t="s">
        <v>4550</v>
      </c>
      <c r="C5716" s="2" t="str">
        <f ca="1">IFERROR(__xludf.DUMMYFUNCTION("GOOGLETRANSLATE(A5716,""bn"",""en"")"),"College observed")</f>
        <v>College observed</v>
      </c>
      <c r="D5716" s="5"/>
      <c r="E5716" s="5"/>
      <c r="F5716" s="5"/>
      <c r="G5716" s="5"/>
      <c r="H5716" s="5"/>
      <c r="I5716" s="5"/>
      <c r="J5716" s="5"/>
      <c r="K5716" s="5"/>
      <c r="L5716" s="5"/>
      <c r="M5716" s="5"/>
      <c r="N5716" s="5"/>
      <c r="O5716" s="5"/>
      <c r="P5716" s="5"/>
      <c r="Q5716" s="5"/>
      <c r="R5716" s="5"/>
      <c r="S5716" s="5"/>
      <c r="T5716" s="5"/>
      <c r="U5716" s="5"/>
      <c r="V5716" s="5"/>
      <c r="W5716" s="5"/>
      <c r="X5716" s="5"/>
      <c r="Y5716" s="5"/>
      <c r="Z5716" s="5"/>
    </row>
    <row r="5717" spans="1:26" ht="15" x14ac:dyDescent="0.25">
      <c r="A5717" s="4" t="s">
        <v>5715</v>
      </c>
      <c r="B5717" s="4" t="s">
        <v>4550</v>
      </c>
      <c r="C5717" s="2" t="str">
        <f ca="1">IFERROR(__xludf.DUMMYFUNCTION("GOOGLETRANSLATE(A5717,""bn"",""en"")"),"I went to the fair")</f>
        <v>I went to the fair</v>
      </c>
      <c r="D5717" s="5"/>
      <c r="E5717" s="5"/>
      <c r="F5717" s="5"/>
      <c r="G5717" s="5"/>
      <c r="H5717" s="5"/>
      <c r="I5717" s="5"/>
      <c r="J5717" s="5"/>
      <c r="K5717" s="5"/>
      <c r="L5717" s="5"/>
      <c r="M5717" s="5"/>
      <c r="N5717" s="5"/>
      <c r="O5717" s="5"/>
      <c r="P5717" s="5"/>
      <c r="Q5717" s="5"/>
      <c r="R5717" s="5"/>
      <c r="S5717" s="5"/>
      <c r="T5717" s="5"/>
      <c r="U5717" s="5"/>
      <c r="V5717" s="5"/>
      <c r="W5717" s="5"/>
      <c r="X5717" s="5"/>
      <c r="Y5717" s="5"/>
      <c r="Z5717" s="5"/>
    </row>
    <row r="5718" spans="1:26" ht="15" x14ac:dyDescent="0.25">
      <c r="A5718" s="4" t="s">
        <v>5716</v>
      </c>
      <c r="B5718" s="4" t="s">
        <v>4550</v>
      </c>
      <c r="C5718" s="2" t="str">
        <f ca="1">IFERROR(__xludf.DUMMYFUNCTION("GOOGLETRANSLATE(A5718,""bn"",""en"")"),"I went for Hajj")</f>
        <v>I went for Hajj</v>
      </c>
      <c r="D5718" s="5"/>
      <c r="E5718" s="5"/>
      <c r="F5718" s="5"/>
      <c r="G5718" s="5"/>
      <c r="H5718" s="5"/>
      <c r="I5718" s="5"/>
      <c r="J5718" s="5"/>
      <c r="K5718" s="5"/>
      <c r="L5718" s="5"/>
      <c r="M5718" s="5"/>
      <c r="N5718" s="5"/>
      <c r="O5718" s="5"/>
      <c r="P5718" s="5"/>
      <c r="Q5718" s="5"/>
      <c r="R5718" s="5"/>
      <c r="S5718" s="5"/>
      <c r="T5718" s="5"/>
      <c r="U5718" s="5"/>
      <c r="V5718" s="5"/>
      <c r="W5718" s="5"/>
      <c r="X5718" s="5"/>
      <c r="Y5718" s="5"/>
      <c r="Z5718" s="5"/>
    </row>
    <row r="5719" spans="1:26" ht="15" x14ac:dyDescent="0.25">
      <c r="A5719" s="4" t="s">
        <v>5717</v>
      </c>
      <c r="B5719" s="4" t="s">
        <v>4550</v>
      </c>
      <c r="C5719" s="2" t="str">
        <f ca="1">IFERROR(__xludf.DUMMYFUNCTION("GOOGLETRANSLATE(A5719,""bn"",""en"")"),"I played high skill games")</f>
        <v>I played high skill games</v>
      </c>
      <c r="D5719" s="5"/>
      <c r="E5719" s="5"/>
      <c r="F5719" s="5"/>
      <c r="G5719" s="5"/>
      <c r="H5719" s="5"/>
      <c r="I5719" s="5"/>
      <c r="J5719" s="5"/>
      <c r="K5719" s="5"/>
      <c r="L5719" s="5"/>
      <c r="M5719" s="5"/>
      <c r="N5719" s="5"/>
      <c r="O5719" s="5"/>
      <c r="P5719" s="5"/>
      <c r="Q5719" s="5"/>
      <c r="R5719" s="5"/>
      <c r="S5719" s="5"/>
      <c r="T5719" s="5"/>
      <c r="U5719" s="5"/>
      <c r="V5719" s="5"/>
      <c r="W5719" s="5"/>
      <c r="X5719" s="5"/>
      <c r="Y5719" s="5"/>
      <c r="Z5719" s="5"/>
    </row>
    <row r="5720" spans="1:26" ht="15" x14ac:dyDescent="0.25">
      <c r="A5720" s="4" t="s">
        <v>5718</v>
      </c>
      <c r="B5720" s="4" t="s">
        <v>4550</v>
      </c>
      <c r="C5720" s="2" t="str">
        <f ca="1">IFERROR(__xludf.DUMMYFUNCTION("GOOGLETRANSLATE(A5720,""bn"",""en"")"),"I was interested in politics")</f>
        <v>I was interested in politics</v>
      </c>
      <c r="D5720" s="5"/>
      <c r="E5720" s="5"/>
      <c r="F5720" s="5"/>
      <c r="G5720" s="5"/>
      <c r="H5720" s="5"/>
      <c r="I5720" s="5"/>
      <c r="J5720" s="5"/>
      <c r="K5720" s="5"/>
      <c r="L5720" s="5"/>
      <c r="M5720" s="5"/>
      <c r="N5720" s="5"/>
      <c r="O5720" s="5"/>
      <c r="P5720" s="5"/>
      <c r="Q5720" s="5"/>
      <c r="R5720" s="5"/>
      <c r="S5720" s="5"/>
      <c r="T5720" s="5"/>
      <c r="U5720" s="5"/>
      <c r="V5720" s="5"/>
      <c r="W5720" s="5"/>
      <c r="X5720" s="5"/>
      <c r="Y5720" s="5"/>
      <c r="Z5720" s="5"/>
    </row>
    <row r="5721" spans="1:26" ht="15" x14ac:dyDescent="0.25">
      <c r="A5721" s="4" t="s">
        <v>5719</v>
      </c>
      <c r="B5721" s="4" t="s">
        <v>4550</v>
      </c>
      <c r="C5721" s="2" t="str">
        <f ca="1">IFERROR(__xludf.DUMMYFUNCTION("GOOGLETRANSLATE(A5721,""bn"",""en"")"),"Sailors ran the ship")</f>
        <v>Sailors ran the ship</v>
      </c>
      <c r="D5721" s="5"/>
      <c r="E5721" s="5"/>
      <c r="F5721" s="5"/>
      <c r="G5721" s="5"/>
      <c r="H5721" s="5"/>
      <c r="I5721" s="5"/>
      <c r="J5721" s="5"/>
      <c r="K5721" s="5"/>
      <c r="L5721" s="5"/>
      <c r="M5721" s="5"/>
      <c r="N5721" s="5"/>
      <c r="O5721" s="5"/>
      <c r="P5721" s="5"/>
      <c r="Q5721" s="5"/>
      <c r="R5721" s="5"/>
      <c r="S5721" s="5"/>
      <c r="T5721" s="5"/>
      <c r="U5721" s="5"/>
      <c r="V5721" s="5"/>
      <c r="W5721" s="5"/>
      <c r="X5721" s="5"/>
      <c r="Y5721" s="5"/>
      <c r="Z5721" s="5"/>
    </row>
    <row r="5722" spans="1:26" ht="15" x14ac:dyDescent="0.25">
      <c r="A5722" s="4" t="s">
        <v>5720</v>
      </c>
      <c r="B5722" s="4" t="s">
        <v>4550</v>
      </c>
      <c r="C5722" s="2" t="str">
        <f ca="1">IFERROR(__xludf.DUMMYFUNCTION("GOOGLETRANSLATE(A5722,""bn"",""en"")"),"The sailors were caught in a storm")</f>
        <v>The sailors were caught in a storm</v>
      </c>
      <c r="D5722" s="5"/>
      <c r="E5722" s="5"/>
      <c r="F5722" s="5"/>
      <c r="G5722" s="5"/>
      <c r="H5722" s="5"/>
      <c r="I5722" s="5"/>
      <c r="J5722" s="5"/>
      <c r="K5722" s="5"/>
      <c r="L5722" s="5"/>
      <c r="M5722" s="5"/>
      <c r="N5722" s="5"/>
      <c r="O5722" s="5"/>
      <c r="P5722" s="5"/>
      <c r="Q5722" s="5"/>
      <c r="R5722" s="5"/>
      <c r="S5722" s="5"/>
      <c r="T5722" s="5"/>
      <c r="U5722" s="5"/>
      <c r="V5722" s="5"/>
      <c r="W5722" s="5"/>
      <c r="X5722" s="5"/>
      <c r="Y5722" s="5"/>
      <c r="Z5722" s="5"/>
    </row>
    <row r="5723" spans="1:26" ht="15" x14ac:dyDescent="0.25">
      <c r="A5723" s="4" t="s">
        <v>5721</v>
      </c>
      <c r="B5723" s="4" t="s">
        <v>4550</v>
      </c>
      <c r="C5723" s="2" t="str">
        <f ca="1">IFERROR(__xludf.DUMMYFUNCTION("GOOGLETRANSLATE(A5723,""bn"",""en"")"),"I enjoyed the media")</f>
        <v>I enjoyed the media</v>
      </c>
      <c r="D5723" s="5"/>
      <c r="E5723" s="5"/>
      <c r="F5723" s="5"/>
      <c r="G5723" s="5"/>
      <c r="H5723" s="5"/>
      <c r="I5723" s="5"/>
      <c r="J5723" s="5"/>
      <c r="K5723" s="5"/>
      <c r="L5723" s="5"/>
      <c r="M5723" s="5"/>
      <c r="N5723" s="5"/>
      <c r="O5723" s="5"/>
      <c r="P5723" s="5"/>
      <c r="Q5723" s="5"/>
      <c r="R5723" s="5"/>
      <c r="S5723" s="5"/>
      <c r="T5723" s="5"/>
      <c r="U5723" s="5"/>
      <c r="V5723" s="5"/>
      <c r="W5723" s="5"/>
      <c r="X5723" s="5"/>
      <c r="Y5723" s="5"/>
      <c r="Z5723" s="5"/>
    </row>
    <row r="5724" spans="1:26" ht="15" x14ac:dyDescent="0.25">
      <c r="A5724" s="4" t="s">
        <v>5722</v>
      </c>
      <c r="B5724" s="4" t="s">
        <v>4550</v>
      </c>
      <c r="C5724" s="2" t="str">
        <f ca="1">IFERROR(__xludf.DUMMYFUNCTION("GOOGLETRANSLATE(A5724,""bn"",""en"")"),"I studied in college")</f>
        <v>I studied in college</v>
      </c>
      <c r="D5724" s="5"/>
      <c r="E5724" s="5"/>
      <c r="F5724" s="5"/>
      <c r="G5724" s="5"/>
      <c r="H5724" s="5"/>
      <c r="I5724" s="5"/>
      <c r="J5724" s="5"/>
      <c r="K5724" s="5"/>
      <c r="L5724" s="5"/>
      <c r="M5724" s="5"/>
      <c r="N5724" s="5"/>
      <c r="O5724" s="5"/>
      <c r="P5724" s="5"/>
      <c r="Q5724" s="5"/>
      <c r="R5724" s="5"/>
      <c r="S5724" s="5"/>
      <c r="T5724" s="5"/>
      <c r="U5724" s="5"/>
      <c r="V5724" s="5"/>
      <c r="W5724" s="5"/>
      <c r="X5724" s="5"/>
      <c r="Y5724" s="5"/>
      <c r="Z5724" s="5"/>
    </row>
    <row r="5725" spans="1:26" ht="15" x14ac:dyDescent="0.25">
      <c r="A5725" s="4" t="s">
        <v>5723</v>
      </c>
      <c r="B5725" s="4" t="s">
        <v>4550</v>
      </c>
      <c r="C5725" s="2" t="str">
        <f ca="1">IFERROR(__xludf.DUMMYFUNCTION("GOOGLETRANSLATE(A5725,""bn"",""en"")"),"I was using the remote")</f>
        <v>I was using the remote</v>
      </c>
      <c r="D5725" s="5"/>
      <c r="E5725" s="5"/>
      <c r="F5725" s="5"/>
      <c r="G5725" s="5"/>
      <c r="H5725" s="5"/>
      <c r="I5725" s="5"/>
      <c r="J5725" s="5"/>
      <c r="K5725" s="5"/>
      <c r="L5725" s="5"/>
      <c r="M5725" s="5"/>
      <c r="N5725" s="5"/>
      <c r="O5725" s="5"/>
      <c r="P5725" s="5"/>
      <c r="Q5725" s="5"/>
      <c r="R5725" s="5"/>
      <c r="S5725" s="5"/>
      <c r="T5725" s="5"/>
      <c r="U5725" s="5"/>
      <c r="V5725" s="5"/>
      <c r="W5725" s="5"/>
      <c r="X5725" s="5"/>
      <c r="Y5725" s="5"/>
      <c r="Z5725" s="5"/>
    </row>
    <row r="5726" spans="1:26" ht="15" x14ac:dyDescent="0.25">
      <c r="A5726" s="4" t="s">
        <v>5724</v>
      </c>
      <c r="B5726" s="4" t="s">
        <v>4550</v>
      </c>
      <c r="C5726" s="2" t="str">
        <f ca="1">IFERROR(__xludf.DUMMYFUNCTION("GOOGLETRANSLATE(A5726,""bn"",""en"")"),"I earned money")</f>
        <v>I earned money</v>
      </c>
      <c r="D5726" s="5"/>
      <c r="E5726" s="5"/>
      <c r="F5726" s="5"/>
      <c r="G5726" s="5"/>
      <c r="H5726" s="5"/>
      <c r="I5726" s="5"/>
      <c r="J5726" s="5"/>
      <c r="K5726" s="5"/>
      <c r="L5726" s="5"/>
      <c r="M5726" s="5"/>
      <c r="N5726" s="5"/>
      <c r="O5726" s="5"/>
      <c r="P5726" s="5"/>
      <c r="Q5726" s="5"/>
      <c r="R5726" s="5"/>
      <c r="S5726" s="5"/>
      <c r="T5726" s="5"/>
      <c r="U5726" s="5"/>
      <c r="V5726" s="5"/>
      <c r="W5726" s="5"/>
      <c r="X5726" s="5"/>
      <c r="Y5726" s="5"/>
      <c r="Z5726" s="5"/>
    </row>
    <row r="5727" spans="1:26" ht="15" x14ac:dyDescent="0.25">
      <c r="A5727" s="4" t="s">
        <v>5725</v>
      </c>
      <c r="B5727" s="4" t="s">
        <v>4550</v>
      </c>
      <c r="C5727" s="2" t="str">
        <f ca="1">IFERROR(__xludf.DUMMYFUNCTION("GOOGLETRANSLATE(A5727,""bn"",""en"")"),"Education brought prosperity")</f>
        <v>Education brought prosperity</v>
      </c>
      <c r="D5727" s="5"/>
      <c r="E5727" s="5"/>
      <c r="F5727" s="5"/>
      <c r="G5727" s="5"/>
      <c r="H5727" s="5"/>
      <c r="I5727" s="5"/>
      <c r="J5727" s="5"/>
      <c r="K5727" s="5"/>
      <c r="L5727" s="5"/>
      <c r="M5727" s="5"/>
      <c r="N5727" s="5"/>
      <c r="O5727" s="5"/>
      <c r="P5727" s="5"/>
      <c r="Q5727" s="5"/>
      <c r="R5727" s="5"/>
      <c r="S5727" s="5"/>
      <c r="T5727" s="5"/>
      <c r="U5727" s="5"/>
      <c r="V5727" s="5"/>
      <c r="W5727" s="5"/>
      <c r="X5727" s="5"/>
      <c r="Y5727" s="5"/>
      <c r="Z5727" s="5"/>
    </row>
    <row r="5728" spans="1:26" ht="15" x14ac:dyDescent="0.25">
      <c r="A5728" s="4" t="s">
        <v>5726</v>
      </c>
      <c r="B5728" s="4" t="s">
        <v>4550</v>
      </c>
      <c r="C5728" s="2" t="str">
        <f ca="1">IFERROR(__xludf.DUMMYFUNCTION("GOOGLETRANSLATE(A5728,""bn"",""en"")"),"I built an Islamic life")</f>
        <v>I built an Islamic life</v>
      </c>
      <c r="D5728" s="5"/>
      <c r="E5728" s="5"/>
      <c r="F5728" s="5"/>
      <c r="G5728" s="5"/>
      <c r="H5728" s="5"/>
      <c r="I5728" s="5"/>
      <c r="J5728" s="5"/>
      <c r="K5728" s="5"/>
      <c r="L5728" s="5"/>
      <c r="M5728" s="5"/>
      <c r="N5728" s="5"/>
      <c r="O5728" s="5"/>
      <c r="P5728" s="5"/>
      <c r="Q5728" s="5"/>
      <c r="R5728" s="5"/>
      <c r="S5728" s="5"/>
      <c r="T5728" s="5"/>
      <c r="U5728" s="5"/>
      <c r="V5728" s="5"/>
      <c r="W5728" s="5"/>
      <c r="X5728" s="5"/>
      <c r="Y5728" s="5"/>
      <c r="Z5728" s="5"/>
    </row>
    <row r="5729" spans="1:26" ht="15" x14ac:dyDescent="0.25">
      <c r="A5729" s="4" t="s">
        <v>5727</v>
      </c>
      <c r="B5729" s="4" t="s">
        <v>4550</v>
      </c>
      <c r="C5729" s="2" t="str">
        <f ca="1">IFERROR(__xludf.DUMMYFUNCTION("GOOGLETRANSLATE(A5729,""bn"",""en"")"),"The battle took place")</f>
        <v>The battle took place</v>
      </c>
      <c r="D5729" s="5"/>
      <c r="E5729" s="5"/>
      <c r="F5729" s="5"/>
      <c r="G5729" s="5"/>
      <c r="H5729" s="5"/>
      <c r="I5729" s="5"/>
      <c r="J5729" s="5"/>
      <c r="K5729" s="5"/>
      <c r="L5729" s="5"/>
      <c r="M5729" s="5"/>
      <c r="N5729" s="5"/>
      <c r="O5729" s="5"/>
      <c r="P5729" s="5"/>
      <c r="Q5729" s="5"/>
      <c r="R5729" s="5"/>
      <c r="S5729" s="5"/>
      <c r="T5729" s="5"/>
      <c r="U5729" s="5"/>
      <c r="V5729" s="5"/>
      <c r="W5729" s="5"/>
      <c r="X5729" s="5"/>
      <c r="Y5729" s="5"/>
      <c r="Z5729" s="5"/>
    </row>
    <row r="5730" spans="1:26" ht="15" x14ac:dyDescent="0.25">
      <c r="A5730" s="4" t="s">
        <v>5728</v>
      </c>
      <c r="B5730" s="4" t="s">
        <v>4550</v>
      </c>
      <c r="C5730" s="2" t="str">
        <f ca="1">IFERROR(__xludf.DUMMYFUNCTION("GOOGLETRANSLATE(A5730,""bn"",""en"")"),"I supported")</f>
        <v>I supported</v>
      </c>
      <c r="D5730" s="5"/>
      <c r="E5730" s="5"/>
      <c r="F5730" s="5"/>
      <c r="G5730" s="5"/>
      <c r="H5730" s="5"/>
      <c r="I5730" s="5"/>
      <c r="J5730" s="5"/>
      <c r="K5730" s="5"/>
      <c r="L5730" s="5"/>
      <c r="M5730" s="5"/>
      <c r="N5730" s="5"/>
      <c r="O5730" s="5"/>
      <c r="P5730" s="5"/>
      <c r="Q5730" s="5"/>
      <c r="R5730" s="5"/>
      <c r="S5730" s="5"/>
      <c r="T5730" s="5"/>
      <c r="U5730" s="5"/>
      <c r="V5730" s="5"/>
      <c r="W5730" s="5"/>
      <c r="X5730" s="5"/>
      <c r="Y5730" s="5"/>
      <c r="Z5730" s="5"/>
    </row>
    <row r="5731" spans="1:26" ht="15" x14ac:dyDescent="0.25">
      <c r="A5731" s="4" t="s">
        <v>5729</v>
      </c>
      <c r="B5731" s="4" t="s">
        <v>4550</v>
      </c>
      <c r="C5731" s="2" t="str">
        <f ca="1">IFERROR(__xludf.DUMMYFUNCTION("GOOGLETRANSLATE(A5731,""bn"",""en"")"),"Chandrayaan was of India")</f>
        <v>Chandrayaan was of India</v>
      </c>
      <c r="D5731" s="5"/>
      <c r="E5731" s="5"/>
      <c r="F5731" s="5"/>
      <c r="G5731" s="5"/>
      <c r="H5731" s="5"/>
      <c r="I5731" s="5"/>
      <c r="J5731" s="5"/>
      <c r="K5731" s="5"/>
      <c r="L5731" s="5"/>
      <c r="M5731" s="5"/>
      <c r="N5731" s="5"/>
      <c r="O5731" s="5"/>
      <c r="P5731" s="5"/>
      <c r="Q5731" s="5"/>
      <c r="R5731" s="5"/>
      <c r="S5731" s="5"/>
      <c r="T5731" s="5"/>
      <c r="U5731" s="5"/>
      <c r="V5731" s="5"/>
      <c r="W5731" s="5"/>
      <c r="X5731" s="5"/>
      <c r="Y5731" s="5"/>
      <c r="Z5731" s="5"/>
    </row>
    <row r="5732" spans="1:26" ht="15" x14ac:dyDescent="0.25">
      <c r="A5732" s="4" t="s">
        <v>5730</v>
      </c>
      <c r="B5732" s="4" t="s">
        <v>4550</v>
      </c>
      <c r="C5732" s="2" t="str">
        <f ca="1">IFERROR(__xludf.DUMMYFUNCTION("GOOGLETRANSLATE(A5732,""bn"",""en"")"),"The market price had fallen")</f>
        <v>The market price had fallen</v>
      </c>
      <c r="D5732" s="5"/>
      <c r="E5732" s="5"/>
      <c r="F5732" s="5"/>
      <c r="G5732" s="5"/>
      <c r="H5732" s="5"/>
      <c r="I5732" s="5"/>
      <c r="J5732" s="5"/>
      <c r="K5732" s="5"/>
      <c r="L5732" s="5"/>
      <c r="M5732" s="5"/>
      <c r="N5732" s="5"/>
      <c r="O5732" s="5"/>
      <c r="P5732" s="5"/>
      <c r="Q5732" s="5"/>
      <c r="R5732" s="5"/>
      <c r="S5732" s="5"/>
      <c r="T5732" s="5"/>
      <c r="U5732" s="5"/>
      <c r="V5732" s="5"/>
      <c r="W5732" s="5"/>
      <c r="X5732" s="5"/>
      <c r="Y5732" s="5"/>
      <c r="Z5732" s="5"/>
    </row>
    <row r="5733" spans="1:26" ht="15" x14ac:dyDescent="0.25">
      <c r="A5733" s="4" t="s">
        <v>5731</v>
      </c>
      <c r="B5733" s="4" t="s">
        <v>4550</v>
      </c>
      <c r="C5733" s="2" t="str">
        <f ca="1">IFERROR(__xludf.DUMMYFUNCTION("GOOGLETRANSLATE(A5733,""bn"",""en"")"),"Account was fine")</f>
        <v>Account was fine</v>
      </c>
      <c r="D5733" s="5"/>
      <c r="E5733" s="5"/>
      <c r="F5733" s="5"/>
      <c r="G5733" s="5"/>
      <c r="H5733" s="5"/>
      <c r="I5733" s="5"/>
      <c r="J5733" s="5"/>
      <c r="K5733" s="5"/>
      <c r="L5733" s="5"/>
      <c r="M5733" s="5"/>
      <c r="N5733" s="5"/>
      <c r="O5733" s="5"/>
      <c r="P5733" s="5"/>
      <c r="Q5733" s="5"/>
      <c r="R5733" s="5"/>
      <c r="S5733" s="5"/>
      <c r="T5733" s="5"/>
      <c r="U5733" s="5"/>
      <c r="V5733" s="5"/>
      <c r="W5733" s="5"/>
      <c r="X5733" s="5"/>
      <c r="Y5733" s="5"/>
      <c r="Z5733" s="5"/>
    </row>
    <row r="5734" spans="1:26" ht="15" x14ac:dyDescent="0.25">
      <c r="A5734" s="4" t="s">
        <v>5732</v>
      </c>
      <c r="B5734" s="4" t="s">
        <v>4550</v>
      </c>
      <c r="C5734" s="2" t="str">
        <f ca="1">IFERROR(__xludf.DUMMYFUNCTION("GOOGLETRANSLATE(A5734,""bn"",""en"")"),"I talked")</f>
        <v>I talked</v>
      </c>
      <c r="D5734" s="5"/>
      <c r="E5734" s="5"/>
      <c r="F5734" s="5"/>
      <c r="G5734" s="5"/>
      <c r="H5734" s="5"/>
      <c r="I5734" s="5"/>
      <c r="J5734" s="5"/>
      <c r="K5734" s="5"/>
      <c r="L5734" s="5"/>
      <c r="M5734" s="5"/>
      <c r="N5734" s="5"/>
      <c r="O5734" s="5"/>
      <c r="P5734" s="5"/>
      <c r="Q5734" s="5"/>
      <c r="R5734" s="5"/>
      <c r="S5734" s="5"/>
      <c r="T5734" s="5"/>
      <c r="U5734" s="5"/>
      <c r="V5734" s="5"/>
      <c r="W5734" s="5"/>
      <c r="X5734" s="5"/>
      <c r="Y5734" s="5"/>
      <c r="Z5734" s="5"/>
    </row>
    <row r="5735" spans="1:26" ht="15" x14ac:dyDescent="0.25">
      <c r="A5735" s="4" t="s">
        <v>5733</v>
      </c>
      <c r="B5735" s="4" t="s">
        <v>4550</v>
      </c>
      <c r="C5735" s="2" t="str">
        <f ca="1">IFERROR(__xludf.DUMMYFUNCTION("GOOGLETRANSLATE(A5735,""bn"",""en"")"),"I was buying a new phone")</f>
        <v>I was buying a new phone</v>
      </c>
      <c r="D5735" s="5"/>
      <c r="E5735" s="5"/>
      <c r="F5735" s="5"/>
      <c r="G5735" s="5"/>
      <c r="H5735" s="5"/>
      <c r="I5735" s="5"/>
      <c r="J5735" s="5"/>
      <c r="K5735" s="5"/>
      <c r="L5735" s="5"/>
      <c r="M5735" s="5"/>
      <c r="N5735" s="5"/>
      <c r="O5735" s="5"/>
      <c r="P5735" s="5"/>
      <c r="Q5735" s="5"/>
      <c r="R5735" s="5"/>
      <c r="S5735" s="5"/>
      <c r="T5735" s="5"/>
      <c r="U5735" s="5"/>
      <c r="V5735" s="5"/>
      <c r="W5735" s="5"/>
      <c r="X5735" s="5"/>
      <c r="Y5735" s="5"/>
      <c r="Z5735" s="5"/>
    </row>
    <row r="5736" spans="1:26" ht="15" x14ac:dyDescent="0.25">
      <c r="A5736" s="4" t="s">
        <v>5734</v>
      </c>
      <c r="B5736" s="4" t="s">
        <v>4550</v>
      </c>
      <c r="C5736" s="2" t="str">
        <f ca="1">IFERROR(__xludf.DUMMYFUNCTION("GOOGLETRANSLATE(A5736,""bn"",""en"")"),"I saw the bank account")</f>
        <v>I saw the bank account</v>
      </c>
      <c r="D5736" s="5"/>
      <c r="E5736" s="5"/>
      <c r="F5736" s="5"/>
      <c r="G5736" s="5"/>
      <c r="H5736" s="5"/>
      <c r="I5736" s="5"/>
      <c r="J5736" s="5"/>
      <c r="K5736" s="5"/>
      <c r="L5736" s="5"/>
      <c r="M5736" s="5"/>
      <c r="N5736" s="5"/>
      <c r="O5736" s="5"/>
      <c r="P5736" s="5"/>
      <c r="Q5736" s="5"/>
      <c r="R5736" s="5"/>
      <c r="S5736" s="5"/>
      <c r="T5736" s="5"/>
      <c r="U5736" s="5"/>
      <c r="V5736" s="5"/>
      <c r="W5736" s="5"/>
      <c r="X5736" s="5"/>
      <c r="Y5736" s="5"/>
      <c r="Z5736" s="5"/>
    </row>
    <row r="5737" spans="1:26" ht="15" x14ac:dyDescent="0.25">
      <c r="A5737" s="4" t="s">
        <v>5735</v>
      </c>
      <c r="B5737" s="4" t="s">
        <v>4550</v>
      </c>
      <c r="C5737" s="2" t="str">
        <f ca="1">IFERROR(__xludf.DUMMYFUNCTION("GOOGLETRANSLATE(A5737,""bn"",""en"")"),"He was a scholar")</f>
        <v>He was a scholar</v>
      </c>
      <c r="D5737" s="5"/>
      <c r="E5737" s="5"/>
      <c r="F5737" s="5"/>
      <c r="G5737" s="5"/>
      <c r="H5737" s="5"/>
      <c r="I5737" s="5"/>
      <c r="J5737" s="5"/>
      <c r="K5737" s="5"/>
      <c r="L5737" s="5"/>
      <c r="M5737" s="5"/>
      <c r="N5737" s="5"/>
      <c r="O5737" s="5"/>
      <c r="P5737" s="5"/>
      <c r="Q5737" s="5"/>
      <c r="R5737" s="5"/>
      <c r="S5737" s="5"/>
      <c r="T5737" s="5"/>
      <c r="U5737" s="5"/>
      <c r="V5737" s="5"/>
      <c r="W5737" s="5"/>
      <c r="X5737" s="5"/>
      <c r="Y5737" s="5"/>
      <c r="Z5737" s="5"/>
    </row>
    <row r="5738" spans="1:26" ht="15" x14ac:dyDescent="0.25">
      <c r="A5738" s="4" t="s">
        <v>5736</v>
      </c>
      <c r="B5738" s="4" t="s">
        <v>4550</v>
      </c>
      <c r="C5738" s="2" t="str">
        <f ca="1">IFERROR(__xludf.DUMMYFUNCTION("GOOGLETRANSLATE(A5738,""bn"",""en"")"),"Beauty gave pleasure")</f>
        <v>Beauty gave pleasure</v>
      </c>
      <c r="D5738" s="5"/>
      <c r="E5738" s="5"/>
      <c r="F5738" s="5"/>
      <c r="G5738" s="5"/>
      <c r="H5738" s="5"/>
      <c r="I5738" s="5"/>
      <c r="J5738" s="5"/>
      <c r="K5738" s="5"/>
      <c r="L5738" s="5"/>
      <c r="M5738" s="5"/>
      <c r="N5738" s="5"/>
      <c r="O5738" s="5"/>
      <c r="P5738" s="5"/>
      <c r="Q5738" s="5"/>
      <c r="R5738" s="5"/>
      <c r="S5738" s="5"/>
      <c r="T5738" s="5"/>
      <c r="U5738" s="5"/>
      <c r="V5738" s="5"/>
      <c r="W5738" s="5"/>
      <c r="X5738" s="5"/>
      <c r="Y5738" s="5"/>
      <c r="Z5738" s="5"/>
    </row>
    <row r="5739" spans="1:26" ht="15" x14ac:dyDescent="0.25">
      <c r="A5739" s="4" t="s">
        <v>5737</v>
      </c>
      <c r="B5739" s="4" t="s">
        <v>4550</v>
      </c>
      <c r="C5739" s="2" t="str">
        <f ca="1">IFERROR(__xludf.DUMMYFUNCTION("GOOGLETRANSLATE(A5739,""bn"",""en"")"),"Natural beauty was life changing")</f>
        <v>Natural beauty was life changing</v>
      </c>
      <c r="D5739" s="5"/>
      <c r="E5739" s="5"/>
      <c r="F5739" s="5"/>
      <c r="G5739" s="5"/>
      <c r="H5739" s="5"/>
      <c r="I5739" s="5"/>
      <c r="J5739" s="5"/>
      <c r="K5739" s="5"/>
      <c r="L5739" s="5"/>
      <c r="M5739" s="5"/>
      <c r="N5739" s="5"/>
      <c r="O5739" s="5"/>
      <c r="P5739" s="5"/>
      <c r="Q5739" s="5"/>
      <c r="R5739" s="5"/>
      <c r="S5739" s="5"/>
      <c r="T5739" s="5"/>
      <c r="U5739" s="5"/>
      <c r="V5739" s="5"/>
      <c r="W5739" s="5"/>
      <c r="X5739" s="5"/>
      <c r="Y5739" s="5"/>
      <c r="Z5739" s="5"/>
    </row>
    <row r="5740" spans="1:26" ht="15" x14ac:dyDescent="0.25">
      <c r="A5740" s="4" t="s">
        <v>5738</v>
      </c>
      <c r="B5740" s="4" t="s">
        <v>4550</v>
      </c>
      <c r="C5740" s="2" t="str">
        <f ca="1">IFERROR(__xludf.DUMMYFUNCTION("GOOGLETRANSLATE(A5740,""bn"",""en"")"),"The sea was spreading softness")</f>
        <v>The sea was spreading softness</v>
      </c>
      <c r="D5740" s="5"/>
      <c r="E5740" s="5"/>
      <c r="F5740" s="5"/>
      <c r="G5740" s="5"/>
      <c r="H5740" s="5"/>
      <c r="I5740" s="5"/>
      <c r="J5740" s="5"/>
      <c r="K5740" s="5"/>
      <c r="L5740" s="5"/>
      <c r="M5740" s="5"/>
      <c r="N5740" s="5"/>
      <c r="O5740" s="5"/>
      <c r="P5740" s="5"/>
      <c r="Q5740" s="5"/>
      <c r="R5740" s="5"/>
      <c r="S5740" s="5"/>
      <c r="T5740" s="5"/>
      <c r="U5740" s="5"/>
      <c r="V5740" s="5"/>
      <c r="W5740" s="5"/>
      <c r="X5740" s="5"/>
      <c r="Y5740" s="5"/>
      <c r="Z5740" s="5"/>
    </row>
    <row r="5741" spans="1:26" ht="15" x14ac:dyDescent="0.25">
      <c r="A5741" s="4" t="s">
        <v>5739</v>
      </c>
      <c r="B5741" s="4" t="s">
        <v>4550</v>
      </c>
      <c r="C5741" s="2" t="str">
        <f ca="1">IFERROR(__xludf.DUMMYFUNCTION("GOOGLETRANSLATE(A5741,""bn"",""en"")"),"I designed the website")</f>
        <v>I designed the website</v>
      </c>
      <c r="D5741" s="5"/>
      <c r="E5741" s="5"/>
      <c r="F5741" s="5"/>
      <c r="G5741" s="5"/>
      <c r="H5741" s="5"/>
      <c r="I5741" s="5"/>
      <c r="J5741" s="5"/>
      <c r="K5741" s="5"/>
      <c r="L5741" s="5"/>
      <c r="M5741" s="5"/>
      <c r="N5741" s="5"/>
      <c r="O5741" s="5"/>
      <c r="P5741" s="5"/>
      <c r="Q5741" s="5"/>
      <c r="R5741" s="5"/>
      <c r="S5741" s="5"/>
      <c r="T5741" s="5"/>
      <c r="U5741" s="5"/>
      <c r="V5741" s="5"/>
      <c r="W5741" s="5"/>
      <c r="X5741" s="5"/>
      <c r="Y5741" s="5"/>
      <c r="Z5741" s="5"/>
    </row>
    <row r="5742" spans="1:26" ht="15" x14ac:dyDescent="0.25">
      <c r="A5742" s="4" t="s">
        <v>5740</v>
      </c>
      <c r="B5742" s="4" t="s">
        <v>4550</v>
      </c>
      <c r="C5742" s="2" t="str">
        <f ca="1">IFERROR(__xludf.DUMMYFUNCTION("GOOGLETRANSLATE(A5742,""bn"",""en"")"),"Hadith was read regularly")</f>
        <v>Hadith was read regularly</v>
      </c>
      <c r="D5742" s="5"/>
      <c r="E5742" s="5"/>
      <c r="F5742" s="5"/>
      <c r="G5742" s="5"/>
      <c r="H5742" s="5"/>
      <c r="I5742" s="5"/>
      <c r="J5742" s="5"/>
      <c r="K5742" s="5"/>
      <c r="L5742" s="5"/>
      <c r="M5742" s="5"/>
      <c r="N5742" s="5"/>
      <c r="O5742" s="5"/>
      <c r="P5742" s="5"/>
      <c r="Q5742" s="5"/>
      <c r="R5742" s="5"/>
      <c r="S5742" s="5"/>
      <c r="T5742" s="5"/>
      <c r="U5742" s="5"/>
      <c r="V5742" s="5"/>
      <c r="W5742" s="5"/>
      <c r="X5742" s="5"/>
      <c r="Y5742" s="5"/>
      <c r="Z5742" s="5"/>
    </row>
    <row r="5743" spans="1:26" ht="15" x14ac:dyDescent="0.25">
      <c r="A5743" s="4" t="s">
        <v>5741</v>
      </c>
      <c r="B5743" s="4" t="s">
        <v>4550</v>
      </c>
      <c r="C5743" s="2" t="str">
        <f ca="1">IFERROR(__xludf.DUMMYFUNCTION("GOOGLETRANSLATE(A5743,""bn"",""en"")"),"I kept money in the account")</f>
        <v>I kept money in the account</v>
      </c>
      <c r="D5743" s="5"/>
      <c r="E5743" s="5"/>
      <c r="F5743" s="5"/>
      <c r="G5743" s="5"/>
      <c r="H5743" s="5"/>
      <c r="I5743" s="5"/>
      <c r="J5743" s="5"/>
      <c r="K5743" s="5"/>
      <c r="L5743" s="5"/>
      <c r="M5743" s="5"/>
      <c r="N5743" s="5"/>
      <c r="O5743" s="5"/>
      <c r="P5743" s="5"/>
      <c r="Q5743" s="5"/>
      <c r="R5743" s="5"/>
      <c r="S5743" s="5"/>
      <c r="T5743" s="5"/>
      <c r="U5743" s="5"/>
      <c r="V5743" s="5"/>
      <c r="W5743" s="5"/>
      <c r="X5743" s="5"/>
      <c r="Y5743" s="5"/>
      <c r="Z5743" s="5"/>
    </row>
    <row r="5744" spans="1:26" ht="15" x14ac:dyDescent="0.25">
      <c r="A5744" s="4" t="s">
        <v>5742</v>
      </c>
      <c r="B5744" s="4" t="s">
        <v>4550</v>
      </c>
      <c r="C5744" s="2" t="str">
        <f ca="1">IFERROR(__xludf.DUMMYFUNCTION("GOOGLETRANSLATE(A5744,""bn"",""en"")"),"Used to travel in leisure")</f>
        <v>Used to travel in leisure</v>
      </c>
      <c r="D5744" s="5"/>
      <c r="E5744" s="5"/>
      <c r="F5744" s="5"/>
      <c r="G5744" s="5"/>
      <c r="H5744" s="5"/>
      <c r="I5744" s="5"/>
      <c r="J5744" s="5"/>
      <c r="K5744" s="5"/>
      <c r="L5744" s="5"/>
      <c r="M5744" s="5"/>
      <c r="N5744" s="5"/>
      <c r="O5744" s="5"/>
      <c r="P5744" s="5"/>
      <c r="Q5744" s="5"/>
      <c r="R5744" s="5"/>
      <c r="S5744" s="5"/>
      <c r="T5744" s="5"/>
      <c r="U5744" s="5"/>
      <c r="V5744" s="5"/>
      <c r="W5744" s="5"/>
      <c r="X5744" s="5"/>
      <c r="Y5744" s="5"/>
      <c r="Z5744" s="5"/>
    </row>
    <row r="5745" spans="1:26" ht="15" x14ac:dyDescent="0.25">
      <c r="A5745" s="4" t="s">
        <v>5743</v>
      </c>
      <c r="B5745" s="4" t="s">
        <v>4550</v>
      </c>
      <c r="C5745" s="2" t="str">
        <f ca="1">IFERROR(__xludf.DUMMYFUNCTION("GOOGLETRANSLATE(A5745,""bn"",""en"")"),"I expressed my interest in traveling in retirement")</f>
        <v>I expressed my interest in traveling in retirement</v>
      </c>
      <c r="D5745" s="5"/>
      <c r="E5745" s="5"/>
      <c r="F5745" s="5"/>
      <c r="G5745" s="5"/>
      <c r="H5745" s="5"/>
      <c r="I5745" s="5"/>
      <c r="J5745" s="5"/>
      <c r="K5745" s="5"/>
      <c r="L5745" s="5"/>
      <c r="M5745" s="5"/>
      <c r="N5745" s="5"/>
      <c r="O5745" s="5"/>
      <c r="P5745" s="5"/>
      <c r="Q5745" s="5"/>
      <c r="R5745" s="5"/>
      <c r="S5745" s="5"/>
      <c r="T5745" s="5"/>
      <c r="U5745" s="5"/>
      <c r="V5745" s="5"/>
      <c r="W5745" s="5"/>
      <c r="X5745" s="5"/>
      <c r="Y5745" s="5"/>
      <c r="Z5745" s="5"/>
    </row>
    <row r="5746" spans="1:26" ht="15" x14ac:dyDescent="0.25">
      <c r="A5746" s="4" t="s">
        <v>5744</v>
      </c>
      <c r="B5746" s="4" t="s">
        <v>4550</v>
      </c>
      <c r="C5746" s="2" t="str">
        <f ca="1">IFERROR(__xludf.DUMMYFUNCTION("GOOGLETRANSLATE(A5746,""bn"",""en"")"),"I taught Arabic")</f>
        <v>I taught Arabic</v>
      </c>
      <c r="D5746" s="5"/>
      <c r="E5746" s="5"/>
      <c r="F5746" s="5"/>
      <c r="G5746" s="5"/>
      <c r="H5746" s="5"/>
      <c r="I5746" s="5"/>
      <c r="J5746" s="5"/>
      <c r="K5746" s="5"/>
      <c r="L5746" s="5"/>
      <c r="M5746" s="5"/>
      <c r="N5746" s="5"/>
      <c r="O5746" s="5"/>
      <c r="P5746" s="5"/>
      <c r="Q5746" s="5"/>
      <c r="R5746" s="5"/>
      <c r="S5746" s="5"/>
      <c r="T5746" s="5"/>
      <c r="U5746" s="5"/>
      <c r="V5746" s="5"/>
      <c r="W5746" s="5"/>
      <c r="X5746" s="5"/>
      <c r="Y5746" s="5"/>
      <c r="Z5746" s="5"/>
    </row>
    <row r="5747" spans="1:26" ht="15" x14ac:dyDescent="0.25">
      <c r="A5747" s="4" t="s">
        <v>5745</v>
      </c>
      <c r="B5747" s="4" t="s">
        <v>4550</v>
      </c>
      <c r="C5747" s="2" t="str">
        <f ca="1">IFERROR(__xludf.DUMMYFUNCTION("GOOGLETRANSLATE(A5747,""bn"",""en"")"),"Went on educational tour")</f>
        <v>Went on educational tour</v>
      </c>
      <c r="D5747" s="5"/>
      <c r="E5747" s="5"/>
      <c r="F5747" s="5"/>
      <c r="G5747" s="5"/>
      <c r="H5747" s="5"/>
      <c r="I5747" s="5"/>
      <c r="J5747" s="5"/>
      <c r="K5747" s="5"/>
      <c r="L5747" s="5"/>
      <c r="M5747" s="5"/>
      <c r="N5747" s="5"/>
      <c r="O5747" s="5"/>
      <c r="P5747" s="5"/>
      <c r="Q5747" s="5"/>
      <c r="R5747" s="5"/>
      <c r="S5747" s="5"/>
      <c r="T5747" s="5"/>
      <c r="U5747" s="5"/>
      <c r="V5747" s="5"/>
      <c r="W5747" s="5"/>
      <c r="X5747" s="5"/>
      <c r="Y5747" s="5"/>
      <c r="Z5747" s="5"/>
    </row>
    <row r="5748" spans="1:26" ht="15" x14ac:dyDescent="0.25">
      <c r="A5748" s="4" t="s">
        <v>5746</v>
      </c>
      <c r="B5748" s="4" t="s">
        <v>4550</v>
      </c>
      <c r="C5748" s="2" t="str">
        <f ca="1">IFERROR(__xludf.DUMMYFUNCTION("GOOGLETRANSLATE(A5748,""bn"",""en"")"),"I did well in studies")</f>
        <v>I did well in studies</v>
      </c>
      <c r="D5748" s="5"/>
      <c r="E5748" s="5"/>
      <c r="F5748" s="5"/>
      <c r="G5748" s="5"/>
      <c r="H5748" s="5"/>
      <c r="I5748" s="5"/>
      <c r="J5748" s="5"/>
      <c r="K5748" s="5"/>
      <c r="L5748" s="5"/>
      <c r="M5748" s="5"/>
      <c r="N5748" s="5"/>
      <c r="O5748" s="5"/>
      <c r="P5748" s="5"/>
      <c r="Q5748" s="5"/>
      <c r="R5748" s="5"/>
      <c r="S5748" s="5"/>
      <c r="T5748" s="5"/>
      <c r="U5748" s="5"/>
      <c r="V5748" s="5"/>
      <c r="W5748" s="5"/>
      <c r="X5748" s="5"/>
      <c r="Y5748" s="5"/>
      <c r="Z5748" s="5"/>
    </row>
    <row r="5749" spans="1:26" ht="15" x14ac:dyDescent="0.25">
      <c r="A5749" s="4" t="s">
        <v>5747</v>
      </c>
      <c r="B5749" s="4" t="s">
        <v>4550</v>
      </c>
      <c r="C5749" s="2" t="str">
        <f ca="1">IFERROR(__xludf.DUMMYFUNCTION("GOOGLETRANSLATE(A5749,""bn"",""en"")"),"The government provided benefits")</f>
        <v>The government provided benefits</v>
      </c>
      <c r="D5749" s="5"/>
      <c r="E5749" s="5"/>
      <c r="F5749" s="5"/>
      <c r="G5749" s="5"/>
      <c r="H5749" s="5"/>
      <c r="I5749" s="5"/>
      <c r="J5749" s="5"/>
      <c r="K5749" s="5"/>
      <c r="L5749" s="5"/>
      <c r="M5749" s="5"/>
      <c r="N5749" s="5"/>
      <c r="O5749" s="5"/>
      <c r="P5749" s="5"/>
      <c r="Q5749" s="5"/>
      <c r="R5749" s="5"/>
      <c r="S5749" s="5"/>
      <c r="T5749" s="5"/>
      <c r="U5749" s="5"/>
      <c r="V5749" s="5"/>
      <c r="W5749" s="5"/>
      <c r="X5749" s="5"/>
      <c r="Y5749" s="5"/>
      <c r="Z5749" s="5"/>
    </row>
    <row r="5750" spans="1:26" ht="15" x14ac:dyDescent="0.25">
      <c r="A5750" s="4" t="s">
        <v>5748</v>
      </c>
      <c r="B5750" s="4" t="s">
        <v>4550</v>
      </c>
      <c r="C5750" s="2" t="str">
        <f ca="1">IFERROR(__xludf.DUMMYFUNCTION("GOOGLETRANSLATE(A5750,""bn"",""en"")"),"I was hacking the laptop")</f>
        <v>I was hacking the laptop</v>
      </c>
      <c r="D5750" s="5"/>
      <c r="E5750" s="5"/>
      <c r="F5750" s="5"/>
      <c r="G5750" s="5"/>
      <c r="H5750" s="5"/>
      <c r="I5750" s="5"/>
      <c r="J5750" s="5"/>
      <c r="K5750" s="5"/>
      <c r="L5750" s="5"/>
      <c r="M5750" s="5"/>
      <c r="N5750" s="5"/>
      <c r="O5750" s="5"/>
      <c r="P5750" s="5"/>
      <c r="Q5750" s="5"/>
      <c r="R5750" s="5"/>
      <c r="S5750" s="5"/>
      <c r="T5750" s="5"/>
      <c r="U5750" s="5"/>
      <c r="V5750" s="5"/>
      <c r="W5750" s="5"/>
      <c r="X5750" s="5"/>
      <c r="Y5750" s="5"/>
      <c r="Z5750" s="5"/>
    </row>
    <row r="5751" spans="1:26" ht="15" x14ac:dyDescent="0.25">
      <c r="A5751" s="4" t="s">
        <v>5749</v>
      </c>
      <c r="B5751" s="4" t="s">
        <v>4550</v>
      </c>
      <c r="C5751" s="2" t="str">
        <f ca="1">IFERROR(__xludf.DUMMYFUNCTION("GOOGLETRANSLATE(A5751,""bn"",""en"")"),"I was buying a gaming mouse")</f>
        <v>I was buying a gaming mouse</v>
      </c>
      <c r="D5751" s="5"/>
      <c r="E5751" s="5"/>
      <c r="F5751" s="5"/>
      <c r="G5751" s="5"/>
      <c r="H5751" s="5"/>
      <c r="I5751" s="5"/>
      <c r="J5751" s="5"/>
      <c r="K5751" s="5"/>
      <c r="L5751" s="5"/>
      <c r="M5751" s="5"/>
      <c r="N5751" s="5"/>
      <c r="O5751" s="5"/>
      <c r="P5751" s="5"/>
      <c r="Q5751" s="5"/>
      <c r="R5751" s="5"/>
      <c r="S5751" s="5"/>
      <c r="T5751" s="5"/>
      <c r="U5751" s="5"/>
      <c r="V5751" s="5"/>
      <c r="W5751" s="5"/>
      <c r="X5751" s="5"/>
      <c r="Y5751" s="5"/>
      <c r="Z5751" s="5"/>
    </row>
    <row r="5752" spans="1:26" ht="15" x14ac:dyDescent="0.25">
      <c r="A5752" s="4" t="s">
        <v>5750</v>
      </c>
      <c r="B5752" s="4" t="s">
        <v>4550</v>
      </c>
      <c r="C5752" s="2" t="str">
        <f ca="1">IFERROR(__xludf.DUMMYFUNCTION("GOOGLETRANSLATE(A5752,""bn"",""en"")"),"I was using laptop")</f>
        <v>I was using laptop</v>
      </c>
      <c r="D5752" s="5"/>
      <c r="E5752" s="5"/>
      <c r="F5752" s="5"/>
      <c r="G5752" s="5"/>
      <c r="H5752" s="5"/>
      <c r="I5752" s="5"/>
      <c r="J5752" s="5"/>
      <c r="K5752" s="5"/>
      <c r="L5752" s="5"/>
      <c r="M5752" s="5"/>
      <c r="N5752" s="5"/>
      <c r="O5752" s="5"/>
      <c r="P5752" s="5"/>
      <c r="Q5752" s="5"/>
      <c r="R5752" s="5"/>
      <c r="S5752" s="5"/>
      <c r="T5752" s="5"/>
      <c r="U5752" s="5"/>
      <c r="V5752" s="5"/>
      <c r="W5752" s="5"/>
      <c r="X5752" s="5"/>
      <c r="Y5752" s="5"/>
      <c r="Z5752" s="5"/>
    </row>
    <row r="5753" spans="1:26" ht="15" x14ac:dyDescent="0.25">
      <c r="A5753" s="4" t="s">
        <v>5751</v>
      </c>
      <c r="B5753" s="4" t="s">
        <v>4550</v>
      </c>
      <c r="C5753" s="2" t="str">
        <f ca="1">IFERROR(__xludf.DUMMYFUNCTION("GOOGLETRANSLATE(A5753,""bn"",""en"")"),"Expressed interest in laptop education")</f>
        <v>Expressed interest in laptop education</v>
      </c>
      <c r="D5753" s="5"/>
      <c r="E5753" s="5"/>
      <c r="F5753" s="5"/>
      <c r="G5753" s="5"/>
      <c r="H5753" s="5"/>
      <c r="I5753" s="5"/>
      <c r="J5753" s="5"/>
      <c r="K5753" s="5"/>
      <c r="L5753" s="5"/>
      <c r="M5753" s="5"/>
      <c r="N5753" s="5"/>
      <c r="O5753" s="5"/>
      <c r="P5753" s="5"/>
      <c r="Q5753" s="5"/>
      <c r="R5753" s="5"/>
      <c r="S5753" s="5"/>
      <c r="T5753" s="5"/>
      <c r="U5753" s="5"/>
      <c r="V5753" s="5"/>
      <c r="W5753" s="5"/>
      <c r="X5753" s="5"/>
      <c r="Y5753" s="5"/>
      <c r="Z5753" s="5"/>
    </row>
    <row r="5754" spans="1:26" ht="15" x14ac:dyDescent="0.25">
      <c r="A5754" s="4" t="s">
        <v>5752</v>
      </c>
      <c r="B5754" s="4" t="s">
        <v>4550</v>
      </c>
      <c r="C5754" s="2" t="str">
        <f ca="1">IFERROR(__xludf.DUMMYFUNCTION("GOOGLETRANSLATE(A5754,""bn"",""en"")"),"I bought the product in Daraz")</f>
        <v>I bought the product in Daraz</v>
      </c>
      <c r="D5754" s="5"/>
      <c r="E5754" s="5"/>
      <c r="F5754" s="5"/>
      <c r="G5754" s="5"/>
      <c r="H5754" s="5"/>
      <c r="I5754" s="5"/>
      <c r="J5754" s="5"/>
      <c r="K5754" s="5"/>
      <c r="L5754" s="5"/>
      <c r="M5754" s="5"/>
      <c r="N5754" s="5"/>
      <c r="O5754" s="5"/>
      <c r="P5754" s="5"/>
      <c r="Q5754" s="5"/>
      <c r="R5754" s="5"/>
      <c r="S5754" s="5"/>
      <c r="T5754" s="5"/>
      <c r="U5754" s="5"/>
      <c r="V5754" s="5"/>
      <c r="W5754" s="5"/>
      <c r="X5754" s="5"/>
      <c r="Y5754" s="5"/>
      <c r="Z5754" s="5"/>
    </row>
    <row r="5755" spans="1:26" ht="15" x14ac:dyDescent="0.25">
      <c r="A5755" s="4" t="s">
        <v>5753</v>
      </c>
      <c r="B5755" s="4" t="s">
        <v>4550</v>
      </c>
      <c r="C5755" s="2" t="str">
        <f ca="1">IFERROR(__xludf.DUMMYFUNCTION("GOOGLETRANSLATE(A5755,""bn"",""en"")"),"Wanted to improve production")</f>
        <v>Wanted to improve production</v>
      </c>
      <c r="D5755" s="5"/>
      <c r="E5755" s="5"/>
      <c r="F5755" s="5"/>
      <c r="G5755" s="5"/>
      <c r="H5755" s="5"/>
      <c r="I5755" s="5"/>
      <c r="J5755" s="5"/>
      <c r="K5755" s="5"/>
      <c r="L5755" s="5"/>
      <c r="M5755" s="5"/>
      <c r="N5755" s="5"/>
      <c r="O5755" s="5"/>
      <c r="P5755" s="5"/>
      <c r="Q5755" s="5"/>
      <c r="R5755" s="5"/>
      <c r="S5755" s="5"/>
      <c r="T5755" s="5"/>
      <c r="U5755" s="5"/>
      <c r="V5755" s="5"/>
      <c r="W5755" s="5"/>
      <c r="X5755" s="5"/>
      <c r="Y5755" s="5"/>
      <c r="Z5755" s="5"/>
    </row>
    <row r="5756" spans="1:26" ht="15" x14ac:dyDescent="0.25">
      <c r="A5756" s="4" t="s">
        <v>5754</v>
      </c>
      <c r="B5756" s="4" t="s">
        <v>4550</v>
      </c>
      <c r="C5756" s="2" t="str">
        <f ca="1">IFERROR(__xludf.DUMMYFUNCTION("GOOGLETRANSLATE(A5756,""bn"",""en"")"),"The teachers were doing research")</f>
        <v>The teachers were doing research</v>
      </c>
      <c r="D5756" s="5"/>
      <c r="E5756" s="5"/>
      <c r="F5756" s="5"/>
      <c r="G5756" s="5"/>
      <c r="H5756" s="5"/>
      <c r="I5756" s="5"/>
      <c r="J5756" s="5"/>
      <c r="K5756" s="5"/>
      <c r="L5756" s="5"/>
      <c r="M5756" s="5"/>
      <c r="N5756" s="5"/>
      <c r="O5756" s="5"/>
      <c r="P5756" s="5"/>
      <c r="Q5756" s="5"/>
      <c r="R5756" s="5"/>
      <c r="S5756" s="5"/>
      <c r="T5756" s="5"/>
      <c r="U5756" s="5"/>
      <c r="V5756" s="5"/>
      <c r="W5756" s="5"/>
      <c r="X5756" s="5"/>
      <c r="Y5756" s="5"/>
      <c r="Z5756" s="5"/>
    </row>
    <row r="5757" spans="1:26" ht="15" x14ac:dyDescent="0.25">
      <c r="A5757" s="4" t="s">
        <v>5755</v>
      </c>
      <c r="B5757" s="4" t="s">
        <v>4550</v>
      </c>
      <c r="C5757" s="2" t="str">
        <f ca="1">IFERROR(__xludf.DUMMYFUNCTION("GOOGLETRANSLATE(A5757,""bn"",""en"")"),"He was playing games")</f>
        <v>He was playing games</v>
      </c>
      <c r="D5757" s="5"/>
      <c r="E5757" s="5"/>
      <c r="F5757" s="5"/>
      <c r="G5757" s="5"/>
      <c r="H5757" s="5"/>
      <c r="I5757" s="5"/>
      <c r="J5757" s="5"/>
      <c r="K5757" s="5"/>
      <c r="L5757" s="5"/>
      <c r="M5757" s="5"/>
      <c r="N5757" s="5"/>
      <c r="O5757" s="5"/>
      <c r="P5757" s="5"/>
      <c r="Q5757" s="5"/>
      <c r="R5757" s="5"/>
      <c r="S5757" s="5"/>
      <c r="T5757" s="5"/>
      <c r="U5757" s="5"/>
      <c r="V5757" s="5"/>
      <c r="W5757" s="5"/>
      <c r="X5757" s="5"/>
      <c r="Y5757" s="5"/>
      <c r="Z5757" s="5"/>
    </row>
    <row r="5758" spans="1:26" ht="15" x14ac:dyDescent="0.25">
      <c r="A5758" s="4" t="s">
        <v>5756</v>
      </c>
      <c r="B5758" s="4" t="s">
        <v>4550</v>
      </c>
      <c r="C5758" s="2" t="str">
        <f ca="1">IFERROR(__xludf.DUMMYFUNCTION("GOOGLETRANSLATE(A5758,""bn"",""en"")"),"He paid the check")</f>
        <v>He paid the check</v>
      </c>
      <c r="D5758" s="5"/>
      <c r="E5758" s="5"/>
      <c r="F5758" s="5"/>
      <c r="G5758" s="5"/>
      <c r="H5758" s="5"/>
      <c r="I5758" s="5"/>
      <c r="J5758" s="5"/>
      <c r="K5758" s="5"/>
      <c r="L5758" s="5"/>
      <c r="M5758" s="5"/>
      <c r="N5758" s="5"/>
      <c r="O5758" s="5"/>
      <c r="P5758" s="5"/>
      <c r="Q5758" s="5"/>
      <c r="R5758" s="5"/>
      <c r="S5758" s="5"/>
      <c r="T5758" s="5"/>
      <c r="U5758" s="5"/>
      <c r="V5758" s="5"/>
      <c r="W5758" s="5"/>
      <c r="X5758" s="5"/>
      <c r="Y5758" s="5"/>
      <c r="Z5758" s="5"/>
    </row>
    <row r="5759" spans="1:26" ht="15" x14ac:dyDescent="0.25">
      <c r="A5759" s="4" t="s">
        <v>5757</v>
      </c>
      <c r="B5759" s="4" t="s">
        <v>4550</v>
      </c>
      <c r="C5759" s="2" t="str">
        <f ca="1">IFERROR(__xludf.DUMMYFUNCTION("GOOGLETRANSLATE(A5759,""bn"",""en"")"),"He studied English")</f>
        <v>He studied English</v>
      </c>
      <c r="D5759" s="5"/>
      <c r="E5759" s="5"/>
      <c r="F5759" s="5"/>
      <c r="G5759" s="5"/>
      <c r="H5759" s="5"/>
      <c r="I5759" s="5"/>
      <c r="J5759" s="5"/>
      <c r="K5759" s="5"/>
      <c r="L5759" s="5"/>
      <c r="M5759" s="5"/>
      <c r="N5759" s="5"/>
      <c r="O5759" s="5"/>
      <c r="P5759" s="5"/>
      <c r="Q5759" s="5"/>
      <c r="R5759" s="5"/>
      <c r="S5759" s="5"/>
      <c r="T5759" s="5"/>
      <c r="U5759" s="5"/>
      <c r="V5759" s="5"/>
      <c r="W5759" s="5"/>
      <c r="X5759" s="5"/>
      <c r="Y5759" s="5"/>
      <c r="Z5759" s="5"/>
    </row>
    <row r="5760" spans="1:26" ht="15" x14ac:dyDescent="0.25">
      <c r="A5760" s="4" t="s">
        <v>5758</v>
      </c>
      <c r="B5760" s="4" t="s">
        <v>4550</v>
      </c>
      <c r="C5760" s="2" t="str">
        <f ca="1">IFERROR(__xludf.DUMMYFUNCTION("GOOGLETRANSLATE(A5760,""bn"",""en"")"),"Students used to play football")</f>
        <v>Students used to play football</v>
      </c>
      <c r="D5760" s="5"/>
      <c r="E5760" s="5"/>
      <c r="F5760" s="5"/>
      <c r="G5760" s="5"/>
      <c r="H5760" s="5"/>
      <c r="I5760" s="5"/>
      <c r="J5760" s="5"/>
      <c r="K5760" s="5"/>
      <c r="L5760" s="5"/>
      <c r="M5760" s="5"/>
      <c r="N5760" s="5"/>
      <c r="O5760" s="5"/>
      <c r="P5760" s="5"/>
      <c r="Q5760" s="5"/>
      <c r="R5760" s="5"/>
      <c r="S5760" s="5"/>
      <c r="T5760" s="5"/>
      <c r="U5760" s="5"/>
      <c r="V5760" s="5"/>
      <c r="W5760" s="5"/>
      <c r="X5760" s="5"/>
      <c r="Y5760" s="5"/>
      <c r="Z5760" s="5"/>
    </row>
    <row r="5761" spans="1:26" ht="15" x14ac:dyDescent="0.25">
      <c r="A5761" s="4" t="s">
        <v>5759</v>
      </c>
      <c r="B5761" s="4" t="s">
        <v>4550</v>
      </c>
      <c r="C5761" s="2" t="str">
        <f ca="1">IFERROR(__xludf.DUMMYFUNCTION("GOOGLETRANSLATE(A5761,""bn"",""en"")"),"I was buying a new camera")</f>
        <v>I was buying a new camera</v>
      </c>
      <c r="D5761" s="5"/>
      <c r="E5761" s="5"/>
      <c r="F5761" s="5"/>
      <c r="G5761" s="5"/>
      <c r="H5761" s="5"/>
      <c r="I5761" s="5"/>
      <c r="J5761" s="5"/>
      <c r="K5761" s="5"/>
      <c r="L5761" s="5"/>
      <c r="M5761" s="5"/>
      <c r="N5761" s="5"/>
      <c r="O5761" s="5"/>
      <c r="P5761" s="5"/>
      <c r="Q5761" s="5"/>
      <c r="R5761" s="5"/>
      <c r="S5761" s="5"/>
      <c r="T5761" s="5"/>
      <c r="U5761" s="5"/>
      <c r="V5761" s="5"/>
      <c r="W5761" s="5"/>
      <c r="X5761" s="5"/>
      <c r="Y5761" s="5"/>
      <c r="Z5761" s="5"/>
    </row>
    <row r="5762" spans="1:26" ht="15" x14ac:dyDescent="0.25">
      <c r="A5762" s="4" t="s">
        <v>5760</v>
      </c>
      <c r="B5762" s="4" t="s">
        <v>4550</v>
      </c>
      <c r="C5762" s="2" t="str">
        <f ca="1">IFERROR(__xludf.DUMMYFUNCTION("GOOGLETRANSLATE(A5762,""bn"",""en"")"),"Travel has changed")</f>
        <v>Travel has changed</v>
      </c>
      <c r="D5762" s="5"/>
      <c r="E5762" s="5"/>
      <c r="F5762" s="5"/>
      <c r="G5762" s="5"/>
      <c r="H5762" s="5"/>
      <c r="I5762" s="5"/>
      <c r="J5762" s="5"/>
      <c r="K5762" s="5"/>
      <c r="L5762" s="5"/>
      <c r="M5762" s="5"/>
      <c r="N5762" s="5"/>
      <c r="O5762" s="5"/>
      <c r="P5762" s="5"/>
      <c r="Q5762" s="5"/>
      <c r="R5762" s="5"/>
      <c r="S5762" s="5"/>
      <c r="T5762" s="5"/>
      <c r="U5762" s="5"/>
      <c r="V5762" s="5"/>
      <c r="W5762" s="5"/>
      <c r="X5762" s="5"/>
      <c r="Y5762" s="5"/>
      <c r="Z5762" s="5"/>
    </row>
    <row r="5763" spans="1:26" ht="15" x14ac:dyDescent="0.25">
      <c r="A5763" s="4" t="s">
        <v>5761</v>
      </c>
      <c r="B5763" s="4" t="s">
        <v>4550</v>
      </c>
      <c r="C5763" s="2" t="str">
        <f ca="1">IFERROR(__xludf.DUMMYFUNCTION("GOOGLETRANSLATE(A5763,""bn"",""en"")"),"I exchanged accounts")</f>
        <v>I exchanged accounts</v>
      </c>
      <c r="D5763" s="5"/>
      <c r="E5763" s="5"/>
      <c r="F5763" s="5"/>
      <c r="G5763" s="5"/>
      <c r="H5763" s="5"/>
      <c r="I5763" s="5"/>
      <c r="J5763" s="5"/>
      <c r="K5763" s="5"/>
      <c r="L5763" s="5"/>
      <c r="M5763" s="5"/>
      <c r="N5763" s="5"/>
      <c r="O5763" s="5"/>
      <c r="P5763" s="5"/>
      <c r="Q5763" s="5"/>
      <c r="R5763" s="5"/>
      <c r="S5763" s="5"/>
      <c r="T5763" s="5"/>
      <c r="U5763" s="5"/>
      <c r="V5763" s="5"/>
      <c r="W5763" s="5"/>
      <c r="X5763" s="5"/>
      <c r="Y5763" s="5"/>
      <c r="Z5763" s="5"/>
    </row>
    <row r="5764" spans="1:26" ht="15" x14ac:dyDescent="0.25">
      <c r="A5764" s="4" t="s">
        <v>5762</v>
      </c>
      <c r="B5764" s="4" t="s">
        <v>4550</v>
      </c>
      <c r="C5764" s="2" t="str">
        <f ca="1">IFERROR(__xludf.DUMMYFUNCTION("GOOGLETRANSLATE(A5764,""bn"",""en"")"),"Flowers spread fragrance")</f>
        <v>Flowers spread fragrance</v>
      </c>
      <c r="D5764" s="5"/>
      <c r="E5764" s="5"/>
      <c r="F5764" s="5"/>
      <c r="G5764" s="5"/>
      <c r="H5764" s="5"/>
      <c r="I5764" s="5"/>
      <c r="J5764" s="5"/>
      <c r="K5764" s="5"/>
      <c r="L5764" s="5"/>
      <c r="M5764" s="5"/>
      <c r="N5764" s="5"/>
      <c r="O5764" s="5"/>
      <c r="P5764" s="5"/>
      <c r="Q5764" s="5"/>
      <c r="R5764" s="5"/>
      <c r="S5764" s="5"/>
      <c r="T5764" s="5"/>
      <c r="U5764" s="5"/>
      <c r="V5764" s="5"/>
      <c r="W5764" s="5"/>
      <c r="X5764" s="5"/>
      <c r="Y5764" s="5"/>
      <c r="Z5764" s="5"/>
    </row>
    <row r="5765" spans="1:26" ht="15" x14ac:dyDescent="0.25">
      <c r="A5765" s="4" t="s">
        <v>5763</v>
      </c>
      <c r="B5765" s="4" t="s">
        <v>4550</v>
      </c>
      <c r="C5765" s="2" t="str">
        <f ca="1">IFERROR(__xludf.DUMMYFUNCTION("GOOGLETRANSLATE(A5765,""bn"",""en"")"),"The journey was changing")</f>
        <v>The journey was changing</v>
      </c>
      <c r="D5765" s="5"/>
      <c r="E5765" s="5"/>
      <c r="F5765" s="5"/>
      <c r="G5765" s="5"/>
      <c r="H5765" s="5"/>
      <c r="I5765" s="5"/>
      <c r="J5765" s="5"/>
      <c r="K5765" s="5"/>
      <c r="L5765" s="5"/>
      <c r="M5765" s="5"/>
      <c r="N5765" s="5"/>
      <c r="O5765" s="5"/>
      <c r="P5765" s="5"/>
      <c r="Q5765" s="5"/>
      <c r="R5765" s="5"/>
      <c r="S5765" s="5"/>
      <c r="T5765" s="5"/>
      <c r="U5765" s="5"/>
      <c r="V5765" s="5"/>
      <c r="W5765" s="5"/>
      <c r="X5765" s="5"/>
      <c r="Y5765" s="5"/>
      <c r="Z5765" s="5"/>
    </row>
    <row r="5766" spans="1:26" ht="15" x14ac:dyDescent="0.25">
      <c r="A5766" s="4" t="s">
        <v>5764</v>
      </c>
      <c r="B5766" s="4" t="s">
        <v>4550</v>
      </c>
      <c r="C5766" s="2" t="str">
        <f ca="1">IFERROR(__xludf.DUMMYFUNCTION("GOOGLETRANSLATE(A5766,""bn"",""en"")"),"I wanted benefits in life")</f>
        <v>I wanted benefits in life</v>
      </c>
      <c r="D5766" s="5"/>
      <c r="E5766" s="5"/>
      <c r="F5766" s="5"/>
      <c r="G5766" s="5"/>
      <c r="H5766" s="5"/>
      <c r="I5766" s="5"/>
      <c r="J5766" s="5"/>
      <c r="K5766" s="5"/>
      <c r="L5766" s="5"/>
      <c r="M5766" s="5"/>
      <c r="N5766" s="5"/>
      <c r="O5766" s="5"/>
      <c r="P5766" s="5"/>
      <c r="Q5766" s="5"/>
      <c r="R5766" s="5"/>
      <c r="S5766" s="5"/>
      <c r="T5766" s="5"/>
      <c r="U5766" s="5"/>
      <c r="V5766" s="5"/>
      <c r="W5766" s="5"/>
      <c r="X5766" s="5"/>
      <c r="Y5766" s="5"/>
      <c r="Z5766" s="5"/>
    </row>
    <row r="5767" spans="1:26" ht="15" x14ac:dyDescent="0.25">
      <c r="A5767" s="4" t="s">
        <v>5765</v>
      </c>
      <c r="B5767" s="4" t="s">
        <v>4550</v>
      </c>
      <c r="C5767" s="2" t="str">
        <f ca="1">IFERROR(__xludf.DUMMYFUNCTION("GOOGLETRANSLATE(A5767,""bn"",""en"")"),"I understood well")</f>
        <v>I understood well</v>
      </c>
      <c r="D5767" s="5"/>
      <c r="E5767" s="5"/>
      <c r="F5767" s="5"/>
      <c r="G5767" s="5"/>
      <c r="H5767" s="5"/>
      <c r="I5767" s="5"/>
      <c r="J5767" s="5"/>
      <c r="K5767" s="5"/>
      <c r="L5767" s="5"/>
      <c r="M5767" s="5"/>
      <c r="N5767" s="5"/>
      <c r="O5767" s="5"/>
      <c r="P5767" s="5"/>
      <c r="Q5767" s="5"/>
      <c r="R5767" s="5"/>
      <c r="S5767" s="5"/>
      <c r="T5767" s="5"/>
      <c r="U5767" s="5"/>
      <c r="V5767" s="5"/>
      <c r="W5767" s="5"/>
      <c r="X5767" s="5"/>
      <c r="Y5767" s="5"/>
      <c r="Z5767" s="5"/>
    </row>
    <row r="5768" spans="1:26" ht="15" x14ac:dyDescent="0.25">
      <c r="A5768" s="4" t="s">
        <v>5766</v>
      </c>
      <c r="B5768" s="4" t="s">
        <v>4550</v>
      </c>
      <c r="C5768" s="2" t="str">
        <f ca="1">IFERROR(__xludf.DUMMYFUNCTION("GOOGLETRANSLATE(A5768,""bn"",""en"")"),"I asked him to update the account")</f>
        <v>I asked him to update the account</v>
      </c>
      <c r="D5768" s="5"/>
      <c r="E5768" s="5"/>
      <c r="F5768" s="5"/>
      <c r="G5768" s="5"/>
      <c r="H5768" s="5"/>
      <c r="I5768" s="5"/>
      <c r="J5768" s="5"/>
      <c r="K5768" s="5"/>
      <c r="L5768" s="5"/>
      <c r="M5768" s="5"/>
      <c r="N5768" s="5"/>
      <c r="O5768" s="5"/>
      <c r="P5768" s="5"/>
      <c r="Q5768" s="5"/>
      <c r="R5768" s="5"/>
      <c r="S5768" s="5"/>
      <c r="T5768" s="5"/>
      <c r="U5768" s="5"/>
      <c r="V5768" s="5"/>
      <c r="W5768" s="5"/>
      <c r="X5768" s="5"/>
      <c r="Y5768" s="5"/>
      <c r="Z5768" s="5"/>
    </row>
    <row r="5769" spans="1:26" ht="15" x14ac:dyDescent="0.25">
      <c r="A5769" s="4" t="s">
        <v>5767</v>
      </c>
      <c r="B5769" s="4" t="s">
        <v>4550</v>
      </c>
      <c r="C5769" s="2" t="str">
        <f ca="1">IFERROR(__xludf.DUMMYFUNCTION("GOOGLETRANSLATE(A5769,""bn"",""en"")"),"I stayed in college")</f>
        <v>I stayed in college</v>
      </c>
      <c r="D5769" s="5"/>
      <c r="E5769" s="5"/>
      <c r="F5769" s="5"/>
      <c r="G5769" s="5"/>
      <c r="H5769" s="5"/>
      <c r="I5769" s="5"/>
      <c r="J5769" s="5"/>
      <c r="K5769" s="5"/>
      <c r="L5769" s="5"/>
      <c r="M5769" s="5"/>
      <c r="N5769" s="5"/>
      <c r="O5769" s="5"/>
      <c r="P5769" s="5"/>
      <c r="Q5769" s="5"/>
      <c r="R5769" s="5"/>
      <c r="S5769" s="5"/>
      <c r="T5769" s="5"/>
      <c r="U5769" s="5"/>
      <c r="V5769" s="5"/>
      <c r="W5769" s="5"/>
      <c r="X5769" s="5"/>
      <c r="Y5769" s="5"/>
      <c r="Z5769" s="5"/>
    </row>
    <row r="5770" spans="1:26" ht="15" x14ac:dyDescent="0.25">
      <c r="A5770" s="4" t="s">
        <v>5768</v>
      </c>
      <c r="B5770" s="4" t="s">
        <v>4550</v>
      </c>
      <c r="C5770" s="2" t="str">
        <f ca="1">IFERROR(__xludf.DUMMYFUNCTION("GOOGLETRANSLATE(A5770,""bn"",""en"")"),"I searched on Google")</f>
        <v>I searched on Google</v>
      </c>
      <c r="D5770" s="5"/>
      <c r="E5770" s="5"/>
      <c r="F5770" s="5"/>
      <c r="G5770" s="5"/>
      <c r="H5770" s="5"/>
      <c r="I5770" s="5"/>
      <c r="J5770" s="5"/>
      <c r="K5770" s="5"/>
      <c r="L5770" s="5"/>
      <c r="M5770" s="5"/>
      <c r="N5770" s="5"/>
      <c r="O5770" s="5"/>
      <c r="P5770" s="5"/>
      <c r="Q5770" s="5"/>
      <c r="R5770" s="5"/>
      <c r="S5770" s="5"/>
      <c r="T5770" s="5"/>
      <c r="U5770" s="5"/>
      <c r="V5770" s="5"/>
      <c r="W5770" s="5"/>
      <c r="X5770" s="5"/>
      <c r="Y5770" s="5"/>
      <c r="Z5770" s="5"/>
    </row>
    <row r="5771" spans="1:26" ht="15" x14ac:dyDescent="0.25">
      <c r="A5771" s="4" t="s">
        <v>5769</v>
      </c>
      <c r="B5771" s="4" t="s">
        <v>4550</v>
      </c>
      <c r="C5771" s="2" t="str">
        <f ca="1">IFERROR(__xludf.DUMMYFUNCTION("GOOGLETRANSLATE(A5771,""bn"",""en"")"),"Technology was flourishing")</f>
        <v>Technology was flourishing</v>
      </c>
      <c r="D5771" s="5"/>
      <c r="E5771" s="5"/>
      <c r="F5771" s="5"/>
      <c r="G5771" s="5"/>
      <c r="H5771" s="5"/>
      <c r="I5771" s="5"/>
      <c r="J5771" s="5"/>
      <c r="K5771" s="5"/>
      <c r="L5771" s="5"/>
      <c r="M5771" s="5"/>
      <c r="N5771" s="5"/>
      <c r="O5771" s="5"/>
      <c r="P5771" s="5"/>
      <c r="Q5771" s="5"/>
      <c r="R5771" s="5"/>
      <c r="S5771" s="5"/>
      <c r="T5771" s="5"/>
      <c r="U5771" s="5"/>
      <c r="V5771" s="5"/>
      <c r="W5771" s="5"/>
      <c r="X5771" s="5"/>
      <c r="Y5771" s="5"/>
      <c r="Z5771" s="5"/>
    </row>
    <row r="5772" spans="1:26" ht="15" x14ac:dyDescent="0.25">
      <c r="A5772" s="4" t="s">
        <v>5770</v>
      </c>
      <c r="B5772" s="4" t="s">
        <v>4550</v>
      </c>
      <c r="C5772" s="2" t="str">
        <f ca="1">IFERROR(__xludf.DUMMYFUNCTION("GOOGLETRANSLATE(A5772,""bn"",""en"")"),"I used smartphone")</f>
        <v>I used smartphone</v>
      </c>
      <c r="D5772" s="5"/>
      <c r="E5772" s="5"/>
      <c r="F5772" s="5"/>
      <c r="G5772" s="5"/>
      <c r="H5772" s="5"/>
      <c r="I5772" s="5"/>
      <c r="J5772" s="5"/>
      <c r="K5772" s="5"/>
      <c r="L5772" s="5"/>
      <c r="M5772" s="5"/>
      <c r="N5772" s="5"/>
      <c r="O5772" s="5"/>
      <c r="P5772" s="5"/>
      <c r="Q5772" s="5"/>
      <c r="R5772" s="5"/>
      <c r="S5772" s="5"/>
      <c r="T5772" s="5"/>
      <c r="U5772" s="5"/>
      <c r="V5772" s="5"/>
      <c r="W5772" s="5"/>
      <c r="X5772" s="5"/>
      <c r="Y5772" s="5"/>
      <c r="Z5772" s="5"/>
    </row>
    <row r="5773" spans="1:26" ht="15" x14ac:dyDescent="0.25">
      <c r="A5773" s="4" t="s">
        <v>5771</v>
      </c>
      <c r="B5773" s="4" t="s">
        <v>4550</v>
      </c>
      <c r="C5773" s="2" t="str">
        <f ca="1">IFERROR(__xludf.DUMMYFUNCTION("GOOGLETRANSLATE(A5773,""bn"",""en"")"),"I made the identity card digital")</f>
        <v>I made the identity card digital</v>
      </c>
      <c r="D5773" s="5"/>
      <c r="E5773" s="5"/>
      <c r="F5773" s="5"/>
      <c r="G5773" s="5"/>
      <c r="H5773" s="5"/>
      <c r="I5773" s="5"/>
      <c r="J5773" s="5"/>
      <c r="K5773" s="5"/>
      <c r="L5773" s="5"/>
      <c r="M5773" s="5"/>
      <c r="N5773" s="5"/>
      <c r="O5773" s="5"/>
      <c r="P5773" s="5"/>
      <c r="Q5773" s="5"/>
      <c r="R5773" s="5"/>
      <c r="S5773" s="5"/>
      <c r="T5773" s="5"/>
      <c r="U5773" s="5"/>
      <c r="V5773" s="5"/>
      <c r="W5773" s="5"/>
      <c r="X5773" s="5"/>
      <c r="Y5773" s="5"/>
      <c r="Z5773" s="5"/>
    </row>
    <row r="5774" spans="1:26" ht="15" x14ac:dyDescent="0.25">
      <c r="A5774" s="4" t="s">
        <v>5772</v>
      </c>
      <c r="B5774" s="4" t="s">
        <v>4550</v>
      </c>
      <c r="C5774" s="2" t="str">
        <f ca="1">IFERROR(__xludf.DUMMYFUNCTION("GOOGLETRANSLATE(A5774,""bn"",""en"")"),"I exercised regularly")</f>
        <v>I exercised regularly</v>
      </c>
      <c r="D5774" s="5"/>
      <c r="E5774" s="5"/>
      <c r="F5774" s="5"/>
      <c r="G5774" s="5"/>
      <c r="H5774" s="5"/>
      <c r="I5774" s="5"/>
      <c r="J5774" s="5"/>
      <c r="K5774" s="5"/>
      <c r="L5774" s="5"/>
      <c r="M5774" s="5"/>
      <c r="N5774" s="5"/>
      <c r="O5774" s="5"/>
      <c r="P5774" s="5"/>
      <c r="Q5774" s="5"/>
      <c r="R5774" s="5"/>
      <c r="S5774" s="5"/>
      <c r="T5774" s="5"/>
      <c r="U5774" s="5"/>
      <c r="V5774" s="5"/>
      <c r="W5774" s="5"/>
      <c r="X5774" s="5"/>
      <c r="Y5774" s="5"/>
      <c r="Z5774" s="5"/>
    </row>
    <row r="5775" spans="1:26" ht="15" x14ac:dyDescent="0.25">
      <c r="A5775" s="4" t="s">
        <v>5773</v>
      </c>
      <c r="B5775" s="4" t="s">
        <v>4550</v>
      </c>
      <c r="C5775" s="2" t="str">
        <f ca="1">IFERROR(__xludf.DUMMYFUNCTION("GOOGLETRANSLATE(A5775,""bn"",""en"")"),"I lived a disciplined life")</f>
        <v>I lived a disciplined life</v>
      </c>
      <c r="D5775" s="5"/>
      <c r="E5775" s="5"/>
      <c r="F5775" s="5"/>
      <c r="G5775" s="5"/>
      <c r="H5775" s="5"/>
      <c r="I5775" s="5"/>
      <c r="J5775" s="5"/>
      <c r="K5775" s="5"/>
      <c r="L5775" s="5"/>
      <c r="M5775" s="5"/>
      <c r="N5775" s="5"/>
      <c r="O5775" s="5"/>
      <c r="P5775" s="5"/>
      <c r="Q5775" s="5"/>
      <c r="R5775" s="5"/>
      <c r="S5775" s="5"/>
      <c r="T5775" s="5"/>
      <c r="U5775" s="5"/>
      <c r="V5775" s="5"/>
      <c r="W5775" s="5"/>
      <c r="X5775" s="5"/>
      <c r="Y5775" s="5"/>
      <c r="Z5775" s="5"/>
    </row>
    <row r="5776" spans="1:26" ht="15" x14ac:dyDescent="0.25">
      <c r="A5776" s="4" t="s">
        <v>5774</v>
      </c>
      <c r="B5776" s="4" t="s">
        <v>4550</v>
      </c>
      <c r="C5776" s="2" t="str">
        <f ca="1">IFERROR(__xludf.DUMMYFUNCTION("GOOGLETRANSLATE(A5776,""bn"",""en"")"),"The circus went to politics")</f>
        <v>The circus went to politics</v>
      </c>
      <c r="D5776" s="5"/>
      <c r="E5776" s="5"/>
      <c r="F5776" s="5"/>
      <c r="G5776" s="5"/>
      <c r="H5776" s="5"/>
      <c r="I5776" s="5"/>
      <c r="J5776" s="5"/>
      <c r="K5776" s="5"/>
      <c r="L5776" s="5"/>
      <c r="M5776" s="5"/>
      <c r="N5776" s="5"/>
      <c r="O5776" s="5"/>
      <c r="P5776" s="5"/>
      <c r="Q5776" s="5"/>
      <c r="R5776" s="5"/>
      <c r="S5776" s="5"/>
      <c r="T5776" s="5"/>
      <c r="U5776" s="5"/>
      <c r="V5776" s="5"/>
      <c r="W5776" s="5"/>
      <c r="X5776" s="5"/>
      <c r="Y5776" s="5"/>
      <c r="Z5776" s="5"/>
    </row>
    <row r="5777" spans="1:26" ht="15" x14ac:dyDescent="0.25">
      <c r="A5777" s="4" t="s">
        <v>5775</v>
      </c>
      <c r="B5777" s="4" t="s">
        <v>4550</v>
      </c>
      <c r="C5777" s="2" t="str">
        <f ca="1">IFERROR(__xludf.DUMMYFUNCTION("GOOGLETRANSLATE(A5777,""bn"",""en"")"),"Infrastructure was growing")</f>
        <v>Infrastructure was growing</v>
      </c>
      <c r="D5777" s="5"/>
      <c r="E5777" s="5"/>
      <c r="F5777" s="5"/>
      <c r="G5777" s="5"/>
      <c r="H5777" s="5"/>
      <c r="I5777" s="5"/>
      <c r="J5777" s="5"/>
      <c r="K5777" s="5"/>
      <c r="L5777" s="5"/>
      <c r="M5777" s="5"/>
      <c r="N5777" s="5"/>
      <c r="O5777" s="5"/>
      <c r="P5777" s="5"/>
      <c r="Q5777" s="5"/>
      <c r="R5777" s="5"/>
      <c r="S5777" s="5"/>
      <c r="T5777" s="5"/>
      <c r="U5777" s="5"/>
      <c r="V5777" s="5"/>
      <c r="W5777" s="5"/>
      <c r="X5777" s="5"/>
      <c r="Y5777" s="5"/>
      <c r="Z5777" s="5"/>
    </row>
    <row r="5778" spans="1:26" ht="15" x14ac:dyDescent="0.25">
      <c r="A5778" s="4" t="s">
        <v>5776</v>
      </c>
      <c r="B5778" s="4" t="s">
        <v>4550</v>
      </c>
      <c r="C5778" s="2" t="str">
        <f ca="1">IFERROR(__xludf.DUMMYFUNCTION("GOOGLETRANSLATE(A5778,""bn"",""en"")"),"Employee standards increased")</f>
        <v>Employee standards increased</v>
      </c>
      <c r="D5778" s="5"/>
      <c r="E5778" s="5"/>
      <c r="F5778" s="5"/>
      <c r="G5778" s="5"/>
      <c r="H5778" s="5"/>
      <c r="I5778" s="5"/>
      <c r="J5778" s="5"/>
      <c r="K5778" s="5"/>
      <c r="L5778" s="5"/>
      <c r="M5778" s="5"/>
      <c r="N5778" s="5"/>
      <c r="O5778" s="5"/>
      <c r="P5778" s="5"/>
      <c r="Q5778" s="5"/>
      <c r="R5778" s="5"/>
      <c r="S5778" s="5"/>
      <c r="T5778" s="5"/>
      <c r="U5778" s="5"/>
      <c r="V5778" s="5"/>
      <c r="W5778" s="5"/>
      <c r="X5778" s="5"/>
      <c r="Y5778" s="5"/>
      <c r="Z5778" s="5"/>
    </row>
    <row r="5779" spans="1:26" ht="15" x14ac:dyDescent="0.25">
      <c r="A5779" s="4" t="s">
        <v>5777</v>
      </c>
      <c r="B5779" s="4" t="s">
        <v>4550</v>
      </c>
      <c r="C5779" s="2" t="str">
        <f ca="1">IFERROR(__xludf.DUMMYFUNCTION("GOOGLETRANSLATE(A5779,""bn"",""en"")"),"A rocket was going into space")</f>
        <v>A rocket was going into space</v>
      </c>
      <c r="D5779" s="5"/>
      <c r="E5779" s="5"/>
      <c r="F5779" s="5"/>
      <c r="G5779" s="5"/>
      <c r="H5779" s="5"/>
      <c r="I5779" s="5"/>
      <c r="J5779" s="5"/>
      <c r="K5779" s="5"/>
      <c r="L5779" s="5"/>
      <c r="M5779" s="5"/>
      <c r="N5779" s="5"/>
      <c r="O5779" s="5"/>
      <c r="P5779" s="5"/>
      <c r="Q5779" s="5"/>
      <c r="R5779" s="5"/>
      <c r="S5779" s="5"/>
      <c r="T5779" s="5"/>
      <c r="U5779" s="5"/>
      <c r="V5779" s="5"/>
      <c r="W5779" s="5"/>
      <c r="X5779" s="5"/>
      <c r="Y5779" s="5"/>
      <c r="Z5779" s="5"/>
    </row>
    <row r="5780" spans="1:26" ht="15" x14ac:dyDescent="0.25">
      <c r="A5780" s="4" t="s">
        <v>5778</v>
      </c>
      <c r="B5780" s="4" t="s">
        <v>4550</v>
      </c>
      <c r="C5780" s="2" t="str">
        <f ca="1">IFERROR(__xludf.DUMMYFUNCTION("GOOGLETRANSLATE(A5780,""bn"",""en"")"),"Students used to exercise")</f>
        <v>Students used to exercise</v>
      </c>
      <c r="D5780" s="5"/>
      <c r="E5780" s="5"/>
      <c r="F5780" s="5"/>
      <c r="G5780" s="5"/>
      <c r="H5780" s="5"/>
      <c r="I5780" s="5"/>
      <c r="J5780" s="5"/>
      <c r="K5780" s="5"/>
      <c r="L5780" s="5"/>
      <c r="M5780" s="5"/>
      <c r="N5780" s="5"/>
      <c r="O5780" s="5"/>
      <c r="P5780" s="5"/>
      <c r="Q5780" s="5"/>
      <c r="R5780" s="5"/>
      <c r="S5780" s="5"/>
      <c r="T5780" s="5"/>
      <c r="U5780" s="5"/>
      <c r="V5780" s="5"/>
      <c r="W5780" s="5"/>
      <c r="X5780" s="5"/>
      <c r="Y5780" s="5"/>
      <c r="Z5780" s="5"/>
    </row>
    <row r="5781" spans="1:26" ht="15" x14ac:dyDescent="0.25">
      <c r="A5781" s="4" t="s">
        <v>5779</v>
      </c>
      <c r="B5781" s="4" t="s">
        <v>4550</v>
      </c>
      <c r="C5781" s="2" t="str">
        <f ca="1">IFERROR(__xludf.DUMMYFUNCTION("GOOGLETRANSLATE(A5781,""bn"",""en"")"),"I was supportive")</f>
        <v>I was supportive</v>
      </c>
      <c r="D5781" s="5"/>
      <c r="E5781" s="5"/>
      <c r="F5781" s="5"/>
      <c r="G5781" s="5"/>
      <c r="H5781" s="5"/>
      <c r="I5781" s="5"/>
      <c r="J5781" s="5"/>
      <c r="K5781" s="5"/>
      <c r="L5781" s="5"/>
      <c r="M5781" s="5"/>
      <c r="N5781" s="5"/>
      <c r="O5781" s="5"/>
      <c r="P5781" s="5"/>
      <c r="Q5781" s="5"/>
      <c r="R5781" s="5"/>
      <c r="S5781" s="5"/>
      <c r="T5781" s="5"/>
      <c r="U5781" s="5"/>
      <c r="V5781" s="5"/>
      <c r="W5781" s="5"/>
      <c r="X5781" s="5"/>
      <c r="Y5781" s="5"/>
      <c r="Z5781" s="5"/>
    </row>
    <row r="5782" spans="1:26" ht="15" x14ac:dyDescent="0.25">
      <c r="A5782" s="4" t="s">
        <v>5780</v>
      </c>
      <c r="B5782" s="4" t="s">
        <v>4550</v>
      </c>
      <c r="C5782" s="2" t="str">
        <f ca="1">IFERROR(__xludf.DUMMYFUNCTION("GOOGLETRANSLATE(A5782,""bn"",""en"")"),"I told the story of life")</f>
        <v>I told the story of life</v>
      </c>
      <c r="D5782" s="5"/>
      <c r="E5782" s="5"/>
      <c r="F5782" s="5"/>
      <c r="G5782" s="5"/>
      <c r="H5782" s="5"/>
      <c r="I5782" s="5"/>
      <c r="J5782" s="5"/>
      <c r="K5782" s="5"/>
      <c r="L5782" s="5"/>
      <c r="M5782" s="5"/>
      <c r="N5782" s="5"/>
      <c r="O5782" s="5"/>
      <c r="P5782" s="5"/>
      <c r="Q5782" s="5"/>
      <c r="R5782" s="5"/>
      <c r="S5782" s="5"/>
      <c r="T5782" s="5"/>
      <c r="U5782" s="5"/>
      <c r="V5782" s="5"/>
      <c r="W5782" s="5"/>
      <c r="X5782" s="5"/>
      <c r="Y5782" s="5"/>
      <c r="Z5782" s="5"/>
    </row>
    <row r="5783" spans="1:26" ht="15" x14ac:dyDescent="0.25">
      <c r="A5783" s="4" t="s">
        <v>5781</v>
      </c>
      <c r="B5783" s="4" t="s">
        <v>4550</v>
      </c>
      <c r="C5783" s="2" t="str">
        <f ca="1">IFERROR(__xludf.DUMMYFUNCTION("GOOGLETRANSLATE(A5783,""bn"",""en"")"),"Saw Chabagan in Sylhet")</f>
        <v>Saw Chabagan in Sylhet</v>
      </c>
      <c r="D5783" s="5"/>
      <c r="E5783" s="5"/>
      <c r="F5783" s="5"/>
      <c r="G5783" s="5"/>
      <c r="H5783" s="5"/>
      <c r="I5783" s="5"/>
      <c r="J5783" s="5"/>
      <c r="K5783" s="5"/>
      <c r="L5783" s="5"/>
      <c r="M5783" s="5"/>
      <c r="N5783" s="5"/>
      <c r="O5783" s="5"/>
      <c r="P5783" s="5"/>
      <c r="Q5783" s="5"/>
      <c r="R5783" s="5"/>
      <c r="S5783" s="5"/>
      <c r="T5783" s="5"/>
      <c r="U5783" s="5"/>
      <c r="V5783" s="5"/>
      <c r="W5783" s="5"/>
      <c r="X5783" s="5"/>
      <c r="Y5783" s="5"/>
      <c r="Z5783" s="5"/>
    </row>
    <row r="5784" spans="1:26" ht="15" x14ac:dyDescent="0.25">
      <c r="A5784" s="4" t="s">
        <v>5782</v>
      </c>
      <c r="B5784" s="4" t="s">
        <v>4550</v>
      </c>
      <c r="C5784" s="2" t="str">
        <f ca="1">IFERROR(__xludf.DUMMYFUNCTION("GOOGLETRANSLATE(A5784,""bn"",""en"")"),"Travel was released")</f>
        <v>Travel was released</v>
      </c>
      <c r="D5784" s="5"/>
      <c r="E5784" s="5"/>
      <c r="F5784" s="5"/>
      <c r="G5784" s="5"/>
      <c r="H5784" s="5"/>
      <c r="I5784" s="5"/>
      <c r="J5784" s="5"/>
      <c r="K5784" s="5"/>
      <c r="L5784" s="5"/>
      <c r="M5784" s="5"/>
      <c r="N5784" s="5"/>
      <c r="O5784" s="5"/>
      <c r="P5784" s="5"/>
      <c r="Q5784" s="5"/>
      <c r="R5784" s="5"/>
      <c r="S5784" s="5"/>
      <c r="T5784" s="5"/>
      <c r="U5784" s="5"/>
      <c r="V5784" s="5"/>
      <c r="W5784" s="5"/>
      <c r="X5784" s="5"/>
      <c r="Y5784" s="5"/>
      <c r="Z5784" s="5"/>
    </row>
    <row r="5785" spans="1:26" ht="15" x14ac:dyDescent="0.25">
      <c r="A5785" s="4" t="s">
        <v>5783</v>
      </c>
      <c r="B5785" s="4" t="s">
        <v>4550</v>
      </c>
      <c r="C5785" s="2" t="str">
        <f ca="1">IFERROR(__xludf.DUMMYFUNCTION("GOOGLETRANSLATE(A5785,""bn"",""en"")"),"I was taking pictures with the camera")</f>
        <v>I was taking pictures with the camera</v>
      </c>
      <c r="D5785" s="5"/>
      <c r="E5785" s="5"/>
      <c r="F5785" s="5"/>
      <c r="G5785" s="5"/>
      <c r="H5785" s="5"/>
      <c r="I5785" s="5"/>
      <c r="J5785" s="5"/>
      <c r="K5785" s="5"/>
      <c r="L5785" s="5"/>
      <c r="M5785" s="5"/>
      <c r="N5785" s="5"/>
      <c r="O5785" s="5"/>
      <c r="P5785" s="5"/>
      <c r="Q5785" s="5"/>
      <c r="R5785" s="5"/>
      <c r="S5785" s="5"/>
      <c r="T5785" s="5"/>
      <c r="U5785" s="5"/>
      <c r="V5785" s="5"/>
      <c r="W5785" s="5"/>
      <c r="X5785" s="5"/>
      <c r="Y5785" s="5"/>
      <c r="Z5785" s="5"/>
    </row>
    <row r="5786" spans="1:26" ht="15" x14ac:dyDescent="0.25">
      <c r="A5786" s="4" t="s">
        <v>5784</v>
      </c>
      <c r="B5786" s="4" t="s">
        <v>4550</v>
      </c>
      <c r="C5786" s="2" t="str">
        <f ca="1">IFERROR(__xludf.DUMMYFUNCTION("GOOGLETRANSLATE(A5786,""bn"",""en"")"),"Akasha used to travel")</f>
        <v>Akasha used to travel</v>
      </c>
      <c r="D5786" s="5"/>
      <c r="E5786" s="5"/>
      <c r="F5786" s="5"/>
      <c r="G5786" s="5"/>
      <c r="H5786" s="5"/>
      <c r="I5786" s="5"/>
      <c r="J5786" s="5"/>
      <c r="K5786" s="5"/>
      <c r="L5786" s="5"/>
      <c r="M5786" s="5"/>
      <c r="N5786" s="5"/>
      <c r="O5786" s="5"/>
      <c r="P5786" s="5"/>
      <c r="Q5786" s="5"/>
      <c r="R5786" s="5"/>
      <c r="S5786" s="5"/>
      <c r="T5786" s="5"/>
      <c r="U5786" s="5"/>
      <c r="V5786" s="5"/>
      <c r="W5786" s="5"/>
      <c r="X5786" s="5"/>
      <c r="Y5786" s="5"/>
      <c r="Z5786" s="5"/>
    </row>
    <row r="5787" spans="1:26" ht="15" x14ac:dyDescent="0.25">
      <c r="A5787" s="4" t="s">
        <v>5785</v>
      </c>
      <c r="B5787" s="4" t="s">
        <v>4550</v>
      </c>
      <c r="C5787" s="2" t="str">
        <f ca="1">IFERROR(__xludf.DUMMYFUNCTION("GOOGLETRANSLATE(A5787,""bn"",""en"")"),"I went to the rainforest")</f>
        <v>I went to the rainforest</v>
      </c>
      <c r="D5787" s="5"/>
      <c r="E5787" s="5"/>
      <c r="F5787" s="5"/>
      <c r="G5787" s="5"/>
      <c r="H5787" s="5"/>
      <c r="I5787" s="5"/>
      <c r="J5787" s="5"/>
      <c r="K5787" s="5"/>
      <c r="L5787" s="5"/>
      <c r="M5787" s="5"/>
      <c r="N5787" s="5"/>
      <c r="O5787" s="5"/>
      <c r="P5787" s="5"/>
      <c r="Q5787" s="5"/>
      <c r="R5787" s="5"/>
      <c r="S5787" s="5"/>
      <c r="T5787" s="5"/>
      <c r="U5787" s="5"/>
      <c r="V5787" s="5"/>
      <c r="W5787" s="5"/>
      <c r="X5787" s="5"/>
      <c r="Y5787" s="5"/>
      <c r="Z5787" s="5"/>
    </row>
    <row r="5788" spans="1:26" ht="15" x14ac:dyDescent="0.25">
      <c r="A5788" s="4" t="s">
        <v>5786</v>
      </c>
      <c r="B5788" s="4" t="s">
        <v>4550</v>
      </c>
      <c r="C5788" s="2" t="str">
        <f ca="1">IFERROR(__xludf.DUMMYFUNCTION("GOOGLETRANSLATE(A5788,""bn"",""en"")"),"I wanted to buy a camera")</f>
        <v>I wanted to buy a camera</v>
      </c>
      <c r="D5788" s="5"/>
      <c r="E5788" s="5"/>
      <c r="F5788" s="5"/>
      <c r="G5788" s="5"/>
      <c r="H5788" s="5"/>
      <c r="I5788" s="5"/>
      <c r="J5788" s="5"/>
      <c r="K5788" s="5"/>
      <c r="L5788" s="5"/>
      <c r="M5788" s="5"/>
      <c r="N5788" s="5"/>
      <c r="O5788" s="5"/>
      <c r="P5788" s="5"/>
      <c r="Q5788" s="5"/>
      <c r="R5788" s="5"/>
      <c r="S5788" s="5"/>
      <c r="T5788" s="5"/>
      <c r="U5788" s="5"/>
      <c r="V5788" s="5"/>
      <c r="W5788" s="5"/>
      <c r="X5788" s="5"/>
      <c r="Y5788" s="5"/>
      <c r="Z5788" s="5"/>
    </row>
    <row r="5789" spans="1:26" ht="15" x14ac:dyDescent="0.25">
      <c r="A5789" s="4" t="s">
        <v>5787</v>
      </c>
      <c r="B5789" s="4" t="s">
        <v>4550</v>
      </c>
      <c r="C5789" s="2" t="str">
        <f ca="1">IFERROR(__xludf.DUMMYFUNCTION("GOOGLETRANSLATE(A5789,""bn"",""en"")"),"Shah Jahan built the Taj Mahal")</f>
        <v>Shah Jahan built the Taj Mahal</v>
      </c>
      <c r="D5789" s="5"/>
      <c r="E5789" s="5"/>
      <c r="F5789" s="5"/>
      <c r="G5789" s="5"/>
      <c r="H5789" s="5"/>
      <c r="I5789" s="5"/>
      <c r="J5789" s="5"/>
      <c r="K5789" s="5"/>
      <c r="L5789" s="5"/>
      <c r="M5789" s="5"/>
      <c r="N5789" s="5"/>
      <c r="O5789" s="5"/>
      <c r="P5789" s="5"/>
      <c r="Q5789" s="5"/>
      <c r="R5789" s="5"/>
      <c r="S5789" s="5"/>
      <c r="T5789" s="5"/>
      <c r="U5789" s="5"/>
      <c r="V5789" s="5"/>
      <c r="W5789" s="5"/>
      <c r="X5789" s="5"/>
      <c r="Y5789" s="5"/>
      <c r="Z5789" s="5"/>
    </row>
    <row r="5790" spans="1:26" ht="15" x14ac:dyDescent="0.25">
      <c r="A5790" s="4" t="s">
        <v>5788</v>
      </c>
      <c r="B5790" s="4" t="s">
        <v>4550</v>
      </c>
      <c r="C5790" s="2" t="str">
        <f ca="1">IFERROR(__xludf.DUMMYFUNCTION("GOOGLETRANSLATE(A5790,""bn"",""en"")"),"I was reading a book in this book")</f>
        <v>I was reading a book in this book</v>
      </c>
      <c r="D5790" s="5"/>
      <c r="E5790" s="5"/>
      <c r="F5790" s="5"/>
      <c r="G5790" s="5"/>
      <c r="H5790" s="5"/>
      <c r="I5790" s="5"/>
      <c r="J5790" s="5"/>
      <c r="K5790" s="5"/>
      <c r="L5790" s="5"/>
      <c r="M5790" s="5"/>
      <c r="N5790" s="5"/>
      <c r="O5790" s="5"/>
      <c r="P5790" s="5"/>
      <c r="Q5790" s="5"/>
      <c r="R5790" s="5"/>
      <c r="S5790" s="5"/>
      <c r="T5790" s="5"/>
      <c r="U5790" s="5"/>
      <c r="V5790" s="5"/>
      <c r="W5790" s="5"/>
      <c r="X5790" s="5"/>
      <c r="Y5790" s="5"/>
      <c r="Z5790" s="5"/>
    </row>
    <row r="5791" spans="1:26" ht="15" x14ac:dyDescent="0.25">
      <c r="A5791" s="4" t="s">
        <v>5789</v>
      </c>
      <c r="B5791" s="4" t="s">
        <v>4550</v>
      </c>
      <c r="C5791" s="2" t="str">
        <f ca="1">IFERROR(__xludf.DUMMYFUNCTION("GOOGLETRANSLATE(A5791,""bn"",""en"")"),"I sent money to Bikash")</f>
        <v>I sent money to Bikash</v>
      </c>
      <c r="D5791" s="5"/>
      <c r="E5791" s="5"/>
      <c r="F5791" s="5"/>
      <c r="G5791" s="5"/>
      <c r="H5791" s="5"/>
      <c r="I5791" s="5"/>
      <c r="J5791" s="5"/>
      <c r="K5791" s="5"/>
      <c r="L5791" s="5"/>
      <c r="M5791" s="5"/>
      <c r="N5791" s="5"/>
      <c r="O5791" s="5"/>
      <c r="P5791" s="5"/>
      <c r="Q5791" s="5"/>
      <c r="R5791" s="5"/>
      <c r="S5791" s="5"/>
      <c r="T5791" s="5"/>
      <c r="U5791" s="5"/>
      <c r="V5791" s="5"/>
      <c r="W5791" s="5"/>
      <c r="X5791" s="5"/>
      <c r="Y5791" s="5"/>
      <c r="Z5791" s="5"/>
    </row>
    <row r="5792" spans="1:26" ht="15" x14ac:dyDescent="0.25">
      <c r="A5792" s="4" t="s">
        <v>5790</v>
      </c>
      <c r="B5792" s="4" t="s">
        <v>4550</v>
      </c>
      <c r="C5792" s="2" t="str">
        <f ca="1">IFERROR(__xludf.DUMMYFUNCTION("GOOGLETRANSLATE(A5792,""bn"",""en"")"),"He studied history")</f>
        <v>He studied history</v>
      </c>
      <c r="D5792" s="5"/>
      <c r="E5792" s="5"/>
      <c r="F5792" s="5"/>
      <c r="G5792" s="5"/>
      <c r="H5792" s="5"/>
      <c r="I5792" s="5"/>
      <c r="J5792" s="5"/>
      <c r="K5792" s="5"/>
      <c r="L5792" s="5"/>
      <c r="M5792" s="5"/>
      <c r="N5792" s="5"/>
      <c r="O5792" s="5"/>
      <c r="P5792" s="5"/>
      <c r="Q5792" s="5"/>
      <c r="R5792" s="5"/>
      <c r="S5792" s="5"/>
      <c r="T5792" s="5"/>
      <c r="U5792" s="5"/>
      <c r="V5792" s="5"/>
      <c r="W5792" s="5"/>
      <c r="X5792" s="5"/>
      <c r="Y5792" s="5"/>
      <c r="Z5792" s="5"/>
    </row>
    <row r="5793" spans="1:26" ht="15" x14ac:dyDescent="0.25">
      <c r="A5793" s="4" t="s">
        <v>5791</v>
      </c>
      <c r="B5793" s="4" t="s">
        <v>4550</v>
      </c>
      <c r="C5793" s="2" t="str">
        <f ca="1">IFERROR(__xludf.DUMMYFUNCTION("GOOGLETRANSLATE(A5793,""bn"",""en"")"),"We were looking for joy")</f>
        <v>We were looking for joy</v>
      </c>
      <c r="D5793" s="5"/>
      <c r="E5793" s="5"/>
      <c r="F5793" s="5"/>
      <c r="G5793" s="5"/>
      <c r="H5793" s="5"/>
      <c r="I5793" s="5"/>
      <c r="J5793" s="5"/>
      <c r="K5793" s="5"/>
      <c r="L5793" s="5"/>
      <c r="M5793" s="5"/>
      <c r="N5793" s="5"/>
      <c r="O5793" s="5"/>
      <c r="P5793" s="5"/>
      <c r="Q5793" s="5"/>
      <c r="R5793" s="5"/>
      <c r="S5793" s="5"/>
      <c r="T5793" s="5"/>
      <c r="U5793" s="5"/>
      <c r="V5793" s="5"/>
      <c r="W5793" s="5"/>
      <c r="X5793" s="5"/>
      <c r="Y5793" s="5"/>
      <c r="Z5793" s="5"/>
    </row>
    <row r="5794" spans="1:26" ht="15" x14ac:dyDescent="0.25">
      <c r="A5794" s="4" t="s">
        <v>5792</v>
      </c>
      <c r="B5794" s="4" t="s">
        <v>4550</v>
      </c>
      <c r="C5794" s="2" t="str">
        <f ca="1">IFERROR(__xludf.DUMMYFUNCTION("GOOGLETRANSLATE(A5794,""bn"",""en"")"),"The trip boosted morale")</f>
        <v>The trip boosted morale</v>
      </c>
      <c r="D5794" s="5"/>
      <c r="E5794" s="5"/>
      <c r="F5794" s="5"/>
      <c r="G5794" s="5"/>
      <c r="H5794" s="5"/>
      <c r="I5794" s="5"/>
      <c r="J5794" s="5"/>
      <c r="K5794" s="5"/>
      <c r="L5794" s="5"/>
      <c r="M5794" s="5"/>
      <c r="N5794" s="5"/>
      <c r="O5794" s="5"/>
      <c r="P5794" s="5"/>
      <c r="Q5794" s="5"/>
      <c r="R5794" s="5"/>
      <c r="S5794" s="5"/>
      <c r="T5794" s="5"/>
      <c r="U5794" s="5"/>
      <c r="V5794" s="5"/>
      <c r="W5794" s="5"/>
      <c r="X5794" s="5"/>
      <c r="Y5794" s="5"/>
      <c r="Z5794" s="5"/>
    </row>
    <row r="5795" spans="1:26" ht="15" x14ac:dyDescent="0.25">
      <c r="A5795" s="4" t="s">
        <v>5793</v>
      </c>
      <c r="B5795" s="4" t="s">
        <v>4550</v>
      </c>
      <c r="C5795" s="2" t="str">
        <f ca="1">IFERROR(__xludf.DUMMYFUNCTION("GOOGLETRANSLATE(A5795,""bn"",""en"")"),"Satellite added")</f>
        <v>Satellite added</v>
      </c>
      <c r="D5795" s="5"/>
      <c r="E5795" s="5"/>
      <c r="F5795" s="5"/>
      <c r="G5795" s="5"/>
      <c r="H5795" s="5"/>
      <c r="I5795" s="5"/>
      <c r="J5795" s="5"/>
      <c r="K5795" s="5"/>
      <c r="L5795" s="5"/>
      <c r="M5795" s="5"/>
      <c r="N5795" s="5"/>
      <c r="O5795" s="5"/>
      <c r="P5795" s="5"/>
      <c r="Q5795" s="5"/>
      <c r="R5795" s="5"/>
      <c r="S5795" s="5"/>
      <c r="T5795" s="5"/>
      <c r="U5795" s="5"/>
      <c r="V5795" s="5"/>
      <c r="W5795" s="5"/>
      <c r="X5795" s="5"/>
      <c r="Y5795" s="5"/>
      <c r="Z5795" s="5"/>
    </row>
    <row r="5796" spans="1:26" ht="15" x14ac:dyDescent="0.25">
      <c r="A5796" s="4" t="s">
        <v>5794</v>
      </c>
      <c r="B5796" s="4" t="s">
        <v>4550</v>
      </c>
      <c r="C5796" s="2" t="str">
        <f ca="1">IFERROR(__xludf.DUMMYFUNCTION("GOOGLETRANSLATE(A5796,""bn"",""en"")"),"I was advancing in my career")</f>
        <v>I was advancing in my career</v>
      </c>
      <c r="D5796" s="5"/>
      <c r="E5796" s="5"/>
      <c r="F5796" s="5"/>
      <c r="G5796" s="5"/>
      <c r="H5796" s="5"/>
      <c r="I5796" s="5"/>
      <c r="J5796" s="5"/>
      <c r="K5796" s="5"/>
      <c r="L5796" s="5"/>
      <c r="M5796" s="5"/>
      <c r="N5796" s="5"/>
      <c r="O5796" s="5"/>
      <c r="P5796" s="5"/>
      <c r="Q5796" s="5"/>
      <c r="R5796" s="5"/>
      <c r="S5796" s="5"/>
      <c r="T5796" s="5"/>
      <c r="U5796" s="5"/>
      <c r="V5796" s="5"/>
      <c r="W5796" s="5"/>
      <c r="X5796" s="5"/>
      <c r="Y5796" s="5"/>
      <c r="Z5796" s="5"/>
    </row>
    <row r="5797" spans="1:26" ht="15" x14ac:dyDescent="0.25">
      <c r="A5797" s="4" t="s">
        <v>5795</v>
      </c>
      <c r="B5797" s="4" t="s">
        <v>4550</v>
      </c>
      <c r="C5797" s="2" t="str">
        <f ca="1">IFERROR(__xludf.DUMMYFUNCTION("GOOGLETRANSLATE(A5797,""bn"",""en"")"),"I bought a mobile phone by depositing money")</f>
        <v>I bought a mobile phone by depositing money</v>
      </c>
      <c r="D5797" s="5"/>
      <c r="E5797" s="5"/>
      <c r="F5797" s="5"/>
      <c r="G5797" s="5"/>
      <c r="H5797" s="5"/>
      <c r="I5797" s="5"/>
      <c r="J5797" s="5"/>
      <c r="K5797" s="5"/>
      <c r="L5797" s="5"/>
      <c r="M5797" s="5"/>
      <c r="N5797" s="5"/>
      <c r="O5797" s="5"/>
      <c r="P5797" s="5"/>
      <c r="Q5797" s="5"/>
      <c r="R5797" s="5"/>
      <c r="S5797" s="5"/>
      <c r="T5797" s="5"/>
      <c r="U5797" s="5"/>
      <c r="V5797" s="5"/>
      <c r="W5797" s="5"/>
      <c r="X5797" s="5"/>
      <c r="Y5797" s="5"/>
      <c r="Z5797" s="5"/>
    </row>
    <row r="5798" spans="1:26" ht="15" x14ac:dyDescent="0.25">
      <c r="A5798" s="4" t="s">
        <v>5796</v>
      </c>
      <c r="B5798" s="4" t="s">
        <v>4550</v>
      </c>
      <c r="C5798" s="2" t="str">
        <f ca="1">IFERROR(__xludf.DUMMYFUNCTION("GOOGLETRANSLATE(A5798,""bn"",""en"")"),"I deposited the money")</f>
        <v>I deposited the money</v>
      </c>
      <c r="D5798" s="5"/>
      <c r="E5798" s="5"/>
      <c r="F5798" s="5"/>
      <c r="G5798" s="5"/>
      <c r="H5798" s="5"/>
      <c r="I5798" s="5"/>
      <c r="J5798" s="5"/>
      <c r="K5798" s="5"/>
      <c r="L5798" s="5"/>
      <c r="M5798" s="5"/>
      <c r="N5798" s="5"/>
      <c r="O5798" s="5"/>
      <c r="P5798" s="5"/>
      <c r="Q5798" s="5"/>
      <c r="R5798" s="5"/>
      <c r="S5798" s="5"/>
      <c r="T5798" s="5"/>
      <c r="U5798" s="5"/>
      <c r="V5798" s="5"/>
      <c r="W5798" s="5"/>
      <c r="X5798" s="5"/>
      <c r="Y5798" s="5"/>
      <c r="Z5798" s="5"/>
    </row>
    <row r="5799" spans="1:26" ht="15" x14ac:dyDescent="0.25">
      <c r="A5799" s="4" t="s">
        <v>5797</v>
      </c>
      <c r="B5799" s="4" t="s">
        <v>4550</v>
      </c>
      <c r="C5799" s="2" t="str">
        <f ca="1">IFERROR(__xludf.DUMMYFUNCTION("GOOGLETRANSLATE(A5799,""bn"",""en"")"),"I looked for sea oysters")</f>
        <v>I looked for sea oysters</v>
      </c>
      <c r="D5799" s="5"/>
      <c r="E5799" s="5"/>
      <c r="F5799" s="5"/>
      <c r="G5799" s="5"/>
      <c r="H5799" s="5"/>
      <c r="I5799" s="5"/>
      <c r="J5799" s="5"/>
      <c r="K5799" s="5"/>
      <c r="L5799" s="5"/>
      <c r="M5799" s="5"/>
      <c r="N5799" s="5"/>
      <c r="O5799" s="5"/>
      <c r="P5799" s="5"/>
      <c r="Q5799" s="5"/>
      <c r="R5799" s="5"/>
      <c r="S5799" s="5"/>
      <c r="T5799" s="5"/>
      <c r="U5799" s="5"/>
      <c r="V5799" s="5"/>
      <c r="W5799" s="5"/>
      <c r="X5799" s="5"/>
      <c r="Y5799" s="5"/>
      <c r="Z5799" s="5"/>
    </row>
    <row r="5800" spans="1:26" ht="15" x14ac:dyDescent="0.25">
      <c r="A5800" s="4" t="s">
        <v>5798</v>
      </c>
      <c r="B5800" s="4" t="s">
        <v>4550</v>
      </c>
      <c r="C5800" s="2" t="str">
        <f ca="1">IFERROR(__xludf.DUMMYFUNCTION("GOOGLETRANSLATE(A5800,""bn"",""en"")"),"I found sea oysters and made garlands")</f>
        <v>I found sea oysters and made garlands</v>
      </c>
      <c r="D5800" s="5"/>
      <c r="E5800" s="5"/>
      <c r="F5800" s="5"/>
      <c r="G5800" s="5"/>
      <c r="H5800" s="5"/>
      <c r="I5800" s="5"/>
      <c r="J5800" s="5"/>
      <c r="K5800" s="5"/>
      <c r="L5800" s="5"/>
      <c r="M5800" s="5"/>
      <c r="N5800" s="5"/>
      <c r="O5800" s="5"/>
      <c r="P5800" s="5"/>
      <c r="Q5800" s="5"/>
      <c r="R5800" s="5"/>
      <c r="S5800" s="5"/>
      <c r="T5800" s="5"/>
      <c r="U5800" s="5"/>
      <c r="V5800" s="5"/>
      <c r="W5800" s="5"/>
      <c r="X5800" s="5"/>
      <c r="Y5800" s="5"/>
      <c r="Z5800" s="5"/>
    </row>
    <row r="5801" spans="1:26" ht="15" x14ac:dyDescent="0.25">
      <c r="A5801" s="4" t="s">
        <v>5799</v>
      </c>
      <c r="B5801" s="4" t="s">
        <v>4550</v>
      </c>
      <c r="C5801" s="2" t="str">
        <f ca="1">IFERROR(__xludf.DUMMYFUNCTION("GOOGLETRANSLATE(A5801,""bn"",""en"")"),"I was going to see the beauty")</f>
        <v>I was going to see the beauty</v>
      </c>
      <c r="D5801" s="5"/>
      <c r="E5801" s="5"/>
      <c r="F5801" s="5"/>
      <c r="G5801" s="5"/>
      <c r="H5801" s="5"/>
      <c r="I5801" s="5"/>
      <c r="J5801" s="5"/>
      <c r="K5801" s="5"/>
      <c r="L5801" s="5"/>
      <c r="M5801" s="5"/>
      <c r="N5801" s="5"/>
      <c r="O5801" s="5"/>
      <c r="P5801" s="5"/>
      <c r="Q5801" s="5"/>
      <c r="R5801" s="5"/>
      <c r="S5801" s="5"/>
      <c r="T5801" s="5"/>
      <c r="U5801" s="5"/>
      <c r="V5801" s="5"/>
      <c r="W5801" s="5"/>
      <c r="X5801" s="5"/>
      <c r="Y5801" s="5"/>
      <c r="Z5801" s="5"/>
    </row>
    <row r="5802" spans="1:26" ht="15" x14ac:dyDescent="0.25">
      <c r="A5802" s="4" t="s">
        <v>5800</v>
      </c>
      <c r="B5802" s="4" t="s">
        <v>4550</v>
      </c>
      <c r="C5802" s="2" t="str">
        <f ca="1">IFERROR(__xludf.DUMMYFUNCTION("GOOGLETRANSLATE(A5802,""bn"",""en"")"),"She met him while visiting a beauty spot")</f>
        <v>She met him while visiting a beauty spot</v>
      </c>
      <c r="D5802" s="5"/>
      <c r="E5802" s="5"/>
      <c r="F5802" s="5"/>
      <c r="G5802" s="5"/>
      <c r="H5802" s="5"/>
      <c r="I5802" s="5"/>
      <c r="J5802" s="5"/>
      <c r="K5802" s="5"/>
      <c r="L5802" s="5"/>
      <c r="M5802" s="5"/>
      <c r="N5802" s="5"/>
      <c r="O5802" s="5"/>
      <c r="P5802" s="5"/>
      <c r="Q5802" s="5"/>
      <c r="R5802" s="5"/>
      <c r="S5802" s="5"/>
      <c r="T5802" s="5"/>
      <c r="U5802" s="5"/>
      <c r="V5802" s="5"/>
      <c r="W5802" s="5"/>
      <c r="X5802" s="5"/>
      <c r="Y5802" s="5"/>
      <c r="Z5802" s="5"/>
    </row>
    <row r="5803" spans="1:26" ht="15" x14ac:dyDescent="0.25">
      <c r="A5803" s="4" t="s">
        <v>5801</v>
      </c>
      <c r="B5803" s="4" t="s">
        <v>4550</v>
      </c>
      <c r="C5803" s="2" t="str">
        <f ca="1">IFERROR(__xludf.DUMMYFUNCTION("GOOGLETRANSLATE(A5803,""bn"",""en"")"),"I made a portfolio")</f>
        <v>I made a portfolio</v>
      </c>
      <c r="D5803" s="5"/>
      <c r="E5803" s="5"/>
      <c r="F5803" s="5"/>
      <c r="G5803" s="5"/>
      <c r="H5803" s="5"/>
      <c r="I5803" s="5"/>
      <c r="J5803" s="5"/>
      <c r="K5803" s="5"/>
      <c r="L5803" s="5"/>
      <c r="M5803" s="5"/>
      <c r="N5803" s="5"/>
      <c r="O5803" s="5"/>
      <c r="P5803" s="5"/>
      <c r="Q5803" s="5"/>
      <c r="R5803" s="5"/>
      <c r="S5803" s="5"/>
      <c r="T5803" s="5"/>
      <c r="U5803" s="5"/>
      <c r="V5803" s="5"/>
      <c r="W5803" s="5"/>
      <c r="X5803" s="5"/>
      <c r="Y5803" s="5"/>
      <c r="Z5803" s="5"/>
    </row>
    <row r="5804" spans="1:26" ht="15" x14ac:dyDescent="0.25">
      <c r="A5804" s="4" t="s">
        <v>5802</v>
      </c>
      <c r="B5804" s="4" t="s">
        <v>4550</v>
      </c>
      <c r="C5804" s="2" t="str">
        <f ca="1">IFERROR(__xludf.DUMMYFUNCTION("GOOGLETRANSLATE(A5804,""bn"",""en"")"),"I published the research")</f>
        <v>I published the research</v>
      </c>
      <c r="D5804" s="5"/>
      <c r="E5804" s="5"/>
      <c r="F5804" s="5"/>
      <c r="G5804" s="5"/>
      <c r="H5804" s="5"/>
      <c r="I5804" s="5"/>
      <c r="J5804" s="5"/>
      <c r="K5804" s="5"/>
      <c r="L5804" s="5"/>
      <c r="M5804" s="5"/>
      <c r="N5804" s="5"/>
      <c r="O5804" s="5"/>
      <c r="P5804" s="5"/>
      <c r="Q5804" s="5"/>
      <c r="R5804" s="5"/>
      <c r="S5804" s="5"/>
      <c r="T5804" s="5"/>
      <c r="U5804" s="5"/>
      <c r="V5804" s="5"/>
      <c r="W5804" s="5"/>
      <c r="X5804" s="5"/>
      <c r="Y5804" s="5"/>
      <c r="Z5804" s="5"/>
    </row>
    <row r="5805" spans="1:26" ht="15" x14ac:dyDescent="0.25">
      <c r="A5805" s="4" t="s">
        <v>5803</v>
      </c>
      <c r="B5805" s="4" t="s">
        <v>4550</v>
      </c>
      <c r="C5805" s="2" t="str">
        <f ca="1">IFERROR(__xludf.DUMMYFUNCTION("GOOGLETRANSLATE(A5805,""bn"",""en"")"),"I contacted the family")</f>
        <v>I contacted the family</v>
      </c>
      <c r="D5805" s="5"/>
      <c r="E5805" s="5"/>
      <c r="F5805" s="5"/>
      <c r="G5805" s="5"/>
      <c r="H5805" s="5"/>
      <c r="I5805" s="5"/>
      <c r="J5805" s="5"/>
      <c r="K5805" s="5"/>
      <c r="L5805" s="5"/>
      <c r="M5805" s="5"/>
      <c r="N5805" s="5"/>
      <c r="O5805" s="5"/>
      <c r="P5805" s="5"/>
      <c r="Q5805" s="5"/>
      <c r="R5805" s="5"/>
      <c r="S5805" s="5"/>
      <c r="T5805" s="5"/>
      <c r="U5805" s="5"/>
      <c r="V5805" s="5"/>
      <c r="W5805" s="5"/>
      <c r="X5805" s="5"/>
      <c r="Y5805" s="5"/>
      <c r="Z5805" s="5"/>
    </row>
    <row r="5806" spans="1:26" ht="15" x14ac:dyDescent="0.25">
      <c r="A5806" s="4" t="s">
        <v>5804</v>
      </c>
      <c r="B5806" s="4" t="s">
        <v>4550</v>
      </c>
      <c r="C5806" s="2" t="str">
        <f ca="1">IFERROR(__xludf.DUMMYFUNCTION("GOOGLETRANSLATE(A5806,""bn"",""en"")"),"I bought the product from Amazon")</f>
        <v>I bought the product from Amazon</v>
      </c>
      <c r="D5806" s="5"/>
      <c r="E5806" s="5"/>
      <c r="F5806" s="5"/>
      <c r="G5806" s="5"/>
      <c r="H5806" s="5"/>
      <c r="I5806" s="5"/>
      <c r="J5806" s="5"/>
      <c r="K5806" s="5"/>
      <c r="L5806" s="5"/>
      <c r="M5806" s="5"/>
      <c r="N5806" s="5"/>
      <c r="O5806" s="5"/>
      <c r="P5806" s="5"/>
      <c r="Q5806" s="5"/>
      <c r="R5806" s="5"/>
      <c r="S5806" s="5"/>
      <c r="T5806" s="5"/>
      <c r="U5806" s="5"/>
      <c r="V5806" s="5"/>
      <c r="W5806" s="5"/>
      <c r="X5806" s="5"/>
      <c r="Y5806" s="5"/>
      <c r="Z5806" s="5"/>
    </row>
    <row r="5807" spans="1:26" ht="15" x14ac:dyDescent="0.25">
      <c r="A5807" s="4" t="s">
        <v>5805</v>
      </c>
      <c r="B5807" s="4" t="s">
        <v>4550</v>
      </c>
      <c r="C5807" s="2" t="str">
        <f ca="1">IFERROR(__xludf.DUMMYFUNCTION("GOOGLETRANSLATE(A5807,""bn"",""en"")"),"I used to communicate on the internet")</f>
        <v>I used to communicate on the internet</v>
      </c>
      <c r="D5807" s="5"/>
      <c r="E5807" s="5"/>
      <c r="F5807" s="5"/>
      <c r="G5807" s="5"/>
      <c r="H5807" s="5"/>
      <c r="I5807" s="5"/>
      <c r="J5807" s="5"/>
      <c r="K5807" s="5"/>
      <c r="L5807" s="5"/>
      <c r="M5807" s="5"/>
      <c r="N5807" s="5"/>
      <c r="O5807" s="5"/>
      <c r="P5807" s="5"/>
      <c r="Q5807" s="5"/>
      <c r="R5807" s="5"/>
      <c r="S5807" s="5"/>
      <c r="T5807" s="5"/>
      <c r="U5807" s="5"/>
      <c r="V5807" s="5"/>
      <c r="W5807" s="5"/>
      <c r="X5807" s="5"/>
      <c r="Y5807" s="5"/>
      <c r="Z5807" s="5"/>
    </row>
    <row r="5808" spans="1:26" ht="15" x14ac:dyDescent="0.25">
      <c r="A5808" s="4" t="s">
        <v>5806</v>
      </c>
      <c r="B5808" s="4" t="s">
        <v>4550</v>
      </c>
      <c r="C5808" s="2" t="str">
        <f ca="1">IFERROR(__xludf.DUMMYFUNCTION("GOOGLETRANSLATE(A5808,""bn"",""en"")"),"The infrastructure was changing")</f>
        <v>The infrastructure was changing</v>
      </c>
      <c r="D5808" s="5"/>
      <c r="E5808" s="5"/>
      <c r="F5808" s="5"/>
      <c r="G5808" s="5"/>
      <c r="H5808" s="5"/>
      <c r="I5808" s="5"/>
      <c r="J5808" s="5"/>
      <c r="K5808" s="5"/>
      <c r="L5808" s="5"/>
      <c r="M5808" s="5"/>
      <c r="N5808" s="5"/>
      <c r="O5808" s="5"/>
      <c r="P5808" s="5"/>
      <c r="Q5808" s="5"/>
      <c r="R5808" s="5"/>
      <c r="S5808" s="5"/>
      <c r="T5808" s="5"/>
      <c r="U5808" s="5"/>
      <c r="V5808" s="5"/>
      <c r="W5808" s="5"/>
      <c r="X5808" s="5"/>
      <c r="Y5808" s="5"/>
      <c r="Z5808" s="5"/>
    </row>
    <row r="5809" spans="1:26" ht="15" x14ac:dyDescent="0.25">
      <c r="A5809" s="4" t="s">
        <v>5807</v>
      </c>
      <c r="B5809" s="4" t="s">
        <v>4550</v>
      </c>
      <c r="C5809" s="2" t="str">
        <f ca="1">IFERROR(__xludf.DUMMYFUNCTION("GOOGLETRANSLATE(A5809,""bn"",""en"")"),"I used headphones")</f>
        <v>I used headphones</v>
      </c>
      <c r="D5809" s="5"/>
      <c r="E5809" s="5"/>
      <c r="F5809" s="5"/>
      <c r="G5809" s="5"/>
      <c r="H5809" s="5"/>
      <c r="I5809" s="5"/>
      <c r="J5809" s="5"/>
      <c r="K5809" s="5"/>
      <c r="L5809" s="5"/>
      <c r="M5809" s="5"/>
      <c r="N5809" s="5"/>
      <c r="O5809" s="5"/>
      <c r="P5809" s="5"/>
      <c r="Q5809" s="5"/>
      <c r="R5809" s="5"/>
      <c r="S5809" s="5"/>
      <c r="T5809" s="5"/>
      <c r="U5809" s="5"/>
      <c r="V5809" s="5"/>
      <c r="W5809" s="5"/>
      <c r="X5809" s="5"/>
      <c r="Y5809" s="5"/>
      <c r="Z5809" s="5"/>
    </row>
    <row r="5810" spans="1:26" ht="15" x14ac:dyDescent="0.25">
      <c r="A5810" s="4" t="s">
        <v>5808</v>
      </c>
      <c r="B5810" s="4" t="s">
        <v>4550</v>
      </c>
      <c r="C5810" s="2" t="str">
        <f ca="1">IFERROR(__xludf.DUMMYFUNCTION("GOOGLETRANSLATE(A5810,""bn"",""en"")"),"The problem was being solved")</f>
        <v>The problem was being solved</v>
      </c>
      <c r="D5810" s="5"/>
      <c r="E5810" s="5"/>
      <c r="F5810" s="5"/>
      <c r="G5810" s="5"/>
      <c r="H5810" s="5"/>
      <c r="I5810" s="5"/>
      <c r="J5810" s="5"/>
      <c r="K5810" s="5"/>
      <c r="L5810" s="5"/>
      <c r="M5810" s="5"/>
      <c r="N5810" s="5"/>
      <c r="O5810" s="5"/>
      <c r="P5810" s="5"/>
      <c r="Q5810" s="5"/>
      <c r="R5810" s="5"/>
      <c r="S5810" s="5"/>
      <c r="T5810" s="5"/>
      <c r="U5810" s="5"/>
      <c r="V5810" s="5"/>
      <c r="W5810" s="5"/>
      <c r="X5810" s="5"/>
      <c r="Y5810" s="5"/>
      <c r="Z5810" s="5"/>
    </row>
    <row r="5811" spans="1:26" ht="15" x14ac:dyDescent="0.25">
      <c r="A5811" s="4" t="s">
        <v>5809</v>
      </c>
      <c r="B5811" s="4" t="s">
        <v>4550</v>
      </c>
      <c r="C5811" s="2" t="str">
        <f ca="1">IFERROR(__xludf.DUMMYFUNCTION("GOOGLETRANSLATE(A5811,""bn"",""en"")"),"He was thinking about the afterlife")</f>
        <v>He was thinking about the afterlife</v>
      </c>
      <c r="D5811" s="5"/>
      <c r="E5811" s="5"/>
      <c r="F5811" s="5"/>
      <c r="G5811" s="5"/>
      <c r="H5811" s="5"/>
      <c r="I5811" s="5"/>
      <c r="J5811" s="5"/>
      <c r="K5811" s="5"/>
      <c r="L5811" s="5"/>
      <c r="M5811" s="5"/>
      <c r="N5811" s="5"/>
      <c r="O5811" s="5"/>
      <c r="P5811" s="5"/>
      <c r="Q5811" s="5"/>
      <c r="R5811" s="5"/>
      <c r="S5811" s="5"/>
      <c r="T5811" s="5"/>
      <c r="U5811" s="5"/>
      <c r="V5811" s="5"/>
      <c r="W5811" s="5"/>
      <c r="X5811" s="5"/>
      <c r="Y5811" s="5"/>
      <c r="Z5811" s="5"/>
    </row>
    <row r="5812" spans="1:26" ht="15" x14ac:dyDescent="0.25">
      <c r="A5812" s="4" t="s">
        <v>5810</v>
      </c>
      <c r="B5812" s="4" t="s">
        <v>4550</v>
      </c>
      <c r="C5812" s="2" t="str">
        <f ca="1">IFERROR(__xludf.DUMMYFUNCTION("GOOGLETRANSLATE(A5812,""bn"",""en"")"),"You helped street children")</f>
        <v>You helped street children</v>
      </c>
      <c r="D5812" s="5"/>
      <c r="E5812" s="5"/>
      <c r="F5812" s="5"/>
      <c r="G5812" s="5"/>
      <c r="H5812" s="5"/>
      <c r="I5812" s="5"/>
      <c r="J5812" s="5"/>
      <c r="K5812" s="5"/>
      <c r="L5812" s="5"/>
      <c r="M5812" s="5"/>
      <c r="N5812" s="5"/>
      <c r="O5812" s="5"/>
      <c r="P5812" s="5"/>
      <c r="Q5812" s="5"/>
      <c r="R5812" s="5"/>
      <c r="S5812" s="5"/>
      <c r="T5812" s="5"/>
      <c r="U5812" s="5"/>
      <c r="V5812" s="5"/>
      <c r="W5812" s="5"/>
      <c r="X5812" s="5"/>
      <c r="Y5812" s="5"/>
      <c r="Z5812" s="5"/>
    </row>
    <row r="5813" spans="1:26" ht="15" x14ac:dyDescent="0.25">
      <c r="A5813" s="4" t="s">
        <v>5811</v>
      </c>
      <c r="B5813" s="4" t="s">
        <v>4550</v>
      </c>
      <c r="C5813" s="2" t="str">
        <f ca="1">IFERROR(__xludf.DUMMYFUNCTION("GOOGLETRANSLATE(A5813,""bn"",""en"")"),"They had wandered")</f>
        <v>They had wandered</v>
      </c>
      <c r="D5813" s="5"/>
      <c r="E5813" s="5"/>
      <c r="F5813" s="5"/>
      <c r="G5813" s="5"/>
      <c r="H5813" s="5"/>
      <c r="I5813" s="5"/>
      <c r="J5813" s="5"/>
      <c r="K5813" s="5"/>
      <c r="L5813" s="5"/>
      <c r="M5813" s="5"/>
      <c r="N5813" s="5"/>
      <c r="O5813" s="5"/>
      <c r="P5813" s="5"/>
      <c r="Q5813" s="5"/>
      <c r="R5813" s="5"/>
      <c r="S5813" s="5"/>
      <c r="T5813" s="5"/>
      <c r="U5813" s="5"/>
      <c r="V5813" s="5"/>
      <c r="W5813" s="5"/>
      <c r="X5813" s="5"/>
      <c r="Y5813" s="5"/>
      <c r="Z5813" s="5"/>
    </row>
    <row r="5814" spans="1:26" ht="15" x14ac:dyDescent="0.25">
      <c r="A5814" s="4" t="s">
        <v>5812</v>
      </c>
      <c r="B5814" s="4" t="s">
        <v>4550</v>
      </c>
      <c r="C5814" s="2" t="str">
        <f ca="1">IFERROR(__xludf.DUMMYFUNCTION("GOOGLETRANSLATE(A5814,""bn"",""en"")"),"Was addicted online")</f>
        <v>Was addicted online</v>
      </c>
      <c r="D5814" s="5"/>
      <c r="E5814" s="5"/>
      <c r="F5814" s="5"/>
      <c r="G5814" s="5"/>
      <c r="H5814" s="5"/>
      <c r="I5814" s="5"/>
      <c r="J5814" s="5"/>
      <c r="K5814" s="5"/>
      <c r="L5814" s="5"/>
      <c r="M5814" s="5"/>
      <c r="N5814" s="5"/>
      <c r="O5814" s="5"/>
      <c r="P5814" s="5"/>
      <c r="Q5814" s="5"/>
      <c r="R5814" s="5"/>
      <c r="S5814" s="5"/>
      <c r="T5814" s="5"/>
      <c r="U5814" s="5"/>
      <c r="V5814" s="5"/>
      <c r="W5814" s="5"/>
      <c r="X5814" s="5"/>
      <c r="Y5814" s="5"/>
      <c r="Z5814" s="5"/>
    </row>
    <row r="5815" spans="1:26" ht="15" x14ac:dyDescent="0.25">
      <c r="A5815" s="4" t="s">
        <v>5813</v>
      </c>
      <c r="B5815" s="4" t="s">
        <v>4550</v>
      </c>
      <c r="C5815" s="2" t="str">
        <f ca="1">IFERROR(__xludf.DUMMYFUNCTION("GOOGLETRANSLATE(A5815,""bn"",""en"")"),"I was using the server")</f>
        <v>I was using the server</v>
      </c>
      <c r="D5815" s="5"/>
      <c r="E5815" s="5"/>
      <c r="F5815" s="5"/>
      <c r="G5815" s="5"/>
      <c r="H5815" s="5"/>
      <c r="I5815" s="5"/>
      <c r="J5815" s="5"/>
      <c r="K5815" s="5"/>
      <c r="L5815" s="5"/>
      <c r="M5815" s="5"/>
      <c r="N5815" s="5"/>
      <c r="O5815" s="5"/>
      <c r="P5815" s="5"/>
      <c r="Q5815" s="5"/>
      <c r="R5815" s="5"/>
      <c r="S5815" s="5"/>
      <c r="T5815" s="5"/>
      <c r="U5815" s="5"/>
      <c r="V5815" s="5"/>
      <c r="W5815" s="5"/>
      <c r="X5815" s="5"/>
      <c r="Y5815" s="5"/>
      <c r="Z5815" s="5"/>
    </row>
    <row r="5816" spans="1:26" ht="15" x14ac:dyDescent="0.25">
      <c r="A5816" s="4" t="s">
        <v>5814</v>
      </c>
      <c r="B5816" s="4" t="s">
        <v>4550</v>
      </c>
      <c r="C5816" s="2" t="str">
        <f ca="1">IFERROR(__xludf.DUMMYFUNCTION("GOOGLETRANSLATE(A5816,""bn"",""en"")"),"Providing new server")</f>
        <v>Providing new server</v>
      </c>
      <c r="D5816" s="5"/>
      <c r="E5816" s="5"/>
      <c r="F5816" s="5"/>
      <c r="G5816" s="5"/>
      <c r="H5816" s="5"/>
      <c r="I5816" s="5"/>
      <c r="J5816" s="5"/>
      <c r="K5816" s="5"/>
      <c r="L5816" s="5"/>
      <c r="M5816" s="5"/>
      <c r="N5816" s="5"/>
      <c r="O5816" s="5"/>
      <c r="P5816" s="5"/>
      <c r="Q5816" s="5"/>
      <c r="R5816" s="5"/>
      <c r="S5816" s="5"/>
      <c r="T5816" s="5"/>
      <c r="U5816" s="5"/>
      <c r="V5816" s="5"/>
      <c r="W5816" s="5"/>
      <c r="X5816" s="5"/>
      <c r="Y5816" s="5"/>
      <c r="Z5816" s="5"/>
    </row>
    <row r="5817" spans="1:26" ht="15" x14ac:dyDescent="0.25">
      <c r="A5817" s="4" t="s">
        <v>5815</v>
      </c>
      <c r="B5817" s="4" t="s">
        <v>4550</v>
      </c>
      <c r="C5817" s="2" t="str">
        <f ca="1">IFERROR(__xludf.DUMMYFUNCTION("GOOGLETRANSLATE(A5817,""bn"",""en"")"),"A circus was organized in the fair")</f>
        <v>A circus was organized in the fair</v>
      </c>
      <c r="D5817" s="5"/>
      <c r="E5817" s="5"/>
      <c r="F5817" s="5"/>
      <c r="G5817" s="5"/>
      <c r="H5817" s="5"/>
      <c r="I5817" s="5"/>
      <c r="J5817" s="5"/>
      <c r="K5817" s="5"/>
      <c r="L5817" s="5"/>
      <c r="M5817" s="5"/>
      <c r="N5817" s="5"/>
      <c r="O5817" s="5"/>
      <c r="P5817" s="5"/>
      <c r="Q5817" s="5"/>
      <c r="R5817" s="5"/>
      <c r="S5817" s="5"/>
      <c r="T5817" s="5"/>
      <c r="U5817" s="5"/>
      <c r="V5817" s="5"/>
      <c r="W5817" s="5"/>
      <c r="X5817" s="5"/>
      <c r="Y5817" s="5"/>
      <c r="Z5817" s="5"/>
    </row>
    <row r="5818" spans="1:26" ht="15" x14ac:dyDescent="0.25">
      <c r="A5818" s="4" t="s">
        <v>5816</v>
      </c>
      <c r="B5818" s="4" t="s">
        <v>4550</v>
      </c>
      <c r="C5818" s="2" t="str">
        <f ca="1">IFERROR(__xludf.DUMMYFUNCTION("GOOGLETRANSLATE(A5818,""bn"",""en"")"),"I went to study history")</f>
        <v>I went to study history</v>
      </c>
      <c r="D5818" s="5"/>
      <c r="E5818" s="5"/>
      <c r="F5818" s="5"/>
      <c r="G5818" s="5"/>
      <c r="H5818" s="5"/>
      <c r="I5818" s="5"/>
      <c r="J5818" s="5"/>
      <c r="K5818" s="5"/>
      <c r="L5818" s="5"/>
      <c r="M5818" s="5"/>
      <c r="N5818" s="5"/>
      <c r="O5818" s="5"/>
      <c r="P5818" s="5"/>
      <c r="Q5818" s="5"/>
      <c r="R5818" s="5"/>
      <c r="S5818" s="5"/>
      <c r="T5818" s="5"/>
      <c r="U5818" s="5"/>
      <c r="V5818" s="5"/>
      <c r="W5818" s="5"/>
      <c r="X5818" s="5"/>
      <c r="Y5818" s="5"/>
      <c r="Z5818" s="5"/>
    </row>
    <row r="5819" spans="1:26" ht="15" x14ac:dyDescent="0.25">
      <c r="A5819" s="4" t="s">
        <v>5817</v>
      </c>
      <c r="B5819" s="4" t="s">
        <v>4550</v>
      </c>
      <c r="C5819" s="2" t="str">
        <f ca="1">IFERROR(__xludf.DUMMYFUNCTION("GOOGLETRANSLATE(A5819,""bn"",""en"")"),"I was a beginner")</f>
        <v>I was a beginner</v>
      </c>
      <c r="D5819" s="5"/>
      <c r="E5819" s="5"/>
      <c r="F5819" s="5"/>
      <c r="G5819" s="5"/>
      <c r="H5819" s="5"/>
      <c r="I5819" s="5"/>
      <c r="J5819" s="5"/>
      <c r="K5819" s="5"/>
      <c r="L5819" s="5"/>
      <c r="M5819" s="5"/>
      <c r="N5819" s="5"/>
      <c r="O5819" s="5"/>
      <c r="P5819" s="5"/>
      <c r="Q5819" s="5"/>
      <c r="R5819" s="5"/>
      <c r="S5819" s="5"/>
      <c r="T5819" s="5"/>
      <c r="U5819" s="5"/>
      <c r="V5819" s="5"/>
      <c r="W5819" s="5"/>
      <c r="X5819" s="5"/>
      <c r="Y5819" s="5"/>
      <c r="Z5819" s="5"/>
    </row>
    <row r="5820" spans="1:26" ht="15" x14ac:dyDescent="0.25">
      <c r="A5820" s="4" t="s">
        <v>5818</v>
      </c>
      <c r="B5820" s="4" t="s">
        <v>4550</v>
      </c>
      <c r="C5820" s="2" t="str">
        <f ca="1">IFERROR(__xludf.DUMMYFUNCTION("GOOGLETRANSLATE(A5820,""bn"",""en"")"),"I learned to use a smartphone")</f>
        <v>I learned to use a smartphone</v>
      </c>
      <c r="D5820" s="5"/>
      <c r="E5820" s="5"/>
      <c r="F5820" s="5"/>
      <c r="G5820" s="5"/>
      <c r="H5820" s="5"/>
      <c r="I5820" s="5"/>
      <c r="J5820" s="5"/>
      <c r="K5820" s="5"/>
      <c r="L5820" s="5"/>
      <c r="M5820" s="5"/>
      <c r="N5820" s="5"/>
      <c r="O5820" s="5"/>
      <c r="P5820" s="5"/>
      <c r="Q5820" s="5"/>
      <c r="R5820" s="5"/>
      <c r="S5820" s="5"/>
      <c r="T5820" s="5"/>
      <c r="U5820" s="5"/>
      <c r="V5820" s="5"/>
      <c r="W5820" s="5"/>
      <c r="X5820" s="5"/>
      <c r="Y5820" s="5"/>
      <c r="Z5820" s="5"/>
    </row>
    <row r="5821" spans="1:26" ht="15" x14ac:dyDescent="0.25">
      <c r="A5821" s="4" t="s">
        <v>5819</v>
      </c>
      <c r="B5821" s="4" t="s">
        <v>4550</v>
      </c>
      <c r="C5821" s="2" t="str">
        <f ca="1">IFERROR(__xludf.DUMMYFUNCTION("GOOGLETRANSLATE(A5821,""bn"",""en"")"),"Was happy on the trip")</f>
        <v>Was happy on the trip</v>
      </c>
      <c r="D5821" s="5"/>
      <c r="E5821" s="5"/>
      <c r="F5821" s="5"/>
      <c r="G5821" s="5"/>
      <c r="H5821" s="5"/>
      <c r="I5821" s="5"/>
      <c r="J5821" s="5"/>
      <c r="K5821" s="5"/>
      <c r="L5821" s="5"/>
      <c r="M5821" s="5"/>
      <c r="N5821" s="5"/>
      <c r="O5821" s="5"/>
      <c r="P5821" s="5"/>
      <c r="Q5821" s="5"/>
      <c r="R5821" s="5"/>
      <c r="S5821" s="5"/>
      <c r="T5821" s="5"/>
      <c r="U5821" s="5"/>
      <c r="V5821" s="5"/>
      <c r="W5821" s="5"/>
      <c r="X5821" s="5"/>
      <c r="Y5821" s="5"/>
      <c r="Z5821" s="5"/>
    </row>
    <row r="5822" spans="1:26" ht="15" x14ac:dyDescent="0.25">
      <c r="A5822" s="4" t="s">
        <v>5820</v>
      </c>
      <c r="B5822" s="4" t="s">
        <v>4550</v>
      </c>
      <c r="C5822" s="2" t="str">
        <f ca="1">IFERROR(__xludf.DUMMYFUNCTION("GOOGLETRANSLATE(A5822,""bn"",""en"")"),"I crossed the sea")</f>
        <v>I crossed the sea</v>
      </c>
      <c r="D5822" s="5"/>
      <c r="E5822" s="5"/>
      <c r="F5822" s="5"/>
      <c r="G5822" s="5"/>
      <c r="H5822" s="5"/>
      <c r="I5822" s="5"/>
      <c r="J5822" s="5"/>
      <c r="K5822" s="5"/>
      <c r="L5822" s="5"/>
      <c r="M5822" s="5"/>
      <c r="N5822" s="5"/>
      <c r="O5822" s="5"/>
      <c r="P5822" s="5"/>
      <c r="Q5822" s="5"/>
      <c r="R5822" s="5"/>
      <c r="S5822" s="5"/>
      <c r="T5822" s="5"/>
      <c r="U5822" s="5"/>
      <c r="V5822" s="5"/>
      <c r="W5822" s="5"/>
      <c r="X5822" s="5"/>
      <c r="Y5822" s="5"/>
      <c r="Z5822" s="5"/>
    </row>
    <row r="5823" spans="1:26" ht="15" x14ac:dyDescent="0.25">
      <c r="A5823" s="4" t="s">
        <v>5821</v>
      </c>
      <c r="B5823" s="4" t="s">
        <v>4550</v>
      </c>
      <c r="C5823" s="2" t="str">
        <f ca="1">IFERROR(__xludf.DUMMYFUNCTION("GOOGLETRANSLATE(A5823,""bn"",""en"")"),"I accepted banking services")</f>
        <v>I accepted banking services</v>
      </c>
      <c r="D5823" s="5"/>
      <c r="E5823" s="5"/>
      <c r="F5823" s="5"/>
      <c r="G5823" s="5"/>
      <c r="H5823" s="5"/>
      <c r="I5823" s="5"/>
      <c r="J5823" s="5"/>
      <c r="K5823" s="5"/>
      <c r="L5823" s="5"/>
      <c r="M5823" s="5"/>
      <c r="N5823" s="5"/>
      <c r="O5823" s="5"/>
      <c r="P5823" s="5"/>
      <c r="Q5823" s="5"/>
      <c r="R5823" s="5"/>
      <c r="S5823" s="5"/>
      <c r="T5823" s="5"/>
      <c r="U5823" s="5"/>
      <c r="V5823" s="5"/>
      <c r="W5823" s="5"/>
      <c r="X5823" s="5"/>
      <c r="Y5823" s="5"/>
      <c r="Z5823" s="5"/>
    </row>
    <row r="5824" spans="1:26" ht="15" x14ac:dyDescent="0.25">
      <c r="A5824" s="4" t="s">
        <v>5822</v>
      </c>
      <c r="B5824" s="4" t="s">
        <v>4550</v>
      </c>
      <c r="C5824" s="2" t="str">
        <f ca="1">IFERROR(__xludf.DUMMYFUNCTION("GOOGLETRANSLATE(A5824,""bn"",""en"")"),"I enjoyed the music")</f>
        <v>I enjoyed the music</v>
      </c>
      <c r="D5824" s="5"/>
      <c r="E5824" s="5"/>
      <c r="F5824" s="5"/>
      <c r="G5824" s="5"/>
      <c r="H5824" s="5"/>
      <c r="I5824" s="5"/>
      <c r="J5824" s="5"/>
      <c r="K5824" s="5"/>
      <c r="L5824" s="5"/>
      <c r="M5824" s="5"/>
      <c r="N5824" s="5"/>
      <c r="O5824" s="5"/>
      <c r="P5824" s="5"/>
      <c r="Q5824" s="5"/>
      <c r="R5824" s="5"/>
      <c r="S5824" s="5"/>
      <c r="T5824" s="5"/>
      <c r="U5824" s="5"/>
      <c r="V5824" s="5"/>
      <c r="W5824" s="5"/>
      <c r="X5824" s="5"/>
      <c r="Y5824" s="5"/>
      <c r="Z5824" s="5"/>
    </row>
    <row r="5825" spans="1:26" ht="15" x14ac:dyDescent="0.25">
      <c r="A5825" s="4" t="s">
        <v>5823</v>
      </c>
      <c r="B5825" s="4" t="s">
        <v>4550</v>
      </c>
      <c r="C5825" s="2" t="str">
        <f ca="1">IFERROR(__xludf.DUMMYFUNCTION("GOOGLETRANSLATE(A5825,""bn"",""en"")"),"Account secured")</f>
        <v>Account secured</v>
      </c>
      <c r="D5825" s="5"/>
      <c r="E5825" s="5"/>
      <c r="F5825" s="5"/>
      <c r="G5825" s="5"/>
      <c r="H5825" s="5"/>
      <c r="I5825" s="5"/>
      <c r="J5825" s="5"/>
      <c r="K5825" s="5"/>
      <c r="L5825" s="5"/>
      <c r="M5825" s="5"/>
      <c r="N5825" s="5"/>
      <c r="O5825" s="5"/>
      <c r="P5825" s="5"/>
      <c r="Q5825" s="5"/>
      <c r="R5825" s="5"/>
      <c r="S5825" s="5"/>
      <c r="T5825" s="5"/>
      <c r="U5825" s="5"/>
      <c r="V5825" s="5"/>
      <c r="W5825" s="5"/>
      <c r="X5825" s="5"/>
      <c r="Y5825" s="5"/>
      <c r="Z5825" s="5"/>
    </row>
    <row r="5826" spans="1:26" ht="15" x14ac:dyDescent="0.25">
      <c r="A5826" s="4" t="s">
        <v>5824</v>
      </c>
      <c r="B5826" s="4" t="s">
        <v>4550</v>
      </c>
      <c r="C5826" s="2" t="str">
        <f ca="1">IFERROR(__xludf.DUMMYFUNCTION("GOOGLETRANSLATE(A5826,""bn"",""en"")"),"We did the research")</f>
        <v>We did the research</v>
      </c>
      <c r="D5826" s="5"/>
      <c r="E5826" s="5"/>
      <c r="F5826" s="5"/>
      <c r="G5826" s="5"/>
      <c r="H5826" s="5"/>
      <c r="I5826" s="5"/>
      <c r="J5826" s="5"/>
      <c r="K5826" s="5"/>
      <c r="L5826" s="5"/>
      <c r="M5826" s="5"/>
      <c r="N5826" s="5"/>
      <c r="O5826" s="5"/>
      <c r="P5826" s="5"/>
      <c r="Q5826" s="5"/>
      <c r="R5826" s="5"/>
      <c r="S5826" s="5"/>
      <c r="T5826" s="5"/>
      <c r="U5826" s="5"/>
      <c r="V5826" s="5"/>
      <c r="W5826" s="5"/>
      <c r="X5826" s="5"/>
      <c r="Y5826" s="5"/>
      <c r="Z5826" s="5"/>
    </row>
    <row r="5827" spans="1:26" ht="15" x14ac:dyDescent="0.25">
      <c r="A5827" s="4" t="s">
        <v>5825</v>
      </c>
      <c r="B5827" s="4" t="s">
        <v>4550</v>
      </c>
      <c r="C5827" s="2" t="str">
        <f ca="1">IFERROR(__xludf.DUMMYFUNCTION("GOOGLETRANSLATE(A5827,""bn"",""en"")"),"I earned respect by doing research")</f>
        <v>I earned respect by doing research</v>
      </c>
      <c r="D5827" s="5"/>
      <c r="E5827" s="5"/>
      <c r="F5827" s="5"/>
      <c r="G5827" s="5"/>
      <c r="H5827" s="5"/>
      <c r="I5827" s="5"/>
      <c r="J5827" s="5"/>
      <c r="K5827" s="5"/>
      <c r="L5827" s="5"/>
      <c r="M5827" s="5"/>
      <c r="N5827" s="5"/>
      <c r="O5827" s="5"/>
      <c r="P5827" s="5"/>
      <c r="Q5827" s="5"/>
      <c r="R5827" s="5"/>
      <c r="S5827" s="5"/>
      <c r="T5827" s="5"/>
      <c r="U5827" s="5"/>
      <c r="V5827" s="5"/>
      <c r="W5827" s="5"/>
      <c r="X5827" s="5"/>
      <c r="Y5827" s="5"/>
      <c r="Z5827" s="5"/>
    </row>
    <row r="5828" spans="1:26" ht="15" x14ac:dyDescent="0.25">
      <c r="A5828" s="4" t="s">
        <v>5826</v>
      </c>
      <c r="B5828" s="4" t="s">
        <v>4550</v>
      </c>
      <c r="C5828" s="2" t="str">
        <f ca="1">IFERROR(__xludf.DUMMYFUNCTION("GOOGLETRANSLATE(A5828,""bn"",""en"")"),"I heard the story on the mobile phone")</f>
        <v>I heard the story on the mobile phone</v>
      </c>
      <c r="D5828" s="5"/>
      <c r="E5828" s="5"/>
      <c r="F5828" s="5"/>
      <c r="G5828" s="5"/>
      <c r="H5828" s="5"/>
      <c r="I5828" s="5"/>
      <c r="J5828" s="5"/>
      <c r="K5828" s="5"/>
      <c r="L5828" s="5"/>
      <c r="M5828" s="5"/>
      <c r="N5828" s="5"/>
      <c r="O5828" s="5"/>
      <c r="P5828" s="5"/>
      <c r="Q5828" s="5"/>
      <c r="R5828" s="5"/>
      <c r="S5828" s="5"/>
      <c r="T5828" s="5"/>
      <c r="U5828" s="5"/>
      <c r="V5828" s="5"/>
      <c r="W5828" s="5"/>
      <c r="X5828" s="5"/>
      <c r="Y5828" s="5"/>
      <c r="Z5828" s="5"/>
    </row>
    <row r="5829" spans="1:26" ht="15" x14ac:dyDescent="0.25">
      <c r="A5829" s="4" t="s">
        <v>5827</v>
      </c>
      <c r="B5829" s="4" t="s">
        <v>4550</v>
      </c>
      <c r="C5829" s="2" t="str">
        <f ca="1">IFERROR(__xludf.DUMMYFUNCTION("GOOGLETRANSLATE(A5829,""bn"",""en"")"),"I listened to the story on the mobile phone")</f>
        <v>I listened to the story on the mobile phone</v>
      </c>
      <c r="D5829" s="5"/>
      <c r="E5829" s="5"/>
      <c r="F5829" s="5"/>
      <c r="G5829" s="5"/>
      <c r="H5829" s="5"/>
      <c r="I5829" s="5"/>
      <c r="J5829" s="5"/>
      <c r="K5829" s="5"/>
      <c r="L5829" s="5"/>
      <c r="M5829" s="5"/>
      <c r="N5829" s="5"/>
      <c r="O5829" s="5"/>
      <c r="P5829" s="5"/>
      <c r="Q5829" s="5"/>
      <c r="R5829" s="5"/>
      <c r="S5829" s="5"/>
      <c r="T5829" s="5"/>
      <c r="U5829" s="5"/>
      <c r="V5829" s="5"/>
      <c r="W5829" s="5"/>
      <c r="X5829" s="5"/>
      <c r="Y5829" s="5"/>
      <c r="Z5829" s="5"/>
    </row>
    <row r="5830" spans="1:26" ht="15" x14ac:dyDescent="0.25">
      <c r="A5830" s="4" t="s">
        <v>5828</v>
      </c>
      <c r="B5830" s="4" t="s">
        <v>4550</v>
      </c>
      <c r="C5830" s="2" t="str">
        <f ca="1">IFERROR(__xludf.DUMMYFUNCTION("GOOGLETRANSLATE(A5830,""bn"",""en"")"),"I used GPS")</f>
        <v>I used GPS</v>
      </c>
      <c r="D5830" s="5"/>
      <c r="E5830" s="5"/>
      <c r="F5830" s="5"/>
      <c r="G5830" s="5"/>
      <c r="H5830" s="5"/>
      <c r="I5830" s="5"/>
      <c r="J5830" s="5"/>
      <c r="K5830" s="5"/>
      <c r="L5830" s="5"/>
      <c r="M5830" s="5"/>
      <c r="N5830" s="5"/>
      <c r="O5830" s="5"/>
      <c r="P5830" s="5"/>
      <c r="Q5830" s="5"/>
      <c r="R5830" s="5"/>
      <c r="S5830" s="5"/>
      <c r="T5830" s="5"/>
      <c r="U5830" s="5"/>
      <c r="V5830" s="5"/>
      <c r="W5830" s="5"/>
      <c r="X5830" s="5"/>
      <c r="Y5830" s="5"/>
      <c r="Z5830" s="5"/>
    </row>
    <row r="5831" spans="1:26" ht="15" x14ac:dyDescent="0.25">
      <c r="A5831" s="4" t="s">
        <v>5829</v>
      </c>
      <c r="B5831" s="4" t="s">
        <v>4550</v>
      </c>
      <c r="C5831" s="2" t="str">
        <f ca="1">IFERROR(__xludf.DUMMYFUNCTION("GOOGLETRANSLATE(A5831,""bn"",""en"")"),"I read jokes online")</f>
        <v>I read jokes online</v>
      </c>
      <c r="D5831" s="5"/>
      <c r="E5831" s="5"/>
      <c r="F5831" s="5"/>
      <c r="G5831" s="5"/>
      <c r="H5831" s="5"/>
      <c r="I5831" s="5"/>
      <c r="J5831" s="5"/>
      <c r="K5831" s="5"/>
      <c r="L5831" s="5"/>
      <c r="M5831" s="5"/>
      <c r="N5831" s="5"/>
      <c r="O5831" s="5"/>
      <c r="P5831" s="5"/>
      <c r="Q5831" s="5"/>
      <c r="R5831" s="5"/>
      <c r="S5831" s="5"/>
      <c r="T5831" s="5"/>
      <c r="U5831" s="5"/>
      <c r="V5831" s="5"/>
      <c r="W5831" s="5"/>
      <c r="X5831" s="5"/>
      <c r="Y5831" s="5"/>
      <c r="Z5831" s="5"/>
    </row>
    <row r="5832" spans="1:26" ht="15" x14ac:dyDescent="0.25">
      <c r="A5832" s="4" t="s">
        <v>5830</v>
      </c>
      <c r="B5832" s="4" t="s">
        <v>4550</v>
      </c>
      <c r="C5832" s="2" t="str">
        <f ca="1">IFERROR(__xludf.DUMMYFUNCTION("GOOGLETRANSLATE(A5832,""bn"",""en"")"),"I used ROM")</f>
        <v>I used ROM</v>
      </c>
      <c r="D5832" s="5"/>
      <c r="E5832" s="5"/>
      <c r="F5832" s="5"/>
      <c r="G5832" s="5"/>
      <c r="H5832" s="5"/>
      <c r="I5832" s="5"/>
      <c r="J5832" s="5"/>
      <c r="K5832" s="5"/>
      <c r="L5832" s="5"/>
      <c r="M5832" s="5"/>
      <c r="N5832" s="5"/>
      <c r="O5832" s="5"/>
      <c r="P5832" s="5"/>
      <c r="Q5832" s="5"/>
      <c r="R5832" s="5"/>
      <c r="S5832" s="5"/>
      <c r="T5832" s="5"/>
      <c r="U5832" s="5"/>
      <c r="V5832" s="5"/>
      <c r="W5832" s="5"/>
      <c r="X5832" s="5"/>
      <c r="Y5832" s="5"/>
      <c r="Z5832" s="5"/>
    </row>
    <row r="5833" spans="1:26" ht="15" x14ac:dyDescent="0.25">
      <c r="A5833" s="4" t="s">
        <v>5831</v>
      </c>
      <c r="B5833" s="4" t="s">
        <v>4550</v>
      </c>
      <c r="C5833" s="2" t="str">
        <f ca="1">IFERROR(__xludf.DUMMYFUNCTION("GOOGLETRANSLATE(A5833,""bn"",""en"")"),"The doctor saw the patient")</f>
        <v>The doctor saw the patient</v>
      </c>
      <c r="D5833" s="5"/>
      <c r="E5833" s="5"/>
      <c r="F5833" s="5"/>
      <c r="G5833" s="5"/>
      <c r="H5833" s="5"/>
      <c r="I5833" s="5"/>
      <c r="J5833" s="5"/>
      <c r="K5833" s="5"/>
      <c r="L5833" s="5"/>
      <c r="M5833" s="5"/>
      <c r="N5833" s="5"/>
      <c r="O5833" s="5"/>
      <c r="P5833" s="5"/>
      <c r="Q5833" s="5"/>
      <c r="R5833" s="5"/>
      <c r="S5833" s="5"/>
      <c r="T5833" s="5"/>
      <c r="U5833" s="5"/>
      <c r="V5833" s="5"/>
      <c r="W5833" s="5"/>
      <c r="X5833" s="5"/>
      <c r="Y5833" s="5"/>
      <c r="Z5833" s="5"/>
    </row>
    <row r="5834" spans="1:26" ht="15" x14ac:dyDescent="0.25">
      <c r="A5834" s="4" t="s">
        <v>5832</v>
      </c>
      <c r="B5834" s="4" t="s">
        <v>4550</v>
      </c>
      <c r="C5834" s="2" t="str">
        <f ca="1">IFERROR(__xludf.DUMMYFUNCTION("GOOGLETRANSLATE(A5834,""bn"",""en"")"),"I was spending time in media")</f>
        <v>I was spending time in media</v>
      </c>
      <c r="D5834" s="5"/>
      <c r="E5834" s="5"/>
      <c r="F5834" s="5"/>
      <c r="G5834" s="5"/>
      <c r="H5834" s="5"/>
      <c r="I5834" s="5"/>
      <c r="J5834" s="5"/>
      <c r="K5834" s="5"/>
      <c r="L5834" s="5"/>
      <c r="M5834" s="5"/>
      <c r="N5834" s="5"/>
      <c r="O5834" s="5"/>
      <c r="P5834" s="5"/>
      <c r="Q5834" s="5"/>
      <c r="R5834" s="5"/>
      <c r="S5834" s="5"/>
      <c r="T5834" s="5"/>
      <c r="U5834" s="5"/>
      <c r="V5834" s="5"/>
      <c r="W5834" s="5"/>
      <c r="X5834" s="5"/>
      <c r="Y5834" s="5"/>
      <c r="Z5834" s="5"/>
    </row>
    <row r="5835" spans="1:26" ht="15" x14ac:dyDescent="0.25">
      <c r="A5835" s="4" t="s">
        <v>5833</v>
      </c>
      <c r="B5835" s="4" t="s">
        <v>4550</v>
      </c>
      <c r="C5835" s="2" t="str">
        <f ca="1">IFERROR(__xludf.DUMMYFUNCTION("GOOGLETRANSLATE(A5835,""bn"",""en"")"),"I am an account holder")</f>
        <v>I am an account holder</v>
      </c>
      <c r="D5835" s="5"/>
      <c r="E5835" s="5"/>
      <c r="F5835" s="5"/>
      <c r="G5835" s="5"/>
      <c r="H5835" s="5"/>
      <c r="I5835" s="5"/>
      <c r="J5835" s="5"/>
      <c r="K5835" s="5"/>
      <c r="L5835" s="5"/>
      <c r="M5835" s="5"/>
      <c r="N5835" s="5"/>
      <c r="O5835" s="5"/>
      <c r="P5835" s="5"/>
      <c r="Q5835" s="5"/>
      <c r="R5835" s="5"/>
      <c r="S5835" s="5"/>
      <c r="T5835" s="5"/>
      <c r="U5835" s="5"/>
      <c r="V5835" s="5"/>
      <c r="W5835" s="5"/>
      <c r="X5835" s="5"/>
      <c r="Y5835" s="5"/>
      <c r="Z5835" s="5"/>
    </row>
    <row r="5836" spans="1:26" ht="15" x14ac:dyDescent="0.25">
      <c r="A5836" s="4" t="s">
        <v>5834</v>
      </c>
      <c r="B5836" s="4" t="s">
        <v>4550</v>
      </c>
      <c r="C5836" s="2" t="str">
        <f ca="1">IFERROR(__xludf.DUMMYFUNCTION("GOOGLETRANSLATE(A5836,""bn"",""en"")"),"I read the news on the website")</f>
        <v>I read the news on the website</v>
      </c>
      <c r="D5836" s="5"/>
      <c r="E5836" s="5"/>
      <c r="F5836" s="5"/>
      <c r="G5836" s="5"/>
      <c r="H5836" s="5"/>
      <c r="I5836" s="5"/>
      <c r="J5836" s="5"/>
      <c r="K5836" s="5"/>
      <c r="L5836" s="5"/>
      <c r="M5836" s="5"/>
      <c r="N5836" s="5"/>
      <c r="O5836" s="5"/>
      <c r="P5836" s="5"/>
      <c r="Q5836" s="5"/>
      <c r="R5836" s="5"/>
      <c r="S5836" s="5"/>
      <c r="T5836" s="5"/>
      <c r="U5836" s="5"/>
      <c r="V5836" s="5"/>
      <c r="W5836" s="5"/>
      <c r="X5836" s="5"/>
      <c r="Y5836" s="5"/>
      <c r="Z5836" s="5"/>
    </row>
    <row r="5837" spans="1:26" ht="15" x14ac:dyDescent="0.25">
      <c r="A5837" s="4" t="s">
        <v>5835</v>
      </c>
      <c r="B5837" s="4" t="s">
        <v>4550</v>
      </c>
      <c r="C5837" s="2" t="str">
        <f ca="1">IFERROR(__xludf.DUMMYFUNCTION("GOOGLETRANSLATE(A5837,""bn"",""en"")"),"The keyboard was not comfortable to use")</f>
        <v>The keyboard was not comfortable to use</v>
      </c>
      <c r="D5837" s="5"/>
      <c r="E5837" s="5"/>
      <c r="F5837" s="5"/>
      <c r="G5837" s="5"/>
      <c r="H5837" s="5"/>
      <c r="I5837" s="5"/>
      <c r="J5837" s="5"/>
      <c r="K5837" s="5"/>
      <c r="L5837" s="5"/>
      <c r="M5837" s="5"/>
      <c r="N5837" s="5"/>
      <c r="O5837" s="5"/>
      <c r="P5837" s="5"/>
      <c r="Q5837" s="5"/>
      <c r="R5837" s="5"/>
      <c r="S5837" s="5"/>
      <c r="T5837" s="5"/>
      <c r="U5837" s="5"/>
      <c r="V5837" s="5"/>
      <c r="W5837" s="5"/>
      <c r="X5837" s="5"/>
      <c r="Y5837" s="5"/>
      <c r="Z5837" s="5"/>
    </row>
    <row r="5838" spans="1:26" ht="15" x14ac:dyDescent="0.25">
      <c r="A5838" s="4" t="s">
        <v>5836</v>
      </c>
      <c r="B5838" s="4" t="s">
        <v>4550</v>
      </c>
      <c r="C5838" s="2" t="str">
        <f ca="1">IFERROR(__xludf.DUMMYFUNCTION("GOOGLETRANSLATE(A5838,""bn"",""en"")"),"I used the keyboard")</f>
        <v>I used the keyboard</v>
      </c>
      <c r="D5838" s="5"/>
      <c r="E5838" s="5"/>
      <c r="F5838" s="5"/>
      <c r="G5838" s="5"/>
      <c r="H5838" s="5"/>
      <c r="I5838" s="5"/>
      <c r="J5838" s="5"/>
      <c r="K5838" s="5"/>
      <c r="L5838" s="5"/>
      <c r="M5838" s="5"/>
      <c r="N5838" s="5"/>
      <c r="O5838" s="5"/>
      <c r="P5838" s="5"/>
      <c r="Q5838" s="5"/>
      <c r="R5838" s="5"/>
      <c r="S5838" s="5"/>
      <c r="T5838" s="5"/>
      <c r="U5838" s="5"/>
      <c r="V5838" s="5"/>
      <c r="W5838" s="5"/>
      <c r="X5838" s="5"/>
      <c r="Y5838" s="5"/>
      <c r="Z5838" s="5"/>
    </row>
    <row r="5839" spans="1:26" ht="15" x14ac:dyDescent="0.25">
      <c r="A5839" s="4" t="s">
        <v>5837</v>
      </c>
      <c r="B5839" s="4" t="s">
        <v>4550</v>
      </c>
      <c r="C5839" s="2" t="str">
        <f ca="1">IFERROR(__xludf.DUMMYFUNCTION("GOOGLETRANSLATE(A5839,""bn"",""en"")"),"Politics has changed")</f>
        <v>Politics has changed</v>
      </c>
      <c r="D5839" s="5"/>
      <c r="E5839" s="5"/>
      <c r="F5839" s="5"/>
      <c r="G5839" s="5"/>
      <c r="H5839" s="5"/>
      <c r="I5839" s="5"/>
      <c r="J5839" s="5"/>
      <c r="K5839" s="5"/>
      <c r="L5839" s="5"/>
      <c r="M5839" s="5"/>
      <c r="N5839" s="5"/>
      <c r="O5839" s="5"/>
      <c r="P5839" s="5"/>
      <c r="Q5839" s="5"/>
      <c r="R5839" s="5"/>
      <c r="S5839" s="5"/>
      <c r="T5839" s="5"/>
      <c r="U5839" s="5"/>
      <c r="V5839" s="5"/>
      <c r="W5839" s="5"/>
      <c r="X5839" s="5"/>
      <c r="Y5839" s="5"/>
      <c r="Z5839" s="5"/>
    </row>
    <row r="5840" spans="1:26" ht="15" x14ac:dyDescent="0.25">
      <c r="A5840" s="4" t="s">
        <v>5838</v>
      </c>
      <c r="B5840" s="4" t="s">
        <v>4550</v>
      </c>
      <c r="C5840" s="2" t="str">
        <f ca="1">IFERROR(__xludf.DUMMYFUNCTION("GOOGLETRANSLATE(A5840,""bn"",""en"")"),"Service was improved")</f>
        <v>Service was improved</v>
      </c>
      <c r="D5840" s="5"/>
      <c r="E5840" s="5"/>
      <c r="F5840" s="5"/>
      <c r="G5840" s="5"/>
      <c r="H5840" s="5"/>
      <c r="I5840" s="5"/>
      <c r="J5840" s="5"/>
      <c r="K5840" s="5"/>
      <c r="L5840" s="5"/>
      <c r="M5840" s="5"/>
      <c r="N5840" s="5"/>
      <c r="O5840" s="5"/>
      <c r="P5840" s="5"/>
      <c r="Q5840" s="5"/>
      <c r="R5840" s="5"/>
      <c r="S5840" s="5"/>
      <c r="T5840" s="5"/>
      <c r="U5840" s="5"/>
      <c r="V5840" s="5"/>
      <c r="W5840" s="5"/>
      <c r="X5840" s="5"/>
      <c r="Y5840" s="5"/>
      <c r="Z5840" s="5"/>
    </row>
    <row r="5841" spans="1:26" ht="15" x14ac:dyDescent="0.25">
      <c r="A5841" s="4" t="s">
        <v>5839</v>
      </c>
      <c r="B5841" s="4" t="s">
        <v>4550</v>
      </c>
      <c r="C5841" s="2" t="str">
        <f ca="1">IFERROR(__xludf.DUMMYFUNCTION("GOOGLETRANSLATE(A5841,""bn"",""en"")"),"A joyous ceremony took place")</f>
        <v>A joyous ceremony took place</v>
      </c>
      <c r="D5841" s="5"/>
      <c r="E5841" s="5"/>
      <c r="F5841" s="5"/>
      <c r="G5841" s="5"/>
      <c r="H5841" s="5"/>
      <c r="I5841" s="5"/>
      <c r="J5841" s="5"/>
      <c r="K5841" s="5"/>
      <c r="L5841" s="5"/>
      <c r="M5841" s="5"/>
      <c r="N5841" s="5"/>
      <c r="O5841" s="5"/>
      <c r="P5841" s="5"/>
      <c r="Q5841" s="5"/>
      <c r="R5841" s="5"/>
      <c r="S5841" s="5"/>
      <c r="T5841" s="5"/>
      <c r="U5841" s="5"/>
      <c r="V5841" s="5"/>
      <c r="W5841" s="5"/>
      <c r="X5841" s="5"/>
      <c r="Y5841" s="5"/>
      <c r="Z5841" s="5"/>
    </row>
    <row r="5842" spans="1:26" ht="15" x14ac:dyDescent="0.25">
      <c r="A5842" s="4" t="s">
        <v>5840</v>
      </c>
      <c r="B5842" s="4" t="s">
        <v>4550</v>
      </c>
      <c r="C5842" s="2" t="str">
        <f ca="1">IFERROR(__xludf.DUMMYFUNCTION("GOOGLETRANSLATE(A5842,""bn"",""en"")"),"I was walking on the seashore")</f>
        <v>I was walking on the seashore</v>
      </c>
      <c r="D5842" s="5"/>
      <c r="E5842" s="5"/>
      <c r="F5842" s="5"/>
      <c r="G5842" s="5"/>
      <c r="H5842" s="5"/>
      <c r="I5842" s="5"/>
      <c r="J5842" s="5"/>
      <c r="K5842" s="5"/>
      <c r="L5842" s="5"/>
      <c r="M5842" s="5"/>
      <c r="N5842" s="5"/>
      <c r="O5842" s="5"/>
      <c r="P5842" s="5"/>
      <c r="Q5842" s="5"/>
      <c r="R5842" s="5"/>
      <c r="S5842" s="5"/>
      <c r="T5842" s="5"/>
      <c r="U5842" s="5"/>
      <c r="V5842" s="5"/>
      <c r="W5842" s="5"/>
      <c r="X5842" s="5"/>
      <c r="Y5842" s="5"/>
      <c r="Z5842" s="5"/>
    </row>
    <row r="5843" spans="1:26" ht="15" x14ac:dyDescent="0.25">
      <c r="A5843" s="4" t="s">
        <v>5841</v>
      </c>
      <c r="B5843" s="4" t="s">
        <v>4550</v>
      </c>
      <c r="C5843" s="2" t="str">
        <f ca="1">IFERROR(__xludf.DUMMYFUNCTION("GOOGLETRANSLATE(A5843,""bn"",""en"")"),"Enjoyed the beauty of the beach")</f>
        <v>Enjoyed the beauty of the beach</v>
      </c>
      <c r="D5843" s="5"/>
      <c r="E5843" s="5"/>
      <c r="F5843" s="5"/>
      <c r="G5843" s="5"/>
      <c r="H5843" s="5"/>
      <c r="I5843" s="5"/>
      <c r="J5843" s="5"/>
      <c r="K5843" s="5"/>
      <c r="L5843" s="5"/>
      <c r="M5843" s="5"/>
      <c r="N5843" s="5"/>
      <c r="O5843" s="5"/>
      <c r="P5843" s="5"/>
      <c r="Q5843" s="5"/>
      <c r="R5843" s="5"/>
      <c r="S5843" s="5"/>
      <c r="T5843" s="5"/>
      <c r="U5843" s="5"/>
      <c r="V5843" s="5"/>
      <c r="W5843" s="5"/>
      <c r="X5843" s="5"/>
      <c r="Y5843" s="5"/>
      <c r="Z5843" s="5"/>
    </row>
    <row r="5844" spans="1:26" ht="15" x14ac:dyDescent="0.25">
      <c r="A5844" s="4" t="s">
        <v>5842</v>
      </c>
      <c r="B5844" s="4" t="s">
        <v>4550</v>
      </c>
      <c r="C5844" s="2" t="str">
        <f ca="1">IFERROR(__xludf.DUMMYFUNCTION("GOOGLETRANSLATE(A5844,""bn"",""en"")"),"The students worked hard")</f>
        <v>The students worked hard</v>
      </c>
      <c r="D5844" s="5"/>
      <c r="E5844" s="5"/>
      <c r="F5844" s="5"/>
      <c r="G5844" s="5"/>
      <c r="H5844" s="5"/>
      <c r="I5844" s="5"/>
      <c r="J5844" s="5"/>
      <c r="K5844" s="5"/>
      <c r="L5844" s="5"/>
      <c r="M5844" s="5"/>
      <c r="N5844" s="5"/>
      <c r="O5844" s="5"/>
      <c r="P5844" s="5"/>
      <c r="Q5844" s="5"/>
      <c r="R5844" s="5"/>
      <c r="S5844" s="5"/>
      <c r="T5844" s="5"/>
      <c r="U5844" s="5"/>
      <c r="V5844" s="5"/>
      <c r="W5844" s="5"/>
      <c r="X5844" s="5"/>
      <c r="Y5844" s="5"/>
      <c r="Z5844" s="5"/>
    </row>
    <row r="5845" spans="1:26" ht="15" x14ac:dyDescent="0.25">
      <c r="A5845" s="4" t="s">
        <v>5843</v>
      </c>
      <c r="B5845" s="4" t="s">
        <v>4550</v>
      </c>
      <c r="C5845" s="2" t="str">
        <f ca="1">IFERROR(__xludf.DUMMYFUNCTION("GOOGLETRANSLATE(A5845,""bn"",""en"")"),"He was reading the Quran")</f>
        <v>He was reading the Quran</v>
      </c>
      <c r="D5845" s="5"/>
      <c r="E5845" s="5"/>
      <c r="F5845" s="5"/>
      <c r="G5845" s="5"/>
      <c r="H5845" s="5"/>
      <c r="I5845" s="5"/>
      <c r="J5845" s="5"/>
      <c r="K5845" s="5"/>
      <c r="L5845" s="5"/>
      <c r="M5845" s="5"/>
      <c r="N5845" s="5"/>
      <c r="O5845" s="5"/>
      <c r="P5845" s="5"/>
      <c r="Q5845" s="5"/>
      <c r="R5845" s="5"/>
      <c r="S5845" s="5"/>
      <c r="T5845" s="5"/>
      <c r="U5845" s="5"/>
      <c r="V5845" s="5"/>
      <c r="W5845" s="5"/>
      <c r="X5845" s="5"/>
      <c r="Y5845" s="5"/>
      <c r="Z5845" s="5"/>
    </row>
    <row r="5846" spans="1:26" ht="15" x14ac:dyDescent="0.25">
      <c r="A5846" s="4" t="s">
        <v>5844</v>
      </c>
      <c r="B5846" s="4" t="s">
        <v>4550</v>
      </c>
      <c r="C5846" s="2" t="str">
        <f ca="1">IFERROR(__xludf.DUMMYFUNCTION("GOOGLETRANSLATE(A5846,""bn"",""en"")"),"I sent email easily")</f>
        <v>I sent email easily</v>
      </c>
      <c r="D5846" s="5"/>
      <c r="E5846" s="5"/>
      <c r="F5846" s="5"/>
      <c r="G5846" s="5"/>
      <c r="H5846" s="5"/>
      <c r="I5846" s="5"/>
      <c r="J5846" s="5"/>
      <c r="K5846" s="5"/>
      <c r="L5846" s="5"/>
      <c r="M5846" s="5"/>
      <c r="N5846" s="5"/>
      <c r="O5846" s="5"/>
      <c r="P5846" s="5"/>
      <c r="Q5846" s="5"/>
      <c r="R5846" s="5"/>
      <c r="S5846" s="5"/>
      <c r="T5846" s="5"/>
      <c r="U5846" s="5"/>
      <c r="V5846" s="5"/>
      <c r="W5846" s="5"/>
      <c r="X5846" s="5"/>
      <c r="Y5846" s="5"/>
      <c r="Z5846" s="5"/>
    </row>
    <row r="5847" spans="1:26" ht="15" x14ac:dyDescent="0.25">
      <c r="A5847" s="4" t="s">
        <v>5845</v>
      </c>
      <c r="B5847" s="4" t="s">
        <v>4550</v>
      </c>
      <c r="C5847" s="2" t="str">
        <f ca="1">IFERROR(__xludf.DUMMYFUNCTION("GOOGLETRANSLATE(A5847,""bn"",""en"")"),"Research was expensive")</f>
        <v>Research was expensive</v>
      </c>
      <c r="D5847" s="5"/>
      <c r="E5847" s="5"/>
      <c r="F5847" s="5"/>
      <c r="G5847" s="5"/>
      <c r="H5847" s="5"/>
      <c r="I5847" s="5"/>
      <c r="J5847" s="5"/>
      <c r="K5847" s="5"/>
      <c r="L5847" s="5"/>
      <c r="M5847" s="5"/>
      <c r="N5847" s="5"/>
      <c r="O5847" s="5"/>
      <c r="P5847" s="5"/>
      <c r="Q5847" s="5"/>
      <c r="R5847" s="5"/>
      <c r="S5847" s="5"/>
      <c r="T5847" s="5"/>
      <c r="U5847" s="5"/>
      <c r="V5847" s="5"/>
      <c r="W5847" s="5"/>
      <c r="X5847" s="5"/>
      <c r="Y5847" s="5"/>
      <c r="Z5847" s="5"/>
    </row>
    <row r="5848" spans="1:26" ht="15" x14ac:dyDescent="0.25">
      <c r="A5848" s="4" t="s">
        <v>5846</v>
      </c>
      <c r="B5848" s="4" t="s">
        <v>4550</v>
      </c>
      <c r="C5848" s="2" t="str">
        <f ca="1">IFERROR(__xludf.DUMMYFUNCTION("GOOGLETRANSLATE(A5848,""bn"",""en"")"),"you read the book")</f>
        <v>you read the book</v>
      </c>
      <c r="D5848" s="5"/>
      <c r="E5848" s="5"/>
      <c r="F5848" s="5"/>
      <c r="G5848" s="5"/>
      <c r="H5848" s="5"/>
      <c r="I5848" s="5"/>
      <c r="J5848" s="5"/>
      <c r="K5848" s="5"/>
      <c r="L5848" s="5"/>
      <c r="M5848" s="5"/>
      <c r="N5848" s="5"/>
      <c r="O5848" s="5"/>
      <c r="P5848" s="5"/>
      <c r="Q5848" s="5"/>
      <c r="R5848" s="5"/>
      <c r="S5848" s="5"/>
      <c r="T5848" s="5"/>
      <c r="U5848" s="5"/>
      <c r="V5848" s="5"/>
      <c r="W5848" s="5"/>
      <c r="X5848" s="5"/>
      <c r="Y5848" s="5"/>
      <c r="Z5848" s="5"/>
    </row>
    <row r="5849" spans="1:26" ht="15" x14ac:dyDescent="0.25">
      <c r="A5849" s="4" t="s">
        <v>5847</v>
      </c>
      <c r="B5849" s="4" t="s">
        <v>4550</v>
      </c>
      <c r="C5849" s="2" t="str">
        <f ca="1">IFERROR(__xludf.DUMMYFUNCTION("GOOGLETRANSLATE(A5849,""bn"",""en"")"),"I went to see the Himalayas")</f>
        <v>I went to see the Himalayas</v>
      </c>
      <c r="D5849" s="5"/>
      <c r="E5849" s="5"/>
      <c r="F5849" s="5"/>
      <c r="G5849" s="5"/>
      <c r="H5849" s="5"/>
      <c r="I5849" s="5"/>
      <c r="J5849" s="5"/>
      <c r="K5849" s="5"/>
      <c r="L5849" s="5"/>
      <c r="M5849" s="5"/>
      <c r="N5849" s="5"/>
      <c r="O5849" s="5"/>
      <c r="P5849" s="5"/>
      <c r="Q5849" s="5"/>
      <c r="R5849" s="5"/>
      <c r="S5849" s="5"/>
      <c r="T5849" s="5"/>
      <c r="U5849" s="5"/>
      <c r="V5849" s="5"/>
      <c r="W5849" s="5"/>
      <c r="X5849" s="5"/>
      <c r="Y5849" s="5"/>
      <c r="Z5849" s="5"/>
    </row>
    <row r="5850" spans="1:26" ht="15" x14ac:dyDescent="0.25">
      <c r="A5850" s="4" t="s">
        <v>5848</v>
      </c>
      <c r="B5850" s="4" t="s">
        <v>4550</v>
      </c>
      <c r="C5850" s="2" t="str">
        <f ca="1">IFERROR(__xludf.DUMMYFUNCTION("GOOGLETRANSLATE(A5850,""bn"",""en"")"),"I was traveling")</f>
        <v>I was traveling</v>
      </c>
      <c r="D5850" s="5"/>
      <c r="E5850" s="5"/>
      <c r="F5850" s="5"/>
      <c r="G5850" s="5"/>
      <c r="H5850" s="5"/>
      <c r="I5850" s="5"/>
      <c r="J5850" s="5"/>
      <c r="K5850" s="5"/>
      <c r="L5850" s="5"/>
      <c r="M5850" s="5"/>
      <c r="N5850" s="5"/>
      <c r="O5850" s="5"/>
      <c r="P5850" s="5"/>
      <c r="Q5850" s="5"/>
      <c r="R5850" s="5"/>
      <c r="S5850" s="5"/>
      <c r="T5850" s="5"/>
      <c r="U5850" s="5"/>
      <c r="V5850" s="5"/>
      <c r="W5850" s="5"/>
      <c r="X5850" s="5"/>
      <c r="Y5850" s="5"/>
      <c r="Z5850" s="5"/>
    </row>
    <row r="5851" spans="1:26" ht="15" x14ac:dyDescent="0.25">
      <c r="A5851" s="4" t="s">
        <v>5849</v>
      </c>
      <c r="B5851" s="4" t="s">
        <v>4550</v>
      </c>
      <c r="C5851" s="2" t="str">
        <f ca="1">IFERROR(__xludf.DUMMYFUNCTION("GOOGLETRANSLATE(A5851,""bn"",""en"")"),"I was searching on google")</f>
        <v>I was searching on google</v>
      </c>
      <c r="D5851" s="5"/>
      <c r="E5851" s="5"/>
      <c r="F5851" s="5"/>
      <c r="G5851" s="5"/>
      <c r="H5851" s="5"/>
      <c r="I5851" s="5"/>
      <c r="J5851" s="5"/>
      <c r="K5851" s="5"/>
      <c r="L5851" s="5"/>
      <c r="M5851" s="5"/>
      <c r="N5851" s="5"/>
      <c r="O5851" s="5"/>
      <c r="P5851" s="5"/>
      <c r="Q5851" s="5"/>
      <c r="R5851" s="5"/>
      <c r="S5851" s="5"/>
      <c r="T5851" s="5"/>
      <c r="U5851" s="5"/>
      <c r="V5851" s="5"/>
      <c r="W5851" s="5"/>
      <c r="X5851" s="5"/>
      <c r="Y5851" s="5"/>
      <c r="Z5851" s="5"/>
    </row>
    <row r="5852" spans="1:26" ht="15" x14ac:dyDescent="0.25">
      <c r="A5852" s="4" t="s">
        <v>5850</v>
      </c>
      <c r="B5852" s="4" t="s">
        <v>4550</v>
      </c>
      <c r="C5852" s="2" t="str">
        <f ca="1">IFERROR(__xludf.DUMMYFUNCTION("GOOGLETRANSLATE(A5852,""bn"",""en"")"),"Looking for a good friend")</f>
        <v>Looking for a good friend</v>
      </c>
      <c r="D5852" s="5"/>
      <c r="E5852" s="5"/>
      <c r="F5852" s="5"/>
      <c r="G5852" s="5"/>
      <c r="H5852" s="5"/>
      <c r="I5852" s="5"/>
      <c r="J5852" s="5"/>
      <c r="K5852" s="5"/>
      <c r="L5852" s="5"/>
      <c r="M5852" s="5"/>
      <c r="N5852" s="5"/>
      <c r="O5852" s="5"/>
      <c r="P5852" s="5"/>
      <c r="Q5852" s="5"/>
      <c r="R5852" s="5"/>
      <c r="S5852" s="5"/>
      <c r="T5852" s="5"/>
      <c r="U5852" s="5"/>
      <c r="V5852" s="5"/>
      <c r="W5852" s="5"/>
      <c r="X5852" s="5"/>
      <c r="Y5852" s="5"/>
      <c r="Z5852" s="5"/>
    </row>
    <row r="5853" spans="1:26" ht="15" x14ac:dyDescent="0.25">
      <c r="A5853" s="4" t="s">
        <v>5851</v>
      </c>
      <c r="B5853" s="4" t="s">
        <v>4550</v>
      </c>
      <c r="C5853" s="2" t="str">
        <f ca="1">IFERROR(__xludf.DUMMYFUNCTION("GOOGLETRANSLATE(A5853,""bn"",""en"")"),"I took banking facilities")</f>
        <v>I took banking facilities</v>
      </c>
      <c r="D5853" s="5"/>
      <c r="E5853" s="5"/>
      <c r="F5853" s="5"/>
      <c r="G5853" s="5"/>
      <c r="H5853" s="5"/>
      <c r="I5853" s="5"/>
      <c r="J5853" s="5"/>
      <c r="K5853" s="5"/>
      <c r="L5853" s="5"/>
      <c r="M5853" s="5"/>
      <c r="N5853" s="5"/>
      <c r="O5853" s="5"/>
      <c r="P5853" s="5"/>
      <c r="Q5853" s="5"/>
      <c r="R5853" s="5"/>
      <c r="S5853" s="5"/>
      <c r="T5853" s="5"/>
      <c r="U5853" s="5"/>
      <c r="V5853" s="5"/>
      <c r="W5853" s="5"/>
      <c r="X5853" s="5"/>
      <c r="Y5853" s="5"/>
      <c r="Z5853" s="5"/>
    </row>
    <row r="5854" spans="1:26" ht="15" x14ac:dyDescent="0.25">
      <c r="A5854" s="4" t="s">
        <v>5852</v>
      </c>
      <c r="B5854" s="4" t="s">
        <v>4550</v>
      </c>
      <c r="C5854" s="2" t="str">
        <f ca="1">IFERROR(__xludf.DUMMYFUNCTION("GOOGLETRANSLATE(A5854,""bn"",""en"")"),"Teachers do research")</f>
        <v>Teachers do research</v>
      </c>
      <c r="D5854" s="5"/>
      <c r="E5854" s="5"/>
      <c r="F5854" s="5"/>
      <c r="G5854" s="5"/>
      <c r="H5854" s="5"/>
      <c r="I5854" s="5"/>
      <c r="J5854" s="5"/>
      <c r="K5854" s="5"/>
      <c r="L5854" s="5"/>
      <c r="M5854" s="5"/>
      <c r="N5854" s="5"/>
      <c r="O5854" s="5"/>
      <c r="P5854" s="5"/>
      <c r="Q5854" s="5"/>
      <c r="R5854" s="5"/>
      <c r="S5854" s="5"/>
      <c r="T5854" s="5"/>
      <c r="U5854" s="5"/>
      <c r="V5854" s="5"/>
      <c r="W5854" s="5"/>
      <c r="X5854" s="5"/>
      <c r="Y5854" s="5"/>
      <c r="Z5854" s="5"/>
    </row>
    <row r="5855" spans="1:26" ht="15" x14ac:dyDescent="0.25">
      <c r="A5855" s="4" t="s">
        <v>5853</v>
      </c>
      <c r="B5855" s="4" t="s">
        <v>4550</v>
      </c>
      <c r="C5855" s="2" t="str">
        <f ca="1">IFERROR(__xludf.DUMMYFUNCTION("GOOGLETRANSLATE(A5855,""bn"",""en"")"),"I went to visit Saint Martin")</f>
        <v>I went to visit Saint Martin</v>
      </c>
      <c r="D5855" s="5"/>
      <c r="E5855" s="5"/>
      <c r="F5855" s="5"/>
      <c r="G5855" s="5"/>
      <c r="H5855" s="5"/>
      <c r="I5855" s="5"/>
      <c r="J5855" s="5"/>
      <c r="K5855" s="5"/>
      <c r="L5855" s="5"/>
      <c r="M5855" s="5"/>
      <c r="N5855" s="5"/>
      <c r="O5855" s="5"/>
      <c r="P5855" s="5"/>
      <c r="Q5855" s="5"/>
      <c r="R5855" s="5"/>
      <c r="S5855" s="5"/>
      <c r="T5855" s="5"/>
      <c r="U5855" s="5"/>
      <c r="V5855" s="5"/>
      <c r="W5855" s="5"/>
      <c r="X5855" s="5"/>
      <c r="Y5855" s="5"/>
      <c r="Z5855" s="5"/>
    </row>
    <row r="5856" spans="1:26" ht="15" x14ac:dyDescent="0.25">
      <c r="A5856" s="4" t="s">
        <v>5854</v>
      </c>
      <c r="B5856" s="4" t="s">
        <v>4550</v>
      </c>
      <c r="C5856" s="2" t="str">
        <f ca="1">IFERROR(__xludf.DUMMYFUNCTION("GOOGLETRANSLATE(A5856,""bn"",""en"")"),"I was opening a bank account")</f>
        <v>I was opening a bank account</v>
      </c>
      <c r="D5856" s="5"/>
      <c r="E5856" s="5"/>
      <c r="F5856" s="5"/>
      <c r="G5856" s="5"/>
      <c r="H5856" s="5"/>
      <c r="I5856" s="5"/>
      <c r="J5856" s="5"/>
      <c r="K5856" s="5"/>
      <c r="L5856" s="5"/>
      <c r="M5856" s="5"/>
      <c r="N5856" s="5"/>
      <c r="O5856" s="5"/>
      <c r="P5856" s="5"/>
      <c r="Q5856" s="5"/>
      <c r="R5856" s="5"/>
      <c r="S5856" s="5"/>
      <c r="T5856" s="5"/>
      <c r="U5856" s="5"/>
      <c r="V5856" s="5"/>
      <c r="W5856" s="5"/>
      <c r="X5856" s="5"/>
      <c r="Y5856" s="5"/>
      <c r="Z5856" s="5"/>
    </row>
    <row r="5857" spans="1:26" ht="15" x14ac:dyDescent="0.25">
      <c r="A5857" s="4" t="s">
        <v>5855</v>
      </c>
      <c r="B5857" s="4" t="s">
        <v>4550</v>
      </c>
      <c r="C5857" s="2" t="str">
        <f ca="1">IFERROR(__xludf.DUMMYFUNCTION("GOOGLETRANSLATE(A5857,""bn"",""en"")"),"The outsourcing sector was growing")</f>
        <v>The outsourcing sector was growing</v>
      </c>
      <c r="D5857" s="5"/>
      <c r="E5857" s="5"/>
      <c r="F5857" s="5"/>
      <c r="G5857" s="5"/>
      <c r="H5857" s="5"/>
      <c r="I5857" s="5"/>
      <c r="J5857" s="5"/>
      <c r="K5857" s="5"/>
      <c r="L5857" s="5"/>
      <c r="M5857" s="5"/>
      <c r="N5857" s="5"/>
      <c r="O5857" s="5"/>
      <c r="P5857" s="5"/>
      <c r="Q5857" s="5"/>
      <c r="R5857" s="5"/>
      <c r="S5857" s="5"/>
      <c r="T5857" s="5"/>
      <c r="U5857" s="5"/>
      <c r="V5857" s="5"/>
      <c r="W5857" s="5"/>
      <c r="X5857" s="5"/>
      <c r="Y5857" s="5"/>
      <c r="Z5857" s="5"/>
    </row>
    <row r="5858" spans="1:26" ht="15" x14ac:dyDescent="0.25">
      <c r="A5858" s="4" t="s">
        <v>5856</v>
      </c>
      <c r="B5858" s="4" t="s">
        <v>4550</v>
      </c>
      <c r="C5858" s="2" t="str">
        <f ca="1">IFERROR(__xludf.DUMMYFUNCTION("GOOGLETRANSLATE(A5858,""bn"",""en"")"),"People were walking on the beach")</f>
        <v>People were walking on the beach</v>
      </c>
      <c r="D5858" s="5"/>
      <c r="E5858" s="5"/>
      <c r="F5858" s="5"/>
      <c r="G5858" s="5"/>
      <c r="H5858" s="5"/>
      <c r="I5858" s="5"/>
      <c r="J5858" s="5"/>
      <c r="K5858" s="5"/>
      <c r="L5858" s="5"/>
      <c r="M5858" s="5"/>
      <c r="N5858" s="5"/>
      <c r="O5858" s="5"/>
      <c r="P5858" s="5"/>
      <c r="Q5858" s="5"/>
      <c r="R5858" s="5"/>
      <c r="S5858" s="5"/>
      <c r="T5858" s="5"/>
      <c r="U5858" s="5"/>
      <c r="V5858" s="5"/>
      <c r="W5858" s="5"/>
      <c r="X5858" s="5"/>
      <c r="Y5858" s="5"/>
      <c r="Z5858" s="5"/>
    </row>
    <row r="5859" spans="1:26" ht="15" x14ac:dyDescent="0.25">
      <c r="A5859" s="4" t="s">
        <v>5857</v>
      </c>
      <c r="B5859" s="4" t="s">
        <v>4550</v>
      </c>
      <c r="C5859" s="2" t="str">
        <f ca="1">IFERROR(__xludf.DUMMYFUNCTION("GOOGLETRANSLATE(A5859,""bn"",""en"")"),"He was writing notes")</f>
        <v>He was writing notes</v>
      </c>
      <c r="D5859" s="5"/>
      <c r="E5859" s="5"/>
      <c r="F5859" s="5"/>
      <c r="G5859" s="5"/>
      <c r="H5859" s="5"/>
      <c r="I5859" s="5"/>
      <c r="J5859" s="5"/>
      <c r="K5859" s="5"/>
      <c r="L5859" s="5"/>
      <c r="M5859" s="5"/>
      <c r="N5859" s="5"/>
      <c r="O5859" s="5"/>
      <c r="P5859" s="5"/>
      <c r="Q5859" s="5"/>
      <c r="R5859" s="5"/>
      <c r="S5859" s="5"/>
      <c r="T5859" s="5"/>
      <c r="U5859" s="5"/>
      <c r="V5859" s="5"/>
      <c r="W5859" s="5"/>
      <c r="X5859" s="5"/>
      <c r="Y5859" s="5"/>
      <c r="Z5859" s="5"/>
    </row>
    <row r="5860" spans="1:26" ht="15" x14ac:dyDescent="0.25">
      <c r="A5860" s="4" t="s">
        <v>5858</v>
      </c>
      <c r="B5860" s="4" t="s">
        <v>4550</v>
      </c>
      <c r="C5860" s="2" t="str">
        <f ca="1">IFERROR(__xludf.DUMMYFUNCTION("GOOGLETRANSLATE(A5860,""bn"",""en"")"),"I was doing a course")</f>
        <v>I was doing a course</v>
      </c>
      <c r="D5860" s="5"/>
      <c r="E5860" s="5"/>
      <c r="F5860" s="5"/>
      <c r="G5860" s="5"/>
      <c r="H5860" s="5"/>
      <c r="I5860" s="5"/>
      <c r="J5860" s="5"/>
      <c r="K5860" s="5"/>
      <c r="L5860" s="5"/>
      <c r="M5860" s="5"/>
      <c r="N5860" s="5"/>
      <c r="O5860" s="5"/>
      <c r="P5860" s="5"/>
      <c r="Q5860" s="5"/>
      <c r="R5860" s="5"/>
      <c r="S5860" s="5"/>
      <c r="T5860" s="5"/>
      <c r="U5860" s="5"/>
      <c r="V5860" s="5"/>
      <c r="W5860" s="5"/>
      <c r="X5860" s="5"/>
      <c r="Y5860" s="5"/>
      <c r="Z5860" s="5"/>
    </row>
    <row r="5861" spans="1:26" ht="15" x14ac:dyDescent="0.25">
      <c r="A5861" s="4" t="s">
        <v>5859</v>
      </c>
      <c r="B5861" s="4" t="s">
        <v>4550</v>
      </c>
      <c r="C5861" s="2" t="str">
        <f ca="1">IFERROR(__xludf.DUMMYFUNCTION("GOOGLETRANSLATE(A5861,""bn"",""en"")"),"you were reading a book")</f>
        <v>you were reading a book</v>
      </c>
      <c r="D5861" s="5"/>
      <c r="E5861" s="5"/>
      <c r="F5861" s="5"/>
      <c r="G5861" s="5"/>
      <c r="H5861" s="5"/>
      <c r="I5861" s="5"/>
      <c r="J5861" s="5"/>
      <c r="K5861" s="5"/>
      <c r="L5861" s="5"/>
      <c r="M5861" s="5"/>
      <c r="N5861" s="5"/>
      <c r="O5861" s="5"/>
      <c r="P5861" s="5"/>
      <c r="Q5861" s="5"/>
      <c r="R5861" s="5"/>
      <c r="S5861" s="5"/>
      <c r="T5861" s="5"/>
      <c r="U5861" s="5"/>
      <c r="V5861" s="5"/>
      <c r="W5861" s="5"/>
      <c r="X5861" s="5"/>
      <c r="Y5861" s="5"/>
      <c r="Z5861" s="5"/>
    </row>
    <row r="5862" spans="1:26" ht="15" x14ac:dyDescent="0.25">
      <c r="A5862" s="4" t="s">
        <v>5860</v>
      </c>
      <c r="B5862" s="4" t="s">
        <v>4550</v>
      </c>
      <c r="C5862" s="2" t="str">
        <f ca="1">IFERROR(__xludf.DUMMYFUNCTION("GOOGLETRANSLATE(A5862,""bn"",""en"")"),"I used touchpad")</f>
        <v>I used touchpad</v>
      </c>
      <c r="D5862" s="5"/>
      <c r="E5862" s="5"/>
      <c r="F5862" s="5"/>
      <c r="G5862" s="5"/>
      <c r="H5862" s="5"/>
      <c r="I5862" s="5"/>
      <c r="J5862" s="5"/>
      <c r="K5862" s="5"/>
      <c r="L5862" s="5"/>
      <c r="M5862" s="5"/>
      <c r="N5862" s="5"/>
      <c r="O5862" s="5"/>
      <c r="P5862" s="5"/>
      <c r="Q5862" s="5"/>
      <c r="R5862" s="5"/>
      <c r="S5862" s="5"/>
      <c r="T5862" s="5"/>
      <c r="U5862" s="5"/>
      <c r="V5862" s="5"/>
      <c r="W5862" s="5"/>
      <c r="X5862" s="5"/>
      <c r="Y5862" s="5"/>
      <c r="Z5862" s="5"/>
    </row>
    <row r="5863" spans="1:26" ht="15" x14ac:dyDescent="0.25">
      <c r="A5863" s="4" t="s">
        <v>5861</v>
      </c>
      <c r="B5863" s="4" t="s">
        <v>4550</v>
      </c>
      <c r="C5863" s="2" t="str">
        <f ca="1">IFERROR(__xludf.DUMMYFUNCTION("GOOGLETRANSLATE(A5863,""bn"",""en"")"),"I was using a smartwatch")</f>
        <v>I was using a smartwatch</v>
      </c>
      <c r="D5863" s="5"/>
      <c r="E5863" s="5"/>
      <c r="F5863" s="5"/>
      <c r="G5863" s="5"/>
      <c r="H5863" s="5"/>
      <c r="I5863" s="5"/>
      <c r="J5863" s="5"/>
      <c r="K5863" s="5"/>
      <c r="L5863" s="5"/>
      <c r="M5863" s="5"/>
      <c r="N5863" s="5"/>
      <c r="O5863" s="5"/>
      <c r="P5863" s="5"/>
      <c r="Q5863" s="5"/>
      <c r="R5863" s="5"/>
      <c r="S5863" s="5"/>
      <c r="T5863" s="5"/>
      <c r="U5863" s="5"/>
      <c r="V5863" s="5"/>
      <c r="W5863" s="5"/>
      <c r="X5863" s="5"/>
      <c r="Y5863" s="5"/>
      <c r="Z5863" s="5"/>
    </row>
    <row r="5864" spans="1:26" ht="15" x14ac:dyDescent="0.25">
      <c r="A5864" s="4" t="s">
        <v>5862</v>
      </c>
      <c r="B5864" s="4" t="s">
        <v>4550</v>
      </c>
      <c r="C5864" s="2" t="str">
        <f ca="1">IFERROR(__xludf.DUMMYFUNCTION("GOOGLETRANSLATE(A5864,""bn"",""en"")"),"I was attending the meeting")</f>
        <v>I was attending the meeting</v>
      </c>
      <c r="D5864" s="5"/>
      <c r="E5864" s="5"/>
      <c r="F5864" s="5"/>
      <c r="G5864" s="5"/>
      <c r="H5864" s="5"/>
      <c r="I5864" s="5"/>
      <c r="J5864" s="5"/>
      <c r="K5864" s="5"/>
      <c r="L5864" s="5"/>
      <c r="M5864" s="5"/>
      <c r="N5864" s="5"/>
      <c r="O5864" s="5"/>
      <c r="P5864" s="5"/>
      <c r="Q5864" s="5"/>
      <c r="R5864" s="5"/>
      <c r="S5864" s="5"/>
      <c r="T5864" s="5"/>
      <c r="U5864" s="5"/>
      <c r="V5864" s="5"/>
      <c r="W5864" s="5"/>
      <c r="X5864" s="5"/>
      <c r="Y5864" s="5"/>
      <c r="Z5864" s="5"/>
    </row>
    <row r="5865" spans="1:26" ht="15" x14ac:dyDescent="0.25">
      <c r="A5865" s="4" t="s">
        <v>5863</v>
      </c>
      <c r="B5865" s="4" t="s">
        <v>4550</v>
      </c>
      <c r="C5865" s="2" t="str">
        <f ca="1">IFERROR(__xludf.DUMMYFUNCTION("GOOGLETRANSLATE(A5865,""bn"",""en"")"),"Revenue increased")</f>
        <v>Revenue increased</v>
      </c>
      <c r="D5865" s="5"/>
      <c r="E5865" s="5"/>
      <c r="F5865" s="5"/>
      <c r="G5865" s="5"/>
      <c r="H5865" s="5"/>
      <c r="I5865" s="5"/>
      <c r="J5865" s="5"/>
      <c r="K5865" s="5"/>
      <c r="L5865" s="5"/>
      <c r="M5865" s="5"/>
      <c r="N5865" s="5"/>
      <c r="O5865" s="5"/>
      <c r="P5865" s="5"/>
      <c r="Q5865" s="5"/>
      <c r="R5865" s="5"/>
      <c r="S5865" s="5"/>
      <c r="T5865" s="5"/>
      <c r="U5865" s="5"/>
      <c r="V5865" s="5"/>
      <c r="W5865" s="5"/>
      <c r="X5865" s="5"/>
      <c r="Y5865" s="5"/>
      <c r="Z5865" s="5"/>
    </row>
    <row r="5866" spans="1:26" ht="15" x14ac:dyDescent="0.25">
      <c r="A5866" s="4" t="s">
        <v>5864</v>
      </c>
      <c r="B5866" s="4" t="s">
        <v>4550</v>
      </c>
      <c r="C5866" s="2" t="str">
        <f ca="1">IFERROR(__xludf.DUMMYFUNCTION("GOOGLETRANSLATE(A5866,""bn"",""en"")"),"I gave the bank exam")</f>
        <v>I gave the bank exam</v>
      </c>
      <c r="D5866" s="5"/>
      <c r="E5866" s="5"/>
      <c r="F5866" s="5"/>
      <c r="G5866" s="5"/>
      <c r="H5866" s="5"/>
      <c r="I5866" s="5"/>
      <c r="J5866" s="5"/>
      <c r="K5866" s="5"/>
      <c r="L5866" s="5"/>
      <c r="M5866" s="5"/>
      <c r="N5866" s="5"/>
      <c r="O5866" s="5"/>
      <c r="P5866" s="5"/>
      <c r="Q5866" s="5"/>
      <c r="R5866" s="5"/>
      <c r="S5866" s="5"/>
      <c r="T5866" s="5"/>
      <c r="U5866" s="5"/>
      <c r="V5866" s="5"/>
      <c r="W5866" s="5"/>
      <c r="X5866" s="5"/>
      <c r="Y5866" s="5"/>
      <c r="Z5866" s="5"/>
    </row>
    <row r="5867" spans="1:26" ht="15" x14ac:dyDescent="0.25">
      <c r="A5867" s="4" t="s">
        <v>5865</v>
      </c>
      <c r="B5867" s="4" t="s">
        <v>4550</v>
      </c>
      <c r="C5867" s="2" t="str">
        <f ca="1">IFERROR(__xludf.DUMMYFUNCTION("GOOGLETRANSLATE(A5867,""bn"",""en"")"),"Used to exercise regularly")</f>
        <v>Used to exercise regularly</v>
      </c>
      <c r="D5867" s="5"/>
      <c r="E5867" s="5"/>
      <c r="F5867" s="5"/>
      <c r="G5867" s="5"/>
      <c r="H5867" s="5"/>
      <c r="I5867" s="5"/>
      <c r="J5867" s="5"/>
      <c r="K5867" s="5"/>
      <c r="L5867" s="5"/>
      <c r="M5867" s="5"/>
      <c r="N5867" s="5"/>
      <c r="O5867" s="5"/>
      <c r="P5867" s="5"/>
      <c r="Q5867" s="5"/>
      <c r="R5867" s="5"/>
      <c r="S5867" s="5"/>
      <c r="T5867" s="5"/>
      <c r="U5867" s="5"/>
      <c r="V5867" s="5"/>
      <c r="W5867" s="5"/>
      <c r="X5867" s="5"/>
      <c r="Y5867" s="5"/>
      <c r="Z5867" s="5"/>
    </row>
    <row r="5868" spans="1:26" ht="15" x14ac:dyDescent="0.25">
      <c r="A5868" s="4" t="s">
        <v>5866</v>
      </c>
      <c r="B5868" s="4" t="s">
        <v>4550</v>
      </c>
      <c r="C5868" s="2" t="str">
        <f ca="1">IFERROR(__xludf.DUMMYFUNCTION("GOOGLETRANSLATE(A5868,""bn"",""en"")"),"I wanted to find technology")</f>
        <v>I wanted to find technology</v>
      </c>
      <c r="D5868" s="5"/>
      <c r="E5868" s="5"/>
      <c r="F5868" s="5"/>
      <c r="G5868" s="5"/>
      <c r="H5868" s="5"/>
      <c r="I5868" s="5"/>
      <c r="J5868" s="5"/>
      <c r="K5868" s="5"/>
      <c r="L5868" s="5"/>
      <c r="M5868" s="5"/>
      <c r="N5868" s="5"/>
      <c r="O5868" s="5"/>
      <c r="P5868" s="5"/>
      <c r="Q5868" s="5"/>
      <c r="R5868" s="5"/>
      <c r="S5868" s="5"/>
      <c r="T5868" s="5"/>
      <c r="U5868" s="5"/>
      <c r="V5868" s="5"/>
      <c r="W5868" s="5"/>
      <c r="X5868" s="5"/>
      <c r="Y5868" s="5"/>
      <c r="Z5868" s="5"/>
    </row>
    <row r="5869" spans="1:26" ht="15" x14ac:dyDescent="0.25">
      <c r="A5869" s="4" t="s">
        <v>5867</v>
      </c>
      <c r="B5869" s="4" t="s">
        <v>4550</v>
      </c>
      <c r="C5869" s="2" t="str">
        <f ca="1">IFERROR(__xludf.DUMMYFUNCTION("GOOGLETRANSLATE(A5869,""bn"",""en"")"),"I was using wifi")</f>
        <v>I was using wifi</v>
      </c>
      <c r="D5869" s="5"/>
      <c r="E5869" s="5"/>
      <c r="F5869" s="5"/>
      <c r="G5869" s="5"/>
      <c r="H5869" s="5"/>
      <c r="I5869" s="5"/>
      <c r="J5869" s="5"/>
      <c r="K5869" s="5"/>
      <c r="L5869" s="5"/>
      <c r="M5869" s="5"/>
      <c r="N5869" s="5"/>
      <c r="O5869" s="5"/>
      <c r="P5869" s="5"/>
      <c r="Q5869" s="5"/>
      <c r="R5869" s="5"/>
      <c r="S5869" s="5"/>
      <c r="T5869" s="5"/>
      <c r="U5869" s="5"/>
      <c r="V5869" s="5"/>
      <c r="W5869" s="5"/>
      <c r="X5869" s="5"/>
      <c r="Y5869" s="5"/>
      <c r="Z5869" s="5"/>
    </row>
    <row r="5870" spans="1:26" ht="15" x14ac:dyDescent="0.25">
      <c r="A5870" s="4" t="s">
        <v>5868</v>
      </c>
      <c r="B5870" s="4" t="s">
        <v>4550</v>
      </c>
      <c r="C5870" s="2" t="str">
        <f ca="1">IFERROR(__xludf.DUMMYFUNCTION("GOOGLETRANSLATE(A5870,""bn"",""en"")"),"spoke against")</f>
        <v>spoke against</v>
      </c>
      <c r="D5870" s="5"/>
      <c r="E5870" s="5"/>
      <c r="F5870" s="5"/>
      <c r="G5870" s="5"/>
      <c r="H5870" s="5"/>
      <c r="I5870" s="5"/>
      <c r="J5870" s="5"/>
      <c r="K5870" s="5"/>
      <c r="L5870" s="5"/>
      <c r="M5870" s="5"/>
      <c r="N5870" s="5"/>
      <c r="O5870" s="5"/>
      <c r="P5870" s="5"/>
      <c r="Q5870" s="5"/>
      <c r="R5870" s="5"/>
      <c r="S5870" s="5"/>
      <c r="T5870" s="5"/>
      <c r="U5870" s="5"/>
      <c r="V5870" s="5"/>
      <c r="W5870" s="5"/>
      <c r="X5870" s="5"/>
      <c r="Y5870" s="5"/>
      <c r="Z5870" s="5"/>
    </row>
    <row r="5871" spans="1:26" ht="15" x14ac:dyDescent="0.25">
      <c r="A5871" s="4" t="s">
        <v>5869</v>
      </c>
      <c r="B5871" s="4" t="s">
        <v>4550</v>
      </c>
      <c r="C5871" s="2" t="str">
        <f ca="1">IFERROR(__xludf.DUMMYFUNCTION("GOOGLETRANSLATE(A5871,""bn"",""en"")"),"I rejected the loan")</f>
        <v>I rejected the loan</v>
      </c>
      <c r="D5871" s="5"/>
      <c r="E5871" s="5"/>
      <c r="F5871" s="5"/>
      <c r="G5871" s="5"/>
      <c r="H5871" s="5"/>
      <c r="I5871" s="5"/>
      <c r="J5871" s="5"/>
      <c r="K5871" s="5"/>
      <c r="L5871" s="5"/>
      <c r="M5871" s="5"/>
      <c r="N5871" s="5"/>
      <c r="O5871" s="5"/>
      <c r="P5871" s="5"/>
      <c r="Q5871" s="5"/>
      <c r="R5871" s="5"/>
      <c r="S5871" s="5"/>
      <c r="T5871" s="5"/>
      <c r="U5871" s="5"/>
      <c r="V5871" s="5"/>
      <c r="W5871" s="5"/>
      <c r="X5871" s="5"/>
      <c r="Y5871" s="5"/>
      <c r="Z5871" s="5"/>
    </row>
    <row r="5872" spans="1:26" ht="15" x14ac:dyDescent="0.25">
      <c r="A5872" s="4" t="s">
        <v>5870</v>
      </c>
      <c r="B5872" s="4" t="s">
        <v>4550</v>
      </c>
      <c r="C5872" s="2" t="str">
        <f ca="1">IFERROR(__xludf.DUMMYFUNCTION("GOOGLETRANSLATE(A5872,""bn"",""en"")"),"I was buying a new bluetooth speaker")</f>
        <v>I was buying a new bluetooth speaker</v>
      </c>
      <c r="D5872" s="5"/>
      <c r="E5872" s="5"/>
      <c r="F5872" s="5"/>
      <c r="G5872" s="5"/>
      <c r="H5872" s="5"/>
      <c r="I5872" s="5"/>
      <c r="J5872" s="5"/>
      <c r="K5872" s="5"/>
      <c r="L5872" s="5"/>
      <c r="M5872" s="5"/>
      <c r="N5872" s="5"/>
      <c r="O5872" s="5"/>
      <c r="P5872" s="5"/>
      <c r="Q5872" s="5"/>
      <c r="R5872" s="5"/>
      <c r="S5872" s="5"/>
      <c r="T5872" s="5"/>
      <c r="U5872" s="5"/>
      <c r="V5872" s="5"/>
      <c r="W5872" s="5"/>
      <c r="X5872" s="5"/>
      <c r="Y5872" s="5"/>
      <c r="Z5872" s="5"/>
    </row>
    <row r="5873" spans="1:26" ht="15" x14ac:dyDescent="0.25">
      <c r="A5873" s="4" t="s">
        <v>5871</v>
      </c>
      <c r="B5873" s="4" t="s">
        <v>4550</v>
      </c>
      <c r="C5873" s="2" t="str">
        <f ca="1">IFERROR(__xludf.DUMMYFUNCTION("GOOGLETRANSLATE(A5873,""bn"",""en"")"),"I was using the webcam")</f>
        <v>I was using the webcam</v>
      </c>
      <c r="D5873" s="5"/>
      <c r="E5873" s="5"/>
      <c r="F5873" s="5"/>
      <c r="G5873" s="5"/>
      <c r="H5873" s="5"/>
      <c r="I5873" s="5"/>
      <c r="J5873" s="5"/>
      <c r="K5873" s="5"/>
      <c r="L5873" s="5"/>
      <c r="M5873" s="5"/>
      <c r="N5873" s="5"/>
      <c r="O5873" s="5"/>
      <c r="P5873" s="5"/>
      <c r="Q5873" s="5"/>
      <c r="R5873" s="5"/>
      <c r="S5873" s="5"/>
      <c r="T5873" s="5"/>
      <c r="U5873" s="5"/>
      <c r="V5873" s="5"/>
      <c r="W5873" s="5"/>
      <c r="X5873" s="5"/>
      <c r="Y5873" s="5"/>
      <c r="Z5873" s="5"/>
    </row>
    <row r="5874" spans="1:26" ht="15" x14ac:dyDescent="0.25">
      <c r="A5874" s="4" t="s">
        <v>5872</v>
      </c>
      <c r="B5874" s="4" t="s">
        <v>4550</v>
      </c>
      <c r="C5874" s="2" t="str">
        <f ca="1">IFERROR(__xludf.DUMMYFUNCTION("GOOGLETRANSLATE(A5874,""bn"",""en"")"),"I was buying necessary food")</f>
        <v>I was buying necessary food</v>
      </c>
      <c r="D5874" s="5"/>
      <c r="E5874" s="5"/>
      <c r="F5874" s="5"/>
      <c r="G5874" s="5"/>
      <c r="H5874" s="5"/>
      <c r="I5874" s="5"/>
      <c r="J5874" s="5"/>
      <c r="K5874" s="5"/>
      <c r="L5874" s="5"/>
      <c r="M5874" s="5"/>
      <c r="N5874" s="5"/>
      <c r="O5874" s="5"/>
      <c r="P5874" s="5"/>
      <c r="Q5874" s="5"/>
      <c r="R5874" s="5"/>
      <c r="S5874" s="5"/>
      <c r="T5874" s="5"/>
      <c r="U5874" s="5"/>
      <c r="V5874" s="5"/>
      <c r="W5874" s="5"/>
      <c r="X5874" s="5"/>
      <c r="Y5874" s="5"/>
      <c r="Z5874" s="5"/>
    </row>
    <row r="5875" spans="1:26" ht="15" x14ac:dyDescent="0.25">
      <c r="A5875" s="4" t="s">
        <v>5873</v>
      </c>
      <c r="B5875" s="4" t="s">
        <v>4550</v>
      </c>
      <c r="C5875" s="2" t="str">
        <f ca="1">IFERROR(__xludf.DUMMYFUNCTION("GOOGLETRANSLATE(A5875,""bn"",""en"")"),"I used floppy disk")</f>
        <v>I used floppy disk</v>
      </c>
      <c r="D5875" s="5"/>
      <c r="E5875" s="5"/>
      <c r="F5875" s="5"/>
      <c r="G5875" s="5"/>
      <c r="H5875" s="5"/>
      <c r="I5875" s="5"/>
      <c r="J5875" s="5"/>
      <c r="K5875" s="5"/>
      <c r="L5875" s="5"/>
      <c r="M5875" s="5"/>
      <c r="N5875" s="5"/>
      <c r="O5875" s="5"/>
      <c r="P5875" s="5"/>
      <c r="Q5875" s="5"/>
      <c r="R5875" s="5"/>
      <c r="S5875" s="5"/>
      <c r="T5875" s="5"/>
      <c r="U5875" s="5"/>
      <c r="V5875" s="5"/>
      <c r="W5875" s="5"/>
      <c r="X5875" s="5"/>
      <c r="Y5875" s="5"/>
      <c r="Z5875" s="5"/>
    </row>
    <row r="5876" spans="1:26" ht="15" x14ac:dyDescent="0.25">
      <c r="A5876" s="4" t="s">
        <v>5874</v>
      </c>
      <c r="B5876" s="4" t="s">
        <v>4550</v>
      </c>
      <c r="C5876" s="2" t="str">
        <f ca="1">IFERROR(__xludf.DUMMYFUNCTION("GOOGLETRANSLATE(A5876,""bn"",""en"")"),"I designed the database")</f>
        <v>I designed the database</v>
      </c>
      <c r="D5876" s="5"/>
      <c r="E5876" s="5"/>
      <c r="F5876" s="5"/>
      <c r="G5876" s="5"/>
      <c r="H5876" s="5"/>
      <c r="I5876" s="5"/>
      <c r="J5876" s="5"/>
      <c r="K5876" s="5"/>
      <c r="L5876" s="5"/>
      <c r="M5876" s="5"/>
      <c r="N5876" s="5"/>
      <c r="O5876" s="5"/>
      <c r="P5876" s="5"/>
      <c r="Q5876" s="5"/>
      <c r="R5876" s="5"/>
      <c r="S5876" s="5"/>
      <c r="T5876" s="5"/>
      <c r="U5876" s="5"/>
      <c r="V5876" s="5"/>
      <c r="W5876" s="5"/>
      <c r="X5876" s="5"/>
      <c r="Y5876" s="5"/>
      <c r="Z5876" s="5"/>
    </row>
    <row r="5877" spans="1:26" ht="15" x14ac:dyDescent="0.25">
      <c r="A5877" s="4" t="s">
        <v>5875</v>
      </c>
      <c r="B5877" s="4" t="s">
        <v>4550</v>
      </c>
      <c r="C5877" s="2" t="str">
        <f ca="1">IFERROR(__xludf.DUMMYFUNCTION("GOOGLETRANSLATE(A5877,""bn"",""en"")"),"I bought this book")</f>
        <v>I bought this book</v>
      </c>
      <c r="D5877" s="5"/>
      <c r="E5877" s="5"/>
      <c r="F5877" s="5"/>
      <c r="G5877" s="5"/>
      <c r="H5877" s="5"/>
      <c r="I5877" s="5"/>
      <c r="J5877" s="5"/>
      <c r="K5877" s="5"/>
      <c r="L5877" s="5"/>
      <c r="M5877" s="5"/>
      <c r="N5877" s="5"/>
      <c r="O5877" s="5"/>
      <c r="P5877" s="5"/>
      <c r="Q5877" s="5"/>
      <c r="R5877" s="5"/>
      <c r="S5877" s="5"/>
      <c r="T5877" s="5"/>
      <c r="U5877" s="5"/>
      <c r="V5877" s="5"/>
      <c r="W5877" s="5"/>
      <c r="X5877" s="5"/>
      <c r="Y5877" s="5"/>
      <c r="Z5877" s="5"/>
    </row>
    <row r="5878" spans="1:26" ht="15" x14ac:dyDescent="0.25">
      <c r="A5878" s="4" t="s">
        <v>5876</v>
      </c>
      <c r="B5878" s="4" t="s">
        <v>4550</v>
      </c>
      <c r="C5878" s="2" t="str">
        <f ca="1">IFERROR(__xludf.DUMMYFUNCTION("GOOGLETRANSLATE(A5878,""bn"",""en"")"),"The currency has increased")</f>
        <v>The currency has increased</v>
      </c>
      <c r="D5878" s="5"/>
      <c r="E5878" s="5"/>
      <c r="F5878" s="5"/>
      <c r="G5878" s="5"/>
      <c r="H5878" s="5"/>
      <c r="I5878" s="5"/>
      <c r="J5878" s="5"/>
      <c r="K5878" s="5"/>
      <c r="L5878" s="5"/>
      <c r="M5878" s="5"/>
      <c r="N5878" s="5"/>
      <c r="O5878" s="5"/>
      <c r="P5878" s="5"/>
      <c r="Q5878" s="5"/>
      <c r="R5878" s="5"/>
      <c r="S5878" s="5"/>
      <c r="T5878" s="5"/>
      <c r="U5878" s="5"/>
      <c r="V5878" s="5"/>
      <c r="W5878" s="5"/>
      <c r="X5878" s="5"/>
      <c r="Y5878" s="5"/>
      <c r="Z5878" s="5"/>
    </row>
    <row r="5879" spans="1:26" ht="15" x14ac:dyDescent="0.25">
      <c r="A5879" s="4" t="s">
        <v>5877</v>
      </c>
      <c r="B5879" s="4" t="s">
        <v>4550</v>
      </c>
      <c r="C5879" s="2" t="str">
        <f ca="1">IFERROR(__xludf.DUMMYFUNCTION("GOOGLETRANSLATE(A5879,""bn"",""en"")"),"Students were reading poetry")</f>
        <v>Students were reading poetry</v>
      </c>
      <c r="D5879" s="5"/>
      <c r="E5879" s="5"/>
      <c r="F5879" s="5"/>
      <c r="G5879" s="5"/>
      <c r="H5879" s="5"/>
      <c r="I5879" s="5"/>
      <c r="J5879" s="5"/>
      <c r="K5879" s="5"/>
      <c r="L5879" s="5"/>
      <c r="M5879" s="5"/>
      <c r="N5879" s="5"/>
      <c r="O5879" s="5"/>
      <c r="P5879" s="5"/>
      <c r="Q5879" s="5"/>
      <c r="R5879" s="5"/>
      <c r="S5879" s="5"/>
      <c r="T5879" s="5"/>
      <c r="U5879" s="5"/>
      <c r="V5879" s="5"/>
      <c r="W5879" s="5"/>
      <c r="X5879" s="5"/>
      <c r="Y5879" s="5"/>
      <c r="Z5879" s="5"/>
    </row>
    <row r="5880" spans="1:26" ht="15" x14ac:dyDescent="0.25">
      <c r="A5880" s="4" t="s">
        <v>5878</v>
      </c>
      <c r="B5880" s="4" t="s">
        <v>4550</v>
      </c>
      <c r="C5880" s="2" t="str">
        <f ca="1">IFERROR(__xludf.DUMMYFUNCTION("GOOGLETRANSLATE(A5880,""bn"",""en"")"),"I used mobile")</f>
        <v>I used mobile</v>
      </c>
      <c r="D5880" s="5"/>
      <c r="E5880" s="5"/>
      <c r="F5880" s="5"/>
      <c r="G5880" s="5"/>
      <c r="H5880" s="5"/>
      <c r="I5880" s="5"/>
      <c r="J5880" s="5"/>
      <c r="K5880" s="5"/>
      <c r="L5880" s="5"/>
      <c r="M5880" s="5"/>
      <c r="N5880" s="5"/>
      <c r="O5880" s="5"/>
      <c r="P5880" s="5"/>
      <c r="Q5880" s="5"/>
      <c r="R5880" s="5"/>
      <c r="S5880" s="5"/>
      <c r="T5880" s="5"/>
      <c r="U5880" s="5"/>
      <c r="V5880" s="5"/>
      <c r="W5880" s="5"/>
      <c r="X5880" s="5"/>
      <c r="Y5880" s="5"/>
      <c r="Z5880" s="5"/>
    </row>
    <row r="5881" spans="1:26" ht="15" x14ac:dyDescent="0.25">
      <c r="A5881" s="4" t="s">
        <v>5879</v>
      </c>
      <c r="B5881" s="4" t="s">
        <v>4550</v>
      </c>
      <c r="C5881" s="2" t="str">
        <f ca="1">IFERROR(__xludf.DUMMYFUNCTION("GOOGLETRANSLATE(A5881,""bn"",""en"")"),"I was preparing research")</f>
        <v>I was preparing research</v>
      </c>
      <c r="D5881" s="5"/>
      <c r="E5881" s="5"/>
      <c r="F5881" s="5"/>
      <c r="G5881" s="5"/>
      <c r="H5881" s="5"/>
      <c r="I5881" s="5"/>
      <c r="J5881" s="5"/>
      <c r="K5881" s="5"/>
      <c r="L5881" s="5"/>
      <c r="M5881" s="5"/>
      <c r="N5881" s="5"/>
      <c r="O5881" s="5"/>
      <c r="P5881" s="5"/>
      <c r="Q5881" s="5"/>
      <c r="R5881" s="5"/>
      <c r="S5881" s="5"/>
      <c r="T5881" s="5"/>
      <c r="U5881" s="5"/>
      <c r="V5881" s="5"/>
      <c r="W5881" s="5"/>
      <c r="X5881" s="5"/>
      <c r="Y5881" s="5"/>
      <c r="Z5881" s="5"/>
    </row>
    <row r="5882" spans="1:26" ht="15" x14ac:dyDescent="0.25">
      <c r="A5882" s="4" t="s">
        <v>5880</v>
      </c>
      <c r="B5882" s="4" t="s">
        <v>4550</v>
      </c>
      <c r="C5882" s="2" t="str">
        <f ca="1">IFERROR(__xludf.DUMMYFUNCTION("GOOGLETRANSLATE(A5882,""bn"",""en"")"),"I went to observe the beauty and found peace")</f>
        <v>I went to observe the beauty and found peace</v>
      </c>
      <c r="D5882" s="5"/>
      <c r="E5882" s="5"/>
      <c r="F5882" s="5"/>
      <c r="G5882" s="5"/>
      <c r="H5882" s="5"/>
      <c r="I5882" s="5"/>
      <c r="J5882" s="5"/>
      <c r="K5882" s="5"/>
      <c r="L5882" s="5"/>
      <c r="M5882" s="5"/>
      <c r="N5882" s="5"/>
      <c r="O5882" s="5"/>
      <c r="P5882" s="5"/>
      <c r="Q5882" s="5"/>
      <c r="R5882" s="5"/>
      <c r="S5882" s="5"/>
      <c r="T5882" s="5"/>
      <c r="U5882" s="5"/>
      <c r="V5882" s="5"/>
      <c r="W5882" s="5"/>
      <c r="X5882" s="5"/>
      <c r="Y5882" s="5"/>
      <c r="Z5882" s="5"/>
    </row>
    <row r="5883" spans="1:26" ht="15" x14ac:dyDescent="0.25">
      <c r="A5883" s="4" t="s">
        <v>5881</v>
      </c>
      <c r="B5883" s="4" t="s">
        <v>4550</v>
      </c>
      <c r="C5883" s="2" t="str">
        <f ca="1">IFERROR(__xludf.DUMMYFUNCTION("GOOGLETRANSLATE(A5883,""bn"",""en"")"),"I went to see the beauty")</f>
        <v>I went to see the beauty</v>
      </c>
      <c r="D5883" s="5"/>
      <c r="E5883" s="5"/>
      <c r="F5883" s="5"/>
      <c r="G5883" s="5"/>
      <c r="H5883" s="5"/>
      <c r="I5883" s="5"/>
      <c r="J5883" s="5"/>
      <c r="K5883" s="5"/>
      <c r="L5883" s="5"/>
      <c r="M5883" s="5"/>
      <c r="N5883" s="5"/>
      <c r="O5883" s="5"/>
      <c r="P5883" s="5"/>
      <c r="Q5883" s="5"/>
      <c r="R5883" s="5"/>
      <c r="S5883" s="5"/>
      <c r="T5883" s="5"/>
      <c r="U5883" s="5"/>
      <c r="V5883" s="5"/>
      <c r="W5883" s="5"/>
      <c r="X5883" s="5"/>
      <c r="Y5883" s="5"/>
      <c r="Z5883" s="5"/>
    </row>
    <row r="5884" spans="1:26" ht="15" x14ac:dyDescent="0.25">
      <c r="A5884" s="4" t="s">
        <v>5882</v>
      </c>
      <c r="B5884" s="4" t="s">
        <v>4550</v>
      </c>
      <c r="C5884" s="2" t="str">
        <f ca="1">IFERROR(__xludf.DUMMYFUNCTION("GOOGLETRANSLATE(A5884,""bn"",""en"")"),"I was watching the news on television")</f>
        <v>I was watching the news on television</v>
      </c>
      <c r="D5884" s="5"/>
      <c r="E5884" s="5"/>
      <c r="F5884" s="5"/>
      <c r="G5884" s="5"/>
      <c r="H5884" s="5"/>
      <c r="I5884" s="5"/>
      <c r="J5884" s="5"/>
      <c r="K5884" s="5"/>
      <c r="L5884" s="5"/>
      <c r="M5884" s="5"/>
      <c r="N5884" s="5"/>
      <c r="O5884" s="5"/>
      <c r="P5884" s="5"/>
      <c r="Q5884" s="5"/>
      <c r="R5884" s="5"/>
      <c r="S5884" s="5"/>
      <c r="T5884" s="5"/>
      <c r="U5884" s="5"/>
      <c r="V5884" s="5"/>
      <c r="W5884" s="5"/>
      <c r="X5884" s="5"/>
      <c r="Y5884" s="5"/>
      <c r="Z5884" s="5"/>
    </row>
    <row r="5885" spans="1:26" ht="15" x14ac:dyDescent="0.25">
      <c r="A5885" s="4" t="s">
        <v>5883</v>
      </c>
      <c r="B5885" s="4" t="s">
        <v>4550</v>
      </c>
      <c r="C5885" s="2" t="str">
        <f ca="1">IFERROR(__xludf.DUMMYFUNCTION("GOOGLETRANSLATE(A5885,""bn"",""en"")"),"We wanted to research")</f>
        <v>We wanted to research</v>
      </c>
      <c r="D5885" s="5"/>
      <c r="E5885" s="5"/>
      <c r="F5885" s="5"/>
      <c r="G5885" s="5"/>
      <c r="H5885" s="5"/>
      <c r="I5885" s="5"/>
      <c r="J5885" s="5"/>
      <c r="K5885" s="5"/>
      <c r="L5885" s="5"/>
      <c r="M5885" s="5"/>
      <c r="N5885" s="5"/>
      <c r="O5885" s="5"/>
      <c r="P5885" s="5"/>
      <c r="Q5885" s="5"/>
      <c r="R5885" s="5"/>
      <c r="S5885" s="5"/>
      <c r="T5885" s="5"/>
      <c r="U5885" s="5"/>
      <c r="V5885" s="5"/>
      <c r="W5885" s="5"/>
      <c r="X5885" s="5"/>
      <c r="Y5885" s="5"/>
      <c r="Z5885" s="5"/>
    </row>
    <row r="5886" spans="1:26" ht="15" x14ac:dyDescent="0.25">
      <c r="A5886" s="4" t="s">
        <v>5884</v>
      </c>
      <c r="B5886" s="4" t="s">
        <v>4550</v>
      </c>
      <c r="C5886" s="2" t="str">
        <f ca="1">IFERROR(__xludf.DUMMYFUNCTION("GOOGLETRANSLATE(A5886,""bn"",""en"")"),"We were doing research")</f>
        <v>We were doing research</v>
      </c>
      <c r="D5886" s="5"/>
      <c r="E5886" s="5"/>
      <c r="F5886" s="5"/>
      <c r="G5886" s="5"/>
      <c r="H5886" s="5"/>
      <c r="I5886" s="5"/>
      <c r="J5886" s="5"/>
      <c r="K5886" s="5"/>
      <c r="L5886" s="5"/>
      <c r="M5886" s="5"/>
      <c r="N5886" s="5"/>
      <c r="O5886" s="5"/>
      <c r="P5886" s="5"/>
      <c r="Q5886" s="5"/>
      <c r="R5886" s="5"/>
      <c r="S5886" s="5"/>
      <c r="T5886" s="5"/>
      <c r="U5886" s="5"/>
      <c r="V5886" s="5"/>
      <c r="W5886" s="5"/>
      <c r="X5886" s="5"/>
      <c r="Y5886" s="5"/>
      <c r="Z5886" s="5"/>
    </row>
    <row r="5887" spans="1:26" ht="15" x14ac:dyDescent="0.25">
      <c r="A5887" s="4" t="s">
        <v>5885</v>
      </c>
      <c r="B5887" s="4" t="s">
        <v>4550</v>
      </c>
      <c r="C5887" s="2" t="str">
        <f ca="1">IFERROR(__xludf.DUMMYFUNCTION("GOOGLETRANSLATE(A5887,""bn"",""en"")"),"Technology is analytical")</f>
        <v>Technology is analytical</v>
      </c>
      <c r="D5887" s="5"/>
      <c r="E5887" s="5"/>
      <c r="F5887" s="5"/>
      <c r="G5887" s="5"/>
      <c r="H5887" s="5"/>
      <c r="I5887" s="5"/>
      <c r="J5887" s="5"/>
      <c r="K5887" s="5"/>
      <c r="L5887" s="5"/>
      <c r="M5887" s="5"/>
      <c r="N5887" s="5"/>
      <c r="O5887" s="5"/>
      <c r="P5887" s="5"/>
      <c r="Q5887" s="5"/>
      <c r="R5887" s="5"/>
      <c r="S5887" s="5"/>
      <c r="T5887" s="5"/>
      <c r="U5887" s="5"/>
      <c r="V5887" s="5"/>
      <c r="W5887" s="5"/>
      <c r="X5887" s="5"/>
      <c r="Y5887" s="5"/>
      <c r="Z5887" s="5"/>
    </row>
    <row r="5888" spans="1:26" ht="15" x14ac:dyDescent="0.25">
      <c r="A5888" s="4" t="s">
        <v>5886</v>
      </c>
      <c r="B5888" s="4" t="s">
        <v>4550</v>
      </c>
      <c r="C5888" s="2" t="str">
        <f ca="1">IFERROR(__xludf.DUMMYFUNCTION("GOOGLETRANSLATE(A5888,""bn"",""en"")"),"Infrastructure was increasing")</f>
        <v>Infrastructure was increasing</v>
      </c>
      <c r="D5888" s="5"/>
      <c r="E5888" s="5"/>
      <c r="F5888" s="5"/>
      <c r="G5888" s="5"/>
      <c r="H5888" s="5"/>
      <c r="I5888" s="5"/>
      <c r="J5888" s="5"/>
      <c r="K5888" s="5"/>
      <c r="L5888" s="5"/>
      <c r="M5888" s="5"/>
      <c r="N5888" s="5"/>
      <c r="O5888" s="5"/>
      <c r="P5888" s="5"/>
      <c r="Q5888" s="5"/>
      <c r="R5888" s="5"/>
      <c r="S5888" s="5"/>
      <c r="T5888" s="5"/>
      <c r="U5888" s="5"/>
      <c r="V5888" s="5"/>
      <c r="W5888" s="5"/>
      <c r="X5888" s="5"/>
      <c r="Y5888" s="5"/>
      <c r="Z5888" s="5"/>
    </row>
    <row r="5889" spans="1:26" ht="15" x14ac:dyDescent="0.25">
      <c r="A5889" s="4" t="s">
        <v>5887</v>
      </c>
      <c r="B5889" s="4" t="s">
        <v>4550</v>
      </c>
      <c r="C5889" s="2" t="str">
        <f ca="1">IFERROR(__xludf.DUMMYFUNCTION("GOOGLETRANSLATE(A5889,""bn"",""en"")"),"I went to school and sang")</f>
        <v>I went to school and sang</v>
      </c>
      <c r="D5889" s="5"/>
      <c r="E5889" s="5"/>
      <c r="F5889" s="5"/>
      <c r="G5889" s="5"/>
      <c r="H5889" s="5"/>
      <c r="I5889" s="5"/>
      <c r="J5889" s="5"/>
      <c r="K5889" s="5"/>
      <c r="L5889" s="5"/>
      <c r="M5889" s="5"/>
      <c r="N5889" s="5"/>
      <c r="O5889" s="5"/>
      <c r="P5889" s="5"/>
      <c r="Q5889" s="5"/>
      <c r="R5889" s="5"/>
      <c r="S5889" s="5"/>
      <c r="T5889" s="5"/>
      <c r="U5889" s="5"/>
      <c r="V5889" s="5"/>
      <c r="W5889" s="5"/>
      <c r="X5889" s="5"/>
      <c r="Y5889" s="5"/>
      <c r="Z5889" s="5"/>
    </row>
    <row r="5890" spans="1:26" ht="15" x14ac:dyDescent="0.25">
      <c r="A5890" s="4" t="s">
        <v>5888</v>
      </c>
      <c r="B5890" s="4" t="s">
        <v>4550</v>
      </c>
      <c r="C5890" s="2" t="str">
        <f ca="1">IFERROR(__xludf.DUMMYFUNCTION("GOOGLETRANSLATE(A5890,""bn"",""en"")"),"You wrote notes")</f>
        <v>You wrote notes</v>
      </c>
      <c r="D5890" s="5"/>
      <c r="E5890" s="5"/>
      <c r="F5890" s="5"/>
      <c r="G5890" s="5"/>
      <c r="H5890" s="5"/>
      <c r="I5890" s="5"/>
      <c r="J5890" s="5"/>
      <c r="K5890" s="5"/>
      <c r="L5890" s="5"/>
      <c r="M5890" s="5"/>
      <c r="N5890" s="5"/>
      <c r="O5890" s="5"/>
      <c r="P5890" s="5"/>
      <c r="Q5890" s="5"/>
      <c r="R5890" s="5"/>
      <c r="S5890" s="5"/>
      <c r="T5890" s="5"/>
      <c r="U5890" s="5"/>
      <c r="V5890" s="5"/>
      <c r="W5890" s="5"/>
      <c r="X5890" s="5"/>
      <c r="Y5890" s="5"/>
      <c r="Z5890" s="5"/>
    </row>
    <row r="5891" spans="1:26" ht="15" x14ac:dyDescent="0.25">
      <c r="A5891" s="4" t="s">
        <v>5889</v>
      </c>
      <c r="B5891" s="4" t="s">
        <v>4550</v>
      </c>
      <c r="C5891" s="2" t="str">
        <f ca="1">IFERROR(__xludf.DUMMYFUNCTION("GOOGLETRANSLATE(A5891,""bn"",""en"")"),"I was reciting poetry")</f>
        <v>I was reciting poetry</v>
      </c>
      <c r="D5891" s="5"/>
      <c r="E5891" s="5"/>
      <c r="F5891" s="5"/>
      <c r="G5891" s="5"/>
      <c r="H5891" s="5"/>
      <c r="I5891" s="5"/>
      <c r="J5891" s="5"/>
      <c r="K5891" s="5"/>
      <c r="L5891" s="5"/>
      <c r="M5891" s="5"/>
      <c r="N5891" s="5"/>
      <c r="O5891" s="5"/>
      <c r="P5891" s="5"/>
      <c r="Q5891" s="5"/>
      <c r="R5891" s="5"/>
      <c r="S5891" s="5"/>
      <c r="T5891" s="5"/>
      <c r="U5891" s="5"/>
      <c r="V5891" s="5"/>
      <c r="W5891" s="5"/>
      <c r="X5891" s="5"/>
      <c r="Y5891" s="5"/>
      <c r="Z5891" s="5"/>
    </row>
    <row r="5892" spans="1:26" ht="15" x14ac:dyDescent="0.25">
      <c r="A5892" s="4" t="s">
        <v>5890</v>
      </c>
      <c r="B5892" s="4" t="s">
        <v>4550</v>
      </c>
      <c r="C5892" s="2" t="str">
        <f ca="1">IFERROR(__xludf.DUMMYFUNCTION("GOOGLETRANSLATE(A5892,""bn"",""en"")"),"Anarchy these days")</f>
        <v>Anarchy these days</v>
      </c>
      <c r="D5892" s="5"/>
      <c r="E5892" s="5"/>
      <c r="F5892" s="5"/>
      <c r="G5892" s="5"/>
      <c r="H5892" s="5"/>
      <c r="I5892" s="5"/>
      <c r="J5892" s="5"/>
      <c r="K5892" s="5"/>
      <c r="L5892" s="5"/>
      <c r="M5892" s="5"/>
      <c r="N5892" s="5"/>
      <c r="O5892" s="5"/>
      <c r="P5892" s="5"/>
      <c r="Q5892" s="5"/>
      <c r="R5892" s="5"/>
      <c r="S5892" s="5"/>
      <c r="T5892" s="5"/>
      <c r="U5892" s="5"/>
      <c r="V5892" s="5"/>
      <c r="W5892" s="5"/>
      <c r="X5892" s="5"/>
      <c r="Y5892" s="5"/>
      <c r="Z5892" s="5"/>
    </row>
    <row r="5893" spans="1:26" ht="15" x14ac:dyDescent="0.25">
      <c r="A5893" s="4" t="s">
        <v>5891</v>
      </c>
      <c r="B5893" s="4" t="s">
        <v>4550</v>
      </c>
      <c r="C5893" s="2" t="str">
        <f ca="1">IFERROR(__xludf.DUMMYFUNCTION("GOOGLETRANSLATE(A5893,""bn"",""en"")"),"I was thinking")</f>
        <v>I was thinking</v>
      </c>
      <c r="D5893" s="5"/>
      <c r="E5893" s="5"/>
      <c r="F5893" s="5"/>
      <c r="G5893" s="5"/>
      <c r="H5893" s="5"/>
      <c r="I5893" s="5"/>
      <c r="J5893" s="5"/>
      <c r="K5893" s="5"/>
      <c r="L5893" s="5"/>
      <c r="M5893" s="5"/>
      <c r="N5893" s="5"/>
      <c r="O5893" s="5"/>
      <c r="P5893" s="5"/>
      <c r="Q5893" s="5"/>
      <c r="R5893" s="5"/>
      <c r="S5893" s="5"/>
      <c r="T5893" s="5"/>
      <c r="U5893" s="5"/>
      <c r="V5893" s="5"/>
      <c r="W5893" s="5"/>
      <c r="X5893" s="5"/>
      <c r="Y5893" s="5"/>
      <c r="Z5893" s="5"/>
    </row>
    <row r="5894" spans="1:26" ht="15" x14ac:dyDescent="0.25">
      <c r="A5894" s="4" t="s">
        <v>5892</v>
      </c>
      <c r="B5894" s="4" t="s">
        <v>4550</v>
      </c>
      <c r="C5894" s="2" t="str">
        <f ca="1">IFERROR(__xludf.DUMMYFUNCTION("GOOGLETRANSLATE(A5894,""bn"",""en"")"),"I was browsing google")</f>
        <v>I was browsing google</v>
      </c>
      <c r="D5894" s="5"/>
      <c r="E5894" s="5"/>
      <c r="F5894" s="5"/>
      <c r="G5894" s="5"/>
      <c r="H5894" s="5"/>
      <c r="I5894" s="5"/>
      <c r="J5894" s="5"/>
      <c r="K5894" s="5"/>
      <c r="L5894" s="5"/>
      <c r="M5894" s="5"/>
      <c r="N5894" s="5"/>
      <c r="O5894" s="5"/>
      <c r="P5894" s="5"/>
      <c r="Q5894" s="5"/>
      <c r="R5894" s="5"/>
      <c r="S5894" s="5"/>
      <c r="T5894" s="5"/>
      <c r="U5894" s="5"/>
      <c r="V5894" s="5"/>
      <c r="W5894" s="5"/>
      <c r="X5894" s="5"/>
      <c r="Y5894" s="5"/>
      <c r="Z5894" s="5"/>
    </row>
    <row r="5895" spans="1:26" ht="15" x14ac:dyDescent="0.25">
      <c r="A5895" s="4" t="s">
        <v>5893</v>
      </c>
      <c r="B5895" s="4" t="s">
        <v>4550</v>
      </c>
      <c r="C5895" s="2" t="str">
        <f ca="1">IFERROR(__xludf.DUMMYFUNCTION("GOOGLETRANSLATE(A5895,""bn"",""en"")"),"Programming was known")</f>
        <v>Programming was known</v>
      </c>
      <c r="D5895" s="5"/>
      <c r="E5895" s="5"/>
      <c r="F5895" s="5"/>
      <c r="G5895" s="5"/>
      <c r="H5895" s="5"/>
      <c r="I5895" s="5"/>
      <c r="J5895" s="5"/>
      <c r="K5895" s="5"/>
      <c r="L5895" s="5"/>
      <c r="M5895" s="5"/>
      <c r="N5895" s="5"/>
      <c r="O5895" s="5"/>
      <c r="P5895" s="5"/>
      <c r="Q5895" s="5"/>
      <c r="R5895" s="5"/>
      <c r="S5895" s="5"/>
      <c r="T5895" s="5"/>
      <c r="U5895" s="5"/>
      <c r="V5895" s="5"/>
      <c r="W5895" s="5"/>
      <c r="X5895" s="5"/>
      <c r="Y5895" s="5"/>
      <c r="Z5895" s="5"/>
    </row>
    <row r="5896" spans="1:26" ht="15" x14ac:dyDescent="0.25">
      <c r="A5896" s="4" t="s">
        <v>5894</v>
      </c>
      <c r="B5896" s="4" t="s">
        <v>4550</v>
      </c>
      <c r="C5896" s="2" t="str">
        <f ca="1">IFERROR(__xludf.DUMMYFUNCTION("GOOGLETRANSLATE(A5896,""bn"",""en"")"),"I talked")</f>
        <v>I talked</v>
      </c>
      <c r="D5896" s="5"/>
      <c r="E5896" s="5"/>
      <c r="F5896" s="5"/>
      <c r="G5896" s="5"/>
      <c r="H5896" s="5"/>
      <c r="I5896" s="5"/>
      <c r="J5896" s="5"/>
      <c r="K5896" s="5"/>
      <c r="L5896" s="5"/>
      <c r="M5896" s="5"/>
      <c r="N5896" s="5"/>
      <c r="O5896" s="5"/>
      <c r="P5896" s="5"/>
      <c r="Q5896" s="5"/>
      <c r="R5896" s="5"/>
      <c r="S5896" s="5"/>
      <c r="T5896" s="5"/>
      <c r="U5896" s="5"/>
      <c r="V5896" s="5"/>
      <c r="W5896" s="5"/>
      <c r="X5896" s="5"/>
      <c r="Y5896" s="5"/>
      <c r="Z5896" s="5"/>
    </row>
    <row r="5897" spans="1:26" ht="15" x14ac:dyDescent="0.25">
      <c r="A5897" s="4" t="s">
        <v>5895</v>
      </c>
      <c r="B5897" s="4" t="s">
        <v>4550</v>
      </c>
      <c r="C5897" s="2" t="str">
        <f ca="1">IFERROR(__xludf.DUMMYFUNCTION("GOOGLETRANSLATE(A5897,""bn"",""en"")"),"I was operating Linux")</f>
        <v>I was operating Linux</v>
      </c>
      <c r="D5897" s="5"/>
      <c r="E5897" s="5"/>
      <c r="F5897" s="5"/>
      <c r="G5897" s="5"/>
      <c r="H5897" s="5"/>
      <c r="I5897" s="5"/>
      <c r="J5897" s="5"/>
      <c r="K5897" s="5"/>
      <c r="L5897" s="5"/>
      <c r="M5897" s="5"/>
      <c r="N5897" s="5"/>
      <c r="O5897" s="5"/>
      <c r="P5897" s="5"/>
      <c r="Q5897" s="5"/>
      <c r="R5897" s="5"/>
      <c r="S5897" s="5"/>
      <c r="T5897" s="5"/>
      <c r="U5897" s="5"/>
      <c r="V5897" s="5"/>
      <c r="W5897" s="5"/>
      <c r="X5897" s="5"/>
      <c r="Y5897" s="5"/>
      <c r="Z5897" s="5"/>
    </row>
    <row r="5898" spans="1:26" ht="15" x14ac:dyDescent="0.25">
      <c r="A5898" s="4" t="s">
        <v>5896</v>
      </c>
      <c r="B5898" s="4" t="s">
        <v>4550</v>
      </c>
      <c r="C5898" s="2" t="str">
        <f ca="1">IFERROR(__xludf.DUMMYFUNCTION("GOOGLETRANSLATE(A5898,""bn"",""en"")"),"I created an account")</f>
        <v>I created an account</v>
      </c>
      <c r="D5898" s="5"/>
      <c r="E5898" s="5"/>
      <c r="F5898" s="5"/>
      <c r="G5898" s="5"/>
      <c r="H5898" s="5"/>
      <c r="I5898" s="5"/>
      <c r="J5898" s="5"/>
      <c r="K5898" s="5"/>
      <c r="L5898" s="5"/>
      <c r="M5898" s="5"/>
      <c r="N5898" s="5"/>
      <c r="O5898" s="5"/>
      <c r="P5898" s="5"/>
      <c r="Q5898" s="5"/>
      <c r="R5898" s="5"/>
      <c r="S5898" s="5"/>
      <c r="T5898" s="5"/>
      <c r="U5898" s="5"/>
      <c r="V5898" s="5"/>
      <c r="W5898" s="5"/>
      <c r="X5898" s="5"/>
      <c r="Y5898" s="5"/>
      <c r="Z5898" s="5"/>
    </row>
    <row r="5899" spans="1:26" ht="15" x14ac:dyDescent="0.25">
      <c r="A5899" s="4" t="s">
        <v>5897</v>
      </c>
      <c r="B5899" s="4" t="s">
        <v>4550</v>
      </c>
      <c r="C5899" s="2" t="str">
        <f ca="1">IFERROR(__xludf.DUMMYFUNCTION("GOOGLETRANSLATE(A5899,""bn"",""en"")"),"I used ROM")</f>
        <v>I used ROM</v>
      </c>
      <c r="D5899" s="5"/>
      <c r="E5899" s="5"/>
      <c r="F5899" s="5"/>
      <c r="G5899" s="5"/>
      <c r="H5899" s="5"/>
      <c r="I5899" s="5"/>
      <c r="J5899" s="5"/>
      <c r="K5899" s="5"/>
      <c r="L5899" s="5"/>
      <c r="M5899" s="5"/>
      <c r="N5899" s="5"/>
      <c r="O5899" s="5"/>
      <c r="P5899" s="5"/>
      <c r="Q5899" s="5"/>
      <c r="R5899" s="5"/>
      <c r="S5899" s="5"/>
      <c r="T5899" s="5"/>
      <c r="U5899" s="5"/>
      <c r="V5899" s="5"/>
      <c r="W5899" s="5"/>
      <c r="X5899" s="5"/>
      <c r="Y5899" s="5"/>
      <c r="Z5899" s="5"/>
    </row>
    <row r="5900" spans="1:26" ht="15" x14ac:dyDescent="0.25">
      <c r="A5900" s="4" t="s">
        <v>5898</v>
      </c>
      <c r="B5900" s="4" t="s">
        <v>4550</v>
      </c>
      <c r="C5900" s="2" t="str">
        <f ca="1">IFERROR(__xludf.DUMMYFUNCTION("GOOGLETRANSLATE(A5900,""bn"",""en"")"),"I looked up the information on Wikipedia")</f>
        <v>I looked up the information on Wikipedia</v>
      </c>
      <c r="D5900" s="5"/>
      <c r="E5900" s="5"/>
      <c r="F5900" s="5"/>
      <c r="G5900" s="5"/>
      <c r="H5900" s="5"/>
      <c r="I5900" s="5"/>
      <c r="J5900" s="5"/>
      <c r="K5900" s="5"/>
      <c r="L5900" s="5"/>
      <c r="M5900" s="5"/>
      <c r="N5900" s="5"/>
      <c r="O5900" s="5"/>
      <c r="P5900" s="5"/>
      <c r="Q5900" s="5"/>
      <c r="R5900" s="5"/>
      <c r="S5900" s="5"/>
      <c r="T5900" s="5"/>
      <c r="U5900" s="5"/>
      <c r="V5900" s="5"/>
      <c r="W5900" s="5"/>
      <c r="X5900" s="5"/>
      <c r="Y5900" s="5"/>
      <c r="Z5900" s="5"/>
    </row>
    <row r="5901" spans="1:26" ht="15" x14ac:dyDescent="0.25">
      <c r="A5901" s="4" t="s">
        <v>5899</v>
      </c>
      <c r="B5901" s="4" t="s">
        <v>4550</v>
      </c>
      <c r="C5901" s="2" t="str">
        <f ca="1">IFERROR(__xludf.DUMMYFUNCTION("GOOGLETRANSLATE(A5901,""bn"",""en"")"),"I was buying a new telephone")</f>
        <v>I was buying a new telephone</v>
      </c>
      <c r="D5901" s="5"/>
      <c r="E5901" s="5"/>
      <c r="F5901" s="5"/>
      <c r="G5901" s="5"/>
      <c r="H5901" s="5"/>
      <c r="I5901" s="5"/>
      <c r="J5901" s="5"/>
      <c r="K5901" s="5"/>
      <c r="L5901" s="5"/>
      <c r="M5901" s="5"/>
      <c r="N5901" s="5"/>
      <c r="O5901" s="5"/>
      <c r="P5901" s="5"/>
      <c r="Q5901" s="5"/>
      <c r="R5901" s="5"/>
      <c r="S5901" s="5"/>
      <c r="T5901" s="5"/>
      <c r="U5901" s="5"/>
      <c r="V5901" s="5"/>
      <c r="W5901" s="5"/>
      <c r="X5901" s="5"/>
      <c r="Y5901" s="5"/>
      <c r="Z5901" s="5"/>
    </row>
    <row r="5902" spans="1:26" ht="15" x14ac:dyDescent="0.25">
      <c r="A5902" s="4" t="s">
        <v>5900</v>
      </c>
      <c r="B5902" s="4" t="s">
        <v>4550</v>
      </c>
      <c r="C5902" s="2" t="str">
        <f ca="1">IFERROR(__xludf.DUMMYFUNCTION("GOOGLETRANSLATE(A5902,""bn"",""en"")"),"Financial development is")</f>
        <v>Financial development is</v>
      </c>
      <c r="D5902" s="5"/>
      <c r="E5902" s="5"/>
      <c r="F5902" s="5"/>
      <c r="G5902" s="5"/>
      <c r="H5902" s="5"/>
      <c r="I5902" s="5"/>
      <c r="J5902" s="5"/>
      <c r="K5902" s="5"/>
      <c r="L5902" s="5"/>
      <c r="M5902" s="5"/>
      <c r="N5902" s="5"/>
      <c r="O5902" s="5"/>
      <c r="P5902" s="5"/>
      <c r="Q5902" s="5"/>
      <c r="R5902" s="5"/>
      <c r="S5902" s="5"/>
      <c r="T5902" s="5"/>
      <c r="U5902" s="5"/>
      <c r="V5902" s="5"/>
      <c r="W5902" s="5"/>
      <c r="X5902" s="5"/>
      <c r="Y5902" s="5"/>
      <c r="Z5902" s="5"/>
    </row>
    <row r="5903" spans="1:26" ht="15" x14ac:dyDescent="0.25">
      <c r="A5903" s="4" t="s">
        <v>5901</v>
      </c>
      <c r="B5903" s="4" t="s">
        <v>4550</v>
      </c>
      <c r="C5903" s="2" t="str">
        <f ca="1">IFERROR(__xludf.DUMMYFUNCTION("GOOGLETRANSLATE(A5903,""bn"",""en"")"),"I thought about technology")</f>
        <v>I thought about technology</v>
      </c>
      <c r="D5903" s="5"/>
      <c r="E5903" s="5"/>
      <c r="F5903" s="5"/>
      <c r="G5903" s="5"/>
      <c r="H5903" s="5"/>
      <c r="I5903" s="5"/>
      <c r="J5903" s="5"/>
      <c r="K5903" s="5"/>
      <c r="L5903" s="5"/>
      <c r="M5903" s="5"/>
      <c r="N5903" s="5"/>
      <c r="O5903" s="5"/>
      <c r="P5903" s="5"/>
      <c r="Q5903" s="5"/>
      <c r="R5903" s="5"/>
      <c r="S5903" s="5"/>
      <c r="T5903" s="5"/>
      <c r="U5903" s="5"/>
      <c r="V5903" s="5"/>
      <c r="W5903" s="5"/>
      <c r="X5903" s="5"/>
      <c r="Y5903" s="5"/>
      <c r="Z5903" s="5"/>
    </row>
    <row r="5904" spans="1:26" ht="15" x14ac:dyDescent="0.25">
      <c r="A5904" s="4" t="s">
        <v>5902</v>
      </c>
      <c r="B5904" s="4" t="s">
        <v>4550</v>
      </c>
      <c r="C5904" s="2" t="str">
        <f ca="1">IFERROR(__xludf.DUMMYFUNCTION("GOOGLETRANSLATE(A5904,""bn"",""en"")"),"I showed the passbook")</f>
        <v>I showed the passbook</v>
      </c>
      <c r="D5904" s="5"/>
      <c r="E5904" s="5"/>
      <c r="F5904" s="5"/>
      <c r="G5904" s="5"/>
      <c r="H5904" s="5"/>
      <c r="I5904" s="5"/>
      <c r="J5904" s="5"/>
      <c r="K5904" s="5"/>
      <c r="L5904" s="5"/>
      <c r="M5904" s="5"/>
      <c r="N5904" s="5"/>
      <c r="O5904" s="5"/>
      <c r="P5904" s="5"/>
      <c r="Q5904" s="5"/>
      <c r="R5904" s="5"/>
      <c r="S5904" s="5"/>
      <c r="T5904" s="5"/>
      <c r="U5904" s="5"/>
      <c r="V5904" s="5"/>
      <c r="W5904" s="5"/>
      <c r="X5904" s="5"/>
      <c r="Y5904" s="5"/>
      <c r="Z5904" s="5"/>
    </row>
    <row r="5905" spans="1:26" ht="15" x14ac:dyDescent="0.25">
      <c r="A5905" s="4" t="s">
        <v>5903</v>
      </c>
      <c r="B5905" s="4" t="s">
        <v>4550</v>
      </c>
      <c r="C5905" s="2" t="str">
        <f ca="1">IFERROR(__xludf.DUMMYFUNCTION("GOOGLETRANSLATE(A5905,""bn"",""en"")"),"Went around the college cafeteria")</f>
        <v>Went around the college cafeteria</v>
      </c>
      <c r="D5905" s="5"/>
      <c r="E5905" s="5"/>
      <c r="F5905" s="5"/>
      <c r="G5905" s="5"/>
      <c r="H5905" s="5"/>
      <c r="I5905" s="5"/>
      <c r="J5905" s="5"/>
      <c r="K5905" s="5"/>
      <c r="L5905" s="5"/>
      <c r="M5905" s="5"/>
      <c r="N5905" s="5"/>
      <c r="O5905" s="5"/>
      <c r="P5905" s="5"/>
      <c r="Q5905" s="5"/>
      <c r="R5905" s="5"/>
      <c r="S5905" s="5"/>
      <c r="T5905" s="5"/>
      <c r="U5905" s="5"/>
      <c r="V5905" s="5"/>
      <c r="W5905" s="5"/>
      <c r="X5905" s="5"/>
      <c r="Y5905" s="5"/>
      <c r="Z5905" s="5"/>
    </row>
    <row r="5906" spans="1:26" ht="15" x14ac:dyDescent="0.25">
      <c r="A5906" s="4" t="s">
        <v>5904</v>
      </c>
      <c r="B5906" s="4" t="s">
        <v>4550</v>
      </c>
      <c r="C5906" s="2" t="str">
        <f ca="1">IFERROR(__xludf.DUMMYFUNCTION("GOOGLETRANSLATE(A5906,""bn"",""en"")"),"Rockets were expensive")</f>
        <v>Rockets were expensive</v>
      </c>
      <c r="D5906" s="5"/>
      <c r="E5906" s="5"/>
      <c r="F5906" s="5"/>
      <c r="G5906" s="5"/>
      <c r="H5906" s="5"/>
      <c r="I5906" s="5"/>
      <c r="J5906" s="5"/>
      <c r="K5906" s="5"/>
      <c r="L5906" s="5"/>
      <c r="M5906" s="5"/>
      <c r="N5906" s="5"/>
      <c r="O5906" s="5"/>
      <c r="P5906" s="5"/>
      <c r="Q5906" s="5"/>
      <c r="R5906" s="5"/>
      <c r="S5906" s="5"/>
      <c r="T5906" s="5"/>
      <c r="U5906" s="5"/>
      <c r="V5906" s="5"/>
      <c r="W5906" s="5"/>
      <c r="X5906" s="5"/>
      <c r="Y5906" s="5"/>
      <c r="Z5906" s="5"/>
    </row>
    <row r="5907" spans="1:26" ht="15" x14ac:dyDescent="0.25">
      <c r="A5907" s="4" t="s">
        <v>5905</v>
      </c>
      <c r="B5907" s="4" t="s">
        <v>4550</v>
      </c>
      <c r="C5907" s="2" t="str">
        <f ca="1">IFERROR(__xludf.DUMMYFUNCTION("GOOGLETRANSLATE(A5907,""bn"",""en"")"),"Travel experience")</f>
        <v>Travel experience</v>
      </c>
      <c r="D5907" s="5"/>
      <c r="E5907" s="5"/>
      <c r="F5907" s="5"/>
      <c r="G5907" s="5"/>
      <c r="H5907" s="5"/>
      <c r="I5907" s="5"/>
      <c r="J5907" s="5"/>
      <c r="K5907" s="5"/>
      <c r="L5907" s="5"/>
      <c r="M5907" s="5"/>
      <c r="N5907" s="5"/>
      <c r="O5907" s="5"/>
      <c r="P5907" s="5"/>
      <c r="Q5907" s="5"/>
      <c r="R5907" s="5"/>
      <c r="S5907" s="5"/>
      <c r="T5907" s="5"/>
      <c r="U5907" s="5"/>
      <c r="V5907" s="5"/>
      <c r="W5907" s="5"/>
      <c r="X5907" s="5"/>
      <c r="Y5907" s="5"/>
      <c r="Z5907" s="5"/>
    </row>
    <row r="5908" spans="1:26" ht="15" x14ac:dyDescent="0.25">
      <c r="A5908" s="4" t="s">
        <v>5906</v>
      </c>
      <c r="B5908" s="4" t="s">
        <v>4550</v>
      </c>
      <c r="C5908" s="2" t="str">
        <f ca="1">IFERROR(__xludf.DUMMYFUNCTION("GOOGLETRANSLATE(A5908,""bn"",""en"")"),"There were tigers in the Sundarbans")</f>
        <v>There were tigers in the Sundarbans</v>
      </c>
      <c r="D5908" s="5"/>
      <c r="E5908" s="5"/>
      <c r="F5908" s="5"/>
      <c r="G5908" s="5"/>
      <c r="H5908" s="5"/>
      <c r="I5908" s="5"/>
      <c r="J5908" s="5"/>
      <c r="K5908" s="5"/>
      <c r="L5908" s="5"/>
      <c r="M5908" s="5"/>
      <c r="N5908" s="5"/>
      <c r="O5908" s="5"/>
      <c r="P5908" s="5"/>
      <c r="Q5908" s="5"/>
      <c r="R5908" s="5"/>
      <c r="S5908" s="5"/>
      <c r="T5908" s="5"/>
      <c r="U5908" s="5"/>
      <c r="V5908" s="5"/>
      <c r="W5908" s="5"/>
      <c r="X5908" s="5"/>
      <c r="Y5908" s="5"/>
      <c r="Z5908" s="5"/>
    </row>
    <row r="5909" spans="1:26" ht="15" x14ac:dyDescent="0.25">
      <c r="A5909" s="4" t="s">
        <v>5907</v>
      </c>
      <c r="B5909" s="4" t="s">
        <v>4550</v>
      </c>
      <c r="C5909" s="2" t="str">
        <f ca="1">IFERROR(__xludf.DUMMYFUNCTION("GOOGLETRANSLATE(A5909,""bn"",""en"")"),"I was using the keyboard")</f>
        <v>I was using the keyboard</v>
      </c>
      <c r="D5909" s="5"/>
      <c r="E5909" s="5"/>
      <c r="F5909" s="5"/>
      <c r="G5909" s="5"/>
      <c r="H5909" s="5"/>
      <c r="I5909" s="5"/>
      <c r="J5909" s="5"/>
      <c r="K5909" s="5"/>
      <c r="L5909" s="5"/>
      <c r="M5909" s="5"/>
      <c r="N5909" s="5"/>
      <c r="O5909" s="5"/>
      <c r="P5909" s="5"/>
      <c r="Q5909" s="5"/>
      <c r="R5909" s="5"/>
      <c r="S5909" s="5"/>
      <c r="T5909" s="5"/>
      <c r="U5909" s="5"/>
      <c r="V5909" s="5"/>
      <c r="W5909" s="5"/>
      <c r="X5909" s="5"/>
      <c r="Y5909" s="5"/>
      <c r="Z5909" s="5"/>
    </row>
    <row r="5910" spans="1:26" ht="15" x14ac:dyDescent="0.25">
      <c r="A5910" s="4" t="s">
        <v>5908</v>
      </c>
      <c r="B5910" s="4" t="s">
        <v>4550</v>
      </c>
      <c r="C5910" s="2" t="str">
        <f ca="1">IFERROR(__xludf.DUMMYFUNCTION("GOOGLETRANSLATE(A5910,""bn"",""en"")"),"I completed the work using the keyboard")</f>
        <v>I completed the work using the keyboard</v>
      </c>
      <c r="D5910" s="5"/>
      <c r="E5910" s="5"/>
      <c r="F5910" s="5"/>
      <c r="G5910" s="5"/>
      <c r="H5910" s="5"/>
      <c r="I5910" s="5"/>
      <c r="J5910" s="5"/>
      <c r="K5910" s="5"/>
      <c r="L5910" s="5"/>
      <c r="M5910" s="5"/>
      <c r="N5910" s="5"/>
      <c r="O5910" s="5"/>
      <c r="P5910" s="5"/>
      <c r="Q5910" s="5"/>
      <c r="R5910" s="5"/>
      <c r="S5910" s="5"/>
      <c r="T5910" s="5"/>
      <c r="U5910" s="5"/>
      <c r="V5910" s="5"/>
      <c r="W5910" s="5"/>
      <c r="X5910" s="5"/>
      <c r="Y5910" s="5"/>
      <c r="Z5910" s="5"/>
    </row>
    <row r="5911" spans="1:26" ht="15" x14ac:dyDescent="0.25">
      <c r="A5911" s="4" t="s">
        <v>5909</v>
      </c>
      <c r="B5911" s="4" t="s">
        <v>4550</v>
      </c>
      <c r="C5911" s="2" t="str">
        <f ca="1">IFERROR(__xludf.DUMMYFUNCTION("GOOGLETRANSLATE(A5911,""bn"",""en"")"),"I bought him a keyboard")</f>
        <v>I bought him a keyboard</v>
      </c>
      <c r="D5911" s="5"/>
      <c r="E5911" s="5"/>
      <c r="F5911" s="5"/>
      <c r="G5911" s="5"/>
      <c r="H5911" s="5"/>
      <c r="I5911" s="5"/>
      <c r="J5911" s="5"/>
      <c r="K5911" s="5"/>
      <c r="L5911" s="5"/>
      <c r="M5911" s="5"/>
      <c r="N5911" s="5"/>
      <c r="O5911" s="5"/>
      <c r="P5911" s="5"/>
      <c r="Q5911" s="5"/>
      <c r="R5911" s="5"/>
      <c r="S5911" s="5"/>
      <c r="T5911" s="5"/>
      <c r="U5911" s="5"/>
      <c r="V5911" s="5"/>
      <c r="W5911" s="5"/>
      <c r="X5911" s="5"/>
      <c r="Y5911" s="5"/>
      <c r="Z5911" s="5"/>
    </row>
    <row r="5912" spans="1:26" ht="15" x14ac:dyDescent="0.25">
      <c r="A5912" s="4" t="s">
        <v>5910</v>
      </c>
      <c r="B5912" s="4" t="s">
        <v>4550</v>
      </c>
      <c r="C5912" s="2" t="str">
        <f ca="1">IFERROR(__xludf.DUMMYFUNCTION("GOOGLETRANSLATE(A5912,""bn"",""en"")"),"technology was used")</f>
        <v>technology was used</v>
      </c>
      <c r="D5912" s="5"/>
      <c r="E5912" s="5"/>
      <c r="F5912" s="5"/>
      <c r="G5912" s="5"/>
      <c r="H5912" s="5"/>
      <c r="I5912" s="5"/>
      <c r="J5912" s="5"/>
      <c r="K5912" s="5"/>
      <c r="L5912" s="5"/>
      <c r="M5912" s="5"/>
      <c r="N5912" s="5"/>
      <c r="O5912" s="5"/>
      <c r="P5912" s="5"/>
      <c r="Q5912" s="5"/>
      <c r="R5912" s="5"/>
      <c r="S5912" s="5"/>
      <c r="T5912" s="5"/>
      <c r="U5912" s="5"/>
      <c r="V5912" s="5"/>
      <c r="W5912" s="5"/>
      <c r="X5912" s="5"/>
      <c r="Y5912" s="5"/>
      <c r="Z5912" s="5"/>
    </row>
    <row r="5913" spans="1:26" ht="15" x14ac:dyDescent="0.25">
      <c r="A5913" s="4" t="s">
        <v>5911</v>
      </c>
      <c r="B5913" s="4" t="s">
        <v>4550</v>
      </c>
      <c r="C5913" s="2" t="str">
        <f ca="1">IFERROR(__xludf.DUMMYFUNCTION("GOOGLETRANSLATE(A5913,""bn"",""en"")"),"You were helping street children")</f>
        <v>You were helping street children</v>
      </c>
      <c r="D5913" s="5"/>
      <c r="E5913" s="5"/>
      <c r="F5913" s="5"/>
      <c r="G5913" s="5"/>
      <c r="H5913" s="5"/>
      <c r="I5913" s="5"/>
      <c r="J5913" s="5"/>
      <c r="K5913" s="5"/>
      <c r="L5913" s="5"/>
      <c r="M5913" s="5"/>
      <c r="N5913" s="5"/>
      <c r="O5913" s="5"/>
      <c r="P5913" s="5"/>
      <c r="Q5913" s="5"/>
      <c r="R5913" s="5"/>
      <c r="S5913" s="5"/>
      <c r="T5913" s="5"/>
      <c r="U5913" s="5"/>
      <c r="V5913" s="5"/>
      <c r="W5913" s="5"/>
      <c r="X5913" s="5"/>
      <c r="Y5913" s="5"/>
      <c r="Z5913" s="5"/>
    </row>
    <row r="5914" spans="1:26" ht="15" x14ac:dyDescent="0.25">
      <c r="A5914" s="4" t="s">
        <v>5912</v>
      </c>
      <c r="B5914" s="4" t="s">
        <v>4550</v>
      </c>
      <c r="C5914" s="2" t="str">
        <f ca="1">IFERROR(__xludf.DUMMYFUNCTION("GOOGLETRANSLATE(A5914,""bn"",""en"")"),"They lacked food")</f>
        <v>They lacked food</v>
      </c>
      <c r="D5914" s="5"/>
      <c r="E5914" s="5"/>
      <c r="F5914" s="5"/>
      <c r="G5914" s="5"/>
      <c r="H5914" s="5"/>
      <c r="I5914" s="5"/>
      <c r="J5914" s="5"/>
      <c r="K5914" s="5"/>
      <c r="L5914" s="5"/>
      <c r="M5914" s="5"/>
      <c r="N5914" s="5"/>
      <c r="O5914" s="5"/>
      <c r="P5914" s="5"/>
      <c r="Q5914" s="5"/>
      <c r="R5914" s="5"/>
      <c r="S5914" s="5"/>
      <c r="T5914" s="5"/>
      <c r="U5914" s="5"/>
      <c r="V5914" s="5"/>
      <c r="W5914" s="5"/>
      <c r="X5914" s="5"/>
      <c r="Y5914" s="5"/>
      <c r="Z5914" s="5"/>
    </row>
    <row r="5915" spans="1:26" ht="15" x14ac:dyDescent="0.25">
      <c r="A5915" s="4" t="s">
        <v>5913</v>
      </c>
      <c r="B5915" s="4" t="s">
        <v>4550</v>
      </c>
      <c r="C5915" s="2" t="str">
        <f ca="1">IFERROR(__xludf.DUMMYFUNCTION("GOOGLETRANSLATE(A5915,""bn"",""en"")"),"I was enlightened with knowledge")</f>
        <v>I was enlightened with knowledge</v>
      </c>
      <c r="D5915" s="5"/>
      <c r="E5915" s="5"/>
      <c r="F5915" s="5"/>
      <c r="G5915" s="5"/>
      <c r="H5915" s="5"/>
      <c r="I5915" s="5"/>
      <c r="J5915" s="5"/>
      <c r="K5915" s="5"/>
      <c r="L5915" s="5"/>
      <c r="M5915" s="5"/>
      <c r="N5915" s="5"/>
      <c r="O5915" s="5"/>
      <c r="P5915" s="5"/>
      <c r="Q5915" s="5"/>
      <c r="R5915" s="5"/>
      <c r="S5915" s="5"/>
      <c r="T5915" s="5"/>
      <c r="U5915" s="5"/>
      <c r="V5915" s="5"/>
      <c r="W5915" s="5"/>
      <c r="X5915" s="5"/>
      <c r="Y5915" s="5"/>
      <c r="Z5915" s="5"/>
    </row>
    <row r="5916" spans="1:26" ht="15" x14ac:dyDescent="0.25">
      <c r="A5916" s="4" t="s">
        <v>5914</v>
      </c>
      <c r="B5916" s="4" t="s">
        <v>4550</v>
      </c>
      <c r="C5916" s="2" t="str">
        <f ca="1">IFERROR(__xludf.DUMMYFUNCTION("GOOGLETRANSLATE(A5916,""bn"",""en"")"),"I read the story")</f>
        <v>I read the story</v>
      </c>
      <c r="D5916" s="5"/>
      <c r="E5916" s="5"/>
      <c r="F5916" s="5"/>
      <c r="G5916" s="5"/>
      <c r="H5916" s="5"/>
      <c r="I5916" s="5"/>
      <c r="J5916" s="5"/>
      <c r="K5916" s="5"/>
      <c r="L5916" s="5"/>
      <c r="M5916" s="5"/>
      <c r="N5916" s="5"/>
      <c r="O5916" s="5"/>
      <c r="P5916" s="5"/>
      <c r="Q5916" s="5"/>
      <c r="R5916" s="5"/>
      <c r="S5916" s="5"/>
      <c r="T5916" s="5"/>
      <c r="U5916" s="5"/>
      <c r="V5916" s="5"/>
      <c r="W5916" s="5"/>
      <c r="X5916" s="5"/>
      <c r="Y5916" s="5"/>
      <c r="Z5916" s="5"/>
    </row>
    <row r="5917" spans="1:26" ht="15" x14ac:dyDescent="0.25">
      <c r="A5917" s="4" t="s">
        <v>5915</v>
      </c>
      <c r="B5917" s="4" t="s">
        <v>4550</v>
      </c>
      <c r="C5917" s="2" t="str">
        <f ca="1">IFERROR(__xludf.DUMMYFUNCTION("GOOGLETRANSLATE(A5917,""bn"",""en"")"),"Loan disbursed")</f>
        <v>Loan disbursed</v>
      </c>
      <c r="D5917" s="5"/>
      <c r="E5917" s="5"/>
      <c r="F5917" s="5"/>
      <c r="G5917" s="5"/>
      <c r="H5917" s="5"/>
      <c r="I5917" s="5"/>
      <c r="J5917" s="5"/>
      <c r="K5917" s="5"/>
      <c r="L5917" s="5"/>
      <c r="M5917" s="5"/>
      <c r="N5917" s="5"/>
      <c r="O5917" s="5"/>
      <c r="P5917" s="5"/>
      <c r="Q5917" s="5"/>
      <c r="R5917" s="5"/>
      <c r="S5917" s="5"/>
      <c r="T5917" s="5"/>
      <c r="U5917" s="5"/>
      <c r="V5917" s="5"/>
      <c r="W5917" s="5"/>
      <c r="X5917" s="5"/>
      <c r="Y5917" s="5"/>
      <c r="Z5917" s="5"/>
    </row>
    <row r="5918" spans="1:26" ht="15" x14ac:dyDescent="0.25">
      <c r="A5918" s="4" t="s">
        <v>5916</v>
      </c>
      <c r="B5918" s="4" t="s">
        <v>4550</v>
      </c>
      <c r="C5918" s="2" t="str">
        <f ca="1">IFERROR(__xludf.DUMMYFUNCTION("GOOGLETRANSLATE(A5918,""bn"",""en"")"),"I observed the college")</f>
        <v>I observed the college</v>
      </c>
      <c r="D5918" s="5"/>
      <c r="E5918" s="5"/>
      <c r="F5918" s="5"/>
      <c r="G5918" s="5"/>
      <c r="H5918" s="5"/>
      <c r="I5918" s="5"/>
      <c r="J5918" s="5"/>
      <c r="K5918" s="5"/>
      <c r="L5918" s="5"/>
      <c r="M5918" s="5"/>
      <c r="N5918" s="5"/>
      <c r="O5918" s="5"/>
      <c r="P5918" s="5"/>
      <c r="Q5918" s="5"/>
      <c r="R5918" s="5"/>
      <c r="S5918" s="5"/>
      <c r="T5918" s="5"/>
      <c r="U5918" s="5"/>
      <c r="V5918" s="5"/>
      <c r="W5918" s="5"/>
      <c r="X5918" s="5"/>
      <c r="Y5918" s="5"/>
      <c r="Z5918" s="5"/>
    </row>
    <row r="5919" spans="1:26" ht="15" x14ac:dyDescent="0.25">
      <c r="A5919" s="4" t="s">
        <v>5917</v>
      </c>
      <c r="B5919" s="4" t="s">
        <v>4550</v>
      </c>
      <c r="C5919" s="2" t="str">
        <f ca="1">IFERROR(__xludf.DUMMYFUNCTION("GOOGLETRANSLATE(A5919,""bn"",""en"")"),"Morale was rising on the trip")</f>
        <v>Morale was rising on the trip</v>
      </c>
      <c r="D5919" s="5"/>
      <c r="E5919" s="5"/>
      <c r="F5919" s="5"/>
      <c r="G5919" s="5"/>
      <c r="H5919" s="5"/>
      <c r="I5919" s="5"/>
      <c r="J5919" s="5"/>
      <c r="K5919" s="5"/>
      <c r="L5919" s="5"/>
      <c r="M5919" s="5"/>
      <c r="N5919" s="5"/>
      <c r="O5919" s="5"/>
      <c r="P5919" s="5"/>
      <c r="Q5919" s="5"/>
      <c r="R5919" s="5"/>
      <c r="S5919" s="5"/>
      <c r="T5919" s="5"/>
      <c r="U5919" s="5"/>
      <c r="V5919" s="5"/>
      <c r="W5919" s="5"/>
      <c r="X5919" s="5"/>
      <c r="Y5919" s="5"/>
      <c r="Z5919" s="5"/>
    </row>
    <row r="5920" spans="1:26" ht="15" x14ac:dyDescent="0.25">
      <c r="A5920" s="4" t="s">
        <v>5918</v>
      </c>
      <c r="B5920" s="4" t="s">
        <v>4550</v>
      </c>
      <c r="C5920" s="2" t="str">
        <f ca="1">IFERROR(__xludf.DUMMYFUNCTION("GOOGLETRANSLATE(A5920,""bn"",""en"")"),"I turned on the GPS")</f>
        <v>I turned on the GPS</v>
      </c>
      <c r="D5920" s="5"/>
      <c r="E5920" s="5"/>
      <c r="F5920" s="5"/>
      <c r="G5920" s="5"/>
      <c r="H5920" s="5"/>
      <c r="I5920" s="5"/>
      <c r="J5920" s="5"/>
      <c r="K5920" s="5"/>
      <c r="L5920" s="5"/>
      <c r="M5920" s="5"/>
      <c r="N5920" s="5"/>
      <c r="O5920" s="5"/>
      <c r="P5920" s="5"/>
      <c r="Q5920" s="5"/>
      <c r="R5920" s="5"/>
      <c r="S5920" s="5"/>
      <c r="T5920" s="5"/>
      <c r="U5920" s="5"/>
      <c r="V5920" s="5"/>
      <c r="W5920" s="5"/>
      <c r="X5920" s="5"/>
      <c r="Y5920" s="5"/>
      <c r="Z5920" s="5"/>
    </row>
    <row r="5921" spans="1:26" ht="15" x14ac:dyDescent="0.25">
      <c r="A5921" s="4" t="s">
        <v>5919</v>
      </c>
      <c r="B5921" s="4" t="s">
        <v>4550</v>
      </c>
      <c r="C5921" s="2" t="str">
        <f ca="1">IFERROR(__xludf.DUMMYFUNCTION("GOOGLETRANSLATE(A5921,""bn"",""en"")"),"Ate in the college cafeteria")</f>
        <v>Ate in the college cafeteria</v>
      </c>
      <c r="D5921" s="5"/>
      <c r="E5921" s="5"/>
      <c r="F5921" s="5"/>
      <c r="G5921" s="5"/>
      <c r="H5921" s="5"/>
      <c r="I5921" s="5"/>
      <c r="J5921" s="5"/>
      <c r="K5921" s="5"/>
      <c r="L5921" s="5"/>
      <c r="M5921" s="5"/>
      <c r="N5921" s="5"/>
      <c r="O5921" s="5"/>
      <c r="P5921" s="5"/>
      <c r="Q5921" s="5"/>
      <c r="R5921" s="5"/>
      <c r="S5921" s="5"/>
      <c r="T5921" s="5"/>
      <c r="U5921" s="5"/>
      <c r="V5921" s="5"/>
      <c r="W5921" s="5"/>
      <c r="X5921" s="5"/>
      <c r="Y5921" s="5"/>
      <c r="Z5921" s="5"/>
    </row>
    <row r="5922" spans="1:26" ht="15" x14ac:dyDescent="0.25">
      <c r="A5922" s="4" t="s">
        <v>5920</v>
      </c>
      <c r="B5922" s="4" t="s">
        <v>4550</v>
      </c>
      <c r="C5922" s="2" t="str">
        <f ca="1">IFERROR(__xludf.DUMMYFUNCTION("GOOGLETRANSLATE(A5922,""bn"",""en"")"),"Commercial momentum increased")</f>
        <v>Commercial momentum increased</v>
      </c>
      <c r="D5922" s="5"/>
      <c r="E5922" s="5"/>
      <c r="F5922" s="5"/>
      <c r="G5922" s="5"/>
      <c r="H5922" s="5"/>
      <c r="I5922" s="5"/>
      <c r="J5922" s="5"/>
      <c r="K5922" s="5"/>
      <c r="L5922" s="5"/>
      <c r="M5922" s="5"/>
      <c r="N5922" s="5"/>
      <c r="O5922" s="5"/>
      <c r="P5922" s="5"/>
      <c r="Q5922" s="5"/>
      <c r="R5922" s="5"/>
      <c r="S5922" s="5"/>
      <c r="T5922" s="5"/>
      <c r="U5922" s="5"/>
      <c r="V5922" s="5"/>
      <c r="W5922" s="5"/>
      <c r="X5922" s="5"/>
      <c r="Y5922" s="5"/>
      <c r="Z5922" s="5"/>
    </row>
    <row r="5923" spans="1:26" ht="15" x14ac:dyDescent="0.25">
      <c r="A5923" s="4" t="s">
        <v>5921</v>
      </c>
      <c r="B5923" s="4" t="s">
        <v>4550</v>
      </c>
      <c r="C5923" s="2" t="str">
        <f ca="1">IFERROR(__xludf.DUMMYFUNCTION("GOOGLETRANSLATE(A5923,""bn"",""en"")"),"I found joy in travel")</f>
        <v>I found joy in travel</v>
      </c>
      <c r="D5923" s="5"/>
      <c r="E5923" s="5"/>
      <c r="F5923" s="5"/>
      <c r="G5923" s="5"/>
      <c r="H5923" s="5"/>
      <c r="I5923" s="5"/>
      <c r="J5923" s="5"/>
      <c r="K5923" s="5"/>
      <c r="L5923" s="5"/>
      <c r="M5923" s="5"/>
      <c r="N5923" s="5"/>
      <c r="O5923" s="5"/>
      <c r="P5923" s="5"/>
      <c r="Q5923" s="5"/>
      <c r="R5923" s="5"/>
      <c r="S5923" s="5"/>
      <c r="T5923" s="5"/>
      <c r="U5923" s="5"/>
      <c r="V5923" s="5"/>
      <c r="W5923" s="5"/>
      <c r="X5923" s="5"/>
      <c r="Y5923" s="5"/>
      <c r="Z5923" s="5"/>
    </row>
    <row r="5924" spans="1:26" ht="15" x14ac:dyDescent="0.25">
      <c r="A5924" s="4" t="s">
        <v>5922</v>
      </c>
      <c r="B5924" s="4" t="s">
        <v>4550</v>
      </c>
      <c r="C5924" s="2" t="str">
        <f ca="1">IFERROR(__xludf.DUMMYFUNCTION("GOOGLETRANSLATE(A5924,""bn"",""en"")"),"I went to the college cafeteria")</f>
        <v>I went to the college cafeteria</v>
      </c>
      <c r="D5924" s="5"/>
      <c r="E5924" s="5"/>
      <c r="F5924" s="5"/>
      <c r="G5924" s="5"/>
      <c r="H5924" s="5"/>
      <c r="I5924" s="5"/>
      <c r="J5924" s="5"/>
      <c r="K5924" s="5"/>
      <c r="L5924" s="5"/>
      <c r="M5924" s="5"/>
      <c r="N5924" s="5"/>
      <c r="O5924" s="5"/>
      <c r="P5924" s="5"/>
      <c r="Q5924" s="5"/>
      <c r="R5924" s="5"/>
      <c r="S5924" s="5"/>
      <c r="T5924" s="5"/>
      <c r="U5924" s="5"/>
      <c r="V5924" s="5"/>
      <c r="W5924" s="5"/>
      <c r="X5924" s="5"/>
      <c r="Y5924" s="5"/>
      <c r="Z5924" s="5"/>
    </row>
    <row r="5925" spans="1:26" ht="15" x14ac:dyDescent="0.25">
      <c r="A5925" s="4" t="s">
        <v>5923</v>
      </c>
      <c r="B5925" s="4" t="s">
        <v>4550</v>
      </c>
      <c r="C5925" s="2" t="str">
        <f ca="1">IFERROR(__xludf.DUMMYFUNCTION("GOOGLETRANSLATE(A5925,""bn"",""en"")"),"used to travel by sea")</f>
        <v>used to travel by sea</v>
      </c>
      <c r="D5925" s="5"/>
      <c r="E5925" s="5"/>
      <c r="F5925" s="5"/>
      <c r="G5925" s="5"/>
      <c r="H5925" s="5"/>
      <c r="I5925" s="5"/>
      <c r="J5925" s="5"/>
      <c r="K5925" s="5"/>
      <c r="L5925" s="5"/>
      <c r="M5925" s="5"/>
      <c r="N5925" s="5"/>
      <c r="O5925" s="5"/>
      <c r="P5925" s="5"/>
      <c r="Q5925" s="5"/>
      <c r="R5925" s="5"/>
      <c r="S5925" s="5"/>
      <c r="T5925" s="5"/>
      <c r="U5925" s="5"/>
      <c r="V5925" s="5"/>
      <c r="W5925" s="5"/>
      <c r="X5925" s="5"/>
      <c r="Y5925" s="5"/>
      <c r="Z5925" s="5"/>
    </row>
    <row r="5926" spans="1:26" ht="15" x14ac:dyDescent="0.25">
      <c r="A5926" s="4" t="s">
        <v>5924</v>
      </c>
      <c r="B5926" s="4" t="s">
        <v>4550</v>
      </c>
      <c r="C5926" s="2" t="str">
        <f ca="1">IFERROR(__xludf.DUMMYFUNCTION("GOOGLETRANSLATE(A5926,""bn"",""en"")"),"I was depositing money")</f>
        <v>I was depositing money</v>
      </c>
      <c r="D5926" s="5"/>
      <c r="E5926" s="5"/>
      <c r="F5926" s="5"/>
      <c r="G5926" s="5"/>
      <c r="H5926" s="5"/>
      <c r="I5926" s="5"/>
      <c r="J5926" s="5"/>
      <c r="K5926" s="5"/>
      <c r="L5926" s="5"/>
      <c r="M5926" s="5"/>
      <c r="N5926" s="5"/>
      <c r="O5926" s="5"/>
      <c r="P5926" s="5"/>
      <c r="Q5926" s="5"/>
      <c r="R5926" s="5"/>
      <c r="S5926" s="5"/>
      <c r="T5926" s="5"/>
      <c r="U5926" s="5"/>
      <c r="V5926" s="5"/>
      <c r="W5926" s="5"/>
      <c r="X5926" s="5"/>
      <c r="Y5926" s="5"/>
      <c r="Z5926" s="5"/>
    </row>
    <row r="5927" spans="1:26" ht="15" x14ac:dyDescent="0.25">
      <c r="A5927" s="4" t="s">
        <v>5925</v>
      </c>
      <c r="B5927" s="4" t="s">
        <v>4550</v>
      </c>
      <c r="C5927" s="2" t="str">
        <f ca="1">IFERROR(__xludf.DUMMYFUNCTION("GOOGLETRANSLATE(A5927,""bn"",""en"")"),"You were reading in the morning")</f>
        <v>You were reading in the morning</v>
      </c>
      <c r="D5927" s="5"/>
      <c r="E5927" s="5"/>
      <c r="F5927" s="5"/>
      <c r="G5927" s="5"/>
      <c r="H5927" s="5"/>
      <c r="I5927" s="5"/>
      <c r="J5927" s="5"/>
      <c r="K5927" s="5"/>
      <c r="L5927" s="5"/>
      <c r="M5927" s="5"/>
      <c r="N5927" s="5"/>
      <c r="O5927" s="5"/>
      <c r="P5927" s="5"/>
      <c r="Q5927" s="5"/>
      <c r="R5927" s="5"/>
      <c r="S5927" s="5"/>
      <c r="T5927" s="5"/>
      <c r="U5927" s="5"/>
      <c r="V5927" s="5"/>
      <c r="W5927" s="5"/>
      <c r="X5927" s="5"/>
      <c r="Y5927" s="5"/>
      <c r="Z5927" s="5"/>
    </row>
    <row r="5928" spans="1:26" ht="15" x14ac:dyDescent="0.25">
      <c r="A5928" s="4" t="s">
        <v>5926</v>
      </c>
      <c r="B5928" s="4" t="s">
        <v>4550</v>
      </c>
      <c r="C5928" s="2" t="str">
        <f ca="1">IFERROR(__xludf.DUMMYFUNCTION("GOOGLETRANSLATE(A5928,""bn"",""en"")"),"Technology was bad")</f>
        <v>Technology was bad</v>
      </c>
      <c r="D5928" s="5"/>
      <c r="E5928" s="5"/>
      <c r="F5928" s="5"/>
      <c r="G5928" s="5"/>
      <c r="H5928" s="5"/>
      <c r="I5928" s="5"/>
      <c r="J5928" s="5"/>
      <c r="K5928" s="5"/>
      <c r="L5928" s="5"/>
      <c r="M5928" s="5"/>
      <c r="N5928" s="5"/>
      <c r="O5928" s="5"/>
      <c r="P5928" s="5"/>
      <c r="Q5928" s="5"/>
      <c r="R5928" s="5"/>
      <c r="S5928" s="5"/>
      <c r="T5928" s="5"/>
      <c r="U5928" s="5"/>
      <c r="V5928" s="5"/>
      <c r="W5928" s="5"/>
      <c r="X5928" s="5"/>
      <c r="Y5928" s="5"/>
      <c r="Z5928" s="5"/>
    </row>
    <row r="5929" spans="1:26" ht="15" x14ac:dyDescent="0.25">
      <c r="A5929" s="4" t="s">
        <v>5927</v>
      </c>
      <c r="B5929" s="4" t="s">
        <v>4550</v>
      </c>
      <c r="C5929" s="2" t="str">
        <f ca="1">IFERROR(__xludf.DUMMYFUNCTION("GOOGLETRANSLATE(A5929,""bn"",""en"")"),"People wandered on the beach")</f>
        <v>People wandered on the beach</v>
      </c>
      <c r="D5929" s="5"/>
      <c r="E5929" s="5"/>
      <c r="F5929" s="5"/>
      <c r="G5929" s="5"/>
      <c r="H5929" s="5"/>
      <c r="I5929" s="5"/>
      <c r="J5929" s="5"/>
      <c r="K5929" s="5"/>
      <c r="L5929" s="5"/>
      <c r="M5929" s="5"/>
      <c r="N5929" s="5"/>
      <c r="O5929" s="5"/>
      <c r="P5929" s="5"/>
      <c r="Q5929" s="5"/>
      <c r="R5929" s="5"/>
      <c r="S5929" s="5"/>
      <c r="T5929" s="5"/>
      <c r="U5929" s="5"/>
      <c r="V5929" s="5"/>
      <c r="W5929" s="5"/>
      <c r="X5929" s="5"/>
      <c r="Y5929" s="5"/>
      <c r="Z5929" s="5"/>
    </row>
    <row r="5930" spans="1:26" ht="15" x14ac:dyDescent="0.25">
      <c r="A5930" s="4" t="s">
        <v>5928</v>
      </c>
      <c r="B5930" s="4" t="s">
        <v>4550</v>
      </c>
      <c r="C5930" s="2" t="str">
        <f ca="1">IFERROR(__xludf.DUMMYFUNCTION("GOOGLETRANSLATE(A5930,""bn"",""en"")"),"I went to the mountains to take pictures with the camera")</f>
        <v>I went to the mountains to take pictures with the camera</v>
      </c>
      <c r="D5930" s="5"/>
      <c r="E5930" s="5"/>
      <c r="F5930" s="5"/>
      <c r="G5930" s="5"/>
      <c r="H5930" s="5"/>
      <c r="I5930" s="5"/>
      <c r="J5930" s="5"/>
      <c r="K5930" s="5"/>
      <c r="L5930" s="5"/>
      <c r="M5930" s="5"/>
      <c r="N5930" s="5"/>
      <c r="O5930" s="5"/>
      <c r="P5930" s="5"/>
      <c r="Q5930" s="5"/>
      <c r="R5930" s="5"/>
      <c r="S5930" s="5"/>
      <c r="T5930" s="5"/>
      <c r="U5930" s="5"/>
      <c r="V5930" s="5"/>
      <c r="W5930" s="5"/>
      <c r="X5930" s="5"/>
      <c r="Y5930" s="5"/>
      <c r="Z5930" s="5"/>
    </row>
    <row r="5931" spans="1:26" ht="15" x14ac:dyDescent="0.25">
      <c r="A5931" s="4" t="s">
        <v>5929</v>
      </c>
      <c r="B5931" s="4" t="s">
        <v>4550</v>
      </c>
      <c r="C5931" s="2" t="str">
        <f ca="1">IFERROR(__xludf.DUMMYFUNCTION("GOOGLETRANSLATE(A5931,""bn"",""en"")"),"A fair was held in the village")</f>
        <v>A fair was held in the village</v>
      </c>
      <c r="D5931" s="5"/>
      <c r="E5931" s="5"/>
      <c r="F5931" s="5"/>
      <c r="G5931" s="5"/>
      <c r="H5931" s="5"/>
      <c r="I5931" s="5"/>
      <c r="J5931" s="5"/>
      <c r="K5931" s="5"/>
      <c r="L5931" s="5"/>
      <c r="M5931" s="5"/>
      <c r="N5931" s="5"/>
      <c r="O5931" s="5"/>
      <c r="P5931" s="5"/>
      <c r="Q5931" s="5"/>
      <c r="R5931" s="5"/>
      <c r="S5931" s="5"/>
      <c r="T5931" s="5"/>
      <c r="U5931" s="5"/>
      <c r="V5931" s="5"/>
      <c r="W5931" s="5"/>
      <c r="X5931" s="5"/>
      <c r="Y5931" s="5"/>
      <c r="Z5931" s="5"/>
    </row>
    <row r="5932" spans="1:26" ht="15" x14ac:dyDescent="0.25">
      <c r="A5932" s="4" t="s">
        <v>5930</v>
      </c>
      <c r="B5932" s="4" t="s">
        <v>4550</v>
      </c>
      <c r="C5932" s="2" t="str">
        <f ca="1">IFERROR(__xludf.DUMMYFUNCTION("GOOGLETRANSLATE(A5932,""bn"",""en"")"),"I deleted the account")</f>
        <v>I deleted the account</v>
      </c>
      <c r="D5932" s="5"/>
      <c r="E5932" s="5"/>
      <c r="F5932" s="5"/>
      <c r="G5932" s="5"/>
      <c r="H5932" s="5"/>
      <c r="I5932" s="5"/>
      <c r="J5932" s="5"/>
      <c r="K5932" s="5"/>
      <c r="L5932" s="5"/>
      <c r="M5932" s="5"/>
      <c r="N5932" s="5"/>
      <c r="O5932" s="5"/>
      <c r="P5932" s="5"/>
      <c r="Q5932" s="5"/>
      <c r="R5932" s="5"/>
      <c r="S5932" s="5"/>
      <c r="T5932" s="5"/>
      <c r="U5932" s="5"/>
      <c r="V5932" s="5"/>
      <c r="W5932" s="5"/>
      <c r="X5932" s="5"/>
      <c r="Y5932" s="5"/>
      <c r="Z5932" s="5"/>
    </row>
    <row r="5933" spans="1:26" ht="15" x14ac:dyDescent="0.25">
      <c r="A5933" s="4" t="s">
        <v>5931</v>
      </c>
      <c r="B5933" s="4" t="s">
        <v>4550</v>
      </c>
      <c r="C5933" s="2" t="str">
        <f ca="1">IFERROR(__xludf.DUMMYFUNCTION("GOOGLETRANSLATE(A5933,""bn"",""en"")"),"Generations prospered")</f>
        <v>Generations prospered</v>
      </c>
      <c r="D5933" s="5"/>
      <c r="E5933" s="5"/>
      <c r="F5933" s="5"/>
      <c r="G5933" s="5"/>
      <c r="H5933" s="5"/>
      <c r="I5933" s="5"/>
      <c r="J5933" s="5"/>
      <c r="K5933" s="5"/>
      <c r="L5933" s="5"/>
      <c r="M5933" s="5"/>
      <c r="N5933" s="5"/>
      <c r="O5933" s="5"/>
      <c r="P5933" s="5"/>
      <c r="Q5933" s="5"/>
      <c r="R5933" s="5"/>
      <c r="S5933" s="5"/>
      <c r="T5933" s="5"/>
      <c r="U5933" s="5"/>
      <c r="V5933" s="5"/>
      <c r="W5933" s="5"/>
      <c r="X5933" s="5"/>
      <c r="Y5933" s="5"/>
      <c r="Z5933" s="5"/>
    </row>
    <row r="5934" spans="1:26" ht="15" x14ac:dyDescent="0.25">
      <c r="A5934" s="4" t="s">
        <v>5932</v>
      </c>
      <c r="B5934" s="4" t="s">
        <v>4550</v>
      </c>
      <c r="C5934" s="2" t="str">
        <f ca="1">IFERROR(__xludf.DUMMYFUNCTION("GOOGLETRANSLATE(A5934,""bn"",""en"")"),"GPS was needed")</f>
        <v>GPS was needed</v>
      </c>
      <c r="D5934" s="5"/>
      <c r="E5934" s="5"/>
      <c r="F5934" s="5"/>
      <c r="G5934" s="5"/>
      <c r="H5934" s="5"/>
      <c r="I5934" s="5"/>
      <c r="J5934" s="5"/>
      <c r="K5934" s="5"/>
      <c r="L5934" s="5"/>
      <c r="M5934" s="5"/>
      <c r="N5934" s="5"/>
      <c r="O5934" s="5"/>
      <c r="P5934" s="5"/>
      <c r="Q5934" s="5"/>
      <c r="R5934" s="5"/>
      <c r="S5934" s="5"/>
      <c r="T5934" s="5"/>
      <c r="U5934" s="5"/>
      <c r="V5934" s="5"/>
      <c r="W5934" s="5"/>
      <c r="X5934" s="5"/>
      <c r="Y5934" s="5"/>
      <c r="Z5934" s="5"/>
    </row>
    <row r="5935" spans="1:26" ht="15" x14ac:dyDescent="0.25">
      <c r="A5935" s="4" t="s">
        <v>5933</v>
      </c>
      <c r="B5935" s="4" t="s">
        <v>4550</v>
      </c>
      <c r="C5935" s="2" t="str">
        <f ca="1">IFERROR(__xludf.DUMMYFUNCTION("GOOGLETRANSLATE(A5935,""bn"",""en"")"),"I collected books")</f>
        <v>I collected books</v>
      </c>
      <c r="D5935" s="5"/>
      <c r="E5935" s="5"/>
      <c r="F5935" s="5"/>
      <c r="G5935" s="5"/>
      <c r="H5935" s="5"/>
      <c r="I5935" s="5"/>
      <c r="J5935" s="5"/>
      <c r="K5935" s="5"/>
      <c r="L5935" s="5"/>
      <c r="M5935" s="5"/>
      <c r="N5935" s="5"/>
      <c r="O5935" s="5"/>
      <c r="P5935" s="5"/>
      <c r="Q5935" s="5"/>
      <c r="R5935" s="5"/>
      <c r="S5935" s="5"/>
      <c r="T5935" s="5"/>
      <c r="U5935" s="5"/>
      <c r="V5935" s="5"/>
      <c r="W5935" s="5"/>
      <c r="X5935" s="5"/>
      <c r="Y5935" s="5"/>
      <c r="Z5935" s="5"/>
    </row>
    <row r="5936" spans="1:26" ht="15" x14ac:dyDescent="0.25">
      <c r="A5936" s="4" t="s">
        <v>5934</v>
      </c>
      <c r="B5936" s="4" t="s">
        <v>4550</v>
      </c>
      <c r="C5936" s="2" t="str">
        <f ca="1">IFERROR(__xludf.DUMMYFUNCTION("GOOGLETRANSLATE(A5936,""bn"",""en"")"),"I used a smartphone")</f>
        <v>I used a smartphone</v>
      </c>
      <c r="D5936" s="5"/>
      <c r="E5936" s="5"/>
      <c r="F5936" s="5"/>
      <c r="G5936" s="5"/>
      <c r="H5936" s="5"/>
      <c r="I5936" s="5"/>
      <c r="J5936" s="5"/>
      <c r="K5936" s="5"/>
      <c r="L5936" s="5"/>
      <c r="M5936" s="5"/>
      <c r="N5936" s="5"/>
      <c r="O5936" s="5"/>
      <c r="P5936" s="5"/>
      <c r="Q5936" s="5"/>
      <c r="R5936" s="5"/>
      <c r="S5936" s="5"/>
      <c r="T5936" s="5"/>
      <c r="U5936" s="5"/>
      <c r="V5936" s="5"/>
      <c r="W5936" s="5"/>
      <c r="X5936" s="5"/>
      <c r="Y5936" s="5"/>
      <c r="Z5936" s="5"/>
    </row>
    <row r="5937" spans="1:26" ht="15" x14ac:dyDescent="0.25">
      <c r="A5937" s="4" t="s">
        <v>5935</v>
      </c>
      <c r="B5937" s="4" t="s">
        <v>4550</v>
      </c>
      <c r="C5937" s="2" t="str">
        <f ca="1">IFERROR(__xludf.DUMMYFUNCTION("GOOGLETRANSLATE(A5937,""bn"",""en"")"),"I deposited the money")</f>
        <v>I deposited the money</v>
      </c>
      <c r="D5937" s="5"/>
      <c r="E5937" s="5"/>
      <c r="F5937" s="5"/>
      <c r="G5937" s="5"/>
      <c r="H5937" s="5"/>
      <c r="I5937" s="5"/>
      <c r="J5937" s="5"/>
      <c r="K5937" s="5"/>
      <c r="L5937" s="5"/>
      <c r="M5937" s="5"/>
      <c r="N5937" s="5"/>
      <c r="O5937" s="5"/>
      <c r="P5937" s="5"/>
      <c r="Q5937" s="5"/>
      <c r="R5937" s="5"/>
      <c r="S5937" s="5"/>
      <c r="T5937" s="5"/>
      <c r="U5937" s="5"/>
      <c r="V5937" s="5"/>
      <c r="W5937" s="5"/>
      <c r="X5937" s="5"/>
      <c r="Y5937" s="5"/>
      <c r="Z5937" s="5"/>
    </row>
    <row r="5938" spans="1:26" ht="15" x14ac:dyDescent="0.25">
      <c r="A5938" s="4" t="s">
        <v>5936</v>
      </c>
      <c r="B5938" s="4" t="s">
        <v>4550</v>
      </c>
      <c r="C5938" s="2" t="str">
        <f ca="1">IFERROR(__xludf.DUMMYFUNCTION("GOOGLETRANSLATE(A5938,""bn"",""en"")"),"I went out to deposit money")</f>
        <v>I went out to deposit money</v>
      </c>
      <c r="D5938" s="5"/>
      <c r="E5938" s="5"/>
      <c r="F5938" s="5"/>
      <c r="G5938" s="5"/>
      <c r="H5938" s="5"/>
      <c r="I5938" s="5"/>
      <c r="J5938" s="5"/>
      <c r="K5938" s="5"/>
      <c r="L5938" s="5"/>
      <c r="M5938" s="5"/>
      <c r="N5938" s="5"/>
      <c r="O5938" s="5"/>
      <c r="P5938" s="5"/>
      <c r="Q5938" s="5"/>
      <c r="R5938" s="5"/>
      <c r="S5938" s="5"/>
      <c r="T5938" s="5"/>
      <c r="U5938" s="5"/>
      <c r="V5938" s="5"/>
      <c r="W5938" s="5"/>
      <c r="X5938" s="5"/>
      <c r="Y5938" s="5"/>
      <c r="Z5938" s="5"/>
    </row>
    <row r="5939" spans="1:26" ht="15" x14ac:dyDescent="0.25">
      <c r="A5939" s="4" t="s">
        <v>5937</v>
      </c>
      <c r="B5939" s="4" t="s">
        <v>4550</v>
      </c>
      <c r="C5939" s="2" t="str">
        <f ca="1">IFERROR(__xludf.DUMMYFUNCTION("GOOGLETRANSLATE(A5939,""bn"",""en"")"),"There was a football tournament")</f>
        <v>There was a football tournament</v>
      </c>
      <c r="D5939" s="5"/>
      <c r="E5939" s="5"/>
      <c r="F5939" s="5"/>
      <c r="G5939" s="5"/>
      <c r="H5939" s="5"/>
      <c r="I5939" s="5"/>
      <c r="J5939" s="5"/>
      <c r="K5939" s="5"/>
      <c r="L5939" s="5"/>
      <c r="M5939" s="5"/>
      <c r="N5939" s="5"/>
      <c r="O5939" s="5"/>
      <c r="P5939" s="5"/>
      <c r="Q5939" s="5"/>
      <c r="R5939" s="5"/>
      <c r="S5939" s="5"/>
      <c r="T5939" s="5"/>
      <c r="U5939" s="5"/>
      <c r="V5939" s="5"/>
      <c r="W5939" s="5"/>
      <c r="X5939" s="5"/>
      <c r="Y5939" s="5"/>
      <c r="Z5939" s="5"/>
    </row>
    <row r="5940" spans="1:26" ht="15" x14ac:dyDescent="0.25">
      <c r="A5940" s="4" t="s">
        <v>5938</v>
      </c>
      <c r="B5940" s="4" t="s">
        <v>4550</v>
      </c>
      <c r="C5940" s="2" t="str">
        <f ca="1">IFERROR(__xludf.DUMMYFUNCTION("GOOGLETRANSLATE(A5940,""bn"",""en"")"),"I used apps")</f>
        <v>I used apps</v>
      </c>
      <c r="D5940" s="5"/>
      <c r="E5940" s="5"/>
      <c r="F5940" s="5"/>
      <c r="G5940" s="5"/>
      <c r="H5940" s="5"/>
      <c r="I5940" s="5"/>
      <c r="J5940" s="5"/>
      <c r="K5940" s="5"/>
      <c r="L5940" s="5"/>
      <c r="M5940" s="5"/>
      <c r="N5940" s="5"/>
      <c r="O5940" s="5"/>
      <c r="P5940" s="5"/>
      <c r="Q5940" s="5"/>
      <c r="R5940" s="5"/>
      <c r="S5940" s="5"/>
      <c r="T5940" s="5"/>
      <c r="U5940" s="5"/>
      <c r="V5940" s="5"/>
      <c r="W5940" s="5"/>
      <c r="X5940" s="5"/>
      <c r="Y5940" s="5"/>
      <c r="Z5940" s="5"/>
    </row>
    <row r="5941" spans="1:26" ht="15" x14ac:dyDescent="0.25">
      <c r="A5941" s="4" t="s">
        <v>5939</v>
      </c>
      <c r="B5941" s="4" t="s">
        <v>4550</v>
      </c>
      <c r="C5941" s="2" t="str">
        <f ca="1">IFERROR(__xludf.DUMMYFUNCTION("GOOGLETRANSLATE(A5941,""bn"",""en"")"),"I used IoT")</f>
        <v>I used IoT</v>
      </c>
      <c r="D5941" s="5"/>
      <c r="E5941" s="5"/>
      <c r="F5941" s="5"/>
      <c r="G5941" s="5"/>
      <c r="H5941" s="5"/>
      <c r="I5941" s="5"/>
      <c r="J5941" s="5"/>
      <c r="K5941" s="5"/>
      <c r="L5941" s="5"/>
      <c r="M5941" s="5"/>
      <c r="N5941" s="5"/>
      <c r="O5941" s="5"/>
      <c r="P5941" s="5"/>
      <c r="Q5941" s="5"/>
      <c r="R5941" s="5"/>
      <c r="S5941" s="5"/>
      <c r="T5941" s="5"/>
      <c r="U5941" s="5"/>
      <c r="V5941" s="5"/>
      <c r="W5941" s="5"/>
      <c r="X5941" s="5"/>
      <c r="Y5941" s="5"/>
      <c r="Z5941" s="5"/>
    </row>
    <row r="5942" spans="1:26" ht="15" x14ac:dyDescent="0.25">
      <c r="A5942" s="4" t="s">
        <v>5940</v>
      </c>
      <c r="B5942" s="4" t="s">
        <v>4550</v>
      </c>
      <c r="C5942" s="2" t="str">
        <f ca="1">IFERROR(__xludf.DUMMYFUNCTION("GOOGLETRANSLATE(A5942,""bn"",""en"")"),"I came to play games")</f>
        <v>I came to play games</v>
      </c>
      <c r="D5942" s="5"/>
      <c r="E5942" s="5"/>
      <c r="F5942" s="5"/>
      <c r="G5942" s="5"/>
      <c r="H5942" s="5"/>
      <c r="I5942" s="5"/>
      <c r="J5942" s="5"/>
      <c r="K5942" s="5"/>
      <c r="L5942" s="5"/>
      <c r="M5942" s="5"/>
      <c r="N5942" s="5"/>
      <c r="O5942" s="5"/>
      <c r="P5942" s="5"/>
      <c r="Q5942" s="5"/>
      <c r="R5942" s="5"/>
      <c r="S5942" s="5"/>
      <c r="T5942" s="5"/>
      <c r="U5942" s="5"/>
      <c r="V5942" s="5"/>
      <c r="W5942" s="5"/>
      <c r="X5942" s="5"/>
      <c r="Y5942" s="5"/>
      <c r="Z5942" s="5"/>
    </row>
    <row r="5943" spans="1:26" ht="15" x14ac:dyDescent="0.25">
      <c r="A5943" s="4" t="s">
        <v>5941</v>
      </c>
      <c r="B5943" s="4" t="s">
        <v>4550</v>
      </c>
      <c r="C5943" s="2" t="str">
        <f ca="1">IFERROR(__xludf.DUMMYFUNCTION("GOOGLETRANSLATE(A5943,""bn"",""en"")"),"We were learning blockchain")</f>
        <v>We were learning blockchain</v>
      </c>
      <c r="D5943" s="5"/>
      <c r="E5943" s="5"/>
      <c r="F5943" s="5"/>
      <c r="G5943" s="5"/>
      <c r="H5943" s="5"/>
      <c r="I5943" s="5"/>
      <c r="J5943" s="5"/>
      <c r="K5943" s="5"/>
      <c r="L5943" s="5"/>
      <c r="M5943" s="5"/>
      <c r="N5943" s="5"/>
      <c r="O5943" s="5"/>
      <c r="P5943" s="5"/>
      <c r="Q5943" s="5"/>
      <c r="R5943" s="5"/>
      <c r="S5943" s="5"/>
      <c r="T5943" s="5"/>
      <c r="U5943" s="5"/>
      <c r="V5943" s="5"/>
      <c r="W5943" s="5"/>
      <c r="X5943" s="5"/>
      <c r="Y5943" s="5"/>
      <c r="Z5943" s="5"/>
    </row>
    <row r="5944" spans="1:26" ht="15" x14ac:dyDescent="0.25">
      <c r="A5944" s="4" t="s">
        <v>5942</v>
      </c>
      <c r="B5944" s="4" t="s">
        <v>4550</v>
      </c>
      <c r="C5944" s="2" t="str">
        <f ca="1">IFERROR(__xludf.DUMMYFUNCTION("GOOGLETRANSLATE(A5944,""bn"",""en"")"),"I was buying a new gaming mouse")</f>
        <v>I was buying a new gaming mouse</v>
      </c>
      <c r="D5944" s="5"/>
      <c r="E5944" s="5"/>
      <c r="F5944" s="5"/>
      <c r="G5944" s="5"/>
      <c r="H5944" s="5"/>
      <c r="I5944" s="5"/>
      <c r="J5944" s="5"/>
      <c r="K5944" s="5"/>
      <c r="L5944" s="5"/>
      <c r="M5944" s="5"/>
      <c r="N5944" s="5"/>
      <c r="O5944" s="5"/>
      <c r="P5944" s="5"/>
      <c r="Q5944" s="5"/>
      <c r="R5944" s="5"/>
      <c r="S5944" s="5"/>
      <c r="T5944" s="5"/>
      <c r="U5944" s="5"/>
      <c r="V5944" s="5"/>
      <c r="W5944" s="5"/>
      <c r="X5944" s="5"/>
      <c r="Y5944" s="5"/>
      <c r="Z5944" s="5"/>
    </row>
    <row r="5945" spans="1:26" ht="15" x14ac:dyDescent="0.25">
      <c r="A5945" s="4" t="s">
        <v>5943</v>
      </c>
      <c r="B5945" s="4" t="s">
        <v>4550</v>
      </c>
      <c r="C5945" s="2" t="str">
        <f ca="1">IFERROR(__xludf.DUMMYFUNCTION("GOOGLETRANSLATE(A5945,""bn"",""en"")"),"I used GPS")</f>
        <v>I used GPS</v>
      </c>
      <c r="D5945" s="5"/>
      <c r="E5945" s="5"/>
      <c r="F5945" s="5"/>
      <c r="G5945" s="5"/>
      <c r="H5945" s="5"/>
      <c r="I5945" s="5"/>
      <c r="J5945" s="5"/>
      <c r="K5945" s="5"/>
      <c r="L5945" s="5"/>
      <c r="M5945" s="5"/>
      <c r="N5945" s="5"/>
      <c r="O5945" s="5"/>
      <c r="P5945" s="5"/>
      <c r="Q5945" s="5"/>
      <c r="R5945" s="5"/>
      <c r="S5945" s="5"/>
      <c r="T5945" s="5"/>
      <c r="U5945" s="5"/>
      <c r="V5945" s="5"/>
      <c r="W5945" s="5"/>
      <c r="X5945" s="5"/>
      <c r="Y5945" s="5"/>
      <c r="Z5945" s="5"/>
    </row>
    <row r="5946" spans="1:26" ht="15" x14ac:dyDescent="0.25">
      <c r="A5946" s="4" t="s">
        <v>5944</v>
      </c>
      <c r="B5946" s="4" t="s">
        <v>4550</v>
      </c>
      <c r="C5946" s="2" t="str">
        <f ca="1">IFERROR(__xludf.DUMMYFUNCTION("GOOGLETRANSLATE(A5946,""bn"",""en"")"),"He did the math")</f>
        <v>He did the math</v>
      </c>
      <c r="D5946" s="5"/>
      <c r="E5946" s="5"/>
      <c r="F5946" s="5"/>
      <c r="G5946" s="5"/>
      <c r="H5946" s="5"/>
      <c r="I5946" s="5"/>
      <c r="J5946" s="5"/>
      <c r="K5946" s="5"/>
      <c r="L5946" s="5"/>
      <c r="M5946" s="5"/>
      <c r="N5946" s="5"/>
      <c r="O5946" s="5"/>
      <c r="P5946" s="5"/>
      <c r="Q5946" s="5"/>
      <c r="R5946" s="5"/>
      <c r="S5946" s="5"/>
      <c r="T5946" s="5"/>
      <c r="U5946" s="5"/>
      <c r="V5946" s="5"/>
      <c r="W5946" s="5"/>
      <c r="X5946" s="5"/>
      <c r="Y5946" s="5"/>
      <c r="Z5946" s="5"/>
    </row>
    <row r="5947" spans="1:26" ht="15" x14ac:dyDescent="0.25">
      <c r="A5947" s="4" t="s">
        <v>5945</v>
      </c>
      <c r="B5947" s="4" t="s">
        <v>4550</v>
      </c>
      <c r="C5947" s="2" t="str">
        <f ca="1">IFERROR(__xludf.DUMMYFUNCTION("GOOGLETRANSLATE(A5947,""bn"",""en"")"),"I had a meeting at the bank")</f>
        <v>I had a meeting at the bank</v>
      </c>
      <c r="D5947" s="5"/>
      <c r="E5947" s="5"/>
      <c r="F5947" s="5"/>
      <c r="G5947" s="5"/>
      <c r="H5947" s="5"/>
      <c r="I5947" s="5"/>
      <c r="J5947" s="5"/>
      <c r="K5947" s="5"/>
      <c r="L5947" s="5"/>
      <c r="M5947" s="5"/>
      <c r="N5947" s="5"/>
      <c r="O5947" s="5"/>
      <c r="P5947" s="5"/>
      <c r="Q5947" s="5"/>
      <c r="R5947" s="5"/>
      <c r="S5947" s="5"/>
      <c r="T5947" s="5"/>
      <c r="U5947" s="5"/>
      <c r="V5947" s="5"/>
      <c r="W5947" s="5"/>
      <c r="X5947" s="5"/>
      <c r="Y5947" s="5"/>
      <c r="Z5947" s="5"/>
    </row>
    <row r="5948" spans="1:26" ht="15" x14ac:dyDescent="0.25">
      <c r="A5948" s="4" t="s">
        <v>5946</v>
      </c>
      <c r="B5948" s="4" t="s">
        <v>4550</v>
      </c>
      <c r="C5948" s="2" t="str">
        <f ca="1">IFERROR(__xludf.DUMMYFUNCTION("GOOGLETRANSLATE(A5948,""bn"",""en"")"),"He was writing a book")</f>
        <v>He was writing a book</v>
      </c>
      <c r="D5948" s="5"/>
      <c r="E5948" s="5"/>
      <c r="F5948" s="5"/>
      <c r="G5948" s="5"/>
      <c r="H5948" s="5"/>
      <c r="I5948" s="5"/>
      <c r="J5948" s="5"/>
      <c r="K5948" s="5"/>
      <c r="L5948" s="5"/>
      <c r="M5948" s="5"/>
      <c r="N5948" s="5"/>
      <c r="O5948" s="5"/>
      <c r="P5948" s="5"/>
      <c r="Q5948" s="5"/>
      <c r="R5948" s="5"/>
      <c r="S5948" s="5"/>
      <c r="T5948" s="5"/>
      <c r="U5948" s="5"/>
      <c r="V5948" s="5"/>
      <c r="W5948" s="5"/>
      <c r="X5948" s="5"/>
      <c r="Y5948" s="5"/>
      <c r="Z5948" s="5"/>
    </row>
    <row r="5949" spans="1:26" ht="15" x14ac:dyDescent="0.25">
      <c r="A5949" s="4" t="s">
        <v>5947</v>
      </c>
      <c r="B5949" s="4" t="s">
        <v>4550</v>
      </c>
      <c r="C5949" s="2" t="str">
        <f ca="1">IFERROR(__xludf.DUMMYFUNCTION("GOOGLETRANSLATE(A5949,""bn"",""en"")"),"I was reading the story")</f>
        <v>I was reading the story</v>
      </c>
      <c r="D5949" s="5"/>
      <c r="E5949" s="5"/>
      <c r="F5949" s="5"/>
      <c r="G5949" s="5"/>
      <c r="H5949" s="5"/>
      <c r="I5949" s="5"/>
      <c r="J5949" s="5"/>
      <c r="K5949" s="5"/>
      <c r="L5949" s="5"/>
      <c r="M5949" s="5"/>
      <c r="N5949" s="5"/>
      <c r="O5949" s="5"/>
      <c r="P5949" s="5"/>
      <c r="Q5949" s="5"/>
      <c r="R5949" s="5"/>
      <c r="S5949" s="5"/>
      <c r="T5949" s="5"/>
      <c r="U5949" s="5"/>
      <c r="V5949" s="5"/>
      <c r="W5949" s="5"/>
      <c r="X5949" s="5"/>
      <c r="Y5949" s="5"/>
      <c r="Z5949" s="5"/>
    </row>
    <row r="5950" spans="1:26" ht="15" x14ac:dyDescent="0.25">
      <c r="A5950" s="4" t="s">
        <v>5948</v>
      </c>
      <c r="B5950" s="4" t="s">
        <v>4550</v>
      </c>
      <c r="C5950" s="2" t="str">
        <f ca="1">IFERROR(__xludf.DUMMYFUNCTION("GOOGLETRANSLATE(A5950,""bn"",""en"")"),"The currency was increasing")</f>
        <v>The currency was increasing</v>
      </c>
      <c r="D5950" s="5"/>
      <c r="E5950" s="5"/>
      <c r="F5950" s="5"/>
      <c r="G5950" s="5"/>
      <c r="H5950" s="5"/>
      <c r="I5950" s="5"/>
      <c r="J5950" s="5"/>
      <c r="K5950" s="5"/>
      <c r="L5950" s="5"/>
      <c r="M5950" s="5"/>
      <c r="N5950" s="5"/>
      <c r="O5950" s="5"/>
      <c r="P5950" s="5"/>
      <c r="Q5950" s="5"/>
      <c r="R5950" s="5"/>
      <c r="S5950" s="5"/>
      <c r="T5950" s="5"/>
      <c r="U5950" s="5"/>
      <c r="V5950" s="5"/>
      <c r="W5950" s="5"/>
      <c r="X5950" s="5"/>
      <c r="Y5950" s="5"/>
      <c r="Z5950" s="5"/>
    </row>
    <row r="5951" spans="1:26" ht="15" x14ac:dyDescent="0.25">
      <c r="A5951" s="4" t="s">
        <v>5949</v>
      </c>
      <c r="B5951" s="4" t="s">
        <v>4550</v>
      </c>
      <c r="C5951" s="2" t="str">
        <f ca="1">IFERROR(__xludf.DUMMYFUNCTION("GOOGLETRANSLATE(A5951,""bn"",""en"")"),"I was adding myself")</f>
        <v>I was adding myself</v>
      </c>
      <c r="D5951" s="5"/>
      <c r="E5951" s="5"/>
      <c r="F5951" s="5"/>
      <c r="G5951" s="5"/>
      <c r="H5951" s="5"/>
      <c r="I5951" s="5"/>
      <c r="J5951" s="5"/>
      <c r="K5951" s="5"/>
      <c r="L5951" s="5"/>
      <c r="M5951" s="5"/>
      <c r="N5951" s="5"/>
      <c r="O5951" s="5"/>
      <c r="P5951" s="5"/>
      <c r="Q5951" s="5"/>
      <c r="R5951" s="5"/>
      <c r="S5951" s="5"/>
      <c r="T5951" s="5"/>
      <c r="U5951" s="5"/>
      <c r="V5951" s="5"/>
      <c r="W5951" s="5"/>
      <c r="X5951" s="5"/>
      <c r="Y5951" s="5"/>
      <c r="Z5951" s="5"/>
    </row>
    <row r="5952" spans="1:26" ht="15" x14ac:dyDescent="0.25">
      <c r="A5952" s="4" t="s">
        <v>5950</v>
      </c>
      <c r="B5952" s="4" t="s">
        <v>4550</v>
      </c>
      <c r="C5952" s="2" t="str">
        <f ca="1">IFERROR(__xludf.DUMMYFUNCTION("GOOGLETRANSLATE(A5952,""bn"",""en"")"),"The bank was giving support")</f>
        <v>The bank was giving support</v>
      </c>
      <c r="D5952" s="5"/>
      <c r="E5952" s="5"/>
      <c r="F5952" s="5"/>
      <c r="G5952" s="5"/>
      <c r="H5952" s="5"/>
      <c r="I5952" s="5"/>
      <c r="J5952" s="5"/>
      <c r="K5952" s="5"/>
      <c r="L5952" s="5"/>
      <c r="M5952" s="5"/>
      <c r="N5952" s="5"/>
      <c r="O5952" s="5"/>
      <c r="P5952" s="5"/>
      <c r="Q5952" s="5"/>
      <c r="R5952" s="5"/>
      <c r="S5952" s="5"/>
      <c r="T5952" s="5"/>
      <c r="U5952" s="5"/>
      <c r="V5952" s="5"/>
      <c r="W5952" s="5"/>
      <c r="X5952" s="5"/>
      <c r="Y5952" s="5"/>
      <c r="Z5952" s="5"/>
    </row>
    <row r="5953" spans="1:26" ht="15" x14ac:dyDescent="0.25">
      <c r="A5953" s="4" t="s">
        <v>5951</v>
      </c>
      <c r="B5953" s="4" t="s">
        <v>4550</v>
      </c>
      <c r="C5953" s="2" t="str">
        <f ca="1">IFERROR(__xludf.DUMMYFUNCTION("GOOGLETRANSLATE(A5953,""bn"",""en"")"),"I suffered in winter")</f>
        <v>I suffered in winter</v>
      </c>
      <c r="D5953" s="5"/>
      <c r="E5953" s="5"/>
      <c r="F5953" s="5"/>
      <c r="G5953" s="5"/>
      <c r="H5953" s="5"/>
      <c r="I5953" s="5"/>
      <c r="J5953" s="5"/>
      <c r="K5953" s="5"/>
      <c r="L5953" s="5"/>
      <c r="M5953" s="5"/>
      <c r="N5953" s="5"/>
      <c r="O5953" s="5"/>
      <c r="P5953" s="5"/>
      <c r="Q5953" s="5"/>
      <c r="R5953" s="5"/>
      <c r="S5953" s="5"/>
      <c r="T5953" s="5"/>
      <c r="U5953" s="5"/>
      <c r="V5953" s="5"/>
      <c r="W5953" s="5"/>
      <c r="X5953" s="5"/>
      <c r="Y5953" s="5"/>
      <c r="Z5953" s="5"/>
    </row>
    <row r="5954" spans="1:26" ht="15" x14ac:dyDescent="0.25">
      <c r="A5954" s="4" t="s">
        <v>5952</v>
      </c>
      <c r="B5954" s="4" t="s">
        <v>4550</v>
      </c>
      <c r="C5954" s="2" t="str">
        <f ca="1">IFERROR(__xludf.DUMMYFUNCTION("GOOGLETRANSLATE(A5954,""bn"",""en"")"),"Was doing computer classes")</f>
        <v>Was doing computer classes</v>
      </c>
      <c r="D5954" s="5"/>
      <c r="E5954" s="5"/>
      <c r="F5954" s="5"/>
      <c r="G5954" s="5"/>
      <c r="H5954" s="5"/>
      <c r="I5954" s="5"/>
      <c r="J5954" s="5"/>
      <c r="K5954" s="5"/>
      <c r="L5954" s="5"/>
      <c r="M5954" s="5"/>
      <c r="N5954" s="5"/>
      <c r="O5954" s="5"/>
      <c r="P5954" s="5"/>
      <c r="Q5954" s="5"/>
      <c r="R5954" s="5"/>
      <c r="S5954" s="5"/>
      <c r="T5954" s="5"/>
      <c r="U5954" s="5"/>
      <c r="V5954" s="5"/>
      <c r="W5954" s="5"/>
      <c r="X5954" s="5"/>
      <c r="Y5954" s="5"/>
      <c r="Z5954" s="5"/>
    </row>
    <row r="5955" spans="1:26" ht="15" x14ac:dyDescent="0.25">
      <c r="A5955" s="4" t="s">
        <v>5953</v>
      </c>
      <c r="B5955" s="4" t="s">
        <v>4550</v>
      </c>
      <c r="C5955" s="2" t="str">
        <f ca="1">IFERROR(__xludf.DUMMYFUNCTION("GOOGLETRANSLATE(A5955,""bn"",""en"")"),"I used bluetooth")</f>
        <v>I used bluetooth</v>
      </c>
      <c r="D5955" s="5"/>
      <c r="E5955" s="5"/>
      <c r="F5955" s="5"/>
      <c r="G5955" s="5"/>
      <c r="H5955" s="5"/>
      <c r="I5955" s="5"/>
      <c r="J5955" s="5"/>
      <c r="K5955" s="5"/>
      <c r="L5955" s="5"/>
      <c r="M5955" s="5"/>
      <c r="N5955" s="5"/>
      <c r="O5955" s="5"/>
      <c r="P5955" s="5"/>
      <c r="Q5955" s="5"/>
      <c r="R5955" s="5"/>
      <c r="S5955" s="5"/>
      <c r="T5955" s="5"/>
      <c r="U5955" s="5"/>
      <c r="V5955" s="5"/>
      <c r="W5955" s="5"/>
      <c r="X5955" s="5"/>
      <c r="Y5955" s="5"/>
      <c r="Z5955" s="5"/>
    </row>
    <row r="5956" spans="1:26" ht="15" x14ac:dyDescent="0.25">
      <c r="A5956" s="4" t="s">
        <v>5954</v>
      </c>
      <c r="B5956" s="4" t="s">
        <v>4550</v>
      </c>
      <c r="C5956" s="2" t="str">
        <f ca="1">IFERROR(__xludf.DUMMYFUNCTION("GOOGLETRANSLATE(A5956,""bn"",""en"")"),"I was going to the rainforest")</f>
        <v>I was going to the rainforest</v>
      </c>
      <c r="D5956" s="5"/>
      <c r="E5956" s="5"/>
      <c r="F5956" s="5"/>
      <c r="G5956" s="5"/>
      <c r="H5956" s="5"/>
      <c r="I5956" s="5"/>
      <c r="J5956" s="5"/>
      <c r="K5956" s="5"/>
      <c r="L5956" s="5"/>
      <c r="M5956" s="5"/>
      <c r="N5956" s="5"/>
      <c r="O5956" s="5"/>
      <c r="P5956" s="5"/>
      <c r="Q5956" s="5"/>
      <c r="R5956" s="5"/>
      <c r="S5956" s="5"/>
      <c r="T5956" s="5"/>
      <c r="U5956" s="5"/>
      <c r="V5956" s="5"/>
      <c r="W5956" s="5"/>
      <c r="X5956" s="5"/>
      <c r="Y5956" s="5"/>
      <c r="Z5956" s="5"/>
    </row>
    <row r="5957" spans="1:26" ht="15" x14ac:dyDescent="0.25">
      <c r="A5957" s="4" t="s">
        <v>5955</v>
      </c>
      <c r="B5957" s="4" t="s">
        <v>4550</v>
      </c>
      <c r="C5957" s="2" t="str">
        <f ca="1">IFERROR(__xludf.DUMMYFUNCTION("GOOGLETRANSLATE(A5957,""bn"",""en"")"),"Memory increased during travel")</f>
        <v>Memory increased during travel</v>
      </c>
      <c r="D5957" s="5"/>
      <c r="E5957" s="5"/>
      <c r="F5957" s="5"/>
      <c r="G5957" s="5"/>
      <c r="H5957" s="5"/>
      <c r="I5957" s="5"/>
      <c r="J5957" s="5"/>
      <c r="K5957" s="5"/>
      <c r="L5957" s="5"/>
      <c r="M5957" s="5"/>
      <c r="N5957" s="5"/>
      <c r="O5957" s="5"/>
      <c r="P5957" s="5"/>
      <c r="Q5957" s="5"/>
      <c r="R5957" s="5"/>
      <c r="S5957" s="5"/>
      <c r="T5957" s="5"/>
      <c r="U5957" s="5"/>
      <c r="V5957" s="5"/>
      <c r="W5957" s="5"/>
      <c r="X5957" s="5"/>
      <c r="Y5957" s="5"/>
      <c r="Z5957" s="5"/>
    </row>
    <row r="5958" spans="1:26" ht="15" x14ac:dyDescent="0.25">
      <c r="A5958" s="4" t="s">
        <v>5956</v>
      </c>
      <c r="B5958" s="4" t="s">
        <v>4550</v>
      </c>
      <c r="C5958" s="2" t="str">
        <f ca="1">IFERROR(__xludf.DUMMYFUNCTION("GOOGLETRANSLATE(A5958,""bn"",""en"")"),"Mainul read prose")</f>
        <v>Mainul read prose</v>
      </c>
      <c r="D5958" s="5"/>
      <c r="E5958" s="5"/>
      <c r="F5958" s="5"/>
      <c r="G5958" s="5"/>
      <c r="H5958" s="5"/>
      <c r="I5958" s="5"/>
      <c r="J5958" s="5"/>
      <c r="K5958" s="5"/>
      <c r="L5958" s="5"/>
      <c r="M5958" s="5"/>
      <c r="N5958" s="5"/>
      <c r="O5958" s="5"/>
      <c r="P5958" s="5"/>
      <c r="Q5958" s="5"/>
      <c r="R5958" s="5"/>
      <c r="S5958" s="5"/>
      <c r="T5958" s="5"/>
      <c r="U5958" s="5"/>
      <c r="V5958" s="5"/>
      <c r="W5958" s="5"/>
      <c r="X5958" s="5"/>
      <c r="Y5958" s="5"/>
      <c r="Z5958" s="5"/>
    </row>
    <row r="5959" spans="1:26" ht="15" x14ac:dyDescent="0.25">
      <c r="A5959" s="4" t="s">
        <v>5957</v>
      </c>
      <c r="B5959" s="4" t="s">
        <v>4550</v>
      </c>
      <c r="C5959" s="2" t="str">
        <f ca="1">IFERROR(__xludf.DUMMYFUNCTION("GOOGLETRANSLATE(A5959,""bn"",""en"")"),"I gave education")</f>
        <v>I gave education</v>
      </c>
      <c r="D5959" s="5"/>
      <c r="E5959" s="5"/>
      <c r="F5959" s="5"/>
      <c r="G5959" s="5"/>
      <c r="H5959" s="5"/>
      <c r="I5959" s="5"/>
      <c r="J5959" s="5"/>
      <c r="K5959" s="5"/>
      <c r="L5959" s="5"/>
      <c r="M5959" s="5"/>
      <c r="N5959" s="5"/>
      <c r="O5959" s="5"/>
      <c r="P5959" s="5"/>
      <c r="Q5959" s="5"/>
      <c r="R5959" s="5"/>
      <c r="S5959" s="5"/>
      <c r="T5959" s="5"/>
      <c r="U5959" s="5"/>
      <c r="V5959" s="5"/>
      <c r="W5959" s="5"/>
      <c r="X5959" s="5"/>
      <c r="Y5959" s="5"/>
      <c r="Z5959" s="5"/>
    </row>
    <row r="5960" spans="1:26" ht="15" x14ac:dyDescent="0.25">
      <c r="A5960" s="4" t="s">
        <v>5958</v>
      </c>
      <c r="B5960" s="4" t="s">
        <v>4550</v>
      </c>
      <c r="C5960" s="2" t="str">
        <f ca="1">IFERROR(__xludf.DUMMYFUNCTION("GOOGLETRANSLATE(A5960,""bn"",""en"")"),"I used the server")</f>
        <v>I used the server</v>
      </c>
      <c r="D5960" s="5"/>
      <c r="E5960" s="5"/>
      <c r="F5960" s="5"/>
      <c r="G5960" s="5"/>
      <c r="H5960" s="5"/>
      <c r="I5960" s="5"/>
      <c r="J5960" s="5"/>
      <c r="K5960" s="5"/>
      <c r="L5960" s="5"/>
      <c r="M5960" s="5"/>
      <c r="N5960" s="5"/>
      <c r="O5960" s="5"/>
      <c r="P5960" s="5"/>
      <c r="Q5960" s="5"/>
      <c r="R5960" s="5"/>
      <c r="S5960" s="5"/>
      <c r="T5960" s="5"/>
      <c r="U5960" s="5"/>
      <c r="V5960" s="5"/>
      <c r="W5960" s="5"/>
      <c r="X5960" s="5"/>
      <c r="Y5960" s="5"/>
      <c r="Z5960" s="5"/>
    </row>
    <row r="5961" spans="1:26" ht="15" x14ac:dyDescent="0.25">
      <c r="A5961" s="4" t="s">
        <v>5959</v>
      </c>
      <c r="B5961" s="4" t="s">
        <v>4550</v>
      </c>
      <c r="C5961" s="2" t="str">
        <f ca="1">IFERROR(__xludf.DUMMYFUNCTION("GOOGLETRANSLATE(A5961,""bn"",""en"")"),"I went for leisure")</f>
        <v>I went for leisure</v>
      </c>
      <c r="D5961" s="5"/>
      <c r="E5961" s="5"/>
      <c r="F5961" s="5"/>
      <c r="G5961" s="5"/>
      <c r="H5961" s="5"/>
      <c r="I5961" s="5"/>
      <c r="J5961" s="5"/>
      <c r="K5961" s="5"/>
      <c r="L5961" s="5"/>
      <c r="M5961" s="5"/>
      <c r="N5961" s="5"/>
      <c r="O5961" s="5"/>
      <c r="P5961" s="5"/>
      <c r="Q5961" s="5"/>
      <c r="R5961" s="5"/>
      <c r="S5961" s="5"/>
      <c r="T5961" s="5"/>
      <c r="U5961" s="5"/>
      <c r="V5961" s="5"/>
      <c r="W5961" s="5"/>
      <c r="X5961" s="5"/>
      <c r="Y5961" s="5"/>
      <c r="Z5961" s="5"/>
    </row>
    <row r="5962" spans="1:26" ht="15" x14ac:dyDescent="0.25">
      <c r="A5962" s="4" t="s">
        <v>5960</v>
      </c>
      <c r="B5962" s="4" t="s">
        <v>4550</v>
      </c>
      <c r="C5962" s="2" t="str">
        <f ca="1">IFERROR(__xludf.DUMMYFUNCTION("GOOGLETRANSLATE(A5962,""bn"",""en"")"),"I saw a tiger in the forest")</f>
        <v>I saw a tiger in the forest</v>
      </c>
      <c r="D5962" s="5"/>
      <c r="E5962" s="5"/>
      <c r="F5962" s="5"/>
      <c r="G5962" s="5"/>
      <c r="H5962" s="5"/>
      <c r="I5962" s="5"/>
      <c r="J5962" s="5"/>
      <c r="K5962" s="5"/>
      <c r="L5962" s="5"/>
      <c r="M5962" s="5"/>
      <c r="N5962" s="5"/>
      <c r="O5962" s="5"/>
      <c r="P5962" s="5"/>
      <c r="Q5962" s="5"/>
      <c r="R5962" s="5"/>
      <c r="S5962" s="5"/>
      <c r="T5962" s="5"/>
      <c r="U5962" s="5"/>
      <c r="V5962" s="5"/>
      <c r="W5962" s="5"/>
      <c r="X5962" s="5"/>
      <c r="Y5962" s="5"/>
      <c r="Z5962" s="5"/>
    </row>
    <row r="5963" spans="1:26" ht="15" x14ac:dyDescent="0.25">
      <c r="A5963" s="4" t="s">
        <v>5961</v>
      </c>
      <c r="B5963" s="4" t="s">
        <v>4550</v>
      </c>
      <c r="C5963" s="2" t="str">
        <f ca="1">IFERROR(__xludf.DUMMYFUNCTION("GOOGLETRANSLATE(A5963,""bn"",""en"")"),"I was watching the news on my laptop")</f>
        <v>I was watching the news on my laptop</v>
      </c>
      <c r="D5963" s="5"/>
      <c r="E5963" s="5"/>
      <c r="F5963" s="5"/>
      <c r="G5963" s="5"/>
      <c r="H5963" s="5"/>
      <c r="I5963" s="5"/>
      <c r="J5963" s="5"/>
      <c r="K5963" s="5"/>
      <c r="L5963" s="5"/>
      <c r="M5963" s="5"/>
      <c r="N5963" s="5"/>
      <c r="O5963" s="5"/>
      <c r="P5963" s="5"/>
      <c r="Q5963" s="5"/>
      <c r="R5963" s="5"/>
      <c r="S5963" s="5"/>
      <c r="T5963" s="5"/>
      <c r="U5963" s="5"/>
      <c r="V5963" s="5"/>
      <c r="W5963" s="5"/>
      <c r="X5963" s="5"/>
      <c r="Y5963" s="5"/>
      <c r="Z5963" s="5"/>
    </row>
    <row r="5964" spans="1:26" ht="15" x14ac:dyDescent="0.25">
      <c r="A5964" s="4" t="s">
        <v>5962</v>
      </c>
      <c r="B5964" s="4" t="s">
        <v>4550</v>
      </c>
      <c r="C5964" s="2" t="str">
        <f ca="1">IFERROR(__xludf.DUMMYFUNCTION("GOOGLETRANSLATE(A5964,""bn"",""en"")"),"The price was increasing")</f>
        <v>The price was increasing</v>
      </c>
      <c r="D5964" s="5"/>
      <c r="E5964" s="5"/>
      <c r="F5964" s="5"/>
      <c r="G5964" s="5"/>
      <c r="H5964" s="5"/>
      <c r="I5964" s="5"/>
      <c r="J5964" s="5"/>
      <c r="K5964" s="5"/>
      <c r="L5964" s="5"/>
      <c r="M5964" s="5"/>
      <c r="N5964" s="5"/>
      <c r="O5964" s="5"/>
      <c r="P5964" s="5"/>
      <c r="Q5964" s="5"/>
      <c r="R5964" s="5"/>
      <c r="S5964" s="5"/>
      <c r="T5964" s="5"/>
      <c r="U5964" s="5"/>
      <c r="V5964" s="5"/>
      <c r="W5964" s="5"/>
      <c r="X5964" s="5"/>
      <c r="Y5964" s="5"/>
      <c r="Z5964" s="5"/>
    </row>
    <row r="5965" spans="1:26" ht="15" x14ac:dyDescent="0.25">
      <c r="A5965" s="4" t="s">
        <v>5963</v>
      </c>
      <c r="B5965" s="4" t="s">
        <v>4550</v>
      </c>
      <c r="C5965" s="2" t="str">
        <f ca="1">IFERROR(__xludf.DUMMYFUNCTION("GOOGLETRANSLATE(A5965,""bn"",""en"")"),"He was reading everything")</f>
        <v>He was reading everything</v>
      </c>
      <c r="D5965" s="5"/>
      <c r="E5965" s="5"/>
      <c r="F5965" s="5"/>
      <c r="G5965" s="5"/>
      <c r="H5965" s="5"/>
      <c r="I5965" s="5"/>
      <c r="J5965" s="5"/>
      <c r="K5965" s="5"/>
      <c r="L5965" s="5"/>
      <c r="M5965" s="5"/>
      <c r="N5965" s="5"/>
      <c r="O5965" s="5"/>
      <c r="P5965" s="5"/>
      <c r="Q5965" s="5"/>
      <c r="R5965" s="5"/>
      <c r="S5965" s="5"/>
      <c r="T5965" s="5"/>
      <c r="U5965" s="5"/>
      <c r="V5965" s="5"/>
      <c r="W5965" s="5"/>
      <c r="X5965" s="5"/>
      <c r="Y5965" s="5"/>
      <c r="Z5965" s="5"/>
    </row>
    <row r="5966" spans="1:26" ht="15" x14ac:dyDescent="0.25">
      <c r="A5966" s="4" t="s">
        <v>5964</v>
      </c>
      <c r="B5966" s="4" t="s">
        <v>4550</v>
      </c>
      <c r="C5966" s="2" t="str">
        <f ca="1">IFERROR(__xludf.DUMMYFUNCTION("GOOGLETRANSLATE(A5966,""bn"",""en"")"),"I used to spend time in the media")</f>
        <v>I used to spend time in the media</v>
      </c>
      <c r="D5966" s="5"/>
      <c r="E5966" s="5"/>
      <c r="F5966" s="5"/>
      <c r="G5966" s="5"/>
      <c r="H5966" s="5"/>
      <c r="I5966" s="5"/>
      <c r="J5966" s="5"/>
      <c r="K5966" s="5"/>
      <c r="L5966" s="5"/>
      <c r="M5966" s="5"/>
      <c r="N5966" s="5"/>
      <c r="O5966" s="5"/>
      <c r="P5966" s="5"/>
      <c r="Q5966" s="5"/>
      <c r="R5966" s="5"/>
      <c r="S5966" s="5"/>
      <c r="T5966" s="5"/>
      <c r="U5966" s="5"/>
      <c r="V5966" s="5"/>
      <c r="W5966" s="5"/>
      <c r="X5966" s="5"/>
      <c r="Y5966" s="5"/>
      <c r="Z5966" s="5"/>
    </row>
    <row r="5967" spans="1:26" ht="15" x14ac:dyDescent="0.25">
      <c r="A5967" s="4" t="s">
        <v>5965</v>
      </c>
      <c r="B5967" s="4" t="s">
        <v>4550</v>
      </c>
      <c r="C5967" s="2" t="str">
        <f ca="1">IFERROR(__xludf.DUMMYFUNCTION("GOOGLETRANSLATE(A5967,""bn"",""en"")"),"Students did physical exercises")</f>
        <v>Students did physical exercises</v>
      </c>
      <c r="D5967" s="5"/>
      <c r="E5967" s="5"/>
      <c r="F5967" s="5"/>
      <c r="G5967" s="5"/>
      <c r="H5967" s="5"/>
      <c r="I5967" s="5"/>
      <c r="J5967" s="5"/>
      <c r="K5967" s="5"/>
      <c r="L5967" s="5"/>
      <c r="M5967" s="5"/>
      <c r="N5967" s="5"/>
      <c r="O5967" s="5"/>
      <c r="P5967" s="5"/>
      <c r="Q5967" s="5"/>
      <c r="R5967" s="5"/>
      <c r="S5967" s="5"/>
      <c r="T5967" s="5"/>
      <c r="U5967" s="5"/>
      <c r="V5967" s="5"/>
      <c r="W5967" s="5"/>
      <c r="X5967" s="5"/>
      <c r="Y5967" s="5"/>
      <c r="Z5967" s="5"/>
    </row>
    <row r="5968" spans="1:26" ht="15" x14ac:dyDescent="0.25">
      <c r="A5968" s="4" t="s">
        <v>5966</v>
      </c>
      <c r="B5968" s="4" t="s">
        <v>4550</v>
      </c>
      <c r="C5968" s="2" t="str">
        <f ca="1">IFERROR(__xludf.DUMMYFUNCTION("GOOGLETRANSLATE(A5968,""bn"",""en"")"),"I loved sea travel")</f>
        <v>I loved sea travel</v>
      </c>
      <c r="D5968" s="5"/>
      <c r="E5968" s="5"/>
      <c r="F5968" s="5"/>
      <c r="G5968" s="5"/>
      <c r="H5968" s="5"/>
      <c r="I5968" s="5"/>
      <c r="J5968" s="5"/>
      <c r="K5968" s="5"/>
      <c r="L5968" s="5"/>
      <c r="M5968" s="5"/>
      <c r="N5968" s="5"/>
      <c r="O5968" s="5"/>
      <c r="P5968" s="5"/>
      <c r="Q5968" s="5"/>
      <c r="R5968" s="5"/>
      <c r="S5968" s="5"/>
      <c r="T5968" s="5"/>
      <c r="U5968" s="5"/>
      <c r="V5968" s="5"/>
      <c r="W5968" s="5"/>
      <c r="X5968" s="5"/>
      <c r="Y5968" s="5"/>
      <c r="Z5968" s="5"/>
    </row>
    <row r="5969" spans="1:26" ht="15" x14ac:dyDescent="0.25">
      <c r="A5969" s="4" t="s">
        <v>5967</v>
      </c>
      <c r="B5969" s="4" t="s">
        <v>4550</v>
      </c>
      <c r="C5969" s="2" t="str">
        <f ca="1">IFERROR(__xludf.DUMMYFUNCTION("GOOGLETRANSLATE(A5969,""bn"",""en"")"),"He knew history")</f>
        <v>He knew history</v>
      </c>
      <c r="D5969" s="5"/>
      <c r="E5969" s="5"/>
      <c r="F5969" s="5"/>
      <c r="G5969" s="5"/>
      <c r="H5969" s="5"/>
      <c r="I5969" s="5"/>
      <c r="J5969" s="5"/>
      <c r="K5969" s="5"/>
      <c r="L5969" s="5"/>
      <c r="M5969" s="5"/>
      <c r="N5969" s="5"/>
      <c r="O5969" s="5"/>
      <c r="P5969" s="5"/>
      <c r="Q5969" s="5"/>
      <c r="R5969" s="5"/>
      <c r="S5969" s="5"/>
      <c r="T5969" s="5"/>
      <c r="U5969" s="5"/>
      <c r="V5969" s="5"/>
      <c r="W5969" s="5"/>
      <c r="X5969" s="5"/>
      <c r="Y5969" s="5"/>
      <c r="Z5969" s="5"/>
    </row>
    <row r="5970" spans="1:26" ht="15" x14ac:dyDescent="0.25">
      <c r="A5970" s="4" t="s">
        <v>5968</v>
      </c>
      <c r="B5970" s="4" t="s">
        <v>4550</v>
      </c>
      <c r="C5970" s="2" t="str">
        <f ca="1">IFERROR(__xludf.DUMMYFUNCTION("GOOGLETRANSLATE(A5970,""bn"",""en"")"),"Flowers were fragrant")</f>
        <v>Flowers were fragrant</v>
      </c>
      <c r="D5970" s="5"/>
      <c r="E5970" s="5"/>
      <c r="F5970" s="5"/>
      <c r="G5970" s="5"/>
      <c r="H5970" s="5"/>
      <c r="I5970" s="5"/>
      <c r="J5970" s="5"/>
      <c r="K5970" s="5"/>
      <c r="L5970" s="5"/>
      <c r="M5970" s="5"/>
      <c r="N5970" s="5"/>
      <c r="O5970" s="5"/>
      <c r="P5970" s="5"/>
      <c r="Q5970" s="5"/>
      <c r="R5970" s="5"/>
      <c r="S5970" s="5"/>
      <c r="T5970" s="5"/>
      <c r="U5970" s="5"/>
      <c r="V5970" s="5"/>
      <c r="W5970" s="5"/>
      <c r="X5970" s="5"/>
      <c r="Y5970" s="5"/>
      <c r="Z5970" s="5"/>
    </row>
    <row r="5971" spans="1:26" ht="15" x14ac:dyDescent="0.25">
      <c r="A5971" s="4" t="s">
        <v>5969</v>
      </c>
      <c r="B5971" s="4" t="s">
        <v>4550</v>
      </c>
      <c r="C5971" s="2" t="str">
        <f ca="1">IFERROR(__xludf.DUMMYFUNCTION("GOOGLETRANSLATE(A5971,""bn"",""en"")"),"GPS was on")</f>
        <v>GPS was on</v>
      </c>
      <c r="D5971" s="5"/>
      <c r="E5971" s="5"/>
      <c r="F5971" s="5"/>
      <c r="G5971" s="5"/>
      <c r="H5971" s="5"/>
      <c r="I5971" s="5"/>
      <c r="J5971" s="5"/>
      <c r="K5971" s="5"/>
      <c r="L5971" s="5"/>
      <c r="M5971" s="5"/>
      <c r="N5971" s="5"/>
      <c r="O5971" s="5"/>
      <c r="P5971" s="5"/>
      <c r="Q5971" s="5"/>
      <c r="R5971" s="5"/>
      <c r="S5971" s="5"/>
      <c r="T5971" s="5"/>
      <c r="U5971" s="5"/>
      <c r="V5971" s="5"/>
      <c r="W5971" s="5"/>
      <c r="X5971" s="5"/>
      <c r="Y5971" s="5"/>
      <c r="Z5971" s="5"/>
    </row>
    <row r="5972" spans="1:26" ht="15" x14ac:dyDescent="0.25">
      <c r="A5972" s="4" t="s">
        <v>5970</v>
      </c>
      <c r="B5972" s="4" t="s">
        <v>4550</v>
      </c>
      <c r="C5972" s="2" t="str">
        <f ca="1">IFERROR(__xludf.DUMMYFUNCTION("GOOGLETRANSLATE(A5972,""bn"",""en"")"),"I liked traveling")</f>
        <v>I liked traveling</v>
      </c>
      <c r="D5972" s="5"/>
      <c r="E5972" s="5"/>
      <c r="F5972" s="5"/>
      <c r="G5972" s="5"/>
      <c r="H5972" s="5"/>
      <c r="I5972" s="5"/>
      <c r="J5972" s="5"/>
      <c r="K5972" s="5"/>
      <c r="L5972" s="5"/>
      <c r="M5972" s="5"/>
      <c r="N5972" s="5"/>
      <c r="O5972" s="5"/>
      <c r="P5972" s="5"/>
      <c r="Q5972" s="5"/>
      <c r="R5972" s="5"/>
      <c r="S5972" s="5"/>
      <c r="T5972" s="5"/>
      <c r="U5972" s="5"/>
      <c r="V5972" s="5"/>
      <c r="W5972" s="5"/>
      <c r="X5972" s="5"/>
      <c r="Y5972" s="5"/>
      <c r="Z5972" s="5"/>
    </row>
    <row r="5973" spans="1:26" ht="15" x14ac:dyDescent="0.25">
      <c r="A5973" s="4" t="s">
        <v>5971</v>
      </c>
      <c r="B5973" s="4" t="s">
        <v>4550</v>
      </c>
      <c r="C5973" s="2" t="str">
        <f ca="1">IFERROR(__xludf.DUMMYFUNCTION("GOOGLETRANSLATE(A5973,""bn"",""en"")"),"I used to order ebooks")</f>
        <v>I used to order ebooks</v>
      </c>
      <c r="D5973" s="5"/>
      <c r="E5973" s="5"/>
      <c r="F5973" s="5"/>
      <c r="G5973" s="5"/>
      <c r="H5973" s="5"/>
      <c r="I5973" s="5"/>
      <c r="J5973" s="5"/>
      <c r="K5973" s="5"/>
      <c r="L5973" s="5"/>
      <c r="M5973" s="5"/>
      <c r="N5973" s="5"/>
      <c r="O5973" s="5"/>
      <c r="P5973" s="5"/>
      <c r="Q5973" s="5"/>
      <c r="R5973" s="5"/>
      <c r="S5973" s="5"/>
      <c r="T5973" s="5"/>
      <c r="U5973" s="5"/>
      <c r="V5973" s="5"/>
      <c r="W5973" s="5"/>
      <c r="X5973" s="5"/>
      <c r="Y5973" s="5"/>
      <c r="Z5973" s="5"/>
    </row>
    <row r="5974" spans="1:26" ht="15" x14ac:dyDescent="0.25">
      <c r="A5974" s="4" t="s">
        <v>5972</v>
      </c>
      <c r="B5974" s="4" t="s">
        <v>4550</v>
      </c>
      <c r="C5974" s="2" t="str">
        <f ca="1">IFERROR(__xludf.DUMMYFUNCTION("GOOGLETRANSLATE(A5974,""bn"",""en"")"),"Loved the gadget")</f>
        <v>Loved the gadget</v>
      </c>
      <c r="D5974" s="5"/>
      <c r="E5974" s="5"/>
      <c r="F5974" s="5"/>
      <c r="G5974" s="5"/>
      <c r="H5974" s="5"/>
      <c r="I5974" s="5"/>
      <c r="J5974" s="5"/>
      <c r="K5974" s="5"/>
      <c r="L5974" s="5"/>
      <c r="M5974" s="5"/>
      <c r="N5974" s="5"/>
      <c r="O5974" s="5"/>
      <c r="P5974" s="5"/>
      <c r="Q5974" s="5"/>
      <c r="R5974" s="5"/>
      <c r="S5974" s="5"/>
      <c r="T5974" s="5"/>
      <c r="U5974" s="5"/>
      <c r="V5974" s="5"/>
      <c r="W5974" s="5"/>
      <c r="X5974" s="5"/>
      <c r="Y5974" s="5"/>
      <c r="Z5974" s="5"/>
    </row>
    <row r="5975" spans="1:26" ht="15" x14ac:dyDescent="0.25">
      <c r="A5975" s="4" t="s">
        <v>5973</v>
      </c>
      <c r="B5975" s="4" t="s">
        <v>4550</v>
      </c>
      <c r="C5975" s="2" t="str">
        <f ca="1">IFERROR(__xludf.DUMMYFUNCTION("GOOGLETRANSLATE(A5975,""bn"",""en"")"),"I took protective medicine")</f>
        <v>I took protective medicine</v>
      </c>
      <c r="D5975" s="5"/>
      <c r="E5975" s="5"/>
      <c r="F5975" s="5"/>
      <c r="G5975" s="5"/>
      <c r="H5975" s="5"/>
      <c r="I5975" s="5"/>
      <c r="J5975" s="5"/>
      <c r="K5975" s="5"/>
      <c r="L5975" s="5"/>
      <c r="M5975" s="5"/>
      <c r="N5975" s="5"/>
      <c r="O5975" s="5"/>
      <c r="P5975" s="5"/>
      <c r="Q5975" s="5"/>
      <c r="R5975" s="5"/>
      <c r="S5975" s="5"/>
      <c r="T5975" s="5"/>
      <c r="U5975" s="5"/>
      <c r="V5975" s="5"/>
      <c r="W5975" s="5"/>
      <c r="X5975" s="5"/>
      <c r="Y5975" s="5"/>
      <c r="Z5975" s="5"/>
    </row>
    <row r="5976" spans="1:26" ht="15" x14ac:dyDescent="0.25">
      <c r="A5976" s="4" t="s">
        <v>5974</v>
      </c>
      <c r="B5976" s="4" t="s">
        <v>4550</v>
      </c>
      <c r="C5976" s="2" t="str">
        <f ca="1">IFERROR(__xludf.DUMMYFUNCTION("GOOGLETRANSLATE(A5976,""bn"",""en"")"),"Finances improved")</f>
        <v>Finances improved</v>
      </c>
      <c r="D5976" s="5"/>
      <c r="E5976" s="5"/>
      <c r="F5976" s="5"/>
      <c r="G5976" s="5"/>
      <c r="H5976" s="5"/>
      <c r="I5976" s="5"/>
      <c r="J5976" s="5"/>
      <c r="K5976" s="5"/>
      <c r="L5976" s="5"/>
      <c r="M5976" s="5"/>
      <c r="N5976" s="5"/>
      <c r="O5976" s="5"/>
      <c r="P5976" s="5"/>
      <c r="Q5976" s="5"/>
      <c r="R5976" s="5"/>
      <c r="S5976" s="5"/>
      <c r="T5976" s="5"/>
      <c r="U5976" s="5"/>
      <c r="V5976" s="5"/>
      <c r="W5976" s="5"/>
      <c r="X5976" s="5"/>
      <c r="Y5976" s="5"/>
      <c r="Z5976" s="5"/>
    </row>
    <row r="5977" spans="1:26" ht="15" x14ac:dyDescent="0.25">
      <c r="A5977" s="4" t="s">
        <v>5975</v>
      </c>
      <c r="B5977" s="4" t="s">
        <v>4550</v>
      </c>
      <c r="C5977" s="2" t="str">
        <f ca="1">IFERROR(__xludf.DUMMYFUNCTION("GOOGLETRANSLATE(A5977,""bn"",""en"")"),"I gave the bank account")</f>
        <v>I gave the bank account</v>
      </c>
      <c r="D5977" s="5"/>
      <c r="E5977" s="5"/>
      <c r="F5977" s="5"/>
      <c r="G5977" s="5"/>
      <c r="H5977" s="5"/>
      <c r="I5977" s="5"/>
      <c r="J5977" s="5"/>
      <c r="K5977" s="5"/>
      <c r="L5977" s="5"/>
      <c r="M5977" s="5"/>
      <c r="N5977" s="5"/>
      <c r="O5977" s="5"/>
      <c r="P5977" s="5"/>
      <c r="Q5977" s="5"/>
      <c r="R5977" s="5"/>
      <c r="S5977" s="5"/>
      <c r="T5977" s="5"/>
      <c r="U5977" s="5"/>
      <c r="V5977" s="5"/>
      <c r="W5977" s="5"/>
      <c r="X5977" s="5"/>
      <c r="Y5977" s="5"/>
      <c r="Z5977" s="5"/>
    </row>
    <row r="5978" spans="1:26" ht="15" x14ac:dyDescent="0.25">
      <c r="A5978" s="4" t="s">
        <v>5976</v>
      </c>
      <c r="B5978" s="4" t="s">
        <v>4550</v>
      </c>
      <c r="C5978" s="2" t="str">
        <f ca="1">IFERROR(__xludf.DUMMYFUNCTION("GOOGLETRANSLATE(A5978,""bn"",""en"")"),"I used to watch movies on my laptop")</f>
        <v>I used to watch movies on my laptop</v>
      </c>
      <c r="D5978" s="5"/>
      <c r="E5978" s="5"/>
      <c r="F5978" s="5"/>
      <c r="G5978" s="5"/>
      <c r="H5978" s="5"/>
      <c r="I5978" s="5"/>
      <c r="J5978" s="5"/>
      <c r="K5978" s="5"/>
      <c r="L5978" s="5"/>
      <c r="M5978" s="5"/>
      <c r="N5978" s="5"/>
      <c r="O5978" s="5"/>
      <c r="P5978" s="5"/>
      <c r="Q5978" s="5"/>
      <c r="R5978" s="5"/>
      <c r="S5978" s="5"/>
      <c r="T5978" s="5"/>
      <c r="U5978" s="5"/>
      <c r="V5978" s="5"/>
      <c r="W5978" s="5"/>
      <c r="X5978" s="5"/>
      <c r="Y5978" s="5"/>
      <c r="Z5978" s="5"/>
    </row>
    <row r="5979" spans="1:26" ht="15" x14ac:dyDescent="0.25">
      <c r="A5979" s="4" t="s">
        <v>5977</v>
      </c>
      <c r="B5979" s="4" t="s">
        <v>4550</v>
      </c>
      <c r="C5979" s="2" t="str">
        <f ca="1">IFERROR(__xludf.DUMMYFUNCTION("GOOGLETRANSLATE(A5979,""bn"",""en"")"),"I was downloading software")</f>
        <v>I was downloading software</v>
      </c>
      <c r="D5979" s="5"/>
      <c r="E5979" s="5"/>
      <c r="F5979" s="5"/>
      <c r="G5979" s="5"/>
      <c r="H5979" s="5"/>
      <c r="I5979" s="5"/>
      <c r="J5979" s="5"/>
      <c r="K5979" s="5"/>
      <c r="L5979" s="5"/>
      <c r="M5979" s="5"/>
      <c r="N5979" s="5"/>
      <c r="O5979" s="5"/>
      <c r="P5979" s="5"/>
      <c r="Q5979" s="5"/>
      <c r="R5979" s="5"/>
      <c r="S5979" s="5"/>
      <c r="T5979" s="5"/>
      <c r="U5979" s="5"/>
      <c r="V5979" s="5"/>
      <c r="W5979" s="5"/>
      <c r="X5979" s="5"/>
      <c r="Y5979" s="5"/>
      <c r="Z5979" s="5"/>
    </row>
    <row r="5980" spans="1:26" ht="15" x14ac:dyDescent="0.25">
      <c r="A5980" s="4" t="s">
        <v>5978</v>
      </c>
      <c r="B5980" s="4" t="s">
        <v>4550</v>
      </c>
      <c r="C5980" s="2" t="str">
        <f ca="1">IFERROR(__xludf.DUMMYFUNCTION("GOOGLETRANSLATE(A5980,""bn"",""en"")"),"Apps were updating")</f>
        <v>Apps were updating</v>
      </c>
      <c r="D5980" s="5"/>
      <c r="E5980" s="5"/>
      <c r="F5980" s="5"/>
      <c r="G5980" s="5"/>
      <c r="H5980" s="5"/>
      <c r="I5980" s="5"/>
      <c r="J5980" s="5"/>
      <c r="K5980" s="5"/>
      <c r="L5980" s="5"/>
      <c r="M5980" s="5"/>
      <c r="N5980" s="5"/>
      <c r="O5980" s="5"/>
      <c r="P5980" s="5"/>
      <c r="Q5980" s="5"/>
      <c r="R5980" s="5"/>
      <c r="S5980" s="5"/>
      <c r="T5980" s="5"/>
      <c r="U5980" s="5"/>
      <c r="V5980" s="5"/>
      <c r="W5980" s="5"/>
      <c r="X5980" s="5"/>
      <c r="Y5980" s="5"/>
      <c r="Z5980" s="5"/>
    </row>
    <row r="5981" spans="1:26" ht="15" x14ac:dyDescent="0.25">
      <c r="A5981" s="4" t="s">
        <v>5979</v>
      </c>
      <c r="B5981" s="4" t="s">
        <v>4550</v>
      </c>
      <c r="C5981" s="2" t="str">
        <f ca="1">IFERROR(__xludf.DUMMYFUNCTION("GOOGLETRANSLATE(A5981,""bn"",""en"")"),"Google bought YouTube")</f>
        <v>Google bought YouTube</v>
      </c>
      <c r="D5981" s="5"/>
      <c r="E5981" s="5"/>
      <c r="F5981" s="5"/>
      <c r="G5981" s="5"/>
      <c r="H5981" s="5"/>
      <c r="I5981" s="5"/>
      <c r="J5981" s="5"/>
      <c r="K5981" s="5"/>
      <c r="L5981" s="5"/>
      <c r="M5981" s="5"/>
      <c r="N5981" s="5"/>
      <c r="O5981" s="5"/>
      <c r="P5981" s="5"/>
      <c r="Q5981" s="5"/>
      <c r="R5981" s="5"/>
      <c r="S5981" s="5"/>
      <c r="T5981" s="5"/>
      <c r="U5981" s="5"/>
      <c r="V5981" s="5"/>
      <c r="W5981" s="5"/>
      <c r="X5981" s="5"/>
      <c r="Y5981" s="5"/>
      <c r="Z5981" s="5"/>
    </row>
    <row r="5982" spans="1:26" ht="15" x14ac:dyDescent="0.25">
      <c r="A5982" s="4" t="s">
        <v>5980</v>
      </c>
      <c r="B5982" s="4" t="s">
        <v>4550</v>
      </c>
      <c r="C5982" s="2" t="str">
        <f ca="1">IFERROR(__xludf.DUMMYFUNCTION("GOOGLETRANSLATE(A5982,""bn"",""en"")"),"Experts were consulted")</f>
        <v>Experts were consulted</v>
      </c>
      <c r="D5982" s="5"/>
      <c r="E5982" s="5"/>
      <c r="F5982" s="5"/>
      <c r="G5982" s="5"/>
      <c r="H5982" s="5"/>
      <c r="I5982" s="5"/>
      <c r="J5982" s="5"/>
      <c r="K5982" s="5"/>
      <c r="L5982" s="5"/>
      <c r="M5982" s="5"/>
      <c r="N5982" s="5"/>
      <c r="O5982" s="5"/>
      <c r="P5982" s="5"/>
      <c r="Q5982" s="5"/>
      <c r="R5982" s="5"/>
      <c r="S5982" s="5"/>
      <c r="T5982" s="5"/>
      <c r="U5982" s="5"/>
      <c r="V5982" s="5"/>
      <c r="W5982" s="5"/>
      <c r="X5982" s="5"/>
      <c r="Y5982" s="5"/>
      <c r="Z5982" s="5"/>
    </row>
    <row r="5983" spans="1:26" ht="15" x14ac:dyDescent="0.25">
      <c r="A5983" s="4" t="s">
        <v>5981</v>
      </c>
      <c r="B5983" s="4" t="s">
        <v>4550</v>
      </c>
      <c r="C5983" s="2" t="str">
        <f ca="1">IFERROR(__xludf.DUMMYFUNCTION("GOOGLETRANSLATE(A5983,""bn"",""en"")"),"I downloaded the software")</f>
        <v>I downloaded the software</v>
      </c>
      <c r="D5983" s="5"/>
      <c r="E5983" s="5"/>
      <c r="F5983" s="5"/>
      <c r="G5983" s="5"/>
      <c r="H5983" s="5"/>
      <c r="I5983" s="5"/>
      <c r="J5983" s="5"/>
      <c r="K5983" s="5"/>
      <c r="L5983" s="5"/>
      <c r="M5983" s="5"/>
      <c r="N5983" s="5"/>
      <c r="O5983" s="5"/>
      <c r="P5983" s="5"/>
      <c r="Q5983" s="5"/>
      <c r="R5983" s="5"/>
      <c r="S5983" s="5"/>
      <c r="T5983" s="5"/>
      <c r="U5983" s="5"/>
      <c r="V5983" s="5"/>
      <c r="W5983" s="5"/>
      <c r="X5983" s="5"/>
      <c r="Y5983" s="5"/>
      <c r="Z5983" s="5"/>
    </row>
    <row r="5984" spans="1:26" ht="15" x14ac:dyDescent="0.25">
      <c r="A5984" s="4" t="s">
        <v>5982</v>
      </c>
      <c r="B5984" s="4" t="s">
        <v>4550</v>
      </c>
      <c r="C5984" s="2" t="str">
        <f ca="1">IFERROR(__xludf.DUMMYFUNCTION("GOOGLETRANSLATE(A5984,""bn"",""en"")"),"I upgraded the hardware")</f>
        <v>I upgraded the hardware</v>
      </c>
      <c r="D5984" s="5"/>
      <c r="E5984" s="5"/>
      <c r="F5984" s="5"/>
      <c r="G5984" s="5"/>
      <c r="H5984" s="5"/>
      <c r="I5984" s="5"/>
      <c r="J5984" s="5"/>
      <c r="K5984" s="5"/>
      <c r="L5984" s="5"/>
      <c r="M5984" s="5"/>
      <c r="N5984" s="5"/>
      <c r="O5984" s="5"/>
      <c r="P5984" s="5"/>
      <c r="Q5984" s="5"/>
      <c r="R5984" s="5"/>
      <c r="S5984" s="5"/>
      <c r="T5984" s="5"/>
      <c r="U5984" s="5"/>
      <c r="V5984" s="5"/>
      <c r="W5984" s="5"/>
      <c r="X5984" s="5"/>
      <c r="Y5984" s="5"/>
      <c r="Z5984" s="5"/>
    </row>
    <row r="5985" spans="1:26" ht="15" x14ac:dyDescent="0.25">
      <c r="A5985" s="4" t="s">
        <v>5983</v>
      </c>
      <c r="B5985" s="4" t="s">
        <v>4550</v>
      </c>
      <c r="C5985" s="2" t="str">
        <f ca="1">IFERROR(__xludf.DUMMYFUNCTION("GOOGLETRANSLATE(A5985,""bn"",""en"")"),"They were skiing")</f>
        <v>They were skiing</v>
      </c>
      <c r="D5985" s="5"/>
      <c r="E5985" s="5"/>
      <c r="F5985" s="5"/>
      <c r="G5985" s="5"/>
      <c r="H5985" s="5"/>
      <c r="I5985" s="5"/>
      <c r="J5985" s="5"/>
      <c r="K5985" s="5"/>
      <c r="L5985" s="5"/>
      <c r="M5985" s="5"/>
      <c r="N5985" s="5"/>
      <c r="O5985" s="5"/>
      <c r="P5985" s="5"/>
      <c r="Q5985" s="5"/>
      <c r="R5985" s="5"/>
      <c r="S5985" s="5"/>
      <c r="T5985" s="5"/>
      <c r="U5985" s="5"/>
      <c r="V5985" s="5"/>
      <c r="W5985" s="5"/>
      <c r="X5985" s="5"/>
      <c r="Y5985" s="5"/>
      <c r="Z5985" s="5"/>
    </row>
    <row r="5986" spans="1:26" ht="15" x14ac:dyDescent="0.25">
      <c r="A5986" s="4" t="s">
        <v>5984</v>
      </c>
      <c r="B5986" s="4" t="s">
        <v>4550</v>
      </c>
      <c r="C5986" s="2" t="str">
        <f ca="1">IFERROR(__xludf.DUMMYFUNCTION("GOOGLETRANSLATE(A5986,""bn"",""en"")"),"There was honey in the Sundarbans")</f>
        <v>There was honey in the Sundarbans</v>
      </c>
      <c r="D5986" s="5"/>
      <c r="E5986" s="5"/>
      <c r="F5986" s="5"/>
      <c r="G5986" s="5"/>
      <c r="H5986" s="5"/>
      <c r="I5986" s="5"/>
      <c r="J5986" s="5"/>
      <c r="K5986" s="5"/>
      <c r="L5986" s="5"/>
      <c r="M5986" s="5"/>
      <c r="N5986" s="5"/>
      <c r="O5986" s="5"/>
      <c r="P5986" s="5"/>
      <c r="Q5986" s="5"/>
      <c r="R5986" s="5"/>
      <c r="S5986" s="5"/>
      <c r="T5986" s="5"/>
      <c r="U5986" s="5"/>
      <c r="V5986" s="5"/>
      <c r="W5986" s="5"/>
      <c r="X5986" s="5"/>
      <c r="Y5986" s="5"/>
      <c r="Z5986" s="5"/>
    </row>
    <row r="5987" spans="1:26" ht="15" x14ac:dyDescent="0.25">
      <c r="A5987" s="4" t="s">
        <v>5985</v>
      </c>
      <c r="B5987" s="4" t="s">
        <v>4550</v>
      </c>
      <c r="C5987" s="2" t="str">
        <f ca="1">IFERROR(__xludf.DUMMYFUNCTION("GOOGLETRANSLATE(A5987,""bn"",""en"")"),"The campus was greened")</f>
        <v>The campus was greened</v>
      </c>
      <c r="D5987" s="5"/>
      <c r="E5987" s="5"/>
      <c r="F5987" s="5"/>
      <c r="G5987" s="5"/>
      <c r="H5987" s="5"/>
      <c r="I5987" s="5"/>
      <c r="J5987" s="5"/>
      <c r="K5987" s="5"/>
      <c r="L5987" s="5"/>
      <c r="M5987" s="5"/>
      <c r="N5987" s="5"/>
      <c r="O5987" s="5"/>
      <c r="P5987" s="5"/>
      <c r="Q5987" s="5"/>
      <c r="R5987" s="5"/>
      <c r="S5987" s="5"/>
      <c r="T5987" s="5"/>
      <c r="U5987" s="5"/>
      <c r="V5987" s="5"/>
      <c r="W5987" s="5"/>
      <c r="X5987" s="5"/>
      <c r="Y5987" s="5"/>
      <c r="Z5987" s="5"/>
    </row>
    <row r="5988" spans="1:26" ht="15" x14ac:dyDescent="0.25">
      <c r="A5988" s="4" t="s">
        <v>5986</v>
      </c>
      <c r="B5988" s="4" t="s">
        <v>4550</v>
      </c>
      <c r="C5988" s="2" t="str">
        <f ca="1">IFERROR(__xludf.DUMMYFUNCTION("GOOGLETRANSLATE(A5988,""bn"",""en"")"),"The organization of the party was going on")</f>
        <v>The organization of the party was going on</v>
      </c>
      <c r="D5988" s="5"/>
      <c r="E5988" s="5"/>
      <c r="F5988" s="5"/>
      <c r="G5988" s="5"/>
      <c r="H5988" s="5"/>
      <c r="I5988" s="5"/>
      <c r="J5988" s="5"/>
      <c r="K5988" s="5"/>
      <c r="L5988" s="5"/>
      <c r="M5988" s="5"/>
      <c r="N5988" s="5"/>
      <c r="O5988" s="5"/>
      <c r="P5988" s="5"/>
      <c r="Q5988" s="5"/>
      <c r="R5988" s="5"/>
      <c r="S5988" s="5"/>
      <c r="T5988" s="5"/>
      <c r="U5988" s="5"/>
      <c r="V5988" s="5"/>
      <c r="W5988" s="5"/>
      <c r="X5988" s="5"/>
      <c r="Y5988" s="5"/>
      <c r="Z5988" s="5"/>
    </row>
    <row r="5989" spans="1:26" ht="15" x14ac:dyDescent="0.25">
      <c r="A5989" s="4" t="s">
        <v>5987</v>
      </c>
      <c r="B5989" s="4" t="s">
        <v>4550</v>
      </c>
      <c r="C5989" s="2" t="str">
        <f ca="1">IFERROR(__xludf.DUMMYFUNCTION("GOOGLETRANSLATE(A5989,""bn"",""en"")"),"I thought about the afterlife")</f>
        <v>I thought about the afterlife</v>
      </c>
      <c r="D5989" s="5"/>
      <c r="E5989" s="5"/>
      <c r="F5989" s="5"/>
      <c r="G5989" s="5"/>
      <c r="H5989" s="5"/>
      <c r="I5989" s="5"/>
      <c r="J5989" s="5"/>
      <c r="K5989" s="5"/>
      <c r="L5989" s="5"/>
      <c r="M5989" s="5"/>
      <c r="N5989" s="5"/>
      <c r="O5989" s="5"/>
      <c r="P5989" s="5"/>
      <c r="Q5989" s="5"/>
      <c r="R5989" s="5"/>
      <c r="S5989" s="5"/>
      <c r="T5989" s="5"/>
      <c r="U5989" s="5"/>
      <c r="V5989" s="5"/>
      <c r="W5989" s="5"/>
      <c r="X5989" s="5"/>
      <c r="Y5989" s="5"/>
      <c r="Z5989" s="5"/>
    </row>
    <row r="5990" spans="1:26" ht="15" x14ac:dyDescent="0.25">
      <c r="A5990" s="4" t="s">
        <v>5988</v>
      </c>
      <c r="B5990" s="4" t="s">
        <v>4550</v>
      </c>
      <c r="C5990" s="2" t="str">
        <f ca="1">IFERROR(__xludf.DUMMYFUNCTION("GOOGLETRANSLATE(A5990,""bn"",""en"")"),"I lived a disciplined life")</f>
        <v>I lived a disciplined life</v>
      </c>
      <c r="D5990" s="5"/>
      <c r="E5990" s="5"/>
      <c r="F5990" s="5"/>
      <c r="G5990" s="5"/>
      <c r="H5990" s="5"/>
      <c r="I5990" s="5"/>
      <c r="J5990" s="5"/>
      <c r="K5990" s="5"/>
      <c r="L5990" s="5"/>
      <c r="M5990" s="5"/>
      <c r="N5990" s="5"/>
      <c r="O5990" s="5"/>
      <c r="P5990" s="5"/>
      <c r="Q5990" s="5"/>
      <c r="R5990" s="5"/>
      <c r="S5990" s="5"/>
      <c r="T5990" s="5"/>
      <c r="U5990" s="5"/>
      <c r="V5990" s="5"/>
      <c r="W5990" s="5"/>
      <c r="X5990" s="5"/>
      <c r="Y5990" s="5"/>
      <c r="Z5990" s="5"/>
    </row>
    <row r="5991" spans="1:26" ht="15" x14ac:dyDescent="0.25">
      <c r="A5991" s="4" t="s">
        <v>5989</v>
      </c>
      <c r="B5991" s="4" t="s">
        <v>4550</v>
      </c>
      <c r="C5991" s="2" t="str">
        <f ca="1">IFERROR(__xludf.DUMMYFUNCTION("GOOGLETRANSLATE(A5991,""bn"",""en"")"),"you studied english")</f>
        <v>you studied english</v>
      </c>
      <c r="D5991" s="5"/>
      <c r="E5991" s="5"/>
      <c r="F5991" s="5"/>
      <c r="G5991" s="5"/>
      <c r="H5991" s="5"/>
      <c r="I5991" s="5"/>
      <c r="J5991" s="5"/>
      <c r="K5991" s="5"/>
      <c r="L5991" s="5"/>
      <c r="M5991" s="5"/>
      <c r="N5991" s="5"/>
      <c r="O5991" s="5"/>
      <c r="P5991" s="5"/>
      <c r="Q5991" s="5"/>
      <c r="R5991" s="5"/>
      <c r="S5991" s="5"/>
      <c r="T5991" s="5"/>
      <c r="U5991" s="5"/>
      <c r="V5991" s="5"/>
      <c r="W5991" s="5"/>
      <c r="X5991" s="5"/>
      <c r="Y5991" s="5"/>
      <c r="Z5991" s="5"/>
    </row>
    <row r="5992" spans="1:26" ht="15" x14ac:dyDescent="0.25">
      <c r="A5992" s="4" t="s">
        <v>5990</v>
      </c>
      <c r="B5992" s="4" t="s">
        <v>4550</v>
      </c>
      <c r="C5992" s="2" t="str">
        <f ca="1">IFERROR(__xludf.DUMMYFUNCTION("GOOGLETRANSLATE(A5992,""bn"",""en"")"),"I read hadith regularly")</f>
        <v>I read hadith regularly</v>
      </c>
      <c r="D5992" s="5"/>
      <c r="E5992" s="5"/>
      <c r="F5992" s="5"/>
      <c r="G5992" s="5"/>
      <c r="H5992" s="5"/>
      <c r="I5992" s="5"/>
      <c r="J5992" s="5"/>
      <c r="K5992" s="5"/>
      <c r="L5992" s="5"/>
      <c r="M5992" s="5"/>
      <c r="N5992" s="5"/>
      <c r="O5992" s="5"/>
      <c r="P5992" s="5"/>
      <c r="Q5992" s="5"/>
      <c r="R5992" s="5"/>
      <c r="S5992" s="5"/>
      <c r="T5992" s="5"/>
      <c r="U5992" s="5"/>
      <c r="V5992" s="5"/>
      <c r="W5992" s="5"/>
      <c r="X5992" s="5"/>
      <c r="Y5992" s="5"/>
      <c r="Z5992" s="5"/>
    </row>
    <row r="5993" spans="1:26" ht="15" x14ac:dyDescent="0.25">
      <c r="A5993" s="4" t="s">
        <v>5991</v>
      </c>
      <c r="B5993" s="4" t="s">
        <v>4550</v>
      </c>
      <c r="C5993" s="2" t="str">
        <f ca="1">IFERROR(__xludf.DUMMYFUNCTION("GOOGLETRANSLATE(A5993,""bn"",""en"")"),"I always read the news")</f>
        <v>I always read the news</v>
      </c>
      <c r="D5993" s="5"/>
      <c r="E5993" s="5"/>
      <c r="F5993" s="5"/>
      <c r="G5993" s="5"/>
      <c r="H5993" s="5"/>
      <c r="I5993" s="5"/>
      <c r="J5993" s="5"/>
      <c r="K5993" s="5"/>
      <c r="L5993" s="5"/>
      <c r="M5993" s="5"/>
      <c r="N5993" s="5"/>
      <c r="O5993" s="5"/>
      <c r="P5993" s="5"/>
      <c r="Q5993" s="5"/>
      <c r="R5993" s="5"/>
      <c r="S5993" s="5"/>
      <c r="T5993" s="5"/>
      <c r="U5993" s="5"/>
      <c r="V5993" s="5"/>
      <c r="W5993" s="5"/>
      <c r="X5993" s="5"/>
      <c r="Y5993" s="5"/>
      <c r="Z5993" s="5"/>
    </row>
    <row r="5994" spans="1:26" ht="15" x14ac:dyDescent="0.25">
      <c r="A5994" s="4" t="s">
        <v>5992</v>
      </c>
      <c r="B5994" s="4" t="s">
        <v>4550</v>
      </c>
      <c r="C5994" s="2" t="str">
        <f ca="1">IFERROR(__xludf.DUMMYFUNCTION("GOOGLETRANSLATE(A5994,""bn"",""en"")"),"Knew networking work")</f>
        <v>Knew networking work</v>
      </c>
      <c r="D5994" s="5"/>
      <c r="E5994" s="5"/>
      <c r="F5994" s="5"/>
      <c r="G5994" s="5"/>
      <c r="H5994" s="5"/>
      <c r="I5994" s="5"/>
      <c r="J5994" s="5"/>
      <c r="K5994" s="5"/>
      <c r="L5994" s="5"/>
      <c r="M5994" s="5"/>
      <c r="N5994" s="5"/>
      <c r="O5994" s="5"/>
      <c r="P5994" s="5"/>
      <c r="Q5994" s="5"/>
      <c r="R5994" s="5"/>
      <c r="S5994" s="5"/>
      <c r="T5994" s="5"/>
      <c r="U5994" s="5"/>
      <c r="V5994" s="5"/>
      <c r="W5994" s="5"/>
      <c r="X5994" s="5"/>
      <c r="Y5994" s="5"/>
      <c r="Z5994" s="5"/>
    </row>
    <row r="5995" spans="1:26" ht="15" x14ac:dyDescent="0.25">
      <c r="A5995" s="4" t="s">
        <v>5993</v>
      </c>
      <c r="B5995" s="4" t="s">
        <v>4550</v>
      </c>
      <c r="C5995" s="2" t="str">
        <f ca="1">IFERROR(__xludf.DUMMYFUNCTION("GOOGLETRANSLATE(A5995,""bn"",""en"")"),"I went out to open an account")</f>
        <v>I went out to open an account</v>
      </c>
      <c r="D5995" s="5"/>
      <c r="E5995" s="5"/>
      <c r="F5995" s="5"/>
      <c r="G5995" s="5"/>
      <c r="H5995" s="5"/>
      <c r="I5995" s="5"/>
      <c r="J5995" s="5"/>
      <c r="K5995" s="5"/>
      <c r="L5995" s="5"/>
      <c r="M5995" s="5"/>
      <c r="N5995" s="5"/>
      <c r="O5995" s="5"/>
      <c r="P5995" s="5"/>
      <c r="Q5995" s="5"/>
      <c r="R5995" s="5"/>
      <c r="S5995" s="5"/>
      <c r="T5995" s="5"/>
      <c r="U5995" s="5"/>
      <c r="V5995" s="5"/>
      <c r="W5995" s="5"/>
      <c r="X5995" s="5"/>
      <c r="Y5995" s="5"/>
      <c r="Z5995" s="5"/>
    </row>
    <row r="5996" spans="1:26" ht="15" x14ac:dyDescent="0.25">
      <c r="A5996" s="4" t="s">
        <v>5994</v>
      </c>
      <c r="B5996" s="4" t="s">
        <v>4550</v>
      </c>
      <c r="C5996" s="2" t="str">
        <f ca="1">IFERROR(__xludf.DUMMYFUNCTION("GOOGLETRANSLATE(A5996,""bn"",""en"")"),"I took a sea bath")</f>
        <v>I took a sea bath</v>
      </c>
      <c r="D5996" s="5"/>
      <c r="E5996" s="5"/>
      <c r="F5996" s="5"/>
      <c r="G5996" s="5"/>
      <c r="H5996" s="5"/>
      <c r="I5996" s="5"/>
      <c r="J5996" s="5"/>
      <c r="K5996" s="5"/>
      <c r="L5996" s="5"/>
      <c r="M5996" s="5"/>
      <c r="N5996" s="5"/>
      <c r="O5996" s="5"/>
      <c r="P5996" s="5"/>
      <c r="Q5996" s="5"/>
      <c r="R5996" s="5"/>
      <c r="S5996" s="5"/>
      <c r="T5996" s="5"/>
      <c r="U5996" s="5"/>
      <c r="V5996" s="5"/>
      <c r="W5996" s="5"/>
      <c r="X5996" s="5"/>
      <c r="Y5996" s="5"/>
      <c r="Z5996" s="5"/>
    </row>
    <row r="5997" spans="1:26" ht="15" x14ac:dyDescent="0.25">
      <c r="A5997" s="4" t="s">
        <v>5995</v>
      </c>
      <c r="B5997" s="4" t="s">
        <v>4550</v>
      </c>
      <c r="C5997" s="2" t="str">
        <f ca="1">IFERROR(__xludf.DUMMYFUNCTION("GOOGLETRANSLATE(A5997,""bn"",""en"")"),"I was distributing winter clothes")</f>
        <v>I was distributing winter clothes</v>
      </c>
      <c r="D5997" s="5"/>
      <c r="E5997" s="5"/>
      <c r="F5997" s="5"/>
      <c r="G5997" s="5"/>
      <c r="H5997" s="5"/>
      <c r="I5997" s="5"/>
      <c r="J5997" s="5"/>
      <c r="K5997" s="5"/>
      <c r="L5997" s="5"/>
      <c r="M5997" s="5"/>
      <c r="N5997" s="5"/>
      <c r="O5997" s="5"/>
      <c r="P5997" s="5"/>
      <c r="Q5997" s="5"/>
      <c r="R5997" s="5"/>
      <c r="S5997" s="5"/>
      <c r="T5997" s="5"/>
      <c r="U5997" s="5"/>
      <c r="V5997" s="5"/>
      <c r="W5997" s="5"/>
      <c r="X5997" s="5"/>
      <c r="Y5997" s="5"/>
      <c r="Z5997" s="5"/>
    </row>
    <row r="5998" spans="1:26" ht="15" x14ac:dyDescent="0.25">
      <c r="A5998" s="4" t="s">
        <v>5996</v>
      </c>
      <c r="B5998" s="4" t="s">
        <v>4550</v>
      </c>
      <c r="C5998" s="2" t="str">
        <f ca="1">IFERROR(__xludf.DUMMYFUNCTION("GOOGLETRANSLATE(A5998,""bn"",""en"")"),"I gave regular videos")</f>
        <v>I gave regular videos</v>
      </c>
      <c r="D5998" s="5"/>
      <c r="E5998" s="5"/>
      <c r="F5998" s="5"/>
      <c r="G5998" s="5"/>
      <c r="H5998" s="5"/>
      <c r="I5998" s="5"/>
      <c r="J5998" s="5"/>
      <c r="K5998" s="5"/>
      <c r="L5998" s="5"/>
      <c r="M5998" s="5"/>
      <c r="N5998" s="5"/>
      <c r="O5998" s="5"/>
      <c r="P5998" s="5"/>
      <c r="Q5998" s="5"/>
      <c r="R5998" s="5"/>
      <c r="S5998" s="5"/>
      <c r="T5998" s="5"/>
      <c r="U5998" s="5"/>
      <c r="V5998" s="5"/>
      <c r="W5998" s="5"/>
      <c r="X5998" s="5"/>
      <c r="Y5998" s="5"/>
      <c r="Z5998" s="5"/>
    </row>
    <row r="5999" spans="1:26" ht="15" x14ac:dyDescent="0.25">
      <c r="A5999" s="4" t="s">
        <v>5997</v>
      </c>
      <c r="B5999" s="4" t="s">
        <v>4550</v>
      </c>
      <c r="C5999" s="2" t="str">
        <f ca="1">IFERROR(__xludf.DUMMYFUNCTION("GOOGLETRANSLATE(A5999,""bn"",""en"")"),"I wanted to find technology")</f>
        <v>I wanted to find technology</v>
      </c>
      <c r="D5999" s="5"/>
      <c r="E5999" s="5"/>
      <c r="F5999" s="5"/>
      <c r="G5999" s="5"/>
      <c r="H5999" s="5"/>
      <c r="I5999" s="5"/>
      <c r="J5999" s="5"/>
      <c r="K5999" s="5"/>
      <c r="L5999" s="5"/>
      <c r="M5999" s="5"/>
      <c r="N5999" s="5"/>
      <c r="O5999" s="5"/>
      <c r="P5999" s="5"/>
      <c r="Q5999" s="5"/>
      <c r="R5999" s="5"/>
      <c r="S5999" s="5"/>
      <c r="T5999" s="5"/>
      <c r="U5999" s="5"/>
      <c r="V5999" s="5"/>
      <c r="W5999" s="5"/>
      <c r="X5999" s="5"/>
      <c r="Y5999" s="5"/>
      <c r="Z5999" s="5"/>
    </row>
    <row r="6000" spans="1:26" ht="15" x14ac:dyDescent="0.25">
      <c r="A6000" s="4" t="s">
        <v>5998</v>
      </c>
      <c r="B6000" s="4" t="s">
        <v>4550</v>
      </c>
      <c r="C6000" s="2" t="str">
        <f ca="1">IFERROR(__xludf.DUMMYFUNCTION("GOOGLETRANSLATE(A6000,""bn"",""en"")"),"I paid through PayPal")</f>
        <v>I paid through PayPal</v>
      </c>
      <c r="D6000" s="5"/>
      <c r="E6000" s="5"/>
      <c r="F6000" s="5"/>
      <c r="G6000" s="5"/>
      <c r="H6000" s="5"/>
      <c r="I6000" s="5"/>
      <c r="J6000" s="5"/>
      <c r="K6000" s="5"/>
      <c r="L6000" s="5"/>
      <c r="M6000" s="5"/>
      <c r="N6000" s="5"/>
      <c r="O6000" s="5"/>
      <c r="P6000" s="5"/>
      <c r="Q6000" s="5"/>
      <c r="R6000" s="5"/>
      <c r="S6000" s="5"/>
      <c r="T6000" s="5"/>
      <c r="U6000" s="5"/>
      <c r="V6000" s="5"/>
      <c r="W6000" s="5"/>
      <c r="X6000" s="5"/>
      <c r="Y6000" s="5"/>
      <c r="Z6000" s="5"/>
    </row>
    <row r="6001" spans="1:26" ht="15" x14ac:dyDescent="0.25">
      <c r="A6001" s="4" t="s">
        <v>5999</v>
      </c>
      <c r="B6001" s="4" t="s">
        <v>4550</v>
      </c>
      <c r="C6001" s="2" t="str">
        <f ca="1">IFERROR(__xludf.DUMMYFUNCTION("GOOGLETRANSLATE(A6001,""bn"",""en"")"),"GPS was turned on")</f>
        <v>GPS was turned on</v>
      </c>
      <c r="D6001" s="5"/>
      <c r="E6001" s="5"/>
      <c r="F6001" s="5"/>
      <c r="G6001" s="5"/>
      <c r="H6001" s="5"/>
      <c r="I6001" s="5"/>
      <c r="J6001" s="5"/>
      <c r="K6001" s="5"/>
      <c r="L6001" s="5"/>
      <c r="M6001" s="5"/>
      <c r="N6001" s="5"/>
      <c r="O6001" s="5"/>
      <c r="P6001" s="5"/>
      <c r="Q6001" s="5"/>
      <c r="R6001" s="5"/>
      <c r="S6001" s="5"/>
      <c r="T6001" s="5"/>
      <c r="U6001" s="5"/>
      <c r="V6001" s="5"/>
      <c r="W6001" s="5"/>
      <c r="X6001" s="5"/>
      <c r="Y6001" s="5"/>
      <c r="Z6001" s="5"/>
    </row>
    <row r="6002" spans="1:26" ht="15" x14ac:dyDescent="0.25">
      <c r="A6002" s="4" t="s">
        <v>6000</v>
      </c>
      <c r="B6002" s="4" t="s">
        <v>4550</v>
      </c>
      <c r="C6002" s="2" t="str">
        <f ca="1">IFERROR(__xludf.DUMMYFUNCTION("GOOGLETRANSLATE(A6002,""bn"",""en"")"),"Exercised regularly")</f>
        <v>Exercised regularly</v>
      </c>
      <c r="D6002" s="5"/>
      <c r="E6002" s="5"/>
      <c r="F6002" s="5"/>
      <c r="G6002" s="5"/>
      <c r="H6002" s="5"/>
      <c r="I6002" s="5"/>
      <c r="J6002" s="5"/>
      <c r="K6002" s="5"/>
      <c r="L6002" s="5"/>
      <c r="M6002" s="5"/>
      <c r="N6002" s="5"/>
      <c r="O6002" s="5"/>
      <c r="P6002" s="5"/>
      <c r="Q6002" s="5"/>
      <c r="R6002" s="5"/>
      <c r="S6002" s="5"/>
      <c r="T6002" s="5"/>
      <c r="U6002" s="5"/>
      <c r="V6002" s="5"/>
      <c r="W6002" s="5"/>
      <c r="X6002" s="5"/>
      <c r="Y6002" s="5"/>
      <c r="Z6002" s="5"/>
    </row>
    <row r="6003" spans="1:26" ht="15" x14ac:dyDescent="0.25">
      <c r="A6003" s="4" t="s">
        <v>6001</v>
      </c>
      <c r="B6003" s="4" t="s">
        <v>4550</v>
      </c>
      <c r="C6003" s="2" t="str">
        <f ca="1">IFERROR(__xludf.DUMMYFUNCTION("GOOGLETRANSLATE(A6003,""bn"",""en"")"),"I wanted to improve the production")</f>
        <v>I wanted to improve the production</v>
      </c>
      <c r="D6003" s="5"/>
      <c r="E6003" s="5"/>
      <c r="F6003" s="5"/>
      <c r="G6003" s="5"/>
      <c r="H6003" s="5"/>
      <c r="I6003" s="5"/>
      <c r="J6003" s="5"/>
      <c r="K6003" s="5"/>
      <c r="L6003" s="5"/>
      <c r="M6003" s="5"/>
      <c r="N6003" s="5"/>
      <c r="O6003" s="5"/>
      <c r="P6003" s="5"/>
      <c r="Q6003" s="5"/>
      <c r="R6003" s="5"/>
      <c r="S6003" s="5"/>
      <c r="T6003" s="5"/>
      <c r="U6003" s="5"/>
      <c r="V6003" s="5"/>
      <c r="W6003" s="5"/>
      <c r="X6003" s="5"/>
      <c r="Y6003" s="5"/>
      <c r="Z6003" s="5"/>
    </row>
    <row r="6004" spans="1:26" ht="15" x14ac:dyDescent="0.25">
      <c r="A6004" s="4" t="s">
        <v>6002</v>
      </c>
      <c r="B6004" s="4" t="s">
        <v>4550</v>
      </c>
      <c r="C6004" s="2" t="str">
        <f ca="1">IFERROR(__xludf.DUMMYFUNCTION("GOOGLETRANSLATE(A6004,""bn"",""en"")"),"I opened an account")</f>
        <v>I opened an account</v>
      </c>
      <c r="D6004" s="5"/>
      <c r="E6004" s="5"/>
      <c r="F6004" s="5"/>
      <c r="G6004" s="5"/>
      <c r="H6004" s="5"/>
      <c r="I6004" s="5"/>
      <c r="J6004" s="5"/>
      <c r="K6004" s="5"/>
      <c r="L6004" s="5"/>
      <c r="M6004" s="5"/>
      <c r="N6004" s="5"/>
      <c r="O6004" s="5"/>
      <c r="P6004" s="5"/>
      <c r="Q6004" s="5"/>
      <c r="R6004" s="5"/>
      <c r="S6004" s="5"/>
      <c r="T6004" s="5"/>
      <c r="U6004" s="5"/>
      <c r="V6004" s="5"/>
      <c r="W6004" s="5"/>
      <c r="X6004" s="5"/>
      <c r="Y6004" s="5"/>
      <c r="Z6004" s="5"/>
    </row>
    <row r="6005" spans="1:26" ht="15" x14ac:dyDescent="0.25">
      <c r="A6005" s="4" t="s">
        <v>6003</v>
      </c>
      <c r="B6005" s="4" t="s">
        <v>4550</v>
      </c>
      <c r="C6005" s="2" t="str">
        <f ca="1">IFERROR(__xludf.DUMMYFUNCTION("GOOGLETRANSLATE(A6005,""bn"",""en"")"),"I liked flowers")</f>
        <v>I liked flowers</v>
      </c>
      <c r="D6005" s="5"/>
      <c r="E6005" s="5"/>
      <c r="F6005" s="5"/>
      <c r="G6005" s="5"/>
      <c r="H6005" s="5"/>
      <c r="I6005" s="5"/>
      <c r="J6005" s="5"/>
      <c r="K6005" s="5"/>
      <c r="L6005" s="5"/>
      <c r="M6005" s="5"/>
      <c r="N6005" s="5"/>
      <c r="O6005" s="5"/>
      <c r="P6005" s="5"/>
      <c r="Q6005" s="5"/>
      <c r="R6005" s="5"/>
      <c r="S6005" s="5"/>
      <c r="T6005" s="5"/>
      <c r="U6005" s="5"/>
      <c r="V6005" s="5"/>
      <c r="W6005" s="5"/>
      <c r="X6005" s="5"/>
      <c r="Y6005" s="5"/>
      <c r="Z6005" s="5"/>
    </row>
    <row r="6006" spans="1:26" ht="15" x14ac:dyDescent="0.25">
      <c r="A6006" s="4" t="s">
        <v>6004</v>
      </c>
      <c r="B6006" s="4" t="s">
        <v>4550</v>
      </c>
      <c r="C6006" s="2" t="str">
        <f ca="1">IFERROR(__xludf.DUMMYFUNCTION("GOOGLETRANSLATE(A6006,""bn"",""en"")"),"I read the news on the internet")</f>
        <v>I read the news on the internet</v>
      </c>
      <c r="D6006" s="5"/>
      <c r="E6006" s="5"/>
      <c r="F6006" s="5"/>
      <c r="G6006" s="5"/>
      <c r="H6006" s="5"/>
      <c r="I6006" s="5"/>
      <c r="J6006" s="5"/>
      <c r="K6006" s="5"/>
      <c r="L6006" s="5"/>
      <c r="M6006" s="5"/>
      <c r="N6006" s="5"/>
      <c r="O6006" s="5"/>
      <c r="P6006" s="5"/>
      <c r="Q6006" s="5"/>
      <c r="R6006" s="5"/>
      <c r="S6006" s="5"/>
      <c r="T6006" s="5"/>
      <c r="U6006" s="5"/>
      <c r="V6006" s="5"/>
      <c r="W6006" s="5"/>
      <c r="X6006" s="5"/>
      <c r="Y6006" s="5"/>
      <c r="Z6006" s="5"/>
    </row>
    <row r="6007" spans="1:26" ht="15" x14ac:dyDescent="0.25">
      <c r="A6007" s="4" t="s">
        <v>6005</v>
      </c>
      <c r="B6007" s="4" t="s">
        <v>4550</v>
      </c>
      <c r="C6007" s="2" t="str">
        <f ca="1">IFERROR(__xludf.DUMMYFUNCTION("GOOGLETRANSLATE(A6007,""bn"",""en"")"),"I sent the video")</f>
        <v>I sent the video</v>
      </c>
      <c r="D6007" s="5"/>
      <c r="E6007" s="5"/>
      <c r="F6007" s="5"/>
      <c r="G6007" s="5"/>
      <c r="H6007" s="5"/>
      <c r="I6007" s="5"/>
      <c r="J6007" s="5"/>
      <c r="K6007" s="5"/>
      <c r="L6007" s="5"/>
      <c r="M6007" s="5"/>
      <c r="N6007" s="5"/>
      <c r="O6007" s="5"/>
      <c r="P6007" s="5"/>
      <c r="Q6007" s="5"/>
      <c r="R6007" s="5"/>
      <c r="S6007" s="5"/>
      <c r="T6007" s="5"/>
      <c r="U6007" s="5"/>
      <c r="V6007" s="5"/>
      <c r="W6007" s="5"/>
      <c r="X6007" s="5"/>
      <c r="Y6007" s="5"/>
      <c r="Z6007" s="5"/>
    </row>
    <row r="6008" spans="1:26" ht="15" x14ac:dyDescent="0.25">
      <c r="A6008" s="4" t="s">
        <v>6006</v>
      </c>
      <c r="B6008" s="4" t="s">
        <v>4550</v>
      </c>
      <c r="C6008" s="2" t="str">
        <f ca="1">IFERROR(__xludf.DUMMYFUNCTION("GOOGLETRANSLATE(A6008,""bn"",""en"")"),"I checked the account")</f>
        <v>I checked the account</v>
      </c>
      <c r="D6008" s="5"/>
      <c r="E6008" s="5"/>
      <c r="F6008" s="5"/>
      <c r="G6008" s="5"/>
      <c r="H6008" s="5"/>
      <c r="I6008" s="5"/>
      <c r="J6008" s="5"/>
      <c r="K6008" s="5"/>
      <c r="L6008" s="5"/>
      <c r="M6008" s="5"/>
      <c r="N6008" s="5"/>
      <c r="O6008" s="5"/>
      <c r="P6008" s="5"/>
      <c r="Q6008" s="5"/>
      <c r="R6008" s="5"/>
      <c r="S6008" s="5"/>
      <c r="T6008" s="5"/>
      <c r="U6008" s="5"/>
      <c r="V6008" s="5"/>
      <c r="W6008" s="5"/>
      <c r="X6008" s="5"/>
      <c r="Y6008" s="5"/>
      <c r="Z6008" s="5"/>
    </row>
    <row r="6009" spans="1:26" ht="15" x14ac:dyDescent="0.25">
      <c r="A6009" s="4" t="s">
        <v>6007</v>
      </c>
      <c r="B6009" s="4" t="s">
        <v>4550</v>
      </c>
      <c r="C6009" s="2" t="str">
        <f ca="1">IFERROR(__xludf.DUMMYFUNCTION("GOOGLETRANSLATE(A6009,""bn"",""en"")"),"Beauty was pleasing")</f>
        <v>Beauty was pleasing</v>
      </c>
      <c r="D6009" s="5"/>
      <c r="E6009" s="5"/>
      <c r="F6009" s="5"/>
      <c r="G6009" s="5"/>
      <c r="H6009" s="5"/>
      <c r="I6009" s="5"/>
      <c r="J6009" s="5"/>
      <c r="K6009" s="5"/>
      <c r="L6009" s="5"/>
      <c r="M6009" s="5"/>
      <c r="N6009" s="5"/>
      <c r="O6009" s="5"/>
      <c r="P6009" s="5"/>
      <c r="Q6009" s="5"/>
      <c r="R6009" s="5"/>
      <c r="S6009" s="5"/>
      <c r="T6009" s="5"/>
      <c r="U6009" s="5"/>
      <c r="V6009" s="5"/>
      <c r="W6009" s="5"/>
      <c r="X6009" s="5"/>
      <c r="Y6009" s="5"/>
      <c r="Z6009" s="5"/>
    </row>
    <row r="6010" spans="1:26" ht="15" x14ac:dyDescent="0.25">
      <c r="A6010" s="4" t="s">
        <v>6008</v>
      </c>
      <c r="B6010" s="4" t="s">
        <v>4550</v>
      </c>
      <c r="C6010" s="2" t="str">
        <f ca="1">IFERROR(__xludf.DUMMYFUNCTION("GOOGLETRANSLATE(A6010,""bn"",""en"")"),"Everyone went to see the beauty")</f>
        <v>Everyone went to see the beauty</v>
      </c>
      <c r="D6010" s="5"/>
      <c r="E6010" s="5"/>
      <c r="F6010" s="5"/>
      <c r="G6010" s="5"/>
      <c r="H6010" s="5"/>
      <c r="I6010" s="5"/>
      <c r="J6010" s="5"/>
      <c r="K6010" s="5"/>
      <c r="L6010" s="5"/>
      <c r="M6010" s="5"/>
      <c r="N6010" s="5"/>
      <c r="O6010" s="5"/>
      <c r="P6010" s="5"/>
      <c r="Q6010" s="5"/>
      <c r="R6010" s="5"/>
      <c r="S6010" s="5"/>
      <c r="T6010" s="5"/>
      <c r="U6010" s="5"/>
      <c r="V6010" s="5"/>
      <c r="W6010" s="5"/>
      <c r="X6010" s="5"/>
      <c r="Y6010" s="5"/>
      <c r="Z6010" s="5"/>
    </row>
    <row r="6011" spans="1:26" ht="15" x14ac:dyDescent="0.25">
      <c r="A6011" s="4" t="s">
        <v>6009</v>
      </c>
      <c r="B6011" s="4" t="s">
        <v>4550</v>
      </c>
      <c r="C6011" s="2" t="str">
        <f ca="1">IFERROR(__xludf.DUMMYFUNCTION("GOOGLETRANSLATE(A6011,""bn"",""en"")"),"Food provided energy")</f>
        <v>Food provided energy</v>
      </c>
      <c r="D6011" s="5"/>
      <c r="E6011" s="5"/>
      <c r="F6011" s="5"/>
      <c r="G6011" s="5"/>
      <c r="H6011" s="5"/>
      <c r="I6011" s="5"/>
      <c r="J6011" s="5"/>
      <c r="K6011" s="5"/>
      <c r="L6011" s="5"/>
      <c r="M6011" s="5"/>
      <c r="N6011" s="5"/>
      <c r="O6011" s="5"/>
      <c r="P6011" s="5"/>
      <c r="Q6011" s="5"/>
      <c r="R6011" s="5"/>
      <c r="S6011" s="5"/>
      <c r="T6011" s="5"/>
      <c r="U6011" s="5"/>
      <c r="V6011" s="5"/>
      <c r="W6011" s="5"/>
      <c r="X6011" s="5"/>
      <c r="Y6011" s="5"/>
      <c r="Z6011" s="5"/>
    </row>
    <row r="6012" spans="1:26" ht="15" x14ac:dyDescent="0.25">
      <c r="A6012" s="4" t="s">
        <v>6010</v>
      </c>
      <c r="B6012" s="4" t="s">
        <v>4550</v>
      </c>
      <c r="C6012" s="2" t="str">
        <f ca="1">IFERROR(__xludf.DUMMYFUNCTION("GOOGLETRANSLATE(A6012,""bn"",""en"")"),"I was playing digital games")</f>
        <v>I was playing digital games</v>
      </c>
      <c r="D6012" s="5"/>
      <c r="E6012" s="5"/>
      <c r="F6012" s="5"/>
      <c r="G6012" s="5"/>
      <c r="H6012" s="5"/>
      <c r="I6012" s="5"/>
      <c r="J6012" s="5"/>
      <c r="K6012" s="5"/>
      <c r="L6012" s="5"/>
      <c r="M6012" s="5"/>
      <c r="N6012" s="5"/>
      <c r="O6012" s="5"/>
      <c r="P6012" s="5"/>
      <c r="Q6012" s="5"/>
      <c r="R6012" s="5"/>
      <c r="S6012" s="5"/>
      <c r="T6012" s="5"/>
      <c r="U6012" s="5"/>
      <c r="V6012" s="5"/>
      <c r="W6012" s="5"/>
      <c r="X6012" s="5"/>
      <c r="Y6012" s="5"/>
      <c r="Z6012" s="5"/>
    </row>
    <row r="6013" spans="1:26" ht="15" x14ac:dyDescent="0.25">
      <c r="A6013" s="4" t="s">
        <v>6011</v>
      </c>
      <c r="B6013" s="4" t="s">
        <v>4550</v>
      </c>
      <c r="C6013" s="2" t="str">
        <f ca="1">IFERROR(__xludf.DUMMYFUNCTION("GOOGLETRANSLATE(A6013,""bn"",""en"")"),"I bought the mobile to play digital games")</f>
        <v>I bought the mobile to play digital games</v>
      </c>
      <c r="D6013" s="5"/>
      <c r="E6013" s="5"/>
      <c r="F6013" s="5"/>
      <c r="G6013" s="5"/>
      <c r="H6013" s="5"/>
      <c r="I6013" s="5"/>
      <c r="J6013" s="5"/>
      <c r="K6013" s="5"/>
      <c r="L6013" s="5"/>
      <c r="M6013" s="5"/>
      <c r="N6013" s="5"/>
      <c r="O6013" s="5"/>
      <c r="P6013" s="5"/>
      <c r="Q6013" s="5"/>
      <c r="R6013" s="5"/>
      <c r="S6013" s="5"/>
      <c r="T6013" s="5"/>
      <c r="U6013" s="5"/>
      <c r="V6013" s="5"/>
      <c r="W6013" s="5"/>
      <c r="X6013" s="5"/>
      <c r="Y6013" s="5"/>
      <c r="Z6013" s="5"/>
    </row>
    <row r="6014" spans="1:26" ht="15" x14ac:dyDescent="0.25">
      <c r="A6014" s="4" t="s">
        <v>6012</v>
      </c>
      <c r="B6014" s="4" t="s">
        <v>4550</v>
      </c>
      <c r="C6014" s="2" t="str">
        <f ca="1">IFERROR(__xludf.DUMMYFUNCTION("GOOGLETRANSLATE(A6014,""bn"",""en"")"),"The children were playing tennis")</f>
        <v>The children were playing tennis</v>
      </c>
      <c r="D6014" s="5"/>
      <c r="E6014" s="5"/>
      <c r="F6014" s="5"/>
      <c r="G6014" s="5"/>
      <c r="H6014" s="5"/>
      <c r="I6014" s="5"/>
      <c r="J6014" s="5"/>
      <c r="K6014" s="5"/>
      <c r="L6014" s="5"/>
      <c r="M6014" s="5"/>
      <c r="N6014" s="5"/>
      <c r="O6014" s="5"/>
      <c r="P6014" s="5"/>
      <c r="Q6014" s="5"/>
      <c r="R6014" s="5"/>
      <c r="S6014" s="5"/>
      <c r="T6014" s="5"/>
      <c r="U6014" s="5"/>
      <c r="V6014" s="5"/>
      <c r="W6014" s="5"/>
      <c r="X6014" s="5"/>
      <c r="Y6014" s="5"/>
      <c r="Z6014" s="5"/>
    </row>
    <row r="6015" spans="1:26" ht="15" x14ac:dyDescent="0.25">
      <c r="A6015" s="4" t="s">
        <v>6013</v>
      </c>
      <c r="B6015" s="4" t="s">
        <v>4550</v>
      </c>
      <c r="C6015" s="2" t="str">
        <f ca="1">IFERROR(__xludf.DUMMYFUNCTION("GOOGLETRANSLATE(A6015,""bn"",""en"")"),"Wanted to see the Taj Mahal")</f>
        <v>Wanted to see the Taj Mahal</v>
      </c>
      <c r="D6015" s="5"/>
      <c r="E6015" s="5"/>
      <c r="F6015" s="5"/>
      <c r="G6015" s="5"/>
      <c r="H6015" s="5"/>
      <c r="I6015" s="5"/>
      <c r="J6015" s="5"/>
      <c r="K6015" s="5"/>
      <c r="L6015" s="5"/>
      <c r="M6015" s="5"/>
      <c r="N6015" s="5"/>
      <c r="O6015" s="5"/>
      <c r="P6015" s="5"/>
      <c r="Q6015" s="5"/>
      <c r="R6015" s="5"/>
      <c r="S6015" s="5"/>
      <c r="T6015" s="5"/>
      <c r="U6015" s="5"/>
      <c r="V6015" s="5"/>
      <c r="W6015" s="5"/>
      <c r="X6015" s="5"/>
      <c r="Y6015" s="5"/>
      <c r="Z6015" s="5"/>
    </row>
    <row r="6016" spans="1:26" ht="15" x14ac:dyDescent="0.25">
      <c r="A6016" s="4" t="s">
        <v>6014</v>
      </c>
      <c r="B6016" s="4" t="s">
        <v>4550</v>
      </c>
      <c r="C6016" s="2" t="str">
        <f ca="1">IFERROR(__xludf.DUMMYFUNCTION("GOOGLETRANSLATE(A6016,""bn"",""en"")"),"Sania was playing badminton")</f>
        <v>Sania was playing badminton</v>
      </c>
      <c r="D6016" s="5"/>
      <c r="E6016" s="5"/>
      <c r="F6016" s="5"/>
      <c r="G6016" s="5"/>
      <c r="H6016" s="5"/>
      <c r="I6016" s="5"/>
      <c r="J6016" s="5"/>
      <c r="K6016" s="5"/>
      <c r="L6016" s="5"/>
      <c r="M6016" s="5"/>
      <c r="N6016" s="5"/>
      <c r="O6016" s="5"/>
      <c r="P6016" s="5"/>
      <c r="Q6016" s="5"/>
      <c r="R6016" s="5"/>
      <c r="S6016" s="5"/>
      <c r="T6016" s="5"/>
      <c r="U6016" s="5"/>
      <c r="V6016" s="5"/>
      <c r="W6016" s="5"/>
      <c r="X6016" s="5"/>
      <c r="Y6016" s="5"/>
      <c r="Z6016" s="5"/>
    </row>
    <row r="6017" spans="1:26" ht="15" x14ac:dyDescent="0.25">
      <c r="A6017" s="4" t="s">
        <v>6015</v>
      </c>
      <c r="B6017" s="4" t="s">
        <v>4550</v>
      </c>
      <c r="C6017" s="2" t="str">
        <f ca="1">IFERROR(__xludf.DUMMYFUNCTION("GOOGLETRANSLATE(A6017,""bn"",""en"")"),"I used the webcam")</f>
        <v>I used the webcam</v>
      </c>
      <c r="D6017" s="5"/>
      <c r="E6017" s="5"/>
      <c r="F6017" s="5"/>
      <c r="G6017" s="5"/>
      <c r="H6017" s="5"/>
      <c r="I6017" s="5"/>
      <c r="J6017" s="5"/>
      <c r="K6017" s="5"/>
      <c r="L6017" s="5"/>
      <c r="M6017" s="5"/>
      <c r="N6017" s="5"/>
      <c r="O6017" s="5"/>
      <c r="P6017" s="5"/>
      <c r="Q6017" s="5"/>
      <c r="R6017" s="5"/>
      <c r="S6017" s="5"/>
      <c r="T6017" s="5"/>
      <c r="U6017" s="5"/>
      <c r="V6017" s="5"/>
      <c r="W6017" s="5"/>
      <c r="X6017" s="5"/>
      <c r="Y6017" s="5"/>
      <c r="Z6017" s="5"/>
    </row>
    <row r="6018" spans="1:26" ht="15" x14ac:dyDescent="0.25">
      <c r="A6018" s="4" t="s">
        <v>6016</v>
      </c>
      <c r="B6018" s="4" t="s">
        <v>4550</v>
      </c>
      <c r="C6018" s="2" t="str">
        <f ca="1">IFERROR(__xludf.DUMMYFUNCTION("GOOGLETRANSLATE(A6018,""bn"",""en"")"),"I used the speaker")</f>
        <v>I used the speaker</v>
      </c>
      <c r="D6018" s="5"/>
      <c r="E6018" s="5"/>
      <c r="F6018" s="5"/>
      <c r="G6018" s="5"/>
      <c r="H6018" s="5"/>
      <c r="I6018" s="5"/>
      <c r="J6018" s="5"/>
      <c r="K6018" s="5"/>
      <c r="L6018" s="5"/>
      <c r="M6018" s="5"/>
      <c r="N6018" s="5"/>
      <c r="O6018" s="5"/>
      <c r="P6018" s="5"/>
      <c r="Q6018" s="5"/>
      <c r="R6018" s="5"/>
      <c r="S6018" s="5"/>
      <c r="T6018" s="5"/>
      <c r="U6018" s="5"/>
      <c r="V6018" s="5"/>
      <c r="W6018" s="5"/>
      <c r="X6018" s="5"/>
      <c r="Y6018" s="5"/>
      <c r="Z6018" s="5"/>
    </row>
    <row r="6019" spans="1:26" ht="15" x14ac:dyDescent="0.25">
      <c r="A6019" s="4" t="s">
        <v>6017</v>
      </c>
      <c r="B6019" s="4" t="s">
        <v>4550</v>
      </c>
      <c r="C6019" s="2" t="str">
        <f ca="1">IFERROR(__xludf.DUMMYFUNCTION("GOOGLETRANSLATE(A6019,""bn"",""en"")"),"Enjoyed using the printer")</f>
        <v>Enjoyed using the printer</v>
      </c>
      <c r="D6019" s="5"/>
      <c r="E6019" s="5"/>
      <c r="F6019" s="5"/>
      <c r="G6019" s="5"/>
      <c r="H6019" s="5"/>
      <c r="I6019" s="5"/>
      <c r="J6019" s="5"/>
      <c r="K6019" s="5"/>
      <c r="L6019" s="5"/>
      <c r="M6019" s="5"/>
      <c r="N6019" s="5"/>
      <c r="O6019" s="5"/>
      <c r="P6019" s="5"/>
      <c r="Q6019" s="5"/>
      <c r="R6019" s="5"/>
      <c r="S6019" s="5"/>
      <c r="T6019" s="5"/>
      <c r="U6019" s="5"/>
      <c r="V6019" s="5"/>
      <c r="W6019" s="5"/>
      <c r="X6019" s="5"/>
      <c r="Y6019" s="5"/>
      <c r="Z6019" s="5"/>
    </row>
    <row r="6020" spans="1:26" ht="15" x14ac:dyDescent="0.25">
      <c r="A6020" s="4" t="s">
        <v>6018</v>
      </c>
      <c r="B6020" s="4" t="s">
        <v>4550</v>
      </c>
      <c r="C6020" s="2" t="str">
        <f ca="1">IFERROR(__xludf.DUMMYFUNCTION("GOOGLETRANSLATE(A6020,""bn"",""en"")"),"I was listening to the story on the mobile phone")</f>
        <v>I was listening to the story on the mobile phone</v>
      </c>
      <c r="D6020" s="5"/>
      <c r="E6020" s="5"/>
      <c r="F6020" s="5"/>
      <c r="G6020" s="5"/>
      <c r="H6020" s="5"/>
      <c r="I6020" s="5"/>
      <c r="J6020" s="5"/>
      <c r="K6020" s="5"/>
      <c r="L6020" s="5"/>
      <c r="M6020" s="5"/>
      <c r="N6020" s="5"/>
      <c r="O6020" s="5"/>
      <c r="P6020" s="5"/>
      <c r="Q6020" s="5"/>
      <c r="R6020" s="5"/>
      <c r="S6020" s="5"/>
      <c r="T6020" s="5"/>
      <c r="U6020" s="5"/>
      <c r="V6020" s="5"/>
      <c r="W6020" s="5"/>
      <c r="X6020" s="5"/>
      <c r="Y6020" s="5"/>
      <c r="Z6020" s="5"/>
    </row>
    <row r="6021" spans="1:26" ht="15" x14ac:dyDescent="0.25">
      <c r="A6021" s="4" t="s">
        <v>6019</v>
      </c>
      <c r="B6021" s="4" t="s">
        <v>4550</v>
      </c>
      <c r="C6021" s="2" t="str">
        <f ca="1">IFERROR(__xludf.DUMMYFUNCTION("GOOGLETRANSLATE(A6021,""bn"",""en"")"),"I emailed easily")</f>
        <v>I emailed easily</v>
      </c>
      <c r="D6021" s="5"/>
      <c r="E6021" s="5"/>
      <c r="F6021" s="5"/>
      <c r="G6021" s="5"/>
      <c r="H6021" s="5"/>
      <c r="I6021" s="5"/>
      <c r="J6021" s="5"/>
      <c r="K6021" s="5"/>
      <c r="L6021" s="5"/>
      <c r="M6021" s="5"/>
      <c r="N6021" s="5"/>
      <c r="O6021" s="5"/>
      <c r="P6021" s="5"/>
      <c r="Q6021" s="5"/>
      <c r="R6021" s="5"/>
      <c r="S6021" s="5"/>
      <c r="T6021" s="5"/>
      <c r="U6021" s="5"/>
      <c r="V6021" s="5"/>
      <c r="W6021" s="5"/>
      <c r="X6021" s="5"/>
      <c r="Y6021" s="5"/>
      <c r="Z6021" s="5"/>
    </row>
    <row r="6022" spans="1:26" ht="15" x14ac:dyDescent="0.25">
      <c r="A6022" s="4" t="s">
        <v>6020</v>
      </c>
      <c r="B6022" s="4" t="s">
        <v>4550</v>
      </c>
      <c r="C6022" s="2" t="str">
        <f ca="1">IFERROR(__xludf.DUMMYFUNCTION("GOOGLETRANSLATE(A6022,""bn"",""en"")"),"I advanced in knowledge")</f>
        <v>I advanced in knowledge</v>
      </c>
      <c r="D6022" s="5"/>
      <c r="E6022" s="5"/>
      <c r="F6022" s="5"/>
      <c r="G6022" s="5"/>
      <c r="H6022" s="5"/>
      <c r="I6022" s="5"/>
      <c r="J6022" s="5"/>
      <c r="K6022" s="5"/>
      <c r="L6022" s="5"/>
      <c r="M6022" s="5"/>
      <c r="N6022" s="5"/>
      <c r="O6022" s="5"/>
      <c r="P6022" s="5"/>
      <c r="Q6022" s="5"/>
      <c r="R6022" s="5"/>
      <c r="S6022" s="5"/>
      <c r="T6022" s="5"/>
      <c r="U6022" s="5"/>
      <c r="V6022" s="5"/>
      <c r="W6022" s="5"/>
      <c r="X6022" s="5"/>
      <c r="Y6022" s="5"/>
      <c r="Z6022" s="5"/>
    </row>
    <row r="6023" spans="1:26" ht="15" x14ac:dyDescent="0.25">
      <c r="A6023" s="4" t="s">
        <v>6021</v>
      </c>
      <c r="B6023" s="4" t="s">
        <v>4550</v>
      </c>
      <c r="C6023" s="2" t="str">
        <f ca="1">IFERROR(__xludf.DUMMYFUNCTION("GOOGLETRANSLATE(A6023,""bn"",""en"")"),"Cash was reliable")</f>
        <v>Cash was reliable</v>
      </c>
      <c r="D6023" s="5"/>
      <c r="E6023" s="5"/>
      <c r="F6023" s="5"/>
      <c r="G6023" s="5"/>
      <c r="H6023" s="5"/>
      <c r="I6023" s="5"/>
      <c r="J6023" s="5"/>
      <c r="K6023" s="5"/>
      <c r="L6023" s="5"/>
      <c r="M6023" s="5"/>
      <c r="N6023" s="5"/>
      <c r="O6023" s="5"/>
      <c r="P6023" s="5"/>
      <c r="Q6023" s="5"/>
      <c r="R6023" s="5"/>
      <c r="S6023" s="5"/>
      <c r="T6023" s="5"/>
      <c r="U6023" s="5"/>
      <c r="V6023" s="5"/>
      <c r="W6023" s="5"/>
      <c r="X6023" s="5"/>
      <c r="Y6023" s="5"/>
      <c r="Z6023" s="5"/>
    </row>
    <row r="6024" spans="1:26" ht="15" x14ac:dyDescent="0.25">
      <c r="A6024" s="4" t="s">
        <v>6022</v>
      </c>
      <c r="B6024" s="4" t="s">
        <v>4550</v>
      </c>
      <c r="C6024" s="2" t="str">
        <f ca="1">IFERROR(__xludf.DUMMYFUNCTION("GOOGLETRANSLATE(A6024,""bn"",""en"")"),"I paid on the card")</f>
        <v>I paid on the card</v>
      </c>
      <c r="D6024" s="5"/>
      <c r="E6024" s="5"/>
      <c r="F6024" s="5"/>
      <c r="G6024" s="5"/>
      <c r="H6024" s="5"/>
      <c r="I6024" s="5"/>
      <c r="J6024" s="5"/>
      <c r="K6024" s="5"/>
      <c r="L6024" s="5"/>
      <c r="M6024" s="5"/>
      <c r="N6024" s="5"/>
      <c r="O6024" s="5"/>
      <c r="P6024" s="5"/>
      <c r="Q6024" s="5"/>
      <c r="R6024" s="5"/>
      <c r="S6024" s="5"/>
      <c r="T6024" s="5"/>
      <c r="U6024" s="5"/>
      <c r="V6024" s="5"/>
      <c r="W6024" s="5"/>
      <c r="X6024" s="5"/>
      <c r="Y6024" s="5"/>
      <c r="Z6024" s="5"/>
    </row>
    <row r="6025" spans="1:26" ht="15" x14ac:dyDescent="0.25">
      <c r="A6025" s="4" t="s">
        <v>6023</v>
      </c>
      <c r="B6025" s="4" t="s">
        <v>4550</v>
      </c>
      <c r="C6025" s="2" t="str">
        <f ca="1">IFERROR(__xludf.DUMMYFUNCTION("GOOGLETRANSLATE(A6025,""bn"",""en"")"),"I watched the game on the laptop")</f>
        <v>I watched the game on the laptop</v>
      </c>
      <c r="D6025" s="5"/>
      <c r="E6025" s="5"/>
      <c r="F6025" s="5"/>
      <c r="G6025" s="5"/>
      <c r="H6025" s="5"/>
      <c r="I6025" s="5"/>
      <c r="J6025" s="5"/>
      <c r="K6025" s="5"/>
      <c r="L6025" s="5"/>
      <c r="M6025" s="5"/>
      <c r="N6025" s="5"/>
      <c r="O6025" s="5"/>
      <c r="P6025" s="5"/>
      <c r="Q6025" s="5"/>
      <c r="R6025" s="5"/>
      <c r="S6025" s="5"/>
      <c r="T6025" s="5"/>
      <c r="U6025" s="5"/>
      <c r="V6025" s="5"/>
      <c r="W6025" s="5"/>
      <c r="X6025" s="5"/>
      <c r="Y6025" s="5"/>
      <c r="Z6025" s="5"/>
    </row>
    <row r="6026" spans="1:26" ht="15" x14ac:dyDescent="0.25">
      <c r="A6026" s="4" t="s">
        <v>6024</v>
      </c>
      <c r="B6026" s="4" t="s">
        <v>4550</v>
      </c>
      <c r="C6026" s="2" t="str">
        <f ca="1">IFERROR(__xludf.DUMMYFUNCTION("GOOGLETRANSLATE(A6026,""bn"",""en"")"),"I designed the database")</f>
        <v>I designed the database</v>
      </c>
      <c r="D6026" s="5"/>
      <c r="E6026" s="5"/>
      <c r="F6026" s="5"/>
      <c r="G6026" s="5"/>
      <c r="H6026" s="5"/>
      <c r="I6026" s="5"/>
      <c r="J6026" s="5"/>
      <c r="K6026" s="5"/>
      <c r="L6026" s="5"/>
      <c r="M6026" s="5"/>
      <c r="N6026" s="5"/>
      <c r="O6026" s="5"/>
      <c r="P6026" s="5"/>
      <c r="Q6026" s="5"/>
      <c r="R6026" s="5"/>
      <c r="S6026" s="5"/>
      <c r="T6026" s="5"/>
      <c r="U6026" s="5"/>
      <c r="V6026" s="5"/>
      <c r="W6026" s="5"/>
      <c r="X6026" s="5"/>
      <c r="Y6026" s="5"/>
      <c r="Z6026" s="5"/>
    </row>
    <row r="6027" spans="1:26" ht="15" x14ac:dyDescent="0.25">
      <c r="A6027" s="4" t="s">
        <v>6025</v>
      </c>
      <c r="B6027" s="4" t="s">
        <v>4550</v>
      </c>
      <c r="C6027" s="2" t="str">
        <f ca="1">IFERROR(__xludf.DUMMYFUNCTION("GOOGLETRANSLATE(A6027,""bn"",""en"")"),"was managing the business")</f>
        <v>was managing the business</v>
      </c>
      <c r="D6027" s="5"/>
      <c r="E6027" s="5"/>
      <c r="F6027" s="5"/>
      <c r="G6027" s="5"/>
      <c r="H6027" s="5"/>
      <c r="I6027" s="5"/>
      <c r="J6027" s="5"/>
      <c r="K6027" s="5"/>
      <c r="L6027" s="5"/>
      <c r="M6027" s="5"/>
      <c r="N6027" s="5"/>
      <c r="O6027" s="5"/>
      <c r="P6027" s="5"/>
      <c r="Q6027" s="5"/>
      <c r="R6027" s="5"/>
      <c r="S6027" s="5"/>
      <c r="T6027" s="5"/>
      <c r="U6027" s="5"/>
      <c r="V6027" s="5"/>
      <c r="W6027" s="5"/>
      <c r="X6027" s="5"/>
      <c r="Y6027" s="5"/>
      <c r="Z6027" s="5"/>
    </row>
    <row r="6028" spans="1:26" ht="15" x14ac:dyDescent="0.25">
      <c r="A6028" s="4" t="s">
        <v>6026</v>
      </c>
      <c r="B6028" s="4" t="s">
        <v>4550</v>
      </c>
      <c r="C6028" s="2" t="str">
        <f ca="1">IFERROR(__xludf.DUMMYFUNCTION("GOOGLETRANSLATE(A6028,""bn"",""en"")"),"Students did physical exercise")</f>
        <v>Students did physical exercise</v>
      </c>
      <c r="D6028" s="5"/>
      <c r="E6028" s="5"/>
      <c r="F6028" s="5"/>
      <c r="G6028" s="5"/>
      <c r="H6028" s="5"/>
      <c r="I6028" s="5"/>
      <c r="J6028" s="5"/>
      <c r="K6028" s="5"/>
      <c r="L6028" s="5"/>
      <c r="M6028" s="5"/>
      <c r="N6028" s="5"/>
      <c r="O6028" s="5"/>
      <c r="P6028" s="5"/>
      <c r="Q6028" s="5"/>
      <c r="R6028" s="5"/>
      <c r="S6028" s="5"/>
      <c r="T6028" s="5"/>
      <c r="U6028" s="5"/>
      <c r="V6028" s="5"/>
      <c r="W6028" s="5"/>
      <c r="X6028" s="5"/>
      <c r="Y6028" s="5"/>
      <c r="Z6028" s="5"/>
    </row>
    <row r="6029" spans="1:26" ht="15" x14ac:dyDescent="0.25">
      <c r="A6029" s="4" t="s">
        <v>6027</v>
      </c>
      <c r="B6029" s="4" t="s">
        <v>4550</v>
      </c>
      <c r="C6029" s="2" t="str">
        <f ca="1">IFERROR(__xludf.DUMMYFUNCTION("GOOGLETRANSLATE(A6029,""bn"",""en"")"),"I found happiness in travel")</f>
        <v>I found happiness in travel</v>
      </c>
      <c r="D6029" s="5"/>
      <c r="E6029" s="5"/>
      <c r="F6029" s="5"/>
      <c r="G6029" s="5"/>
      <c r="H6029" s="5"/>
      <c r="I6029" s="5"/>
      <c r="J6029" s="5"/>
      <c r="K6029" s="5"/>
      <c r="L6029" s="5"/>
      <c r="M6029" s="5"/>
      <c r="N6029" s="5"/>
      <c r="O6029" s="5"/>
      <c r="P6029" s="5"/>
      <c r="Q6029" s="5"/>
      <c r="R6029" s="5"/>
      <c r="S6029" s="5"/>
      <c r="T6029" s="5"/>
      <c r="U6029" s="5"/>
      <c r="V6029" s="5"/>
      <c r="W6029" s="5"/>
      <c r="X6029" s="5"/>
      <c r="Y6029" s="5"/>
      <c r="Z6029" s="5"/>
    </row>
    <row r="6030" spans="1:26" ht="15" x14ac:dyDescent="0.25">
      <c r="A6030" s="4" t="s">
        <v>6028</v>
      </c>
      <c r="B6030" s="4" t="s">
        <v>4550</v>
      </c>
      <c r="C6030" s="2" t="str">
        <f ca="1">IFERROR(__xludf.DUMMYFUNCTION("GOOGLETRANSLATE(A6030,""bn"",""en"")"),"I went to see the beauty")</f>
        <v>I went to see the beauty</v>
      </c>
      <c r="D6030" s="5"/>
      <c r="E6030" s="5"/>
      <c r="F6030" s="5"/>
      <c r="G6030" s="5"/>
      <c r="H6030" s="5"/>
      <c r="I6030" s="5"/>
      <c r="J6030" s="5"/>
      <c r="K6030" s="5"/>
      <c r="L6030" s="5"/>
      <c r="M6030" s="5"/>
      <c r="N6030" s="5"/>
      <c r="O6030" s="5"/>
      <c r="P6030" s="5"/>
      <c r="Q6030" s="5"/>
      <c r="R6030" s="5"/>
      <c r="S6030" s="5"/>
      <c r="T6030" s="5"/>
      <c r="U6030" s="5"/>
      <c r="V6030" s="5"/>
      <c r="W6030" s="5"/>
      <c r="X6030" s="5"/>
      <c r="Y6030" s="5"/>
      <c r="Z6030" s="5"/>
    </row>
    <row r="6031" spans="1:26" ht="15" x14ac:dyDescent="0.25">
      <c r="A6031" s="4" t="s">
        <v>6029</v>
      </c>
      <c r="B6031" s="4" t="s">
        <v>4550</v>
      </c>
      <c r="C6031" s="2" t="str">
        <f ca="1">IFERROR(__xludf.DUMMYFUNCTION("GOOGLETRANSLATE(A6031,""bn"",""en"")"),"I was afraid to go to the beauty spot")</f>
        <v>I was afraid to go to the beauty spot</v>
      </c>
      <c r="D6031" s="5"/>
      <c r="E6031" s="5"/>
      <c r="F6031" s="5"/>
      <c r="G6031" s="5"/>
      <c r="H6031" s="5"/>
      <c r="I6031" s="5"/>
      <c r="J6031" s="5"/>
      <c r="K6031" s="5"/>
      <c r="L6031" s="5"/>
      <c r="M6031" s="5"/>
      <c r="N6031" s="5"/>
      <c r="O6031" s="5"/>
      <c r="P6031" s="5"/>
      <c r="Q6031" s="5"/>
      <c r="R6031" s="5"/>
      <c r="S6031" s="5"/>
      <c r="T6031" s="5"/>
      <c r="U6031" s="5"/>
      <c r="V6031" s="5"/>
      <c r="W6031" s="5"/>
      <c r="X6031" s="5"/>
      <c r="Y6031" s="5"/>
      <c r="Z6031" s="5"/>
    </row>
    <row r="6032" spans="1:26" ht="15" x14ac:dyDescent="0.25">
      <c r="A6032" s="4" t="s">
        <v>6030</v>
      </c>
      <c r="B6032" s="4" t="s">
        <v>4550</v>
      </c>
      <c r="C6032" s="2" t="str">
        <f ca="1">IFERROR(__xludf.DUMMYFUNCTION("GOOGLETRANSLATE(A6032,""bn"",""en"")"),"I contacted the bank")</f>
        <v>I contacted the bank</v>
      </c>
      <c r="D6032" s="5"/>
      <c r="E6032" s="5"/>
      <c r="F6032" s="5"/>
      <c r="G6032" s="5"/>
      <c r="H6032" s="5"/>
      <c r="I6032" s="5"/>
      <c r="J6032" s="5"/>
      <c r="K6032" s="5"/>
      <c r="L6032" s="5"/>
      <c r="M6032" s="5"/>
      <c r="N6032" s="5"/>
      <c r="O6032" s="5"/>
      <c r="P6032" s="5"/>
      <c r="Q6032" s="5"/>
      <c r="R6032" s="5"/>
      <c r="S6032" s="5"/>
      <c r="T6032" s="5"/>
      <c r="U6032" s="5"/>
      <c r="V6032" s="5"/>
      <c r="W6032" s="5"/>
      <c r="X6032" s="5"/>
      <c r="Y6032" s="5"/>
      <c r="Z6032" s="5"/>
    </row>
    <row r="6033" spans="1:26" ht="15" x14ac:dyDescent="0.25">
      <c r="A6033" s="4" t="s">
        <v>6031</v>
      </c>
      <c r="B6033" s="4" t="s">
        <v>4550</v>
      </c>
      <c r="C6033" s="2" t="str">
        <f ca="1">IFERROR(__xludf.DUMMYFUNCTION("GOOGLETRANSLATE(A6033,""bn"",""en"")"),"I read the news on the Internet")</f>
        <v>I read the news on the Internet</v>
      </c>
      <c r="D6033" s="5"/>
      <c r="E6033" s="5"/>
      <c r="F6033" s="5"/>
      <c r="G6033" s="5"/>
      <c r="H6033" s="5"/>
      <c r="I6033" s="5"/>
      <c r="J6033" s="5"/>
      <c r="K6033" s="5"/>
      <c r="L6033" s="5"/>
      <c r="M6033" s="5"/>
      <c r="N6033" s="5"/>
      <c r="O6033" s="5"/>
      <c r="P6033" s="5"/>
      <c r="Q6033" s="5"/>
      <c r="R6033" s="5"/>
      <c r="S6033" s="5"/>
      <c r="T6033" s="5"/>
      <c r="U6033" s="5"/>
      <c r="V6033" s="5"/>
      <c r="W6033" s="5"/>
      <c r="X6033" s="5"/>
      <c r="Y6033" s="5"/>
      <c r="Z6033" s="5"/>
    </row>
    <row r="6034" spans="1:26" ht="15" x14ac:dyDescent="0.25">
      <c r="A6034" s="4" t="s">
        <v>6032</v>
      </c>
      <c r="B6034" s="4" t="s">
        <v>4550</v>
      </c>
      <c r="C6034" s="2" t="str">
        <f ca="1">IFERROR(__xludf.DUMMYFUNCTION("GOOGLETRANSLATE(A6034,""bn"",""en"")"),"I want a new gaming mouse")</f>
        <v>I want a new gaming mouse</v>
      </c>
      <c r="D6034" s="5"/>
      <c r="E6034" s="5"/>
      <c r="F6034" s="5"/>
      <c r="G6034" s="5"/>
      <c r="H6034" s="5"/>
      <c r="I6034" s="5"/>
      <c r="J6034" s="5"/>
      <c r="K6034" s="5"/>
      <c r="L6034" s="5"/>
      <c r="M6034" s="5"/>
      <c r="N6034" s="5"/>
      <c r="O6034" s="5"/>
      <c r="P6034" s="5"/>
      <c r="Q6034" s="5"/>
      <c r="R6034" s="5"/>
      <c r="S6034" s="5"/>
      <c r="T6034" s="5"/>
      <c r="U6034" s="5"/>
      <c r="V6034" s="5"/>
      <c r="W6034" s="5"/>
      <c r="X6034" s="5"/>
      <c r="Y6034" s="5"/>
      <c r="Z6034" s="5"/>
    </row>
    <row r="6035" spans="1:26" ht="15" x14ac:dyDescent="0.25">
      <c r="A6035" s="4" t="s">
        <v>6033</v>
      </c>
      <c r="B6035" s="4" t="s">
        <v>4550</v>
      </c>
      <c r="C6035" s="2" t="str">
        <f ca="1">IFERROR(__xludf.DUMMYFUNCTION("GOOGLETRANSLATE(A6035,""bn"",""en"")"),"I made an emergency call")</f>
        <v>I made an emergency call</v>
      </c>
      <c r="D6035" s="5"/>
      <c r="E6035" s="5"/>
      <c r="F6035" s="5"/>
      <c r="G6035" s="5"/>
      <c r="H6035" s="5"/>
      <c r="I6035" s="5"/>
      <c r="J6035" s="5"/>
      <c r="K6035" s="5"/>
      <c r="L6035" s="5"/>
      <c r="M6035" s="5"/>
      <c r="N6035" s="5"/>
      <c r="O6035" s="5"/>
      <c r="P6035" s="5"/>
      <c r="Q6035" s="5"/>
      <c r="R6035" s="5"/>
      <c r="S6035" s="5"/>
      <c r="T6035" s="5"/>
      <c r="U6035" s="5"/>
      <c r="V6035" s="5"/>
      <c r="W6035" s="5"/>
      <c r="X6035" s="5"/>
      <c r="Y6035" s="5"/>
      <c r="Z6035" s="5"/>
    </row>
    <row r="6036" spans="1:26" ht="15" x14ac:dyDescent="0.25">
      <c r="A6036" s="4" t="s">
        <v>6034</v>
      </c>
      <c r="B6036" s="4" t="s">
        <v>4550</v>
      </c>
      <c r="C6036" s="2" t="str">
        <f ca="1">IFERROR(__xludf.DUMMYFUNCTION("GOOGLETRANSLATE(A6036,""bn"",""en"")"),"Had to eat sugar")</f>
        <v>Had to eat sugar</v>
      </c>
      <c r="D6036" s="5"/>
      <c r="E6036" s="5"/>
      <c r="F6036" s="5"/>
      <c r="G6036" s="5"/>
      <c r="H6036" s="5"/>
      <c r="I6036" s="5"/>
      <c r="J6036" s="5"/>
      <c r="K6036" s="5"/>
      <c r="L6036" s="5"/>
      <c r="M6036" s="5"/>
      <c r="N6036" s="5"/>
      <c r="O6036" s="5"/>
      <c r="P6036" s="5"/>
      <c r="Q6036" s="5"/>
      <c r="R6036" s="5"/>
      <c r="S6036" s="5"/>
      <c r="T6036" s="5"/>
      <c r="U6036" s="5"/>
      <c r="V6036" s="5"/>
      <c r="W6036" s="5"/>
      <c r="X6036" s="5"/>
      <c r="Y6036" s="5"/>
      <c r="Z6036" s="5"/>
    </row>
    <row r="6037" spans="1:26" ht="15" x14ac:dyDescent="0.25">
      <c r="A6037" s="4" t="s">
        <v>6035</v>
      </c>
      <c r="B6037" s="4" t="s">
        <v>4550</v>
      </c>
      <c r="C6037" s="2" t="str">
        <f ca="1">IFERROR(__xludf.DUMMYFUNCTION("GOOGLETRANSLATE(A6037,""bn"",""en"")"),"Made life easy")</f>
        <v>Made life easy</v>
      </c>
      <c r="D6037" s="5"/>
      <c r="E6037" s="5"/>
      <c r="F6037" s="5"/>
      <c r="G6037" s="5"/>
      <c r="H6037" s="5"/>
      <c r="I6037" s="5"/>
      <c r="J6037" s="5"/>
      <c r="K6037" s="5"/>
      <c r="L6037" s="5"/>
      <c r="M6037" s="5"/>
      <c r="N6037" s="5"/>
      <c r="O6037" s="5"/>
      <c r="P6037" s="5"/>
      <c r="Q6037" s="5"/>
      <c r="R6037" s="5"/>
      <c r="S6037" s="5"/>
      <c r="T6037" s="5"/>
      <c r="U6037" s="5"/>
      <c r="V6037" s="5"/>
      <c r="W6037" s="5"/>
      <c r="X6037" s="5"/>
      <c r="Y6037" s="5"/>
      <c r="Z6037" s="5"/>
    </row>
    <row r="6038" spans="1:26" ht="15" x14ac:dyDescent="0.25">
      <c r="A6038" s="4" t="s">
        <v>6036</v>
      </c>
      <c r="B6038" s="4" t="s">
        <v>4550</v>
      </c>
      <c r="C6038" s="2" t="str">
        <f ca="1">IFERROR(__xludf.DUMMYFUNCTION("GOOGLETRANSLATE(A6038,""bn"",""en"")"),"Google had it all")</f>
        <v>Google had it all</v>
      </c>
      <c r="D6038" s="5"/>
      <c r="E6038" s="5"/>
      <c r="F6038" s="5"/>
      <c r="G6038" s="5"/>
      <c r="H6038" s="5"/>
      <c r="I6038" s="5"/>
      <c r="J6038" s="5"/>
      <c r="K6038" s="5"/>
      <c r="L6038" s="5"/>
      <c r="M6038" s="5"/>
      <c r="N6038" s="5"/>
      <c r="O6038" s="5"/>
      <c r="P6038" s="5"/>
      <c r="Q6038" s="5"/>
      <c r="R6038" s="5"/>
      <c r="S6038" s="5"/>
      <c r="T6038" s="5"/>
      <c r="U6038" s="5"/>
      <c r="V6038" s="5"/>
      <c r="W6038" s="5"/>
      <c r="X6038" s="5"/>
      <c r="Y6038" s="5"/>
      <c r="Z6038" s="5"/>
    </row>
    <row r="6039" spans="1:26" ht="15" x14ac:dyDescent="0.25">
      <c r="A6039" s="4" t="s">
        <v>6037</v>
      </c>
      <c r="B6039" s="4" t="s">
        <v>4550</v>
      </c>
      <c r="C6039" s="2" t="str">
        <f ca="1">IFERROR(__xludf.DUMMYFUNCTION("GOOGLETRANSLATE(A6039,""bn"",""en"")"),"I was buying a new gadget")</f>
        <v>I was buying a new gadget</v>
      </c>
      <c r="D6039" s="5"/>
      <c r="E6039" s="5"/>
      <c r="F6039" s="5"/>
      <c r="G6039" s="5"/>
      <c r="H6039" s="5"/>
      <c r="I6039" s="5"/>
      <c r="J6039" s="5"/>
      <c r="K6039" s="5"/>
      <c r="L6039" s="5"/>
      <c r="M6039" s="5"/>
      <c r="N6039" s="5"/>
      <c r="O6039" s="5"/>
      <c r="P6039" s="5"/>
      <c r="Q6039" s="5"/>
      <c r="R6039" s="5"/>
      <c r="S6039" s="5"/>
      <c r="T6039" s="5"/>
      <c r="U6039" s="5"/>
      <c r="V6039" s="5"/>
      <c r="W6039" s="5"/>
      <c r="X6039" s="5"/>
      <c r="Y6039" s="5"/>
      <c r="Z6039" s="5"/>
    </row>
    <row r="6040" spans="1:26" ht="15" x14ac:dyDescent="0.25">
      <c r="A6040" s="4" t="s">
        <v>6038</v>
      </c>
      <c r="B6040" s="4" t="s">
        <v>4550</v>
      </c>
      <c r="C6040" s="2" t="str">
        <f ca="1">IFERROR(__xludf.DUMMYFUNCTION("GOOGLETRANSLATE(A6040,""bn"",""en"")"),"I bought a new gadget and gave it to him")</f>
        <v>I bought a new gadget and gave it to him</v>
      </c>
      <c r="D6040" s="5"/>
      <c r="E6040" s="5"/>
      <c r="F6040" s="5"/>
      <c r="G6040" s="5"/>
      <c r="H6040" s="5"/>
      <c r="I6040" s="5"/>
      <c r="J6040" s="5"/>
      <c r="K6040" s="5"/>
      <c r="L6040" s="5"/>
      <c r="M6040" s="5"/>
      <c r="N6040" s="5"/>
      <c r="O6040" s="5"/>
      <c r="P6040" s="5"/>
      <c r="Q6040" s="5"/>
      <c r="R6040" s="5"/>
      <c r="S6040" s="5"/>
      <c r="T6040" s="5"/>
      <c r="U6040" s="5"/>
      <c r="V6040" s="5"/>
      <c r="W6040" s="5"/>
      <c r="X6040" s="5"/>
      <c r="Y6040" s="5"/>
      <c r="Z6040" s="5"/>
    </row>
    <row r="6041" spans="1:26" ht="15" x14ac:dyDescent="0.25">
      <c r="A6041" s="4" t="s">
        <v>6039</v>
      </c>
      <c r="B6041" s="4" t="s">
        <v>4550</v>
      </c>
      <c r="C6041" s="2" t="str">
        <f ca="1">IFERROR(__xludf.DUMMYFUNCTION("GOOGLETRANSLATE(A6041,""bn"",""en"")"),"I wanted to buy a smart TV")</f>
        <v>I wanted to buy a smart TV</v>
      </c>
      <c r="D6041" s="5"/>
      <c r="E6041" s="5"/>
      <c r="F6041" s="5"/>
      <c r="G6041" s="5"/>
      <c r="H6041" s="5"/>
      <c r="I6041" s="5"/>
      <c r="J6041" s="5"/>
      <c r="K6041" s="5"/>
      <c r="L6041" s="5"/>
      <c r="M6041" s="5"/>
      <c r="N6041" s="5"/>
      <c r="O6041" s="5"/>
      <c r="P6041" s="5"/>
      <c r="Q6041" s="5"/>
      <c r="R6041" s="5"/>
      <c r="S6041" s="5"/>
      <c r="T6041" s="5"/>
      <c r="U6041" s="5"/>
      <c r="V6041" s="5"/>
      <c r="W6041" s="5"/>
      <c r="X6041" s="5"/>
      <c r="Y6041" s="5"/>
      <c r="Z6041" s="5"/>
    </row>
    <row r="6042" spans="1:26" ht="15" x14ac:dyDescent="0.25">
      <c r="A6042" s="4" t="s">
        <v>6040</v>
      </c>
      <c r="B6042" s="4" t="s">
        <v>4550</v>
      </c>
      <c r="C6042" s="2" t="str">
        <f ca="1">IFERROR(__xludf.DUMMYFUNCTION("GOOGLETRANSLATE(A6042,""bn"",""en"")"),"I saved money to buy a smart TV")</f>
        <v>I saved money to buy a smart TV</v>
      </c>
      <c r="D6042" s="5"/>
      <c r="E6042" s="5"/>
      <c r="F6042" s="5"/>
      <c r="G6042" s="5"/>
      <c r="H6042" s="5"/>
      <c r="I6042" s="5"/>
      <c r="J6042" s="5"/>
      <c r="K6042" s="5"/>
      <c r="L6042" s="5"/>
      <c r="M6042" s="5"/>
      <c r="N6042" s="5"/>
      <c r="O6042" s="5"/>
      <c r="P6042" s="5"/>
      <c r="Q6042" s="5"/>
      <c r="R6042" s="5"/>
      <c r="S6042" s="5"/>
      <c r="T6042" s="5"/>
      <c r="U6042" s="5"/>
      <c r="V6042" s="5"/>
      <c r="W6042" s="5"/>
      <c r="X6042" s="5"/>
      <c r="Y6042" s="5"/>
      <c r="Z6042" s="5"/>
    </row>
    <row r="6043" spans="1:26" ht="15" x14ac:dyDescent="0.25">
      <c r="A6043" s="4" t="s">
        <v>6041</v>
      </c>
      <c r="B6043" s="4" t="s">
        <v>4550</v>
      </c>
      <c r="C6043" s="2" t="str">
        <f ca="1">IFERROR(__xludf.DUMMYFUNCTION("GOOGLETRANSLATE(A6043,""bn"",""en"")"),"There was a credit card")</f>
        <v>There was a credit card</v>
      </c>
      <c r="D6043" s="5"/>
      <c r="E6043" s="5"/>
      <c r="F6043" s="5"/>
      <c r="G6043" s="5"/>
      <c r="H6043" s="5"/>
      <c r="I6043" s="5"/>
      <c r="J6043" s="5"/>
      <c r="K6043" s="5"/>
      <c r="L6043" s="5"/>
      <c r="M6043" s="5"/>
      <c r="N6043" s="5"/>
      <c r="O6043" s="5"/>
      <c r="P6043" s="5"/>
      <c r="Q6043" s="5"/>
      <c r="R6043" s="5"/>
      <c r="S6043" s="5"/>
      <c r="T6043" s="5"/>
      <c r="U6043" s="5"/>
      <c r="V6043" s="5"/>
      <c r="W6043" s="5"/>
      <c r="X6043" s="5"/>
      <c r="Y6043" s="5"/>
      <c r="Z6043" s="5"/>
    </row>
    <row r="6044" spans="1:26" ht="15" x14ac:dyDescent="0.25">
      <c r="A6044" s="4" t="s">
        <v>6042</v>
      </c>
      <c r="B6044" s="4" t="s">
        <v>4550</v>
      </c>
      <c r="C6044" s="2" t="str">
        <f ca="1">IFERROR(__xludf.DUMMYFUNCTION("GOOGLETRANSLATE(A6044,""bn"",""en"")"),"He read the Qur'an")</f>
        <v>He read the Qur'an</v>
      </c>
      <c r="D6044" s="5"/>
      <c r="E6044" s="5"/>
      <c r="F6044" s="5"/>
      <c r="G6044" s="5"/>
      <c r="H6044" s="5"/>
      <c r="I6044" s="5"/>
      <c r="J6044" s="5"/>
      <c r="K6044" s="5"/>
      <c r="L6044" s="5"/>
      <c r="M6044" s="5"/>
      <c r="N6044" s="5"/>
      <c r="O6044" s="5"/>
      <c r="P6044" s="5"/>
      <c r="Q6044" s="5"/>
      <c r="R6044" s="5"/>
      <c r="S6044" s="5"/>
      <c r="T6044" s="5"/>
      <c r="U6044" s="5"/>
      <c r="V6044" s="5"/>
      <c r="W6044" s="5"/>
      <c r="X6044" s="5"/>
      <c r="Y6044" s="5"/>
      <c r="Z6044" s="5"/>
    </row>
    <row r="6045" spans="1:26" ht="15" x14ac:dyDescent="0.25">
      <c r="A6045" s="4" t="s">
        <v>6043</v>
      </c>
      <c r="B6045" s="4" t="s">
        <v>4550</v>
      </c>
      <c r="C6045" s="2" t="str">
        <f ca="1">IFERROR(__xludf.DUMMYFUNCTION("GOOGLETRANSLATE(A6045,""bn"",""en"")"),"I opened a bank account")</f>
        <v>I opened a bank account</v>
      </c>
      <c r="D6045" s="5"/>
      <c r="E6045" s="5"/>
      <c r="F6045" s="5"/>
      <c r="G6045" s="5"/>
      <c r="H6045" s="5"/>
      <c r="I6045" s="5"/>
      <c r="J6045" s="5"/>
      <c r="K6045" s="5"/>
      <c r="L6045" s="5"/>
      <c r="M6045" s="5"/>
      <c r="N6045" s="5"/>
      <c r="O6045" s="5"/>
      <c r="P6045" s="5"/>
      <c r="Q6045" s="5"/>
      <c r="R6045" s="5"/>
      <c r="S6045" s="5"/>
      <c r="T6045" s="5"/>
      <c r="U6045" s="5"/>
      <c r="V6045" s="5"/>
      <c r="W6045" s="5"/>
      <c r="X6045" s="5"/>
      <c r="Y6045" s="5"/>
      <c r="Z6045" s="5"/>
    </row>
    <row r="6046" spans="1:26" ht="15" x14ac:dyDescent="0.25">
      <c r="A6046" s="4" t="s">
        <v>6044</v>
      </c>
      <c r="B6046" s="4" t="s">
        <v>4550</v>
      </c>
      <c r="C6046" s="2" t="str">
        <f ca="1">IFERROR(__xludf.DUMMYFUNCTION("GOOGLETRANSLATE(A6046,""bn"",""en"")"),"I read the novel")</f>
        <v>I read the novel</v>
      </c>
      <c r="D6046" s="5"/>
      <c r="E6046" s="5"/>
      <c r="F6046" s="5"/>
      <c r="G6046" s="5"/>
      <c r="H6046" s="5"/>
      <c r="I6046" s="5"/>
      <c r="J6046" s="5"/>
      <c r="K6046" s="5"/>
      <c r="L6046" s="5"/>
      <c r="M6046" s="5"/>
      <c r="N6046" s="5"/>
      <c r="O6046" s="5"/>
      <c r="P6046" s="5"/>
      <c r="Q6046" s="5"/>
      <c r="R6046" s="5"/>
      <c r="S6046" s="5"/>
      <c r="T6046" s="5"/>
      <c r="U6046" s="5"/>
      <c r="V6046" s="5"/>
      <c r="W6046" s="5"/>
      <c r="X6046" s="5"/>
      <c r="Y6046" s="5"/>
      <c r="Z6046" s="5"/>
    </row>
    <row r="6047" spans="1:26" ht="15" x14ac:dyDescent="0.25">
      <c r="A6047" s="4" t="s">
        <v>6045</v>
      </c>
      <c r="B6047" s="4" t="s">
        <v>4550</v>
      </c>
      <c r="C6047" s="2" t="str">
        <f ca="1">IFERROR(__xludf.DUMMYFUNCTION("GOOGLETRANSLATE(A6047,""bn"",""en"")"),"Time was wasted using mobiles")</f>
        <v>Time was wasted using mobiles</v>
      </c>
      <c r="D6047" s="5"/>
      <c r="E6047" s="5"/>
      <c r="F6047" s="5"/>
      <c r="G6047" s="5"/>
      <c r="H6047" s="5"/>
      <c r="I6047" s="5"/>
      <c r="J6047" s="5"/>
      <c r="K6047" s="5"/>
      <c r="L6047" s="5"/>
      <c r="M6047" s="5"/>
      <c r="N6047" s="5"/>
      <c r="O6047" s="5"/>
      <c r="P6047" s="5"/>
      <c r="Q6047" s="5"/>
      <c r="R6047" s="5"/>
      <c r="S6047" s="5"/>
      <c r="T6047" s="5"/>
      <c r="U6047" s="5"/>
      <c r="V6047" s="5"/>
      <c r="W6047" s="5"/>
      <c r="X6047" s="5"/>
      <c r="Y6047" s="5"/>
      <c r="Z6047" s="5"/>
    </row>
    <row r="6048" spans="1:26" ht="15" x14ac:dyDescent="0.25">
      <c r="A6048" s="4" t="s">
        <v>6046</v>
      </c>
      <c r="B6048" s="4" t="s">
        <v>4550</v>
      </c>
      <c r="C6048" s="2" t="str">
        <f ca="1">IFERROR(__xludf.DUMMYFUNCTION("GOOGLETRANSLATE(A6048,""bn"",""en"")"),"Development was increasing")</f>
        <v>Development was increasing</v>
      </c>
      <c r="D6048" s="5"/>
      <c r="E6048" s="5"/>
      <c r="F6048" s="5"/>
      <c r="G6048" s="5"/>
      <c r="H6048" s="5"/>
      <c r="I6048" s="5"/>
      <c r="J6048" s="5"/>
      <c r="K6048" s="5"/>
      <c r="L6048" s="5"/>
      <c r="M6048" s="5"/>
      <c r="N6048" s="5"/>
      <c r="O6048" s="5"/>
      <c r="P6048" s="5"/>
      <c r="Q6048" s="5"/>
      <c r="R6048" s="5"/>
      <c r="S6048" s="5"/>
      <c r="T6048" s="5"/>
      <c r="U6048" s="5"/>
      <c r="V6048" s="5"/>
      <c r="W6048" s="5"/>
      <c r="X6048" s="5"/>
      <c r="Y6048" s="5"/>
      <c r="Z6048" s="5"/>
    </row>
    <row r="6049" spans="1:26" ht="15" x14ac:dyDescent="0.25">
      <c r="A6049" s="4" t="s">
        <v>6047</v>
      </c>
      <c r="B6049" s="4" t="s">
        <v>4550</v>
      </c>
      <c r="C6049" s="2" t="str">
        <f ca="1">IFERROR(__xludf.DUMMYFUNCTION("GOOGLETRANSLATE(A6049,""bn"",""en"")"),"Prime Minister discussed")</f>
        <v>Prime Minister discussed</v>
      </c>
      <c r="D6049" s="5"/>
      <c r="E6049" s="5"/>
      <c r="F6049" s="5"/>
      <c r="G6049" s="5"/>
      <c r="H6049" s="5"/>
      <c r="I6049" s="5"/>
      <c r="J6049" s="5"/>
      <c r="K6049" s="5"/>
      <c r="L6049" s="5"/>
      <c r="M6049" s="5"/>
      <c r="N6049" s="5"/>
      <c r="O6049" s="5"/>
      <c r="P6049" s="5"/>
      <c r="Q6049" s="5"/>
      <c r="R6049" s="5"/>
      <c r="S6049" s="5"/>
      <c r="T6049" s="5"/>
      <c r="U6049" s="5"/>
      <c r="V6049" s="5"/>
      <c r="W6049" s="5"/>
      <c r="X6049" s="5"/>
      <c r="Y6049" s="5"/>
      <c r="Z6049" s="5"/>
    </row>
    <row r="6050" spans="1:26" ht="15" x14ac:dyDescent="0.25">
      <c r="A6050" s="4" t="s">
        <v>6048</v>
      </c>
      <c r="B6050" s="4" t="s">
        <v>4550</v>
      </c>
      <c r="C6050" s="2" t="str">
        <f ca="1">IFERROR(__xludf.DUMMYFUNCTION("GOOGLETRANSLATE(A6050,""bn"",""en"")"),"I was reading various blogs")</f>
        <v>I was reading various blogs</v>
      </c>
      <c r="D6050" s="5"/>
      <c r="E6050" s="5"/>
      <c r="F6050" s="5"/>
      <c r="G6050" s="5"/>
      <c r="H6050" s="5"/>
      <c r="I6050" s="5"/>
      <c r="J6050" s="5"/>
      <c r="K6050" s="5"/>
      <c r="L6050" s="5"/>
      <c r="M6050" s="5"/>
      <c r="N6050" s="5"/>
      <c r="O6050" s="5"/>
      <c r="P6050" s="5"/>
      <c r="Q6050" s="5"/>
      <c r="R6050" s="5"/>
      <c r="S6050" s="5"/>
      <c r="T6050" s="5"/>
      <c r="U6050" s="5"/>
      <c r="V6050" s="5"/>
      <c r="W6050" s="5"/>
      <c r="X6050" s="5"/>
      <c r="Y6050" s="5"/>
      <c r="Z6050" s="5"/>
    </row>
    <row r="6051" spans="1:26" ht="15" x14ac:dyDescent="0.25">
      <c r="A6051" s="4" t="s">
        <v>6049</v>
      </c>
      <c r="B6051" s="4" t="s">
        <v>4550</v>
      </c>
      <c r="C6051" s="2" t="str">
        <f ca="1">IFERROR(__xludf.DUMMYFUNCTION("GOOGLETRANSLATE(A6051,""bn"",""en"")"),"Financial prosperity increased")</f>
        <v>Financial prosperity increased</v>
      </c>
      <c r="D6051" s="5"/>
      <c r="E6051" s="5"/>
      <c r="F6051" s="5"/>
      <c r="G6051" s="5"/>
      <c r="H6051" s="5"/>
      <c r="I6051" s="5"/>
      <c r="J6051" s="5"/>
      <c r="K6051" s="5"/>
      <c r="L6051" s="5"/>
      <c r="M6051" s="5"/>
      <c r="N6051" s="5"/>
      <c r="O6051" s="5"/>
      <c r="P6051" s="5"/>
      <c r="Q6051" s="5"/>
      <c r="R6051" s="5"/>
      <c r="S6051" s="5"/>
      <c r="T6051" s="5"/>
      <c r="U6051" s="5"/>
      <c r="V6051" s="5"/>
      <c r="W6051" s="5"/>
      <c r="X6051" s="5"/>
      <c r="Y6051" s="5"/>
      <c r="Z6051" s="5"/>
    </row>
    <row r="6052" spans="1:26" ht="15" x14ac:dyDescent="0.25">
      <c r="A6052" s="4" t="s">
        <v>6050</v>
      </c>
      <c r="B6052" s="4" t="s">
        <v>4550</v>
      </c>
      <c r="C6052" s="2" t="str">
        <f ca="1">IFERROR(__xludf.DUMMYFUNCTION("GOOGLETRANSLATE(A6052,""bn"",""en"")"),"Windows was popular")</f>
        <v>Windows was popular</v>
      </c>
      <c r="D6052" s="5"/>
      <c r="E6052" s="5"/>
      <c r="F6052" s="5"/>
      <c r="G6052" s="5"/>
      <c r="H6052" s="5"/>
      <c r="I6052" s="5"/>
      <c r="J6052" s="5"/>
      <c r="K6052" s="5"/>
      <c r="L6052" s="5"/>
      <c r="M6052" s="5"/>
      <c r="N6052" s="5"/>
      <c r="O6052" s="5"/>
      <c r="P6052" s="5"/>
      <c r="Q6052" s="5"/>
      <c r="R6052" s="5"/>
      <c r="S6052" s="5"/>
      <c r="T6052" s="5"/>
      <c r="U6052" s="5"/>
      <c r="V6052" s="5"/>
      <c r="W6052" s="5"/>
      <c r="X6052" s="5"/>
      <c r="Y6052" s="5"/>
      <c r="Z6052" s="5"/>
    </row>
    <row r="6053" spans="1:26" ht="15" x14ac:dyDescent="0.25">
      <c r="A6053" s="4" t="s">
        <v>6051</v>
      </c>
      <c r="B6053" s="4" t="s">
        <v>4550</v>
      </c>
      <c r="C6053" s="2" t="str">
        <f ca="1">IFERROR(__xludf.DUMMYFUNCTION("GOOGLETRANSLATE(A6053,""bn"",""en"")"),"I was giving bank service")</f>
        <v>I was giving bank service</v>
      </c>
      <c r="D6053" s="5"/>
      <c r="E6053" s="5"/>
      <c r="F6053" s="5"/>
      <c r="G6053" s="5"/>
      <c r="H6053" s="5"/>
      <c r="I6053" s="5"/>
      <c r="J6053" s="5"/>
      <c r="K6053" s="5"/>
      <c r="L6053" s="5"/>
      <c r="M6053" s="5"/>
      <c r="N6053" s="5"/>
      <c r="O6053" s="5"/>
      <c r="P6053" s="5"/>
      <c r="Q6053" s="5"/>
      <c r="R6053" s="5"/>
      <c r="S6053" s="5"/>
      <c r="T6053" s="5"/>
      <c r="U6053" s="5"/>
      <c r="V6053" s="5"/>
      <c r="W6053" s="5"/>
      <c r="X6053" s="5"/>
      <c r="Y6053" s="5"/>
      <c r="Z6053" s="5"/>
    </row>
    <row r="6054" spans="1:26" ht="15" x14ac:dyDescent="0.25">
      <c r="A6054" s="4" t="s">
        <v>6052</v>
      </c>
      <c r="B6054" s="4" t="s">
        <v>4550</v>
      </c>
      <c r="C6054" s="2" t="str">
        <f ca="1">IFERROR(__xludf.DUMMYFUNCTION("GOOGLETRANSLATE(A6054,""bn"",""en"")"),"I attended the meeting")</f>
        <v>I attended the meeting</v>
      </c>
      <c r="D6054" s="5"/>
      <c r="E6054" s="5"/>
      <c r="F6054" s="5"/>
      <c r="G6054" s="5"/>
      <c r="H6054" s="5"/>
      <c r="I6054" s="5"/>
      <c r="J6054" s="5"/>
      <c r="K6054" s="5"/>
      <c r="L6054" s="5"/>
      <c r="M6054" s="5"/>
      <c r="N6054" s="5"/>
      <c r="O6054" s="5"/>
      <c r="P6054" s="5"/>
      <c r="Q6054" s="5"/>
      <c r="R6054" s="5"/>
      <c r="S6054" s="5"/>
      <c r="T6054" s="5"/>
      <c r="U6054" s="5"/>
      <c r="V6054" s="5"/>
      <c r="W6054" s="5"/>
      <c r="X6054" s="5"/>
      <c r="Y6054" s="5"/>
      <c r="Z6054" s="5"/>
    </row>
    <row r="6055" spans="1:26" ht="15" x14ac:dyDescent="0.25">
      <c r="A6055" s="4" t="s">
        <v>6053</v>
      </c>
      <c r="B6055" s="4" t="s">
        <v>4550</v>
      </c>
      <c r="C6055" s="2" t="str">
        <f ca="1">IFERROR(__xludf.DUMMYFUNCTION("GOOGLETRANSLATE(A6055,""bn"",""en"")"),"The rocket went into space")</f>
        <v>The rocket went into space</v>
      </c>
      <c r="D6055" s="5"/>
      <c r="E6055" s="5"/>
      <c r="F6055" s="5"/>
      <c r="G6055" s="5"/>
      <c r="H6055" s="5"/>
      <c r="I6055" s="5"/>
      <c r="J6055" s="5"/>
      <c r="K6055" s="5"/>
      <c r="L6055" s="5"/>
      <c r="M6055" s="5"/>
      <c r="N6055" s="5"/>
      <c r="O6055" s="5"/>
      <c r="P6055" s="5"/>
      <c r="Q6055" s="5"/>
      <c r="R6055" s="5"/>
      <c r="S6055" s="5"/>
      <c r="T6055" s="5"/>
      <c r="U6055" s="5"/>
      <c r="V6055" s="5"/>
      <c r="W6055" s="5"/>
      <c r="X6055" s="5"/>
      <c r="Y6055" s="5"/>
      <c r="Z6055" s="5"/>
    </row>
    <row r="6056" spans="1:26" ht="15" x14ac:dyDescent="0.25">
      <c r="A6056" s="4" t="s">
        <v>6054</v>
      </c>
      <c r="B6056" s="4" t="s">
        <v>4550</v>
      </c>
      <c r="C6056" s="2" t="str">
        <f ca="1">IFERROR(__xludf.DUMMYFUNCTION("GOOGLETRANSLATE(A6056,""bn"",""en"")"),"I played sports in college")</f>
        <v>I played sports in college</v>
      </c>
      <c r="D6056" s="5"/>
      <c r="E6056" s="5"/>
      <c r="F6056" s="5"/>
      <c r="G6056" s="5"/>
      <c r="H6056" s="5"/>
      <c r="I6056" s="5"/>
      <c r="J6056" s="5"/>
      <c r="K6056" s="5"/>
      <c r="L6056" s="5"/>
      <c r="M6056" s="5"/>
      <c r="N6056" s="5"/>
      <c r="O6056" s="5"/>
      <c r="P6056" s="5"/>
      <c r="Q6056" s="5"/>
      <c r="R6056" s="5"/>
      <c r="S6056" s="5"/>
      <c r="T6056" s="5"/>
      <c r="U6056" s="5"/>
      <c r="V6056" s="5"/>
      <c r="W6056" s="5"/>
      <c r="X6056" s="5"/>
      <c r="Y6056" s="5"/>
      <c r="Z6056" s="5"/>
    </row>
    <row r="6057" spans="1:26" ht="15" x14ac:dyDescent="0.25">
      <c r="A6057" s="4" t="s">
        <v>6055</v>
      </c>
      <c r="B6057" s="4" t="s">
        <v>4550</v>
      </c>
      <c r="C6057" s="2" t="str">
        <f ca="1">IFERROR(__xludf.DUMMYFUNCTION("GOOGLETRANSLATE(A6057,""bn"",""en"")"),"I used to work in a bank")</f>
        <v>I used to work in a bank</v>
      </c>
      <c r="D6057" s="5"/>
      <c r="E6057" s="5"/>
      <c r="F6057" s="5"/>
      <c r="G6057" s="5"/>
      <c r="H6057" s="5"/>
      <c r="I6057" s="5"/>
      <c r="J6057" s="5"/>
      <c r="K6057" s="5"/>
      <c r="L6057" s="5"/>
      <c r="M6057" s="5"/>
      <c r="N6057" s="5"/>
      <c r="O6057" s="5"/>
      <c r="P6057" s="5"/>
      <c r="Q6057" s="5"/>
      <c r="R6057" s="5"/>
      <c r="S6057" s="5"/>
      <c r="T6057" s="5"/>
      <c r="U6057" s="5"/>
      <c r="V6057" s="5"/>
      <c r="W6057" s="5"/>
      <c r="X6057" s="5"/>
      <c r="Y6057" s="5"/>
      <c r="Z6057" s="5"/>
    </row>
    <row r="6058" spans="1:26" ht="15" x14ac:dyDescent="0.25">
      <c r="A6058" s="4" t="s">
        <v>6056</v>
      </c>
      <c r="B6058" s="4" t="s">
        <v>4550</v>
      </c>
      <c r="C6058" s="2" t="str">
        <f ca="1">IFERROR(__xludf.DUMMYFUNCTION("GOOGLETRANSLATE(A6058,""bn"",""en"")"),"Investments were coming to the country")</f>
        <v>Investments were coming to the country</v>
      </c>
      <c r="D6058" s="5"/>
      <c r="E6058" s="5"/>
      <c r="F6058" s="5"/>
      <c r="G6058" s="5"/>
      <c r="H6058" s="5"/>
      <c r="I6058" s="5"/>
      <c r="J6058" s="5"/>
      <c r="K6058" s="5"/>
      <c r="L6058" s="5"/>
      <c r="M6058" s="5"/>
      <c r="N6058" s="5"/>
      <c r="O6058" s="5"/>
      <c r="P6058" s="5"/>
      <c r="Q6058" s="5"/>
      <c r="R6058" s="5"/>
      <c r="S6058" s="5"/>
      <c r="T6058" s="5"/>
      <c r="U6058" s="5"/>
      <c r="V6058" s="5"/>
      <c r="W6058" s="5"/>
      <c r="X6058" s="5"/>
      <c r="Y6058" s="5"/>
      <c r="Z6058" s="5"/>
    </row>
    <row r="6059" spans="1:26" ht="15" x14ac:dyDescent="0.25">
      <c r="A6059" s="4" t="s">
        <v>6057</v>
      </c>
      <c r="B6059" s="4" t="s">
        <v>4550</v>
      </c>
      <c r="C6059" s="2" t="str">
        <f ca="1">IFERROR(__xludf.DUMMYFUNCTION("GOOGLETRANSLATE(A6059,""bn"",""en"")"),"I was using IoT")</f>
        <v>I was using IoT</v>
      </c>
      <c r="D6059" s="5"/>
      <c r="E6059" s="5"/>
      <c r="F6059" s="5"/>
      <c r="G6059" s="5"/>
      <c r="H6059" s="5"/>
      <c r="I6059" s="5"/>
      <c r="J6059" s="5"/>
      <c r="K6059" s="5"/>
      <c r="L6059" s="5"/>
      <c r="M6059" s="5"/>
      <c r="N6059" s="5"/>
      <c r="O6059" s="5"/>
      <c r="P6059" s="5"/>
      <c r="Q6059" s="5"/>
      <c r="R6059" s="5"/>
      <c r="S6059" s="5"/>
      <c r="T6059" s="5"/>
      <c r="U6059" s="5"/>
      <c r="V6059" s="5"/>
      <c r="W6059" s="5"/>
      <c r="X6059" s="5"/>
      <c r="Y6059" s="5"/>
      <c r="Z6059" s="5"/>
    </row>
    <row r="6060" spans="1:26" ht="15" x14ac:dyDescent="0.25">
      <c r="A6060" s="4" t="s">
        <v>6058</v>
      </c>
      <c r="B6060" s="4" t="s">
        <v>4550</v>
      </c>
      <c r="C6060" s="2" t="str">
        <f ca="1">IFERROR(__xludf.DUMMYFUNCTION("GOOGLETRANSLATE(A6060,""bn"",""en"")"),"The government was helping")</f>
        <v>The government was helping</v>
      </c>
      <c r="D6060" s="5"/>
      <c r="E6060" s="5"/>
      <c r="F6060" s="5"/>
      <c r="G6060" s="5"/>
      <c r="H6060" s="5"/>
      <c r="I6060" s="5"/>
      <c r="J6060" s="5"/>
      <c r="K6060" s="5"/>
      <c r="L6060" s="5"/>
      <c r="M6060" s="5"/>
      <c r="N6060" s="5"/>
      <c r="O6060" s="5"/>
      <c r="P6060" s="5"/>
      <c r="Q6060" s="5"/>
      <c r="R6060" s="5"/>
      <c r="S6060" s="5"/>
      <c r="T6060" s="5"/>
      <c r="U6060" s="5"/>
      <c r="V6060" s="5"/>
      <c r="W6060" s="5"/>
      <c r="X6060" s="5"/>
      <c r="Y6060" s="5"/>
      <c r="Z6060" s="5"/>
    </row>
    <row r="6061" spans="1:26" ht="15" x14ac:dyDescent="0.25">
      <c r="A6061" s="4" t="s">
        <v>6059</v>
      </c>
      <c r="B6061" s="4" t="s">
        <v>4550</v>
      </c>
      <c r="C6061" s="2" t="str">
        <f ca="1">IFERROR(__xludf.DUMMYFUNCTION("GOOGLETRANSLATE(A6061,""bn"",""en"")"),"I learned a lot using technology")</f>
        <v>I learned a lot using technology</v>
      </c>
      <c r="D6061" s="5"/>
      <c r="E6061" s="5"/>
      <c r="F6061" s="5"/>
      <c r="G6061" s="5"/>
      <c r="H6061" s="5"/>
      <c r="I6061" s="5"/>
      <c r="J6061" s="5"/>
      <c r="K6061" s="5"/>
      <c r="L6061" s="5"/>
      <c r="M6061" s="5"/>
      <c r="N6061" s="5"/>
      <c r="O6061" s="5"/>
      <c r="P6061" s="5"/>
      <c r="Q6061" s="5"/>
      <c r="R6061" s="5"/>
      <c r="S6061" s="5"/>
      <c r="T6061" s="5"/>
      <c r="U6061" s="5"/>
      <c r="V6061" s="5"/>
      <c r="W6061" s="5"/>
      <c r="X6061" s="5"/>
      <c r="Y6061" s="5"/>
      <c r="Z6061" s="5"/>
    </row>
    <row r="6062" spans="1:26" ht="15" x14ac:dyDescent="0.25">
      <c r="A6062" s="4" t="s">
        <v>6060</v>
      </c>
      <c r="B6062" s="4" t="s">
        <v>4550</v>
      </c>
      <c r="C6062" s="2" t="str">
        <f ca="1">IFERROR(__xludf.DUMMYFUNCTION("GOOGLETRANSLATE(A6062,""bn"",""en"")"),"you read the book")</f>
        <v>you read the book</v>
      </c>
      <c r="D6062" s="5"/>
      <c r="E6062" s="5"/>
      <c r="F6062" s="5"/>
      <c r="G6062" s="5"/>
      <c r="H6062" s="5"/>
      <c r="I6062" s="5"/>
      <c r="J6062" s="5"/>
      <c r="K6062" s="5"/>
      <c r="L6062" s="5"/>
      <c r="M6062" s="5"/>
      <c r="N6062" s="5"/>
      <c r="O6062" s="5"/>
      <c r="P6062" s="5"/>
      <c r="Q6062" s="5"/>
      <c r="R6062" s="5"/>
      <c r="S6062" s="5"/>
      <c r="T6062" s="5"/>
      <c r="U6062" s="5"/>
      <c r="V6062" s="5"/>
      <c r="W6062" s="5"/>
      <c r="X6062" s="5"/>
      <c r="Y6062" s="5"/>
      <c r="Z6062" s="5"/>
    </row>
    <row r="6063" spans="1:26" ht="15" x14ac:dyDescent="0.25">
      <c r="A6063" s="4" t="s">
        <v>6061</v>
      </c>
      <c r="B6063" s="4" t="s">
        <v>4550</v>
      </c>
      <c r="C6063" s="2" t="str">
        <f ca="1">IFERROR(__xludf.DUMMYFUNCTION("GOOGLETRANSLATE(A6063,""bn"",""en"")"),"Financial development was taking place")</f>
        <v>Financial development was taking place</v>
      </c>
      <c r="D6063" s="5"/>
      <c r="E6063" s="5"/>
      <c r="F6063" s="5"/>
      <c r="G6063" s="5"/>
      <c r="H6063" s="5"/>
      <c r="I6063" s="5"/>
      <c r="J6063" s="5"/>
      <c r="K6063" s="5"/>
      <c r="L6063" s="5"/>
      <c r="M6063" s="5"/>
      <c r="N6063" s="5"/>
      <c r="O6063" s="5"/>
      <c r="P6063" s="5"/>
      <c r="Q6063" s="5"/>
      <c r="R6063" s="5"/>
      <c r="S6063" s="5"/>
      <c r="T6063" s="5"/>
      <c r="U6063" s="5"/>
      <c r="V6063" s="5"/>
      <c r="W6063" s="5"/>
      <c r="X6063" s="5"/>
      <c r="Y6063" s="5"/>
      <c r="Z6063" s="5"/>
    </row>
    <row r="6064" spans="1:26" ht="15" x14ac:dyDescent="0.25">
      <c r="A6064" s="4" t="s">
        <v>6062</v>
      </c>
      <c r="B6064" s="4" t="s">
        <v>4550</v>
      </c>
      <c r="C6064" s="2" t="str">
        <f ca="1">IFERROR(__xludf.DUMMYFUNCTION("GOOGLETRANSLATE(A6064,""bn"",""en"")"),"The waves spread softly")</f>
        <v>The waves spread softly</v>
      </c>
      <c r="D6064" s="5"/>
      <c r="E6064" s="5"/>
      <c r="F6064" s="5"/>
      <c r="G6064" s="5"/>
      <c r="H6064" s="5"/>
      <c r="I6064" s="5"/>
      <c r="J6064" s="5"/>
      <c r="K6064" s="5"/>
      <c r="L6064" s="5"/>
      <c r="M6064" s="5"/>
      <c r="N6064" s="5"/>
      <c r="O6064" s="5"/>
      <c r="P6064" s="5"/>
      <c r="Q6064" s="5"/>
      <c r="R6064" s="5"/>
      <c r="S6064" s="5"/>
      <c r="T6064" s="5"/>
      <c r="U6064" s="5"/>
      <c r="V6064" s="5"/>
      <c r="W6064" s="5"/>
      <c r="X6064" s="5"/>
      <c r="Y6064" s="5"/>
      <c r="Z6064" s="5"/>
    </row>
    <row r="6065" spans="1:26" ht="15" x14ac:dyDescent="0.25">
      <c r="A6065" s="4" t="s">
        <v>6063</v>
      </c>
      <c r="B6065" s="4" t="s">
        <v>4550</v>
      </c>
      <c r="C6065" s="2" t="str">
        <f ca="1">IFERROR(__xludf.DUMMYFUNCTION("GOOGLETRANSLATE(A6065,""bn"",""en"")"),"I distributed winter clothes")</f>
        <v>I distributed winter clothes</v>
      </c>
      <c r="D6065" s="5"/>
      <c r="E6065" s="5"/>
      <c r="F6065" s="5"/>
      <c r="G6065" s="5"/>
      <c r="H6065" s="5"/>
      <c r="I6065" s="5"/>
      <c r="J6065" s="5"/>
      <c r="K6065" s="5"/>
      <c r="L6065" s="5"/>
      <c r="M6065" s="5"/>
      <c r="N6065" s="5"/>
      <c r="O6065" s="5"/>
      <c r="P6065" s="5"/>
      <c r="Q6065" s="5"/>
      <c r="R6065" s="5"/>
      <c r="S6065" s="5"/>
      <c r="T6065" s="5"/>
      <c r="U6065" s="5"/>
      <c r="V6065" s="5"/>
      <c r="W6065" s="5"/>
      <c r="X6065" s="5"/>
      <c r="Y6065" s="5"/>
      <c r="Z6065" s="5"/>
    </row>
    <row r="6066" spans="1:26" ht="15" x14ac:dyDescent="0.25">
      <c r="A6066" s="4" t="s">
        <v>6064</v>
      </c>
      <c r="B6066" s="4" t="s">
        <v>4550</v>
      </c>
      <c r="C6066" s="2" t="str">
        <f ca="1">IFERROR(__xludf.DUMMYFUNCTION("GOOGLETRANSLATE(A6066,""bn"",""en"")"),"Loved traveling")</f>
        <v>Loved traveling</v>
      </c>
      <c r="D6066" s="5"/>
      <c r="E6066" s="5"/>
      <c r="F6066" s="5"/>
      <c r="G6066" s="5"/>
      <c r="H6066" s="5"/>
      <c r="I6066" s="5"/>
      <c r="J6066" s="5"/>
      <c r="K6066" s="5"/>
      <c r="L6066" s="5"/>
      <c r="M6066" s="5"/>
      <c r="N6066" s="5"/>
      <c r="O6066" s="5"/>
      <c r="P6066" s="5"/>
      <c r="Q6066" s="5"/>
      <c r="R6066" s="5"/>
      <c r="S6066" s="5"/>
      <c r="T6066" s="5"/>
      <c r="U6066" s="5"/>
      <c r="V6066" s="5"/>
      <c r="W6066" s="5"/>
      <c r="X6066" s="5"/>
      <c r="Y6066" s="5"/>
      <c r="Z6066" s="5"/>
    </row>
    <row r="6067" spans="1:26" ht="15" x14ac:dyDescent="0.25">
      <c r="A6067" s="4" t="s">
        <v>6065</v>
      </c>
      <c r="B6067" s="4" t="s">
        <v>4550</v>
      </c>
      <c r="C6067" s="2" t="str">
        <f ca="1">IFERROR(__xludf.DUMMYFUNCTION("GOOGLETRANSLATE(A6067,""bn"",""en"")"),"I was going to Mecca")</f>
        <v>I was going to Mecca</v>
      </c>
      <c r="D6067" s="5"/>
      <c r="E6067" s="5"/>
      <c r="F6067" s="5"/>
      <c r="G6067" s="5"/>
      <c r="H6067" s="5"/>
      <c r="I6067" s="5"/>
      <c r="J6067" s="5"/>
      <c r="K6067" s="5"/>
      <c r="L6067" s="5"/>
      <c r="M6067" s="5"/>
      <c r="N6067" s="5"/>
      <c r="O6067" s="5"/>
      <c r="P6067" s="5"/>
      <c r="Q6067" s="5"/>
      <c r="R6067" s="5"/>
      <c r="S6067" s="5"/>
      <c r="T6067" s="5"/>
      <c r="U6067" s="5"/>
      <c r="V6067" s="5"/>
      <c r="W6067" s="5"/>
      <c r="X6067" s="5"/>
      <c r="Y6067" s="5"/>
      <c r="Z6067" s="5"/>
    </row>
    <row r="6068" spans="1:26" ht="15" x14ac:dyDescent="0.25">
      <c r="A6068" s="4" t="s">
        <v>6066</v>
      </c>
      <c r="B6068" s="4" t="s">
        <v>4550</v>
      </c>
      <c r="C6068" s="2" t="str">
        <f ca="1">IFERROR(__xludf.DUMMYFUNCTION("GOOGLETRANSLATE(A6068,""bn"",""en"")"),"I skyride")</f>
        <v>I skyride</v>
      </c>
      <c r="D6068" s="5"/>
      <c r="E6068" s="5"/>
      <c r="F6068" s="5"/>
      <c r="G6068" s="5"/>
      <c r="H6068" s="5"/>
      <c r="I6068" s="5"/>
      <c r="J6068" s="5"/>
      <c r="K6068" s="5"/>
      <c r="L6068" s="5"/>
      <c r="M6068" s="5"/>
      <c r="N6068" s="5"/>
      <c r="O6068" s="5"/>
      <c r="P6068" s="5"/>
      <c r="Q6068" s="5"/>
      <c r="R6068" s="5"/>
      <c r="S6068" s="5"/>
      <c r="T6068" s="5"/>
      <c r="U6068" s="5"/>
      <c r="V6068" s="5"/>
      <c r="W6068" s="5"/>
      <c r="X6068" s="5"/>
      <c r="Y6068" s="5"/>
      <c r="Z6068" s="5"/>
    </row>
    <row r="6069" spans="1:26" ht="15" x14ac:dyDescent="0.25">
      <c r="A6069" s="4" t="s">
        <v>6067</v>
      </c>
      <c r="B6069" s="4" t="s">
        <v>4550</v>
      </c>
      <c r="C6069" s="2" t="str">
        <f ca="1">IFERROR(__xludf.DUMMYFUNCTION("GOOGLETRANSLATE(A6069,""bn"",""en"")"),"I worked in the organization")</f>
        <v>I worked in the organization</v>
      </c>
      <c r="D6069" s="5"/>
      <c r="E6069" s="5"/>
      <c r="F6069" s="5"/>
      <c r="G6069" s="5"/>
      <c r="H6069" s="5"/>
      <c r="I6069" s="5"/>
      <c r="J6069" s="5"/>
      <c r="K6069" s="5"/>
      <c r="L6069" s="5"/>
      <c r="M6069" s="5"/>
      <c r="N6069" s="5"/>
      <c r="O6069" s="5"/>
      <c r="P6069" s="5"/>
      <c r="Q6069" s="5"/>
      <c r="R6069" s="5"/>
      <c r="S6069" s="5"/>
      <c r="T6069" s="5"/>
      <c r="U6069" s="5"/>
      <c r="V6069" s="5"/>
      <c r="W6069" s="5"/>
      <c r="X6069" s="5"/>
      <c r="Y6069" s="5"/>
      <c r="Z6069" s="5"/>
    </row>
    <row r="6070" spans="1:26" ht="15" x14ac:dyDescent="0.25">
      <c r="A6070" s="4" t="s">
        <v>6068</v>
      </c>
      <c r="B6070" s="4" t="s">
        <v>4550</v>
      </c>
      <c r="C6070" s="2" t="str">
        <f ca="1">IFERROR(__xludf.DUMMYFUNCTION("GOOGLETRANSLATE(A6070,""bn"",""en"")"),"I was going to Kashmir")</f>
        <v>I was going to Kashmir</v>
      </c>
      <c r="D6070" s="5"/>
      <c r="E6070" s="5"/>
      <c r="F6070" s="5"/>
      <c r="G6070" s="5"/>
      <c r="H6070" s="5"/>
      <c r="I6070" s="5"/>
      <c r="J6070" s="5"/>
      <c r="K6070" s="5"/>
      <c r="L6070" s="5"/>
      <c r="M6070" s="5"/>
      <c r="N6070" s="5"/>
      <c r="O6070" s="5"/>
      <c r="P6070" s="5"/>
      <c r="Q6070" s="5"/>
      <c r="R6070" s="5"/>
      <c r="S6070" s="5"/>
      <c r="T6070" s="5"/>
      <c r="U6070" s="5"/>
      <c r="V6070" s="5"/>
      <c r="W6070" s="5"/>
      <c r="X6070" s="5"/>
      <c r="Y6070" s="5"/>
      <c r="Z6070" s="5"/>
    </row>
    <row r="6071" spans="1:26" ht="15" x14ac:dyDescent="0.25">
      <c r="A6071" s="4" t="s">
        <v>6069</v>
      </c>
      <c r="B6071" s="4" t="s">
        <v>4550</v>
      </c>
      <c r="C6071" s="2" t="str">
        <f ca="1">IFERROR(__xludf.DUMMYFUNCTION("GOOGLETRANSLATE(A6071,""bn"",""en"")"),"He read everyday")</f>
        <v>He read everyday</v>
      </c>
      <c r="D6071" s="5"/>
      <c r="E6071" s="5"/>
      <c r="F6071" s="5"/>
      <c r="G6071" s="5"/>
      <c r="H6071" s="5"/>
      <c r="I6071" s="5"/>
      <c r="J6071" s="5"/>
      <c r="K6071" s="5"/>
      <c r="L6071" s="5"/>
      <c r="M6071" s="5"/>
      <c r="N6071" s="5"/>
      <c r="O6071" s="5"/>
      <c r="P6071" s="5"/>
      <c r="Q6071" s="5"/>
      <c r="R6071" s="5"/>
      <c r="S6071" s="5"/>
      <c r="T6071" s="5"/>
      <c r="U6071" s="5"/>
      <c r="V6071" s="5"/>
      <c r="W6071" s="5"/>
      <c r="X6071" s="5"/>
      <c r="Y6071" s="5"/>
      <c r="Z6071" s="5"/>
    </row>
    <row r="6072" spans="1:26" ht="15" x14ac:dyDescent="0.25">
      <c r="A6072" s="4" t="s">
        <v>6070</v>
      </c>
      <c r="B6072" s="4" t="s">
        <v>4550</v>
      </c>
      <c r="C6072" s="2" t="str">
        <f ca="1">IFERROR(__xludf.DUMMYFUNCTION("GOOGLETRANSLATE(A6072,""bn"",""en"")"),"He was reading a book")</f>
        <v>He was reading a book</v>
      </c>
      <c r="D6072" s="5"/>
      <c r="E6072" s="5"/>
      <c r="F6072" s="5"/>
      <c r="G6072" s="5"/>
      <c r="H6072" s="5"/>
      <c r="I6072" s="5"/>
      <c r="J6072" s="5"/>
      <c r="K6072" s="5"/>
      <c r="L6072" s="5"/>
      <c r="M6072" s="5"/>
      <c r="N6072" s="5"/>
      <c r="O6072" s="5"/>
      <c r="P6072" s="5"/>
      <c r="Q6072" s="5"/>
      <c r="R6072" s="5"/>
      <c r="S6072" s="5"/>
      <c r="T6072" s="5"/>
      <c r="U6072" s="5"/>
      <c r="V6072" s="5"/>
      <c r="W6072" s="5"/>
      <c r="X6072" s="5"/>
      <c r="Y6072" s="5"/>
      <c r="Z6072" s="5"/>
    </row>
    <row r="6073" spans="1:26" ht="15" x14ac:dyDescent="0.25">
      <c r="A6073" s="4" t="s">
        <v>6071</v>
      </c>
      <c r="B6073" s="4" t="s">
        <v>4550</v>
      </c>
      <c r="C6073" s="2" t="str">
        <f ca="1">IFERROR(__xludf.DUMMYFUNCTION("GOOGLETRANSLATE(A6073,""bn"",""en"")"),"I went with friends")</f>
        <v>I went with friends</v>
      </c>
      <c r="D6073" s="5"/>
      <c r="E6073" s="5"/>
      <c r="F6073" s="5"/>
      <c r="G6073" s="5"/>
      <c r="H6073" s="5"/>
      <c r="I6073" s="5"/>
      <c r="J6073" s="5"/>
      <c r="K6073" s="5"/>
      <c r="L6073" s="5"/>
      <c r="M6073" s="5"/>
      <c r="N6073" s="5"/>
      <c r="O6073" s="5"/>
      <c r="P6073" s="5"/>
      <c r="Q6073" s="5"/>
      <c r="R6073" s="5"/>
      <c r="S6073" s="5"/>
      <c r="T6073" s="5"/>
      <c r="U6073" s="5"/>
      <c r="V6073" s="5"/>
      <c r="W6073" s="5"/>
      <c r="X6073" s="5"/>
      <c r="Y6073" s="5"/>
      <c r="Z6073" s="5"/>
    </row>
    <row r="6074" spans="1:26" ht="15" x14ac:dyDescent="0.25">
      <c r="A6074" s="4" t="s">
        <v>6072</v>
      </c>
      <c r="B6074" s="4" t="s">
        <v>4550</v>
      </c>
      <c r="C6074" s="2" t="str">
        <f ca="1">IFERROR(__xludf.DUMMYFUNCTION("GOOGLETRANSLATE(A6074,""bn"",""en"")"),"I was happy with the trip")</f>
        <v>I was happy with the trip</v>
      </c>
      <c r="D6074" s="5"/>
      <c r="E6074" s="5"/>
      <c r="F6074" s="5"/>
      <c r="G6074" s="5"/>
      <c r="H6074" s="5"/>
      <c r="I6074" s="5"/>
      <c r="J6074" s="5"/>
      <c r="K6074" s="5"/>
      <c r="L6074" s="5"/>
      <c r="M6074" s="5"/>
      <c r="N6074" s="5"/>
      <c r="O6074" s="5"/>
      <c r="P6074" s="5"/>
      <c r="Q6074" s="5"/>
      <c r="R6074" s="5"/>
      <c r="S6074" s="5"/>
      <c r="T6074" s="5"/>
      <c r="U6074" s="5"/>
      <c r="V6074" s="5"/>
      <c r="W6074" s="5"/>
      <c r="X6074" s="5"/>
      <c r="Y6074" s="5"/>
      <c r="Z6074" s="5"/>
    </row>
    <row r="6075" spans="1:26" ht="15" x14ac:dyDescent="0.25">
      <c r="A6075" s="4" t="s">
        <v>6073</v>
      </c>
      <c r="B6075" s="4" t="s">
        <v>4550</v>
      </c>
      <c r="C6075" s="2" t="str">
        <f ca="1">IFERROR(__xludf.DUMMYFUNCTION("GOOGLETRANSLATE(A6075,""bn"",""en"")"),"was using technology")</f>
        <v>was using technology</v>
      </c>
      <c r="D6075" s="5"/>
      <c r="E6075" s="5"/>
      <c r="F6075" s="5"/>
      <c r="G6075" s="5"/>
      <c r="H6075" s="5"/>
      <c r="I6075" s="5"/>
      <c r="J6075" s="5"/>
      <c r="K6075" s="5"/>
      <c r="L6075" s="5"/>
      <c r="M6075" s="5"/>
      <c r="N6075" s="5"/>
      <c r="O6075" s="5"/>
      <c r="P6075" s="5"/>
      <c r="Q6075" s="5"/>
      <c r="R6075" s="5"/>
      <c r="S6075" s="5"/>
      <c r="T6075" s="5"/>
      <c r="U6075" s="5"/>
      <c r="V6075" s="5"/>
      <c r="W6075" s="5"/>
      <c r="X6075" s="5"/>
      <c r="Y6075" s="5"/>
      <c r="Z6075" s="5"/>
    </row>
    <row r="6076" spans="1:26" ht="15" x14ac:dyDescent="0.25">
      <c r="A6076" s="4" t="s">
        <v>6074</v>
      </c>
      <c r="B6076" s="4" t="s">
        <v>4550</v>
      </c>
      <c r="C6076" s="2" t="str">
        <f ca="1">IFERROR(__xludf.DUMMYFUNCTION("GOOGLETRANSLATE(A6076,""bn"",""en"")"),"Focused on studies")</f>
        <v>Focused on studies</v>
      </c>
      <c r="D6076" s="5"/>
      <c r="E6076" s="5"/>
      <c r="F6076" s="5"/>
      <c r="G6076" s="5"/>
      <c r="H6076" s="5"/>
      <c r="I6076" s="5"/>
      <c r="J6076" s="5"/>
      <c r="K6076" s="5"/>
      <c r="L6076" s="5"/>
      <c r="M6076" s="5"/>
      <c r="N6076" s="5"/>
      <c r="O6076" s="5"/>
      <c r="P6076" s="5"/>
      <c r="Q6076" s="5"/>
      <c r="R6076" s="5"/>
      <c r="S6076" s="5"/>
      <c r="T6076" s="5"/>
      <c r="U6076" s="5"/>
      <c r="V6076" s="5"/>
      <c r="W6076" s="5"/>
      <c r="X6076" s="5"/>
      <c r="Y6076" s="5"/>
      <c r="Z6076" s="5"/>
    </row>
    <row r="6077" spans="1:26" ht="15" x14ac:dyDescent="0.25">
      <c r="A6077" s="4" t="s">
        <v>6075</v>
      </c>
      <c r="B6077" s="4" t="s">
        <v>4550</v>
      </c>
      <c r="C6077" s="2" t="str">
        <f ca="1">IFERROR(__xludf.DUMMYFUNCTION("GOOGLETRANSLATE(A6077,""bn"",""en"")"),"I did the transaction on Nexus")</f>
        <v>I did the transaction on Nexus</v>
      </c>
      <c r="D6077" s="5"/>
      <c r="E6077" s="5"/>
      <c r="F6077" s="5"/>
      <c r="G6077" s="5"/>
      <c r="H6077" s="5"/>
      <c r="I6077" s="5"/>
      <c r="J6077" s="5"/>
      <c r="K6077" s="5"/>
      <c r="L6077" s="5"/>
      <c r="M6077" s="5"/>
      <c r="N6077" s="5"/>
      <c r="O6077" s="5"/>
      <c r="P6077" s="5"/>
      <c r="Q6077" s="5"/>
      <c r="R6077" s="5"/>
      <c r="S6077" s="5"/>
      <c r="T6077" s="5"/>
      <c r="U6077" s="5"/>
      <c r="V6077" s="5"/>
      <c r="W6077" s="5"/>
      <c r="X6077" s="5"/>
      <c r="Y6077" s="5"/>
      <c r="Z6077" s="5"/>
    </row>
    <row r="6078" spans="1:26" ht="15" x14ac:dyDescent="0.25">
      <c r="A6078" s="4" t="s">
        <v>6076</v>
      </c>
      <c r="B6078" s="4" t="s">
        <v>4550</v>
      </c>
      <c r="C6078" s="2" t="str">
        <f ca="1">IFERROR(__xludf.DUMMYFUNCTION("GOOGLETRANSLATE(A6078,""bn"",""en"")"),"There was financial prosperity")</f>
        <v>There was financial prosperity</v>
      </c>
      <c r="D6078" s="5"/>
      <c r="E6078" s="5"/>
      <c r="F6078" s="5"/>
      <c r="G6078" s="5"/>
      <c r="H6078" s="5"/>
      <c r="I6078" s="5"/>
      <c r="J6078" s="5"/>
      <c r="K6078" s="5"/>
      <c r="L6078" s="5"/>
      <c r="M6078" s="5"/>
      <c r="N6078" s="5"/>
      <c r="O6078" s="5"/>
      <c r="P6078" s="5"/>
      <c r="Q6078" s="5"/>
      <c r="R6078" s="5"/>
      <c r="S6078" s="5"/>
      <c r="T6078" s="5"/>
      <c r="U6078" s="5"/>
      <c r="V6078" s="5"/>
      <c r="W6078" s="5"/>
      <c r="X6078" s="5"/>
      <c r="Y6078" s="5"/>
      <c r="Z6078" s="5"/>
    </row>
    <row r="6079" spans="1:26" ht="15" x14ac:dyDescent="0.25">
      <c r="A6079" s="4" t="s">
        <v>6077</v>
      </c>
      <c r="B6079" s="4" t="s">
        <v>4550</v>
      </c>
      <c r="C6079" s="2" t="str">
        <f ca="1">IFERROR(__xludf.DUMMYFUNCTION("GOOGLETRANSLATE(A6079,""bn"",""en"")"),"I wrote the bank account")</f>
        <v>I wrote the bank account</v>
      </c>
      <c r="D6079" s="5"/>
      <c r="E6079" s="5"/>
      <c r="F6079" s="5"/>
      <c r="G6079" s="5"/>
      <c r="H6079" s="5"/>
      <c r="I6079" s="5"/>
      <c r="J6079" s="5"/>
      <c r="K6079" s="5"/>
      <c r="L6079" s="5"/>
      <c r="M6079" s="5"/>
      <c r="N6079" s="5"/>
      <c r="O6079" s="5"/>
      <c r="P6079" s="5"/>
      <c r="Q6079" s="5"/>
      <c r="R6079" s="5"/>
      <c r="S6079" s="5"/>
      <c r="T6079" s="5"/>
      <c r="U6079" s="5"/>
      <c r="V6079" s="5"/>
      <c r="W6079" s="5"/>
      <c r="X6079" s="5"/>
      <c r="Y6079" s="5"/>
      <c r="Z6079" s="5"/>
    </row>
    <row r="6080" spans="1:26" ht="15" x14ac:dyDescent="0.25">
      <c r="A6080" s="4" t="s">
        <v>6078</v>
      </c>
      <c r="B6080" s="4" t="s">
        <v>4550</v>
      </c>
      <c r="C6080" s="2" t="str">
        <f ca="1">IFERROR(__xludf.DUMMYFUNCTION("GOOGLETRANSLATE(A6080,""bn"",""en"")"),"The group was discussing")</f>
        <v>The group was discussing</v>
      </c>
      <c r="D6080" s="5"/>
      <c r="E6080" s="5"/>
      <c r="F6080" s="5"/>
      <c r="G6080" s="5"/>
      <c r="H6080" s="5"/>
      <c r="I6080" s="5"/>
      <c r="J6080" s="5"/>
      <c r="K6080" s="5"/>
      <c r="L6080" s="5"/>
      <c r="M6080" s="5"/>
      <c r="N6080" s="5"/>
      <c r="O6080" s="5"/>
      <c r="P6080" s="5"/>
      <c r="Q6080" s="5"/>
      <c r="R6080" s="5"/>
      <c r="S6080" s="5"/>
      <c r="T6080" s="5"/>
      <c r="U6080" s="5"/>
      <c r="V6080" s="5"/>
      <c r="W6080" s="5"/>
      <c r="X6080" s="5"/>
      <c r="Y6080" s="5"/>
      <c r="Z6080" s="5"/>
    </row>
    <row r="6081" spans="1:26" ht="15" x14ac:dyDescent="0.25">
      <c r="A6081" s="4" t="s">
        <v>6079</v>
      </c>
      <c r="B6081" s="4" t="s">
        <v>4550</v>
      </c>
      <c r="C6081" s="2" t="str">
        <f ca="1">IFERROR(__xludf.DUMMYFUNCTION("GOOGLETRANSLATE(A6081,""bn"",""en"")"),"There was a celebration")</f>
        <v>There was a celebration</v>
      </c>
      <c r="D6081" s="5"/>
      <c r="E6081" s="5"/>
      <c r="F6081" s="5"/>
      <c r="G6081" s="5"/>
      <c r="H6081" s="5"/>
      <c r="I6081" s="5"/>
      <c r="J6081" s="5"/>
      <c r="K6081" s="5"/>
      <c r="L6081" s="5"/>
      <c r="M6081" s="5"/>
      <c r="N6081" s="5"/>
      <c r="O6081" s="5"/>
      <c r="P6081" s="5"/>
      <c r="Q6081" s="5"/>
      <c r="R6081" s="5"/>
      <c r="S6081" s="5"/>
      <c r="T6081" s="5"/>
      <c r="U6081" s="5"/>
      <c r="V6081" s="5"/>
      <c r="W6081" s="5"/>
      <c r="X6081" s="5"/>
      <c r="Y6081" s="5"/>
      <c r="Z6081" s="5"/>
    </row>
    <row r="6082" spans="1:26" ht="15" x14ac:dyDescent="0.25">
      <c r="A6082" s="4" t="s">
        <v>6080</v>
      </c>
      <c r="B6082" s="4" t="s">
        <v>4550</v>
      </c>
      <c r="C6082" s="2" t="str">
        <f ca="1">IFERROR(__xludf.DUMMYFUNCTION("GOOGLETRANSLATE(A6082,""bn"",""en"")"),"I was using bluetooth")</f>
        <v>I was using bluetooth</v>
      </c>
      <c r="D6082" s="5"/>
      <c r="E6082" s="5"/>
      <c r="F6082" s="5"/>
      <c r="G6082" s="5"/>
      <c r="H6082" s="5"/>
      <c r="I6082" s="5"/>
      <c r="J6082" s="5"/>
      <c r="K6082" s="5"/>
      <c r="L6082" s="5"/>
      <c r="M6082" s="5"/>
      <c r="N6082" s="5"/>
      <c r="O6082" s="5"/>
      <c r="P6082" s="5"/>
      <c r="Q6082" s="5"/>
      <c r="R6082" s="5"/>
      <c r="S6082" s="5"/>
      <c r="T6082" s="5"/>
      <c r="U6082" s="5"/>
      <c r="V6082" s="5"/>
      <c r="W6082" s="5"/>
      <c r="X6082" s="5"/>
      <c r="Y6082" s="5"/>
      <c r="Z6082" s="5"/>
    </row>
    <row r="6083" spans="1:26" ht="15" x14ac:dyDescent="0.25">
      <c r="A6083" s="4" t="s">
        <v>6081</v>
      </c>
      <c r="B6083" s="4" t="s">
        <v>4550</v>
      </c>
      <c r="C6083" s="2" t="str">
        <f ca="1">IFERROR(__xludf.DUMMYFUNCTION("GOOGLETRANSLATE(A6083,""bn"",""en"")"),"I wanted to use a smartphone")</f>
        <v>I wanted to use a smartphone</v>
      </c>
      <c r="D6083" s="5"/>
      <c r="E6083" s="5"/>
      <c r="F6083" s="5"/>
      <c r="G6083" s="5"/>
      <c r="H6083" s="5"/>
      <c r="I6083" s="5"/>
      <c r="J6083" s="5"/>
      <c r="K6083" s="5"/>
      <c r="L6083" s="5"/>
      <c r="M6083" s="5"/>
      <c r="N6083" s="5"/>
      <c r="O6083" s="5"/>
      <c r="P6083" s="5"/>
      <c r="Q6083" s="5"/>
      <c r="R6083" s="5"/>
      <c r="S6083" s="5"/>
      <c r="T6083" s="5"/>
      <c r="U6083" s="5"/>
      <c r="V6083" s="5"/>
      <c r="W6083" s="5"/>
      <c r="X6083" s="5"/>
      <c r="Y6083" s="5"/>
      <c r="Z6083" s="5"/>
    </row>
    <row r="6084" spans="1:26" ht="15" x14ac:dyDescent="0.25">
      <c r="A6084" s="4" t="s">
        <v>6082</v>
      </c>
      <c r="B6084" s="4" t="s">
        <v>4550</v>
      </c>
      <c r="C6084" s="2" t="str">
        <f ca="1">IFERROR(__xludf.DUMMYFUNCTION("GOOGLETRANSLATE(A6084,""bn"",""en"")"),"Zakat was paid")</f>
        <v>Zakat was paid</v>
      </c>
      <c r="D6084" s="5"/>
      <c r="E6084" s="5"/>
      <c r="F6084" s="5"/>
      <c r="G6084" s="5"/>
      <c r="H6084" s="5"/>
      <c r="I6084" s="5"/>
      <c r="J6084" s="5"/>
      <c r="K6084" s="5"/>
      <c r="L6084" s="5"/>
      <c r="M6084" s="5"/>
      <c r="N6084" s="5"/>
      <c r="O6084" s="5"/>
      <c r="P6084" s="5"/>
      <c r="Q6084" s="5"/>
      <c r="R6084" s="5"/>
      <c r="S6084" s="5"/>
      <c r="T6084" s="5"/>
      <c r="U6084" s="5"/>
      <c r="V6084" s="5"/>
      <c r="W6084" s="5"/>
      <c r="X6084" s="5"/>
      <c r="Y6084" s="5"/>
      <c r="Z6084" s="5"/>
    </row>
    <row r="6085" spans="1:26" ht="15" x14ac:dyDescent="0.25">
      <c r="A6085" s="4" t="s">
        <v>6083</v>
      </c>
      <c r="B6085" s="4" t="s">
        <v>4550</v>
      </c>
      <c r="C6085" s="2" t="str">
        <f ca="1">IFERROR(__xludf.DUMMYFUNCTION("GOOGLETRANSLATE(A6085,""bn"",""en"")"),"I was taking pictures on my laptop")</f>
        <v>I was taking pictures on my laptop</v>
      </c>
      <c r="D6085" s="5"/>
      <c r="E6085" s="5"/>
      <c r="F6085" s="5"/>
      <c r="G6085" s="5"/>
      <c r="H6085" s="5"/>
      <c r="I6085" s="5"/>
      <c r="J6085" s="5"/>
      <c r="K6085" s="5"/>
      <c r="L6085" s="5"/>
      <c r="M6085" s="5"/>
      <c r="N6085" s="5"/>
      <c r="O6085" s="5"/>
      <c r="P6085" s="5"/>
      <c r="Q6085" s="5"/>
      <c r="R6085" s="5"/>
      <c r="S6085" s="5"/>
      <c r="T6085" s="5"/>
      <c r="U6085" s="5"/>
      <c r="V6085" s="5"/>
      <c r="W6085" s="5"/>
      <c r="X6085" s="5"/>
      <c r="Y6085" s="5"/>
      <c r="Z6085" s="5"/>
    </row>
    <row r="6086" spans="1:26" ht="15" x14ac:dyDescent="0.25">
      <c r="A6086" s="4" t="s">
        <v>6084</v>
      </c>
      <c r="B6086" s="4" t="s">
        <v>4550</v>
      </c>
      <c r="C6086" s="2" t="str">
        <f ca="1">IFERROR(__xludf.DUMMYFUNCTION("GOOGLETRANSLATE(A6086,""bn"",""en"")"),"I wrote poetry in my spare time")</f>
        <v>I wrote poetry in my spare time</v>
      </c>
      <c r="D6086" s="5"/>
      <c r="E6086" s="5"/>
      <c r="F6086" s="5"/>
      <c r="G6086" s="5"/>
      <c r="H6086" s="5"/>
      <c r="I6086" s="5"/>
      <c r="J6086" s="5"/>
      <c r="K6086" s="5"/>
      <c r="L6086" s="5"/>
      <c r="M6086" s="5"/>
      <c r="N6086" s="5"/>
      <c r="O6086" s="5"/>
      <c r="P6086" s="5"/>
      <c r="Q6086" s="5"/>
      <c r="R6086" s="5"/>
      <c r="S6086" s="5"/>
      <c r="T6086" s="5"/>
      <c r="U6086" s="5"/>
      <c r="V6086" s="5"/>
      <c r="W6086" s="5"/>
      <c r="X6086" s="5"/>
      <c r="Y6086" s="5"/>
      <c r="Z6086" s="5"/>
    </row>
    <row r="6087" spans="1:26" ht="15" x14ac:dyDescent="0.25">
      <c r="A6087" s="4" t="s">
        <v>6085</v>
      </c>
      <c r="B6087" s="4" t="s">
        <v>4550</v>
      </c>
      <c r="C6087" s="2" t="str">
        <f ca="1">IFERROR(__xludf.DUMMYFUNCTION("GOOGLETRANSLATE(A6087,""bn"",""en"")"),"Man went to the moon")</f>
        <v>Man went to the moon</v>
      </c>
      <c r="D6087" s="5"/>
      <c r="E6087" s="5"/>
      <c r="F6087" s="5"/>
      <c r="G6087" s="5"/>
      <c r="H6087" s="5"/>
      <c r="I6087" s="5"/>
      <c r="J6087" s="5"/>
      <c r="K6087" s="5"/>
      <c r="L6087" s="5"/>
      <c r="M6087" s="5"/>
      <c r="N6087" s="5"/>
      <c r="O6087" s="5"/>
      <c r="P6087" s="5"/>
      <c r="Q6087" s="5"/>
      <c r="R6087" s="5"/>
      <c r="S6087" s="5"/>
      <c r="T6087" s="5"/>
      <c r="U6087" s="5"/>
      <c r="V6087" s="5"/>
      <c r="W6087" s="5"/>
      <c r="X6087" s="5"/>
      <c r="Y6087" s="5"/>
      <c r="Z6087" s="5"/>
    </row>
    <row r="6088" spans="1:26" ht="15" x14ac:dyDescent="0.25">
      <c r="A6088" s="4" t="s">
        <v>6086</v>
      </c>
      <c r="B6088" s="4" t="s">
        <v>4550</v>
      </c>
      <c r="C6088" s="2" t="str">
        <f ca="1">IFERROR(__xludf.DUMMYFUNCTION("GOOGLETRANSLATE(A6088,""bn"",""en"")"),"i like flowers")</f>
        <v>i like flowers</v>
      </c>
      <c r="D6088" s="5"/>
      <c r="E6088" s="5"/>
      <c r="F6088" s="5"/>
      <c r="G6088" s="5"/>
      <c r="H6088" s="5"/>
      <c r="I6088" s="5"/>
      <c r="J6088" s="5"/>
      <c r="K6088" s="5"/>
      <c r="L6088" s="5"/>
      <c r="M6088" s="5"/>
      <c r="N6088" s="5"/>
      <c r="O6088" s="5"/>
      <c r="P6088" s="5"/>
      <c r="Q6088" s="5"/>
      <c r="R6088" s="5"/>
      <c r="S6088" s="5"/>
      <c r="T6088" s="5"/>
      <c r="U6088" s="5"/>
      <c r="V6088" s="5"/>
      <c r="W6088" s="5"/>
      <c r="X6088" s="5"/>
      <c r="Y6088" s="5"/>
      <c r="Z6088" s="5"/>
    </row>
    <row r="6089" spans="1:26" ht="15" x14ac:dyDescent="0.25">
      <c r="A6089" s="4" t="s">
        <v>6087</v>
      </c>
      <c r="B6089" s="4" t="s">
        <v>4550</v>
      </c>
      <c r="C6089" s="2" t="str">
        <f ca="1">IFERROR(__xludf.DUMMYFUNCTION("GOOGLETRANSLATE(A6089,""bn"",""en"")"),"Always loved football")</f>
        <v>Always loved football</v>
      </c>
      <c r="D6089" s="5"/>
      <c r="E6089" s="5"/>
      <c r="F6089" s="5"/>
      <c r="G6089" s="5"/>
      <c r="H6089" s="5"/>
      <c r="I6089" s="5"/>
      <c r="J6089" s="5"/>
      <c r="K6089" s="5"/>
      <c r="L6089" s="5"/>
      <c r="M6089" s="5"/>
      <c r="N6089" s="5"/>
      <c r="O6089" s="5"/>
      <c r="P6089" s="5"/>
      <c r="Q6089" s="5"/>
      <c r="R6089" s="5"/>
      <c r="S6089" s="5"/>
      <c r="T6089" s="5"/>
      <c r="U6089" s="5"/>
      <c r="V6089" s="5"/>
      <c r="W6089" s="5"/>
      <c r="X6089" s="5"/>
      <c r="Y6089" s="5"/>
      <c r="Z6089" s="5"/>
    </row>
    <row r="6090" spans="1:26" ht="15" x14ac:dyDescent="0.25">
      <c r="A6090" s="4" t="s">
        <v>6088</v>
      </c>
      <c r="B6090" s="4" t="s">
        <v>4550</v>
      </c>
      <c r="C6090" s="2" t="str">
        <f ca="1">IFERROR(__xludf.DUMMYFUNCTION("GOOGLETRANSLATE(A6090,""bn"",""en"")"),"I used to develop software")</f>
        <v>I used to develop software</v>
      </c>
      <c r="D6090" s="5"/>
      <c r="E6090" s="5"/>
      <c r="F6090" s="5"/>
      <c r="G6090" s="5"/>
      <c r="H6090" s="5"/>
      <c r="I6090" s="5"/>
      <c r="J6090" s="5"/>
      <c r="K6090" s="5"/>
      <c r="L6090" s="5"/>
      <c r="M6090" s="5"/>
      <c r="N6090" s="5"/>
      <c r="O6090" s="5"/>
      <c r="P6090" s="5"/>
      <c r="Q6090" s="5"/>
      <c r="R6090" s="5"/>
      <c r="S6090" s="5"/>
      <c r="T6090" s="5"/>
      <c r="U6090" s="5"/>
      <c r="V6090" s="5"/>
      <c r="W6090" s="5"/>
      <c r="X6090" s="5"/>
      <c r="Y6090" s="5"/>
      <c r="Z6090" s="5"/>
    </row>
    <row r="6091" spans="1:26" ht="15" x14ac:dyDescent="0.25">
      <c r="A6091" s="4" t="s">
        <v>6089</v>
      </c>
      <c r="B6091" s="4" t="s">
        <v>4550</v>
      </c>
      <c r="C6091" s="2" t="str">
        <f ca="1">IFERROR(__xludf.DUMMYFUNCTION("GOOGLETRANSLATE(A6091,""bn"",""en"")"),"I learned math")</f>
        <v>I learned math</v>
      </c>
      <c r="D6091" s="5"/>
      <c r="E6091" s="5"/>
      <c r="F6091" s="5"/>
      <c r="G6091" s="5"/>
      <c r="H6091" s="5"/>
      <c r="I6091" s="5"/>
      <c r="J6091" s="5"/>
      <c r="K6091" s="5"/>
      <c r="L6091" s="5"/>
      <c r="M6091" s="5"/>
      <c r="N6091" s="5"/>
      <c r="O6091" s="5"/>
      <c r="P6091" s="5"/>
      <c r="Q6091" s="5"/>
      <c r="R6091" s="5"/>
      <c r="S6091" s="5"/>
      <c r="T6091" s="5"/>
      <c r="U6091" s="5"/>
      <c r="V6091" s="5"/>
      <c r="W6091" s="5"/>
      <c r="X6091" s="5"/>
      <c r="Y6091" s="5"/>
      <c r="Z6091" s="5"/>
    </row>
    <row r="6092" spans="1:26" ht="15" x14ac:dyDescent="0.25">
      <c r="A6092" s="4" t="s">
        <v>6090</v>
      </c>
      <c r="B6092" s="4" t="s">
        <v>4550</v>
      </c>
      <c r="C6092" s="2" t="str">
        <f ca="1">IFERROR(__xludf.DUMMYFUNCTION("GOOGLETRANSLATE(A6092,""bn"",""en"")"),"I was using the internet")</f>
        <v>I was using the internet</v>
      </c>
      <c r="D6092" s="5"/>
      <c r="E6092" s="5"/>
      <c r="F6092" s="5"/>
      <c r="G6092" s="5"/>
      <c r="H6092" s="5"/>
      <c r="I6092" s="5"/>
      <c r="J6092" s="5"/>
      <c r="K6092" s="5"/>
      <c r="L6092" s="5"/>
      <c r="M6092" s="5"/>
      <c r="N6092" s="5"/>
      <c r="O6092" s="5"/>
      <c r="P6092" s="5"/>
      <c r="Q6092" s="5"/>
      <c r="R6092" s="5"/>
      <c r="S6092" s="5"/>
      <c r="T6092" s="5"/>
      <c r="U6092" s="5"/>
      <c r="V6092" s="5"/>
      <c r="W6092" s="5"/>
      <c r="X6092" s="5"/>
      <c r="Y6092" s="5"/>
      <c r="Z6092" s="5"/>
    </row>
    <row r="6093" spans="1:26" ht="15" x14ac:dyDescent="0.25">
      <c r="A6093" s="4" t="s">
        <v>6091</v>
      </c>
      <c r="B6093" s="4" t="s">
        <v>4550</v>
      </c>
      <c r="C6093" s="2" t="str">
        <f ca="1">IFERROR(__xludf.DUMMYFUNCTION("GOOGLETRANSLATE(A6093,""bn"",""en"")"),"Time was wasted using the internet")</f>
        <v>Time was wasted using the internet</v>
      </c>
      <c r="D6093" s="5"/>
      <c r="E6093" s="5"/>
      <c r="F6093" s="5"/>
      <c r="G6093" s="5"/>
      <c r="H6093" s="5"/>
      <c r="I6093" s="5"/>
      <c r="J6093" s="5"/>
      <c r="K6093" s="5"/>
      <c r="L6093" s="5"/>
      <c r="M6093" s="5"/>
      <c r="N6093" s="5"/>
      <c r="O6093" s="5"/>
      <c r="P6093" s="5"/>
      <c r="Q6093" s="5"/>
      <c r="R6093" s="5"/>
      <c r="S6093" s="5"/>
      <c r="T6093" s="5"/>
      <c r="U6093" s="5"/>
      <c r="V6093" s="5"/>
      <c r="W6093" s="5"/>
      <c r="X6093" s="5"/>
      <c r="Y6093" s="5"/>
      <c r="Z6093" s="5"/>
    </row>
    <row r="6094" spans="1:26" ht="15" x14ac:dyDescent="0.25">
      <c r="A6094" s="4" t="s">
        <v>6092</v>
      </c>
      <c r="B6094" s="4" t="s">
        <v>4550</v>
      </c>
      <c r="C6094" s="2" t="str">
        <f ca="1">IFERROR(__xludf.DUMMYFUNCTION("GOOGLETRANSLATE(A6094,""bn"",""en"")"),"There was information in the database")</f>
        <v>There was information in the database</v>
      </c>
      <c r="D6094" s="5"/>
      <c r="E6094" s="5"/>
      <c r="F6094" s="5"/>
      <c r="G6094" s="5"/>
      <c r="H6094" s="5"/>
      <c r="I6094" s="5"/>
      <c r="J6094" s="5"/>
      <c r="K6094" s="5"/>
      <c r="L6094" s="5"/>
      <c r="M6094" s="5"/>
      <c r="N6094" s="5"/>
      <c r="O6094" s="5"/>
      <c r="P6094" s="5"/>
      <c r="Q6094" s="5"/>
      <c r="R6094" s="5"/>
      <c r="S6094" s="5"/>
      <c r="T6094" s="5"/>
      <c r="U6094" s="5"/>
      <c r="V6094" s="5"/>
      <c r="W6094" s="5"/>
      <c r="X6094" s="5"/>
      <c r="Y6094" s="5"/>
      <c r="Z6094" s="5"/>
    </row>
    <row r="6095" spans="1:26" ht="15" x14ac:dyDescent="0.25">
      <c r="A6095" s="4" t="s">
        <v>6093</v>
      </c>
      <c r="B6095" s="4" t="s">
        <v>4550</v>
      </c>
      <c r="C6095" s="2" t="str">
        <f ca="1">IFERROR(__xludf.DUMMYFUNCTION("GOOGLETRANSLATE(A6095,""bn"",""en"")"),"I was using a floppy disk")</f>
        <v>I was using a floppy disk</v>
      </c>
      <c r="D6095" s="5"/>
      <c r="E6095" s="5"/>
      <c r="F6095" s="5"/>
      <c r="G6095" s="5"/>
      <c r="H6095" s="5"/>
      <c r="I6095" s="5"/>
      <c r="J6095" s="5"/>
      <c r="K6095" s="5"/>
      <c r="L6095" s="5"/>
      <c r="M6095" s="5"/>
      <c r="N6095" s="5"/>
      <c r="O6095" s="5"/>
      <c r="P6095" s="5"/>
      <c r="Q6095" s="5"/>
      <c r="R6095" s="5"/>
      <c r="S6095" s="5"/>
      <c r="T6095" s="5"/>
      <c r="U6095" s="5"/>
      <c r="V6095" s="5"/>
      <c r="W6095" s="5"/>
      <c r="X6095" s="5"/>
      <c r="Y6095" s="5"/>
      <c r="Z6095" s="5"/>
    </row>
    <row r="6096" spans="1:26" ht="15" x14ac:dyDescent="0.25">
      <c r="A6096" s="4" t="s">
        <v>6094</v>
      </c>
      <c r="B6096" s="4" t="s">
        <v>4550</v>
      </c>
      <c r="C6096" s="2" t="str">
        <f ca="1">IFERROR(__xludf.DUMMYFUNCTION("GOOGLETRANSLATE(A6096,""bn"",""en"")"),"I traveled to Canada")</f>
        <v>I traveled to Canada</v>
      </c>
      <c r="D6096" s="5"/>
      <c r="E6096" s="5"/>
      <c r="F6096" s="5"/>
      <c r="G6096" s="5"/>
      <c r="H6096" s="5"/>
      <c r="I6096" s="5"/>
      <c r="J6096" s="5"/>
      <c r="K6096" s="5"/>
      <c r="L6096" s="5"/>
      <c r="M6096" s="5"/>
      <c r="N6096" s="5"/>
      <c r="O6096" s="5"/>
      <c r="P6096" s="5"/>
      <c r="Q6096" s="5"/>
      <c r="R6096" s="5"/>
      <c r="S6096" s="5"/>
      <c r="T6096" s="5"/>
      <c r="U6096" s="5"/>
      <c r="V6096" s="5"/>
      <c r="W6096" s="5"/>
      <c r="X6096" s="5"/>
      <c r="Y6096" s="5"/>
      <c r="Z6096" s="5"/>
    </row>
    <row r="6097" spans="1:26" ht="15" x14ac:dyDescent="0.25">
      <c r="A6097" s="4" t="s">
        <v>6095</v>
      </c>
      <c r="B6097" s="4" t="s">
        <v>4550</v>
      </c>
      <c r="C6097" s="2" t="str">
        <f ca="1">IFERROR(__xludf.DUMMYFUNCTION("GOOGLETRANSLATE(A6097,""bn"",""en"")"),"I was using digitalpan")</f>
        <v>I was using digitalpan</v>
      </c>
      <c r="D6097" s="5"/>
      <c r="E6097" s="5"/>
      <c r="F6097" s="5"/>
      <c r="G6097" s="5"/>
      <c r="H6097" s="5"/>
      <c r="I6097" s="5"/>
      <c r="J6097" s="5"/>
      <c r="K6097" s="5"/>
      <c r="L6097" s="5"/>
      <c r="M6097" s="5"/>
      <c r="N6097" s="5"/>
      <c r="O6097" s="5"/>
      <c r="P6097" s="5"/>
      <c r="Q6097" s="5"/>
      <c r="R6097" s="5"/>
      <c r="S6097" s="5"/>
      <c r="T6097" s="5"/>
      <c r="U6097" s="5"/>
      <c r="V6097" s="5"/>
      <c r="W6097" s="5"/>
      <c r="X6097" s="5"/>
      <c r="Y6097" s="5"/>
      <c r="Z6097" s="5"/>
    </row>
    <row r="6098" spans="1:26" ht="15" x14ac:dyDescent="0.25">
      <c r="A6098" s="4" t="s">
        <v>6096</v>
      </c>
      <c r="B6098" s="4" t="s">
        <v>4550</v>
      </c>
      <c r="C6098" s="2" t="str">
        <f ca="1">IFERROR(__xludf.DUMMYFUNCTION("GOOGLETRANSLATE(A6098,""bn"",""en"")"),"I added myself")</f>
        <v>I added myself</v>
      </c>
      <c r="D6098" s="5"/>
      <c r="E6098" s="5"/>
      <c r="F6098" s="5"/>
      <c r="G6098" s="5"/>
      <c r="H6098" s="5"/>
      <c r="I6098" s="5"/>
      <c r="J6098" s="5"/>
      <c r="K6098" s="5"/>
      <c r="L6098" s="5"/>
      <c r="M6098" s="5"/>
      <c r="N6098" s="5"/>
      <c r="O6098" s="5"/>
      <c r="P6098" s="5"/>
      <c r="Q6098" s="5"/>
      <c r="R6098" s="5"/>
      <c r="S6098" s="5"/>
      <c r="T6098" s="5"/>
      <c r="U6098" s="5"/>
      <c r="V6098" s="5"/>
      <c r="W6098" s="5"/>
      <c r="X6098" s="5"/>
      <c r="Y6098" s="5"/>
      <c r="Z6098" s="5"/>
    </row>
    <row r="6099" spans="1:26" ht="15" x14ac:dyDescent="0.25">
      <c r="A6099" s="4" t="s">
        <v>6097</v>
      </c>
      <c r="B6099" s="4" t="s">
        <v>4550</v>
      </c>
      <c r="C6099" s="2" t="str">
        <f ca="1">IFERROR(__xludf.DUMMYFUNCTION("GOOGLETRANSLATE(A6099,""bn"",""en"")"),"I gave bank service")</f>
        <v>I gave bank service</v>
      </c>
      <c r="D6099" s="5"/>
      <c r="E6099" s="5"/>
      <c r="F6099" s="5"/>
      <c r="G6099" s="5"/>
      <c r="H6099" s="5"/>
      <c r="I6099" s="5"/>
      <c r="J6099" s="5"/>
      <c r="K6099" s="5"/>
      <c r="L6099" s="5"/>
      <c r="M6099" s="5"/>
      <c r="N6099" s="5"/>
      <c r="O6099" s="5"/>
      <c r="P6099" s="5"/>
      <c r="Q6099" s="5"/>
      <c r="R6099" s="5"/>
      <c r="S6099" s="5"/>
      <c r="T6099" s="5"/>
      <c r="U6099" s="5"/>
      <c r="V6099" s="5"/>
      <c r="W6099" s="5"/>
      <c r="X6099" s="5"/>
      <c r="Y6099" s="5"/>
      <c r="Z6099" s="5"/>
    </row>
    <row r="6100" spans="1:26" ht="15" x14ac:dyDescent="0.25">
      <c r="A6100" s="4" t="s">
        <v>6098</v>
      </c>
      <c r="B6100" s="4" t="s">
        <v>4550</v>
      </c>
      <c r="C6100" s="2" t="str">
        <f ca="1">IFERROR(__xludf.DUMMYFUNCTION("GOOGLETRANSLATE(A6100,""bn"",""en"")"),"Technology is used")</f>
        <v>Technology is used</v>
      </c>
      <c r="D6100" s="5"/>
      <c r="E6100" s="5"/>
      <c r="F6100" s="5"/>
      <c r="G6100" s="5"/>
      <c r="H6100" s="5"/>
      <c r="I6100" s="5"/>
      <c r="J6100" s="5"/>
      <c r="K6100" s="5"/>
      <c r="L6100" s="5"/>
      <c r="M6100" s="5"/>
      <c r="N6100" s="5"/>
      <c r="O6100" s="5"/>
      <c r="P6100" s="5"/>
      <c r="Q6100" s="5"/>
      <c r="R6100" s="5"/>
      <c r="S6100" s="5"/>
      <c r="T6100" s="5"/>
      <c r="U6100" s="5"/>
      <c r="V6100" s="5"/>
      <c r="W6100" s="5"/>
      <c r="X6100" s="5"/>
      <c r="Y6100" s="5"/>
      <c r="Z6100" s="5"/>
    </row>
    <row r="6101" spans="1:26" ht="15" x14ac:dyDescent="0.25">
      <c r="A6101" s="4" t="s">
        <v>6099</v>
      </c>
      <c r="B6101" s="4" t="s">
        <v>4550</v>
      </c>
      <c r="C6101" s="2" t="str">
        <f ca="1">IFERROR(__xludf.DUMMYFUNCTION("GOOGLETRANSLATE(A6101,""bn"",""en"")"),"There were commercial opportunities")</f>
        <v>There were commercial opportunities</v>
      </c>
      <c r="D6101" s="5"/>
      <c r="E6101" s="5"/>
      <c r="F6101" s="5"/>
      <c r="G6101" s="5"/>
      <c r="H6101" s="5"/>
      <c r="I6101" s="5"/>
      <c r="J6101" s="5"/>
      <c r="K6101" s="5"/>
      <c r="L6101" s="5"/>
      <c r="M6101" s="5"/>
      <c r="N6101" s="5"/>
      <c r="O6101" s="5"/>
      <c r="P6101" s="5"/>
      <c r="Q6101" s="5"/>
      <c r="R6101" s="5"/>
      <c r="S6101" s="5"/>
      <c r="T6101" s="5"/>
      <c r="U6101" s="5"/>
      <c r="V6101" s="5"/>
      <c r="W6101" s="5"/>
      <c r="X6101" s="5"/>
      <c r="Y6101" s="5"/>
      <c r="Z6101" s="5"/>
    </row>
    <row r="6102" spans="1:26" ht="15" x14ac:dyDescent="0.25">
      <c r="A6102" s="4" t="s">
        <v>6100</v>
      </c>
      <c r="B6102" s="4" t="s">
        <v>4550</v>
      </c>
      <c r="C6102" s="2" t="str">
        <f ca="1">IFERROR(__xludf.DUMMYFUNCTION("GOOGLETRANSLATE(A6102,""bn"",""en"")"),"The currency increased")</f>
        <v>The currency increased</v>
      </c>
      <c r="D6102" s="5"/>
      <c r="E6102" s="5"/>
      <c r="F6102" s="5"/>
      <c r="G6102" s="5"/>
      <c r="H6102" s="5"/>
      <c r="I6102" s="5"/>
      <c r="J6102" s="5"/>
      <c r="K6102" s="5"/>
      <c r="L6102" s="5"/>
      <c r="M6102" s="5"/>
      <c r="N6102" s="5"/>
      <c r="O6102" s="5"/>
      <c r="P6102" s="5"/>
      <c r="Q6102" s="5"/>
      <c r="R6102" s="5"/>
      <c r="S6102" s="5"/>
      <c r="T6102" s="5"/>
      <c r="U6102" s="5"/>
      <c r="V6102" s="5"/>
      <c r="W6102" s="5"/>
      <c r="X6102" s="5"/>
      <c r="Y6102" s="5"/>
      <c r="Z6102" s="5"/>
    </row>
    <row r="6103" spans="1:26" ht="15" x14ac:dyDescent="0.25">
      <c r="A6103" s="4" t="s">
        <v>6101</v>
      </c>
      <c r="B6103" s="4" t="s">
        <v>4550</v>
      </c>
      <c r="C6103" s="2" t="str">
        <f ca="1">IFERROR(__xludf.DUMMYFUNCTION("GOOGLETRANSLATE(A6103,""bn"",""en"")"),"I created an account")</f>
        <v>I created an account</v>
      </c>
      <c r="D6103" s="5"/>
      <c r="E6103" s="5"/>
      <c r="F6103" s="5"/>
      <c r="G6103" s="5"/>
      <c r="H6103" s="5"/>
      <c r="I6103" s="5"/>
      <c r="J6103" s="5"/>
      <c r="K6103" s="5"/>
      <c r="L6103" s="5"/>
      <c r="M6103" s="5"/>
      <c r="N6103" s="5"/>
      <c r="O6103" s="5"/>
      <c r="P6103" s="5"/>
      <c r="Q6103" s="5"/>
      <c r="R6103" s="5"/>
      <c r="S6103" s="5"/>
      <c r="T6103" s="5"/>
      <c r="U6103" s="5"/>
      <c r="V6103" s="5"/>
      <c r="W6103" s="5"/>
      <c r="X6103" s="5"/>
      <c r="Y6103" s="5"/>
      <c r="Z6103" s="5"/>
    </row>
    <row r="6104" spans="1:26" ht="15" x14ac:dyDescent="0.25">
      <c r="A6104" s="4" t="s">
        <v>6102</v>
      </c>
      <c r="B6104" s="4" t="s">
        <v>4550</v>
      </c>
      <c r="C6104" s="2" t="str">
        <f ca="1">IFERROR(__xludf.DUMMYFUNCTION("GOOGLETRANSLATE(A6104,""bn"",""en"")"),"I want a laptop")</f>
        <v>I want a laptop</v>
      </c>
      <c r="D6104" s="5"/>
      <c r="E6104" s="5"/>
      <c r="F6104" s="5"/>
      <c r="G6104" s="5"/>
      <c r="H6104" s="5"/>
      <c r="I6104" s="5"/>
      <c r="J6104" s="5"/>
      <c r="K6104" s="5"/>
      <c r="L6104" s="5"/>
      <c r="M6104" s="5"/>
      <c r="N6104" s="5"/>
      <c r="O6104" s="5"/>
      <c r="P6104" s="5"/>
      <c r="Q6104" s="5"/>
      <c r="R6104" s="5"/>
      <c r="S6104" s="5"/>
      <c r="T6104" s="5"/>
      <c r="U6104" s="5"/>
      <c r="V6104" s="5"/>
      <c r="W6104" s="5"/>
      <c r="X6104" s="5"/>
      <c r="Y6104" s="5"/>
      <c r="Z6104" s="5"/>
    </row>
    <row r="6105" spans="1:26" ht="15" x14ac:dyDescent="0.25">
      <c r="A6105" s="4" t="s">
        <v>6103</v>
      </c>
      <c r="B6105" s="4" t="s">
        <v>4550</v>
      </c>
      <c r="C6105" s="2" t="str">
        <f ca="1">IFERROR(__xludf.DUMMYFUNCTION("GOOGLETRANSLATE(A6105,""bn"",""en"")"),"I used the radio")</f>
        <v>I used the radio</v>
      </c>
      <c r="D6105" s="5"/>
      <c r="E6105" s="5"/>
      <c r="F6105" s="5"/>
      <c r="G6105" s="5"/>
      <c r="H6105" s="5"/>
      <c r="I6105" s="5"/>
      <c r="J6105" s="5"/>
      <c r="K6105" s="5"/>
      <c r="L6105" s="5"/>
      <c r="M6105" s="5"/>
      <c r="N6105" s="5"/>
      <c r="O6105" s="5"/>
      <c r="P6105" s="5"/>
      <c r="Q6105" s="5"/>
      <c r="R6105" s="5"/>
      <c r="S6105" s="5"/>
      <c r="T6105" s="5"/>
      <c r="U6105" s="5"/>
      <c r="V6105" s="5"/>
      <c r="W6105" s="5"/>
      <c r="X6105" s="5"/>
      <c r="Y6105" s="5"/>
      <c r="Z6105" s="5"/>
    </row>
    <row r="6106" spans="1:26" ht="15" x14ac:dyDescent="0.25">
      <c r="A6106" s="4" t="s">
        <v>6104</v>
      </c>
      <c r="B6106" s="4" t="s">
        <v>4550</v>
      </c>
      <c r="C6106" s="2" t="str">
        <f ca="1">IFERROR(__xludf.DUMMYFUNCTION("GOOGLETRANSLATE(A6106,""bn"",""en"")"),"I was learning something new")</f>
        <v>I was learning something new</v>
      </c>
      <c r="D6106" s="5"/>
      <c r="E6106" s="5"/>
      <c r="F6106" s="5"/>
      <c r="G6106" s="5"/>
      <c r="H6106" s="5"/>
      <c r="I6106" s="5"/>
      <c r="J6106" s="5"/>
      <c r="K6106" s="5"/>
      <c r="L6106" s="5"/>
      <c r="M6106" s="5"/>
      <c r="N6106" s="5"/>
      <c r="O6106" s="5"/>
      <c r="P6106" s="5"/>
      <c r="Q6106" s="5"/>
      <c r="R6106" s="5"/>
      <c r="S6106" s="5"/>
      <c r="T6106" s="5"/>
      <c r="U6106" s="5"/>
      <c r="V6106" s="5"/>
      <c r="W6106" s="5"/>
      <c r="X6106" s="5"/>
      <c r="Y6106" s="5"/>
      <c r="Z6106" s="5"/>
    </row>
    <row r="6107" spans="1:26" ht="15" x14ac:dyDescent="0.25">
      <c r="A6107" s="4" t="s">
        <v>6105</v>
      </c>
      <c r="B6107" s="4" t="s">
        <v>4550</v>
      </c>
      <c r="C6107" s="2" t="str">
        <f ca="1">IFERROR(__xludf.DUMMYFUNCTION("GOOGLETRANSLATE(A6107,""bn"",""en"")"),"I used to surf the internet a lot")</f>
        <v>I used to surf the internet a lot</v>
      </c>
      <c r="D6107" s="5"/>
      <c r="E6107" s="5"/>
      <c r="F6107" s="5"/>
      <c r="G6107" s="5"/>
      <c r="H6107" s="5"/>
      <c r="I6107" s="5"/>
      <c r="J6107" s="5"/>
      <c r="K6107" s="5"/>
      <c r="L6107" s="5"/>
      <c r="M6107" s="5"/>
      <c r="N6107" s="5"/>
      <c r="O6107" s="5"/>
      <c r="P6107" s="5"/>
      <c r="Q6107" s="5"/>
      <c r="R6107" s="5"/>
      <c r="S6107" s="5"/>
      <c r="T6107" s="5"/>
      <c r="U6107" s="5"/>
      <c r="V6107" s="5"/>
      <c r="W6107" s="5"/>
      <c r="X6107" s="5"/>
      <c r="Y6107" s="5"/>
      <c r="Z6107" s="5"/>
    </row>
    <row r="6108" spans="1:26" ht="15" x14ac:dyDescent="0.25">
      <c r="A6108" s="4" t="s">
        <v>6106</v>
      </c>
      <c r="B6108" s="4" t="s">
        <v>4550</v>
      </c>
      <c r="C6108" s="2" t="str">
        <f ca="1">IFERROR(__xludf.DUMMYFUNCTION("GOOGLETRANSLATE(A6108,""bn"",""en"")"),"Joined the job")</f>
        <v>Joined the job</v>
      </c>
      <c r="D6108" s="5"/>
      <c r="E6108" s="5"/>
      <c r="F6108" s="5"/>
      <c r="G6108" s="5"/>
      <c r="H6108" s="5"/>
      <c r="I6108" s="5"/>
      <c r="J6108" s="5"/>
      <c r="K6108" s="5"/>
      <c r="L6108" s="5"/>
      <c r="M6108" s="5"/>
      <c r="N6108" s="5"/>
      <c r="O6108" s="5"/>
      <c r="P6108" s="5"/>
      <c r="Q6108" s="5"/>
      <c r="R6108" s="5"/>
      <c r="S6108" s="5"/>
      <c r="T6108" s="5"/>
      <c r="U6108" s="5"/>
      <c r="V6108" s="5"/>
      <c r="W6108" s="5"/>
      <c r="X6108" s="5"/>
      <c r="Y6108" s="5"/>
      <c r="Z6108" s="5"/>
    </row>
    <row r="6109" spans="1:26" ht="15" x14ac:dyDescent="0.25">
      <c r="A6109" s="4" t="s">
        <v>6107</v>
      </c>
      <c r="B6109" s="4" t="s">
        <v>4550</v>
      </c>
      <c r="C6109" s="2" t="str">
        <f ca="1">IFERROR(__xludf.DUMMYFUNCTION("GOOGLETRANSLATE(A6109,""bn"",""en"")"),"He was discussing politics")</f>
        <v>He was discussing politics</v>
      </c>
      <c r="D6109" s="5"/>
      <c r="E6109" s="5"/>
      <c r="F6109" s="5"/>
      <c r="G6109" s="5"/>
      <c r="H6109" s="5"/>
      <c r="I6109" s="5"/>
      <c r="J6109" s="5"/>
      <c r="K6109" s="5"/>
      <c r="L6109" s="5"/>
      <c r="M6109" s="5"/>
      <c r="N6109" s="5"/>
      <c r="O6109" s="5"/>
      <c r="P6109" s="5"/>
      <c r="Q6109" s="5"/>
      <c r="R6109" s="5"/>
      <c r="S6109" s="5"/>
      <c r="T6109" s="5"/>
      <c r="U6109" s="5"/>
      <c r="V6109" s="5"/>
      <c r="W6109" s="5"/>
      <c r="X6109" s="5"/>
      <c r="Y6109" s="5"/>
      <c r="Z6109" s="5"/>
    </row>
    <row r="6110" spans="1:26" ht="15" x14ac:dyDescent="0.25">
      <c r="A6110" s="4" t="s">
        <v>6108</v>
      </c>
      <c r="B6110" s="4" t="s">
        <v>4550</v>
      </c>
      <c r="C6110" s="2" t="str">
        <f ca="1">IFERROR(__xludf.DUMMYFUNCTION("GOOGLETRANSLATE(A6110,""bn"",""en"")"),"Attitudes were changing")</f>
        <v>Attitudes were changing</v>
      </c>
      <c r="D6110" s="5"/>
      <c r="E6110" s="5"/>
      <c r="F6110" s="5"/>
      <c r="G6110" s="5"/>
      <c r="H6110" s="5"/>
      <c r="I6110" s="5"/>
      <c r="J6110" s="5"/>
      <c r="K6110" s="5"/>
      <c r="L6110" s="5"/>
      <c r="M6110" s="5"/>
      <c r="N6110" s="5"/>
      <c r="O6110" s="5"/>
      <c r="P6110" s="5"/>
      <c r="Q6110" s="5"/>
      <c r="R6110" s="5"/>
      <c r="S6110" s="5"/>
      <c r="T6110" s="5"/>
      <c r="U6110" s="5"/>
      <c r="V6110" s="5"/>
      <c r="W6110" s="5"/>
      <c r="X6110" s="5"/>
      <c r="Y6110" s="5"/>
      <c r="Z6110" s="5"/>
    </row>
    <row r="6111" spans="1:26" ht="15" x14ac:dyDescent="0.25">
      <c r="A6111" s="4" t="s">
        <v>6109</v>
      </c>
      <c r="B6111" s="4" t="s">
        <v>4550</v>
      </c>
      <c r="C6111" s="2" t="str">
        <f ca="1">IFERROR(__xludf.DUMMYFUNCTION("GOOGLETRANSLATE(A6111,""bn"",""en"")"),"The government was getting support")</f>
        <v>The government was getting support</v>
      </c>
      <c r="D6111" s="5"/>
      <c r="E6111" s="5"/>
      <c r="F6111" s="5"/>
      <c r="G6111" s="5"/>
      <c r="H6111" s="5"/>
      <c r="I6111" s="5"/>
      <c r="J6111" s="5"/>
      <c r="K6111" s="5"/>
      <c r="L6111" s="5"/>
      <c r="M6111" s="5"/>
      <c r="N6111" s="5"/>
      <c r="O6111" s="5"/>
      <c r="P6111" s="5"/>
      <c r="Q6111" s="5"/>
      <c r="R6111" s="5"/>
      <c r="S6111" s="5"/>
      <c r="T6111" s="5"/>
      <c r="U6111" s="5"/>
      <c r="V6111" s="5"/>
      <c r="W6111" s="5"/>
      <c r="X6111" s="5"/>
      <c r="Y6111" s="5"/>
      <c r="Z6111" s="5"/>
    </row>
    <row r="6112" spans="1:26" ht="15" x14ac:dyDescent="0.25">
      <c r="A6112" s="4" t="s">
        <v>6110</v>
      </c>
      <c r="B6112" s="4" t="s">
        <v>4550</v>
      </c>
      <c r="C6112" s="2" t="str">
        <f ca="1">IFERROR(__xludf.DUMMYFUNCTION("GOOGLETRANSLATE(A6112,""bn"",""en"")"),"A camera had to be used to take pictures")</f>
        <v>A camera had to be used to take pictures</v>
      </c>
      <c r="D6112" s="5"/>
      <c r="E6112" s="5"/>
      <c r="F6112" s="5"/>
      <c r="G6112" s="5"/>
      <c r="H6112" s="5"/>
      <c r="I6112" s="5"/>
      <c r="J6112" s="5"/>
      <c r="K6112" s="5"/>
      <c r="L6112" s="5"/>
      <c r="M6112" s="5"/>
      <c r="N6112" s="5"/>
      <c r="O6112" s="5"/>
      <c r="P6112" s="5"/>
      <c r="Q6112" s="5"/>
      <c r="R6112" s="5"/>
      <c r="S6112" s="5"/>
      <c r="T6112" s="5"/>
      <c r="U6112" s="5"/>
      <c r="V6112" s="5"/>
      <c r="W6112" s="5"/>
      <c r="X6112" s="5"/>
      <c r="Y6112" s="5"/>
      <c r="Z6112" s="5"/>
    </row>
    <row r="6113" spans="1:26" ht="15" x14ac:dyDescent="0.25">
      <c r="A6113" s="4" t="s">
        <v>6111</v>
      </c>
      <c r="B6113" s="4" t="s">
        <v>4550</v>
      </c>
      <c r="C6113" s="2" t="str">
        <f ca="1">IFERROR(__xludf.DUMMYFUNCTION("GOOGLETRANSLATE(A6113,""bn"",""en"")"),"GPS turned on")</f>
        <v>GPS turned on</v>
      </c>
      <c r="D6113" s="5"/>
      <c r="E6113" s="5"/>
      <c r="F6113" s="5"/>
      <c r="G6113" s="5"/>
      <c r="H6113" s="5"/>
      <c r="I6113" s="5"/>
      <c r="J6113" s="5"/>
      <c r="K6113" s="5"/>
      <c r="L6113" s="5"/>
      <c r="M6113" s="5"/>
      <c r="N6113" s="5"/>
      <c r="O6113" s="5"/>
      <c r="P6113" s="5"/>
      <c r="Q6113" s="5"/>
      <c r="R6113" s="5"/>
      <c r="S6113" s="5"/>
      <c r="T6113" s="5"/>
      <c r="U6113" s="5"/>
      <c r="V6113" s="5"/>
      <c r="W6113" s="5"/>
      <c r="X6113" s="5"/>
      <c r="Y6113" s="5"/>
      <c r="Z6113" s="5"/>
    </row>
    <row r="6114" spans="1:26" ht="15" x14ac:dyDescent="0.25">
      <c r="A6114" s="4" t="s">
        <v>6112</v>
      </c>
      <c r="B6114" s="4" t="s">
        <v>4550</v>
      </c>
      <c r="C6114" s="2" t="str">
        <f ca="1">IFERROR(__xludf.DUMMYFUNCTION("GOOGLETRANSLATE(A6114,""bn"",""en"")"),"I saw the online market")</f>
        <v>I saw the online market</v>
      </c>
      <c r="D6114" s="5"/>
      <c r="E6114" s="5"/>
      <c r="F6114" s="5"/>
      <c r="G6114" s="5"/>
      <c r="H6114" s="5"/>
      <c r="I6114" s="5"/>
      <c r="J6114" s="5"/>
      <c r="K6114" s="5"/>
      <c r="L6114" s="5"/>
      <c r="M6114" s="5"/>
      <c r="N6114" s="5"/>
      <c r="O6114" s="5"/>
      <c r="P6114" s="5"/>
      <c r="Q6114" s="5"/>
      <c r="R6114" s="5"/>
      <c r="S6114" s="5"/>
      <c r="T6114" s="5"/>
      <c r="U6114" s="5"/>
      <c r="V6114" s="5"/>
      <c r="W6114" s="5"/>
      <c r="X6114" s="5"/>
      <c r="Y6114" s="5"/>
      <c r="Z6114" s="5"/>
    </row>
    <row r="6115" spans="1:26" ht="15" x14ac:dyDescent="0.25">
      <c r="A6115" s="4" t="s">
        <v>6113</v>
      </c>
      <c r="B6115" s="4" t="s">
        <v>4550</v>
      </c>
      <c r="C6115" s="2" t="str">
        <f ca="1">IFERROR(__xludf.DUMMYFUNCTION("GOOGLETRANSLATE(A6115,""bn"",""en"")"),"I gave my opinion")</f>
        <v>I gave my opinion</v>
      </c>
      <c r="D6115" s="5"/>
      <c r="E6115" s="5"/>
      <c r="F6115" s="5"/>
      <c r="G6115" s="5"/>
      <c r="H6115" s="5"/>
      <c r="I6115" s="5"/>
      <c r="J6115" s="5"/>
      <c r="K6115" s="5"/>
      <c r="L6115" s="5"/>
      <c r="M6115" s="5"/>
      <c r="N6115" s="5"/>
      <c r="O6115" s="5"/>
      <c r="P6115" s="5"/>
      <c r="Q6115" s="5"/>
      <c r="R6115" s="5"/>
      <c r="S6115" s="5"/>
      <c r="T6115" s="5"/>
      <c r="U6115" s="5"/>
      <c r="V6115" s="5"/>
      <c r="W6115" s="5"/>
      <c r="X6115" s="5"/>
      <c r="Y6115" s="5"/>
      <c r="Z6115" s="5"/>
    </row>
    <row r="6116" spans="1:26" ht="15" x14ac:dyDescent="0.25">
      <c r="A6116" s="4" t="s">
        <v>6114</v>
      </c>
      <c r="B6116" s="4" t="s">
        <v>4550</v>
      </c>
      <c r="C6116" s="2" t="str">
        <f ca="1">IFERROR(__xludf.DUMMYFUNCTION("GOOGLETRANSLATE(A6116,""bn"",""en"")"),"Made new software")</f>
        <v>Made new software</v>
      </c>
      <c r="D6116" s="5"/>
      <c r="E6116" s="5"/>
      <c r="F6116" s="5"/>
      <c r="G6116" s="5"/>
      <c r="H6116" s="5"/>
      <c r="I6116" s="5"/>
      <c r="J6116" s="5"/>
      <c r="K6116" s="5"/>
      <c r="L6116" s="5"/>
      <c r="M6116" s="5"/>
      <c r="N6116" s="5"/>
      <c r="O6116" s="5"/>
      <c r="P6116" s="5"/>
      <c r="Q6116" s="5"/>
      <c r="R6116" s="5"/>
      <c r="S6116" s="5"/>
      <c r="T6116" s="5"/>
      <c r="U6116" s="5"/>
      <c r="V6116" s="5"/>
      <c r="W6116" s="5"/>
      <c r="X6116" s="5"/>
      <c r="Y6116" s="5"/>
      <c r="Z6116" s="5"/>
    </row>
    <row r="6117" spans="1:26" ht="15" x14ac:dyDescent="0.25">
      <c r="A6117" s="4" t="s">
        <v>6115</v>
      </c>
      <c r="B6117" s="4" t="s">
        <v>4550</v>
      </c>
      <c r="C6117" s="2" t="str">
        <f ca="1">IFERROR(__xludf.DUMMYFUNCTION("GOOGLETRANSLATE(A6117,""bn"",""en"")"),"I was operating Linux")</f>
        <v>I was operating Linux</v>
      </c>
      <c r="D6117" s="5"/>
      <c r="E6117" s="5"/>
      <c r="F6117" s="5"/>
      <c r="G6117" s="5"/>
      <c r="H6117" s="5"/>
      <c r="I6117" s="5"/>
      <c r="J6117" s="5"/>
      <c r="K6117" s="5"/>
      <c r="L6117" s="5"/>
      <c r="M6117" s="5"/>
      <c r="N6117" s="5"/>
      <c r="O6117" s="5"/>
      <c r="P6117" s="5"/>
      <c r="Q6117" s="5"/>
      <c r="R6117" s="5"/>
      <c r="S6117" s="5"/>
      <c r="T6117" s="5"/>
      <c r="U6117" s="5"/>
      <c r="V6117" s="5"/>
      <c r="W6117" s="5"/>
      <c r="X6117" s="5"/>
      <c r="Y6117" s="5"/>
      <c r="Z6117" s="5"/>
    </row>
    <row r="6118" spans="1:26" ht="15" x14ac:dyDescent="0.25">
      <c r="A6118" s="4" t="s">
        <v>6116</v>
      </c>
      <c r="B6118" s="4" t="s">
        <v>4550</v>
      </c>
      <c r="C6118" s="2" t="str">
        <f ca="1">IFERROR(__xludf.DUMMYFUNCTION("GOOGLETRANSLATE(A6118,""bn"",""en"")"),"you were learning numbers")</f>
        <v>you were learning numbers</v>
      </c>
      <c r="D6118" s="5"/>
      <c r="E6118" s="5"/>
      <c r="F6118" s="5"/>
      <c r="G6118" s="5"/>
      <c r="H6118" s="5"/>
      <c r="I6118" s="5"/>
      <c r="J6118" s="5"/>
      <c r="K6118" s="5"/>
      <c r="L6118" s="5"/>
      <c r="M6118" s="5"/>
      <c r="N6118" s="5"/>
      <c r="O6118" s="5"/>
      <c r="P6118" s="5"/>
      <c r="Q6118" s="5"/>
      <c r="R6118" s="5"/>
      <c r="S6118" s="5"/>
      <c r="T6118" s="5"/>
      <c r="U6118" s="5"/>
      <c r="V6118" s="5"/>
      <c r="W6118" s="5"/>
      <c r="X6118" s="5"/>
      <c r="Y6118" s="5"/>
      <c r="Z6118" s="5"/>
    </row>
    <row r="6119" spans="1:26" ht="15" x14ac:dyDescent="0.25">
      <c r="A6119" s="4" t="s">
        <v>6117</v>
      </c>
      <c r="B6119" s="4" t="s">
        <v>4550</v>
      </c>
      <c r="C6119" s="2" t="str">
        <f ca="1">IFERROR(__xludf.DUMMYFUNCTION("GOOGLETRANSLATE(A6119,""bn"",""en"")"),"I expressed grief")</f>
        <v>I expressed grief</v>
      </c>
      <c r="D6119" s="5"/>
      <c r="E6119" s="5"/>
      <c r="F6119" s="5"/>
      <c r="G6119" s="5"/>
      <c r="H6119" s="5"/>
      <c r="I6119" s="5"/>
      <c r="J6119" s="5"/>
      <c r="K6119" s="5"/>
      <c r="L6119" s="5"/>
      <c r="M6119" s="5"/>
      <c r="N6119" s="5"/>
      <c r="O6119" s="5"/>
      <c r="P6119" s="5"/>
      <c r="Q6119" s="5"/>
      <c r="R6119" s="5"/>
      <c r="S6119" s="5"/>
      <c r="T6119" s="5"/>
      <c r="U6119" s="5"/>
      <c r="V6119" s="5"/>
      <c r="W6119" s="5"/>
      <c r="X6119" s="5"/>
      <c r="Y6119" s="5"/>
      <c r="Z6119" s="5"/>
    </row>
    <row r="6120" spans="1:26" ht="15" x14ac:dyDescent="0.25">
      <c r="A6120" s="4" t="s">
        <v>6118</v>
      </c>
      <c r="B6120" s="4" t="s">
        <v>4550</v>
      </c>
      <c r="C6120" s="2" t="str">
        <f ca="1">IFERROR(__xludf.DUMMYFUNCTION("GOOGLETRANSLATE(A6120,""bn"",""en"")"),"He wrote books")</f>
        <v>He wrote books</v>
      </c>
      <c r="D6120" s="5"/>
      <c r="E6120" s="5"/>
      <c r="F6120" s="5"/>
      <c r="G6120" s="5"/>
      <c r="H6120" s="5"/>
      <c r="I6120" s="5"/>
      <c r="J6120" s="5"/>
      <c r="K6120" s="5"/>
      <c r="L6120" s="5"/>
      <c r="M6120" s="5"/>
      <c r="N6120" s="5"/>
      <c r="O6120" s="5"/>
      <c r="P6120" s="5"/>
      <c r="Q6120" s="5"/>
      <c r="R6120" s="5"/>
      <c r="S6120" s="5"/>
      <c r="T6120" s="5"/>
      <c r="U6120" s="5"/>
      <c r="V6120" s="5"/>
      <c r="W6120" s="5"/>
      <c r="X6120" s="5"/>
      <c r="Y6120" s="5"/>
      <c r="Z6120" s="5"/>
    </row>
    <row r="6121" spans="1:26" ht="15" x14ac:dyDescent="0.25">
      <c r="A6121" s="4" t="s">
        <v>6119</v>
      </c>
      <c r="B6121" s="4" t="s">
        <v>4550</v>
      </c>
      <c r="C6121" s="2" t="str">
        <f ca="1">IFERROR(__xludf.DUMMYFUNCTION("GOOGLETRANSLATE(A6121,""bn"",""en"")"),"Participated in sports")</f>
        <v>Participated in sports</v>
      </c>
      <c r="D6121" s="5"/>
      <c r="E6121" s="5"/>
      <c r="F6121" s="5"/>
      <c r="G6121" s="5"/>
      <c r="H6121" s="5"/>
      <c r="I6121" s="5"/>
      <c r="J6121" s="5"/>
      <c r="K6121" s="5"/>
      <c r="L6121" s="5"/>
      <c r="M6121" s="5"/>
      <c r="N6121" s="5"/>
      <c r="O6121" s="5"/>
      <c r="P6121" s="5"/>
      <c r="Q6121" s="5"/>
      <c r="R6121" s="5"/>
      <c r="S6121" s="5"/>
      <c r="T6121" s="5"/>
      <c r="U6121" s="5"/>
      <c r="V6121" s="5"/>
      <c r="W6121" s="5"/>
      <c r="X6121" s="5"/>
      <c r="Y6121" s="5"/>
      <c r="Z6121" s="5"/>
    </row>
    <row r="6122" spans="1:26" ht="15" x14ac:dyDescent="0.25">
      <c r="A6122" s="4" t="s">
        <v>6120</v>
      </c>
      <c r="B6122" s="4" t="s">
        <v>4550</v>
      </c>
      <c r="C6122" s="2" t="str">
        <f ca="1">IFERROR(__xludf.DUMMYFUNCTION("GOOGLETRANSLATE(A6122,""bn"",""en"")"),"I ate protective food")</f>
        <v>I ate protective food</v>
      </c>
      <c r="D6122" s="5"/>
      <c r="E6122" s="5"/>
      <c r="F6122" s="5"/>
      <c r="G6122" s="5"/>
      <c r="H6122" s="5"/>
      <c r="I6122" s="5"/>
      <c r="J6122" s="5"/>
      <c r="K6122" s="5"/>
      <c r="L6122" s="5"/>
      <c r="M6122" s="5"/>
      <c r="N6122" s="5"/>
      <c r="O6122" s="5"/>
      <c r="P6122" s="5"/>
      <c r="Q6122" s="5"/>
      <c r="R6122" s="5"/>
      <c r="S6122" s="5"/>
      <c r="T6122" s="5"/>
      <c r="U6122" s="5"/>
      <c r="V6122" s="5"/>
      <c r="W6122" s="5"/>
      <c r="X6122" s="5"/>
      <c r="Y6122" s="5"/>
      <c r="Z6122" s="5"/>
    </row>
    <row r="6123" spans="1:26" ht="15" x14ac:dyDescent="0.25">
      <c r="A6123" s="4" t="s">
        <v>6121</v>
      </c>
      <c r="B6123" s="4" t="s">
        <v>4550</v>
      </c>
      <c r="C6123" s="2" t="str">
        <f ca="1">IFERROR(__xludf.DUMMYFUNCTION("GOOGLETRANSLATE(A6123,""bn"",""en"")"),"I traveled to college")</f>
        <v>I traveled to college</v>
      </c>
      <c r="D6123" s="5"/>
      <c r="E6123" s="5"/>
      <c r="F6123" s="5"/>
      <c r="G6123" s="5"/>
      <c r="H6123" s="5"/>
      <c r="I6123" s="5"/>
      <c r="J6123" s="5"/>
      <c r="K6123" s="5"/>
      <c r="L6123" s="5"/>
      <c r="M6123" s="5"/>
      <c r="N6123" s="5"/>
      <c r="O6123" s="5"/>
      <c r="P6123" s="5"/>
      <c r="Q6123" s="5"/>
      <c r="R6123" s="5"/>
      <c r="S6123" s="5"/>
      <c r="T6123" s="5"/>
      <c r="U6123" s="5"/>
      <c r="V6123" s="5"/>
      <c r="W6123" s="5"/>
      <c r="X6123" s="5"/>
      <c r="Y6123" s="5"/>
      <c r="Z6123" s="5"/>
    </row>
    <row r="6124" spans="1:26" ht="15" x14ac:dyDescent="0.25">
      <c r="A6124" s="4" t="s">
        <v>6122</v>
      </c>
      <c r="B6124" s="4" t="s">
        <v>4550</v>
      </c>
      <c r="C6124" s="2" t="str">
        <f ca="1">IFERROR(__xludf.DUMMYFUNCTION("GOOGLETRANSLATE(A6124,""bn"",""en"")"),"I deposited the account balance")</f>
        <v>I deposited the account balance</v>
      </c>
      <c r="D6124" s="5"/>
      <c r="E6124" s="5"/>
      <c r="F6124" s="5"/>
      <c r="G6124" s="5"/>
      <c r="H6124" s="5"/>
      <c r="I6124" s="5"/>
      <c r="J6124" s="5"/>
      <c r="K6124" s="5"/>
      <c r="L6124" s="5"/>
      <c r="M6124" s="5"/>
      <c r="N6124" s="5"/>
      <c r="O6124" s="5"/>
      <c r="P6124" s="5"/>
      <c r="Q6124" s="5"/>
      <c r="R6124" s="5"/>
      <c r="S6124" s="5"/>
      <c r="T6124" s="5"/>
      <c r="U6124" s="5"/>
      <c r="V6124" s="5"/>
      <c r="W6124" s="5"/>
      <c r="X6124" s="5"/>
      <c r="Y6124" s="5"/>
      <c r="Z6124" s="5"/>
    </row>
    <row r="6125" spans="1:26" ht="15" x14ac:dyDescent="0.25">
      <c r="A6125" s="4" t="s">
        <v>6123</v>
      </c>
      <c r="B6125" s="4" t="s">
        <v>4550</v>
      </c>
      <c r="C6125" s="2" t="str">
        <f ca="1">IFERROR(__xludf.DUMMYFUNCTION("GOOGLETRANSLATE(A6125,""bn"",""en"")"),"I played football in school")</f>
        <v>I played football in school</v>
      </c>
      <c r="D6125" s="5"/>
      <c r="E6125" s="5"/>
      <c r="F6125" s="5"/>
      <c r="G6125" s="5"/>
      <c r="H6125" s="5"/>
      <c r="I6125" s="5"/>
      <c r="J6125" s="5"/>
      <c r="K6125" s="5"/>
      <c r="L6125" s="5"/>
      <c r="M6125" s="5"/>
      <c r="N6125" s="5"/>
      <c r="O6125" s="5"/>
      <c r="P6125" s="5"/>
      <c r="Q6125" s="5"/>
      <c r="R6125" s="5"/>
      <c r="S6125" s="5"/>
      <c r="T6125" s="5"/>
      <c r="U6125" s="5"/>
      <c r="V6125" s="5"/>
      <c r="W6125" s="5"/>
      <c r="X6125" s="5"/>
      <c r="Y6125" s="5"/>
      <c r="Z6125" s="5"/>
    </row>
    <row r="6126" spans="1:26" ht="15" x14ac:dyDescent="0.25">
      <c r="A6126" s="4" t="s">
        <v>6124</v>
      </c>
      <c r="B6126" s="4" t="s">
        <v>4550</v>
      </c>
      <c r="C6126" s="2" t="str">
        <f ca="1">IFERROR(__xludf.DUMMYFUNCTION("GOOGLETRANSLATE(A6126,""bn"",""en"")"),"I wanted to buy a camera")</f>
        <v>I wanted to buy a camera</v>
      </c>
      <c r="D6126" s="5"/>
      <c r="E6126" s="5"/>
      <c r="F6126" s="5"/>
      <c r="G6126" s="5"/>
      <c r="H6126" s="5"/>
      <c r="I6126" s="5"/>
      <c r="J6126" s="5"/>
      <c r="K6126" s="5"/>
      <c r="L6126" s="5"/>
      <c r="M6126" s="5"/>
      <c r="N6126" s="5"/>
      <c r="O6126" s="5"/>
      <c r="P6126" s="5"/>
      <c r="Q6126" s="5"/>
      <c r="R6126" s="5"/>
      <c r="S6126" s="5"/>
      <c r="T6126" s="5"/>
      <c r="U6126" s="5"/>
      <c r="V6126" s="5"/>
      <c r="W6126" s="5"/>
      <c r="X6126" s="5"/>
      <c r="Y6126" s="5"/>
      <c r="Z6126" s="5"/>
    </row>
    <row r="6127" spans="1:26" ht="15" x14ac:dyDescent="0.25">
      <c r="A6127" s="4" t="s">
        <v>6125</v>
      </c>
      <c r="B6127" s="4" t="s">
        <v>4550</v>
      </c>
      <c r="C6127" s="2" t="str">
        <f ca="1">IFERROR(__xludf.DUMMYFUNCTION("GOOGLETRANSLATE(A6127,""bn"",""en"")"),"I could read email")</f>
        <v>I could read email</v>
      </c>
      <c r="D6127" s="5"/>
      <c r="E6127" s="5"/>
      <c r="F6127" s="5"/>
      <c r="G6127" s="5"/>
      <c r="H6127" s="5"/>
      <c r="I6127" s="5"/>
      <c r="J6127" s="5"/>
      <c r="K6127" s="5"/>
      <c r="L6127" s="5"/>
      <c r="M6127" s="5"/>
      <c r="N6127" s="5"/>
      <c r="O6127" s="5"/>
      <c r="P6127" s="5"/>
      <c r="Q6127" s="5"/>
      <c r="R6127" s="5"/>
      <c r="S6127" s="5"/>
      <c r="T6127" s="5"/>
      <c r="U6127" s="5"/>
      <c r="V6127" s="5"/>
      <c r="W6127" s="5"/>
      <c r="X6127" s="5"/>
      <c r="Y6127" s="5"/>
      <c r="Z6127" s="5"/>
    </row>
    <row r="6128" spans="1:26" ht="15" x14ac:dyDescent="0.25">
      <c r="A6128" s="4" t="s">
        <v>6126</v>
      </c>
      <c r="B6128" s="4" t="s">
        <v>4550</v>
      </c>
      <c r="C6128" s="2" t="str">
        <f ca="1">IFERROR(__xludf.DUMMYFUNCTION("GOOGLETRANSLATE(A6128,""bn"",""en"")"),"Financial prosperity declined")</f>
        <v>Financial prosperity declined</v>
      </c>
      <c r="D6128" s="5"/>
      <c r="E6128" s="5"/>
      <c r="F6128" s="5"/>
      <c r="G6128" s="5"/>
      <c r="H6128" s="5"/>
      <c r="I6128" s="5"/>
      <c r="J6128" s="5"/>
      <c r="K6128" s="5"/>
      <c r="L6128" s="5"/>
      <c r="M6128" s="5"/>
      <c r="N6128" s="5"/>
      <c r="O6128" s="5"/>
      <c r="P6128" s="5"/>
      <c r="Q6128" s="5"/>
      <c r="R6128" s="5"/>
      <c r="S6128" s="5"/>
      <c r="T6128" s="5"/>
      <c r="U6128" s="5"/>
      <c r="V6128" s="5"/>
      <c r="W6128" s="5"/>
      <c r="X6128" s="5"/>
      <c r="Y6128" s="5"/>
      <c r="Z6128" s="5"/>
    </row>
    <row r="6129" spans="1:26" ht="15" x14ac:dyDescent="0.25">
      <c r="A6129" s="4" t="s">
        <v>6127</v>
      </c>
      <c r="B6129" s="4" t="s">
        <v>4550</v>
      </c>
      <c r="C6129" s="2" t="str">
        <f ca="1">IFERROR(__xludf.DUMMYFUNCTION("GOOGLETRANSLATE(A6129,""bn"",""en"")"),"I sent the video")</f>
        <v>I sent the video</v>
      </c>
      <c r="D6129" s="5"/>
      <c r="E6129" s="5"/>
      <c r="F6129" s="5"/>
      <c r="G6129" s="5"/>
      <c r="H6129" s="5"/>
      <c r="I6129" s="5"/>
      <c r="J6129" s="5"/>
      <c r="K6129" s="5"/>
      <c r="L6129" s="5"/>
      <c r="M6129" s="5"/>
      <c r="N6129" s="5"/>
      <c r="O6129" s="5"/>
      <c r="P6129" s="5"/>
      <c r="Q6129" s="5"/>
      <c r="R6129" s="5"/>
      <c r="S6129" s="5"/>
      <c r="T6129" s="5"/>
      <c r="U6129" s="5"/>
      <c r="V6129" s="5"/>
      <c r="W6129" s="5"/>
      <c r="X6129" s="5"/>
      <c r="Y6129" s="5"/>
      <c r="Z6129" s="5"/>
    </row>
    <row r="6130" spans="1:26" ht="15" x14ac:dyDescent="0.25">
      <c r="A6130" s="4" t="s">
        <v>6128</v>
      </c>
      <c r="B6130" s="4" t="s">
        <v>4550</v>
      </c>
      <c r="C6130" s="2" t="str">
        <f ca="1">IFERROR(__xludf.DUMMYFUNCTION("GOOGLETRANSLATE(A6130,""bn"",""en"")"),"I gave him to download")</f>
        <v>I gave him to download</v>
      </c>
      <c r="D6130" s="5"/>
      <c r="E6130" s="5"/>
      <c r="F6130" s="5"/>
      <c r="G6130" s="5"/>
      <c r="H6130" s="5"/>
      <c r="I6130" s="5"/>
      <c r="J6130" s="5"/>
      <c r="K6130" s="5"/>
      <c r="L6130" s="5"/>
      <c r="M6130" s="5"/>
      <c r="N6130" s="5"/>
      <c r="O6130" s="5"/>
      <c r="P6130" s="5"/>
      <c r="Q6130" s="5"/>
      <c r="R6130" s="5"/>
      <c r="S6130" s="5"/>
      <c r="T6130" s="5"/>
      <c r="U6130" s="5"/>
      <c r="V6130" s="5"/>
      <c r="W6130" s="5"/>
      <c r="X6130" s="5"/>
      <c r="Y6130" s="5"/>
      <c r="Z6130" s="5"/>
    </row>
    <row r="6131" spans="1:26" ht="15" x14ac:dyDescent="0.25">
      <c r="A6131" s="4" t="s">
        <v>6129</v>
      </c>
      <c r="B6131" s="4" t="s">
        <v>4550</v>
      </c>
      <c r="C6131" s="2" t="str">
        <f ca="1">IFERROR(__xludf.DUMMYFUNCTION("GOOGLETRANSLATE(A6131,""bn"",""en"")"),"I used to shop online")</f>
        <v>I used to shop online</v>
      </c>
      <c r="D6131" s="5"/>
      <c r="E6131" s="5"/>
      <c r="F6131" s="5"/>
      <c r="G6131" s="5"/>
      <c r="H6131" s="5"/>
      <c r="I6131" s="5"/>
      <c r="J6131" s="5"/>
      <c r="K6131" s="5"/>
      <c r="L6131" s="5"/>
      <c r="M6131" s="5"/>
      <c r="N6131" s="5"/>
      <c r="O6131" s="5"/>
      <c r="P6131" s="5"/>
      <c r="Q6131" s="5"/>
      <c r="R6131" s="5"/>
      <c r="S6131" s="5"/>
      <c r="T6131" s="5"/>
      <c r="U6131" s="5"/>
      <c r="V6131" s="5"/>
      <c r="W6131" s="5"/>
      <c r="X6131" s="5"/>
      <c r="Y6131" s="5"/>
      <c r="Z6131" s="5"/>
    </row>
    <row r="6132" spans="1:26" ht="15" x14ac:dyDescent="0.25">
      <c r="A6132" s="4" t="s">
        <v>6130</v>
      </c>
      <c r="B6132" s="4" t="s">
        <v>4550</v>
      </c>
      <c r="C6132" s="2" t="str">
        <f ca="1">IFERROR(__xludf.DUMMYFUNCTION("GOOGLETRANSLATE(A6132,""bn"",""en"")"),"The business sector was shrinking")</f>
        <v>The business sector was shrinking</v>
      </c>
      <c r="D6132" s="5"/>
      <c r="E6132" s="5"/>
      <c r="F6132" s="5"/>
      <c r="G6132" s="5"/>
      <c r="H6132" s="5"/>
      <c r="I6132" s="5"/>
      <c r="J6132" s="5"/>
      <c r="K6132" s="5"/>
      <c r="L6132" s="5"/>
      <c r="M6132" s="5"/>
      <c r="N6132" s="5"/>
      <c r="O6132" s="5"/>
      <c r="P6132" s="5"/>
      <c r="Q6132" s="5"/>
      <c r="R6132" s="5"/>
      <c r="S6132" s="5"/>
      <c r="T6132" s="5"/>
      <c r="U6132" s="5"/>
      <c r="V6132" s="5"/>
      <c r="W6132" s="5"/>
      <c r="X6132" s="5"/>
      <c r="Y6132" s="5"/>
      <c r="Z6132" s="5"/>
    </row>
    <row r="6133" spans="1:26" ht="15" x14ac:dyDescent="0.25">
      <c r="A6133" s="4" t="s">
        <v>6131</v>
      </c>
      <c r="B6133" s="4" t="s">
        <v>4550</v>
      </c>
      <c r="C6133" s="2" t="str">
        <f ca="1">IFERROR(__xludf.DUMMYFUNCTION("GOOGLETRANSLATE(A6133,""bn"",""en"")"),"Foreign imports increased")</f>
        <v>Foreign imports increased</v>
      </c>
      <c r="D6133" s="5"/>
      <c r="E6133" s="5"/>
      <c r="F6133" s="5"/>
      <c r="G6133" s="5"/>
      <c r="H6133" s="5"/>
      <c r="I6133" s="5"/>
      <c r="J6133" s="5"/>
      <c r="K6133" s="5"/>
      <c r="L6133" s="5"/>
      <c r="M6133" s="5"/>
      <c r="N6133" s="5"/>
      <c r="O6133" s="5"/>
      <c r="P6133" s="5"/>
      <c r="Q6133" s="5"/>
      <c r="R6133" s="5"/>
      <c r="S6133" s="5"/>
      <c r="T6133" s="5"/>
      <c r="U6133" s="5"/>
      <c r="V6133" s="5"/>
      <c r="W6133" s="5"/>
      <c r="X6133" s="5"/>
      <c r="Y6133" s="5"/>
      <c r="Z6133" s="5"/>
    </row>
    <row r="6134" spans="1:26" ht="15" x14ac:dyDescent="0.25">
      <c r="A6134" s="4" t="s">
        <v>6132</v>
      </c>
      <c r="B6134" s="4" t="s">
        <v>4550</v>
      </c>
      <c r="C6134" s="2" t="str">
        <f ca="1">IFERROR(__xludf.DUMMYFUNCTION("GOOGLETRANSLATE(A6134,""bn"",""en"")"),"I gave regular videos")</f>
        <v>I gave regular videos</v>
      </c>
      <c r="D6134" s="5"/>
      <c r="E6134" s="5"/>
      <c r="F6134" s="5"/>
      <c r="G6134" s="5"/>
      <c r="H6134" s="5"/>
      <c r="I6134" s="5"/>
      <c r="J6134" s="5"/>
      <c r="K6134" s="5"/>
      <c r="L6134" s="5"/>
      <c r="M6134" s="5"/>
      <c r="N6134" s="5"/>
      <c r="O6134" s="5"/>
      <c r="P6134" s="5"/>
      <c r="Q6134" s="5"/>
      <c r="R6134" s="5"/>
      <c r="S6134" s="5"/>
      <c r="T6134" s="5"/>
      <c r="U6134" s="5"/>
      <c r="V6134" s="5"/>
      <c r="W6134" s="5"/>
      <c r="X6134" s="5"/>
      <c r="Y6134" s="5"/>
      <c r="Z6134" s="5"/>
    </row>
    <row r="6135" spans="1:26" ht="15" x14ac:dyDescent="0.25">
      <c r="A6135" s="4" t="s">
        <v>6133</v>
      </c>
      <c r="B6135" s="4" t="s">
        <v>4550</v>
      </c>
      <c r="C6135" s="2" t="str">
        <f ca="1">IFERROR(__xludf.DUMMYFUNCTION("GOOGLETRANSLATE(A6135,""bn"",""en"")"),"I watched movie on laptop")</f>
        <v>I watched movie on laptop</v>
      </c>
      <c r="D6135" s="5"/>
      <c r="E6135" s="5"/>
      <c r="F6135" s="5"/>
      <c r="G6135" s="5"/>
      <c r="H6135" s="5"/>
      <c r="I6135" s="5"/>
      <c r="J6135" s="5"/>
      <c r="K6135" s="5"/>
      <c r="L6135" s="5"/>
      <c r="M6135" s="5"/>
      <c r="N6135" s="5"/>
      <c r="O6135" s="5"/>
      <c r="P6135" s="5"/>
      <c r="Q6135" s="5"/>
      <c r="R6135" s="5"/>
      <c r="S6135" s="5"/>
      <c r="T6135" s="5"/>
      <c r="U6135" s="5"/>
      <c r="V6135" s="5"/>
      <c r="W6135" s="5"/>
      <c r="X6135" s="5"/>
      <c r="Y6135" s="5"/>
      <c r="Z6135" s="5"/>
    </row>
    <row r="6136" spans="1:26" ht="15" x14ac:dyDescent="0.25">
      <c r="A6136" s="4" t="s">
        <v>6134</v>
      </c>
      <c r="B6136" s="4" t="s">
        <v>4550</v>
      </c>
      <c r="C6136" s="2" t="str">
        <f ca="1">IFERROR(__xludf.DUMMYFUNCTION("GOOGLETRANSLATE(A6136,""bn"",""en"")"),"He wanted to create an account")</f>
        <v>He wanted to create an account</v>
      </c>
      <c r="D6136" s="5"/>
      <c r="E6136" s="5"/>
      <c r="F6136" s="5"/>
      <c r="G6136" s="5"/>
      <c r="H6136" s="5"/>
      <c r="I6136" s="5"/>
      <c r="J6136" s="5"/>
      <c r="K6136" s="5"/>
      <c r="L6136" s="5"/>
      <c r="M6136" s="5"/>
      <c r="N6136" s="5"/>
      <c r="O6136" s="5"/>
      <c r="P6136" s="5"/>
      <c r="Q6136" s="5"/>
      <c r="R6136" s="5"/>
      <c r="S6136" s="5"/>
      <c r="T6136" s="5"/>
      <c r="U6136" s="5"/>
      <c r="V6136" s="5"/>
      <c r="W6136" s="5"/>
      <c r="X6136" s="5"/>
      <c r="Y6136" s="5"/>
      <c r="Z6136" s="5"/>
    </row>
    <row r="6137" spans="1:26" ht="15" x14ac:dyDescent="0.25">
      <c r="A6137" s="4" t="s">
        <v>6135</v>
      </c>
      <c r="B6137" s="4" t="s">
        <v>4550</v>
      </c>
      <c r="C6137" s="2" t="str">
        <f ca="1">IFERROR(__xludf.DUMMYFUNCTION("GOOGLETRANSLATE(A6137,""bn"",""en"")"),"He learned computer")</f>
        <v>He learned computer</v>
      </c>
      <c r="D6137" s="5"/>
      <c r="E6137" s="5"/>
      <c r="F6137" s="5"/>
      <c r="G6137" s="5"/>
      <c r="H6137" s="5"/>
      <c r="I6137" s="5"/>
      <c r="J6137" s="5"/>
      <c r="K6137" s="5"/>
      <c r="L6137" s="5"/>
      <c r="M6137" s="5"/>
      <c r="N6137" s="5"/>
      <c r="O6137" s="5"/>
      <c r="P6137" s="5"/>
      <c r="Q6137" s="5"/>
      <c r="R6137" s="5"/>
      <c r="S6137" s="5"/>
      <c r="T6137" s="5"/>
      <c r="U6137" s="5"/>
      <c r="V6137" s="5"/>
      <c r="W6137" s="5"/>
      <c r="X6137" s="5"/>
      <c r="Y6137" s="5"/>
      <c r="Z6137" s="5"/>
    </row>
    <row r="6138" spans="1:26" ht="15" x14ac:dyDescent="0.25">
      <c r="A6138" s="4" t="s">
        <v>6136</v>
      </c>
      <c r="B6138" s="4" t="s">
        <v>4550</v>
      </c>
      <c r="C6138" s="2" t="str">
        <f ca="1">IFERROR(__xludf.DUMMYFUNCTION("GOOGLETRANSLATE(A6138,""bn"",""en"")"),"I planned a trip")</f>
        <v>I planned a trip</v>
      </c>
      <c r="D6138" s="5"/>
      <c r="E6138" s="5"/>
      <c r="F6138" s="5"/>
      <c r="G6138" s="5"/>
      <c r="H6138" s="5"/>
      <c r="I6138" s="5"/>
      <c r="J6138" s="5"/>
      <c r="K6138" s="5"/>
      <c r="L6138" s="5"/>
      <c r="M6138" s="5"/>
      <c r="N6138" s="5"/>
      <c r="O6138" s="5"/>
      <c r="P6138" s="5"/>
      <c r="Q6138" s="5"/>
      <c r="R6138" s="5"/>
      <c r="S6138" s="5"/>
      <c r="T6138" s="5"/>
      <c r="U6138" s="5"/>
      <c r="V6138" s="5"/>
      <c r="W6138" s="5"/>
      <c r="X6138" s="5"/>
      <c r="Y6138" s="5"/>
      <c r="Z6138" s="5"/>
    </row>
    <row r="6139" spans="1:26" ht="15" x14ac:dyDescent="0.25">
      <c r="A6139" s="4" t="s">
        <v>6137</v>
      </c>
      <c r="B6139" s="4" t="s">
        <v>4550</v>
      </c>
      <c r="C6139" s="2" t="str">
        <f ca="1">IFERROR(__xludf.DUMMYFUNCTION("GOOGLETRANSLATE(A6139,""bn"",""en"")"),"I used desktop")</f>
        <v>I used desktop</v>
      </c>
      <c r="D6139" s="5"/>
      <c r="E6139" s="5"/>
      <c r="F6139" s="5"/>
      <c r="G6139" s="5"/>
      <c r="H6139" s="5"/>
      <c r="I6139" s="5"/>
      <c r="J6139" s="5"/>
      <c r="K6139" s="5"/>
      <c r="L6139" s="5"/>
      <c r="M6139" s="5"/>
      <c r="N6139" s="5"/>
      <c r="O6139" s="5"/>
      <c r="P6139" s="5"/>
      <c r="Q6139" s="5"/>
      <c r="R6139" s="5"/>
      <c r="S6139" s="5"/>
      <c r="T6139" s="5"/>
      <c r="U6139" s="5"/>
      <c r="V6139" s="5"/>
      <c r="W6139" s="5"/>
      <c r="X6139" s="5"/>
      <c r="Y6139" s="5"/>
      <c r="Z6139" s="5"/>
    </row>
    <row r="6140" spans="1:26" ht="15" x14ac:dyDescent="0.25">
      <c r="A6140" s="4" t="s">
        <v>6138</v>
      </c>
      <c r="B6140" s="4" t="s">
        <v>4550</v>
      </c>
      <c r="C6140" s="2" t="str">
        <f ca="1">IFERROR(__xludf.DUMMYFUNCTION("GOOGLETRANSLATE(A6140,""bn"",""en"")"),"I played high skill games")</f>
        <v>I played high skill games</v>
      </c>
      <c r="D6140" s="5"/>
      <c r="E6140" s="5"/>
      <c r="F6140" s="5"/>
      <c r="G6140" s="5"/>
      <c r="H6140" s="5"/>
      <c r="I6140" s="5"/>
      <c r="J6140" s="5"/>
      <c r="K6140" s="5"/>
      <c r="L6140" s="5"/>
      <c r="M6140" s="5"/>
      <c r="N6140" s="5"/>
      <c r="O6140" s="5"/>
      <c r="P6140" s="5"/>
      <c r="Q6140" s="5"/>
      <c r="R6140" s="5"/>
      <c r="S6140" s="5"/>
      <c r="T6140" s="5"/>
      <c r="U6140" s="5"/>
      <c r="V6140" s="5"/>
      <c r="W6140" s="5"/>
      <c r="X6140" s="5"/>
      <c r="Y6140" s="5"/>
      <c r="Z6140" s="5"/>
    </row>
    <row r="6141" spans="1:26" ht="15" x14ac:dyDescent="0.25">
      <c r="A6141" s="4" t="s">
        <v>6139</v>
      </c>
      <c r="B6141" s="4" t="s">
        <v>4550</v>
      </c>
      <c r="C6141" s="2" t="str">
        <f ca="1">IFERROR(__xludf.DUMMYFUNCTION("GOOGLETRANSLATE(A6141,""bn"",""en"")"),"I was working in a bank")</f>
        <v>I was working in a bank</v>
      </c>
      <c r="D6141" s="5"/>
      <c r="E6141" s="5"/>
      <c r="F6141" s="5"/>
      <c r="G6141" s="5"/>
      <c r="H6141" s="5"/>
      <c r="I6141" s="5"/>
      <c r="J6141" s="5"/>
      <c r="K6141" s="5"/>
      <c r="L6141" s="5"/>
      <c r="M6141" s="5"/>
      <c r="N6141" s="5"/>
      <c r="O6141" s="5"/>
      <c r="P6141" s="5"/>
      <c r="Q6141" s="5"/>
      <c r="R6141" s="5"/>
      <c r="S6141" s="5"/>
      <c r="T6141" s="5"/>
      <c r="U6141" s="5"/>
      <c r="V6141" s="5"/>
      <c r="W6141" s="5"/>
      <c r="X6141" s="5"/>
      <c r="Y6141" s="5"/>
      <c r="Z6141" s="5"/>
    </row>
    <row r="6142" spans="1:26" ht="15" x14ac:dyDescent="0.25">
      <c r="A6142" s="4" t="s">
        <v>6140</v>
      </c>
      <c r="B6142" s="4" t="s">
        <v>4550</v>
      </c>
      <c r="C6142" s="2" t="str">
        <f ca="1">IFERROR(__xludf.DUMMYFUNCTION("GOOGLETRANSLATE(A6142,""bn"",""en"")"),"Historical discussions were going on")</f>
        <v>Historical discussions were going on</v>
      </c>
      <c r="D6142" s="5"/>
      <c r="E6142" s="5"/>
      <c r="F6142" s="5"/>
      <c r="G6142" s="5"/>
      <c r="H6142" s="5"/>
      <c r="I6142" s="5"/>
      <c r="J6142" s="5"/>
      <c r="K6142" s="5"/>
      <c r="L6142" s="5"/>
      <c r="M6142" s="5"/>
      <c r="N6142" s="5"/>
      <c r="O6142" s="5"/>
      <c r="P6142" s="5"/>
      <c r="Q6142" s="5"/>
      <c r="R6142" s="5"/>
      <c r="S6142" s="5"/>
      <c r="T6142" s="5"/>
      <c r="U6142" s="5"/>
      <c r="V6142" s="5"/>
      <c r="W6142" s="5"/>
      <c r="X6142" s="5"/>
      <c r="Y6142" s="5"/>
      <c r="Z6142" s="5"/>
    </row>
    <row r="6143" spans="1:26" ht="15" x14ac:dyDescent="0.25">
      <c r="A6143" s="4" t="s">
        <v>6141</v>
      </c>
      <c r="B6143" s="4" t="s">
        <v>4550</v>
      </c>
      <c r="C6143" s="2" t="str">
        <f ca="1">IFERROR(__xludf.DUMMYFUNCTION("GOOGLETRANSLATE(A6143,""bn"",""en"")"),"Always wandered")</f>
        <v>Always wandered</v>
      </c>
      <c r="D6143" s="5"/>
      <c r="E6143" s="5"/>
      <c r="F6143" s="5"/>
      <c r="G6143" s="5"/>
      <c r="H6143" s="5"/>
      <c r="I6143" s="5"/>
      <c r="J6143" s="5"/>
      <c r="K6143" s="5"/>
      <c r="L6143" s="5"/>
      <c r="M6143" s="5"/>
      <c r="N6143" s="5"/>
      <c r="O6143" s="5"/>
      <c r="P6143" s="5"/>
      <c r="Q6143" s="5"/>
      <c r="R6143" s="5"/>
      <c r="S6143" s="5"/>
      <c r="T6143" s="5"/>
      <c r="U6143" s="5"/>
      <c r="V6143" s="5"/>
      <c r="W6143" s="5"/>
      <c r="X6143" s="5"/>
      <c r="Y6143" s="5"/>
      <c r="Z6143" s="5"/>
    </row>
    <row r="6144" spans="1:26" ht="15" x14ac:dyDescent="0.25">
      <c r="A6144" s="4" t="s">
        <v>6142</v>
      </c>
      <c r="B6144" s="4" t="s">
        <v>4550</v>
      </c>
      <c r="C6144" s="2" t="str">
        <f ca="1">IFERROR(__xludf.DUMMYFUNCTION("GOOGLETRANSLATE(A6144,""bn"",""en"")"),"I was using a smartphone")</f>
        <v>I was using a smartphone</v>
      </c>
      <c r="D6144" s="5"/>
      <c r="E6144" s="5"/>
      <c r="F6144" s="5"/>
      <c r="G6144" s="5"/>
      <c r="H6144" s="5"/>
      <c r="I6144" s="5"/>
      <c r="J6144" s="5"/>
      <c r="K6144" s="5"/>
      <c r="L6144" s="5"/>
      <c r="M6144" s="5"/>
      <c r="N6144" s="5"/>
      <c r="O6144" s="5"/>
      <c r="P6144" s="5"/>
      <c r="Q6144" s="5"/>
      <c r="R6144" s="5"/>
      <c r="S6144" s="5"/>
      <c r="T6144" s="5"/>
      <c r="U6144" s="5"/>
      <c r="V6144" s="5"/>
      <c r="W6144" s="5"/>
      <c r="X6144" s="5"/>
      <c r="Y6144" s="5"/>
      <c r="Z6144" s="5"/>
    </row>
    <row r="6145" spans="1:26" ht="15" x14ac:dyDescent="0.25">
      <c r="A6145" s="4" t="s">
        <v>6143</v>
      </c>
      <c r="B6145" s="4" t="s">
        <v>4550</v>
      </c>
      <c r="C6145" s="2" t="str">
        <f ca="1">IFERROR(__xludf.DUMMYFUNCTION("GOOGLETRANSLATE(A6145,""bn"",""en"")"),"Students played Hadudu")</f>
        <v>Students played Hadudu</v>
      </c>
      <c r="D6145" s="5"/>
      <c r="E6145" s="5"/>
      <c r="F6145" s="5"/>
      <c r="G6145" s="5"/>
      <c r="H6145" s="5"/>
      <c r="I6145" s="5"/>
      <c r="J6145" s="5"/>
      <c r="K6145" s="5"/>
      <c r="L6145" s="5"/>
      <c r="M6145" s="5"/>
      <c r="N6145" s="5"/>
      <c r="O6145" s="5"/>
      <c r="P6145" s="5"/>
      <c r="Q6145" s="5"/>
      <c r="R6145" s="5"/>
      <c r="S6145" s="5"/>
      <c r="T6145" s="5"/>
      <c r="U6145" s="5"/>
      <c r="V6145" s="5"/>
      <c r="W6145" s="5"/>
      <c r="X6145" s="5"/>
      <c r="Y6145" s="5"/>
      <c r="Z6145" s="5"/>
    </row>
    <row r="6146" spans="1:26" ht="15" x14ac:dyDescent="0.25">
      <c r="A6146" s="4" t="s">
        <v>6144</v>
      </c>
      <c r="B6146" s="4" t="s">
        <v>4550</v>
      </c>
      <c r="C6146" s="2" t="str">
        <f ca="1">IFERROR(__xludf.DUMMYFUNCTION("GOOGLETRANSLATE(A6146,""bn"",""en"")"),"I enjoyed the music")</f>
        <v>I enjoyed the music</v>
      </c>
      <c r="D6146" s="5"/>
      <c r="E6146" s="5"/>
      <c r="F6146" s="5"/>
      <c r="G6146" s="5"/>
      <c r="H6146" s="5"/>
      <c r="I6146" s="5"/>
      <c r="J6146" s="5"/>
      <c r="K6146" s="5"/>
      <c r="L6146" s="5"/>
      <c r="M6146" s="5"/>
      <c r="N6146" s="5"/>
      <c r="O6146" s="5"/>
      <c r="P6146" s="5"/>
      <c r="Q6146" s="5"/>
      <c r="R6146" s="5"/>
      <c r="S6146" s="5"/>
      <c r="T6146" s="5"/>
      <c r="U6146" s="5"/>
      <c r="V6146" s="5"/>
      <c r="W6146" s="5"/>
      <c r="X6146" s="5"/>
      <c r="Y6146" s="5"/>
      <c r="Z6146" s="5"/>
    </row>
    <row r="6147" spans="1:26" ht="15" x14ac:dyDescent="0.25">
      <c r="A6147" s="4" t="s">
        <v>6145</v>
      </c>
      <c r="B6147" s="4" t="s">
        <v>4550</v>
      </c>
      <c r="C6147" s="2" t="str">
        <f ca="1">IFERROR(__xludf.DUMMYFUNCTION("GOOGLETRANSLATE(A6147,""bn"",""en"")"),"Had trouble in student life")</f>
        <v>Had trouble in student life</v>
      </c>
      <c r="D6147" s="5"/>
      <c r="E6147" s="5"/>
      <c r="F6147" s="5"/>
      <c r="G6147" s="5"/>
      <c r="H6147" s="5"/>
      <c r="I6147" s="5"/>
      <c r="J6147" s="5"/>
      <c r="K6147" s="5"/>
      <c r="L6147" s="5"/>
      <c r="M6147" s="5"/>
      <c r="N6147" s="5"/>
      <c r="O6147" s="5"/>
      <c r="P6147" s="5"/>
      <c r="Q6147" s="5"/>
      <c r="R6147" s="5"/>
      <c r="S6147" s="5"/>
      <c r="T6147" s="5"/>
      <c r="U6147" s="5"/>
      <c r="V6147" s="5"/>
      <c r="W6147" s="5"/>
      <c r="X6147" s="5"/>
      <c r="Y6147" s="5"/>
      <c r="Z6147" s="5"/>
    </row>
    <row r="6148" spans="1:26" ht="15" x14ac:dyDescent="0.25">
      <c r="A6148" s="4" t="s">
        <v>6146</v>
      </c>
      <c r="B6148" s="4" t="s">
        <v>4550</v>
      </c>
      <c r="C6148" s="2" t="str">
        <f ca="1">IFERROR(__xludf.DUMMYFUNCTION("GOOGLETRANSLATE(A6148,""bn"",""en"")"),"I was using the software")</f>
        <v>I was using the software</v>
      </c>
      <c r="D6148" s="5"/>
      <c r="E6148" s="5"/>
      <c r="F6148" s="5"/>
      <c r="G6148" s="5"/>
      <c r="H6148" s="5"/>
      <c r="I6148" s="5"/>
      <c r="J6148" s="5"/>
      <c r="K6148" s="5"/>
      <c r="L6148" s="5"/>
      <c r="M6148" s="5"/>
      <c r="N6148" s="5"/>
      <c r="O6148" s="5"/>
      <c r="P6148" s="5"/>
      <c r="Q6148" s="5"/>
      <c r="R6148" s="5"/>
      <c r="S6148" s="5"/>
      <c r="T6148" s="5"/>
      <c r="U6148" s="5"/>
      <c r="V6148" s="5"/>
      <c r="W6148" s="5"/>
      <c r="X6148" s="5"/>
      <c r="Y6148" s="5"/>
      <c r="Z6148" s="5"/>
    </row>
    <row r="6149" spans="1:26" ht="15" x14ac:dyDescent="0.25">
      <c r="A6149" s="4" t="s">
        <v>6147</v>
      </c>
      <c r="B6149" s="4" t="s">
        <v>4550</v>
      </c>
      <c r="C6149" s="2" t="str">
        <f ca="1">IFERROR(__xludf.DUMMYFUNCTION("GOOGLETRANSLATE(A6149,""bn"",""en"")"),"I used the television")</f>
        <v>I used the television</v>
      </c>
      <c r="D6149" s="5"/>
      <c r="E6149" s="5"/>
      <c r="F6149" s="5"/>
      <c r="G6149" s="5"/>
      <c r="H6149" s="5"/>
      <c r="I6149" s="5"/>
      <c r="J6149" s="5"/>
      <c r="K6149" s="5"/>
      <c r="L6149" s="5"/>
      <c r="M6149" s="5"/>
      <c r="N6149" s="5"/>
      <c r="O6149" s="5"/>
      <c r="P6149" s="5"/>
      <c r="Q6149" s="5"/>
      <c r="R6149" s="5"/>
      <c r="S6149" s="5"/>
      <c r="T6149" s="5"/>
      <c r="U6149" s="5"/>
      <c r="V6149" s="5"/>
      <c r="W6149" s="5"/>
      <c r="X6149" s="5"/>
      <c r="Y6149" s="5"/>
      <c r="Z6149" s="5"/>
    </row>
    <row r="6150" spans="1:26" ht="15" x14ac:dyDescent="0.25">
      <c r="A6150" s="4" t="s">
        <v>6148</v>
      </c>
      <c r="B6150" s="4" t="s">
        <v>4550</v>
      </c>
      <c r="C6150" s="2" t="str">
        <f ca="1">IFERROR(__xludf.DUMMYFUNCTION("GOOGLETRANSLATE(A6150,""bn"",""en"")"),"I put money in the account")</f>
        <v>I put money in the account</v>
      </c>
      <c r="D6150" s="5"/>
      <c r="E6150" s="5"/>
      <c r="F6150" s="5"/>
      <c r="G6150" s="5"/>
      <c r="H6150" s="5"/>
      <c r="I6150" s="5"/>
      <c r="J6150" s="5"/>
      <c r="K6150" s="5"/>
      <c r="L6150" s="5"/>
      <c r="M6150" s="5"/>
      <c r="N6150" s="5"/>
      <c r="O6150" s="5"/>
      <c r="P6150" s="5"/>
      <c r="Q6150" s="5"/>
      <c r="R6150" s="5"/>
      <c r="S6150" s="5"/>
      <c r="T6150" s="5"/>
      <c r="U6150" s="5"/>
      <c r="V6150" s="5"/>
      <c r="W6150" s="5"/>
      <c r="X6150" s="5"/>
      <c r="Y6150" s="5"/>
      <c r="Z6150" s="5"/>
    </row>
    <row r="6151" spans="1:26" ht="15" x14ac:dyDescent="0.25">
      <c r="A6151" s="4" t="s">
        <v>6149</v>
      </c>
      <c r="B6151" s="4" t="s">
        <v>4550</v>
      </c>
      <c r="C6151" s="2" t="str">
        <f ca="1">IFERROR(__xludf.DUMMYFUNCTION("GOOGLETRANSLATE(A6151,""bn"",""en"")"),"I did the math")</f>
        <v>I did the math</v>
      </c>
      <c r="D6151" s="5"/>
      <c r="E6151" s="5"/>
      <c r="F6151" s="5"/>
      <c r="G6151" s="5"/>
      <c r="H6151" s="5"/>
      <c r="I6151" s="5"/>
      <c r="J6151" s="5"/>
      <c r="K6151" s="5"/>
      <c r="L6151" s="5"/>
      <c r="M6151" s="5"/>
      <c r="N6151" s="5"/>
      <c r="O6151" s="5"/>
      <c r="P6151" s="5"/>
      <c r="Q6151" s="5"/>
      <c r="R6151" s="5"/>
      <c r="S6151" s="5"/>
      <c r="T6151" s="5"/>
      <c r="U6151" s="5"/>
      <c r="V6151" s="5"/>
      <c r="W6151" s="5"/>
      <c r="X6151" s="5"/>
      <c r="Y6151" s="5"/>
      <c r="Z6151" s="5"/>
    </row>
    <row r="6152" spans="1:26" ht="15" x14ac:dyDescent="0.25">
      <c r="A6152" s="4" t="s">
        <v>6150</v>
      </c>
      <c r="B6152" s="4" t="s">
        <v>4550</v>
      </c>
      <c r="C6152" s="2" t="str">
        <f ca="1">IFERROR(__xludf.DUMMYFUNCTION("GOOGLETRANSLATE(A6152,""bn"",""en"")"),"I used to find peace in worship")</f>
        <v>I used to find peace in worship</v>
      </c>
      <c r="D6152" s="5"/>
      <c r="E6152" s="5"/>
      <c r="F6152" s="5"/>
      <c r="G6152" s="5"/>
      <c r="H6152" s="5"/>
      <c r="I6152" s="5"/>
      <c r="J6152" s="5"/>
      <c r="K6152" s="5"/>
      <c r="L6152" s="5"/>
      <c r="M6152" s="5"/>
      <c r="N6152" s="5"/>
      <c r="O6152" s="5"/>
      <c r="P6152" s="5"/>
      <c r="Q6152" s="5"/>
      <c r="R6152" s="5"/>
      <c r="S6152" s="5"/>
      <c r="T6152" s="5"/>
      <c r="U6152" s="5"/>
      <c r="V6152" s="5"/>
      <c r="W6152" s="5"/>
      <c r="X6152" s="5"/>
      <c r="Y6152" s="5"/>
      <c r="Z6152" s="5"/>
    </row>
    <row r="6153" spans="1:26" ht="15" x14ac:dyDescent="0.25">
      <c r="A6153" s="4" t="s">
        <v>6151</v>
      </c>
      <c r="B6153" s="4" t="s">
        <v>4550</v>
      </c>
      <c r="C6153" s="2" t="str">
        <f ca="1">IFERROR(__xludf.DUMMYFUNCTION("GOOGLETRANSLATE(A6153,""bn"",""en"")"),"Taif was a desert")</f>
        <v>Taif was a desert</v>
      </c>
      <c r="D6153" s="5"/>
      <c r="E6153" s="5"/>
      <c r="F6153" s="5"/>
      <c r="G6153" s="5"/>
      <c r="H6153" s="5"/>
      <c r="I6153" s="5"/>
      <c r="J6153" s="5"/>
      <c r="K6153" s="5"/>
      <c r="L6153" s="5"/>
      <c r="M6153" s="5"/>
      <c r="N6153" s="5"/>
      <c r="O6153" s="5"/>
      <c r="P6153" s="5"/>
      <c r="Q6153" s="5"/>
      <c r="R6153" s="5"/>
      <c r="S6153" s="5"/>
      <c r="T6153" s="5"/>
      <c r="U6153" s="5"/>
      <c r="V6153" s="5"/>
      <c r="W6153" s="5"/>
      <c r="X6153" s="5"/>
      <c r="Y6153" s="5"/>
      <c r="Z6153" s="5"/>
    </row>
    <row r="6154" spans="1:26" ht="15" x14ac:dyDescent="0.25">
      <c r="A6154" s="4" t="s">
        <v>6152</v>
      </c>
      <c r="B6154" s="4" t="s">
        <v>4550</v>
      </c>
      <c r="C6154" s="2" t="str">
        <f ca="1">IFERROR(__xludf.DUMMYFUNCTION("GOOGLETRANSLATE(A6154,""bn"",""en"")"),"I lived in the college hostel")</f>
        <v>I lived in the college hostel</v>
      </c>
      <c r="D6154" s="5"/>
      <c r="E6154" s="5"/>
      <c r="F6154" s="5"/>
      <c r="G6154" s="5"/>
      <c r="H6154" s="5"/>
      <c r="I6154" s="5"/>
      <c r="J6154" s="5"/>
      <c r="K6154" s="5"/>
      <c r="L6154" s="5"/>
      <c r="M6154" s="5"/>
      <c r="N6154" s="5"/>
      <c r="O6154" s="5"/>
      <c r="P6154" s="5"/>
      <c r="Q6154" s="5"/>
      <c r="R6154" s="5"/>
      <c r="S6154" s="5"/>
      <c r="T6154" s="5"/>
      <c r="U6154" s="5"/>
      <c r="V6154" s="5"/>
      <c r="W6154" s="5"/>
      <c r="X6154" s="5"/>
      <c r="Y6154" s="5"/>
      <c r="Z6154" s="5"/>
    </row>
    <row r="6155" spans="1:26" ht="15" x14ac:dyDescent="0.25">
      <c r="A6155" s="4" t="s">
        <v>6153</v>
      </c>
      <c r="B6155" s="4" t="s">
        <v>4550</v>
      </c>
      <c r="C6155" s="2" t="str">
        <f ca="1">IFERROR(__xludf.DUMMYFUNCTION("GOOGLETRANSLATE(A6155,""bn"",""en"")"),"The parties agreed")</f>
        <v>The parties agreed</v>
      </c>
      <c r="D6155" s="5"/>
      <c r="E6155" s="5"/>
      <c r="F6155" s="5"/>
      <c r="G6155" s="5"/>
      <c r="H6155" s="5"/>
      <c r="I6155" s="5"/>
      <c r="J6155" s="5"/>
      <c r="K6155" s="5"/>
      <c r="L6155" s="5"/>
      <c r="M6155" s="5"/>
      <c r="N6155" s="5"/>
      <c r="O6155" s="5"/>
      <c r="P6155" s="5"/>
      <c r="Q6155" s="5"/>
      <c r="R6155" s="5"/>
      <c r="S6155" s="5"/>
      <c r="T6155" s="5"/>
      <c r="U6155" s="5"/>
      <c r="V6155" s="5"/>
      <c r="W6155" s="5"/>
      <c r="X6155" s="5"/>
      <c r="Y6155" s="5"/>
      <c r="Z6155" s="5"/>
    </row>
    <row r="6156" spans="1:26" ht="15" x14ac:dyDescent="0.25">
      <c r="A6156" s="4" t="s">
        <v>6154</v>
      </c>
      <c r="B6156" s="4" t="s">
        <v>4550</v>
      </c>
      <c r="C6156" s="2" t="str">
        <f ca="1">IFERROR(__xludf.DUMMYFUNCTION("GOOGLETRANSLATE(A6156,""bn"",""en"")"),"I was writing notes")</f>
        <v>I was writing notes</v>
      </c>
      <c r="D6156" s="5"/>
      <c r="E6156" s="5"/>
      <c r="F6156" s="5"/>
      <c r="G6156" s="5"/>
      <c r="H6156" s="5"/>
      <c r="I6156" s="5"/>
      <c r="J6156" s="5"/>
      <c r="K6156" s="5"/>
      <c r="L6156" s="5"/>
      <c r="M6156" s="5"/>
      <c r="N6156" s="5"/>
      <c r="O6156" s="5"/>
      <c r="P6156" s="5"/>
      <c r="Q6156" s="5"/>
      <c r="R6156" s="5"/>
      <c r="S6156" s="5"/>
      <c r="T6156" s="5"/>
      <c r="U6156" s="5"/>
      <c r="V6156" s="5"/>
      <c r="W6156" s="5"/>
      <c r="X6156" s="5"/>
      <c r="Y6156" s="5"/>
      <c r="Z6156" s="5"/>
    </row>
    <row r="6157" spans="1:26" ht="15" x14ac:dyDescent="0.25">
      <c r="A6157" s="4" t="s">
        <v>6155</v>
      </c>
      <c r="B6157" s="4" t="s">
        <v>4550</v>
      </c>
      <c r="C6157" s="2" t="str">
        <f ca="1">IFERROR(__xludf.DUMMYFUNCTION("GOOGLETRANSLATE(A6157,""bn"",""en"")"),"We exchanged messages")</f>
        <v>We exchanged messages</v>
      </c>
      <c r="D6157" s="5"/>
      <c r="E6157" s="5"/>
      <c r="F6157" s="5"/>
      <c r="G6157" s="5"/>
      <c r="H6157" s="5"/>
      <c r="I6157" s="5"/>
      <c r="J6157" s="5"/>
      <c r="K6157" s="5"/>
      <c r="L6157" s="5"/>
      <c r="M6157" s="5"/>
      <c r="N6157" s="5"/>
      <c r="O6157" s="5"/>
      <c r="P6157" s="5"/>
      <c r="Q6157" s="5"/>
      <c r="R6157" s="5"/>
      <c r="S6157" s="5"/>
      <c r="T6157" s="5"/>
      <c r="U6157" s="5"/>
      <c r="V6157" s="5"/>
      <c r="W6157" s="5"/>
      <c r="X6157" s="5"/>
      <c r="Y6157" s="5"/>
      <c r="Z6157" s="5"/>
    </row>
    <row r="6158" spans="1:26" ht="15" x14ac:dyDescent="0.25">
      <c r="A6158" s="4" t="s">
        <v>6156</v>
      </c>
      <c r="B6158" s="4" t="s">
        <v>4550</v>
      </c>
      <c r="C6158" s="2" t="str">
        <f ca="1">IFERROR(__xludf.DUMMYFUNCTION("GOOGLETRANSLATE(A6158,""bn"",""en"")"),"The teachers worked hard")</f>
        <v>The teachers worked hard</v>
      </c>
      <c r="D6158" s="5"/>
      <c r="E6158" s="5"/>
      <c r="F6158" s="5"/>
      <c r="G6158" s="5"/>
      <c r="H6158" s="5"/>
      <c r="I6158" s="5"/>
      <c r="J6158" s="5"/>
      <c r="K6158" s="5"/>
      <c r="L6158" s="5"/>
      <c r="M6158" s="5"/>
      <c r="N6158" s="5"/>
      <c r="O6158" s="5"/>
      <c r="P6158" s="5"/>
      <c r="Q6158" s="5"/>
      <c r="R6158" s="5"/>
      <c r="S6158" s="5"/>
      <c r="T6158" s="5"/>
      <c r="U6158" s="5"/>
      <c r="V6158" s="5"/>
      <c r="W6158" s="5"/>
      <c r="X6158" s="5"/>
      <c r="Y6158" s="5"/>
      <c r="Z6158" s="5"/>
    </row>
    <row r="6159" spans="1:26" ht="15" x14ac:dyDescent="0.25">
      <c r="A6159" s="4" t="s">
        <v>6157</v>
      </c>
      <c r="B6159" s="4" t="s">
        <v>4550</v>
      </c>
      <c r="C6159" s="2" t="str">
        <f ca="1">IFERROR(__xludf.DUMMYFUNCTION("GOOGLETRANSLATE(A6159,""bn"",""en"")"),"I studied history")</f>
        <v>I studied history</v>
      </c>
      <c r="D6159" s="5"/>
      <c r="E6159" s="5"/>
      <c r="F6159" s="5"/>
      <c r="G6159" s="5"/>
      <c r="H6159" s="5"/>
      <c r="I6159" s="5"/>
      <c r="J6159" s="5"/>
      <c r="K6159" s="5"/>
      <c r="L6159" s="5"/>
      <c r="M6159" s="5"/>
      <c r="N6159" s="5"/>
      <c r="O6159" s="5"/>
      <c r="P6159" s="5"/>
      <c r="Q6159" s="5"/>
      <c r="R6159" s="5"/>
      <c r="S6159" s="5"/>
      <c r="T6159" s="5"/>
      <c r="U6159" s="5"/>
      <c r="V6159" s="5"/>
      <c r="W6159" s="5"/>
      <c r="X6159" s="5"/>
      <c r="Y6159" s="5"/>
      <c r="Z6159" s="5"/>
    </row>
    <row r="6160" spans="1:26" ht="15" x14ac:dyDescent="0.25">
      <c r="A6160" s="4" t="s">
        <v>6158</v>
      </c>
      <c r="B6160" s="4" t="s">
        <v>4550</v>
      </c>
      <c r="C6160" s="2" t="str">
        <f ca="1">IFERROR(__xludf.DUMMYFUNCTION("GOOGLETRANSLATE(A6160,""bn"",""en"")"),"I went to college to study history")</f>
        <v>I went to college to study history</v>
      </c>
      <c r="D6160" s="5"/>
      <c r="E6160" s="5"/>
      <c r="F6160" s="5"/>
      <c r="G6160" s="5"/>
      <c r="H6160" s="5"/>
      <c r="I6160" s="5"/>
      <c r="J6160" s="5"/>
      <c r="K6160" s="5"/>
      <c r="L6160" s="5"/>
      <c r="M6160" s="5"/>
      <c r="N6160" s="5"/>
      <c r="O6160" s="5"/>
      <c r="P6160" s="5"/>
      <c r="Q6160" s="5"/>
      <c r="R6160" s="5"/>
      <c r="S6160" s="5"/>
      <c r="T6160" s="5"/>
      <c r="U6160" s="5"/>
      <c r="V6160" s="5"/>
      <c r="W6160" s="5"/>
      <c r="X6160" s="5"/>
      <c r="Y6160" s="5"/>
      <c r="Z6160" s="5"/>
    </row>
    <row r="6161" spans="1:26" ht="15" x14ac:dyDescent="0.25">
      <c r="A6161" s="4" t="s">
        <v>6159</v>
      </c>
      <c r="B6161" s="4" t="s">
        <v>4550</v>
      </c>
      <c r="C6161" s="2" t="str">
        <f ca="1">IFERROR(__xludf.DUMMYFUNCTION("GOOGLETRANSLATE(A6161,""bn"",""en"")"),"He wrote essays")</f>
        <v>He wrote essays</v>
      </c>
      <c r="D6161" s="5"/>
      <c r="E6161" s="5"/>
      <c r="F6161" s="5"/>
      <c r="G6161" s="5"/>
      <c r="H6161" s="5"/>
      <c r="I6161" s="5"/>
      <c r="J6161" s="5"/>
      <c r="K6161" s="5"/>
      <c r="L6161" s="5"/>
      <c r="M6161" s="5"/>
      <c r="N6161" s="5"/>
      <c r="O6161" s="5"/>
      <c r="P6161" s="5"/>
      <c r="Q6161" s="5"/>
      <c r="R6161" s="5"/>
      <c r="S6161" s="5"/>
      <c r="T6161" s="5"/>
      <c r="U6161" s="5"/>
      <c r="V6161" s="5"/>
      <c r="W6161" s="5"/>
      <c r="X6161" s="5"/>
      <c r="Y6161" s="5"/>
      <c r="Z6161" s="5"/>
    </row>
    <row r="6162" spans="1:26" ht="15" x14ac:dyDescent="0.25">
      <c r="A6162" s="4" t="s">
        <v>6160</v>
      </c>
      <c r="B6162" s="4" t="s">
        <v>4550</v>
      </c>
      <c r="C6162" s="2" t="str">
        <f ca="1">IFERROR(__xludf.DUMMYFUNCTION("GOOGLETRANSLATE(A6162,""bn"",""en"")"),"The teachers did the research")</f>
        <v>The teachers did the research</v>
      </c>
      <c r="D6162" s="5"/>
      <c r="E6162" s="5"/>
      <c r="F6162" s="5"/>
      <c r="G6162" s="5"/>
      <c r="H6162" s="5"/>
      <c r="I6162" s="5"/>
      <c r="J6162" s="5"/>
      <c r="K6162" s="5"/>
      <c r="L6162" s="5"/>
      <c r="M6162" s="5"/>
      <c r="N6162" s="5"/>
      <c r="O6162" s="5"/>
      <c r="P6162" s="5"/>
      <c r="Q6162" s="5"/>
      <c r="R6162" s="5"/>
      <c r="S6162" s="5"/>
      <c r="T6162" s="5"/>
      <c r="U6162" s="5"/>
      <c r="V6162" s="5"/>
      <c r="W6162" s="5"/>
      <c r="X6162" s="5"/>
      <c r="Y6162" s="5"/>
      <c r="Z6162" s="5"/>
    </row>
    <row r="6163" spans="1:26" ht="15" x14ac:dyDescent="0.25">
      <c r="A6163" s="4" t="s">
        <v>6161</v>
      </c>
      <c r="B6163" s="4" t="s">
        <v>4550</v>
      </c>
      <c r="C6163" s="2" t="str">
        <f ca="1">IFERROR(__xludf.DUMMYFUNCTION("GOOGLETRANSLATE(A6163,""bn"",""en"")"),"I sent money to Rocket")</f>
        <v>I sent money to Rocket</v>
      </c>
      <c r="D6163" s="5"/>
      <c r="E6163" s="5"/>
      <c r="F6163" s="5"/>
      <c r="G6163" s="5"/>
      <c r="H6163" s="5"/>
      <c r="I6163" s="5"/>
      <c r="J6163" s="5"/>
      <c r="K6163" s="5"/>
      <c r="L6163" s="5"/>
      <c r="M6163" s="5"/>
      <c r="N6163" s="5"/>
      <c r="O6163" s="5"/>
      <c r="P6163" s="5"/>
      <c r="Q6163" s="5"/>
      <c r="R6163" s="5"/>
      <c r="S6163" s="5"/>
      <c r="T6163" s="5"/>
      <c r="U6163" s="5"/>
      <c r="V6163" s="5"/>
      <c r="W6163" s="5"/>
      <c r="X6163" s="5"/>
      <c r="Y6163" s="5"/>
      <c r="Z6163" s="5"/>
    </row>
    <row r="6164" spans="1:26" ht="15" x14ac:dyDescent="0.25">
      <c r="A6164" s="4" t="s">
        <v>6162</v>
      </c>
      <c r="B6164" s="4" t="s">
        <v>4550</v>
      </c>
      <c r="C6164" s="2" t="str">
        <f ca="1">IFERROR(__xludf.DUMMYFUNCTION("GOOGLETRANSLATE(A6164,""bn"",""en"")"),"I took a picture with the camera")</f>
        <v>I took a picture with the camera</v>
      </c>
      <c r="D6164" s="5"/>
      <c r="E6164" s="5"/>
      <c r="F6164" s="5"/>
      <c r="G6164" s="5"/>
      <c r="H6164" s="5"/>
      <c r="I6164" s="5"/>
      <c r="J6164" s="5"/>
      <c r="K6164" s="5"/>
      <c r="L6164" s="5"/>
      <c r="M6164" s="5"/>
      <c r="N6164" s="5"/>
      <c r="O6164" s="5"/>
      <c r="P6164" s="5"/>
      <c r="Q6164" s="5"/>
      <c r="R6164" s="5"/>
      <c r="S6164" s="5"/>
      <c r="T6164" s="5"/>
      <c r="U6164" s="5"/>
      <c r="V6164" s="5"/>
      <c r="W6164" s="5"/>
      <c r="X6164" s="5"/>
      <c r="Y6164" s="5"/>
      <c r="Z6164" s="5"/>
    </row>
    <row r="6165" spans="1:26" ht="15" x14ac:dyDescent="0.25">
      <c r="A6165" s="4" t="s">
        <v>6163</v>
      </c>
      <c r="B6165" s="4" t="s">
        <v>4550</v>
      </c>
      <c r="C6165" s="2" t="str">
        <f ca="1">IFERROR(__xludf.DUMMYFUNCTION("GOOGLETRANSLATE(A6165,""bn"",""en"")"),"I was writing emails easily")</f>
        <v>I was writing emails easily</v>
      </c>
      <c r="D6165" s="5"/>
      <c r="E6165" s="5"/>
      <c r="F6165" s="5"/>
      <c r="G6165" s="5"/>
      <c r="H6165" s="5"/>
      <c r="I6165" s="5"/>
      <c r="J6165" s="5"/>
      <c r="K6165" s="5"/>
      <c r="L6165" s="5"/>
      <c r="M6165" s="5"/>
      <c r="N6165" s="5"/>
      <c r="O6165" s="5"/>
      <c r="P6165" s="5"/>
      <c r="Q6165" s="5"/>
      <c r="R6165" s="5"/>
      <c r="S6165" s="5"/>
      <c r="T6165" s="5"/>
      <c r="U6165" s="5"/>
      <c r="V6165" s="5"/>
      <c r="W6165" s="5"/>
      <c r="X6165" s="5"/>
      <c r="Y6165" s="5"/>
      <c r="Z6165" s="5"/>
    </row>
    <row r="6166" spans="1:26" ht="15" x14ac:dyDescent="0.25">
      <c r="A6166" s="4" t="s">
        <v>6164</v>
      </c>
      <c r="B6166" s="4" t="s">
        <v>4550</v>
      </c>
      <c r="C6166" s="2" t="str">
        <f ca="1">IFERROR(__xludf.DUMMYFUNCTION("GOOGLETRANSLATE(A6166,""bn"",""en"")"),"I wanted to download")</f>
        <v>I wanted to download</v>
      </c>
      <c r="D6166" s="5"/>
      <c r="E6166" s="5"/>
      <c r="F6166" s="5"/>
      <c r="G6166" s="5"/>
      <c r="H6166" s="5"/>
      <c r="I6166" s="5"/>
      <c r="J6166" s="5"/>
      <c r="K6166" s="5"/>
      <c r="L6166" s="5"/>
      <c r="M6166" s="5"/>
      <c r="N6166" s="5"/>
      <c r="O6166" s="5"/>
      <c r="P6166" s="5"/>
      <c r="Q6166" s="5"/>
      <c r="R6166" s="5"/>
      <c r="S6166" s="5"/>
      <c r="T6166" s="5"/>
      <c r="U6166" s="5"/>
      <c r="V6166" s="5"/>
      <c r="W6166" s="5"/>
      <c r="X6166" s="5"/>
      <c r="Y6166" s="5"/>
      <c r="Z6166" s="5"/>
    </row>
    <row r="6167" spans="1:26" ht="15" x14ac:dyDescent="0.25">
      <c r="A6167" s="4" t="s">
        <v>6165</v>
      </c>
      <c r="B6167" s="4" t="s">
        <v>4550</v>
      </c>
      <c r="C6167" s="2" t="str">
        <f ca="1">IFERROR(__xludf.DUMMYFUNCTION("GOOGLETRANSLATE(A6167,""bn"",""en"")"),"I applied for a loan")</f>
        <v>I applied for a loan</v>
      </c>
      <c r="D6167" s="5"/>
      <c r="E6167" s="5"/>
      <c r="F6167" s="5"/>
      <c r="G6167" s="5"/>
      <c r="H6167" s="5"/>
      <c r="I6167" s="5"/>
      <c r="J6167" s="5"/>
      <c r="K6167" s="5"/>
      <c r="L6167" s="5"/>
      <c r="M6167" s="5"/>
      <c r="N6167" s="5"/>
      <c r="O6167" s="5"/>
      <c r="P6167" s="5"/>
      <c r="Q6167" s="5"/>
      <c r="R6167" s="5"/>
      <c r="S6167" s="5"/>
      <c r="T6167" s="5"/>
      <c r="U6167" s="5"/>
      <c r="V6167" s="5"/>
      <c r="W6167" s="5"/>
      <c r="X6167" s="5"/>
      <c r="Y6167" s="5"/>
      <c r="Z6167" s="5"/>
    </row>
    <row r="6168" spans="1:26" ht="15" x14ac:dyDescent="0.25">
      <c r="A6168" s="4" t="s">
        <v>6166</v>
      </c>
      <c r="B6168" s="4" t="s">
        <v>4550</v>
      </c>
      <c r="C6168" s="2" t="str">
        <f ca="1">IFERROR(__xludf.DUMMYFUNCTION("GOOGLETRANSLATE(A6168,""bn"",""en"")"),"I used ereader")</f>
        <v>I used ereader</v>
      </c>
      <c r="D6168" s="5"/>
      <c r="E6168" s="5"/>
      <c r="F6168" s="5"/>
      <c r="G6168" s="5"/>
      <c r="H6168" s="5"/>
      <c r="I6168" s="5"/>
      <c r="J6168" s="5"/>
      <c r="K6168" s="5"/>
      <c r="L6168" s="5"/>
      <c r="M6168" s="5"/>
      <c r="N6168" s="5"/>
      <c r="O6168" s="5"/>
      <c r="P6168" s="5"/>
      <c r="Q6168" s="5"/>
      <c r="R6168" s="5"/>
      <c r="S6168" s="5"/>
      <c r="T6168" s="5"/>
      <c r="U6168" s="5"/>
      <c r="V6168" s="5"/>
      <c r="W6168" s="5"/>
      <c r="X6168" s="5"/>
      <c r="Y6168" s="5"/>
      <c r="Z6168" s="5"/>
    </row>
    <row r="6169" spans="1:26" ht="15" x14ac:dyDescent="0.25">
      <c r="A6169" s="4" t="s">
        <v>6167</v>
      </c>
      <c r="B6169" s="4" t="s">
        <v>4550</v>
      </c>
      <c r="C6169" s="2" t="str">
        <f ca="1">IFERROR(__xludf.DUMMYFUNCTION("GOOGLETRANSLATE(A6169,""bn"",""en"")"),"I was forming the government")</f>
        <v>I was forming the government</v>
      </c>
      <c r="D6169" s="5"/>
      <c r="E6169" s="5"/>
      <c r="F6169" s="5"/>
      <c r="G6169" s="5"/>
      <c r="H6169" s="5"/>
      <c r="I6169" s="5"/>
      <c r="J6169" s="5"/>
      <c r="K6169" s="5"/>
      <c r="L6169" s="5"/>
      <c r="M6169" s="5"/>
      <c r="N6169" s="5"/>
      <c r="O6169" s="5"/>
      <c r="P6169" s="5"/>
      <c r="Q6169" s="5"/>
      <c r="R6169" s="5"/>
      <c r="S6169" s="5"/>
      <c r="T6169" s="5"/>
      <c r="U6169" s="5"/>
      <c r="V6169" s="5"/>
      <c r="W6169" s="5"/>
      <c r="X6169" s="5"/>
      <c r="Y6169" s="5"/>
      <c r="Z6169" s="5"/>
    </row>
    <row r="6170" spans="1:26" ht="15" x14ac:dyDescent="0.25">
      <c r="A6170" s="4" t="s">
        <v>6168</v>
      </c>
      <c r="B6170" s="4" t="s">
        <v>4550</v>
      </c>
      <c r="C6170" s="2" t="str">
        <f ca="1">IFERROR(__xludf.DUMMYFUNCTION("GOOGLETRANSLATE(A6170,""bn"",""en"")"),"I found peace")</f>
        <v>I found peace</v>
      </c>
      <c r="D6170" s="5"/>
      <c r="E6170" s="5"/>
      <c r="F6170" s="5"/>
      <c r="G6170" s="5"/>
      <c r="H6170" s="5"/>
      <c r="I6170" s="5"/>
      <c r="J6170" s="5"/>
      <c r="K6170" s="5"/>
      <c r="L6170" s="5"/>
      <c r="M6170" s="5"/>
      <c r="N6170" s="5"/>
      <c r="O6170" s="5"/>
      <c r="P6170" s="5"/>
      <c r="Q6170" s="5"/>
      <c r="R6170" s="5"/>
      <c r="S6170" s="5"/>
      <c r="T6170" s="5"/>
      <c r="U6170" s="5"/>
      <c r="V6170" s="5"/>
      <c r="W6170" s="5"/>
      <c r="X6170" s="5"/>
      <c r="Y6170" s="5"/>
      <c r="Z6170" s="5"/>
    </row>
    <row r="6171" spans="1:26" ht="15" x14ac:dyDescent="0.25">
      <c r="A6171" s="4" t="s">
        <v>6169</v>
      </c>
      <c r="B6171" s="4" t="s">
        <v>4550</v>
      </c>
      <c r="C6171" s="2" t="str">
        <f ca="1">IFERROR(__xludf.DUMMYFUNCTION("GOOGLETRANSLATE(A6171,""bn"",""en"")"),"The flowers spread fascination")</f>
        <v>The flowers spread fascination</v>
      </c>
      <c r="D6171" s="5"/>
      <c r="E6171" s="5"/>
      <c r="F6171" s="5"/>
      <c r="G6171" s="5"/>
      <c r="H6171" s="5"/>
      <c r="I6171" s="5"/>
      <c r="J6171" s="5"/>
      <c r="K6171" s="5"/>
      <c r="L6171" s="5"/>
      <c r="M6171" s="5"/>
      <c r="N6171" s="5"/>
      <c r="O6171" s="5"/>
      <c r="P6171" s="5"/>
      <c r="Q6171" s="5"/>
      <c r="R6171" s="5"/>
      <c r="S6171" s="5"/>
      <c r="T6171" s="5"/>
      <c r="U6171" s="5"/>
      <c r="V6171" s="5"/>
      <c r="W6171" s="5"/>
      <c r="X6171" s="5"/>
      <c r="Y6171" s="5"/>
      <c r="Z6171" s="5"/>
    </row>
    <row r="6172" spans="1:26" ht="15" x14ac:dyDescent="0.25">
      <c r="A6172" s="4" t="s">
        <v>6170</v>
      </c>
      <c r="B6172" s="4" t="s">
        <v>4550</v>
      </c>
      <c r="C6172" s="2" t="str">
        <f ca="1">IFERROR(__xludf.DUMMYFUNCTION("GOOGLETRANSLATE(A6172,""bn"",""en"")"),"I went to see the fair")</f>
        <v>I went to see the fair</v>
      </c>
      <c r="D6172" s="5"/>
      <c r="E6172" s="5"/>
      <c r="F6172" s="5"/>
      <c r="G6172" s="5"/>
      <c r="H6172" s="5"/>
      <c r="I6172" s="5"/>
      <c r="J6172" s="5"/>
      <c r="K6172" s="5"/>
      <c r="L6172" s="5"/>
      <c r="M6172" s="5"/>
      <c r="N6172" s="5"/>
      <c r="O6172" s="5"/>
      <c r="P6172" s="5"/>
      <c r="Q6172" s="5"/>
      <c r="R6172" s="5"/>
      <c r="S6172" s="5"/>
      <c r="T6172" s="5"/>
      <c r="U6172" s="5"/>
      <c r="V6172" s="5"/>
      <c r="W6172" s="5"/>
      <c r="X6172" s="5"/>
      <c r="Y6172" s="5"/>
      <c r="Z6172" s="5"/>
    </row>
    <row r="6173" spans="1:26" ht="15" x14ac:dyDescent="0.25">
      <c r="A6173" s="4" t="s">
        <v>6171</v>
      </c>
      <c r="B6173" s="4" t="s">
        <v>4550</v>
      </c>
      <c r="C6173" s="2" t="str">
        <f ca="1">IFERROR(__xludf.DUMMYFUNCTION("GOOGLETRANSLATE(A6173,""bn"",""en"")"),"I got success in hard work")</f>
        <v>I got success in hard work</v>
      </c>
      <c r="D6173" s="5"/>
      <c r="E6173" s="5"/>
      <c r="F6173" s="5"/>
      <c r="G6173" s="5"/>
      <c r="H6173" s="5"/>
      <c r="I6173" s="5"/>
      <c r="J6173" s="5"/>
      <c r="K6173" s="5"/>
      <c r="L6173" s="5"/>
      <c r="M6173" s="5"/>
      <c r="N6173" s="5"/>
      <c r="O6173" s="5"/>
      <c r="P6173" s="5"/>
      <c r="Q6173" s="5"/>
      <c r="R6173" s="5"/>
      <c r="S6173" s="5"/>
      <c r="T6173" s="5"/>
      <c r="U6173" s="5"/>
      <c r="V6173" s="5"/>
      <c r="W6173" s="5"/>
      <c r="X6173" s="5"/>
      <c r="Y6173" s="5"/>
      <c r="Z6173" s="5"/>
    </row>
    <row r="6174" spans="1:26" ht="15" x14ac:dyDescent="0.25">
      <c r="A6174" s="4" t="s">
        <v>6172</v>
      </c>
      <c r="B6174" s="4" t="s">
        <v>4550</v>
      </c>
      <c r="C6174" s="2" t="str">
        <f ca="1">IFERROR(__xludf.DUMMYFUNCTION("GOOGLETRANSLATE(A6174,""bn"",""en"")"),"you read in the morning")</f>
        <v>you read in the morning</v>
      </c>
      <c r="D6174" s="5"/>
      <c r="E6174" s="5"/>
      <c r="F6174" s="5"/>
      <c r="G6174" s="5"/>
      <c r="H6174" s="5"/>
      <c r="I6174" s="5"/>
      <c r="J6174" s="5"/>
      <c r="K6174" s="5"/>
      <c r="L6174" s="5"/>
      <c r="M6174" s="5"/>
      <c r="N6174" s="5"/>
      <c r="O6174" s="5"/>
      <c r="P6174" s="5"/>
      <c r="Q6174" s="5"/>
      <c r="R6174" s="5"/>
      <c r="S6174" s="5"/>
      <c r="T6174" s="5"/>
      <c r="U6174" s="5"/>
      <c r="V6174" s="5"/>
      <c r="W6174" s="5"/>
      <c r="X6174" s="5"/>
      <c r="Y6174" s="5"/>
      <c r="Z6174" s="5"/>
    </row>
    <row r="6175" spans="1:26" ht="15" x14ac:dyDescent="0.25">
      <c r="A6175" s="4" t="s">
        <v>6173</v>
      </c>
      <c r="B6175" s="4" t="s">
        <v>4550</v>
      </c>
      <c r="C6175" s="2" t="str">
        <f ca="1">IFERROR(__xludf.DUMMYFUNCTION("GOOGLETRANSLATE(A6175,""bn"",""en"")"),"I used apps")</f>
        <v>I used apps</v>
      </c>
      <c r="D6175" s="5"/>
      <c r="E6175" s="5"/>
      <c r="F6175" s="5"/>
      <c r="G6175" s="5"/>
      <c r="H6175" s="5"/>
      <c r="I6175" s="5"/>
      <c r="J6175" s="5"/>
      <c r="K6175" s="5"/>
      <c r="L6175" s="5"/>
      <c r="M6175" s="5"/>
      <c r="N6175" s="5"/>
      <c r="O6175" s="5"/>
      <c r="P6175" s="5"/>
      <c r="Q6175" s="5"/>
      <c r="R6175" s="5"/>
      <c r="S6175" s="5"/>
      <c r="T6175" s="5"/>
      <c r="U6175" s="5"/>
      <c r="V6175" s="5"/>
      <c r="W6175" s="5"/>
      <c r="X6175" s="5"/>
      <c r="Y6175" s="5"/>
      <c r="Z6175" s="5"/>
    </row>
    <row r="6176" spans="1:26" ht="15" x14ac:dyDescent="0.25">
      <c r="A6176" s="4" t="s">
        <v>6174</v>
      </c>
      <c r="B6176" s="4" t="s">
        <v>4550</v>
      </c>
      <c r="C6176" s="2" t="str">
        <f ca="1">IFERROR(__xludf.DUMMYFUNCTION("GOOGLETRANSLATE(A6176,""bn"",""en"")"),"The product was being produced")</f>
        <v>The product was being produced</v>
      </c>
      <c r="D6176" s="5"/>
      <c r="E6176" s="5"/>
      <c r="F6176" s="5"/>
      <c r="G6176" s="5"/>
      <c r="H6176" s="5"/>
      <c r="I6176" s="5"/>
      <c r="J6176" s="5"/>
      <c r="K6176" s="5"/>
      <c r="L6176" s="5"/>
      <c r="M6176" s="5"/>
      <c r="N6176" s="5"/>
      <c r="O6176" s="5"/>
      <c r="P6176" s="5"/>
      <c r="Q6176" s="5"/>
      <c r="R6176" s="5"/>
      <c r="S6176" s="5"/>
      <c r="T6176" s="5"/>
      <c r="U6176" s="5"/>
      <c r="V6176" s="5"/>
      <c r="W6176" s="5"/>
      <c r="X6176" s="5"/>
      <c r="Y6176" s="5"/>
      <c r="Z6176" s="5"/>
    </row>
    <row r="6177" spans="1:26" ht="15" x14ac:dyDescent="0.25">
      <c r="A6177" s="4" t="s">
        <v>6175</v>
      </c>
      <c r="B6177" s="4" t="s">
        <v>4550</v>
      </c>
      <c r="C6177" s="2" t="str">
        <f ca="1">IFERROR(__xludf.DUMMYFUNCTION("GOOGLETRANSLATE(A6177,""bn"",""en"")"),"I went to the Taj Mahal")</f>
        <v>I went to the Taj Mahal</v>
      </c>
      <c r="D6177" s="5"/>
      <c r="E6177" s="5"/>
      <c r="F6177" s="5"/>
      <c r="G6177" s="5"/>
      <c r="H6177" s="5"/>
      <c r="I6177" s="5"/>
      <c r="J6177" s="5"/>
      <c r="K6177" s="5"/>
      <c r="L6177" s="5"/>
      <c r="M6177" s="5"/>
      <c r="N6177" s="5"/>
      <c r="O6177" s="5"/>
      <c r="P6177" s="5"/>
      <c r="Q6177" s="5"/>
      <c r="R6177" s="5"/>
      <c r="S6177" s="5"/>
      <c r="T6177" s="5"/>
      <c r="U6177" s="5"/>
      <c r="V6177" s="5"/>
      <c r="W6177" s="5"/>
      <c r="X6177" s="5"/>
      <c r="Y6177" s="5"/>
      <c r="Z6177" s="5"/>
    </row>
    <row r="6178" spans="1:26" ht="15" x14ac:dyDescent="0.25">
      <c r="A6178" s="4" t="s">
        <v>6176</v>
      </c>
      <c r="B6178" s="4" t="s">
        <v>4550</v>
      </c>
      <c r="C6178" s="2" t="str">
        <f ca="1">IFERROR(__xludf.DUMMYFUNCTION("GOOGLETRANSLATE(A6178,""bn"",""en"")"),"Politics was changing")</f>
        <v>Politics was changing</v>
      </c>
      <c r="D6178" s="5"/>
      <c r="E6178" s="5"/>
      <c r="F6178" s="5"/>
      <c r="G6178" s="5"/>
      <c r="H6178" s="5"/>
      <c r="I6178" s="5"/>
      <c r="J6178" s="5"/>
      <c r="K6178" s="5"/>
      <c r="L6178" s="5"/>
      <c r="M6178" s="5"/>
      <c r="N6178" s="5"/>
      <c r="O6178" s="5"/>
      <c r="P6178" s="5"/>
      <c r="Q6178" s="5"/>
      <c r="R6178" s="5"/>
      <c r="S6178" s="5"/>
      <c r="T6178" s="5"/>
      <c r="U6178" s="5"/>
      <c r="V6178" s="5"/>
      <c r="W6178" s="5"/>
      <c r="X6178" s="5"/>
      <c r="Y6178" s="5"/>
      <c r="Z6178" s="5"/>
    </row>
    <row r="6179" spans="1:26" ht="15" x14ac:dyDescent="0.25">
      <c r="A6179" s="4" t="s">
        <v>6177</v>
      </c>
      <c r="B6179" s="4" t="s">
        <v>4550</v>
      </c>
      <c r="C6179" s="2" t="str">
        <f ca="1">IFERROR(__xludf.DUMMYFUNCTION("GOOGLETRANSLATE(A6179,""bn"",""en"")"),"I was using the hub")</f>
        <v>I was using the hub</v>
      </c>
      <c r="D6179" s="5"/>
      <c r="E6179" s="5"/>
      <c r="F6179" s="5"/>
      <c r="G6179" s="5"/>
      <c r="H6179" s="5"/>
      <c r="I6179" s="5"/>
      <c r="J6179" s="5"/>
      <c r="K6179" s="5"/>
      <c r="L6179" s="5"/>
      <c r="M6179" s="5"/>
      <c r="N6179" s="5"/>
      <c r="O6179" s="5"/>
      <c r="P6179" s="5"/>
      <c r="Q6179" s="5"/>
      <c r="R6179" s="5"/>
      <c r="S6179" s="5"/>
      <c r="T6179" s="5"/>
      <c r="U6179" s="5"/>
      <c r="V6179" s="5"/>
      <c r="W6179" s="5"/>
      <c r="X6179" s="5"/>
      <c r="Y6179" s="5"/>
      <c r="Z6179" s="5"/>
    </row>
    <row r="6180" spans="1:26" ht="15" x14ac:dyDescent="0.25">
      <c r="A6180" s="4" t="s">
        <v>6178</v>
      </c>
      <c r="B6180" s="4" t="s">
        <v>4550</v>
      </c>
      <c r="C6180" s="2" t="str">
        <f ca="1">IFERROR(__xludf.DUMMYFUNCTION("GOOGLETRANSLATE(A6180,""bn"",""en"")"),"I enjoyed the trip")</f>
        <v>I enjoyed the trip</v>
      </c>
      <c r="D6180" s="5"/>
      <c r="E6180" s="5"/>
      <c r="F6180" s="5"/>
      <c r="G6180" s="5"/>
      <c r="H6180" s="5"/>
      <c r="I6180" s="5"/>
      <c r="J6180" s="5"/>
      <c r="K6180" s="5"/>
      <c r="L6180" s="5"/>
      <c r="M6180" s="5"/>
      <c r="N6180" s="5"/>
      <c r="O6180" s="5"/>
      <c r="P6180" s="5"/>
      <c r="Q6180" s="5"/>
      <c r="R6180" s="5"/>
      <c r="S6180" s="5"/>
      <c r="T6180" s="5"/>
      <c r="U6180" s="5"/>
      <c r="V6180" s="5"/>
      <c r="W6180" s="5"/>
      <c r="X6180" s="5"/>
      <c r="Y6180" s="5"/>
      <c r="Z6180" s="5"/>
    </row>
    <row r="6181" spans="1:26" ht="15" x14ac:dyDescent="0.25">
      <c r="A6181" s="4" t="s">
        <v>6179</v>
      </c>
      <c r="B6181" s="4" t="s">
        <v>4550</v>
      </c>
      <c r="C6181" s="2" t="str">
        <f ca="1">IFERROR(__xludf.DUMMYFUNCTION("GOOGLETRANSLATE(A6181,""bn"",""en"")"),"Food energy")</f>
        <v>Food energy</v>
      </c>
      <c r="D6181" s="5"/>
      <c r="E6181" s="5"/>
      <c r="F6181" s="5"/>
      <c r="G6181" s="5"/>
      <c r="H6181" s="5"/>
      <c r="I6181" s="5"/>
      <c r="J6181" s="5"/>
      <c r="K6181" s="5"/>
      <c r="L6181" s="5"/>
      <c r="M6181" s="5"/>
      <c r="N6181" s="5"/>
      <c r="O6181" s="5"/>
      <c r="P6181" s="5"/>
      <c r="Q6181" s="5"/>
      <c r="R6181" s="5"/>
      <c r="S6181" s="5"/>
      <c r="T6181" s="5"/>
      <c r="U6181" s="5"/>
      <c r="V6181" s="5"/>
      <c r="W6181" s="5"/>
      <c r="X6181" s="5"/>
      <c r="Y6181" s="5"/>
      <c r="Z6181" s="5"/>
    </row>
    <row r="6182" spans="1:26" ht="15" x14ac:dyDescent="0.25">
      <c r="A6182" s="4" t="s">
        <v>6180</v>
      </c>
      <c r="B6182" s="4" t="s">
        <v>4550</v>
      </c>
      <c r="C6182" s="2" t="str">
        <f ca="1">IFERROR(__xludf.DUMMYFUNCTION("GOOGLETRANSLATE(A6182,""bn"",""en"")"),"Financial prosperity is")</f>
        <v>Financial prosperity is</v>
      </c>
      <c r="D6182" s="5"/>
      <c r="E6182" s="5"/>
      <c r="F6182" s="5"/>
      <c r="G6182" s="5"/>
      <c r="H6182" s="5"/>
      <c r="I6182" s="5"/>
      <c r="J6182" s="5"/>
      <c r="K6182" s="5"/>
      <c r="L6182" s="5"/>
      <c r="M6182" s="5"/>
      <c r="N6182" s="5"/>
      <c r="O6182" s="5"/>
      <c r="P6182" s="5"/>
      <c r="Q6182" s="5"/>
      <c r="R6182" s="5"/>
      <c r="S6182" s="5"/>
      <c r="T6182" s="5"/>
      <c r="U6182" s="5"/>
      <c r="V6182" s="5"/>
      <c r="W6182" s="5"/>
      <c r="X6182" s="5"/>
      <c r="Y6182" s="5"/>
      <c r="Z6182" s="5"/>
    </row>
    <row r="6183" spans="1:26" ht="15" x14ac:dyDescent="0.25">
      <c r="A6183" s="4" t="s">
        <v>6181</v>
      </c>
      <c r="B6183" s="4" t="s">
        <v>4550</v>
      </c>
      <c r="C6183" s="2" t="str">
        <f ca="1">IFERROR(__xludf.DUMMYFUNCTION("GOOGLETRANSLATE(A6183,""bn"",""en"")"),"Revenue was increasing")</f>
        <v>Revenue was increasing</v>
      </c>
      <c r="D6183" s="5"/>
      <c r="E6183" s="5"/>
      <c r="F6183" s="5"/>
      <c r="G6183" s="5"/>
      <c r="H6183" s="5"/>
      <c r="I6183" s="5"/>
      <c r="J6183" s="5"/>
      <c r="K6183" s="5"/>
      <c r="L6183" s="5"/>
      <c r="M6183" s="5"/>
      <c r="N6183" s="5"/>
      <c r="O6183" s="5"/>
      <c r="P6183" s="5"/>
      <c r="Q6183" s="5"/>
      <c r="R6183" s="5"/>
      <c r="S6183" s="5"/>
      <c r="T6183" s="5"/>
      <c r="U6183" s="5"/>
      <c r="V6183" s="5"/>
      <c r="W6183" s="5"/>
      <c r="X6183" s="5"/>
      <c r="Y6183" s="5"/>
      <c r="Z6183" s="5"/>
    </row>
    <row r="6184" spans="1:26" ht="15" x14ac:dyDescent="0.25">
      <c r="A6184" s="4" t="s">
        <v>6182</v>
      </c>
      <c r="B6184" s="4" t="s">
        <v>4550</v>
      </c>
      <c r="C6184" s="2" t="str">
        <f ca="1">IFERROR(__xludf.DUMMYFUNCTION("GOOGLETRANSLATE(A6184,""bn"",""en"")"),"I was doing complex calculations")</f>
        <v>I was doing complex calculations</v>
      </c>
      <c r="D6184" s="5"/>
      <c r="E6184" s="5"/>
      <c r="F6184" s="5"/>
      <c r="G6184" s="5"/>
      <c r="H6184" s="5"/>
      <c r="I6184" s="5"/>
      <c r="J6184" s="5"/>
      <c r="K6184" s="5"/>
      <c r="L6184" s="5"/>
      <c r="M6184" s="5"/>
      <c r="N6184" s="5"/>
      <c r="O6184" s="5"/>
      <c r="P6184" s="5"/>
      <c r="Q6184" s="5"/>
      <c r="R6184" s="5"/>
      <c r="S6184" s="5"/>
      <c r="T6184" s="5"/>
      <c r="U6184" s="5"/>
      <c r="V6184" s="5"/>
      <c r="W6184" s="5"/>
      <c r="X6184" s="5"/>
      <c r="Y6184" s="5"/>
      <c r="Z6184" s="5"/>
    </row>
    <row r="6185" spans="1:26" ht="15" x14ac:dyDescent="0.25">
      <c r="A6185" s="4" t="s">
        <v>6183</v>
      </c>
      <c r="B6185" s="4" t="s">
        <v>4550</v>
      </c>
      <c r="C6185" s="2" t="str">
        <f ca="1">IFERROR(__xludf.DUMMYFUNCTION("GOOGLETRANSLATE(A6185,""bn"",""en"")"),"I donated to the poor")</f>
        <v>I donated to the poor</v>
      </c>
      <c r="D6185" s="5"/>
      <c r="E6185" s="5"/>
      <c r="F6185" s="5"/>
      <c r="G6185" s="5"/>
      <c r="H6185" s="5"/>
      <c r="I6185" s="5"/>
      <c r="J6185" s="5"/>
      <c r="K6185" s="5"/>
      <c r="L6185" s="5"/>
      <c r="M6185" s="5"/>
      <c r="N6185" s="5"/>
      <c r="O6185" s="5"/>
      <c r="P6185" s="5"/>
      <c r="Q6185" s="5"/>
      <c r="R6185" s="5"/>
      <c r="S6185" s="5"/>
      <c r="T6185" s="5"/>
      <c r="U6185" s="5"/>
      <c r="V6185" s="5"/>
      <c r="W6185" s="5"/>
      <c r="X6185" s="5"/>
      <c r="Y6185" s="5"/>
      <c r="Z6185" s="5"/>
    </row>
    <row r="6186" spans="1:26" ht="15" x14ac:dyDescent="0.25">
      <c r="A6186" s="4" t="s">
        <v>6184</v>
      </c>
      <c r="B6186" s="4" t="s">
        <v>4550</v>
      </c>
      <c r="C6186" s="2" t="str">
        <f ca="1">IFERROR(__xludf.DUMMYFUNCTION("GOOGLETRANSLATE(A6186,""bn"",""en"")"),"There was a circus at the fair")</f>
        <v>There was a circus at the fair</v>
      </c>
      <c r="D6186" s="5"/>
      <c r="E6186" s="5"/>
      <c r="F6186" s="5"/>
      <c r="G6186" s="5"/>
      <c r="H6186" s="5"/>
      <c r="I6186" s="5"/>
      <c r="J6186" s="5"/>
      <c r="K6186" s="5"/>
      <c r="L6186" s="5"/>
      <c r="M6186" s="5"/>
      <c r="N6186" s="5"/>
      <c r="O6186" s="5"/>
      <c r="P6186" s="5"/>
      <c r="Q6186" s="5"/>
      <c r="R6186" s="5"/>
      <c r="S6186" s="5"/>
      <c r="T6186" s="5"/>
      <c r="U6186" s="5"/>
      <c r="V6186" s="5"/>
      <c r="W6186" s="5"/>
      <c r="X6186" s="5"/>
      <c r="Y6186" s="5"/>
      <c r="Z6186" s="5"/>
    </row>
    <row r="6187" spans="1:26" ht="15" x14ac:dyDescent="0.25">
      <c r="A6187" s="4" t="s">
        <v>6185</v>
      </c>
      <c r="B6187" s="4" t="s">
        <v>4550</v>
      </c>
      <c r="C6187" s="2" t="str">
        <f ca="1">IFERROR(__xludf.DUMMYFUNCTION("GOOGLETRANSLATE(A6187,""bn"",""en"")"),"The students worked hard")</f>
        <v>The students worked hard</v>
      </c>
      <c r="D6187" s="5"/>
      <c r="E6187" s="5"/>
      <c r="F6187" s="5"/>
      <c r="G6187" s="5"/>
      <c r="H6187" s="5"/>
      <c r="I6187" s="5"/>
      <c r="J6187" s="5"/>
      <c r="K6187" s="5"/>
      <c r="L6187" s="5"/>
      <c r="M6187" s="5"/>
      <c r="N6187" s="5"/>
      <c r="O6187" s="5"/>
      <c r="P6187" s="5"/>
      <c r="Q6187" s="5"/>
      <c r="R6187" s="5"/>
      <c r="S6187" s="5"/>
      <c r="T6187" s="5"/>
      <c r="U6187" s="5"/>
      <c r="V6187" s="5"/>
      <c r="W6187" s="5"/>
      <c r="X6187" s="5"/>
      <c r="Y6187" s="5"/>
      <c r="Z6187" s="5"/>
    </row>
    <row r="6188" spans="1:26" ht="15" x14ac:dyDescent="0.25">
      <c r="A6188" s="4" t="s">
        <v>6186</v>
      </c>
      <c r="B6188" s="4" t="s">
        <v>4550</v>
      </c>
      <c r="C6188" s="2" t="str">
        <f ca="1">IFERROR(__xludf.DUMMYFUNCTION("GOOGLETRANSLATE(A6188,""bn"",""en"")"),"I tried to learn")</f>
        <v>I tried to learn</v>
      </c>
      <c r="D6188" s="5"/>
      <c r="E6188" s="5"/>
      <c r="F6188" s="5"/>
      <c r="G6188" s="5"/>
      <c r="H6188" s="5"/>
      <c r="I6188" s="5"/>
      <c r="J6188" s="5"/>
      <c r="K6188" s="5"/>
      <c r="L6188" s="5"/>
      <c r="M6188" s="5"/>
      <c r="N6188" s="5"/>
      <c r="O6188" s="5"/>
      <c r="P6188" s="5"/>
      <c r="Q6188" s="5"/>
      <c r="R6188" s="5"/>
      <c r="S6188" s="5"/>
      <c r="T6188" s="5"/>
      <c r="U6188" s="5"/>
      <c r="V6188" s="5"/>
      <c r="W6188" s="5"/>
      <c r="X6188" s="5"/>
      <c r="Y6188" s="5"/>
      <c r="Z6188" s="5"/>
    </row>
    <row r="6189" spans="1:26" ht="15" x14ac:dyDescent="0.25">
      <c r="A6189" s="4" t="s">
        <v>6187</v>
      </c>
      <c r="B6189" s="4" t="s">
        <v>4550</v>
      </c>
      <c r="C6189" s="2" t="str">
        <f ca="1">IFERROR(__xludf.DUMMYFUNCTION("GOOGLETRANSLATE(A6189,""bn"",""en"")"),"Sania used to play badminton")</f>
        <v>Sania used to play badminton</v>
      </c>
      <c r="D6189" s="5"/>
      <c r="E6189" s="5"/>
      <c r="F6189" s="5"/>
      <c r="G6189" s="5"/>
      <c r="H6189" s="5"/>
      <c r="I6189" s="5"/>
      <c r="J6189" s="5"/>
      <c r="K6189" s="5"/>
      <c r="L6189" s="5"/>
      <c r="M6189" s="5"/>
      <c r="N6189" s="5"/>
      <c r="O6189" s="5"/>
      <c r="P6189" s="5"/>
      <c r="Q6189" s="5"/>
      <c r="R6189" s="5"/>
      <c r="S6189" s="5"/>
      <c r="T6189" s="5"/>
      <c r="U6189" s="5"/>
      <c r="V6189" s="5"/>
      <c r="W6189" s="5"/>
      <c r="X6189" s="5"/>
      <c r="Y6189" s="5"/>
      <c r="Z6189" s="5"/>
    </row>
    <row r="6190" spans="1:26" ht="15" x14ac:dyDescent="0.25">
      <c r="A6190" s="4" t="s">
        <v>6188</v>
      </c>
      <c r="B6190" s="4" t="s">
        <v>4550</v>
      </c>
      <c r="C6190" s="2" t="str">
        <f ca="1">IFERROR(__xludf.DUMMYFUNCTION("GOOGLETRANSLATE(A6190,""bn"",""en"")"),"He played sports in his spare time")</f>
        <v>He played sports in his spare time</v>
      </c>
      <c r="D6190" s="5"/>
      <c r="E6190" s="5"/>
      <c r="F6190" s="5"/>
      <c r="G6190" s="5"/>
      <c r="H6190" s="5"/>
      <c r="I6190" s="5"/>
      <c r="J6190" s="5"/>
      <c r="K6190" s="5"/>
      <c r="L6190" s="5"/>
      <c r="M6190" s="5"/>
      <c r="N6190" s="5"/>
      <c r="O6190" s="5"/>
      <c r="P6190" s="5"/>
      <c r="Q6190" s="5"/>
      <c r="R6190" s="5"/>
      <c r="S6190" s="5"/>
      <c r="T6190" s="5"/>
      <c r="U6190" s="5"/>
      <c r="V6190" s="5"/>
      <c r="W6190" s="5"/>
      <c r="X6190" s="5"/>
      <c r="Y6190" s="5"/>
      <c r="Z6190" s="5"/>
    </row>
    <row r="6191" spans="1:26" ht="15" x14ac:dyDescent="0.25">
      <c r="A6191" s="4" t="s">
        <v>6189</v>
      </c>
      <c r="B6191" s="4" t="s">
        <v>4550</v>
      </c>
      <c r="C6191" s="2" t="str">
        <f ca="1">IFERROR(__xludf.DUMMYFUNCTION("GOOGLETRANSLATE(A6191,""bn"",""en"")"),"I supported")</f>
        <v>I supported</v>
      </c>
      <c r="D6191" s="5"/>
      <c r="E6191" s="5"/>
      <c r="F6191" s="5"/>
      <c r="G6191" s="5"/>
      <c r="H6191" s="5"/>
      <c r="I6191" s="5"/>
      <c r="J6191" s="5"/>
      <c r="K6191" s="5"/>
      <c r="L6191" s="5"/>
      <c r="M6191" s="5"/>
      <c r="N6191" s="5"/>
      <c r="O6191" s="5"/>
      <c r="P6191" s="5"/>
      <c r="Q6191" s="5"/>
      <c r="R6191" s="5"/>
      <c r="S6191" s="5"/>
      <c r="T6191" s="5"/>
      <c r="U6191" s="5"/>
      <c r="V6191" s="5"/>
      <c r="W6191" s="5"/>
      <c r="X6191" s="5"/>
      <c r="Y6191" s="5"/>
      <c r="Z6191" s="5"/>
    </row>
    <row r="6192" spans="1:26" ht="15" x14ac:dyDescent="0.25">
      <c r="A6192" s="4" t="s">
        <v>6190</v>
      </c>
      <c r="B6192" s="4" t="s">
        <v>4550</v>
      </c>
      <c r="C6192" s="2" t="str">
        <f ca="1">IFERROR(__xludf.DUMMYFUNCTION("GOOGLETRANSLATE(A6192,""bn"",""en"")"),"Credit card was")</f>
        <v>Credit card was</v>
      </c>
      <c r="D6192" s="5"/>
      <c r="E6192" s="5"/>
      <c r="F6192" s="5"/>
      <c r="G6192" s="5"/>
      <c r="H6192" s="5"/>
      <c r="I6192" s="5"/>
      <c r="J6192" s="5"/>
      <c r="K6192" s="5"/>
      <c r="L6192" s="5"/>
      <c r="M6192" s="5"/>
      <c r="N6192" s="5"/>
      <c r="O6192" s="5"/>
      <c r="P6192" s="5"/>
      <c r="Q6192" s="5"/>
      <c r="R6192" s="5"/>
      <c r="S6192" s="5"/>
      <c r="T6192" s="5"/>
      <c r="U6192" s="5"/>
      <c r="V6192" s="5"/>
      <c r="W6192" s="5"/>
      <c r="X6192" s="5"/>
      <c r="Y6192" s="5"/>
      <c r="Z6192" s="5"/>
    </row>
    <row r="6193" spans="1:26" ht="15" x14ac:dyDescent="0.25">
      <c r="A6193" s="4" t="s">
        <v>6191</v>
      </c>
      <c r="B6193" s="4" t="s">
        <v>4550</v>
      </c>
      <c r="C6193" s="2" t="str">
        <f ca="1">IFERROR(__xludf.DUMMYFUNCTION("GOOGLETRANSLATE(A6193,""bn"",""en"")"),"I used smartphone")</f>
        <v>I used smartphone</v>
      </c>
      <c r="D6193" s="5"/>
      <c r="E6193" s="5"/>
      <c r="F6193" s="5"/>
      <c r="G6193" s="5"/>
      <c r="H6193" s="5"/>
      <c r="I6193" s="5"/>
      <c r="J6193" s="5"/>
      <c r="K6193" s="5"/>
      <c r="L6193" s="5"/>
      <c r="M6193" s="5"/>
      <c r="N6193" s="5"/>
      <c r="O6193" s="5"/>
      <c r="P6193" s="5"/>
      <c r="Q6193" s="5"/>
      <c r="R6193" s="5"/>
      <c r="S6193" s="5"/>
      <c r="T6193" s="5"/>
      <c r="U6193" s="5"/>
      <c r="V6193" s="5"/>
      <c r="W6193" s="5"/>
      <c r="X6193" s="5"/>
      <c r="Y6193" s="5"/>
      <c r="Z6193" s="5"/>
    </row>
    <row r="6194" spans="1:26" ht="15" x14ac:dyDescent="0.25">
      <c r="A6194" s="4" t="s">
        <v>6192</v>
      </c>
      <c r="B6194" s="4" t="s">
        <v>4550</v>
      </c>
      <c r="C6194" s="2" t="str">
        <f ca="1">IFERROR(__xludf.DUMMYFUNCTION("GOOGLETRANSLATE(A6194,""bn"",""en"")"),"I wanted to travel")</f>
        <v>I wanted to travel</v>
      </c>
      <c r="D6194" s="5"/>
      <c r="E6194" s="5"/>
      <c r="F6194" s="5"/>
      <c r="G6194" s="5"/>
      <c r="H6194" s="5"/>
      <c r="I6194" s="5"/>
      <c r="J6194" s="5"/>
      <c r="K6194" s="5"/>
      <c r="L6194" s="5"/>
      <c r="M6194" s="5"/>
      <c r="N6194" s="5"/>
      <c r="O6194" s="5"/>
      <c r="P6194" s="5"/>
      <c r="Q6194" s="5"/>
      <c r="R6194" s="5"/>
      <c r="S6194" s="5"/>
      <c r="T6194" s="5"/>
      <c r="U6194" s="5"/>
      <c r="V6194" s="5"/>
      <c r="W6194" s="5"/>
      <c r="X6194" s="5"/>
      <c r="Y6194" s="5"/>
      <c r="Z6194" s="5"/>
    </row>
    <row r="6195" spans="1:26" ht="15" x14ac:dyDescent="0.25">
      <c r="A6195" s="4" t="s">
        <v>6193</v>
      </c>
      <c r="B6195" s="4" t="s">
        <v>4550</v>
      </c>
      <c r="C6195" s="2" t="str">
        <f ca="1">IFERROR(__xludf.DUMMYFUNCTION("GOOGLETRANSLATE(A6195,""bn"",""en"")"),"I was making a portfolio")</f>
        <v>I was making a portfolio</v>
      </c>
      <c r="D6195" s="5"/>
      <c r="E6195" s="5"/>
      <c r="F6195" s="5"/>
      <c r="G6195" s="5"/>
      <c r="H6195" s="5"/>
      <c r="I6195" s="5"/>
      <c r="J6195" s="5"/>
      <c r="K6195" s="5"/>
      <c r="L6195" s="5"/>
      <c r="M6195" s="5"/>
      <c r="N6195" s="5"/>
      <c r="O6195" s="5"/>
      <c r="P6195" s="5"/>
      <c r="Q6195" s="5"/>
      <c r="R6195" s="5"/>
      <c r="S6195" s="5"/>
      <c r="T6195" s="5"/>
      <c r="U6195" s="5"/>
      <c r="V6195" s="5"/>
      <c r="W6195" s="5"/>
      <c r="X6195" s="5"/>
      <c r="Y6195" s="5"/>
      <c r="Z6195" s="5"/>
    </row>
    <row r="6196" spans="1:26" ht="15" x14ac:dyDescent="0.25">
      <c r="A6196" s="4" t="s">
        <v>6194</v>
      </c>
      <c r="B6196" s="4" t="s">
        <v>4550</v>
      </c>
      <c r="C6196" s="2" t="str">
        <f ca="1">IFERROR(__xludf.DUMMYFUNCTION("GOOGLETRANSLATE(A6196,""bn"",""en"")"),"I used the internet")</f>
        <v>I used the internet</v>
      </c>
      <c r="D6196" s="5"/>
      <c r="E6196" s="5"/>
      <c r="F6196" s="5"/>
      <c r="G6196" s="5"/>
      <c r="H6196" s="5"/>
      <c r="I6196" s="5"/>
      <c r="J6196" s="5"/>
      <c r="K6196" s="5"/>
      <c r="L6196" s="5"/>
      <c r="M6196" s="5"/>
      <c r="N6196" s="5"/>
      <c r="O6196" s="5"/>
      <c r="P6196" s="5"/>
      <c r="Q6196" s="5"/>
      <c r="R6196" s="5"/>
      <c r="S6196" s="5"/>
      <c r="T6196" s="5"/>
      <c r="U6196" s="5"/>
      <c r="V6196" s="5"/>
      <c r="W6196" s="5"/>
      <c r="X6196" s="5"/>
      <c r="Y6196" s="5"/>
      <c r="Z6196" s="5"/>
    </row>
    <row r="6197" spans="1:26" ht="15" x14ac:dyDescent="0.25">
      <c r="A6197" s="4" t="s">
        <v>6195</v>
      </c>
      <c r="B6197" s="4" t="s">
        <v>4550</v>
      </c>
      <c r="C6197" s="2" t="str">
        <f ca="1">IFERROR(__xludf.DUMMYFUNCTION("GOOGLETRANSLATE(A6197,""bn"",""en"")"),"I was punished for using the internet")</f>
        <v>I was punished for using the internet</v>
      </c>
      <c r="D6197" s="5"/>
      <c r="E6197" s="5"/>
      <c r="F6197" s="5"/>
      <c r="G6197" s="5"/>
      <c r="H6197" s="5"/>
      <c r="I6197" s="5"/>
      <c r="J6197" s="5"/>
      <c r="K6197" s="5"/>
      <c r="L6197" s="5"/>
      <c r="M6197" s="5"/>
      <c r="N6197" s="5"/>
      <c r="O6197" s="5"/>
      <c r="P6197" s="5"/>
      <c r="Q6197" s="5"/>
      <c r="R6197" s="5"/>
      <c r="S6197" s="5"/>
      <c r="T6197" s="5"/>
      <c r="U6197" s="5"/>
      <c r="V6197" s="5"/>
      <c r="W6197" s="5"/>
      <c r="X6197" s="5"/>
      <c r="Y6197" s="5"/>
      <c r="Z6197" s="5"/>
    </row>
    <row r="6198" spans="1:26" ht="15" x14ac:dyDescent="0.25">
      <c r="A6198" s="4" t="s">
        <v>6196</v>
      </c>
      <c r="B6198" s="4" t="s">
        <v>4550</v>
      </c>
      <c r="C6198" s="2" t="str">
        <f ca="1">IFERROR(__xludf.DUMMYFUNCTION("GOOGLETRANSLATE(A6198,""bn"",""en"")"),"Changed the infrastructure")</f>
        <v>Changed the infrastructure</v>
      </c>
      <c r="D6198" s="5"/>
      <c r="E6198" s="5"/>
      <c r="F6198" s="5"/>
      <c r="G6198" s="5"/>
      <c r="H6198" s="5"/>
      <c r="I6198" s="5"/>
      <c r="J6198" s="5"/>
      <c r="K6198" s="5"/>
      <c r="L6198" s="5"/>
      <c r="M6198" s="5"/>
      <c r="N6198" s="5"/>
      <c r="O6198" s="5"/>
      <c r="P6198" s="5"/>
      <c r="Q6198" s="5"/>
      <c r="R6198" s="5"/>
      <c r="S6198" s="5"/>
      <c r="T6198" s="5"/>
      <c r="U6198" s="5"/>
      <c r="V6198" s="5"/>
      <c r="W6198" s="5"/>
      <c r="X6198" s="5"/>
      <c r="Y6198" s="5"/>
      <c r="Z6198" s="5"/>
    </row>
    <row r="6199" spans="1:26" ht="15" x14ac:dyDescent="0.25">
      <c r="A6199" s="4" t="s">
        <v>6197</v>
      </c>
      <c r="B6199" s="4" t="s">
        <v>4550</v>
      </c>
      <c r="C6199" s="2" t="str">
        <f ca="1">IFERROR(__xludf.DUMMYFUNCTION("GOOGLETRANSLATE(A6199,""bn"",""en"")"),"I was using a smartwatch")</f>
        <v>I was using a smartwatch</v>
      </c>
      <c r="D6199" s="5"/>
      <c r="E6199" s="5"/>
      <c r="F6199" s="5"/>
      <c r="G6199" s="5"/>
      <c r="H6199" s="5"/>
      <c r="I6199" s="5"/>
      <c r="J6199" s="5"/>
      <c r="K6199" s="5"/>
      <c r="L6199" s="5"/>
      <c r="M6199" s="5"/>
      <c r="N6199" s="5"/>
      <c r="O6199" s="5"/>
      <c r="P6199" s="5"/>
      <c r="Q6199" s="5"/>
      <c r="R6199" s="5"/>
      <c r="S6199" s="5"/>
      <c r="T6199" s="5"/>
      <c r="U6199" s="5"/>
      <c r="V6199" s="5"/>
      <c r="W6199" s="5"/>
      <c r="X6199" s="5"/>
      <c r="Y6199" s="5"/>
      <c r="Z6199" s="5"/>
    </row>
    <row r="6200" spans="1:26" ht="15" x14ac:dyDescent="0.25">
      <c r="A6200" s="4" t="s">
        <v>6198</v>
      </c>
      <c r="B6200" s="4" t="s">
        <v>4550</v>
      </c>
      <c r="C6200" s="2" t="str">
        <f ca="1">IFERROR(__xludf.DUMMYFUNCTION("GOOGLETRANSLATE(A6200,""bn"",""en"")"),"I paid attention to studies")</f>
        <v>I paid attention to studies</v>
      </c>
      <c r="D6200" s="5"/>
      <c r="E6200" s="5"/>
      <c r="F6200" s="5"/>
      <c r="G6200" s="5"/>
      <c r="H6200" s="5"/>
      <c r="I6200" s="5"/>
      <c r="J6200" s="5"/>
      <c r="K6200" s="5"/>
      <c r="L6200" s="5"/>
      <c r="M6200" s="5"/>
      <c r="N6200" s="5"/>
      <c r="O6200" s="5"/>
      <c r="P6200" s="5"/>
      <c r="Q6200" s="5"/>
      <c r="R6200" s="5"/>
      <c r="S6200" s="5"/>
      <c r="T6200" s="5"/>
      <c r="U6200" s="5"/>
      <c r="V6200" s="5"/>
      <c r="W6200" s="5"/>
      <c r="X6200" s="5"/>
      <c r="Y6200" s="5"/>
      <c r="Z6200" s="5"/>
    </row>
    <row r="6201" spans="1:26" ht="15" x14ac:dyDescent="0.25">
      <c r="A6201" s="4" t="s">
        <v>6199</v>
      </c>
      <c r="B6201" s="4" t="s">
        <v>4550</v>
      </c>
      <c r="C6201" s="2" t="str">
        <f ca="1">IFERROR(__xludf.DUMMYFUNCTION("GOOGLETRANSLATE(A6201,""bn"",""en"")"),"I was walking with friends")</f>
        <v>I was walking with friends</v>
      </c>
      <c r="D6201" s="5"/>
      <c r="E6201" s="5"/>
      <c r="F6201" s="5"/>
      <c r="G6201" s="5"/>
      <c r="H6201" s="5"/>
      <c r="I6201" s="5"/>
      <c r="J6201" s="5"/>
      <c r="K6201" s="5"/>
      <c r="L6201" s="5"/>
      <c r="M6201" s="5"/>
      <c r="N6201" s="5"/>
      <c r="O6201" s="5"/>
      <c r="P6201" s="5"/>
      <c r="Q6201" s="5"/>
      <c r="R6201" s="5"/>
      <c r="S6201" s="5"/>
      <c r="T6201" s="5"/>
      <c r="U6201" s="5"/>
      <c r="V6201" s="5"/>
      <c r="W6201" s="5"/>
      <c r="X6201" s="5"/>
      <c r="Y6201" s="5"/>
      <c r="Z6201" s="5"/>
    </row>
    <row r="6202" spans="1:26" ht="15" x14ac:dyDescent="0.25">
      <c r="A6202" s="4" t="s">
        <v>6200</v>
      </c>
      <c r="B6202" s="4" t="s">
        <v>4550</v>
      </c>
      <c r="C6202" s="2" t="str">
        <f ca="1">IFERROR(__xludf.DUMMYFUNCTION("GOOGLETRANSLATE(A6202,""bn"",""en"")"),"I wanted to buy a phone")</f>
        <v>I wanted to buy a phone</v>
      </c>
      <c r="D6202" s="5"/>
      <c r="E6202" s="5"/>
      <c r="F6202" s="5"/>
      <c r="G6202" s="5"/>
      <c r="H6202" s="5"/>
      <c r="I6202" s="5"/>
      <c r="J6202" s="5"/>
      <c r="K6202" s="5"/>
      <c r="L6202" s="5"/>
      <c r="M6202" s="5"/>
      <c r="N6202" s="5"/>
      <c r="O6202" s="5"/>
      <c r="P6202" s="5"/>
      <c r="Q6202" s="5"/>
      <c r="R6202" s="5"/>
      <c r="S6202" s="5"/>
      <c r="T6202" s="5"/>
      <c r="U6202" s="5"/>
      <c r="V6202" s="5"/>
      <c r="W6202" s="5"/>
      <c r="X6202" s="5"/>
      <c r="Y6202" s="5"/>
      <c r="Z6202" s="5"/>
    </row>
    <row r="6203" spans="1:26" ht="15" x14ac:dyDescent="0.25">
      <c r="A6203" s="4" t="s">
        <v>6201</v>
      </c>
      <c r="B6203" s="4" t="s">
        <v>4550</v>
      </c>
      <c r="C6203" s="2" t="str">
        <f ca="1">IFERROR(__xludf.DUMMYFUNCTION("GOOGLETRANSLATE(A6203,""bn"",""en"")"),"I was using a router")</f>
        <v>I was using a router</v>
      </c>
      <c r="D6203" s="5"/>
      <c r="E6203" s="5"/>
      <c r="F6203" s="5"/>
      <c r="G6203" s="5"/>
      <c r="H6203" s="5"/>
      <c r="I6203" s="5"/>
      <c r="J6203" s="5"/>
      <c r="K6203" s="5"/>
      <c r="L6203" s="5"/>
      <c r="M6203" s="5"/>
      <c r="N6203" s="5"/>
      <c r="O6203" s="5"/>
      <c r="P6203" s="5"/>
      <c r="Q6203" s="5"/>
      <c r="R6203" s="5"/>
      <c r="S6203" s="5"/>
      <c r="T6203" s="5"/>
      <c r="U6203" s="5"/>
      <c r="V6203" s="5"/>
      <c r="W6203" s="5"/>
      <c r="X6203" s="5"/>
      <c r="Y6203" s="5"/>
      <c r="Z6203" s="5"/>
    </row>
    <row r="6204" spans="1:26" ht="15" x14ac:dyDescent="0.25">
      <c r="A6204" s="4" t="s">
        <v>6202</v>
      </c>
      <c r="B6204" s="4" t="s">
        <v>4550</v>
      </c>
      <c r="C6204" s="2" t="str">
        <f ca="1">IFERROR(__xludf.DUMMYFUNCTION("GOOGLETRANSLATE(A6204,""bn"",""en"")"),"You were reading history")</f>
        <v>You were reading history</v>
      </c>
      <c r="D6204" s="5"/>
      <c r="E6204" s="5"/>
      <c r="F6204" s="5"/>
      <c r="G6204" s="5"/>
      <c r="H6204" s="5"/>
      <c r="I6204" s="5"/>
      <c r="J6204" s="5"/>
      <c r="K6204" s="5"/>
      <c r="L6204" s="5"/>
      <c r="M6204" s="5"/>
      <c r="N6204" s="5"/>
      <c r="O6204" s="5"/>
      <c r="P6204" s="5"/>
      <c r="Q6204" s="5"/>
      <c r="R6204" s="5"/>
      <c r="S6204" s="5"/>
      <c r="T6204" s="5"/>
      <c r="U6204" s="5"/>
      <c r="V6204" s="5"/>
      <c r="W6204" s="5"/>
      <c r="X6204" s="5"/>
      <c r="Y6204" s="5"/>
      <c r="Z6204" s="5"/>
    </row>
    <row r="6205" spans="1:26" ht="15" x14ac:dyDescent="0.25">
      <c r="A6205" s="4" t="s">
        <v>6203</v>
      </c>
      <c r="B6205" s="4" t="s">
        <v>4550</v>
      </c>
      <c r="C6205" s="2" t="str">
        <f ca="1">IFERROR(__xludf.DUMMYFUNCTION("GOOGLETRANSLATE(A6205,""bn"",""en"")"),"You learned a lot from history")</f>
        <v>You learned a lot from history</v>
      </c>
      <c r="D6205" s="5"/>
      <c r="E6205" s="5"/>
      <c r="F6205" s="5"/>
      <c r="G6205" s="5"/>
      <c r="H6205" s="5"/>
      <c r="I6205" s="5"/>
      <c r="J6205" s="5"/>
      <c r="K6205" s="5"/>
      <c r="L6205" s="5"/>
      <c r="M6205" s="5"/>
      <c r="N6205" s="5"/>
      <c r="O6205" s="5"/>
      <c r="P6205" s="5"/>
      <c r="Q6205" s="5"/>
      <c r="R6205" s="5"/>
      <c r="S6205" s="5"/>
      <c r="T6205" s="5"/>
      <c r="U6205" s="5"/>
      <c r="V6205" s="5"/>
      <c r="W6205" s="5"/>
      <c r="X6205" s="5"/>
      <c r="Y6205" s="5"/>
      <c r="Z6205" s="5"/>
    </row>
    <row r="6206" spans="1:26" ht="15" x14ac:dyDescent="0.25">
      <c r="A6206" s="4" t="s">
        <v>6204</v>
      </c>
      <c r="B6206" s="4" t="s">
        <v>4550</v>
      </c>
      <c r="C6206" s="2" t="str">
        <f ca="1">IFERROR(__xludf.DUMMYFUNCTION("GOOGLETRANSLATE(A6206,""bn"",""en"")"),"I used IoT")</f>
        <v>I used IoT</v>
      </c>
      <c r="D6206" s="5"/>
      <c r="E6206" s="5"/>
      <c r="F6206" s="5"/>
      <c r="G6206" s="5"/>
      <c r="H6206" s="5"/>
      <c r="I6206" s="5"/>
      <c r="J6206" s="5"/>
      <c r="K6206" s="5"/>
      <c r="L6206" s="5"/>
      <c r="M6206" s="5"/>
      <c r="N6206" s="5"/>
      <c r="O6206" s="5"/>
      <c r="P6206" s="5"/>
      <c r="Q6206" s="5"/>
      <c r="R6206" s="5"/>
      <c r="S6206" s="5"/>
      <c r="T6206" s="5"/>
      <c r="U6206" s="5"/>
      <c r="V6206" s="5"/>
      <c r="W6206" s="5"/>
      <c r="X6206" s="5"/>
      <c r="Y6206" s="5"/>
      <c r="Z6206" s="5"/>
    </row>
    <row r="6207" spans="1:26" ht="15" x14ac:dyDescent="0.25">
      <c r="A6207" s="4" t="s">
        <v>6205</v>
      </c>
      <c r="B6207" s="4" t="s">
        <v>4550</v>
      </c>
      <c r="C6207" s="2" t="str">
        <f ca="1">IFERROR(__xludf.DUMMYFUNCTION("GOOGLETRANSLATE(A6207,""bn"",""en"")"),"They were writing poetry")</f>
        <v>They were writing poetry</v>
      </c>
      <c r="D6207" s="5"/>
      <c r="E6207" s="5"/>
      <c r="F6207" s="5"/>
      <c r="G6207" s="5"/>
      <c r="H6207" s="5"/>
      <c r="I6207" s="5"/>
      <c r="J6207" s="5"/>
      <c r="K6207" s="5"/>
      <c r="L6207" s="5"/>
      <c r="M6207" s="5"/>
      <c r="N6207" s="5"/>
      <c r="O6207" s="5"/>
      <c r="P6207" s="5"/>
      <c r="Q6207" s="5"/>
      <c r="R6207" s="5"/>
      <c r="S6207" s="5"/>
      <c r="T6207" s="5"/>
      <c r="U6207" s="5"/>
      <c r="V6207" s="5"/>
      <c r="W6207" s="5"/>
      <c r="X6207" s="5"/>
      <c r="Y6207" s="5"/>
      <c r="Z6207" s="5"/>
    </row>
    <row r="6208" spans="1:26" ht="15" x14ac:dyDescent="0.25">
      <c r="A6208" s="4" t="s">
        <v>6206</v>
      </c>
      <c r="B6208" s="4" t="s">
        <v>4550</v>
      </c>
      <c r="C6208" s="2" t="str">
        <f ca="1">IFERROR(__xludf.DUMMYFUNCTION("GOOGLETRANSLATE(A6208,""bn"",""en"")"),"was investing in the project")</f>
        <v>was investing in the project</v>
      </c>
      <c r="D6208" s="5"/>
      <c r="E6208" s="5"/>
      <c r="F6208" s="5"/>
      <c r="G6208" s="5"/>
      <c r="H6208" s="5"/>
      <c r="I6208" s="5"/>
      <c r="J6208" s="5"/>
      <c r="K6208" s="5"/>
      <c r="L6208" s="5"/>
      <c r="M6208" s="5"/>
      <c r="N6208" s="5"/>
      <c r="O6208" s="5"/>
      <c r="P6208" s="5"/>
      <c r="Q6208" s="5"/>
      <c r="R6208" s="5"/>
      <c r="S6208" s="5"/>
      <c r="T6208" s="5"/>
      <c r="U6208" s="5"/>
      <c r="V6208" s="5"/>
      <c r="W6208" s="5"/>
      <c r="X6208" s="5"/>
      <c r="Y6208" s="5"/>
      <c r="Z6208" s="5"/>
    </row>
    <row r="6209" spans="1:26" ht="15" x14ac:dyDescent="0.25">
      <c r="A6209" s="4" t="s">
        <v>6207</v>
      </c>
      <c r="B6209" s="4" t="s">
        <v>4550</v>
      </c>
      <c r="C6209" s="2" t="str">
        <f ca="1">IFERROR(__xludf.DUMMYFUNCTION("GOOGLETRANSLATE(A6209,""bn"",""en"")"),"Politics is debated")</f>
        <v>Politics is debated</v>
      </c>
      <c r="D6209" s="5"/>
      <c r="E6209" s="5"/>
      <c r="F6209" s="5"/>
      <c r="G6209" s="5"/>
      <c r="H6209" s="5"/>
      <c r="I6209" s="5"/>
      <c r="J6209" s="5"/>
      <c r="K6209" s="5"/>
      <c r="L6209" s="5"/>
      <c r="M6209" s="5"/>
      <c r="N6209" s="5"/>
      <c r="O6209" s="5"/>
      <c r="P6209" s="5"/>
      <c r="Q6209" s="5"/>
      <c r="R6209" s="5"/>
      <c r="S6209" s="5"/>
      <c r="T6209" s="5"/>
      <c r="U6209" s="5"/>
      <c r="V6209" s="5"/>
      <c r="W6209" s="5"/>
      <c r="X6209" s="5"/>
      <c r="Y6209" s="5"/>
      <c r="Z6209" s="5"/>
    </row>
    <row r="6210" spans="1:26" ht="15" x14ac:dyDescent="0.25">
      <c r="A6210" s="4" t="s">
        <v>6208</v>
      </c>
      <c r="B6210" s="4" t="s">
        <v>4550</v>
      </c>
      <c r="C6210" s="2" t="str">
        <f ca="1">IFERROR(__xludf.DUMMYFUNCTION("GOOGLETRANSLATE(A6210,""bn"",""en"")"),"I checked the score")</f>
        <v>I checked the score</v>
      </c>
      <c r="D6210" s="5"/>
      <c r="E6210" s="5"/>
      <c r="F6210" s="5"/>
      <c r="G6210" s="5"/>
      <c r="H6210" s="5"/>
      <c r="I6210" s="5"/>
      <c r="J6210" s="5"/>
      <c r="K6210" s="5"/>
      <c r="L6210" s="5"/>
      <c r="M6210" s="5"/>
      <c r="N6210" s="5"/>
      <c r="O6210" s="5"/>
      <c r="P6210" s="5"/>
      <c r="Q6210" s="5"/>
      <c r="R6210" s="5"/>
      <c r="S6210" s="5"/>
      <c r="T6210" s="5"/>
      <c r="U6210" s="5"/>
      <c r="V6210" s="5"/>
      <c r="W6210" s="5"/>
      <c r="X6210" s="5"/>
      <c r="Y6210" s="5"/>
      <c r="Z6210" s="5"/>
    </row>
    <row r="6211" spans="1:26" ht="15" x14ac:dyDescent="0.25">
      <c r="A6211" s="4" t="s">
        <v>6209</v>
      </c>
      <c r="B6211" s="4" t="s">
        <v>4550</v>
      </c>
      <c r="C6211" s="2" t="str">
        <f ca="1">IFERROR(__xludf.DUMMYFUNCTION("GOOGLETRANSLATE(A6211,""bn"",""en"")"),"Was doing science research")</f>
        <v>Was doing science research</v>
      </c>
      <c r="D6211" s="5"/>
      <c r="E6211" s="5"/>
      <c r="F6211" s="5"/>
      <c r="G6211" s="5"/>
      <c r="H6211" s="5"/>
      <c r="I6211" s="5"/>
      <c r="J6211" s="5"/>
      <c r="K6211" s="5"/>
      <c r="L6211" s="5"/>
      <c r="M6211" s="5"/>
      <c r="N6211" s="5"/>
      <c r="O6211" s="5"/>
      <c r="P6211" s="5"/>
      <c r="Q6211" s="5"/>
      <c r="R6211" s="5"/>
      <c r="S6211" s="5"/>
      <c r="T6211" s="5"/>
      <c r="U6211" s="5"/>
      <c r="V6211" s="5"/>
      <c r="W6211" s="5"/>
      <c r="X6211" s="5"/>
      <c r="Y6211" s="5"/>
      <c r="Z6211" s="5"/>
    </row>
    <row r="6212" spans="1:26" ht="15" x14ac:dyDescent="0.25">
      <c r="A6212" s="4" t="s">
        <v>6210</v>
      </c>
      <c r="B6212" s="4" t="s">
        <v>4550</v>
      </c>
      <c r="C6212" s="2" t="str">
        <f ca="1">IFERROR(__xludf.DUMMYFUNCTION("GOOGLETRANSLATE(A6212,""bn"",""en"")"),"The discussion was going on with the people")</f>
        <v>The discussion was going on with the people</v>
      </c>
      <c r="D6212" s="5"/>
      <c r="E6212" s="5"/>
      <c r="F6212" s="5"/>
      <c r="G6212" s="5"/>
      <c r="H6212" s="5"/>
      <c r="I6212" s="5"/>
      <c r="J6212" s="5"/>
      <c r="K6212" s="5"/>
      <c r="L6212" s="5"/>
      <c r="M6212" s="5"/>
      <c r="N6212" s="5"/>
      <c r="O6212" s="5"/>
      <c r="P6212" s="5"/>
      <c r="Q6212" s="5"/>
      <c r="R6212" s="5"/>
      <c r="S6212" s="5"/>
      <c r="T6212" s="5"/>
      <c r="U6212" s="5"/>
      <c r="V6212" s="5"/>
      <c r="W6212" s="5"/>
      <c r="X6212" s="5"/>
      <c r="Y6212" s="5"/>
      <c r="Z6212" s="5"/>
    </row>
    <row r="6213" spans="1:26" ht="15" x14ac:dyDescent="0.25">
      <c r="A6213" s="4" t="s">
        <v>6211</v>
      </c>
      <c r="B6213" s="4" t="s">
        <v>4550</v>
      </c>
      <c r="C6213" s="2" t="str">
        <f ca="1">IFERROR(__xludf.DUMMYFUNCTION("GOOGLETRANSLATE(A6213,""bn"",""en"")"),"Helped in social welfare")</f>
        <v>Helped in social welfare</v>
      </c>
      <c r="D6213" s="5"/>
      <c r="E6213" s="5"/>
      <c r="F6213" s="5"/>
      <c r="G6213" s="5"/>
      <c r="H6213" s="5"/>
      <c r="I6213" s="5"/>
      <c r="J6213" s="5"/>
      <c r="K6213" s="5"/>
      <c r="L6213" s="5"/>
      <c r="M6213" s="5"/>
      <c r="N6213" s="5"/>
      <c r="O6213" s="5"/>
      <c r="P6213" s="5"/>
      <c r="Q6213" s="5"/>
      <c r="R6213" s="5"/>
      <c r="S6213" s="5"/>
      <c r="T6213" s="5"/>
      <c r="U6213" s="5"/>
      <c r="V6213" s="5"/>
      <c r="W6213" s="5"/>
      <c r="X6213" s="5"/>
      <c r="Y6213" s="5"/>
      <c r="Z6213" s="5"/>
    </row>
    <row r="6214" spans="1:26" ht="15" x14ac:dyDescent="0.25">
      <c r="A6214" s="4" t="s">
        <v>6212</v>
      </c>
      <c r="B6214" s="4" t="s">
        <v>4550</v>
      </c>
      <c r="C6214" s="2" t="str">
        <f ca="1">IFERROR(__xludf.DUMMYFUNCTION("GOOGLETRANSLATE(A6214,""bn"",""en"")"),"He studied English")</f>
        <v>He studied English</v>
      </c>
      <c r="D6214" s="5"/>
      <c r="E6214" s="5"/>
      <c r="F6214" s="5"/>
      <c r="G6214" s="5"/>
      <c r="H6214" s="5"/>
      <c r="I6214" s="5"/>
      <c r="J6214" s="5"/>
      <c r="K6214" s="5"/>
      <c r="L6214" s="5"/>
      <c r="M6214" s="5"/>
      <c r="N6214" s="5"/>
      <c r="O6214" s="5"/>
      <c r="P6214" s="5"/>
      <c r="Q6214" s="5"/>
      <c r="R6214" s="5"/>
      <c r="S6214" s="5"/>
      <c r="T6214" s="5"/>
      <c r="U6214" s="5"/>
      <c r="V6214" s="5"/>
      <c r="W6214" s="5"/>
      <c r="X6214" s="5"/>
      <c r="Y6214" s="5"/>
      <c r="Z6214" s="5"/>
    </row>
    <row r="6215" spans="1:26" ht="15" x14ac:dyDescent="0.25">
      <c r="A6215" s="4" t="s">
        <v>6213</v>
      </c>
      <c r="B6215" s="4" t="s">
        <v>4550</v>
      </c>
      <c r="C6215" s="2" t="str">
        <f ca="1">IFERROR(__xludf.DUMMYFUNCTION("GOOGLETRANSLATE(A6215,""bn"",""en"")"),"He was learning numbers")</f>
        <v>He was learning numbers</v>
      </c>
      <c r="D6215" s="5"/>
      <c r="E6215" s="5"/>
      <c r="F6215" s="5"/>
      <c r="G6215" s="5"/>
      <c r="H6215" s="5"/>
      <c r="I6215" s="5"/>
      <c r="J6215" s="5"/>
      <c r="K6215" s="5"/>
      <c r="L6215" s="5"/>
      <c r="M6215" s="5"/>
      <c r="N6215" s="5"/>
      <c r="O6215" s="5"/>
      <c r="P6215" s="5"/>
      <c r="Q6215" s="5"/>
      <c r="R6215" s="5"/>
      <c r="S6215" s="5"/>
      <c r="T6215" s="5"/>
      <c r="U6215" s="5"/>
      <c r="V6215" s="5"/>
      <c r="W6215" s="5"/>
      <c r="X6215" s="5"/>
      <c r="Y6215" s="5"/>
      <c r="Z6215" s="5"/>
    </row>
    <row r="6216" spans="1:26" ht="15" x14ac:dyDescent="0.25">
      <c r="A6216" s="4" t="s">
        <v>6214</v>
      </c>
      <c r="B6216" s="4" t="s">
        <v>4550</v>
      </c>
      <c r="C6216" s="2" t="str">
        <f ca="1">IFERROR(__xludf.DUMMYFUNCTION("GOOGLETRANSLATE(A6216,""bn"",""en"")"),"I ate protective food")</f>
        <v>I ate protective food</v>
      </c>
      <c r="D6216" s="5"/>
      <c r="E6216" s="5"/>
      <c r="F6216" s="5"/>
      <c r="G6216" s="5"/>
      <c r="H6216" s="5"/>
      <c r="I6216" s="5"/>
      <c r="J6216" s="5"/>
      <c r="K6216" s="5"/>
      <c r="L6216" s="5"/>
      <c r="M6216" s="5"/>
      <c r="N6216" s="5"/>
      <c r="O6216" s="5"/>
      <c r="P6216" s="5"/>
      <c r="Q6216" s="5"/>
      <c r="R6216" s="5"/>
      <c r="S6216" s="5"/>
      <c r="T6216" s="5"/>
      <c r="U6216" s="5"/>
      <c r="V6216" s="5"/>
      <c r="W6216" s="5"/>
      <c r="X6216" s="5"/>
      <c r="Y6216" s="5"/>
      <c r="Z6216" s="5"/>
    </row>
    <row r="6217" spans="1:26" ht="15" x14ac:dyDescent="0.25">
      <c r="A6217" s="4" t="s">
        <v>6215</v>
      </c>
      <c r="B6217" s="4" t="s">
        <v>4550</v>
      </c>
      <c r="C6217" s="2" t="str">
        <f ca="1">IFERROR(__xludf.DUMMYFUNCTION("GOOGLETRANSLATE(A6217,""bn"",""en"")"),"Autonomous production was on the rise")</f>
        <v>Autonomous production was on the rise</v>
      </c>
      <c r="D6217" s="5"/>
      <c r="E6217" s="5"/>
      <c r="F6217" s="5"/>
      <c r="G6217" s="5"/>
      <c r="H6217" s="5"/>
      <c r="I6217" s="5"/>
      <c r="J6217" s="5"/>
      <c r="K6217" s="5"/>
      <c r="L6217" s="5"/>
      <c r="M6217" s="5"/>
      <c r="N6217" s="5"/>
      <c r="O6217" s="5"/>
      <c r="P6217" s="5"/>
      <c r="Q6217" s="5"/>
      <c r="R6217" s="5"/>
      <c r="S6217" s="5"/>
      <c r="T6217" s="5"/>
      <c r="U6217" s="5"/>
      <c r="V6217" s="5"/>
      <c r="W6217" s="5"/>
      <c r="X6217" s="5"/>
      <c r="Y6217" s="5"/>
      <c r="Z6217" s="5"/>
    </row>
    <row r="6218" spans="1:26" ht="15" x14ac:dyDescent="0.25">
      <c r="A6218" s="4" t="s">
        <v>6216</v>
      </c>
      <c r="B6218" s="4" t="s">
        <v>4550</v>
      </c>
      <c r="C6218" s="2" t="str">
        <f ca="1">IFERROR(__xludf.DUMMYFUNCTION("GOOGLETRANSLATE(A6218,""bn"",""en"")"),"I liked politics")</f>
        <v>I liked politics</v>
      </c>
      <c r="D6218" s="5"/>
      <c r="E6218" s="5"/>
      <c r="F6218" s="5"/>
      <c r="G6218" s="5"/>
      <c r="H6218" s="5"/>
      <c r="I6218" s="5"/>
      <c r="J6218" s="5"/>
      <c r="K6218" s="5"/>
      <c r="L6218" s="5"/>
      <c r="M6218" s="5"/>
      <c r="N6218" s="5"/>
      <c r="O6218" s="5"/>
      <c r="P6218" s="5"/>
      <c r="Q6218" s="5"/>
      <c r="R6218" s="5"/>
      <c r="S6218" s="5"/>
      <c r="T6218" s="5"/>
      <c r="U6218" s="5"/>
      <c r="V6218" s="5"/>
      <c r="W6218" s="5"/>
      <c r="X6218" s="5"/>
      <c r="Y6218" s="5"/>
      <c r="Z6218" s="5"/>
    </row>
    <row r="6219" spans="1:26" ht="15" x14ac:dyDescent="0.25">
      <c r="A6219" s="4" t="s">
        <v>6217</v>
      </c>
      <c r="B6219" s="4" t="s">
        <v>4550</v>
      </c>
      <c r="C6219" s="2" t="str">
        <f ca="1">IFERROR(__xludf.DUMMYFUNCTION("GOOGLETRANSLATE(A6219,""bn"",""en"")"),"It was giving extra benefits")</f>
        <v>It was giving extra benefits</v>
      </c>
      <c r="D6219" s="5"/>
      <c r="E6219" s="5"/>
      <c r="F6219" s="5"/>
      <c r="G6219" s="5"/>
      <c r="H6219" s="5"/>
      <c r="I6219" s="5"/>
      <c r="J6219" s="5"/>
      <c r="K6219" s="5"/>
      <c r="L6219" s="5"/>
      <c r="M6219" s="5"/>
      <c r="N6219" s="5"/>
      <c r="O6219" s="5"/>
      <c r="P6219" s="5"/>
      <c r="Q6219" s="5"/>
      <c r="R6219" s="5"/>
      <c r="S6219" s="5"/>
      <c r="T6219" s="5"/>
      <c r="U6219" s="5"/>
      <c r="V6219" s="5"/>
      <c r="W6219" s="5"/>
      <c r="X6219" s="5"/>
      <c r="Y6219" s="5"/>
      <c r="Z6219" s="5"/>
    </row>
    <row r="6220" spans="1:26" ht="15" x14ac:dyDescent="0.25">
      <c r="A6220" s="4" t="s">
        <v>6218</v>
      </c>
      <c r="B6220" s="4" t="s">
        <v>4550</v>
      </c>
      <c r="C6220" s="2" t="str">
        <f ca="1">IFERROR(__xludf.DUMMYFUNCTION("GOOGLETRANSLATE(A6220,""bn"",""en"")"),"The bank was opened")</f>
        <v>The bank was opened</v>
      </c>
      <c r="D6220" s="5"/>
      <c r="E6220" s="5"/>
      <c r="F6220" s="5"/>
      <c r="G6220" s="5"/>
      <c r="H6220" s="5"/>
      <c r="I6220" s="5"/>
      <c r="J6220" s="5"/>
      <c r="K6220" s="5"/>
      <c r="L6220" s="5"/>
      <c r="M6220" s="5"/>
      <c r="N6220" s="5"/>
      <c r="O6220" s="5"/>
      <c r="P6220" s="5"/>
      <c r="Q6220" s="5"/>
      <c r="R6220" s="5"/>
      <c r="S6220" s="5"/>
      <c r="T6220" s="5"/>
      <c r="U6220" s="5"/>
      <c r="V6220" s="5"/>
      <c r="W6220" s="5"/>
      <c r="X6220" s="5"/>
      <c r="Y6220" s="5"/>
      <c r="Z6220" s="5"/>
    </row>
    <row r="6221" spans="1:26" ht="15" x14ac:dyDescent="0.25">
      <c r="A6221" s="4" t="s">
        <v>6219</v>
      </c>
      <c r="B6221" s="4" t="s">
        <v>4550</v>
      </c>
      <c r="C6221" s="2" t="str">
        <f ca="1">IFERROR(__xludf.DUMMYFUNCTION("GOOGLETRANSLATE(A6221,""bn"",""en"")"),"Everyone went to the bank")</f>
        <v>Everyone went to the bank</v>
      </c>
      <c r="D6221" s="5"/>
      <c r="E6221" s="5"/>
      <c r="F6221" s="5"/>
      <c r="G6221" s="5"/>
      <c r="H6221" s="5"/>
      <c r="I6221" s="5"/>
      <c r="J6221" s="5"/>
      <c r="K6221" s="5"/>
      <c r="L6221" s="5"/>
      <c r="M6221" s="5"/>
      <c r="N6221" s="5"/>
      <c r="O6221" s="5"/>
      <c r="P6221" s="5"/>
      <c r="Q6221" s="5"/>
      <c r="R6221" s="5"/>
      <c r="S6221" s="5"/>
      <c r="T6221" s="5"/>
      <c r="U6221" s="5"/>
      <c r="V6221" s="5"/>
      <c r="W6221" s="5"/>
      <c r="X6221" s="5"/>
      <c r="Y6221" s="5"/>
      <c r="Z6221" s="5"/>
    </row>
    <row r="6222" spans="1:26" ht="15" x14ac:dyDescent="0.25">
      <c r="A6222" s="4" t="s">
        <v>6220</v>
      </c>
      <c r="B6222" s="4" t="s">
        <v>4550</v>
      </c>
      <c r="C6222" s="2" t="str">
        <f ca="1">IFERROR(__xludf.DUMMYFUNCTION("GOOGLETRANSLATE(A6222,""bn"",""en"")"),"I was wearing a book")</f>
        <v>I was wearing a book</v>
      </c>
      <c r="D6222" s="5"/>
      <c r="E6222" s="5"/>
      <c r="F6222" s="5"/>
      <c r="G6222" s="5"/>
      <c r="H6222" s="5"/>
      <c r="I6222" s="5"/>
      <c r="J6222" s="5"/>
      <c r="K6222" s="5"/>
      <c r="L6222" s="5"/>
      <c r="M6222" s="5"/>
      <c r="N6222" s="5"/>
      <c r="O6222" s="5"/>
      <c r="P6222" s="5"/>
      <c r="Q6222" s="5"/>
      <c r="R6222" s="5"/>
      <c r="S6222" s="5"/>
      <c r="T6222" s="5"/>
      <c r="U6222" s="5"/>
      <c r="V6222" s="5"/>
      <c r="W6222" s="5"/>
      <c r="X6222" s="5"/>
      <c r="Y6222" s="5"/>
      <c r="Z6222" s="5"/>
    </row>
    <row r="6223" spans="1:26" ht="15" x14ac:dyDescent="0.25">
      <c r="A6223" s="4" t="s">
        <v>6221</v>
      </c>
      <c r="B6223" s="4" t="s">
        <v>4550</v>
      </c>
      <c r="C6223" s="2" t="str">
        <f ca="1">IFERROR(__xludf.DUMMYFUNCTION("GOOGLETRANSLATE(A6223,""bn"",""en"")"),"I used to read digital books")</f>
        <v>I used to read digital books</v>
      </c>
      <c r="D6223" s="5"/>
      <c r="E6223" s="5"/>
      <c r="F6223" s="5"/>
      <c r="G6223" s="5"/>
      <c r="H6223" s="5"/>
      <c r="I6223" s="5"/>
      <c r="J6223" s="5"/>
      <c r="K6223" s="5"/>
      <c r="L6223" s="5"/>
      <c r="M6223" s="5"/>
      <c r="N6223" s="5"/>
      <c r="O6223" s="5"/>
      <c r="P6223" s="5"/>
      <c r="Q6223" s="5"/>
      <c r="R6223" s="5"/>
      <c r="S6223" s="5"/>
      <c r="T6223" s="5"/>
      <c r="U6223" s="5"/>
      <c r="V6223" s="5"/>
      <c r="W6223" s="5"/>
      <c r="X6223" s="5"/>
      <c r="Y6223" s="5"/>
      <c r="Z6223" s="5"/>
    </row>
    <row r="6224" spans="1:26" ht="15" x14ac:dyDescent="0.25">
      <c r="A6224" s="4" t="s">
        <v>6222</v>
      </c>
      <c r="B6224" s="4" t="s">
        <v>4550</v>
      </c>
      <c r="C6224" s="2" t="str">
        <f ca="1">IFERROR(__xludf.DUMMYFUNCTION("GOOGLETRANSLATE(A6224,""bn"",""en"")"),"I worked for cash")</f>
        <v>I worked for cash</v>
      </c>
      <c r="D6224" s="5"/>
      <c r="E6224" s="5"/>
      <c r="F6224" s="5"/>
      <c r="G6224" s="5"/>
      <c r="H6224" s="5"/>
      <c r="I6224" s="5"/>
      <c r="J6224" s="5"/>
      <c r="K6224" s="5"/>
      <c r="L6224" s="5"/>
      <c r="M6224" s="5"/>
      <c r="N6224" s="5"/>
      <c r="O6224" s="5"/>
      <c r="P6224" s="5"/>
      <c r="Q6224" s="5"/>
      <c r="R6224" s="5"/>
      <c r="S6224" s="5"/>
      <c r="T6224" s="5"/>
      <c r="U6224" s="5"/>
      <c r="V6224" s="5"/>
      <c r="W6224" s="5"/>
      <c r="X6224" s="5"/>
      <c r="Y6224" s="5"/>
      <c r="Z6224" s="5"/>
    </row>
    <row r="6225" spans="1:26" ht="15" x14ac:dyDescent="0.25">
      <c r="A6225" s="4" t="s">
        <v>6223</v>
      </c>
      <c r="B6225" s="4" t="s">
        <v>4550</v>
      </c>
      <c r="C6225" s="2" t="str">
        <f ca="1">IFERROR(__xludf.DUMMYFUNCTION("GOOGLETRANSLATE(A6225,""bn"",""en"")"),"I had a meeting at the bank")</f>
        <v>I had a meeting at the bank</v>
      </c>
      <c r="D6225" s="5"/>
      <c r="E6225" s="5"/>
      <c r="F6225" s="5"/>
      <c r="G6225" s="5"/>
      <c r="H6225" s="5"/>
      <c r="I6225" s="5"/>
      <c r="J6225" s="5"/>
      <c r="K6225" s="5"/>
      <c r="L6225" s="5"/>
      <c r="M6225" s="5"/>
      <c r="N6225" s="5"/>
      <c r="O6225" s="5"/>
      <c r="P6225" s="5"/>
      <c r="Q6225" s="5"/>
      <c r="R6225" s="5"/>
      <c r="S6225" s="5"/>
      <c r="T6225" s="5"/>
      <c r="U6225" s="5"/>
      <c r="V6225" s="5"/>
      <c r="W6225" s="5"/>
      <c r="X6225" s="5"/>
      <c r="Y6225" s="5"/>
      <c r="Z6225" s="5"/>
    </row>
    <row r="6226" spans="1:26" ht="15" x14ac:dyDescent="0.25">
      <c r="A6226" s="4" t="s">
        <v>6224</v>
      </c>
      <c r="B6226" s="4" t="s">
        <v>4550</v>
      </c>
      <c r="C6226" s="2" t="str">
        <f ca="1">IFERROR(__xludf.DUMMYFUNCTION("GOOGLETRANSLATE(A6226,""bn"",""en"")"),"He created the website")</f>
        <v>He created the website</v>
      </c>
      <c r="D6226" s="5"/>
      <c r="E6226" s="5"/>
      <c r="F6226" s="5"/>
      <c r="G6226" s="5"/>
      <c r="H6226" s="5"/>
      <c r="I6226" s="5"/>
      <c r="J6226" s="5"/>
      <c r="K6226" s="5"/>
      <c r="L6226" s="5"/>
      <c r="M6226" s="5"/>
      <c r="N6226" s="5"/>
      <c r="O6226" s="5"/>
      <c r="P6226" s="5"/>
      <c r="Q6226" s="5"/>
      <c r="R6226" s="5"/>
      <c r="S6226" s="5"/>
      <c r="T6226" s="5"/>
      <c r="U6226" s="5"/>
      <c r="V6226" s="5"/>
      <c r="W6226" s="5"/>
      <c r="X6226" s="5"/>
      <c r="Y6226" s="5"/>
      <c r="Z6226" s="5"/>
    </row>
    <row r="6227" spans="1:26" ht="15" x14ac:dyDescent="0.25">
      <c r="A6227" s="4" t="s">
        <v>6225</v>
      </c>
      <c r="B6227" s="4" t="s">
        <v>4550</v>
      </c>
      <c r="C6227" s="2" t="str">
        <f ca="1">IFERROR(__xludf.DUMMYFUNCTION("GOOGLETRANSLATE(A6227,""bn"",""en"")"),"The sea was spreading softness")</f>
        <v>The sea was spreading softness</v>
      </c>
      <c r="D6227" s="5"/>
      <c r="E6227" s="5"/>
      <c r="F6227" s="5"/>
      <c r="G6227" s="5"/>
      <c r="H6227" s="5"/>
      <c r="I6227" s="5"/>
      <c r="J6227" s="5"/>
      <c r="K6227" s="5"/>
      <c r="L6227" s="5"/>
      <c r="M6227" s="5"/>
      <c r="N6227" s="5"/>
      <c r="O6227" s="5"/>
      <c r="P6227" s="5"/>
      <c r="Q6227" s="5"/>
      <c r="R6227" s="5"/>
      <c r="S6227" s="5"/>
      <c r="T6227" s="5"/>
      <c r="U6227" s="5"/>
      <c r="V6227" s="5"/>
      <c r="W6227" s="5"/>
      <c r="X6227" s="5"/>
      <c r="Y6227" s="5"/>
      <c r="Z6227" s="5"/>
    </row>
    <row r="6228" spans="1:26" ht="15" x14ac:dyDescent="0.25">
      <c r="A6228" s="4" t="s">
        <v>6226</v>
      </c>
      <c r="B6228" s="4" t="s">
        <v>4550</v>
      </c>
      <c r="C6228" s="2" t="str">
        <f ca="1">IFERROR(__xludf.DUMMYFUNCTION("GOOGLETRANSLATE(A6228,""bn"",""en"")"),"He studied history")</f>
        <v>He studied history</v>
      </c>
      <c r="D6228" s="5"/>
      <c r="E6228" s="5"/>
      <c r="F6228" s="5"/>
      <c r="G6228" s="5"/>
      <c r="H6228" s="5"/>
      <c r="I6228" s="5"/>
      <c r="J6228" s="5"/>
      <c r="K6228" s="5"/>
      <c r="L6228" s="5"/>
      <c r="M6228" s="5"/>
      <c r="N6228" s="5"/>
      <c r="O6228" s="5"/>
      <c r="P6228" s="5"/>
      <c r="Q6228" s="5"/>
      <c r="R6228" s="5"/>
      <c r="S6228" s="5"/>
      <c r="T6228" s="5"/>
      <c r="U6228" s="5"/>
      <c r="V6228" s="5"/>
      <c r="W6228" s="5"/>
      <c r="X6228" s="5"/>
      <c r="Y6228" s="5"/>
      <c r="Z6228" s="5"/>
    </row>
    <row r="6229" spans="1:26" ht="15" x14ac:dyDescent="0.25">
      <c r="A6229" s="4" t="s">
        <v>6227</v>
      </c>
      <c r="B6229" s="4" t="s">
        <v>4550</v>
      </c>
      <c r="C6229" s="2" t="str">
        <f ca="1">IFERROR(__xludf.DUMMYFUNCTION("GOOGLETRANSLATE(A6229,""bn"",""en"")"),"He was paying attention to studies")</f>
        <v>He was paying attention to studies</v>
      </c>
      <c r="D6229" s="5"/>
      <c r="E6229" s="5"/>
      <c r="F6229" s="5"/>
      <c r="G6229" s="5"/>
      <c r="H6229" s="5"/>
      <c r="I6229" s="5"/>
      <c r="J6229" s="5"/>
      <c r="K6229" s="5"/>
      <c r="L6229" s="5"/>
      <c r="M6229" s="5"/>
      <c r="N6229" s="5"/>
      <c r="O6229" s="5"/>
      <c r="P6229" s="5"/>
      <c r="Q6229" s="5"/>
      <c r="R6229" s="5"/>
      <c r="S6229" s="5"/>
      <c r="T6229" s="5"/>
      <c r="U6229" s="5"/>
      <c r="V6229" s="5"/>
      <c r="W6229" s="5"/>
      <c r="X6229" s="5"/>
      <c r="Y6229" s="5"/>
      <c r="Z6229" s="5"/>
    </row>
    <row r="6230" spans="1:26" ht="15" x14ac:dyDescent="0.25">
      <c r="A6230" s="4" t="s">
        <v>6228</v>
      </c>
      <c r="B6230" s="4" t="s">
        <v>4550</v>
      </c>
      <c r="C6230" s="2" t="str">
        <f ca="1">IFERROR(__xludf.DUMMYFUNCTION("GOOGLETRANSLATE(A6230,""bn"",""en"")"),"It was a pleasure to read")</f>
        <v>It was a pleasure to read</v>
      </c>
      <c r="D6230" s="5"/>
      <c r="E6230" s="5"/>
      <c r="F6230" s="5"/>
      <c r="G6230" s="5"/>
      <c r="H6230" s="5"/>
      <c r="I6230" s="5"/>
      <c r="J6230" s="5"/>
      <c r="K6230" s="5"/>
      <c r="L6230" s="5"/>
      <c r="M6230" s="5"/>
      <c r="N6230" s="5"/>
      <c r="O6230" s="5"/>
      <c r="P6230" s="5"/>
      <c r="Q6230" s="5"/>
      <c r="R6230" s="5"/>
      <c r="S6230" s="5"/>
      <c r="T6230" s="5"/>
      <c r="U6230" s="5"/>
      <c r="V6230" s="5"/>
      <c r="W6230" s="5"/>
      <c r="X6230" s="5"/>
      <c r="Y6230" s="5"/>
      <c r="Z6230" s="5"/>
    </row>
    <row r="6231" spans="1:26" ht="15" x14ac:dyDescent="0.25">
      <c r="A6231" s="4" t="s">
        <v>6229</v>
      </c>
      <c r="B6231" s="4" t="s">
        <v>4550</v>
      </c>
      <c r="C6231" s="2" t="str">
        <f ca="1">IFERROR(__xludf.DUMMYFUNCTION("GOOGLETRANSLATE(A6231,""bn"",""en"")"),"I used e-book")</f>
        <v>I used e-book</v>
      </c>
      <c r="D6231" s="5"/>
      <c r="E6231" s="5"/>
      <c r="F6231" s="5"/>
      <c r="G6231" s="5"/>
      <c r="H6231" s="5"/>
      <c r="I6231" s="5"/>
      <c r="J6231" s="5"/>
      <c r="K6231" s="5"/>
      <c r="L6231" s="5"/>
      <c r="M6231" s="5"/>
      <c r="N6231" s="5"/>
      <c r="O6231" s="5"/>
      <c r="P6231" s="5"/>
      <c r="Q6231" s="5"/>
      <c r="R6231" s="5"/>
      <c r="S6231" s="5"/>
      <c r="T6231" s="5"/>
      <c r="U6231" s="5"/>
      <c r="V6231" s="5"/>
      <c r="W6231" s="5"/>
      <c r="X6231" s="5"/>
      <c r="Y6231" s="5"/>
      <c r="Z6231" s="5"/>
    </row>
    <row r="6232" spans="1:26" ht="15" x14ac:dyDescent="0.25">
      <c r="A6232" s="4" t="s">
        <v>6230</v>
      </c>
      <c r="B6232" s="4" t="s">
        <v>4550</v>
      </c>
      <c r="C6232" s="2" t="str">
        <f ca="1">IFERROR(__xludf.DUMMYFUNCTION("GOOGLETRANSLATE(A6232,""bn"",""en"")"),"The food was adulterated")</f>
        <v>The food was adulterated</v>
      </c>
      <c r="D6232" s="5"/>
      <c r="E6232" s="5"/>
      <c r="F6232" s="5"/>
      <c r="G6232" s="5"/>
      <c r="H6232" s="5"/>
      <c r="I6232" s="5"/>
      <c r="J6232" s="5"/>
      <c r="K6232" s="5"/>
      <c r="L6232" s="5"/>
      <c r="M6232" s="5"/>
      <c r="N6232" s="5"/>
      <c r="O6232" s="5"/>
      <c r="P6232" s="5"/>
      <c r="Q6232" s="5"/>
      <c r="R6232" s="5"/>
      <c r="S6232" s="5"/>
      <c r="T6232" s="5"/>
      <c r="U6232" s="5"/>
      <c r="V6232" s="5"/>
      <c r="W6232" s="5"/>
      <c r="X6232" s="5"/>
      <c r="Y6232" s="5"/>
      <c r="Z6232" s="5"/>
    </row>
    <row r="6233" spans="1:26" ht="15" x14ac:dyDescent="0.25">
      <c r="A6233" s="4" t="s">
        <v>6231</v>
      </c>
      <c r="B6233" s="4" t="s">
        <v>4550</v>
      </c>
      <c r="C6233" s="2" t="str">
        <f ca="1">IFERROR(__xludf.DUMMYFUNCTION("GOOGLETRANSLATE(A6233,""bn"",""en"")"),"I saved the file")</f>
        <v>I saved the file</v>
      </c>
      <c r="D6233" s="5"/>
      <c r="E6233" s="5"/>
      <c r="F6233" s="5"/>
      <c r="G6233" s="5"/>
      <c r="H6233" s="5"/>
      <c r="I6233" s="5"/>
      <c r="J6233" s="5"/>
      <c r="K6233" s="5"/>
      <c r="L6233" s="5"/>
      <c r="M6233" s="5"/>
      <c r="N6233" s="5"/>
      <c r="O6233" s="5"/>
      <c r="P6233" s="5"/>
      <c r="Q6233" s="5"/>
      <c r="R6233" s="5"/>
      <c r="S6233" s="5"/>
      <c r="T6233" s="5"/>
      <c r="U6233" s="5"/>
      <c r="V6233" s="5"/>
      <c r="W6233" s="5"/>
      <c r="X6233" s="5"/>
      <c r="Y6233" s="5"/>
      <c r="Z6233" s="5"/>
    </row>
    <row r="6234" spans="1:26" ht="15" x14ac:dyDescent="0.25">
      <c r="A6234" s="4" t="s">
        <v>6232</v>
      </c>
      <c r="B6234" s="4" t="s">
        <v>4550</v>
      </c>
      <c r="C6234" s="2" t="str">
        <f ca="1">IFERROR(__xludf.DUMMYFUNCTION("GOOGLETRANSLATE(A6234,""bn"",""en"")"),"I was doing math")</f>
        <v>I was doing math</v>
      </c>
      <c r="D6234" s="5"/>
      <c r="E6234" s="5"/>
      <c r="F6234" s="5"/>
      <c r="G6234" s="5"/>
      <c r="H6234" s="5"/>
      <c r="I6234" s="5"/>
      <c r="J6234" s="5"/>
      <c r="K6234" s="5"/>
      <c r="L6234" s="5"/>
      <c r="M6234" s="5"/>
      <c r="N6234" s="5"/>
      <c r="O6234" s="5"/>
      <c r="P6234" s="5"/>
      <c r="Q6234" s="5"/>
      <c r="R6234" s="5"/>
      <c r="S6234" s="5"/>
      <c r="T6234" s="5"/>
      <c r="U6234" s="5"/>
      <c r="V6234" s="5"/>
      <c r="W6234" s="5"/>
      <c r="X6234" s="5"/>
      <c r="Y6234" s="5"/>
      <c r="Z6234" s="5"/>
    </row>
    <row r="6235" spans="1:26" ht="15" x14ac:dyDescent="0.25">
      <c r="A6235" s="4" t="s">
        <v>6233</v>
      </c>
      <c r="B6235" s="4" t="s">
        <v>4550</v>
      </c>
      <c r="C6235" s="2" t="str">
        <f ca="1">IFERROR(__xludf.DUMMYFUNCTION("GOOGLETRANSLATE(A6235,""bn"",""en"")"),"I bought it at the book fair")</f>
        <v>I bought it at the book fair</v>
      </c>
      <c r="D6235" s="5"/>
      <c r="E6235" s="5"/>
      <c r="F6235" s="5"/>
      <c r="G6235" s="5"/>
      <c r="H6235" s="5"/>
      <c r="I6235" s="5"/>
      <c r="J6235" s="5"/>
      <c r="K6235" s="5"/>
      <c r="L6235" s="5"/>
      <c r="M6235" s="5"/>
      <c r="N6235" s="5"/>
      <c r="O6235" s="5"/>
      <c r="P6235" s="5"/>
      <c r="Q6235" s="5"/>
      <c r="R6235" s="5"/>
      <c r="S6235" s="5"/>
      <c r="T6235" s="5"/>
      <c r="U6235" s="5"/>
      <c r="V6235" s="5"/>
      <c r="W6235" s="5"/>
      <c r="X6235" s="5"/>
      <c r="Y6235" s="5"/>
      <c r="Z6235" s="5"/>
    </row>
    <row r="6236" spans="1:26" ht="15" x14ac:dyDescent="0.25">
      <c r="A6236" s="4" t="s">
        <v>6234</v>
      </c>
      <c r="B6236" s="4" t="s">
        <v>4550</v>
      </c>
      <c r="C6236" s="2" t="str">
        <f ca="1">IFERROR(__xludf.DUMMYFUNCTION("GOOGLETRANSLATE(A6236,""bn"",""en"")"),"I was buying a new smart TV")</f>
        <v>I was buying a new smart TV</v>
      </c>
      <c r="D6236" s="5"/>
      <c r="E6236" s="5"/>
      <c r="F6236" s="5"/>
      <c r="G6236" s="5"/>
      <c r="H6236" s="5"/>
      <c r="I6236" s="5"/>
      <c r="J6236" s="5"/>
      <c r="K6236" s="5"/>
      <c r="L6236" s="5"/>
      <c r="M6236" s="5"/>
      <c r="N6236" s="5"/>
      <c r="O6236" s="5"/>
      <c r="P6236" s="5"/>
      <c r="Q6236" s="5"/>
      <c r="R6236" s="5"/>
      <c r="S6236" s="5"/>
      <c r="T6236" s="5"/>
      <c r="U6236" s="5"/>
      <c r="V6236" s="5"/>
      <c r="W6236" s="5"/>
      <c r="X6236" s="5"/>
      <c r="Y6236" s="5"/>
      <c r="Z6236" s="5"/>
    </row>
    <row r="6237" spans="1:26" ht="15" x14ac:dyDescent="0.25">
      <c r="A6237" s="4" t="s">
        <v>6235</v>
      </c>
      <c r="B6237" s="4" t="s">
        <v>4550</v>
      </c>
      <c r="C6237" s="2" t="str">
        <f ca="1">IFERROR(__xludf.DUMMYFUNCTION("GOOGLETRANSLATE(A6237,""bn"",""en"")"),"Was spending time on the internet")</f>
        <v>Was spending time on the internet</v>
      </c>
      <c r="D6237" s="5"/>
      <c r="E6237" s="5"/>
      <c r="F6237" s="5"/>
      <c r="G6237" s="5"/>
      <c r="H6237" s="5"/>
      <c r="I6237" s="5"/>
      <c r="J6237" s="5"/>
      <c r="K6237" s="5"/>
      <c r="L6237" s="5"/>
      <c r="M6237" s="5"/>
      <c r="N6237" s="5"/>
      <c r="O6237" s="5"/>
      <c r="P6237" s="5"/>
      <c r="Q6237" s="5"/>
      <c r="R6237" s="5"/>
      <c r="S6237" s="5"/>
      <c r="T6237" s="5"/>
      <c r="U6237" s="5"/>
      <c r="V6237" s="5"/>
      <c r="W6237" s="5"/>
      <c r="X6237" s="5"/>
      <c r="Y6237" s="5"/>
      <c r="Z6237" s="5"/>
    </row>
    <row r="6238" spans="1:26" ht="15" x14ac:dyDescent="0.25">
      <c r="A6238" s="4" t="s">
        <v>6236</v>
      </c>
      <c r="B6238" s="4" t="s">
        <v>4550</v>
      </c>
      <c r="C6238" s="2" t="str">
        <f ca="1">IFERROR(__xludf.DUMMYFUNCTION("GOOGLETRANSLATE(A6238,""bn"",""en"")"),"Market prices were falling")</f>
        <v>Market prices were falling</v>
      </c>
      <c r="D6238" s="5"/>
      <c r="E6238" s="5"/>
      <c r="F6238" s="5"/>
      <c r="G6238" s="5"/>
      <c r="H6238" s="5"/>
      <c r="I6238" s="5"/>
      <c r="J6238" s="5"/>
      <c r="K6238" s="5"/>
      <c r="L6238" s="5"/>
      <c r="M6238" s="5"/>
      <c r="N6238" s="5"/>
      <c r="O6238" s="5"/>
      <c r="P6238" s="5"/>
      <c r="Q6238" s="5"/>
      <c r="R6238" s="5"/>
      <c r="S6238" s="5"/>
      <c r="T6238" s="5"/>
      <c r="U6238" s="5"/>
      <c r="V6238" s="5"/>
      <c r="W6238" s="5"/>
      <c r="X6238" s="5"/>
      <c r="Y6238" s="5"/>
      <c r="Z6238" s="5"/>
    </row>
    <row r="6239" spans="1:26" ht="15" x14ac:dyDescent="0.25">
      <c r="A6239" s="4" t="s">
        <v>6237</v>
      </c>
      <c r="B6239" s="4" t="s">
        <v>4550</v>
      </c>
      <c r="C6239" s="2" t="str">
        <f ca="1">IFERROR(__xludf.DUMMYFUNCTION("GOOGLETRANSLATE(A6239,""bn"",""en"")"),"Increased confidence in traveling")</f>
        <v>Increased confidence in traveling</v>
      </c>
      <c r="D6239" s="5"/>
      <c r="E6239" s="5"/>
      <c r="F6239" s="5"/>
      <c r="G6239" s="5"/>
      <c r="H6239" s="5"/>
      <c r="I6239" s="5"/>
      <c r="J6239" s="5"/>
      <c r="K6239" s="5"/>
      <c r="L6239" s="5"/>
      <c r="M6239" s="5"/>
      <c r="N6239" s="5"/>
      <c r="O6239" s="5"/>
      <c r="P6239" s="5"/>
      <c r="Q6239" s="5"/>
      <c r="R6239" s="5"/>
      <c r="S6239" s="5"/>
      <c r="T6239" s="5"/>
      <c r="U6239" s="5"/>
      <c r="V6239" s="5"/>
      <c r="W6239" s="5"/>
      <c r="X6239" s="5"/>
      <c r="Y6239" s="5"/>
      <c r="Z6239" s="5"/>
    </row>
    <row r="6240" spans="1:26" ht="15" x14ac:dyDescent="0.25">
      <c r="A6240" s="4" t="s">
        <v>6238</v>
      </c>
      <c r="B6240" s="4" t="s">
        <v>4550</v>
      </c>
      <c r="C6240" s="2" t="str">
        <f ca="1">IFERROR(__xludf.DUMMYFUNCTION("GOOGLETRANSLATE(A6240,""bn"",""en"")"),"I was applying for a loan")</f>
        <v>I was applying for a loan</v>
      </c>
      <c r="D6240" s="5"/>
      <c r="E6240" s="5"/>
      <c r="F6240" s="5"/>
      <c r="G6240" s="5"/>
      <c r="H6240" s="5"/>
      <c r="I6240" s="5"/>
      <c r="J6240" s="5"/>
      <c r="K6240" s="5"/>
      <c r="L6240" s="5"/>
      <c r="M6240" s="5"/>
      <c r="N6240" s="5"/>
      <c r="O6240" s="5"/>
      <c r="P6240" s="5"/>
      <c r="Q6240" s="5"/>
      <c r="R6240" s="5"/>
      <c r="S6240" s="5"/>
      <c r="T6240" s="5"/>
      <c r="U6240" s="5"/>
      <c r="V6240" s="5"/>
      <c r="W6240" s="5"/>
      <c r="X6240" s="5"/>
      <c r="Y6240" s="5"/>
      <c r="Z6240" s="5"/>
    </row>
    <row r="6241" spans="1:26" ht="15" x14ac:dyDescent="0.25">
      <c r="A6241" s="4" t="s">
        <v>6239</v>
      </c>
      <c r="B6241" s="4" t="s">
        <v>4550</v>
      </c>
      <c r="C6241" s="2" t="str">
        <f ca="1">IFERROR(__xludf.DUMMYFUNCTION("GOOGLETRANSLATE(A6241,""bn"",""en"")"),"I sang in leisure")</f>
        <v>I sang in leisure</v>
      </c>
      <c r="D6241" s="5"/>
      <c r="E6241" s="5"/>
      <c r="F6241" s="5"/>
      <c r="G6241" s="5"/>
      <c r="H6241" s="5"/>
      <c r="I6241" s="5"/>
      <c r="J6241" s="5"/>
      <c r="K6241" s="5"/>
      <c r="L6241" s="5"/>
      <c r="M6241" s="5"/>
      <c r="N6241" s="5"/>
      <c r="O6241" s="5"/>
      <c r="P6241" s="5"/>
      <c r="Q6241" s="5"/>
      <c r="R6241" s="5"/>
      <c r="S6241" s="5"/>
      <c r="T6241" s="5"/>
      <c r="U6241" s="5"/>
      <c r="V6241" s="5"/>
      <c r="W6241" s="5"/>
      <c r="X6241" s="5"/>
      <c r="Y6241" s="5"/>
      <c r="Z6241" s="5"/>
    </row>
    <row r="6242" spans="1:26" ht="15" x14ac:dyDescent="0.25">
      <c r="A6242" s="4" t="s">
        <v>6240</v>
      </c>
      <c r="B6242" s="4" t="s">
        <v>4550</v>
      </c>
      <c r="C6242" s="2" t="str">
        <f ca="1">IFERROR(__xludf.DUMMYFUNCTION("GOOGLETRANSLATE(A6242,""bn"",""en"")"),"I got success in hard work")</f>
        <v>I got success in hard work</v>
      </c>
      <c r="D6242" s="5"/>
      <c r="E6242" s="5"/>
      <c r="F6242" s="5"/>
      <c r="G6242" s="5"/>
      <c r="H6242" s="5"/>
      <c r="I6242" s="5"/>
      <c r="J6242" s="5"/>
      <c r="K6242" s="5"/>
      <c r="L6242" s="5"/>
      <c r="M6242" s="5"/>
      <c r="N6242" s="5"/>
      <c r="O6242" s="5"/>
      <c r="P6242" s="5"/>
      <c r="Q6242" s="5"/>
      <c r="R6242" s="5"/>
      <c r="S6242" s="5"/>
      <c r="T6242" s="5"/>
      <c r="U6242" s="5"/>
      <c r="V6242" s="5"/>
      <c r="W6242" s="5"/>
      <c r="X6242" s="5"/>
      <c r="Y6242" s="5"/>
      <c r="Z6242" s="5"/>
    </row>
    <row r="6243" spans="1:26" ht="15" x14ac:dyDescent="0.25">
      <c r="A6243" s="4" t="s">
        <v>6241</v>
      </c>
      <c r="B6243" s="4" t="s">
        <v>4550</v>
      </c>
      <c r="C6243" s="2" t="str">
        <f ca="1">IFERROR(__xludf.DUMMYFUNCTION("GOOGLETRANSLATE(A6243,""bn"",""en"")"),"You learn numbers")</f>
        <v>You learn numbers</v>
      </c>
      <c r="D6243" s="5"/>
      <c r="E6243" s="5"/>
      <c r="F6243" s="5"/>
      <c r="G6243" s="5"/>
      <c r="H6243" s="5"/>
      <c r="I6243" s="5"/>
      <c r="J6243" s="5"/>
      <c r="K6243" s="5"/>
      <c r="L6243" s="5"/>
      <c r="M6243" s="5"/>
      <c r="N6243" s="5"/>
      <c r="O6243" s="5"/>
      <c r="P6243" s="5"/>
      <c r="Q6243" s="5"/>
      <c r="R6243" s="5"/>
      <c r="S6243" s="5"/>
      <c r="T6243" s="5"/>
      <c r="U6243" s="5"/>
      <c r="V6243" s="5"/>
      <c r="W6243" s="5"/>
      <c r="X6243" s="5"/>
      <c r="Y6243" s="5"/>
      <c r="Z6243" s="5"/>
    </row>
    <row r="6244" spans="1:26" ht="15" x14ac:dyDescent="0.25">
      <c r="A6244" s="4" t="s">
        <v>6242</v>
      </c>
      <c r="B6244" s="4" t="s">
        <v>4550</v>
      </c>
      <c r="C6244" s="2" t="str">
        <f ca="1">IFERROR(__xludf.DUMMYFUNCTION("GOOGLETRANSLATE(A6244,""bn"",""en"")"),"I borrowed money to buy a new laptop")</f>
        <v>I borrowed money to buy a new laptop</v>
      </c>
      <c r="D6244" s="5"/>
      <c r="E6244" s="5"/>
      <c r="F6244" s="5"/>
      <c r="G6244" s="5"/>
      <c r="H6244" s="5"/>
      <c r="I6244" s="5"/>
      <c r="J6244" s="5"/>
      <c r="K6244" s="5"/>
      <c r="L6244" s="5"/>
      <c r="M6244" s="5"/>
      <c r="N6244" s="5"/>
      <c r="O6244" s="5"/>
      <c r="P6244" s="5"/>
      <c r="Q6244" s="5"/>
      <c r="R6244" s="5"/>
      <c r="S6244" s="5"/>
      <c r="T6244" s="5"/>
      <c r="U6244" s="5"/>
      <c r="V6244" s="5"/>
      <c r="W6244" s="5"/>
      <c r="X6244" s="5"/>
      <c r="Y6244" s="5"/>
      <c r="Z6244" s="5"/>
    </row>
    <row r="6245" spans="1:26" ht="15" x14ac:dyDescent="0.25">
      <c r="A6245" s="4" t="s">
        <v>6243</v>
      </c>
      <c r="B6245" s="4" t="s">
        <v>4550</v>
      </c>
      <c r="C6245" s="2" t="str">
        <f ca="1">IFERROR(__xludf.DUMMYFUNCTION("GOOGLETRANSLATE(A6245,""bn"",""en"")"),"I knew the name of the book")</f>
        <v>I knew the name of the book</v>
      </c>
      <c r="D6245" s="5"/>
      <c r="E6245" s="5"/>
      <c r="F6245" s="5"/>
      <c r="G6245" s="5"/>
      <c r="H6245" s="5"/>
      <c r="I6245" s="5"/>
      <c r="J6245" s="5"/>
      <c r="K6245" s="5"/>
      <c r="L6245" s="5"/>
      <c r="M6245" s="5"/>
      <c r="N6245" s="5"/>
      <c r="O6245" s="5"/>
      <c r="P6245" s="5"/>
      <c r="Q6245" s="5"/>
      <c r="R6245" s="5"/>
      <c r="S6245" s="5"/>
      <c r="T6245" s="5"/>
      <c r="U6245" s="5"/>
      <c r="V6245" s="5"/>
      <c r="W6245" s="5"/>
      <c r="X6245" s="5"/>
      <c r="Y6245" s="5"/>
      <c r="Z6245" s="5"/>
    </row>
    <row r="6246" spans="1:26" ht="15" x14ac:dyDescent="0.25">
      <c r="A6246" s="4" t="s">
        <v>6244</v>
      </c>
      <c r="B6246" s="4" t="s">
        <v>4550</v>
      </c>
      <c r="C6246" s="2" t="str">
        <f ca="1">IFERROR(__xludf.DUMMYFUNCTION("GOOGLETRANSLATE(A6246,""bn"",""en"")"),"Sailors steered ships")</f>
        <v>Sailors steered ships</v>
      </c>
      <c r="D6246" s="5"/>
      <c r="E6246" s="5"/>
      <c r="F6246" s="5"/>
      <c r="G6246" s="5"/>
      <c r="H6246" s="5"/>
      <c r="I6246" s="5"/>
      <c r="J6246" s="5"/>
      <c r="K6246" s="5"/>
      <c r="L6246" s="5"/>
      <c r="M6246" s="5"/>
      <c r="N6246" s="5"/>
      <c r="O6246" s="5"/>
      <c r="P6246" s="5"/>
      <c r="Q6246" s="5"/>
      <c r="R6246" s="5"/>
      <c r="S6246" s="5"/>
      <c r="T6246" s="5"/>
      <c r="U6246" s="5"/>
      <c r="V6246" s="5"/>
      <c r="W6246" s="5"/>
      <c r="X6246" s="5"/>
      <c r="Y6246" s="5"/>
      <c r="Z6246" s="5"/>
    </row>
    <row r="6247" spans="1:26" ht="15" x14ac:dyDescent="0.25">
      <c r="A6247" s="4" t="s">
        <v>6245</v>
      </c>
      <c r="B6247" s="4" t="s">
        <v>4550</v>
      </c>
      <c r="C6247" s="2" t="str">
        <f ca="1">IFERROR(__xludf.DUMMYFUNCTION("GOOGLETRANSLATE(A6247,""bn"",""en"")"),"Sailors sailed across the ocean")</f>
        <v>Sailors sailed across the ocean</v>
      </c>
      <c r="D6247" s="5"/>
      <c r="E6247" s="5"/>
      <c r="F6247" s="5"/>
      <c r="G6247" s="5"/>
      <c r="H6247" s="5"/>
      <c r="I6247" s="5"/>
      <c r="J6247" s="5"/>
      <c r="K6247" s="5"/>
      <c r="L6247" s="5"/>
      <c r="M6247" s="5"/>
      <c r="N6247" s="5"/>
      <c r="O6247" s="5"/>
      <c r="P6247" s="5"/>
      <c r="Q6247" s="5"/>
      <c r="R6247" s="5"/>
      <c r="S6247" s="5"/>
      <c r="T6247" s="5"/>
      <c r="U6247" s="5"/>
      <c r="V6247" s="5"/>
      <c r="W6247" s="5"/>
      <c r="X6247" s="5"/>
      <c r="Y6247" s="5"/>
      <c r="Z6247" s="5"/>
    </row>
    <row r="6248" spans="1:26" ht="15" x14ac:dyDescent="0.25">
      <c r="A6248" s="4" t="s">
        <v>6246</v>
      </c>
      <c r="B6248" s="4" t="s">
        <v>4550</v>
      </c>
      <c r="C6248" s="2" t="str">
        <f ca="1">IFERROR(__xludf.DUMMYFUNCTION("GOOGLETRANSLATE(A6248,""bn"",""en"")"),"College students play")</f>
        <v>College students play</v>
      </c>
      <c r="D6248" s="5"/>
      <c r="E6248" s="5"/>
      <c r="F6248" s="5"/>
      <c r="G6248" s="5"/>
      <c r="H6248" s="5"/>
      <c r="I6248" s="5"/>
      <c r="J6248" s="5"/>
      <c r="K6248" s="5"/>
      <c r="L6248" s="5"/>
      <c r="M6248" s="5"/>
      <c r="N6248" s="5"/>
      <c r="O6248" s="5"/>
      <c r="P6248" s="5"/>
      <c r="Q6248" s="5"/>
      <c r="R6248" s="5"/>
      <c r="S6248" s="5"/>
      <c r="T6248" s="5"/>
      <c r="U6248" s="5"/>
      <c r="V6248" s="5"/>
      <c r="W6248" s="5"/>
      <c r="X6248" s="5"/>
      <c r="Y6248" s="5"/>
      <c r="Z6248" s="5"/>
    </row>
    <row r="6249" spans="1:26" ht="15" x14ac:dyDescent="0.25">
      <c r="A6249" s="4" t="s">
        <v>6247</v>
      </c>
      <c r="B6249" s="4" t="s">
        <v>4550</v>
      </c>
      <c r="C6249" s="2" t="str">
        <f ca="1">IFERROR(__xludf.DUMMYFUNCTION("GOOGLETRANSLATE(A6249,""bn"",""en"")"),"He was blogging")</f>
        <v>He was blogging</v>
      </c>
      <c r="D6249" s="5"/>
      <c r="E6249" s="5"/>
      <c r="F6249" s="5"/>
      <c r="G6249" s="5"/>
      <c r="H6249" s="5"/>
      <c r="I6249" s="5"/>
      <c r="J6249" s="5"/>
      <c r="K6249" s="5"/>
      <c r="L6249" s="5"/>
      <c r="M6249" s="5"/>
      <c r="N6249" s="5"/>
      <c r="O6249" s="5"/>
      <c r="P6249" s="5"/>
      <c r="Q6249" s="5"/>
      <c r="R6249" s="5"/>
      <c r="S6249" s="5"/>
      <c r="T6249" s="5"/>
      <c r="U6249" s="5"/>
      <c r="V6249" s="5"/>
      <c r="W6249" s="5"/>
      <c r="X6249" s="5"/>
      <c r="Y6249" s="5"/>
      <c r="Z6249" s="5"/>
    </row>
    <row r="6250" spans="1:26" ht="15" x14ac:dyDescent="0.25">
      <c r="A6250" s="4" t="s">
        <v>6248</v>
      </c>
      <c r="B6250" s="4" t="s">
        <v>4550</v>
      </c>
      <c r="C6250" s="2" t="str">
        <f ca="1">IFERROR(__xludf.DUMMYFUNCTION("GOOGLETRANSLATE(A6250,""bn"",""en"")"),"I earned money")</f>
        <v>I earned money</v>
      </c>
      <c r="D6250" s="5"/>
      <c r="E6250" s="5"/>
      <c r="F6250" s="5"/>
      <c r="G6250" s="5"/>
      <c r="H6250" s="5"/>
      <c r="I6250" s="5"/>
      <c r="J6250" s="5"/>
      <c r="K6250" s="5"/>
      <c r="L6250" s="5"/>
      <c r="M6250" s="5"/>
      <c r="N6250" s="5"/>
      <c r="O6250" s="5"/>
      <c r="P6250" s="5"/>
      <c r="Q6250" s="5"/>
      <c r="R6250" s="5"/>
      <c r="S6250" s="5"/>
      <c r="T6250" s="5"/>
      <c r="U6250" s="5"/>
      <c r="V6250" s="5"/>
      <c r="W6250" s="5"/>
      <c r="X6250" s="5"/>
      <c r="Y6250" s="5"/>
      <c r="Z6250" s="5"/>
    </row>
    <row r="6251" spans="1:26" ht="15" x14ac:dyDescent="0.25">
      <c r="A6251" s="4" t="s">
        <v>6249</v>
      </c>
      <c r="B6251" s="4" t="s">
        <v>4550</v>
      </c>
      <c r="C6251" s="2" t="str">
        <f ca="1">IFERROR(__xludf.DUMMYFUNCTION("GOOGLETRANSLATE(A6251,""bn"",""en"")"),"I was studying English")</f>
        <v>I was studying English</v>
      </c>
      <c r="D6251" s="5"/>
      <c r="E6251" s="5"/>
      <c r="F6251" s="5"/>
      <c r="G6251" s="5"/>
      <c r="H6251" s="5"/>
      <c r="I6251" s="5"/>
      <c r="J6251" s="5"/>
      <c r="K6251" s="5"/>
      <c r="L6251" s="5"/>
      <c r="M6251" s="5"/>
      <c r="N6251" s="5"/>
      <c r="O6251" s="5"/>
      <c r="P6251" s="5"/>
      <c r="Q6251" s="5"/>
      <c r="R6251" s="5"/>
      <c r="S6251" s="5"/>
      <c r="T6251" s="5"/>
      <c r="U6251" s="5"/>
      <c r="V6251" s="5"/>
      <c r="W6251" s="5"/>
      <c r="X6251" s="5"/>
      <c r="Y6251" s="5"/>
      <c r="Z6251" s="5"/>
    </row>
    <row r="6252" spans="1:26" ht="15" x14ac:dyDescent="0.25">
      <c r="A6252" s="4" t="s">
        <v>6250</v>
      </c>
      <c r="B6252" s="4" t="s">
        <v>4550</v>
      </c>
      <c r="C6252" s="2" t="str">
        <f ca="1">IFERROR(__xludf.DUMMYFUNCTION("GOOGLETRANSLATE(A6252,""bn"",""en"")"),"The college was going around the cafeteria")</f>
        <v>The college was going around the cafeteria</v>
      </c>
      <c r="D6252" s="5"/>
      <c r="E6252" s="5"/>
      <c r="F6252" s="5"/>
      <c r="G6252" s="5"/>
      <c r="H6252" s="5"/>
      <c r="I6252" s="5"/>
      <c r="J6252" s="5"/>
      <c r="K6252" s="5"/>
      <c r="L6252" s="5"/>
      <c r="M6252" s="5"/>
      <c r="N6252" s="5"/>
      <c r="O6252" s="5"/>
      <c r="P6252" s="5"/>
      <c r="Q6252" s="5"/>
      <c r="R6252" s="5"/>
      <c r="S6252" s="5"/>
      <c r="T6252" s="5"/>
      <c r="U6252" s="5"/>
      <c r="V6252" s="5"/>
      <c r="W6252" s="5"/>
      <c r="X6252" s="5"/>
      <c r="Y6252" s="5"/>
      <c r="Z6252" s="5"/>
    </row>
    <row r="6253" spans="1:26" ht="15" x14ac:dyDescent="0.25">
      <c r="A6253" s="4" t="s">
        <v>6251</v>
      </c>
      <c r="B6253" s="4" t="s">
        <v>4550</v>
      </c>
      <c r="C6253" s="2" t="str">
        <f ca="1">IFERROR(__xludf.DUMMYFUNCTION("GOOGLETRANSLATE(A6253,""bn"",""en"")"),"Beauty was a source of joy")</f>
        <v>Beauty was a source of joy</v>
      </c>
      <c r="D6253" s="5"/>
      <c r="E6253" s="5"/>
      <c r="F6253" s="5"/>
      <c r="G6253" s="5"/>
      <c r="H6253" s="5"/>
      <c r="I6253" s="5"/>
      <c r="J6253" s="5"/>
      <c r="K6253" s="5"/>
      <c r="L6253" s="5"/>
      <c r="M6253" s="5"/>
      <c r="N6253" s="5"/>
      <c r="O6253" s="5"/>
      <c r="P6253" s="5"/>
      <c r="Q6253" s="5"/>
      <c r="R6253" s="5"/>
      <c r="S6253" s="5"/>
      <c r="T6253" s="5"/>
      <c r="U6253" s="5"/>
      <c r="V6253" s="5"/>
      <c r="W6253" s="5"/>
      <c r="X6253" s="5"/>
      <c r="Y6253" s="5"/>
      <c r="Z6253" s="5"/>
    </row>
    <row r="6254" spans="1:26" ht="15" x14ac:dyDescent="0.25">
      <c r="A6254" s="4" t="s">
        <v>6252</v>
      </c>
      <c r="B6254" s="4" t="s">
        <v>4550</v>
      </c>
      <c r="C6254" s="2" t="str">
        <f ca="1">IFERROR(__xludf.DUMMYFUNCTION("GOOGLETRANSLATE(A6254,""bn"",""en"")"),"Beauty gave joy")</f>
        <v>Beauty gave joy</v>
      </c>
      <c r="D6254" s="5"/>
      <c r="E6254" s="5"/>
      <c r="F6254" s="5"/>
      <c r="G6254" s="5"/>
      <c r="H6254" s="5"/>
      <c r="I6254" s="5"/>
      <c r="J6254" s="5"/>
      <c r="K6254" s="5"/>
      <c r="L6254" s="5"/>
      <c r="M6254" s="5"/>
      <c r="N6254" s="5"/>
      <c r="O6254" s="5"/>
      <c r="P6254" s="5"/>
      <c r="Q6254" s="5"/>
      <c r="R6254" s="5"/>
      <c r="S6254" s="5"/>
      <c r="T6254" s="5"/>
      <c r="U6254" s="5"/>
      <c r="V6254" s="5"/>
      <c r="W6254" s="5"/>
      <c r="X6254" s="5"/>
      <c r="Y6254" s="5"/>
      <c r="Z6254" s="5"/>
    </row>
    <row r="6255" spans="1:26" ht="15" x14ac:dyDescent="0.25">
      <c r="A6255" s="4" t="s">
        <v>6253</v>
      </c>
      <c r="B6255" s="4" t="s">
        <v>4550</v>
      </c>
      <c r="C6255" s="2" t="str">
        <f ca="1">IFERROR(__xludf.DUMMYFUNCTION("GOOGLETRANSLATE(A6255,""bn"",""en"")"),"I was looking for oysters")</f>
        <v>I was looking for oysters</v>
      </c>
      <c r="D6255" s="5"/>
      <c r="E6255" s="5"/>
      <c r="F6255" s="5"/>
      <c r="G6255" s="5"/>
      <c r="H6255" s="5"/>
      <c r="I6255" s="5"/>
      <c r="J6255" s="5"/>
      <c r="K6255" s="5"/>
      <c r="L6255" s="5"/>
      <c r="M6255" s="5"/>
      <c r="N6255" s="5"/>
      <c r="O6255" s="5"/>
      <c r="P6255" s="5"/>
      <c r="Q6255" s="5"/>
      <c r="R6255" s="5"/>
      <c r="S6255" s="5"/>
      <c r="T6255" s="5"/>
      <c r="U6255" s="5"/>
      <c r="V6255" s="5"/>
      <c r="W6255" s="5"/>
      <c r="X6255" s="5"/>
      <c r="Y6255" s="5"/>
      <c r="Z6255" s="5"/>
    </row>
    <row r="6256" spans="1:26" ht="15" x14ac:dyDescent="0.25">
      <c r="A6256" s="4" t="s">
        <v>6254</v>
      </c>
      <c r="B6256" s="4" t="s">
        <v>4550</v>
      </c>
      <c r="C6256" s="2" t="str">
        <f ca="1">IFERROR(__xludf.DUMMYFUNCTION("GOOGLETRANSLATE(A6256,""bn"",""en"")"),"I found sea oysters and gave you a present")</f>
        <v>I found sea oysters and gave you a present</v>
      </c>
      <c r="D6256" s="5"/>
      <c r="E6256" s="5"/>
      <c r="F6256" s="5"/>
      <c r="G6256" s="5"/>
      <c r="H6256" s="5"/>
      <c r="I6256" s="5"/>
      <c r="J6256" s="5"/>
      <c r="K6256" s="5"/>
      <c r="L6256" s="5"/>
      <c r="M6256" s="5"/>
      <c r="N6256" s="5"/>
      <c r="O6256" s="5"/>
      <c r="P6256" s="5"/>
      <c r="Q6256" s="5"/>
      <c r="R6256" s="5"/>
      <c r="S6256" s="5"/>
      <c r="T6256" s="5"/>
      <c r="U6256" s="5"/>
      <c r="V6256" s="5"/>
      <c r="W6256" s="5"/>
      <c r="X6256" s="5"/>
      <c r="Y6256" s="5"/>
      <c r="Z6256" s="5"/>
    </row>
    <row r="6257" spans="1:26" ht="15" x14ac:dyDescent="0.25">
      <c r="A6257" s="4" t="s">
        <v>6255</v>
      </c>
      <c r="B6257" s="4" t="s">
        <v>4550</v>
      </c>
      <c r="C6257" s="2" t="str">
        <f ca="1">IFERROR(__xludf.DUMMYFUNCTION("GOOGLETRANSLATE(A6257,""bn"",""en"")"),"Illuminated life")</f>
        <v>Illuminated life</v>
      </c>
      <c r="D6257" s="5"/>
      <c r="E6257" s="5"/>
      <c r="F6257" s="5"/>
      <c r="G6257" s="5"/>
      <c r="H6257" s="5"/>
      <c r="I6257" s="5"/>
      <c r="J6257" s="5"/>
      <c r="K6257" s="5"/>
      <c r="L6257" s="5"/>
      <c r="M6257" s="5"/>
      <c r="N6257" s="5"/>
      <c r="O6257" s="5"/>
      <c r="P6257" s="5"/>
      <c r="Q6257" s="5"/>
      <c r="R6257" s="5"/>
      <c r="S6257" s="5"/>
      <c r="T6257" s="5"/>
      <c r="U6257" s="5"/>
      <c r="V6257" s="5"/>
      <c r="W6257" s="5"/>
      <c r="X6257" s="5"/>
      <c r="Y6257" s="5"/>
      <c r="Z6257" s="5"/>
    </row>
    <row r="6258" spans="1:26" ht="15" x14ac:dyDescent="0.25">
      <c r="A6258" s="4" t="s">
        <v>6256</v>
      </c>
      <c r="B6258" s="4" t="s">
        <v>4550</v>
      </c>
      <c r="C6258" s="2" t="str">
        <f ca="1">IFERROR(__xludf.DUMMYFUNCTION("GOOGLETRANSLATE(A6258,""bn"",""en"")"),"I used the keyboard")</f>
        <v>I used the keyboard</v>
      </c>
      <c r="D6258" s="5"/>
      <c r="E6258" s="5"/>
      <c r="F6258" s="5"/>
      <c r="G6258" s="5"/>
      <c r="H6258" s="5"/>
      <c r="I6258" s="5"/>
      <c r="J6258" s="5"/>
      <c r="K6258" s="5"/>
      <c r="L6258" s="5"/>
      <c r="M6258" s="5"/>
      <c r="N6258" s="5"/>
      <c r="O6258" s="5"/>
      <c r="P6258" s="5"/>
      <c r="Q6258" s="5"/>
      <c r="R6258" s="5"/>
      <c r="S6258" s="5"/>
      <c r="T6258" s="5"/>
      <c r="U6258" s="5"/>
      <c r="V6258" s="5"/>
      <c r="W6258" s="5"/>
      <c r="X6258" s="5"/>
      <c r="Y6258" s="5"/>
      <c r="Z6258" s="5"/>
    </row>
    <row r="6259" spans="1:26" ht="15" x14ac:dyDescent="0.25">
      <c r="A6259" s="4" t="s">
        <v>6257</v>
      </c>
      <c r="B6259" s="4" t="s">
        <v>4550</v>
      </c>
      <c r="C6259" s="2" t="str">
        <f ca="1">IFERROR(__xludf.DUMMYFUNCTION("GOOGLETRANSLATE(A6259,""bn"",""en"")"),"I traveled the sky")</f>
        <v>I traveled the sky</v>
      </c>
      <c r="D6259" s="5"/>
      <c r="E6259" s="5"/>
      <c r="F6259" s="5"/>
      <c r="G6259" s="5"/>
      <c r="H6259" s="5"/>
      <c r="I6259" s="5"/>
      <c r="J6259" s="5"/>
      <c r="K6259" s="5"/>
      <c r="L6259" s="5"/>
      <c r="M6259" s="5"/>
      <c r="N6259" s="5"/>
      <c r="O6259" s="5"/>
      <c r="P6259" s="5"/>
      <c r="Q6259" s="5"/>
      <c r="R6259" s="5"/>
      <c r="S6259" s="5"/>
      <c r="T6259" s="5"/>
      <c r="U6259" s="5"/>
      <c r="V6259" s="5"/>
      <c r="W6259" s="5"/>
      <c r="X6259" s="5"/>
      <c r="Y6259" s="5"/>
      <c r="Z6259" s="5"/>
    </row>
    <row r="6260" spans="1:26" ht="15" x14ac:dyDescent="0.25">
      <c r="A6260" s="4" t="s">
        <v>6258</v>
      </c>
      <c r="B6260" s="4" t="s">
        <v>4550</v>
      </c>
      <c r="C6260" s="2" t="str">
        <f ca="1">IFERROR(__xludf.DUMMYFUNCTION("GOOGLETRANSLATE(A6260,""bn"",""en"")"),"I was watching the game on my laptop")</f>
        <v>I was watching the game on my laptop</v>
      </c>
      <c r="D6260" s="5"/>
      <c r="E6260" s="5"/>
      <c r="F6260" s="5"/>
      <c r="G6260" s="5"/>
      <c r="H6260" s="5"/>
      <c r="I6260" s="5"/>
      <c r="J6260" s="5"/>
      <c r="K6260" s="5"/>
      <c r="L6260" s="5"/>
      <c r="M6260" s="5"/>
      <c r="N6260" s="5"/>
      <c r="O6260" s="5"/>
      <c r="P6260" s="5"/>
      <c r="Q6260" s="5"/>
      <c r="R6260" s="5"/>
      <c r="S6260" s="5"/>
      <c r="T6260" s="5"/>
      <c r="U6260" s="5"/>
      <c r="V6260" s="5"/>
      <c r="W6260" s="5"/>
      <c r="X6260" s="5"/>
      <c r="Y6260" s="5"/>
      <c r="Z6260" s="5"/>
    </row>
    <row r="6261" spans="1:26" ht="15" x14ac:dyDescent="0.25">
      <c r="A6261" s="4" t="s">
        <v>6259</v>
      </c>
      <c r="B6261" s="4" t="s">
        <v>4550</v>
      </c>
      <c r="C6261" s="2" t="str">
        <f ca="1">IFERROR(__xludf.DUMMYFUNCTION("GOOGLETRANSLATE(A6261,""bn"",""en"")"),"He was cooperating with politics")</f>
        <v>He was cooperating with politics</v>
      </c>
      <c r="D6261" s="5"/>
      <c r="E6261" s="5"/>
      <c r="F6261" s="5"/>
      <c r="G6261" s="5"/>
      <c r="H6261" s="5"/>
      <c r="I6261" s="5"/>
      <c r="J6261" s="5"/>
      <c r="K6261" s="5"/>
      <c r="L6261" s="5"/>
      <c r="M6261" s="5"/>
      <c r="N6261" s="5"/>
      <c r="O6261" s="5"/>
      <c r="P6261" s="5"/>
      <c r="Q6261" s="5"/>
      <c r="R6261" s="5"/>
      <c r="S6261" s="5"/>
      <c r="T6261" s="5"/>
      <c r="U6261" s="5"/>
      <c r="V6261" s="5"/>
      <c r="W6261" s="5"/>
      <c r="X6261" s="5"/>
      <c r="Y6261" s="5"/>
      <c r="Z6261" s="5"/>
    </row>
    <row r="6262" spans="1:26" ht="15" x14ac:dyDescent="0.25">
      <c r="A6262" s="4" t="s">
        <v>6260</v>
      </c>
      <c r="B6262" s="4" t="s">
        <v>4550</v>
      </c>
      <c r="C6262" s="2" t="str">
        <f ca="1">IFERROR(__xludf.DUMMYFUNCTION("GOOGLETRANSLATE(A6262,""bn"",""en"")"),"I wrote notes")</f>
        <v>I wrote notes</v>
      </c>
      <c r="D6262" s="5"/>
      <c r="E6262" s="5"/>
      <c r="F6262" s="5"/>
      <c r="G6262" s="5"/>
      <c r="H6262" s="5"/>
      <c r="I6262" s="5"/>
      <c r="J6262" s="5"/>
      <c r="K6262" s="5"/>
      <c r="L6262" s="5"/>
      <c r="M6262" s="5"/>
      <c r="N6262" s="5"/>
      <c r="O6262" s="5"/>
      <c r="P6262" s="5"/>
      <c r="Q6262" s="5"/>
      <c r="R6262" s="5"/>
      <c r="S6262" s="5"/>
      <c r="T6262" s="5"/>
      <c r="U6262" s="5"/>
      <c r="V6262" s="5"/>
      <c r="W6262" s="5"/>
      <c r="X6262" s="5"/>
      <c r="Y6262" s="5"/>
      <c r="Z6262" s="5"/>
    </row>
    <row r="6263" spans="1:26" ht="15" x14ac:dyDescent="0.25">
      <c r="A6263" s="4" t="s">
        <v>6261</v>
      </c>
      <c r="B6263" s="4" t="s">
        <v>4550</v>
      </c>
      <c r="C6263" s="2" t="str">
        <f ca="1">IFERROR(__xludf.DUMMYFUNCTION("GOOGLETRANSLATE(A6263,""bn"",""en"")"),"I watched the news on television")</f>
        <v>I watched the news on television</v>
      </c>
      <c r="D6263" s="5"/>
      <c r="E6263" s="5"/>
      <c r="F6263" s="5"/>
      <c r="G6263" s="5"/>
      <c r="H6263" s="5"/>
      <c r="I6263" s="5"/>
      <c r="J6263" s="5"/>
      <c r="K6263" s="5"/>
      <c r="L6263" s="5"/>
      <c r="M6263" s="5"/>
      <c r="N6263" s="5"/>
      <c r="O6263" s="5"/>
      <c r="P6263" s="5"/>
      <c r="Q6263" s="5"/>
      <c r="R6263" s="5"/>
      <c r="S6263" s="5"/>
      <c r="T6263" s="5"/>
      <c r="U6263" s="5"/>
      <c r="V6263" s="5"/>
      <c r="W6263" s="5"/>
      <c r="X6263" s="5"/>
      <c r="Y6263" s="5"/>
      <c r="Z6263" s="5"/>
    </row>
    <row r="6264" spans="1:26" ht="15" x14ac:dyDescent="0.25">
      <c r="A6264" s="4" t="s">
        <v>6262</v>
      </c>
      <c r="B6264" s="4" t="s">
        <v>4550</v>
      </c>
      <c r="C6264" s="2" t="str">
        <f ca="1">IFERROR(__xludf.DUMMYFUNCTION("GOOGLETRANSLATE(A6264,""bn"",""en"")"),"I was talking")</f>
        <v>I was talking</v>
      </c>
      <c r="D6264" s="5"/>
      <c r="E6264" s="5"/>
      <c r="F6264" s="5"/>
      <c r="G6264" s="5"/>
      <c r="H6264" s="5"/>
      <c r="I6264" s="5"/>
      <c r="J6264" s="5"/>
      <c r="K6264" s="5"/>
      <c r="L6264" s="5"/>
      <c r="M6264" s="5"/>
      <c r="N6264" s="5"/>
      <c r="O6264" s="5"/>
      <c r="P6264" s="5"/>
      <c r="Q6264" s="5"/>
      <c r="R6264" s="5"/>
      <c r="S6264" s="5"/>
      <c r="T6264" s="5"/>
      <c r="U6264" s="5"/>
      <c r="V6264" s="5"/>
      <c r="W6264" s="5"/>
      <c r="X6264" s="5"/>
      <c r="Y6264" s="5"/>
      <c r="Z6264" s="5"/>
    </row>
    <row r="6265" spans="1:26" ht="15" x14ac:dyDescent="0.25">
      <c r="A6265" s="4" t="s">
        <v>6263</v>
      </c>
      <c r="B6265" s="4" t="s">
        <v>4550</v>
      </c>
      <c r="C6265" s="2" t="str">
        <f ca="1">IFERROR(__xludf.DUMMYFUNCTION("GOOGLETRANSLATE(A6265,""bn"",""en"")"),"I corrected the account")</f>
        <v>I corrected the account</v>
      </c>
      <c r="D6265" s="5"/>
      <c r="E6265" s="5"/>
      <c r="F6265" s="5"/>
      <c r="G6265" s="5"/>
      <c r="H6265" s="5"/>
      <c r="I6265" s="5"/>
      <c r="J6265" s="5"/>
      <c r="K6265" s="5"/>
      <c r="L6265" s="5"/>
      <c r="M6265" s="5"/>
      <c r="N6265" s="5"/>
      <c r="O6265" s="5"/>
      <c r="P6265" s="5"/>
      <c r="Q6265" s="5"/>
      <c r="R6265" s="5"/>
      <c r="S6265" s="5"/>
      <c r="T6265" s="5"/>
      <c r="U6265" s="5"/>
      <c r="V6265" s="5"/>
      <c r="W6265" s="5"/>
      <c r="X6265" s="5"/>
      <c r="Y6265" s="5"/>
      <c r="Z6265" s="5"/>
    </row>
    <row r="6266" spans="1:26" ht="15" x14ac:dyDescent="0.25">
      <c r="A6266" s="4" t="s">
        <v>6264</v>
      </c>
      <c r="B6266" s="4" t="s">
        <v>4550</v>
      </c>
      <c r="C6266" s="2" t="str">
        <f ca="1">IFERROR(__xludf.DUMMYFUNCTION("GOOGLETRANSLATE(A6266,""bn"",""en"")"),"He was suffering in his student life")</f>
        <v>He was suffering in his student life</v>
      </c>
      <c r="D6266" s="5"/>
      <c r="E6266" s="5"/>
      <c r="F6266" s="5"/>
      <c r="G6266" s="5"/>
      <c r="H6266" s="5"/>
      <c r="I6266" s="5"/>
      <c r="J6266" s="5"/>
      <c r="K6266" s="5"/>
      <c r="L6266" s="5"/>
      <c r="M6266" s="5"/>
      <c r="N6266" s="5"/>
      <c r="O6266" s="5"/>
      <c r="P6266" s="5"/>
      <c r="Q6266" s="5"/>
      <c r="R6266" s="5"/>
      <c r="S6266" s="5"/>
      <c r="T6266" s="5"/>
      <c r="U6266" s="5"/>
      <c r="V6266" s="5"/>
      <c r="W6266" s="5"/>
      <c r="X6266" s="5"/>
      <c r="Y6266" s="5"/>
      <c r="Z6266" s="5"/>
    </row>
    <row r="6267" spans="1:26" ht="15" x14ac:dyDescent="0.25">
      <c r="A6267" s="4" t="s">
        <v>6265</v>
      </c>
      <c r="B6267" s="4" t="s">
        <v>4550</v>
      </c>
      <c r="C6267" s="2" t="str">
        <f ca="1">IFERROR(__xludf.DUMMYFUNCTION("GOOGLETRANSLATE(A6267,""bn"",""en"")"),"I went around in a row")</f>
        <v>I went around in a row</v>
      </c>
      <c r="D6267" s="5"/>
      <c r="E6267" s="5"/>
      <c r="F6267" s="5"/>
      <c r="G6267" s="5"/>
      <c r="H6267" s="5"/>
      <c r="I6267" s="5"/>
      <c r="J6267" s="5"/>
      <c r="K6267" s="5"/>
      <c r="L6267" s="5"/>
      <c r="M6267" s="5"/>
      <c r="N6267" s="5"/>
      <c r="O6267" s="5"/>
      <c r="P6267" s="5"/>
      <c r="Q6267" s="5"/>
      <c r="R6267" s="5"/>
      <c r="S6267" s="5"/>
      <c r="T6267" s="5"/>
      <c r="U6267" s="5"/>
      <c r="V6267" s="5"/>
      <c r="W6267" s="5"/>
      <c r="X6267" s="5"/>
      <c r="Y6267" s="5"/>
      <c r="Z6267" s="5"/>
    </row>
    <row r="6268" spans="1:26" ht="15" x14ac:dyDescent="0.25">
      <c r="A6268" s="4" t="s">
        <v>6266</v>
      </c>
      <c r="B6268" s="4" t="s">
        <v>4550</v>
      </c>
      <c r="C6268" s="2" t="str">
        <f ca="1">IFERROR(__xludf.DUMMYFUNCTION("GOOGLETRANSLATE(A6268,""bn"",""en"")"),"I was studying in college")</f>
        <v>I was studying in college</v>
      </c>
      <c r="D6268" s="5"/>
      <c r="E6268" s="5"/>
      <c r="F6268" s="5"/>
      <c r="G6268" s="5"/>
      <c r="H6268" s="5"/>
      <c r="I6268" s="5"/>
      <c r="J6268" s="5"/>
      <c r="K6268" s="5"/>
      <c r="L6268" s="5"/>
      <c r="M6268" s="5"/>
      <c r="N6268" s="5"/>
      <c r="O6268" s="5"/>
      <c r="P6268" s="5"/>
      <c r="Q6268" s="5"/>
      <c r="R6268" s="5"/>
      <c r="S6268" s="5"/>
      <c r="T6268" s="5"/>
      <c r="U6268" s="5"/>
      <c r="V6268" s="5"/>
      <c r="W6268" s="5"/>
      <c r="X6268" s="5"/>
      <c r="Y6268" s="5"/>
      <c r="Z6268" s="5"/>
    </row>
    <row r="6269" spans="1:26" ht="15" x14ac:dyDescent="0.25">
      <c r="A6269" s="4" t="s">
        <v>6267</v>
      </c>
      <c r="B6269" s="4" t="s">
        <v>4550</v>
      </c>
      <c r="C6269" s="2" t="str">
        <f ca="1">IFERROR(__xludf.DUMMYFUNCTION("GOOGLETRANSLATE(A6269,""bn"",""en"")"),"It was an exciting trip")</f>
        <v>It was an exciting trip</v>
      </c>
      <c r="D6269" s="5"/>
      <c r="E6269" s="5"/>
      <c r="F6269" s="5"/>
      <c r="G6269" s="5"/>
      <c r="H6269" s="5"/>
      <c r="I6269" s="5"/>
      <c r="J6269" s="5"/>
      <c r="K6269" s="5"/>
      <c r="L6269" s="5"/>
      <c r="M6269" s="5"/>
      <c r="N6269" s="5"/>
      <c r="O6269" s="5"/>
      <c r="P6269" s="5"/>
      <c r="Q6269" s="5"/>
      <c r="R6269" s="5"/>
      <c r="S6269" s="5"/>
      <c r="T6269" s="5"/>
      <c r="U6269" s="5"/>
      <c r="V6269" s="5"/>
      <c r="W6269" s="5"/>
      <c r="X6269" s="5"/>
      <c r="Y6269" s="5"/>
      <c r="Z6269" s="5"/>
    </row>
    <row r="6270" spans="1:26" ht="15" x14ac:dyDescent="0.25">
      <c r="A6270" s="4" t="s">
        <v>6268</v>
      </c>
      <c r="B6270" s="4" t="s">
        <v>4550</v>
      </c>
      <c r="C6270" s="2" t="str">
        <f ca="1">IFERROR(__xludf.DUMMYFUNCTION("GOOGLETRANSLATE(A6270,""bn"",""en"")"),"Stayed in college hostel")</f>
        <v>Stayed in college hostel</v>
      </c>
      <c r="D6270" s="5"/>
      <c r="E6270" s="5"/>
      <c r="F6270" s="5"/>
      <c r="G6270" s="5"/>
      <c r="H6270" s="5"/>
      <c r="I6270" s="5"/>
      <c r="J6270" s="5"/>
      <c r="K6270" s="5"/>
      <c r="L6270" s="5"/>
      <c r="M6270" s="5"/>
      <c r="N6270" s="5"/>
      <c r="O6270" s="5"/>
      <c r="P6270" s="5"/>
      <c r="Q6270" s="5"/>
      <c r="R6270" s="5"/>
      <c r="S6270" s="5"/>
      <c r="T6270" s="5"/>
      <c r="U6270" s="5"/>
      <c r="V6270" s="5"/>
      <c r="W6270" s="5"/>
      <c r="X6270" s="5"/>
      <c r="Y6270" s="5"/>
      <c r="Z6270" s="5"/>
    </row>
    <row r="6271" spans="1:26" ht="15" x14ac:dyDescent="0.25">
      <c r="A6271" s="4" t="s">
        <v>6269</v>
      </c>
      <c r="B6271" s="4" t="s">
        <v>4550</v>
      </c>
      <c r="C6271" s="2" t="str">
        <f ca="1">IFERROR(__xludf.DUMMYFUNCTION("GOOGLETRANSLATE(A6271,""bn"",""en"")"),"I used to hack laptops")</f>
        <v>I used to hack laptops</v>
      </c>
      <c r="D6271" s="5"/>
      <c r="E6271" s="5"/>
      <c r="F6271" s="5"/>
      <c r="G6271" s="5"/>
      <c r="H6271" s="5"/>
      <c r="I6271" s="5"/>
      <c r="J6271" s="5"/>
      <c r="K6271" s="5"/>
      <c r="L6271" s="5"/>
      <c r="M6271" s="5"/>
      <c r="N6271" s="5"/>
      <c r="O6271" s="5"/>
      <c r="P6271" s="5"/>
      <c r="Q6271" s="5"/>
      <c r="R6271" s="5"/>
      <c r="S6271" s="5"/>
      <c r="T6271" s="5"/>
      <c r="U6271" s="5"/>
      <c r="V6271" s="5"/>
      <c r="W6271" s="5"/>
      <c r="X6271" s="5"/>
      <c r="Y6271" s="5"/>
      <c r="Z6271" s="5"/>
    </row>
    <row r="6272" spans="1:26" ht="15" x14ac:dyDescent="0.25">
      <c r="A6272" s="4" t="s">
        <v>6270</v>
      </c>
      <c r="B6272" s="4" t="s">
        <v>4550</v>
      </c>
      <c r="C6272" s="2" t="str">
        <f ca="1">IFERROR(__xludf.DUMMYFUNCTION("GOOGLETRANSLATE(A6272,""bn"",""en"")"),"He liked cricket")</f>
        <v>He liked cricket</v>
      </c>
      <c r="D6272" s="5"/>
      <c r="E6272" s="5"/>
      <c r="F6272" s="5"/>
      <c r="G6272" s="5"/>
      <c r="H6272" s="5"/>
      <c r="I6272" s="5"/>
      <c r="J6272" s="5"/>
      <c r="K6272" s="5"/>
      <c r="L6272" s="5"/>
      <c r="M6272" s="5"/>
      <c r="N6272" s="5"/>
      <c r="O6272" s="5"/>
      <c r="P6272" s="5"/>
      <c r="Q6272" s="5"/>
      <c r="R6272" s="5"/>
      <c r="S6272" s="5"/>
      <c r="T6272" s="5"/>
      <c r="U6272" s="5"/>
      <c r="V6272" s="5"/>
      <c r="W6272" s="5"/>
      <c r="X6272" s="5"/>
      <c r="Y6272" s="5"/>
      <c r="Z6272" s="5"/>
    </row>
    <row r="6273" spans="1:26" ht="15" x14ac:dyDescent="0.25">
      <c r="A6273" s="4" t="s">
        <v>6271</v>
      </c>
      <c r="B6273" s="4" t="s">
        <v>4550</v>
      </c>
      <c r="C6273" s="2" t="str">
        <f ca="1">IFERROR(__xludf.DUMMYFUNCTION("GOOGLETRANSLATE(A6273,""bn"",""en"")"),"I ate in the college cafeteria")</f>
        <v>I ate in the college cafeteria</v>
      </c>
      <c r="D6273" s="5"/>
      <c r="E6273" s="5"/>
      <c r="F6273" s="5"/>
      <c r="G6273" s="5"/>
      <c r="H6273" s="5"/>
      <c r="I6273" s="5"/>
      <c r="J6273" s="5"/>
      <c r="K6273" s="5"/>
      <c r="L6273" s="5"/>
      <c r="M6273" s="5"/>
      <c r="N6273" s="5"/>
      <c r="O6273" s="5"/>
      <c r="P6273" s="5"/>
      <c r="Q6273" s="5"/>
      <c r="R6273" s="5"/>
      <c r="S6273" s="5"/>
      <c r="T6273" s="5"/>
      <c r="U6273" s="5"/>
      <c r="V6273" s="5"/>
      <c r="W6273" s="5"/>
      <c r="X6273" s="5"/>
      <c r="Y6273" s="5"/>
      <c r="Z6273" s="5"/>
    </row>
    <row r="6274" spans="1:26" ht="15" x14ac:dyDescent="0.25">
      <c r="A6274" s="4" t="s">
        <v>6272</v>
      </c>
      <c r="B6274" s="4" t="s">
        <v>4550</v>
      </c>
      <c r="C6274" s="2" t="str">
        <f ca="1">IFERROR(__xludf.DUMMYFUNCTION("GOOGLETRANSLATE(A6274,""bn"",""en"")"),"It was digitalized in Bangladesh")</f>
        <v>It was digitalized in Bangladesh</v>
      </c>
      <c r="D6274" s="5"/>
      <c r="E6274" s="5"/>
      <c r="F6274" s="5"/>
      <c r="G6274" s="5"/>
      <c r="H6274" s="5"/>
      <c r="I6274" s="5"/>
      <c r="J6274" s="5"/>
      <c r="K6274" s="5"/>
      <c r="L6274" s="5"/>
      <c r="M6274" s="5"/>
      <c r="N6274" s="5"/>
      <c r="O6274" s="5"/>
      <c r="P6274" s="5"/>
      <c r="Q6274" s="5"/>
      <c r="R6274" s="5"/>
      <c r="S6274" s="5"/>
      <c r="T6274" s="5"/>
      <c r="U6274" s="5"/>
      <c r="V6274" s="5"/>
      <c r="W6274" s="5"/>
      <c r="X6274" s="5"/>
      <c r="Y6274" s="5"/>
      <c r="Z6274" s="5"/>
    </row>
    <row r="6275" spans="1:26" ht="15" x14ac:dyDescent="0.25">
      <c r="A6275" s="4" t="s">
        <v>6273</v>
      </c>
      <c r="B6275" s="4" t="s">
        <v>4550</v>
      </c>
      <c r="C6275" s="2" t="str">
        <f ca="1">IFERROR(__xludf.DUMMYFUNCTION("GOOGLETRANSLATE(A6275,""bn"",""en"")"),"Managed the business")</f>
        <v>Managed the business</v>
      </c>
      <c r="D6275" s="5"/>
      <c r="E6275" s="5"/>
      <c r="F6275" s="5"/>
      <c r="G6275" s="5"/>
      <c r="H6275" s="5"/>
      <c r="I6275" s="5"/>
      <c r="J6275" s="5"/>
      <c r="K6275" s="5"/>
      <c r="L6275" s="5"/>
      <c r="M6275" s="5"/>
      <c r="N6275" s="5"/>
      <c r="O6275" s="5"/>
      <c r="P6275" s="5"/>
      <c r="Q6275" s="5"/>
      <c r="R6275" s="5"/>
      <c r="S6275" s="5"/>
      <c r="T6275" s="5"/>
      <c r="U6275" s="5"/>
      <c r="V6275" s="5"/>
      <c r="W6275" s="5"/>
      <c r="X6275" s="5"/>
      <c r="Y6275" s="5"/>
      <c r="Z6275" s="5"/>
    </row>
    <row r="6276" spans="1:26" ht="15" x14ac:dyDescent="0.25">
      <c r="A6276" s="4" t="s">
        <v>6274</v>
      </c>
      <c r="B6276" s="4" t="s">
        <v>4550</v>
      </c>
      <c r="C6276" s="2" t="str">
        <f ca="1">IFERROR(__xludf.DUMMYFUNCTION("GOOGLETRANSLATE(A6276,""bn"",""en"")"),"I was telling the story of life")</f>
        <v>I was telling the story of life</v>
      </c>
      <c r="D6276" s="5"/>
      <c r="E6276" s="5"/>
      <c r="F6276" s="5"/>
      <c r="G6276" s="5"/>
      <c r="H6276" s="5"/>
      <c r="I6276" s="5"/>
      <c r="J6276" s="5"/>
      <c r="K6276" s="5"/>
      <c r="L6276" s="5"/>
      <c r="M6276" s="5"/>
      <c r="N6276" s="5"/>
      <c r="O6276" s="5"/>
      <c r="P6276" s="5"/>
      <c r="Q6276" s="5"/>
      <c r="R6276" s="5"/>
      <c r="S6276" s="5"/>
      <c r="T6276" s="5"/>
      <c r="U6276" s="5"/>
      <c r="V6276" s="5"/>
      <c r="W6276" s="5"/>
      <c r="X6276" s="5"/>
      <c r="Y6276" s="5"/>
      <c r="Z6276" s="5"/>
    </row>
    <row r="6277" spans="1:26" ht="15" x14ac:dyDescent="0.25">
      <c r="A6277" s="4" t="s">
        <v>6275</v>
      </c>
      <c r="B6277" s="4" t="s">
        <v>4550</v>
      </c>
      <c r="C6277" s="2" t="str">
        <f ca="1">IFERROR(__xludf.DUMMYFUNCTION("GOOGLETRANSLATE(A6277,""bn"",""en"")"),"I gave food to the travelers")</f>
        <v>I gave food to the travelers</v>
      </c>
      <c r="D6277" s="5"/>
      <c r="E6277" s="5"/>
      <c r="F6277" s="5"/>
      <c r="G6277" s="5"/>
      <c r="H6277" s="5"/>
      <c r="I6277" s="5"/>
      <c r="J6277" s="5"/>
      <c r="K6277" s="5"/>
      <c r="L6277" s="5"/>
      <c r="M6277" s="5"/>
      <c r="N6277" s="5"/>
      <c r="O6277" s="5"/>
      <c r="P6277" s="5"/>
      <c r="Q6277" s="5"/>
      <c r="R6277" s="5"/>
      <c r="S6277" s="5"/>
      <c r="T6277" s="5"/>
      <c r="U6277" s="5"/>
      <c r="V6277" s="5"/>
      <c r="W6277" s="5"/>
      <c r="X6277" s="5"/>
      <c r="Y6277" s="5"/>
      <c r="Z6277" s="5"/>
    </row>
    <row r="6278" spans="1:26" ht="15" x14ac:dyDescent="0.25">
      <c r="A6278" s="4" t="s">
        <v>6276</v>
      </c>
      <c r="B6278" s="4" t="s">
        <v>4550</v>
      </c>
      <c r="C6278" s="2" t="str">
        <f ca="1">IFERROR(__xludf.DUMMYFUNCTION("GOOGLETRANSLATE(A6278,""bn"",""en"")"),"I was doing homework")</f>
        <v>I was doing homework</v>
      </c>
      <c r="D6278" s="5"/>
      <c r="E6278" s="5"/>
      <c r="F6278" s="5"/>
      <c r="G6278" s="5"/>
      <c r="H6278" s="5"/>
      <c r="I6278" s="5"/>
      <c r="J6278" s="5"/>
      <c r="K6278" s="5"/>
      <c r="L6278" s="5"/>
      <c r="M6278" s="5"/>
      <c r="N6278" s="5"/>
      <c r="O6278" s="5"/>
      <c r="P6278" s="5"/>
      <c r="Q6278" s="5"/>
      <c r="R6278" s="5"/>
      <c r="S6278" s="5"/>
      <c r="T6278" s="5"/>
      <c r="U6278" s="5"/>
      <c r="V6278" s="5"/>
      <c r="W6278" s="5"/>
      <c r="X6278" s="5"/>
      <c r="Y6278" s="5"/>
      <c r="Z6278" s="5"/>
    </row>
    <row r="6279" spans="1:26" ht="15" x14ac:dyDescent="0.25">
      <c r="A6279" s="4" t="s">
        <v>6277</v>
      </c>
      <c r="B6279" s="4" t="s">
        <v>4550</v>
      </c>
      <c r="C6279" s="2" t="str">
        <f ca="1">IFERROR(__xludf.DUMMYFUNCTION("GOOGLETRANSLATE(A6279,""bn"",""en"")"),"I found peace in the journey")</f>
        <v>I found peace in the journey</v>
      </c>
      <c r="D6279" s="5"/>
      <c r="E6279" s="5"/>
      <c r="F6279" s="5"/>
      <c r="G6279" s="5"/>
      <c r="H6279" s="5"/>
      <c r="I6279" s="5"/>
      <c r="J6279" s="5"/>
      <c r="K6279" s="5"/>
      <c r="L6279" s="5"/>
      <c r="M6279" s="5"/>
      <c r="N6279" s="5"/>
      <c r="O6279" s="5"/>
      <c r="P6279" s="5"/>
      <c r="Q6279" s="5"/>
      <c r="R6279" s="5"/>
      <c r="S6279" s="5"/>
      <c r="T6279" s="5"/>
      <c r="U6279" s="5"/>
      <c r="V6279" s="5"/>
      <c r="W6279" s="5"/>
      <c r="X6279" s="5"/>
      <c r="Y6279" s="5"/>
      <c r="Z6279" s="5"/>
    </row>
    <row r="6280" spans="1:26" ht="15" x14ac:dyDescent="0.25">
      <c r="A6280" s="4" t="s">
        <v>6278</v>
      </c>
      <c r="B6280" s="4" t="s">
        <v>4550</v>
      </c>
      <c r="C6280" s="2" t="str">
        <f ca="1">IFERROR(__xludf.DUMMYFUNCTION("GOOGLETRANSLATE(A6280,""bn"",""en"")"),"I was having a meeting at the bank")</f>
        <v>I was having a meeting at the bank</v>
      </c>
      <c r="D6280" s="5"/>
      <c r="E6280" s="5"/>
      <c r="F6280" s="5"/>
      <c r="G6280" s="5"/>
      <c r="H6280" s="5"/>
      <c r="I6280" s="5"/>
      <c r="J6280" s="5"/>
      <c r="K6280" s="5"/>
      <c r="L6280" s="5"/>
      <c r="M6280" s="5"/>
      <c r="N6280" s="5"/>
      <c r="O6280" s="5"/>
      <c r="P6280" s="5"/>
      <c r="Q6280" s="5"/>
      <c r="R6280" s="5"/>
      <c r="S6280" s="5"/>
      <c r="T6280" s="5"/>
      <c r="U6280" s="5"/>
      <c r="V6280" s="5"/>
      <c r="W6280" s="5"/>
      <c r="X6280" s="5"/>
      <c r="Y6280" s="5"/>
      <c r="Z6280" s="5"/>
    </row>
    <row r="6281" spans="1:26" ht="15" x14ac:dyDescent="0.25">
      <c r="A6281" s="4" t="s">
        <v>6279</v>
      </c>
      <c r="B6281" s="4" t="s">
        <v>4550</v>
      </c>
      <c r="C6281" s="2" t="str">
        <f ca="1">IFERROR(__xludf.DUMMYFUNCTION("GOOGLETRANSLATE(A6281,""bn"",""en"")"),"I was buying a bluetooth speaker")</f>
        <v>I was buying a bluetooth speaker</v>
      </c>
      <c r="D6281" s="5"/>
      <c r="E6281" s="5"/>
      <c r="F6281" s="5"/>
      <c r="G6281" s="5"/>
      <c r="H6281" s="5"/>
      <c r="I6281" s="5"/>
      <c r="J6281" s="5"/>
      <c r="K6281" s="5"/>
      <c r="L6281" s="5"/>
      <c r="M6281" s="5"/>
      <c r="N6281" s="5"/>
      <c r="O6281" s="5"/>
      <c r="P6281" s="5"/>
      <c r="Q6281" s="5"/>
      <c r="R6281" s="5"/>
      <c r="S6281" s="5"/>
      <c r="T6281" s="5"/>
      <c r="U6281" s="5"/>
      <c r="V6281" s="5"/>
      <c r="W6281" s="5"/>
      <c r="X6281" s="5"/>
      <c r="Y6281" s="5"/>
      <c r="Z6281" s="5"/>
    </row>
    <row r="6282" spans="1:26" ht="15" x14ac:dyDescent="0.25">
      <c r="A6282" s="4" t="s">
        <v>6280</v>
      </c>
      <c r="B6282" s="4" t="s">
        <v>4550</v>
      </c>
      <c r="C6282" s="2" t="str">
        <f ca="1">IFERROR(__xludf.DUMMYFUNCTION("GOOGLETRANSLATE(A6282,""bn"",""en"")"),"There was a tiger in the forest")</f>
        <v>There was a tiger in the forest</v>
      </c>
      <c r="D6282" s="5"/>
      <c r="E6282" s="5"/>
      <c r="F6282" s="5"/>
      <c r="G6282" s="5"/>
      <c r="H6282" s="5"/>
      <c r="I6282" s="5"/>
      <c r="J6282" s="5"/>
      <c r="K6282" s="5"/>
      <c r="L6282" s="5"/>
      <c r="M6282" s="5"/>
      <c r="N6282" s="5"/>
      <c r="O6282" s="5"/>
      <c r="P6282" s="5"/>
      <c r="Q6282" s="5"/>
      <c r="R6282" s="5"/>
      <c r="S6282" s="5"/>
      <c r="T6282" s="5"/>
      <c r="U6282" s="5"/>
      <c r="V6282" s="5"/>
      <c r="W6282" s="5"/>
      <c r="X6282" s="5"/>
      <c r="Y6282" s="5"/>
      <c r="Z6282" s="5"/>
    </row>
    <row r="6283" spans="1:26" ht="15" x14ac:dyDescent="0.25">
      <c r="A6283" s="4" t="s">
        <v>6281</v>
      </c>
      <c r="B6283" s="4" t="s">
        <v>4550</v>
      </c>
      <c r="C6283" s="2" t="str">
        <f ca="1">IFERROR(__xludf.DUMMYFUNCTION("GOOGLETRANSLATE(A6283,""bn"",""en"")"),"The price was fixed")</f>
        <v>The price was fixed</v>
      </c>
      <c r="D6283" s="5"/>
      <c r="E6283" s="5"/>
      <c r="F6283" s="5"/>
      <c r="G6283" s="5"/>
      <c r="H6283" s="5"/>
      <c r="I6283" s="5"/>
      <c r="J6283" s="5"/>
      <c r="K6283" s="5"/>
      <c r="L6283" s="5"/>
      <c r="M6283" s="5"/>
      <c r="N6283" s="5"/>
      <c r="O6283" s="5"/>
      <c r="P6283" s="5"/>
      <c r="Q6283" s="5"/>
      <c r="R6283" s="5"/>
      <c r="S6283" s="5"/>
      <c r="T6283" s="5"/>
      <c r="U6283" s="5"/>
      <c r="V6283" s="5"/>
      <c r="W6283" s="5"/>
      <c r="X6283" s="5"/>
      <c r="Y6283" s="5"/>
      <c r="Z6283" s="5"/>
    </row>
    <row r="6284" spans="1:26" ht="15" x14ac:dyDescent="0.25">
      <c r="A6284" s="4" t="s">
        <v>6282</v>
      </c>
      <c r="B6284" s="4" t="s">
        <v>4550</v>
      </c>
      <c r="C6284" s="2" t="str">
        <f ca="1">IFERROR(__xludf.DUMMYFUNCTION("GOOGLETRANSLATE(A6284,""bn"",""en"")"),"I was listening to music on the bluetooth speaker")</f>
        <v>I was listening to music on the bluetooth speaker</v>
      </c>
      <c r="D6284" s="5"/>
      <c r="E6284" s="5"/>
      <c r="F6284" s="5"/>
      <c r="G6284" s="5"/>
      <c r="H6284" s="5"/>
      <c r="I6284" s="5"/>
      <c r="J6284" s="5"/>
      <c r="K6284" s="5"/>
      <c r="L6284" s="5"/>
      <c r="M6284" s="5"/>
      <c r="N6284" s="5"/>
      <c r="O6284" s="5"/>
      <c r="P6284" s="5"/>
      <c r="Q6284" s="5"/>
      <c r="R6284" s="5"/>
      <c r="S6284" s="5"/>
      <c r="T6284" s="5"/>
      <c r="U6284" s="5"/>
      <c r="V6284" s="5"/>
      <c r="W6284" s="5"/>
      <c r="X6284" s="5"/>
      <c r="Y6284" s="5"/>
      <c r="Z6284" s="5"/>
    </row>
    <row r="6285" spans="1:26" ht="15" x14ac:dyDescent="0.25">
      <c r="A6285" s="4" t="s">
        <v>6283</v>
      </c>
      <c r="B6285" s="4" t="s">
        <v>4550</v>
      </c>
      <c r="C6285" s="2" t="str">
        <f ca="1">IFERROR(__xludf.DUMMYFUNCTION("GOOGLETRANSLATE(A6285,""bn"",""en"")"),"He learned computer")</f>
        <v>He learned computer</v>
      </c>
      <c r="D6285" s="5"/>
      <c r="E6285" s="5"/>
      <c r="F6285" s="5"/>
      <c r="G6285" s="5"/>
      <c r="H6285" s="5"/>
      <c r="I6285" s="5"/>
      <c r="J6285" s="5"/>
      <c r="K6285" s="5"/>
      <c r="L6285" s="5"/>
      <c r="M6285" s="5"/>
      <c r="N6285" s="5"/>
      <c r="O6285" s="5"/>
      <c r="P6285" s="5"/>
      <c r="Q6285" s="5"/>
      <c r="R6285" s="5"/>
      <c r="S6285" s="5"/>
      <c r="T6285" s="5"/>
      <c r="U6285" s="5"/>
      <c r="V6285" s="5"/>
      <c r="W6285" s="5"/>
      <c r="X6285" s="5"/>
      <c r="Y6285" s="5"/>
      <c r="Z6285" s="5"/>
    </row>
    <row r="6286" spans="1:26" ht="15" x14ac:dyDescent="0.25">
      <c r="A6286" s="4" t="s">
        <v>6284</v>
      </c>
      <c r="B6286" s="4" t="s">
        <v>4550</v>
      </c>
      <c r="C6286" s="2" t="str">
        <f ca="1">IFERROR(__xludf.DUMMYFUNCTION("GOOGLETRANSLATE(A6286,""bn"",""en"")"),"Social discussion was going on")</f>
        <v>Social discussion was going on</v>
      </c>
      <c r="D6286" s="5"/>
      <c r="E6286" s="5"/>
      <c r="F6286" s="5"/>
      <c r="G6286" s="5"/>
      <c r="H6286" s="5"/>
      <c r="I6286" s="5"/>
      <c r="J6286" s="5"/>
      <c r="K6286" s="5"/>
      <c r="L6286" s="5"/>
      <c r="M6286" s="5"/>
      <c r="N6286" s="5"/>
      <c r="O6286" s="5"/>
      <c r="P6286" s="5"/>
      <c r="Q6286" s="5"/>
      <c r="R6286" s="5"/>
      <c r="S6286" s="5"/>
      <c r="T6286" s="5"/>
      <c r="U6286" s="5"/>
      <c r="V6286" s="5"/>
      <c r="W6286" s="5"/>
      <c r="X6286" s="5"/>
      <c r="Y6286" s="5"/>
      <c r="Z6286" s="5"/>
    </row>
    <row r="6287" spans="1:26" ht="15" x14ac:dyDescent="0.25">
      <c r="A6287" s="4" t="s">
        <v>6285</v>
      </c>
      <c r="B6287" s="4" t="s">
        <v>4550</v>
      </c>
      <c r="C6287" s="2" t="str">
        <f ca="1">IFERROR(__xludf.DUMMYFUNCTION("GOOGLETRANSLATE(A6287,""bn"",""en"")"),"The business sector was growing")</f>
        <v>The business sector was growing</v>
      </c>
      <c r="D6287" s="5"/>
      <c r="E6287" s="5"/>
      <c r="F6287" s="5"/>
      <c r="G6287" s="5"/>
      <c r="H6287" s="5"/>
      <c r="I6287" s="5"/>
      <c r="J6287" s="5"/>
      <c r="K6287" s="5"/>
      <c r="L6287" s="5"/>
      <c r="M6287" s="5"/>
      <c r="N6287" s="5"/>
      <c r="O6287" s="5"/>
      <c r="P6287" s="5"/>
      <c r="Q6287" s="5"/>
      <c r="R6287" s="5"/>
      <c r="S6287" s="5"/>
      <c r="T6287" s="5"/>
      <c r="U6287" s="5"/>
      <c r="V6287" s="5"/>
      <c r="W6287" s="5"/>
      <c r="X6287" s="5"/>
      <c r="Y6287" s="5"/>
      <c r="Z6287" s="5"/>
    </row>
    <row r="6288" spans="1:26" ht="15" x14ac:dyDescent="0.25">
      <c r="A6288" s="4" t="s">
        <v>6286</v>
      </c>
      <c r="B6288" s="4" t="s">
        <v>4550</v>
      </c>
      <c r="C6288" s="2" t="str">
        <f ca="1">IFERROR(__xludf.DUMMYFUNCTION("GOOGLETRANSLATE(A6288,""bn"",""en"")"),"I turned on the GPS")</f>
        <v>I turned on the GPS</v>
      </c>
      <c r="D6288" s="5"/>
      <c r="E6288" s="5"/>
      <c r="F6288" s="5"/>
      <c r="G6288" s="5"/>
      <c r="H6288" s="5"/>
      <c r="I6288" s="5"/>
      <c r="J6288" s="5"/>
      <c r="K6288" s="5"/>
      <c r="L6288" s="5"/>
      <c r="M6288" s="5"/>
      <c r="N6288" s="5"/>
      <c r="O6288" s="5"/>
      <c r="P6288" s="5"/>
      <c r="Q6288" s="5"/>
      <c r="R6288" s="5"/>
      <c r="S6288" s="5"/>
      <c r="T6288" s="5"/>
      <c r="U6288" s="5"/>
      <c r="V6288" s="5"/>
      <c r="W6288" s="5"/>
      <c r="X6288" s="5"/>
      <c r="Y6288" s="5"/>
      <c r="Z6288" s="5"/>
    </row>
    <row r="6289" spans="1:26" ht="15" x14ac:dyDescent="0.25">
      <c r="A6289" s="4" t="s">
        <v>6287</v>
      </c>
      <c r="B6289" s="4" t="s">
        <v>4550</v>
      </c>
      <c r="C6289" s="2" t="str">
        <f ca="1">IFERROR(__xludf.DUMMYFUNCTION("GOOGLETRANSLATE(A6289,""bn"",""en"")"),"I wrote emails easily")</f>
        <v>I wrote emails easily</v>
      </c>
      <c r="D6289" s="5"/>
      <c r="E6289" s="5"/>
      <c r="F6289" s="5"/>
      <c r="G6289" s="5"/>
      <c r="H6289" s="5"/>
      <c r="I6289" s="5"/>
      <c r="J6289" s="5"/>
      <c r="K6289" s="5"/>
      <c r="L6289" s="5"/>
      <c r="M6289" s="5"/>
      <c r="N6289" s="5"/>
      <c r="O6289" s="5"/>
      <c r="P6289" s="5"/>
      <c r="Q6289" s="5"/>
      <c r="R6289" s="5"/>
      <c r="S6289" s="5"/>
      <c r="T6289" s="5"/>
      <c r="U6289" s="5"/>
      <c r="V6289" s="5"/>
      <c r="W6289" s="5"/>
      <c r="X6289" s="5"/>
      <c r="Y6289" s="5"/>
      <c r="Z6289" s="5"/>
    </row>
    <row r="6290" spans="1:26" ht="15" x14ac:dyDescent="0.25">
      <c r="A6290" s="4" t="s">
        <v>6288</v>
      </c>
      <c r="B6290" s="4" t="s">
        <v>4550</v>
      </c>
      <c r="C6290" s="2" t="str">
        <f ca="1">IFERROR(__xludf.DUMMYFUNCTION("GOOGLETRANSLATE(A6290,""bn"",""en"")"),"You were leading by example")</f>
        <v>You were leading by example</v>
      </c>
      <c r="D6290" s="5"/>
      <c r="E6290" s="5"/>
      <c r="F6290" s="5"/>
      <c r="G6290" s="5"/>
      <c r="H6290" s="5"/>
      <c r="I6290" s="5"/>
      <c r="J6290" s="5"/>
      <c r="K6290" s="5"/>
      <c r="L6290" s="5"/>
      <c r="M6290" s="5"/>
      <c r="N6290" s="5"/>
      <c r="O6290" s="5"/>
      <c r="P6290" s="5"/>
      <c r="Q6290" s="5"/>
      <c r="R6290" s="5"/>
      <c r="S6290" s="5"/>
      <c r="T6290" s="5"/>
      <c r="U6290" s="5"/>
      <c r="V6290" s="5"/>
      <c r="W6290" s="5"/>
      <c r="X6290" s="5"/>
      <c r="Y6290" s="5"/>
      <c r="Z6290" s="5"/>
    </row>
    <row r="6291" spans="1:26" ht="15" x14ac:dyDescent="0.25">
      <c r="A6291" s="4" t="s">
        <v>6289</v>
      </c>
      <c r="B6291" s="4" t="s">
        <v>4550</v>
      </c>
      <c r="C6291" s="2" t="str">
        <f ca="1">IFERROR(__xludf.DUMMYFUNCTION("GOOGLETRANSLATE(A6291,""bn"",""en"")"),"I wrote a blog in Bengali")</f>
        <v>I wrote a blog in Bengali</v>
      </c>
      <c r="D6291" s="5"/>
      <c r="E6291" s="5"/>
      <c r="F6291" s="5"/>
      <c r="G6291" s="5"/>
      <c r="H6291" s="5"/>
      <c r="I6291" s="5"/>
      <c r="J6291" s="5"/>
      <c r="K6291" s="5"/>
      <c r="L6291" s="5"/>
      <c r="M6291" s="5"/>
      <c r="N6291" s="5"/>
      <c r="O6291" s="5"/>
      <c r="P6291" s="5"/>
      <c r="Q6291" s="5"/>
      <c r="R6291" s="5"/>
      <c r="S6291" s="5"/>
      <c r="T6291" s="5"/>
      <c r="U6291" s="5"/>
      <c r="V6291" s="5"/>
      <c r="W6291" s="5"/>
      <c r="X6291" s="5"/>
      <c r="Y6291" s="5"/>
      <c r="Z6291" s="5"/>
    </row>
    <row r="6292" spans="1:26" ht="15" x14ac:dyDescent="0.25">
      <c r="A6292" s="4" t="s">
        <v>6290</v>
      </c>
      <c r="B6292" s="4" t="s">
        <v>4550</v>
      </c>
      <c r="C6292" s="2" t="str">
        <f ca="1">IFERROR(__xludf.DUMMYFUNCTION("GOOGLETRANSLATE(A6292,""bn"",""en"")"),"I came to open an account")</f>
        <v>I came to open an account</v>
      </c>
      <c r="D6292" s="5"/>
      <c r="E6292" s="5"/>
      <c r="F6292" s="5"/>
      <c r="G6292" s="5"/>
      <c r="H6292" s="5"/>
      <c r="I6292" s="5"/>
      <c r="J6292" s="5"/>
      <c r="K6292" s="5"/>
      <c r="L6292" s="5"/>
      <c r="M6292" s="5"/>
      <c r="N6292" s="5"/>
      <c r="O6292" s="5"/>
      <c r="P6292" s="5"/>
      <c r="Q6292" s="5"/>
      <c r="R6292" s="5"/>
      <c r="S6292" s="5"/>
      <c r="T6292" s="5"/>
      <c r="U6292" s="5"/>
      <c r="V6292" s="5"/>
      <c r="W6292" s="5"/>
      <c r="X6292" s="5"/>
      <c r="Y6292" s="5"/>
      <c r="Z6292" s="5"/>
    </row>
    <row r="6293" spans="1:26" ht="15" x14ac:dyDescent="0.25">
      <c r="A6293" s="4" t="s">
        <v>6291</v>
      </c>
      <c r="B6293" s="4" t="s">
        <v>4550</v>
      </c>
      <c r="C6293" s="2" t="str">
        <f ca="1">IFERROR(__xludf.DUMMYFUNCTION("GOOGLETRANSLATE(A6293,""bn"",""en"")"),"I didn't know how to use a smartphone")</f>
        <v>I didn't know how to use a smartphone</v>
      </c>
      <c r="D6293" s="5"/>
      <c r="E6293" s="5"/>
      <c r="F6293" s="5"/>
      <c r="G6293" s="5"/>
      <c r="H6293" s="5"/>
      <c r="I6293" s="5"/>
      <c r="J6293" s="5"/>
      <c r="K6293" s="5"/>
      <c r="L6293" s="5"/>
      <c r="M6293" s="5"/>
      <c r="N6293" s="5"/>
      <c r="O6293" s="5"/>
      <c r="P6293" s="5"/>
      <c r="Q6293" s="5"/>
      <c r="R6293" s="5"/>
      <c r="S6293" s="5"/>
      <c r="T6293" s="5"/>
      <c r="U6293" s="5"/>
      <c r="V6293" s="5"/>
      <c r="W6293" s="5"/>
      <c r="X6293" s="5"/>
      <c r="Y6293" s="5"/>
      <c r="Z6293" s="5"/>
    </row>
    <row r="6294" spans="1:26" ht="15" x14ac:dyDescent="0.25">
      <c r="A6294" s="4" t="s">
        <v>6292</v>
      </c>
      <c r="B6294" s="4" t="s">
        <v>4550</v>
      </c>
      <c r="C6294" s="2" t="str">
        <f ca="1">IFERROR(__xludf.DUMMYFUNCTION("GOOGLETRANSLATE(A6294,""bn"",""en"")"),"I called you using my smartphone")</f>
        <v>I called you using my smartphone</v>
      </c>
      <c r="D6294" s="5"/>
      <c r="E6294" s="5"/>
      <c r="F6294" s="5"/>
      <c r="G6294" s="5"/>
      <c r="H6294" s="5"/>
      <c r="I6294" s="5"/>
      <c r="J6294" s="5"/>
      <c r="K6294" s="5"/>
      <c r="L6294" s="5"/>
      <c r="M6294" s="5"/>
      <c r="N6294" s="5"/>
      <c r="O6294" s="5"/>
      <c r="P6294" s="5"/>
      <c r="Q6294" s="5"/>
      <c r="R6294" s="5"/>
      <c r="S6294" s="5"/>
      <c r="T6294" s="5"/>
      <c r="U6294" s="5"/>
      <c r="V6294" s="5"/>
      <c r="W6294" s="5"/>
      <c r="X6294" s="5"/>
      <c r="Y6294" s="5"/>
      <c r="Z6294" s="5"/>
    </row>
    <row r="6295" spans="1:26" ht="15" x14ac:dyDescent="0.25">
      <c r="A6295" s="4" t="s">
        <v>6293</v>
      </c>
      <c r="B6295" s="4" t="s">
        <v>4550</v>
      </c>
      <c r="C6295" s="2" t="str">
        <f ca="1">IFERROR(__xludf.DUMMYFUNCTION("GOOGLETRANSLATE(A6295,""bn"",""en"")"),"Travel was expensive")</f>
        <v>Travel was expensive</v>
      </c>
      <c r="D6295" s="5"/>
      <c r="E6295" s="5"/>
      <c r="F6295" s="5"/>
      <c r="G6295" s="5"/>
      <c r="H6295" s="5"/>
      <c r="I6295" s="5"/>
      <c r="J6295" s="5"/>
      <c r="K6295" s="5"/>
      <c r="L6295" s="5"/>
      <c r="M6295" s="5"/>
      <c r="N6295" s="5"/>
      <c r="O6295" s="5"/>
      <c r="P6295" s="5"/>
      <c r="Q6295" s="5"/>
      <c r="R6295" s="5"/>
      <c r="S6295" s="5"/>
      <c r="T6295" s="5"/>
      <c r="U6295" s="5"/>
      <c r="V6295" s="5"/>
      <c r="W6295" s="5"/>
      <c r="X6295" s="5"/>
      <c r="Y6295" s="5"/>
      <c r="Z6295" s="5"/>
    </row>
    <row r="6296" spans="1:26" ht="15" x14ac:dyDescent="0.25">
      <c r="A6296" s="4" t="s">
        <v>6294</v>
      </c>
      <c r="B6296" s="4" t="s">
        <v>4550</v>
      </c>
      <c r="C6296" s="2" t="str">
        <f ca="1">IFERROR(__xludf.DUMMYFUNCTION("GOOGLETRANSLATE(A6296,""bn"",""en"")"),"I couldn't take you because the trip was expensive")</f>
        <v>I couldn't take you because the trip was expensive</v>
      </c>
      <c r="D6296" s="5"/>
      <c r="E6296" s="5"/>
      <c r="F6296" s="5"/>
      <c r="G6296" s="5"/>
      <c r="H6296" s="5"/>
      <c r="I6296" s="5"/>
      <c r="J6296" s="5"/>
      <c r="K6296" s="5"/>
      <c r="L6296" s="5"/>
      <c r="M6296" s="5"/>
      <c r="N6296" s="5"/>
      <c r="O6296" s="5"/>
      <c r="P6296" s="5"/>
      <c r="Q6296" s="5"/>
      <c r="R6296" s="5"/>
      <c r="S6296" s="5"/>
      <c r="T6296" s="5"/>
      <c r="U6296" s="5"/>
      <c r="V6296" s="5"/>
      <c r="W6296" s="5"/>
      <c r="X6296" s="5"/>
      <c r="Y6296" s="5"/>
      <c r="Z6296" s="5"/>
    </row>
    <row r="6297" spans="1:26" ht="15" x14ac:dyDescent="0.25">
      <c r="A6297" s="4" t="s">
        <v>6295</v>
      </c>
      <c r="B6297" s="4" t="s">
        <v>4550</v>
      </c>
      <c r="C6297" s="2" t="str">
        <f ca="1">IFERROR(__xludf.DUMMYFUNCTION("GOOGLETRANSLATE(A6297,""bn"",""en"")"),"The parties took vows")</f>
        <v>The parties took vows</v>
      </c>
      <c r="D6297" s="5"/>
      <c r="E6297" s="5"/>
      <c r="F6297" s="5"/>
      <c r="G6297" s="5"/>
      <c r="H6297" s="5"/>
      <c r="I6297" s="5"/>
      <c r="J6297" s="5"/>
      <c r="K6297" s="5"/>
      <c r="L6297" s="5"/>
      <c r="M6297" s="5"/>
      <c r="N6297" s="5"/>
      <c r="O6297" s="5"/>
      <c r="P6297" s="5"/>
      <c r="Q6297" s="5"/>
      <c r="R6297" s="5"/>
      <c r="S6297" s="5"/>
      <c r="T6297" s="5"/>
      <c r="U6297" s="5"/>
      <c r="V6297" s="5"/>
      <c r="W6297" s="5"/>
      <c r="X6297" s="5"/>
      <c r="Y6297" s="5"/>
      <c r="Z6297" s="5"/>
    </row>
    <row r="6298" spans="1:26" ht="15" x14ac:dyDescent="0.25">
      <c r="A6298" s="4" t="s">
        <v>6296</v>
      </c>
      <c r="B6298" s="4" t="s">
        <v>4550</v>
      </c>
      <c r="C6298" s="2" t="str">
        <f ca="1">IFERROR(__xludf.DUMMYFUNCTION("GOOGLETRANSLATE(A6298,""bn"",""en"")"),"I used the internet")</f>
        <v>I used the internet</v>
      </c>
      <c r="D6298" s="5"/>
      <c r="E6298" s="5"/>
      <c r="F6298" s="5"/>
      <c r="G6298" s="5"/>
      <c r="H6298" s="5"/>
      <c r="I6298" s="5"/>
      <c r="J6298" s="5"/>
      <c r="K6298" s="5"/>
      <c r="L6298" s="5"/>
      <c r="M6298" s="5"/>
      <c r="N6298" s="5"/>
      <c r="O6298" s="5"/>
      <c r="P6298" s="5"/>
      <c r="Q6298" s="5"/>
      <c r="R6298" s="5"/>
      <c r="S6298" s="5"/>
      <c r="T6298" s="5"/>
      <c r="U6298" s="5"/>
      <c r="V6298" s="5"/>
      <c r="W6298" s="5"/>
      <c r="X6298" s="5"/>
      <c r="Y6298" s="5"/>
      <c r="Z6298" s="5"/>
    </row>
    <row r="6299" spans="1:26" ht="15" x14ac:dyDescent="0.25">
      <c r="A6299" s="4" t="s">
        <v>6297</v>
      </c>
      <c r="B6299" s="4" t="s">
        <v>4550</v>
      </c>
      <c r="C6299" s="2" t="str">
        <f ca="1">IFERROR(__xludf.DUMMYFUNCTION("GOOGLETRANSLATE(A6299,""bn"",""en"")"),"I exchanged messages")</f>
        <v>I exchanged messages</v>
      </c>
      <c r="D6299" s="5"/>
      <c r="E6299" s="5"/>
      <c r="F6299" s="5"/>
      <c r="G6299" s="5"/>
      <c r="H6299" s="5"/>
      <c r="I6299" s="5"/>
      <c r="J6299" s="5"/>
      <c r="K6299" s="5"/>
      <c r="L6299" s="5"/>
      <c r="M6299" s="5"/>
      <c r="N6299" s="5"/>
      <c r="O6299" s="5"/>
      <c r="P6299" s="5"/>
      <c r="Q6299" s="5"/>
      <c r="R6299" s="5"/>
      <c r="S6299" s="5"/>
      <c r="T6299" s="5"/>
      <c r="U6299" s="5"/>
      <c r="V6299" s="5"/>
      <c r="W6299" s="5"/>
      <c r="X6299" s="5"/>
      <c r="Y6299" s="5"/>
      <c r="Z6299" s="5"/>
    </row>
    <row r="6300" spans="1:26" ht="15" x14ac:dyDescent="0.25">
      <c r="A6300" s="4" t="s">
        <v>6298</v>
      </c>
      <c r="B6300" s="4" t="s">
        <v>4550</v>
      </c>
      <c r="C6300" s="2" t="str">
        <f ca="1">IFERROR(__xludf.DUMMYFUNCTION("GOOGLETRANSLATE(A6300,""bn"",""en"")"),"I was buying a laptop")</f>
        <v>I was buying a laptop</v>
      </c>
      <c r="D6300" s="5"/>
      <c r="E6300" s="5"/>
      <c r="F6300" s="5"/>
      <c r="G6300" s="5"/>
      <c r="H6300" s="5"/>
      <c r="I6300" s="5"/>
      <c r="J6300" s="5"/>
      <c r="K6300" s="5"/>
      <c r="L6300" s="5"/>
      <c r="M6300" s="5"/>
      <c r="N6300" s="5"/>
      <c r="O6300" s="5"/>
      <c r="P6300" s="5"/>
      <c r="Q6300" s="5"/>
      <c r="R6300" s="5"/>
      <c r="S6300" s="5"/>
      <c r="T6300" s="5"/>
      <c r="U6300" s="5"/>
      <c r="V6300" s="5"/>
      <c r="W6300" s="5"/>
      <c r="X6300" s="5"/>
      <c r="Y6300" s="5"/>
      <c r="Z6300" s="5"/>
    </row>
    <row r="6301" spans="1:26" ht="15" x14ac:dyDescent="0.25">
      <c r="A6301" s="4" t="s">
        <v>6299</v>
      </c>
      <c r="B6301" s="4" t="s">
        <v>4550</v>
      </c>
      <c r="C6301" s="2" t="str">
        <f ca="1">IFERROR(__xludf.DUMMYFUNCTION("GOOGLETRANSLATE(A6301,""bn"",""en"")"),"He had learned numbers")</f>
        <v>He had learned numbers</v>
      </c>
      <c r="D6301" s="5"/>
      <c r="E6301" s="5"/>
      <c r="F6301" s="5"/>
      <c r="G6301" s="5"/>
      <c r="H6301" s="5"/>
      <c r="I6301" s="5"/>
      <c r="J6301" s="5"/>
      <c r="K6301" s="5"/>
      <c r="L6301" s="5"/>
      <c r="M6301" s="5"/>
      <c r="N6301" s="5"/>
      <c r="O6301" s="5"/>
      <c r="P6301" s="5"/>
      <c r="Q6301" s="5"/>
      <c r="R6301" s="5"/>
      <c r="S6301" s="5"/>
      <c r="T6301" s="5"/>
      <c r="U6301" s="5"/>
      <c r="V6301" s="5"/>
      <c r="W6301" s="5"/>
      <c r="X6301" s="5"/>
      <c r="Y6301" s="5"/>
      <c r="Z6301" s="5"/>
    </row>
    <row r="6302" spans="1:26" ht="15" x14ac:dyDescent="0.25">
      <c r="A6302" s="4" t="s">
        <v>6300</v>
      </c>
      <c r="B6302" s="4" t="s">
        <v>4550</v>
      </c>
      <c r="C6302" s="2" t="str">
        <f ca="1">IFERROR(__xludf.DUMMYFUNCTION("GOOGLETRANSLATE(A6302,""bn"",""en"")"),"I deposited the money")</f>
        <v>I deposited the money</v>
      </c>
      <c r="D6302" s="5"/>
      <c r="E6302" s="5"/>
      <c r="F6302" s="5"/>
      <c r="G6302" s="5"/>
      <c r="H6302" s="5"/>
      <c r="I6302" s="5"/>
      <c r="J6302" s="5"/>
      <c r="K6302" s="5"/>
      <c r="L6302" s="5"/>
      <c r="M6302" s="5"/>
      <c r="N6302" s="5"/>
      <c r="O6302" s="5"/>
      <c r="P6302" s="5"/>
      <c r="Q6302" s="5"/>
      <c r="R6302" s="5"/>
      <c r="S6302" s="5"/>
      <c r="T6302" s="5"/>
      <c r="U6302" s="5"/>
      <c r="V6302" s="5"/>
      <c r="W6302" s="5"/>
      <c r="X6302" s="5"/>
      <c r="Y6302" s="5"/>
      <c r="Z6302" s="5"/>
    </row>
    <row r="6303" spans="1:26" ht="15" x14ac:dyDescent="0.25">
      <c r="A6303" s="4" t="s">
        <v>6301</v>
      </c>
      <c r="B6303" s="4" t="s">
        <v>4550</v>
      </c>
      <c r="C6303" s="2" t="str">
        <f ca="1">IFERROR(__xludf.DUMMYFUNCTION("GOOGLETRANSLATE(A6303,""bn"",""en"")"),"I suffered in my student life")</f>
        <v>I suffered in my student life</v>
      </c>
      <c r="D6303" s="5"/>
      <c r="E6303" s="5"/>
      <c r="F6303" s="5"/>
      <c r="G6303" s="5"/>
      <c r="H6303" s="5"/>
      <c r="I6303" s="5"/>
      <c r="J6303" s="5"/>
      <c r="K6303" s="5"/>
      <c r="L6303" s="5"/>
      <c r="M6303" s="5"/>
      <c r="N6303" s="5"/>
      <c r="O6303" s="5"/>
      <c r="P6303" s="5"/>
      <c r="Q6303" s="5"/>
      <c r="R6303" s="5"/>
      <c r="S6303" s="5"/>
      <c r="T6303" s="5"/>
      <c r="U6303" s="5"/>
      <c r="V6303" s="5"/>
      <c r="W6303" s="5"/>
      <c r="X6303" s="5"/>
      <c r="Y6303" s="5"/>
      <c r="Z6303" s="5"/>
    </row>
    <row r="6304" spans="1:26" ht="15" x14ac:dyDescent="0.25">
      <c r="A6304" s="4" t="s">
        <v>6302</v>
      </c>
      <c r="B6304" s="4" t="s">
        <v>4550</v>
      </c>
      <c r="C6304" s="2" t="str">
        <f ca="1">IFERROR(__xludf.DUMMYFUNCTION("GOOGLETRANSLATE(A6304,""bn"",""en"")"),"I was teaching street children")</f>
        <v>I was teaching street children</v>
      </c>
      <c r="D6304" s="5"/>
      <c r="E6304" s="5"/>
      <c r="F6304" s="5"/>
      <c r="G6304" s="5"/>
      <c r="H6304" s="5"/>
      <c r="I6304" s="5"/>
      <c r="J6304" s="5"/>
      <c r="K6304" s="5"/>
      <c r="L6304" s="5"/>
      <c r="M6304" s="5"/>
      <c r="N6304" s="5"/>
      <c r="O6304" s="5"/>
      <c r="P6304" s="5"/>
      <c r="Q6304" s="5"/>
      <c r="R6304" s="5"/>
      <c r="S6304" s="5"/>
      <c r="T6304" s="5"/>
      <c r="U6304" s="5"/>
      <c r="V6304" s="5"/>
      <c r="W6304" s="5"/>
      <c r="X6304" s="5"/>
      <c r="Y6304" s="5"/>
      <c r="Z6304" s="5"/>
    </row>
    <row r="6305" spans="1:26" ht="15" x14ac:dyDescent="0.25">
      <c r="A6305" s="4" t="s">
        <v>6303</v>
      </c>
      <c r="B6305" s="4" t="s">
        <v>4550</v>
      </c>
      <c r="C6305" s="2" t="str">
        <f ca="1">IFERROR(__xludf.DUMMYFUNCTION("GOOGLETRANSLATE(A6305,""bn"",""en"")"),"Rita was studying")</f>
        <v>Rita was studying</v>
      </c>
      <c r="D6305" s="5"/>
      <c r="E6305" s="5"/>
      <c r="F6305" s="5"/>
      <c r="G6305" s="5"/>
      <c r="H6305" s="5"/>
      <c r="I6305" s="5"/>
      <c r="J6305" s="5"/>
      <c r="K6305" s="5"/>
      <c r="L6305" s="5"/>
      <c r="M6305" s="5"/>
      <c r="N6305" s="5"/>
      <c r="O6305" s="5"/>
      <c r="P6305" s="5"/>
      <c r="Q6305" s="5"/>
      <c r="R6305" s="5"/>
      <c r="S6305" s="5"/>
      <c r="T6305" s="5"/>
      <c r="U6305" s="5"/>
      <c r="V6305" s="5"/>
      <c r="W6305" s="5"/>
      <c r="X6305" s="5"/>
      <c r="Y6305" s="5"/>
      <c r="Z6305" s="5"/>
    </row>
    <row r="6306" spans="1:26" ht="15" x14ac:dyDescent="0.25">
      <c r="A6306" s="4" t="s">
        <v>6304</v>
      </c>
      <c r="B6306" s="4" t="s">
        <v>4550</v>
      </c>
      <c r="C6306" s="2" t="str">
        <f ca="1">IFERROR(__xludf.DUMMYFUNCTION("GOOGLETRANSLATE(A6306,""bn"",""en"")"),"Liked the gadget")</f>
        <v>Liked the gadget</v>
      </c>
      <c r="D6306" s="5"/>
      <c r="E6306" s="5"/>
      <c r="F6306" s="5"/>
      <c r="G6306" s="5"/>
      <c r="H6306" s="5"/>
      <c r="I6306" s="5"/>
      <c r="J6306" s="5"/>
      <c r="K6306" s="5"/>
      <c r="L6306" s="5"/>
      <c r="M6306" s="5"/>
      <c r="N6306" s="5"/>
      <c r="O6306" s="5"/>
      <c r="P6306" s="5"/>
      <c r="Q6306" s="5"/>
      <c r="R6306" s="5"/>
      <c r="S6306" s="5"/>
      <c r="T6306" s="5"/>
      <c r="U6306" s="5"/>
      <c r="V6306" s="5"/>
      <c r="W6306" s="5"/>
      <c r="X6306" s="5"/>
      <c r="Y6306" s="5"/>
      <c r="Z6306" s="5"/>
    </row>
    <row r="6307" spans="1:26" ht="15" x14ac:dyDescent="0.25">
      <c r="A6307" s="4" t="s">
        <v>6305</v>
      </c>
      <c r="B6307" s="4" t="s">
        <v>4550</v>
      </c>
      <c r="C6307" s="2" t="str">
        <f ca="1">IFERROR(__xludf.DUMMYFUNCTION("GOOGLETRANSLATE(A6307,""bn"",""en"")"),"I bought Pesaka online")</f>
        <v>I bought Pesaka online</v>
      </c>
      <c r="D6307" s="5"/>
      <c r="E6307" s="5"/>
      <c r="F6307" s="5"/>
      <c r="G6307" s="5"/>
      <c r="H6307" s="5"/>
      <c r="I6307" s="5"/>
      <c r="J6307" s="5"/>
      <c r="K6307" s="5"/>
      <c r="L6307" s="5"/>
      <c r="M6307" s="5"/>
      <c r="N6307" s="5"/>
      <c r="O6307" s="5"/>
      <c r="P6307" s="5"/>
      <c r="Q6307" s="5"/>
      <c r="R6307" s="5"/>
      <c r="S6307" s="5"/>
      <c r="T6307" s="5"/>
      <c r="U6307" s="5"/>
      <c r="V6307" s="5"/>
      <c r="W6307" s="5"/>
      <c r="X6307" s="5"/>
      <c r="Y6307" s="5"/>
      <c r="Z6307" s="5"/>
    </row>
    <row r="6308" spans="1:26" ht="15" x14ac:dyDescent="0.25">
      <c r="A6308" s="4" t="s">
        <v>6306</v>
      </c>
      <c r="B6308" s="4" t="s">
        <v>4550</v>
      </c>
      <c r="C6308" s="2" t="str">
        <f ca="1">IFERROR(__xludf.DUMMYFUNCTION("GOOGLETRANSLATE(A6308,""bn"",""en"")"),"I was getting success in hard work")</f>
        <v>I was getting success in hard work</v>
      </c>
      <c r="D6308" s="5"/>
      <c r="E6308" s="5"/>
      <c r="F6308" s="5"/>
      <c r="G6308" s="5"/>
      <c r="H6308" s="5"/>
      <c r="I6308" s="5"/>
      <c r="J6308" s="5"/>
      <c r="K6308" s="5"/>
      <c r="L6308" s="5"/>
      <c r="M6308" s="5"/>
      <c r="N6308" s="5"/>
      <c r="O6308" s="5"/>
      <c r="P6308" s="5"/>
      <c r="Q6308" s="5"/>
      <c r="R6308" s="5"/>
      <c r="S6308" s="5"/>
      <c r="T6308" s="5"/>
      <c r="U6308" s="5"/>
      <c r="V6308" s="5"/>
      <c r="W6308" s="5"/>
      <c r="X6308" s="5"/>
      <c r="Y6308" s="5"/>
      <c r="Z6308" s="5"/>
    </row>
    <row r="6309" spans="1:26" ht="15" x14ac:dyDescent="0.25">
      <c r="A6309" s="4" t="s">
        <v>6307</v>
      </c>
      <c r="B6309" s="4" t="s">
        <v>4550</v>
      </c>
      <c r="C6309" s="2" t="str">
        <f ca="1">IFERROR(__xludf.DUMMYFUNCTION("GOOGLETRANSLATE(A6309,""bn"",""en"")"),"I was reading history")</f>
        <v>I was reading history</v>
      </c>
      <c r="D6309" s="5"/>
      <c r="E6309" s="5"/>
      <c r="F6309" s="5"/>
      <c r="G6309" s="5"/>
      <c r="H6309" s="5"/>
      <c r="I6309" s="5"/>
      <c r="J6309" s="5"/>
      <c r="K6309" s="5"/>
      <c r="L6309" s="5"/>
      <c r="M6309" s="5"/>
      <c r="N6309" s="5"/>
      <c r="O6309" s="5"/>
      <c r="P6309" s="5"/>
      <c r="Q6309" s="5"/>
      <c r="R6309" s="5"/>
      <c r="S6309" s="5"/>
      <c r="T6309" s="5"/>
      <c r="U6309" s="5"/>
      <c r="V6309" s="5"/>
      <c r="W6309" s="5"/>
      <c r="X6309" s="5"/>
      <c r="Y6309" s="5"/>
      <c r="Z6309" s="5"/>
    </row>
    <row r="6310" spans="1:26" ht="15" x14ac:dyDescent="0.25">
      <c r="A6310" s="4" t="s">
        <v>6308</v>
      </c>
      <c r="B6310" s="4" t="s">
        <v>4550</v>
      </c>
      <c r="C6310" s="2" t="str">
        <f ca="1">IFERROR(__xludf.DUMMYFUNCTION("GOOGLETRANSLATE(A6310,""bn"",""en"")"),"I got a home loan")</f>
        <v>I got a home loan</v>
      </c>
      <c r="D6310" s="5"/>
      <c r="E6310" s="5"/>
      <c r="F6310" s="5"/>
      <c r="G6310" s="5"/>
      <c r="H6310" s="5"/>
      <c r="I6310" s="5"/>
      <c r="J6310" s="5"/>
      <c r="K6310" s="5"/>
      <c r="L6310" s="5"/>
      <c r="M6310" s="5"/>
      <c r="N6310" s="5"/>
      <c r="O6310" s="5"/>
      <c r="P6310" s="5"/>
      <c r="Q6310" s="5"/>
      <c r="R6310" s="5"/>
      <c r="S6310" s="5"/>
      <c r="T6310" s="5"/>
      <c r="U6310" s="5"/>
      <c r="V6310" s="5"/>
      <c r="W6310" s="5"/>
      <c r="X6310" s="5"/>
      <c r="Y6310" s="5"/>
      <c r="Z6310" s="5"/>
    </row>
    <row r="6311" spans="1:26" ht="15" x14ac:dyDescent="0.25">
      <c r="A6311" s="4" t="s">
        <v>6309</v>
      </c>
      <c r="B6311" s="4" t="s">
        <v>4550</v>
      </c>
      <c r="C6311" s="2" t="str">
        <f ca="1">IFERROR(__xludf.DUMMYFUNCTION("GOOGLETRANSLATE(A6311,""bn"",""en"")"),"The government was giving the project")</f>
        <v>The government was giving the project</v>
      </c>
      <c r="D6311" s="5"/>
      <c r="E6311" s="5"/>
      <c r="F6311" s="5"/>
      <c r="G6311" s="5"/>
      <c r="H6311" s="5"/>
      <c r="I6311" s="5"/>
      <c r="J6311" s="5"/>
      <c r="K6311" s="5"/>
      <c r="L6311" s="5"/>
      <c r="M6311" s="5"/>
      <c r="N6311" s="5"/>
      <c r="O6311" s="5"/>
      <c r="P6311" s="5"/>
      <c r="Q6311" s="5"/>
      <c r="R6311" s="5"/>
      <c r="S6311" s="5"/>
      <c r="T6311" s="5"/>
      <c r="U6311" s="5"/>
      <c r="V6311" s="5"/>
      <c r="W6311" s="5"/>
      <c r="X6311" s="5"/>
      <c r="Y6311" s="5"/>
      <c r="Z6311" s="5"/>
    </row>
    <row r="6312" spans="1:26" ht="15" x14ac:dyDescent="0.25">
      <c r="A6312" s="4" t="s">
        <v>6310</v>
      </c>
      <c r="B6312" s="4" t="s">
        <v>4550</v>
      </c>
      <c r="C6312" s="2" t="str">
        <f ca="1">IFERROR(__xludf.DUMMYFUNCTION("GOOGLETRANSLATE(A6312,""bn"",""en"")"),"I took a picture with the camera")</f>
        <v>I took a picture with the camera</v>
      </c>
      <c r="D6312" s="5"/>
      <c r="E6312" s="5"/>
      <c r="F6312" s="5"/>
      <c r="G6312" s="5"/>
      <c r="H6312" s="5"/>
      <c r="I6312" s="5"/>
      <c r="J6312" s="5"/>
      <c r="K6312" s="5"/>
      <c r="L6312" s="5"/>
      <c r="M6312" s="5"/>
      <c r="N6312" s="5"/>
      <c r="O6312" s="5"/>
      <c r="P6312" s="5"/>
      <c r="Q6312" s="5"/>
      <c r="R6312" s="5"/>
      <c r="S6312" s="5"/>
      <c r="T6312" s="5"/>
      <c r="U6312" s="5"/>
      <c r="V6312" s="5"/>
      <c r="W6312" s="5"/>
      <c r="X6312" s="5"/>
      <c r="Y6312" s="5"/>
      <c r="Z6312" s="5"/>
    </row>
    <row r="6313" spans="1:26" ht="15" x14ac:dyDescent="0.25">
      <c r="A6313" s="4" t="s">
        <v>6311</v>
      </c>
      <c r="B6313" s="4" t="s">
        <v>4550</v>
      </c>
      <c r="C6313" s="2" t="str">
        <f ca="1">IFERROR(__xludf.DUMMYFUNCTION("GOOGLETRANSLATE(A6313,""bn"",""en"")"),"Wanted to improve")</f>
        <v>Wanted to improve</v>
      </c>
      <c r="D6313" s="5"/>
      <c r="E6313" s="5"/>
      <c r="F6313" s="5"/>
      <c r="G6313" s="5"/>
      <c r="H6313" s="5"/>
      <c r="I6313" s="5"/>
      <c r="J6313" s="5"/>
      <c r="K6313" s="5"/>
      <c r="L6313" s="5"/>
      <c r="M6313" s="5"/>
      <c r="N6313" s="5"/>
      <c r="O6313" s="5"/>
      <c r="P6313" s="5"/>
      <c r="Q6313" s="5"/>
      <c r="R6313" s="5"/>
      <c r="S6313" s="5"/>
      <c r="T6313" s="5"/>
      <c r="U6313" s="5"/>
      <c r="V6313" s="5"/>
      <c r="W6313" s="5"/>
      <c r="X6313" s="5"/>
      <c r="Y6313" s="5"/>
      <c r="Z6313" s="5"/>
    </row>
    <row r="6314" spans="1:26" ht="15" x14ac:dyDescent="0.25">
      <c r="A6314" s="4" t="s">
        <v>6312</v>
      </c>
      <c r="B6314" s="4" t="s">
        <v>4550</v>
      </c>
      <c r="C6314" s="2" t="str">
        <f ca="1">IFERROR(__xludf.DUMMYFUNCTION("GOOGLETRANSLATE(A6314,""bn"",""en"")"),"I withdrew money")</f>
        <v>I withdrew money</v>
      </c>
      <c r="D6314" s="5"/>
      <c r="E6314" s="5"/>
      <c r="F6314" s="5"/>
      <c r="G6314" s="5"/>
      <c r="H6314" s="5"/>
      <c r="I6314" s="5"/>
      <c r="J6314" s="5"/>
      <c r="K6314" s="5"/>
      <c r="L6314" s="5"/>
      <c r="M6314" s="5"/>
      <c r="N6314" s="5"/>
      <c r="O6314" s="5"/>
      <c r="P6314" s="5"/>
      <c r="Q6314" s="5"/>
      <c r="R6314" s="5"/>
      <c r="S6314" s="5"/>
      <c r="T6314" s="5"/>
      <c r="U6314" s="5"/>
      <c r="V6314" s="5"/>
      <c r="W6314" s="5"/>
      <c r="X6314" s="5"/>
      <c r="Y6314" s="5"/>
      <c r="Z6314" s="5"/>
    </row>
    <row r="6315" spans="1:26" ht="15" x14ac:dyDescent="0.25">
      <c r="A6315" s="4" t="s">
        <v>6313</v>
      </c>
      <c r="B6315" s="4" t="s">
        <v>4550</v>
      </c>
      <c r="C6315" s="2" t="str">
        <f ca="1">IFERROR(__xludf.DUMMYFUNCTION("GOOGLETRANSLATE(A6315,""bn"",""en"")"),"I visited the bank")</f>
        <v>I visited the bank</v>
      </c>
      <c r="D6315" s="5"/>
      <c r="E6315" s="5"/>
      <c r="F6315" s="5"/>
      <c r="G6315" s="5"/>
      <c r="H6315" s="5"/>
      <c r="I6315" s="5"/>
      <c r="J6315" s="5"/>
      <c r="K6315" s="5"/>
      <c r="L6315" s="5"/>
      <c r="M6315" s="5"/>
      <c r="N6315" s="5"/>
      <c r="O6315" s="5"/>
      <c r="P6315" s="5"/>
      <c r="Q6315" s="5"/>
      <c r="R6315" s="5"/>
      <c r="S6315" s="5"/>
      <c r="T6315" s="5"/>
      <c r="U6315" s="5"/>
      <c r="V6315" s="5"/>
      <c r="W6315" s="5"/>
      <c r="X6315" s="5"/>
      <c r="Y6315" s="5"/>
      <c r="Z6315" s="5"/>
    </row>
    <row r="6316" spans="1:26" ht="15" x14ac:dyDescent="0.25">
      <c r="A6316" s="4" t="s">
        <v>6314</v>
      </c>
      <c r="B6316" s="4" t="s">
        <v>4550</v>
      </c>
      <c r="C6316" s="2" t="str">
        <f ca="1">IFERROR(__xludf.DUMMYFUNCTION("GOOGLETRANSLATE(A6316,""bn"",""en"")"),"Revenue increased")</f>
        <v>Revenue increased</v>
      </c>
      <c r="D6316" s="5"/>
      <c r="E6316" s="5"/>
      <c r="F6316" s="5"/>
      <c r="G6316" s="5"/>
      <c r="H6316" s="5"/>
      <c r="I6316" s="5"/>
      <c r="J6316" s="5"/>
      <c r="K6316" s="5"/>
      <c r="L6316" s="5"/>
      <c r="M6316" s="5"/>
      <c r="N6316" s="5"/>
      <c r="O6316" s="5"/>
      <c r="P6316" s="5"/>
      <c r="Q6316" s="5"/>
      <c r="R6316" s="5"/>
      <c r="S6316" s="5"/>
      <c r="T6316" s="5"/>
      <c r="U6316" s="5"/>
      <c r="V6316" s="5"/>
      <c r="W6316" s="5"/>
      <c r="X6316" s="5"/>
      <c r="Y6316" s="5"/>
      <c r="Z6316" s="5"/>
    </row>
    <row r="6317" spans="1:26" ht="15" x14ac:dyDescent="0.25">
      <c r="A6317" s="4" t="s">
        <v>6315</v>
      </c>
      <c r="B6317" s="4" t="s">
        <v>4550</v>
      </c>
      <c r="C6317" s="2" t="str">
        <f ca="1">IFERROR(__xludf.DUMMYFUNCTION("GOOGLETRANSLATE(A6317,""bn"",""en"")"),"I took travel training")</f>
        <v>I took travel training</v>
      </c>
      <c r="D6317" s="5"/>
      <c r="E6317" s="5"/>
      <c r="F6317" s="5"/>
      <c r="G6317" s="5"/>
      <c r="H6317" s="5"/>
      <c r="I6317" s="5"/>
      <c r="J6317" s="5"/>
      <c r="K6317" s="5"/>
      <c r="L6317" s="5"/>
      <c r="M6317" s="5"/>
      <c r="N6317" s="5"/>
      <c r="O6317" s="5"/>
      <c r="P6317" s="5"/>
      <c r="Q6317" s="5"/>
      <c r="R6317" s="5"/>
      <c r="S6317" s="5"/>
      <c r="T6317" s="5"/>
      <c r="U6317" s="5"/>
      <c r="V6317" s="5"/>
      <c r="W6317" s="5"/>
      <c r="X6317" s="5"/>
      <c r="Y6317" s="5"/>
      <c r="Z6317" s="5"/>
    </row>
    <row r="6318" spans="1:26" ht="15" x14ac:dyDescent="0.25">
      <c r="A6318" s="4" t="s">
        <v>6316</v>
      </c>
      <c r="B6318" s="4" t="s">
        <v>4550</v>
      </c>
      <c r="C6318" s="2" t="str">
        <f ca="1">IFERROR(__xludf.DUMMYFUNCTION("GOOGLETRANSLATE(A6318,""bn"",""en"")"),"Economic growth was happening")</f>
        <v>Economic growth was happening</v>
      </c>
      <c r="D6318" s="5"/>
      <c r="E6318" s="5"/>
      <c r="F6318" s="5"/>
      <c r="G6318" s="5"/>
      <c r="H6318" s="5"/>
      <c r="I6318" s="5"/>
      <c r="J6318" s="5"/>
      <c r="K6318" s="5"/>
      <c r="L6318" s="5"/>
      <c r="M6318" s="5"/>
      <c r="N6318" s="5"/>
      <c r="O6318" s="5"/>
      <c r="P6318" s="5"/>
      <c r="Q6318" s="5"/>
      <c r="R6318" s="5"/>
      <c r="S6318" s="5"/>
      <c r="T6318" s="5"/>
      <c r="U6318" s="5"/>
      <c r="V6318" s="5"/>
      <c r="W6318" s="5"/>
      <c r="X6318" s="5"/>
      <c r="Y6318" s="5"/>
      <c r="Z6318" s="5"/>
    </row>
    <row r="6319" spans="1:26" ht="15" x14ac:dyDescent="0.25">
      <c r="A6319" s="4" t="s">
        <v>6317</v>
      </c>
      <c r="B6319" s="4" t="s">
        <v>4550</v>
      </c>
      <c r="C6319" s="2" t="str">
        <f ca="1">IFERROR(__xludf.DUMMYFUNCTION("GOOGLETRANSLATE(A6319,""bn"",""en"")"),"I worked in banking")</f>
        <v>I worked in banking</v>
      </c>
      <c r="D6319" s="5"/>
      <c r="E6319" s="5"/>
      <c r="F6319" s="5"/>
      <c r="G6319" s="5"/>
      <c r="H6319" s="5"/>
      <c r="I6319" s="5"/>
      <c r="J6319" s="5"/>
      <c r="K6319" s="5"/>
      <c r="L6319" s="5"/>
      <c r="M6319" s="5"/>
      <c r="N6319" s="5"/>
      <c r="O6319" s="5"/>
      <c r="P6319" s="5"/>
      <c r="Q6319" s="5"/>
      <c r="R6319" s="5"/>
      <c r="S6319" s="5"/>
      <c r="T6319" s="5"/>
      <c r="U6319" s="5"/>
      <c r="V6319" s="5"/>
      <c r="W6319" s="5"/>
      <c r="X6319" s="5"/>
      <c r="Y6319" s="5"/>
      <c r="Z6319" s="5"/>
    </row>
    <row r="6320" spans="1:26" ht="15" x14ac:dyDescent="0.25">
      <c r="A6320" s="4" t="s">
        <v>6318</v>
      </c>
      <c r="B6320" s="4" t="s">
        <v>4550</v>
      </c>
      <c r="C6320" s="2" t="str">
        <f ca="1">IFERROR(__xludf.DUMMYFUNCTION("GOOGLETRANSLATE(A6320,""bn"",""en"")"),"I wanted to do business")</f>
        <v>I wanted to do business</v>
      </c>
      <c r="D6320" s="5"/>
      <c r="E6320" s="5"/>
      <c r="F6320" s="5"/>
      <c r="G6320" s="5"/>
      <c r="H6320" s="5"/>
      <c r="I6320" s="5"/>
      <c r="J6320" s="5"/>
      <c r="K6320" s="5"/>
      <c r="L6320" s="5"/>
      <c r="M6320" s="5"/>
      <c r="N6320" s="5"/>
      <c r="O6320" s="5"/>
      <c r="P6320" s="5"/>
      <c r="Q6320" s="5"/>
      <c r="R6320" s="5"/>
      <c r="S6320" s="5"/>
      <c r="T6320" s="5"/>
      <c r="U6320" s="5"/>
      <c r="V6320" s="5"/>
      <c r="W6320" s="5"/>
      <c r="X6320" s="5"/>
      <c r="Y6320" s="5"/>
      <c r="Z6320" s="5"/>
    </row>
    <row r="6321" spans="1:26" ht="15" x14ac:dyDescent="0.25">
      <c r="A6321" s="4" t="s">
        <v>6319</v>
      </c>
      <c r="B6321" s="4" t="s">
        <v>4550</v>
      </c>
      <c r="C6321" s="2" t="str">
        <f ca="1">IFERROR(__xludf.DUMMYFUNCTION("GOOGLETRANSLATE(A6321,""bn"",""en"")"),"I maintained order")</f>
        <v>I maintained order</v>
      </c>
      <c r="D6321" s="5"/>
      <c r="E6321" s="5"/>
      <c r="F6321" s="5"/>
      <c r="G6321" s="5"/>
      <c r="H6321" s="5"/>
      <c r="I6321" s="5"/>
      <c r="J6321" s="5"/>
      <c r="K6321" s="5"/>
      <c r="L6321" s="5"/>
      <c r="M6321" s="5"/>
      <c r="N6321" s="5"/>
      <c r="O6321" s="5"/>
      <c r="P6321" s="5"/>
      <c r="Q6321" s="5"/>
      <c r="R6321" s="5"/>
      <c r="S6321" s="5"/>
      <c r="T6321" s="5"/>
      <c r="U6321" s="5"/>
      <c r="V6321" s="5"/>
      <c r="W6321" s="5"/>
      <c r="X6321" s="5"/>
      <c r="Y6321" s="5"/>
      <c r="Z6321" s="5"/>
    </row>
    <row r="6322" spans="1:26" ht="15" x14ac:dyDescent="0.25">
      <c r="A6322" s="4" t="s">
        <v>6320</v>
      </c>
      <c r="B6322" s="4" t="s">
        <v>4550</v>
      </c>
      <c r="C6322" s="2" t="str">
        <f ca="1">IFERROR(__xludf.DUMMYFUNCTION("GOOGLETRANSLATE(A6322,""bn"",""en"")"),"I was using smart tv")</f>
        <v>I was using smart tv</v>
      </c>
      <c r="D6322" s="5"/>
      <c r="E6322" s="5"/>
      <c r="F6322" s="5"/>
      <c r="G6322" s="5"/>
      <c r="H6322" s="5"/>
      <c r="I6322" s="5"/>
      <c r="J6322" s="5"/>
      <c r="K6322" s="5"/>
      <c r="L6322" s="5"/>
      <c r="M6322" s="5"/>
      <c r="N6322" s="5"/>
      <c r="O6322" s="5"/>
      <c r="P6322" s="5"/>
      <c r="Q6322" s="5"/>
      <c r="R6322" s="5"/>
      <c r="S6322" s="5"/>
      <c r="T6322" s="5"/>
      <c r="U6322" s="5"/>
      <c r="V6322" s="5"/>
      <c r="W6322" s="5"/>
      <c r="X6322" s="5"/>
      <c r="Y6322" s="5"/>
      <c r="Z6322" s="5"/>
    </row>
    <row r="6323" spans="1:26" ht="15" x14ac:dyDescent="0.25">
      <c r="A6323" s="4" t="s">
        <v>6321</v>
      </c>
      <c r="B6323" s="4" t="s">
        <v>4550</v>
      </c>
      <c r="C6323" s="2" t="str">
        <f ca="1">IFERROR(__xludf.DUMMYFUNCTION("GOOGLETRANSLATE(A6323,""bn"",""en"")"),"You read history")</f>
        <v>You read history</v>
      </c>
      <c r="D6323" s="5"/>
      <c r="E6323" s="5"/>
      <c r="F6323" s="5"/>
      <c r="G6323" s="5"/>
      <c r="H6323" s="5"/>
      <c r="I6323" s="5"/>
      <c r="J6323" s="5"/>
      <c r="K6323" s="5"/>
      <c r="L6323" s="5"/>
      <c r="M6323" s="5"/>
      <c r="N6323" s="5"/>
      <c r="O6323" s="5"/>
      <c r="P6323" s="5"/>
      <c r="Q6323" s="5"/>
      <c r="R6323" s="5"/>
      <c r="S6323" s="5"/>
      <c r="T6323" s="5"/>
      <c r="U6323" s="5"/>
      <c r="V6323" s="5"/>
      <c r="W6323" s="5"/>
      <c r="X6323" s="5"/>
      <c r="Y6323" s="5"/>
      <c r="Z6323" s="5"/>
    </row>
    <row r="6324" spans="1:26" ht="15" x14ac:dyDescent="0.25">
      <c r="A6324" s="4" t="s">
        <v>6322</v>
      </c>
      <c r="B6324" s="4" t="s">
        <v>4550</v>
      </c>
      <c r="C6324" s="2" t="str">
        <f ca="1">IFERROR(__xludf.DUMMYFUNCTION("GOOGLETRANSLATE(A6324,""bn"",""en"")"),"You read history with him")</f>
        <v>You read history with him</v>
      </c>
      <c r="D6324" s="5"/>
      <c r="E6324" s="5"/>
      <c r="F6324" s="5"/>
      <c r="G6324" s="5"/>
      <c r="H6324" s="5"/>
      <c r="I6324" s="5"/>
      <c r="J6324" s="5"/>
      <c r="K6324" s="5"/>
      <c r="L6324" s="5"/>
      <c r="M6324" s="5"/>
      <c r="N6324" s="5"/>
      <c r="O6324" s="5"/>
      <c r="P6324" s="5"/>
      <c r="Q6324" s="5"/>
      <c r="R6324" s="5"/>
      <c r="S6324" s="5"/>
      <c r="T6324" s="5"/>
      <c r="U6324" s="5"/>
      <c r="V6324" s="5"/>
      <c r="W6324" s="5"/>
      <c r="X6324" s="5"/>
      <c r="Y6324" s="5"/>
      <c r="Z6324" s="5"/>
    </row>
    <row r="6325" spans="1:26" ht="15" x14ac:dyDescent="0.25">
      <c r="A6325" s="4" t="s">
        <v>6323</v>
      </c>
      <c r="B6325" s="4" t="s">
        <v>4550</v>
      </c>
      <c r="C6325" s="2" t="str">
        <f ca="1">IFERROR(__xludf.DUMMYFUNCTION("GOOGLETRANSLATE(A6325,""bn"",""en"")"),"Students were reading stories")</f>
        <v>Students were reading stories</v>
      </c>
      <c r="D6325" s="5"/>
      <c r="E6325" s="5"/>
      <c r="F6325" s="5"/>
      <c r="G6325" s="5"/>
      <c r="H6325" s="5"/>
      <c r="I6325" s="5"/>
      <c r="J6325" s="5"/>
      <c r="K6325" s="5"/>
      <c r="L6325" s="5"/>
      <c r="M6325" s="5"/>
      <c r="N6325" s="5"/>
      <c r="O6325" s="5"/>
      <c r="P6325" s="5"/>
      <c r="Q6325" s="5"/>
      <c r="R6325" s="5"/>
      <c r="S6325" s="5"/>
      <c r="T6325" s="5"/>
      <c r="U6325" s="5"/>
      <c r="V6325" s="5"/>
      <c r="W6325" s="5"/>
      <c r="X6325" s="5"/>
      <c r="Y6325" s="5"/>
      <c r="Z6325" s="5"/>
    </row>
    <row r="6326" spans="1:26" ht="15" x14ac:dyDescent="0.25">
      <c r="A6326" s="4" t="s">
        <v>6324</v>
      </c>
      <c r="B6326" s="4" t="s">
        <v>4550</v>
      </c>
      <c r="C6326" s="2" t="str">
        <f ca="1">IFERROR(__xludf.DUMMYFUNCTION("GOOGLETRANSLATE(A6326,""bn"",""en"")"),"I got the problem solved")</f>
        <v>I got the problem solved</v>
      </c>
      <c r="D6326" s="5"/>
      <c r="E6326" s="5"/>
      <c r="F6326" s="5"/>
      <c r="G6326" s="5"/>
      <c r="H6326" s="5"/>
      <c r="I6326" s="5"/>
      <c r="J6326" s="5"/>
      <c r="K6326" s="5"/>
      <c r="L6326" s="5"/>
      <c r="M6326" s="5"/>
      <c r="N6326" s="5"/>
      <c r="O6326" s="5"/>
      <c r="P6326" s="5"/>
      <c r="Q6326" s="5"/>
      <c r="R6326" s="5"/>
      <c r="S6326" s="5"/>
      <c r="T6326" s="5"/>
      <c r="U6326" s="5"/>
      <c r="V6326" s="5"/>
      <c r="W6326" s="5"/>
      <c r="X6326" s="5"/>
      <c r="Y6326" s="5"/>
      <c r="Z6326" s="5"/>
    </row>
    <row r="6327" spans="1:26" ht="15" x14ac:dyDescent="0.25">
      <c r="A6327" s="4" t="s">
        <v>6325</v>
      </c>
      <c r="B6327" s="4" t="s">
        <v>4550</v>
      </c>
      <c r="C6327" s="2" t="str">
        <f ca="1">IFERROR(__xludf.DUMMYFUNCTION("GOOGLETRANSLATE(A6327,""bn"",""en"")"),"you were studying english")</f>
        <v>you were studying english</v>
      </c>
      <c r="D6327" s="5"/>
      <c r="E6327" s="5"/>
      <c r="F6327" s="5"/>
      <c r="G6327" s="5"/>
      <c r="H6327" s="5"/>
      <c r="I6327" s="5"/>
      <c r="J6327" s="5"/>
      <c r="K6327" s="5"/>
      <c r="L6327" s="5"/>
      <c r="M6327" s="5"/>
      <c r="N6327" s="5"/>
      <c r="O6327" s="5"/>
      <c r="P6327" s="5"/>
      <c r="Q6327" s="5"/>
      <c r="R6327" s="5"/>
      <c r="S6327" s="5"/>
      <c r="T6327" s="5"/>
      <c r="U6327" s="5"/>
      <c r="V6327" s="5"/>
      <c r="W6327" s="5"/>
      <c r="X6327" s="5"/>
      <c r="Y6327" s="5"/>
      <c r="Z6327" s="5"/>
    </row>
    <row r="6328" spans="1:26" ht="15" x14ac:dyDescent="0.25">
      <c r="A6328" s="4" t="s">
        <v>6326</v>
      </c>
      <c r="B6328" s="4" t="s">
        <v>4550</v>
      </c>
      <c r="C6328" s="2" t="str">
        <f ca="1">IFERROR(__xludf.DUMMYFUNCTION("GOOGLETRANSLATE(A6328,""bn"",""en"")"),"The party was discussing")</f>
        <v>The party was discussing</v>
      </c>
      <c r="D6328" s="5"/>
      <c r="E6328" s="5"/>
      <c r="F6328" s="5"/>
      <c r="G6328" s="5"/>
      <c r="H6328" s="5"/>
      <c r="I6328" s="5"/>
      <c r="J6328" s="5"/>
      <c r="K6328" s="5"/>
      <c r="L6328" s="5"/>
      <c r="M6328" s="5"/>
      <c r="N6328" s="5"/>
      <c r="O6328" s="5"/>
      <c r="P6328" s="5"/>
      <c r="Q6328" s="5"/>
      <c r="R6328" s="5"/>
      <c r="S6328" s="5"/>
      <c r="T6328" s="5"/>
      <c r="U6328" s="5"/>
      <c r="V6328" s="5"/>
      <c r="W6328" s="5"/>
      <c r="X6328" s="5"/>
      <c r="Y6328" s="5"/>
      <c r="Z6328" s="5"/>
    </row>
    <row r="6329" spans="1:26" ht="15" x14ac:dyDescent="0.25">
      <c r="A6329" s="4" t="s">
        <v>6327</v>
      </c>
      <c r="B6329" s="4" t="s">
        <v>4550</v>
      </c>
      <c r="C6329" s="2" t="str">
        <f ca="1">IFERROR(__xludf.DUMMYFUNCTION("GOOGLETRANSLATE(A6329,""bn"",""en"")"),"I did programming")</f>
        <v>I did programming</v>
      </c>
      <c r="D6329" s="5"/>
      <c r="E6329" s="5"/>
      <c r="F6329" s="5"/>
      <c r="G6329" s="5"/>
      <c r="H6329" s="5"/>
      <c r="I6329" s="5"/>
      <c r="J6329" s="5"/>
      <c r="K6329" s="5"/>
      <c r="L6329" s="5"/>
      <c r="M6329" s="5"/>
      <c r="N6329" s="5"/>
      <c r="O6329" s="5"/>
      <c r="P6329" s="5"/>
      <c r="Q6329" s="5"/>
      <c r="R6329" s="5"/>
      <c r="S6329" s="5"/>
      <c r="T6329" s="5"/>
      <c r="U6329" s="5"/>
      <c r="V6329" s="5"/>
      <c r="W6329" s="5"/>
      <c r="X6329" s="5"/>
      <c r="Y6329" s="5"/>
      <c r="Z6329" s="5"/>
    </row>
    <row r="6330" spans="1:26" ht="15" x14ac:dyDescent="0.25">
      <c r="A6330" s="4" t="s">
        <v>6328</v>
      </c>
      <c r="B6330" s="4" t="s">
        <v>4550</v>
      </c>
      <c r="C6330" s="2" t="str">
        <f ca="1">IFERROR(__xludf.DUMMYFUNCTION("GOOGLETRANSLATE(A6330,""bn"",""en"")"),"I used to study English")</f>
        <v>I used to study English</v>
      </c>
      <c r="D6330" s="5"/>
      <c r="E6330" s="5"/>
      <c r="F6330" s="5"/>
      <c r="G6330" s="5"/>
      <c r="H6330" s="5"/>
      <c r="I6330" s="5"/>
      <c r="J6330" s="5"/>
      <c r="K6330" s="5"/>
      <c r="L6330" s="5"/>
      <c r="M6330" s="5"/>
      <c r="N6330" s="5"/>
      <c r="O6330" s="5"/>
      <c r="P6330" s="5"/>
      <c r="Q6330" s="5"/>
      <c r="R6330" s="5"/>
      <c r="S6330" s="5"/>
      <c r="T6330" s="5"/>
      <c r="U6330" s="5"/>
      <c r="V6330" s="5"/>
      <c r="W6330" s="5"/>
      <c r="X6330" s="5"/>
      <c r="Y6330" s="5"/>
      <c r="Z6330" s="5"/>
    </row>
    <row r="6331" spans="1:26" ht="15" x14ac:dyDescent="0.25">
      <c r="A6331" s="4" t="s">
        <v>6329</v>
      </c>
      <c r="B6331" s="4" t="s">
        <v>4550</v>
      </c>
      <c r="C6331" s="2" t="str">
        <f ca="1">IFERROR(__xludf.DUMMYFUNCTION("GOOGLETRANSLATE(A6331,""bn"",""en"")"),"I was ordering over the phone")</f>
        <v>I was ordering over the phone</v>
      </c>
      <c r="D6331" s="5"/>
      <c r="E6331" s="5"/>
      <c r="F6331" s="5"/>
      <c r="G6331" s="5"/>
      <c r="H6331" s="5"/>
      <c r="I6331" s="5"/>
      <c r="J6331" s="5"/>
      <c r="K6331" s="5"/>
      <c r="L6331" s="5"/>
      <c r="M6331" s="5"/>
      <c r="N6331" s="5"/>
      <c r="O6331" s="5"/>
      <c r="P6331" s="5"/>
      <c r="Q6331" s="5"/>
      <c r="R6331" s="5"/>
      <c r="S6331" s="5"/>
      <c r="T6331" s="5"/>
      <c r="U6331" s="5"/>
      <c r="V6331" s="5"/>
      <c r="W6331" s="5"/>
      <c r="X6331" s="5"/>
      <c r="Y6331" s="5"/>
      <c r="Z6331" s="5"/>
    </row>
    <row r="6332" spans="1:26" ht="15" x14ac:dyDescent="0.25">
      <c r="A6332" s="4" t="s">
        <v>6330</v>
      </c>
      <c r="B6332" s="4" t="s">
        <v>4550</v>
      </c>
      <c r="C6332" s="2" t="str">
        <f ca="1">IFERROR(__xludf.DUMMYFUNCTION("GOOGLETRANSLATE(A6332,""bn"",""en"")"),"I was playing computer games")</f>
        <v>I was playing computer games</v>
      </c>
      <c r="D6332" s="5"/>
      <c r="E6332" s="5"/>
      <c r="F6332" s="5"/>
      <c r="G6332" s="5"/>
      <c r="H6332" s="5"/>
      <c r="I6332" s="5"/>
      <c r="J6332" s="5"/>
      <c r="K6332" s="5"/>
      <c r="L6332" s="5"/>
      <c r="M6332" s="5"/>
      <c r="N6332" s="5"/>
      <c r="O6332" s="5"/>
      <c r="P6332" s="5"/>
      <c r="Q6332" s="5"/>
      <c r="R6332" s="5"/>
      <c r="S6332" s="5"/>
      <c r="T6332" s="5"/>
      <c r="U6332" s="5"/>
      <c r="V6332" s="5"/>
      <c r="W6332" s="5"/>
      <c r="X6332" s="5"/>
      <c r="Y6332" s="5"/>
      <c r="Z6332" s="5"/>
    </row>
    <row r="6333" spans="1:26" ht="15" x14ac:dyDescent="0.25">
      <c r="A6333" s="4" t="s">
        <v>6331</v>
      </c>
      <c r="B6333" s="4" t="s">
        <v>4550</v>
      </c>
      <c r="C6333" s="2" t="str">
        <f ca="1">IFERROR(__xludf.DUMMYFUNCTION("GOOGLETRANSLATE(A6333,""bn"",""en"")"),"Students read poems")</f>
        <v>Students read poems</v>
      </c>
      <c r="D6333" s="5"/>
      <c r="E6333" s="5"/>
      <c r="F6333" s="5"/>
      <c r="G6333" s="5"/>
      <c r="H6333" s="5"/>
      <c r="I6333" s="5"/>
      <c r="J6333" s="5"/>
      <c r="K6333" s="5"/>
      <c r="L6333" s="5"/>
      <c r="M6333" s="5"/>
      <c r="N6333" s="5"/>
      <c r="O6333" s="5"/>
      <c r="P6333" s="5"/>
      <c r="Q6333" s="5"/>
      <c r="R6333" s="5"/>
      <c r="S6333" s="5"/>
      <c r="T6333" s="5"/>
      <c r="U6333" s="5"/>
      <c r="V6333" s="5"/>
      <c r="W6333" s="5"/>
      <c r="X6333" s="5"/>
      <c r="Y6333" s="5"/>
      <c r="Z6333" s="5"/>
    </row>
    <row r="6334" spans="1:26" ht="15" x14ac:dyDescent="0.25">
      <c r="A6334" s="4" t="s">
        <v>6332</v>
      </c>
      <c r="B6334" s="4" t="s">
        <v>4550</v>
      </c>
      <c r="C6334" s="2" t="str">
        <f ca="1">IFERROR(__xludf.DUMMYFUNCTION("GOOGLETRANSLATE(A6334,""bn"",""en"")"),"Hitechpark was being designed")</f>
        <v>Hitechpark was being designed</v>
      </c>
      <c r="D6334" s="5"/>
      <c r="E6334" s="5"/>
      <c r="F6334" s="5"/>
      <c r="G6334" s="5"/>
      <c r="H6334" s="5"/>
      <c r="I6334" s="5"/>
      <c r="J6334" s="5"/>
      <c r="K6334" s="5"/>
      <c r="L6334" s="5"/>
      <c r="M6334" s="5"/>
      <c r="N6334" s="5"/>
      <c r="O6334" s="5"/>
      <c r="P6334" s="5"/>
      <c r="Q6334" s="5"/>
      <c r="R6334" s="5"/>
      <c r="S6334" s="5"/>
      <c r="T6334" s="5"/>
      <c r="U6334" s="5"/>
      <c r="V6334" s="5"/>
      <c r="W6334" s="5"/>
      <c r="X6334" s="5"/>
      <c r="Y6334" s="5"/>
      <c r="Z6334" s="5"/>
    </row>
    <row r="6335" spans="1:26" ht="15" x14ac:dyDescent="0.25">
      <c r="A6335" s="4" t="s">
        <v>6333</v>
      </c>
      <c r="B6335" s="4" t="s">
        <v>4550</v>
      </c>
      <c r="C6335" s="2" t="str">
        <f ca="1">IFERROR(__xludf.DUMMYFUNCTION("GOOGLETRANSLATE(A6335,""bn"",""en"")"),"Tibet was banned")</f>
        <v>Tibet was banned</v>
      </c>
      <c r="D6335" s="5"/>
      <c r="E6335" s="5"/>
      <c r="F6335" s="5"/>
      <c r="G6335" s="5"/>
      <c r="H6335" s="5"/>
      <c r="I6335" s="5"/>
      <c r="J6335" s="5"/>
      <c r="K6335" s="5"/>
      <c r="L6335" s="5"/>
      <c r="M6335" s="5"/>
      <c r="N6335" s="5"/>
      <c r="O6335" s="5"/>
      <c r="P6335" s="5"/>
      <c r="Q6335" s="5"/>
      <c r="R6335" s="5"/>
      <c r="S6335" s="5"/>
      <c r="T6335" s="5"/>
      <c r="U6335" s="5"/>
      <c r="V6335" s="5"/>
      <c r="W6335" s="5"/>
      <c r="X6335" s="5"/>
      <c r="Y6335" s="5"/>
      <c r="Z6335" s="5"/>
    </row>
    <row r="6336" spans="1:26" ht="15" x14ac:dyDescent="0.25">
      <c r="A6336" s="4" t="s">
        <v>6334</v>
      </c>
      <c r="B6336" s="4" t="s">
        <v>4550</v>
      </c>
      <c r="C6336" s="2" t="str">
        <f ca="1">IFERROR(__xludf.DUMMYFUNCTION("GOOGLETRANSLATE(A6336,""bn"",""en"")"),"Searched for e-library books")</f>
        <v>Searched for e-library books</v>
      </c>
      <c r="D6336" s="5"/>
      <c r="E6336" s="5"/>
      <c r="F6336" s="5"/>
      <c r="G6336" s="5"/>
      <c r="H6336" s="5"/>
      <c r="I6336" s="5"/>
      <c r="J6336" s="5"/>
      <c r="K6336" s="5"/>
      <c r="L6336" s="5"/>
      <c r="M6336" s="5"/>
      <c r="N6336" s="5"/>
      <c r="O6336" s="5"/>
      <c r="P6336" s="5"/>
      <c r="Q6336" s="5"/>
      <c r="R6336" s="5"/>
      <c r="S6336" s="5"/>
      <c r="T6336" s="5"/>
      <c r="U6336" s="5"/>
      <c r="V6336" s="5"/>
      <c r="W6336" s="5"/>
      <c r="X6336" s="5"/>
      <c r="Y6336" s="5"/>
      <c r="Z6336" s="5"/>
    </row>
    <row r="6337" spans="1:26" ht="15" x14ac:dyDescent="0.25">
      <c r="A6337" s="4" t="s">
        <v>6335</v>
      </c>
      <c r="B6337" s="4" t="s">
        <v>4550</v>
      </c>
      <c r="C6337" s="2" t="str">
        <f ca="1">IFERROR(__xludf.DUMMYFUNCTION("GOOGLETRANSLATE(A6337,""bn"",""en"")"),"I was installing the application")</f>
        <v>I was installing the application</v>
      </c>
      <c r="D6337" s="5"/>
      <c r="E6337" s="5"/>
      <c r="F6337" s="5"/>
      <c r="G6337" s="5"/>
      <c r="H6337" s="5"/>
      <c r="I6337" s="5"/>
      <c r="J6337" s="5"/>
      <c r="K6337" s="5"/>
      <c r="L6337" s="5"/>
      <c r="M6337" s="5"/>
      <c r="N6337" s="5"/>
      <c r="O6337" s="5"/>
      <c r="P6337" s="5"/>
      <c r="Q6337" s="5"/>
      <c r="R6337" s="5"/>
      <c r="S6337" s="5"/>
      <c r="T6337" s="5"/>
      <c r="U6337" s="5"/>
      <c r="V6337" s="5"/>
      <c r="W6337" s="5"/>
      <c r="X6337" s="5"/>
      <c r="Y6337" s="5"/>
      <c r="Z6337" s="5"/>
    </row>
    <row r="6338" spans="1:26" ht="15" x14ac:dyDescent="0.25">
      <c r="A6338" s="4" t="s">
        <v>6336</v>
      </c>
      <c r="B6338" s="4" t="s">
        <v>4550</v>
      </c>
      <c r="C6338" s="2" t="str">
        <f ca="1">IFERROR(__xludf.DUMMYFUNCTION("GOOGLETRANSLATE(A6338,""bn"",""en"")"),"I got a job at Google")</f>
        <v>I got a job at Google</v>
      </c>
      <c r="D6338" s="5"/>
      <c r="E6338" s="5"/>
      <c r="F6338" s="5"/>
      <c r="G6338" s="5"/>
      <c r="H6338" s="5"/>
      <c r="I6338" s="5"/>
      <c r="J6338" s="5"/>
      <c r="K6338" s="5"/>
      <c r="L6338" s="5"/>
      <c r="M6338" s="5"/>
      <c r="N6338" s="5"/>
      <c r="O6338" s="5"/>
      <c r="P6338" s="5"/>
      <c r="Q6338" s="5"/>
      <c r="R6338" s="5"/>
      <c r="S6338" s="5"/>
      <c r="T6338" s="5"/>
      <c r="U6338" s="5"/>
      <c r="V6338" s="5"/>
      <c r="W6338" s="5"/>
      <c r="X6338" s="5"/>
      <c r="Y6338" s="5"/>
      <c r="Z6338" s="5"/>
    </row>
    <row r="6339" spans="1:26" ht="15" x14ac:dyDescent="0.25">
      <c r="A6339" s="4" t="s">
        <v>6337</v>
      </c>
      <c r="B6339" s="4" t="s">
        <v>4550</v>
      </c>
      <c r="C6339" s="2" t="str">
        <f ca="1">IFERROR(__xludf.DUMMYFUNCTION("GOOGLETRANSLATE(A6339,""bn"",""en"")"),"I used it well")</f>
        <v>I used it well</v>
      </c>
      <c r="D6339" s="5"/>
      <c r="E6339" s="5"/>
      <c r="F6339" s="5"/>
      <c r="G6339" s="5"/>
      <c r="H6339" s="5"/>
      <c r="I6339" s="5"/>
      <c r="J6339" s="5"/>
      <c r="K6339" s="5"/>
      <c r="L6339" s="5"/>
      <c r="M6339" s="5"/>
      <c r="N6339" s="5"/>
      <c r="O6339" s="5"/>
      <c r="P6339" s="5"/>
      <c r="Q6339" s="5"/>
      <c r="R6339" s="5"/>
      <c r="S6339" s="5"/>
      <c r="T6339" s="5"/>
      <c r="U6339" s="5"/>
      <c r="V6339" s="5"/>
      <c r="W6339" s="5"/>
      <c r="X6339" s="5"/>
      <c r="Y6339" s="5"/>
      <c r="Z6339" s="5"/>
    </row>
    <row r="6340" spans="1:26" ht="15" x14ac:dyDescent="0.25">
      <c r="A6340" s="4" t="s">
        <v>6338</v>
      </c>
      <c r="B6340" s="4" t="s">
        <v>4550</v>
      </c>
      <c r="C6340" s="2" t="str">
        <f ca="1">IFERROR(__xludf.DUMMYFUNCTION("GOOGLETRANSLATE(A6340,""bn"",""en"")"),"I used the keyboard")</f>
        <v>I used the keyboard</v>
      </c>
      <c r="D6340" s="5"/>
      <c r="E6340" s="5"/>
      <c r="F6340" s="5"/>
      <c r="G6340" s="5"/>
      <c r="H6340" s="5"/>
      <c r="I6340" s="5"/>
      <c r="J6340" s="5"/>
      <c r="K6340" s="5"/>
      <c r="L6340" s="5"/>
      <c r="M6340" s="5"/>
      <c r="N6340" s="5"/>
      <c r="O6340" s="5"/>
      <c r="P6340" s="5"/>
      <c r="Q6340" s="5"/>
      <c r="R6340" s="5"/>
      <c r="S6340" s="5"/>
      <c r="T6340" s="5"/>
      <c r="U6340" s="5"/>
      <c r="V6340" s="5"/>
      <c r="W6340" s="5"/>
      <c r="X6340" s="5"/>
      <c r="Y6340" s="5"/>
      <c r="Z6340" s="5"/>
    </row>
    <row r="6341" spans="1:26" ht="15" x14ac:dyDescent="0.25">
      <c r="A6341" s="4" t="s">
        <v>6339</v>
      </c>
      <c r="B6341" s="4" t="s">
        <v>4550</v>
      </c>
      <c r="C6341" s="2" t="str">
        <f ca="1">IFERROR(__xludf.DUMMYFUNCTION("GOOGLETRANSLATE(A6341,""bn"",""en"")"),"The number of hackers was increasing")</f>
        <v>The number of hackers was increasing</v>
      </c>
      <c r="D6341" s="5"/>
      <c r="E6341" s="5"/>
      <c r="F6341" s="5"/>
      <c r="G6341" s="5"/>
      <c r="H6341" s="5"/>
      <c r="I6341" s="5"/>
      <c r="J6341" s="5"/>
      <c r="K6341" s="5"/>
      <c r="L6341" s="5"/>
      <c r="M6341" s="5"/>
      <c r="N6341" s="5"/>
      <c r="O6341" s="5"/>
      <c r="P6341" s="5"/>
      <c r="Q6341" s="5"/>
      <c r="R6341" s="5"/>
      <c r="S6341" s="5"/>
      <c r="T6341" s="5"/>
      <c r="U6341" s="5"/>
      <c r="V6341" s="5"/>
      <c r="W6341" s="5"/>
      <c r="X6341" s="5"/>
      <c r="Y6341" s="5"/>
      <c r="Z6341" s="5"/>
    </row>
    <row r="6342" spans="1:26" ht="15" x14ac:dyDescent="0.25">
      <c r="A6342" s="4" t="s">
        <v>6340</v>
      </c>
      <c r="B6342" s="4" t="s">
        <v>4550</v>
      </c>
      <c r="C6342" s="2" t="str">
        <f ca="1">IFERROR(__xludf.DUMMYFUNCTION("GOOGLETRANSLATE(A6342,""bn"",""en"")"),"I sent money in cash")</f>
        <v>I sent money in cash</v>
      </c>
      <c r="D6342" s="5"/>
      <c r="E6342" s="5"/>
      <c r="F6342" s="5"/>
      <c r="G6342" s="5"/>
      <c r="H6342" s="5"/>
      <c r="I6342" s="5"/>
      <c r="J6342" s="5"/>
      <c r="K6342" s="5"/>
      <c r="L6342" s="5"/>
      <c r="M6342" s="5"/>
      <c r="N6342" s="5"/>
      <c r="O6342" s="5"/>
      <c r="P6342" s="5"/>
      <c r="Q6342" s="5"/>
      <c r="R6342" s="5"/>
      <c r="S6342" s="5"/>
      <c r="T6342" s="5"/>
      <c r="U6342" s="5"/>
      <c r="V6342" s="5"/>
      <c r="W6342" s="5"/>
      <c r="X6342" s="5"/>
      <c r="Y6342" s="5"/>
      <c r="Z6342" s="5"/>
    </row>
    <row r="6343" spans="1:26" ht="15" x14ac:dyDescent="0.25">
      <c r="A6343" s="4" t="s">
        <v>6341</v>
      </c>
      <c r="B6343" s="4" t="s">
        <v>4550</v>
      </c>
      <c r="C6343" s="2" t="str">
        <f ca="1">IFERROR(__xludf.DUMMYFUNCTION("GOOGLETRANSLATE(A6343,""bn"",""en"")"),"We were doing research")</f>
        <v>We were doing research</v>
      </c>
      <c r="D6343" s="5"/>
      <c r="E6343" s="5"/>
      <c r="F6343" s="5"/>
      <c r="G6343" s="5"/>
      <c r="H6343" s="5"/>
      <c r="I6343" s="5"/>
      <c r="J6343" s="5"/>
      <c r="K6343" s="5"/>
      <c r="L6343" s="5"/>
      <c r="M6343" s="5"/>
      <c r="N6343" s="5"/>
      <c r="O6343" s="5"/>
      <c r="P6343" s="5"/>
      <c r="Q6343" s="5"/>
      <c r="R6343" s="5"/>
      <c r="S6343" s="5"/>
      <c r="T6343" s="5"/>
      <c r="U6343" s="5"/>
      <c r="V6343" s="5"/>
      <c r="W6343" s="5"/>
      <c r="X6343" s="5"/>
      <c r="Y6343" s="5"/>
      <c r="Z6343" s="5"/>
    </row>
    <row r="6344" spans="1:26" ht="15" x14ac:dyDescent="0.25">
      <c r="A6344" s="4" t="s">
        <v>6342</v>
      </c>
      <c r="B6344" s="4" t="s">
        <v>4550</v>
      </c>
      <c r="C6344" s="2" t="str">
        <f ca="1">IFERROR(__xludf.DUMMYFUNCTION("GOOGLETRANSLATE(A6344,""bn"",""en"")"),"We researched and got the honor")</f>
        <v>We researched and got the honor</v>
      </c>
      <c r="D6344" s="5"/>
      <c r="E6344" s="5"/>
      <c r="F6344" s="5"/>
      <c r="G6344" s="5"/>
      <c r="H6344" s="5"/>
      <c r="I6344" s="5"/>
      <c r="J6344" s="5"/>
      <c r="K6344" s="5"/>
      <c r="L6344" s="5"/>
      <c r="M6344" s="5"/>
      <c r="N6344" s="5"/>
      <c r="O6344" s="5"/>
      <c r="P6344" s="5"/>
      <c r="Q6344" s="5"/>
      <c r="R6344" s="5"/>
      <c r="S6344" s="5"/>
      <c r="T6344" s="5"/>
      <c r="U6344" s="5"/>
      <c r="V6344" s="5"/>
      <c r="W6344" s="5"/>
      <c r="X6344" s="5"/>
      <c r="Y6344" s="5"/>
      <c r="Z6344" s="5"/>
    </row>
    <row r="6345" spans="1:26" ht="15" x14ac:dyDescent="0.25">
      <c r="A6345" s="4" t="s">
        <v>6343</v>
      </c>
      <c r="B6345" s="4" t="s">
        <v>4550</v>
      </c>
      <c r="C6345" s="2" t="str">
        <f ca="1">IFERROR(__xludf.DUMMYFUNCTION("GOOGLETRANSLATE(A6345,""bn"",""en"")"),"The loan was paid")</f>
        <v>The loan was paid</v>
      </c>
      <c r="D6345" s="5"/>
      <c r="E6345" s="5"/>
      <c r="F6345" s="5"/>
      <c r="G6345" s="5"/>
      <c r="H6345" s="5"/>
      <c r="I6345" s="5"/>
      <c r="J6345" s="5"/>
      <c r="K6345" s="5"/>
      <c r="L6345" s="5"/>
      <c r="M6345" s="5"/>
      <c r="N6345" s="5"/>
      <c r="O6345" s="5"/>
      <c r="P6345" s="5"/>
      <c r="Q6345" s="5"/>
      <c r="R6345" s="5"/>
      <c r="S6345" s="5"/>
      <c r="T6345" s="5"/>
      <c r="U6345" s="5"/>
      <c r="V6345" s="5"/>
      <c r="W6345" s="5"/>
      <c r="X6345" s="5"/>
      <c r="Y6345" s="5"/>
      <c r="Z6345" s="5"/>
    </row>
    <row r="6346" spans="1:26" ht="15" x14ac:dyDescent="0.25">
      <c r="A6346" s="4" t="s">
        <v>6344</v>
      </c>
      <c r="B6346" s="4" t="s">
        <v>4550</v>
      </c>
      <c r="C6346" s="2" t="str">
        <f ca="1">IFERROR(__xludf.DUMMYFUNCTION("GOOGLETRANSLATE(A6346,""bn"",""en"")"),"I taught street children")</f>
        <v>I taught street children</v>
      </c>
      <c r="D6346" s="5"/>
      <c r="E6346" s="5"/>
      <c r="F6346" s="5"/>
      <c r="G6346" s="5"/>
      <c r="H6346" s="5"/>
      <c r="I6346" s="5"/>
      <c r="J6346" s="5"/>
      <c r="K6346" s="5"/>
      <c r="L6346" s="5"/>
      <c r="M6346" s="5"/>
      <c r="N6346" s="5"/>
      <c r="O6346" s="5"/>
      <c r="P6346" s="5"/>
      <c r="Q6346" s="5"/>
      <c r="R6346" s="5"/>
      <c r="S6346" s="5"/>
      <c r="T6346" s="5"/>
      <c r="U6346" s="5"/>
      <c r="V6346" s="5"/>
      <c r="W6346" s="5"/>
      <c r="X6346" s="5"/>
      <c r="Y6346" s="5"/>
      <c r="Z6346" s="5"/>
    </row>
    <row r="6347" spans="1:26" ht="15" x14ac:dyDescent="0.25">
      <c r="A6347" s="4" t="s">
        <v>6345</v>
      </c>
      <c r="B6347" s="4" t="s">
        <v>4550</v>
      </c>
      <c r="C6347" s="2" t="str">
        <f ca="1">IFERROR(__xludf.DUMMYFUNCTION("GOOGLETRANSLATE(A6347,""bn"",""en"")"),"I was using an iPad")</f>
        <v>I was using an iPad</v>
      </c>
      <c r="D6347" s="5"/>
      <c r="E6347" s="5"/>
      <c r="F6347" s="5"/>
      <c r="G6347" s="5"/>
      <c r="H6347" s="5"/>
      <c r="I6347" s="5"/>
      <c r="J6347" s="5"/>
      <c r="K6347" s="5"/>
      <c r="L6347" s="5"/>
      <c r="M6347" s="5"/>
      <c r="N6347" s="5"/>
      <c r="O6347" s="5"/>
      <c r="P6347" s="5"/>
      <c r="Q6347" s="5"/>
      <c r="R6347" s="5"/>
      <c r="S6347" s="5"/>
      <c r="T6347" s="5"/>
      <c r="U6347" s="5"/>
      <c r="V6347" s="5"/>
      <c r="W6347" s="5"/>
      <c r="X6347" s="5"/>
      <c r="Y6347" s="5"/>
      <c r="Z6347" s="5"/>
    </row>
    <row r="6348" spans="1:26" ht="15" x14ac:dyDescent="0.25">
      <c r="A6348" s="4" t="s">
        <v>6346</v>
      </c>
      <c r="B6348" s="4" t="s">
        <v>4550</v>
      </c>
      <c r="C6348" s="2" t="str">
        <f ca="1">IFERROR(__xludf.DUMMYFUNCTION("GOOGLETRANSLATE(A6348,""bn"",""en"")"),"There was no financial problem")</f>
        <v>There was no financial problem</v>
      </c>
      <c r="D6348" s="5"/>
      <c r="E6348" s="5"/>
      <c r="F6348" s="5"/>
      <c r="G6348" s="5"/>
      <c r="H6348" s="5"/>
      <c r="I6348" s="5"/>
      <c r="J6348" s="5"/>
      <c r="K6348" s="5"/>
      <c r="L6348" s="5"/>
      <c r="M6348" s="5"/>
      <c r="N6348" s="5"/>
      <c r="O6348" s="5"/>
      <c r="P6348" s="5"/>
      <c r="Q6348" s="5"/>
      <c r="R6348" s="5"/>
      <c r="S6348" s="5"/>
      <c r="T6348" s="5"/>
      <c r="U6348" s="5"/>
      <c r="V6348" s="5"/>
      <c r="W6348" s="5"/>
      <c r="X6348" s="5"/>
      <c r="Y6348" s="5"/>
      <c r="Z6348" s="5"/>
    </row>
    <row r="6349" spans="1:26" ht="15" x14ac:dyDescent="0.25">
      <c r="A6349" s="4" t="s">
        <v>6347</v>
      </c>
      <c r="B6349" s="4" t="s">
        <v>4550</v>
      </c>
      <c r="C6349" s="2" t="str">
        <f ca="1">IFERROR(__xludf.DUMMYFUNCTION("GOOGLETRANSLATE(A6349,""bn"",""en"")"),"I saw a bear in the forest")</f>
        <v>I saw a bear in the forest</v>
      </c>
      <c r="D6349" s="5"/>
      <c r="E6349" s="5"/>
      <c r="F6349" s="5"/>
      <c r="G6349" s="5"/>
      <c r="H6349" s="5"/>
      <c r="I6349" s="5"/>
      <c r="J6349" s="5"/>
      <c r="K6349" s="5"/>
      <c r="L6349" s="5"/>
      <c r="M6349" s="5"/>
      <c r="N6349" s="5"/>
      <c r="O6349" s="5"/>
      <c r="P6349" s="5"/>
      <c r="Q6349" s="5"/>
      <c r="R6349" s="5"/>
      <c r="S6349" s="5"/>
      <c r="T6349" s="5"/>
      <c r="U6349" s="5"/>
      <c r="V6349" s="5"/>
      <c r="W6349" s="5"/>
      <c r="X6349" s="5"/>
      <c r="Y6349" s="5"/>
      <c r="Z6349" s="5"/>
    </row>
    <row r="6350" spans="1:26" ht="15" x14ac:dyDescent="0.25">
      <c r="A6350" s="4" t="s">
        <v>6348</v>
      </c>
      <c r="B6350" s="4" t="s">
        <v>4550</v>
      </c>
      <c r="C6350" s="2" t="str">
        <f ca="1">IFERROR(__xludf.DUMMYFUNCTION("GOOGLETRANSLATE(A6350,""bn"",""en"")"),"I wanted to see improvement")</f>
        <v>I wanted to see improvement</v>
      </c>
      <c r="D6350" s="5"/>
      <c r="E6350" s="5"/>
      <c r="F6350" s="5"/>
      <c r="G6350" s="5"/>
      <c r="H6350" s="5"/>
      <c r="I6350" s="5"/>
      <c r="J6350" s="5"/>
      <c r="K6350" s="5"/>
      <c r="L6350" s="5"/>
      <c r="M6350" s="5"/>
      <c r="N6350" s="5"/>
      <c r="O6350" s="5"/>
      <c r="P6350" s="5"/>
      <c r="Q6350" s="5"/>
      <c r="R6350" s="5"/>
      <c r="S6350" s="5"/>
      <c r="T6350" s="5"/>
      <c r="U6350" s="5"/>
      <c r="V6350" s="5"/>
      <c r="W6350" s="5"/>
      <c r="X6350" s="5"/>
      <c r="Y6350" s="5"/>
      <c r="Z6350" s="5"/>
    </row>
    <row r="6351" spans="1:26" ht="15" x14ac:dyDescent="0.25">
      <c r="A6351" s="4" t="s">
        <v>6349</v>
      </c>
      <c r="B6351" s="4" t="s">
        <v>4550</v>
      </c>
      <c r="C6351" s="2" t="str">
        <f ca="1">IFERROR(__xludf.DUMMYFUNCTION("GOOGLETRANSLATE(A6351,""bn"",""en"")"),"you read in the morning")</f>
        <v>you read in the morning</v>
      </c>
      <c r="D6351" s="5"/>
      <c r="E6351" s="5"/>
      <c r="F6351" s="5"/>
      <c r="G6351" s="5"/>
      <c r="H6351" s="5"/>
      <c r="I6351" s="5"/>
      <c r="J6351" s="5"/>
      <c r="K6351" s="5"/>
      <c r="L6351" s="5"/>
      <c r="M6351" s="5"/>
      <c r="N6351" s="5"/>
      <c r="O6351" s="5"/>
      <c r="P6351" s="5"/>
      <c r="Q6351" s="5"/>
      <c r="R6351" s="5"/>
      <c r="S6351" s="5"/>
      <c r="T6351" s="5"/>
      <c r="U6351" s="5"/>
      <c r="V6351" s="5"/>
      <c r="W6351" s="5"/>
      <c r="X6351" s="5"/>
      <c r="Y6351" s="5"/>
      <c r="Z6351" s="5"/>
    </row>
    <row r="6352" spans="1:26" ht="15" x14ac:dyDescent="0.25">
      <c r="A6352" s="4" t="s">
        <v>6350</v>
      </c>
      <c r="B6352" s="4" t="s">
        <v>4550</v>
      </c>
      <c r="C6352" s="2" t="str">
        <f ca="1">IFERROR(__xludf.DUMMYFUNCTION("GOOGLETRANSLATE(A6352,""bn"",""en"")"),"I added myself")</f>
        <v>I added myself</v>
      </c>
      <c r="D6352" s="5"/>
      <c r="E6352" s="5"/>
      <c r="F6352" s="5"/>
      <c r="G6352" s="5"/>
      <c r="H6352" s="5"/>
      <c r="I6352" s="5"/>
      <c r="J6352" s="5"/>
      <c r="K6352" s="5"/>
      <c r="L6352" s="5"/>
      <c r="M6352" s="5"/>
      <c r="N6352" s="5"/>
      <c r="O6352" s="5"/>
      <c r="P6352" s="5"/>
      <c r="Q6352" s="5"/>
      <c r="R6352" s="5"/>
      <c r="S6352" s="5"/>
      <c r="T6352" s="5"/>
      <c r="U6352" s="5"/>
      <c r="V6352" s="5"/>
      <c r="W6352" s="5"/>
      <c r="X6352" s="5"/>
      <c r="Y6352" s="5"/>
      <c r="Z6352" s="5"/>
    </row>
    <row r="6353" spans="1:26" ht="15" x14ac:dyDescent="0.25">
      <c r="A6353" s="4" t="s">
        <v>6351</v>
      </c>
      <c r="B6353" s="4" t="s">
        <v>4550</v>
      </c>
      <c r="C6353" s="2" t="str">
        <f ca="1">IFERROR(__xludf.DUMMYFUNCTION("GOOGLETRANSLATE(A6353,""bn"",""en"")"),"I understood well")</f>
        <v>I understood well</v>
      </c>
      <c r="D6353" s="5"/>
      <c r="E6353" s="5"/>
      <c r="F6353" s="5"/>
      <c r="G6353" s="5"/>
      <c r="H6353" s="5"/>
      <c r="I6353" s="5"/>
      <c r="J6353" s="5"/>
      <c r="K6353" s="5"/>
      <c r="L6353" s="5"/>
      <c r="M6353" s="5"/>
      <c r="N6353" s="5"/>
      <c r="O6353" s="5"/>
      <c r="P6353" s="5"/>
      <c r="Q6353" s="5"/>
      <c r="R6353" s="5"/>
      <c r="S6353" s="5"/>
      <c r="T6353" s="5"/>
      <c r="U6353" s="5"/>
      <c r="V6353" s="5"/>
      <c r="W6353" s="5"/>
      <c r="X6353" s="5"/>
      <c r="Y6353" s="5"/>
      <c r="Z6353" s="5"/>
    </row>
    <row r="6354" spans="1:26" ht="15" x14ac:dyDescent="0.25">
      <c r="A6354" s="4" t="s">
        <v>6352</v>
      </c>
      <c r="B6354" s="4" t="s">
        <v>4550</v>
      </c>
      <c r="C6354" s="2" t="str">
        <f ca="1">IFERROR(__xludf.DUMMYFUNCTION("GOOGLETRANSLATE(A6354,""bn"",""en"")"),"I created an account")</f>
        <v>I created an account</v>
      </c>
      <c r="D6354" s="5"/>
      <c r="E6354" s="5"/>
      <c r="F6354" s="5"/>
      <c r="G6354" s="5"/>
      <c r="H6354" s="5"/>
      <c r="I6354" s="5"/>
      <c r="J6354" s="5"/>
      <c r="K6354" s="5"/>
      <c r="L6354" s="5"/>
      <c r="M6354" s="5"/>
      <c r="N6354" s="5"/>
      <c r="O6354" s="5"/>
      <c r="P6354" s="5"/>
      <c r="Q6354" s="5"/>
      <c r="R6354" s="5"/>
      <c r="S6354" s="5"/>
      <c r="T6354" s="5"/>
      <c r="U6354" s="5"/>
      <c r="V6354" s="5"/>
      <c r="W6354" s="5"/>
      <c r="X6354" s="5"/>
      <c r="Y6354" s="5"/>
      <c r="Z6354" s="5"/>
    </row>
    <row r="6355" spans="1:26" ht="15" x14ac:dyDescent="0.25">
      <c r="A6355" s="4" t="s">
        <v>6353</v>
      </c>
      <c r="B6355" s="4" t="s">
        <v>4550</v>
      </c>
      <c r="C6355" s="2" t="str">
        <f ca="1">IFERROR(__xludf.DUMMYFUNCTION("GOOGLETRANSLATE(A6355,""bn"",""en"")"),"I wasted time")</f>
        <v>I wasted time</v>
      </c>
      <c r="D6355" s="5"/>
      <c r="E6355" s="5"/>
      <c r="F6355" s="5"/>
      <c r="G6355" s="5"/>
      <c r="H6355" s="5"/>
      <c r="I6355" s="5"/>
      <c r="J6355" s="5"/>
      <c r="K6355" s="5"/>
      <c r="L6355" s="5"/>
      <c r="M6355" s="5"/>
      <c r="N6355" s="5"/>
      <c r="O6355" s="5"/>
      <c r="P6355" s="5"/>
      <c r="Q6355" s="5"/>
      <c r="R6355" s="5"/>
      <c r="S6355" s="5"/>
      <c r="T6355" s="5"/>
      <c r="U6355" s="5"/>
      <c r="V6355" s="5"/>
      <c r="W6355" s="5"/>
      <c r="X6355" s="5"/>
      <c r="Y6355" s="5"/>
      <c r="Z6355" s="5"/>
    </row>
    <row r="6356" spans="1:26" ht="15" x14ac:dyDescent="0.25">
      <c r="A6356" s="4" t="s">
        <v>6354</v>
      </c>
      <c r="B6356" s="4" t="s">
        <v>4550</v>
      </c>
      <c r="C6356" s="2" t="str">
        <f ca="1">IFERROR(__xludf.DUMMYFUNCTION("GOOGLETRANSLATE(A6356,""bn"",""en"")"),"Students used to play in college")</f>
        <v>Students used to play in college</v>
      </c>
      <c r="D6356" s="5"/>
      <c r="E6356" s="5"/>
      <c r="F6356" s="5"/>
      <c r="G6356" s="5"/>
      <c r="H6356" s="5"/>
      <c r="I6356" s="5"/>
      <c r="J6356" s="5"/>
      <c r="K6356" s="5"/>
      <c r="L6356" s="5"/>
      <c r="M6356" s="5"/>
      <c r="N6356" s="5"/>
      <c r="O6356" s="5"/>
      <c r="P6356" s="5"/>
      <c r="Q6356" s="5"/>
      <c r="R6356" s="5"/>
      <c r="S6356" s="5"/>
      <c r="T6356" s="5"/>
      <c r="U6356" s="5"/>
      <c r="V6356" s="5"/>
      <c r="W6356" s="5"/>
      <c r="X6356" s="5"/>
      <c r="Y6356" s="5"/>
      <c r="Z6356" s="5"/>
    </row>
    <row r="6357" spans="1:26" ht="15" x14ac:dyDescent="0.25">
      <c r="A6357" s="4" t="s">
        <v>6355</v>
      </c>
      <c r="B6357" s="4" t="s">
        <v>4550</v>
      </c>
      <c r="C6357" s="2" t="str">
        <f ca="1">IFERROR(__xludf.DUMMYFUNCTION("GOOGLETRANSLATE(A6357,""bn"",""en"")"),"I took online classes")</f>
        <v>I took online classes</v>
      </c>
      <c r="D6357" s="5"/>
      <c r="E6357" s="5"/>
      <c r="F6357" s="5"/>
      <c r="G6357" s="5"/>
      <c r="H6357" s="5"/>
      <c r="I6357" s="5"/>
      <c r="J6357" s="5"/>
      <c r="K6357" s="5"/>
      <c r="L6357" s="5"/>
      <c r="M6357" s="5"/>
      <c r="N6357" s="5"/>
      <c r="O6357" s="5"/>
      <c r="P6357" s="5"/>
      <c r="Q6357" s="5"/>
      <c r="R6357" s="5"/>
      <c r="S6357" s="5"/>
      <c r="T6357" s="5"/>
      <c r="U6357" s="5"/>
      <c r="V6357" s="5"/>
      <c r="W6357" s="5"/>
      <c r="X6357" s="5"/>
      <c r="Y6357" s="5"/>
      <c r="Z6357" s="5"/>
    </row>
    <row r="6358" spans="1:26" ht="15" x14ac:dyDescent="0.25">
      <c r="A6358" s="4" t="s">
        <v>6356</v>
      </c>
      <c r="B6358" s="4" t="s">
        <v>4550</v>
      </c>
      <c r="C6358" s="2" t="str">
        <f ca="1">IFERROR(__xludf.DUMMYFUNCTION("GOOGLETRANSLATE(A6358,""bn"",""en"")"),"I was using headphones")</f>
        <v>I was using headphones</v>
      </c>
      <c r="D6358" s="5"/>
      <c r="E6358" s="5"/>
      <c r="F6358" s="5"/>
      <c r="G6358" s="5"/>
      <c r="H6358" s="5"/>
      <c r="I6358" s="5"/>
      <c r="J6358" s="5"/>
      <c r="K6358" s="5"/>
      <c r="L6358" s="5"/>
      <c r="M6358" s="5"/>
      <c r="N6358" s="5"/>
      <c r="O6358" s="5"/>
      <c r="P6358" s="5"/>
      <c r="Q6358" s="5"/>
      <c r="R6358" s="5"/>
      <c r="S6358" s="5"/>
      <c r="T6358" s="5"/>
      <c r="U6358" s="5"/>
      <c r="V6358" s="5"/>
      <c r="W6358" s="5"/>
      <c r="X6358" s="5"/>
      <c r="Y6358" s="5"/>
      <c r="Z6358" s="5"/>
    </row>
    <row r="6359" spans="1:26" ht="15" x14ac:dyDescent="0.25">
      <c r="A6359" s="4" t="s">
        <v>6357</v>
      </c>
      <c r="B6359" s="4" t="s">
        <v>4550</v>
      </c>
      <c r="C6359" s="2" t="str">
        <f ca="1">IFERROR(__xludf.DUMMYFUNCTION("GOOGLETRANSLATE(A6359,""bn"",""en"")"),"Lower quality of education")</f>
        <v>Lower quality of education</v>
      </c>
      <c r="D6359" s="5"/>
      <c r="E6359" s="5"/>
      <c r="F6359" s="5"/>
      <c r="G6359" s="5"/>
      <c r="H6359" s="5"/>
      <c r="I6359" s="5"/>
      <c r="J6359" s="5"/>
      <c r="K6359" s="5"/>
      <c r="L6359" s="5"/>
      <c r="M6359" s="5"/>
      <c r="N6359" s="5"/>
      <c r="O6359" s="5"/>
      <c r="P6359" s="5"/>
      <c r="Q6359" s="5"/>
      <c r="R6359" s="5"/>
      <c r="S6359" s="5"/>
      <c r="T6359" s="5"/>
      <c r="U6359" s="5"/>
      <c r="V6359" s="5"/>
      <c r="W6359" s="5"/>
      <c r="X6359" s="5"/>
      <c r="Y6359" s="5"/>
      <c r="Z6359" s="5"/>
    </row>
    <row r="6360" spans="1:26" ht="15" x14ac:dyDescent="0.25">
      <c r="A6360" s="4" t="s">
        <v>6358</v>
      </c>
      <c r="B6360" s="4" t="s">
        <v>4550</v>
      </c>
      <c r="C6360" s="2" t="str">
        <f ca="1">IFERROR(__xludf.DUMMYFUNCTION("GOOGLETRANSLATE(A6360,""bn"",""en"")"),"Computers were being developed")</f>
        <v>Computers were being developed</v>
      </c>
      <c r="D6360" s="5"/>
      <c r="E6360" s="5"/>
      <c r="F6360" s="5"/>
      <c r="G6360" s="5"/>
      <c r="H6360" s="5"/>
      <c r="I6360" s="5"/>
      <c r="J6360" s="5"/>
      <c r="K6360" s="5"/>
      <c r="L6360" s="5"/>
      <c r="M6360" s="5"/>
      <c r="N6360" s="5"/>
      <c r="O6360" s="5"/>
      <c r="P6360" s="5"/>
      <c r="Q6360" s="5"/>
      <c r="R6360" s="5"/>
      <c r="S6360" s="5"/>
      <c r="T6360" s="5"/>
      <c r="U6360" s="5"/>
      <c r="V6360" s="5"/>
      <c r="W6360" s="5"/>
      <c r="X6360" s="5"/>
      <c r="Y6360" s="5"/>
      <c r="Z6360" s="5"/>
    </row>
    <row r="6361" spans="1:26" ht="15" x14ac:dyDescent="0.25">
      <c r="A6361" s="4" t="s">
        <v>6359</v>
      </c>
      <c r="B6361" s="4" t="s">
        <v>4550</v>
      </c>
      <c r="C6361" s="2" t="str">
        <f ca="1">IFERROR(__xludf.DUMMYFUNCTION("GOOGLETRANSLATE(A6361,""bn"",""en"")"),"I sent money to Bikash")</f>
        <v>I sent money to Bikash</v>
      </c>
      <c r="D6361" s="5"/>
      <c r="E6361" s="5"/>
      <c r="F6361" s="5"/>
      <c r="G6361" s="5"/>
      <c r="H6361" s="5"/>
      <c r="I6361" s="5"/>
      <c r="J6361" s="5"/>
      <c r="K6361" s="5"/>
      <c r="L6361" s="5"/>
      <c r="M6361" s="5"/>
      <c r="N6361" s="5"/>
      <c r="O6361" s="5"/>
      <c r="P6361" s="5"/>
      <c r="Q6361" s="5"/>
      <c r="R6361" s="5"/>
      <c r="S6361" s="5"/>
      <c r="T6361" s="5"/>
      <c r="U6361" s="5"/>
      <c r="V6361" s="5"/>
      <c r="W6361" s="5"/>
      <c r="X6361" s="5"/>
      <c r="Y6361" s="5"/>
      <c r="Z6361" s="5"/>
    </row>
    <row r="6362" spans="1:26" ht="15" x14ac:dyDescent="0.25">
      <c r="A6362" s="4" t="s">
        <v>6360</v>
      </c>
      <c r="B6362" s="4" t="s">
        <v>4550</v>
      </c>
      <c r="C6362" s="2" t="str">
        <f ca="1">IFERROR(__xludf.DUMMYFUNCTION("GOOGLETRANSLATE(A6362,""bn"",""en"")"),"I promised humanity")</f>
        <v>I promised humanity</v>
      </c>
      <c r="D6362" s="5"/>
      <c r="E6362" s="5"/>
      <c r="F6362" s="5"/>
      <c r="G6362" s="5"/>
      <c r="H6362" s="5"/>
      <c r="I6362" s="5"/>
      <c r="J6362" s="5"/>
      <c r="K6362" s="5"/>
      <c r="L6362" s="5"/>
      <c r="M6362" s="5"/>
      <c r="N6362" s="5"/>
      <c r="O6362" s="5"/>
      <c r="P6362" s="5"/>
      <c r="Q6362" s="5"/>
      <c r="R6362" s="5"/>
      <c r="S6362" s="5"/>
      <c r="T6362" s="5"/>
      <c r="U6362" s="5"/>
      <c r="V6362" s="5"/>
      <c r="W6362" s="5"/>
      <c r="X6362" s="5"/>
      <c r="Y6362" s="5"/>
      <c r="Z6362" s="5"/>
    </row>
    <row r="6363" spans="1:26" ht="15" x14ac:dyDescent="0.25">
      <c r="A6363" s="4" t="s">
        <v>6361</v>
      </c>
      <c r="B6363" s="4" t="s">
        <v>4550</v>
      </c>
      <c r="C6363" s="2" t="str">
        <f ca="1">IFERROR(__xludf.DUMMYFUNCTION("GOOGLETRANSLATE(A6363,""bn"",""en"")"),"He was a foodie")</f>
        <v>He was a foodie</v>
      </c>
      <c r="D6363" s="5"/>
      <c r="E6363" s="5"/>
      <c r="F6363" s="5"/>
      <c r="G6363" s="5"/>
      <c r="H6363" s="5"/>
      <c r="I6363" s="5"/>
      <c r="J6363" s="5"/>
      <c r="K6363" s="5"/>
      <c r="L6363" s="5"/>
      <c r="M6363" s="5"/>
      <c r="N6363" s="5"/>
      <c r="O6363" s="5"/>
      <c r="P6363" s="5"/>
      <c r="Q6363" s="5"/>
      <c r="R6363" s="5"/>
      <c r="S6363" s="5"/>
      <c r="T6363" s="5"/>
      <c r="U6363" s="5"/>
      <c r="V6363" s="5"/>
      <c r="W6363" s="5"/>
      <c r="X6363" s="5"/>
      <c r="Y6363" s="5"/>
      <c r="Z6363" s="5"/>
    </row>
    <row r="6364" spans="1:26" ht="15" x14ac:dyDescent="0.25">
      <c r="A6364" s="4" t="s">
        <v>6362</v>
      </c>
      <c r="B6364" s="4" t="s">
        <v>4550</v>
      </c>
      <c r="C6364" s="2" t="str">
        <f ca="1">IFERROR(__xludf.DUMMYFUNCTION("GOOGLETRANSLATE(A6364,""bn"",""en"")"),"I used desktop")</f>
        <v>I used desktop</v>
      </c>
      <c r="D6364" s="5"/>
      <c r="E6364" s="5"/>
      <c r="F6364" s="5"/>
      <c r="G6364" s="5"/>
      <c r="H6364" s="5"/>
      <c r="I6364" s="5"/>
      <c r="J6364" s="5"/>
      <c r="K6364" s="5"/>
      <c r="L6364" s="5"/>
      <c r="M6364" s="5"/>
      <c r="N6364" s="5"/>
      <c r="O6364" s="5"/>
      <c r="P6364" s="5"/>
      <c r="Q6364" s="5"/>
      <c r="R6364" s="5"/>
      <c r="S6364" s="5"/>
      <c r="T6364" s="5"/>
      <c r="U6364" s="5"/>
      <c r="V6364" s="5"/>
      <c r="W6364" s="5"/>
      <c r="X6364" s="5"/>
      <c r="Y6364" s="5"/>
      <c r="Z6364" s="5"/>
    </row>
    <row r="6365" spans="1:26" ht="15" x14ac:dyDescent="0.25">
      <c r="A6365" s="4" t="s">
        <v>6363</v>
      </c>
      <c r="B6365" s="4" t="s">
        <v>4550</v>
      </c>
      <c r="C6365" s="2" t="str">
        <f ca="1">IFERROR(__xludf.DUMMYFUNCTION("GOOGLETRANSLATE(A6365,""bn"",""en"")"),"I was collecting money")</f>
        <v>I was collecting money</v>
      </c>
      <c r="D6365" s="5"/>
      <c r="E6365" s="5"/>
      <c r="F6365" s="5"/>
      <c r="G6365" s="5"/>
      <c r="H6365" s="5"/>
      <c r="I6365" s="5"/>
      <c r="J6365" s="5"/>
      <c r="K6365" s="5"/>
      <c r="L6365" s="5"/>
      <c r="M6365" s="5"/>
      <c r="N6365" s="5"/>
      <c r="O6365" s="5"/>
      <c r="P6365" s="5"/>
      <c r="Q6365" s="5"/>
      <c r="R6365" s="5"/>
      <c r="S6365" s="5"/>
      <c r="T6365" s="5"/>
      <c r="U6365" s="5"/>
      <c r="V6365" s="5"/>
      <c r="W6365" s="5"/>
      <c r="X6365" s="5"/>
      <c r="Y6365" s="5"/>
      <c r="Z6365" s="5"/>
    </row>
    <row r="6366" spans="1:26" ht="15" x14ac:dyDescent="0.25">
      <c r="A6366" s="4" t="s">
        <v>6364</v>
      </c>
      <c r="B6366" s="4" t="s">
        <v>4550</v>
      </c>
      <c r="C6366" s="2" t="str">
        <f ca="1">IFERROR(__xludf.DUMMYFUNCTION("GOOGLETRANSLATE(A6366,""bn"",""en"")"),"I bought necessary food")</f>
        <v>I bought necessary food</v>
      </c>
      <c r="D6366" s="5"/>
      <c r="E6366" s="5"/>
      <c r="F6366" s="5"/>
      <c r="G6366" s="5"/>
      <c r="H6366" s="5"/>
      <c r="I6366" s="5"/>
      <c r="J6366" s="5"/>
      <c r="K6366" s="5"/>
      <c r="L6366" s="5"/>
      <c r="M6366" s="5"/>
      <c r="N6366" s="5"/>
      <c r="O6366" s="5"/>
      <c r="P6366" s="5"/>
      <c r="Q6366" s="5"/>
      <c r="R6366" s="5"/>
      <c r="S6366" s="5"/>
      <c r="T6366" s="5"/>
      <c r="U6366" s="5"/>
      <c r="V6366" s="5"/>
      <c r="W6366" s="5"/>
      <c r="X6366" s="5"/>
      <c r="Y6366" s="5"/>
      <c r="Z6366" s="5"/>
    </row>
    <row r="6367" spans="1:26" ht="15" x14ac:dyDescent="0.25">
      <c r="A6367" s="4" t="s">
        <v>6365</v>
      </c>
      <c r="B6367" s="4" t="s">
        <v>4550</v>
      </c>
      <c r="C6367" s="2" t="str">
        <f ca="1">IFERROR(__xludf.DUMMYFUNCTION("GOOGLETRANSLATE(A6367,""bn"",""en"")"),"I used the webcam")</f>
        <v>I used the webcam</v>
      </c>
      <c r="D6367" s="5"/>
      <c r="E6367" s="5"/>
      <c r="F6367" s="5"/>
      <c r="G6367" s="5"/>
      <c r="H6367" s="5"/>
      <c r="I6367" s="5"/>
      <c r="J6367" s="5"/>
      <c r="K6367" s="5"/>
      <c r="L6367" s="5"/>
      <c r="M6367" s="5"/>
      <c r="N6367" s="5"/>
      <c r="O6367" s="5"/>
      <c r="P6367" s="5"/>
      <c r="Q6367" s="5"/>
      <c r="R6367" s="5"/>
      <c r="S6367" s="5"/>
      <c r="T6367" s="5"/>
      <c r="U6367" s="5"/>
      <c r="V6367" s="5"/>
      <c r="W6367" s="5"/>
      <c r="X6367" s="5"/>
      <c r="Y6367" s="5"/>
      <c r="Z6367" s="5"/>
    </row>
    <row r="6368" spans="1:26" ht="15" x14ac:dyDescent="0.25">
      <c r="A6368" s="4" t="s">
        <v>6366</v>
      </c>
      <c r="B6368" s="4" t="s">
        <v>4550</v>
      </c>
      <c r="C6368" s="2" t="str">
        <f ca="1">IFERROR(__xludf.DUMMYFUNCTION("GOOGLETRANSLATE(A6368,""bn"",""en"")"),"you went to school")</f>
        <v>you went to school</v>
      </c>
      <c r="D6368" s="5"/>
      <c r="E6368" s="5"/>
      <c r="F6368" s="5"/>
      <c r="G6368" s="5"/>
      <c r="H6368" s="5"/>
      <c r="I6368" s="5"/>
      <c r="J6368" s="5"/>
      <c r="K6368" s="5"/>
      <c r="L6368" s="5"/>
      <c r="M6368" s="5"/>
      <c r="N6368" s="5"/>
      <c r="O6368" s="5"/>
      <c r="P6368" s="5"/>
      <c r="Q6368" s="5"/>
      <c r="R6368" s="5"/>
      <c r="S6368" s="5"/>
      <c r="T6368" s="5"/>
      <c r="U6368" s="5"/>
      <c r="V6368" s="5"/>
      <c r="W6368" s="5"/>
      <c r="X6368" s="5"/>
      <c r="Y6368" s="5"/>
      <c r="Z6368" s="5"/>
    </row>
    <row r="6369" spans="1:26" ht="15" x14ac:dyDescent="0.25">
      <c r="A6369" s="4" t="s">
        <v>6367</v>
      </c>
      <c r="B6369" s="4" t="s">
        <v>4550</v>
      </c>
      <c r="C6369" s="2" t="str">
        <f ca="1">IFERROR(__xludf.DUMMYFUNCTION("GOOGLETRANSLATE(A6369,""bn"",""en"")"),"I gave medical care")</f>
        <v>I gave medical care</v>
      </c>
      <c r="D6369" s="5"/>
      <c r="E6369" s="5"/>
      <c r="F6369" s="5"/>
      <c r="G6369" s="5"/>
      <c r="H6369" s="5"/>
      <c r="I6369" s="5"/>
      <c r="J6369" s="5"/>
      <c r="K6369" s="5"/>
      <c r="L6369" s="5"/>
      <c r="M6369" s="5"/>
      <c r="N6369" s="5"/>
      <c r="O6369" s="5"/>
      <c r="P6369" s="5"/>
      <c r="Q6369" s="5"/>
      <c r="R6369" s="5"/>
      <c r="S6369" s="5"/>
      <c r="T6369" s="5"/>
      <c r="U6369" s="5"/>
      <c r="V6369" s="5"/>
      <c r="W6369" s="5"/>
      <c r="X6369" s="5"/>
      <c r="Y6369" s="5"/>
      <c r="Z6369" s="5"/>
    </row>
    <row r="6370" spans="1:26" ht="15" x14ac:dyDescent="0.25">
      <c r="A6370" s="4" t="s">
        <v>6368</v>
      </c>
      <c r="B6370" s="4" t="s">
        <v>4550</v>
      </c>
      <c r="C6370" s="2" t="str">
        <f ca="1">IFERROR(__xludf.DUMMYFUNCTION("GOOGLETRANSLATE(A6370,""bn"",""en"")"),"I used the speaker")</f>
        <v>I used the speaker</v>
      </c>
      <c r="D6370" s="5"/>
      <c r="E6370" s="5"/>
      <c r="F6370" s="5"/>
      <c r="G6370" s="5"/>
      <c r="H6370" s="5"/>
      <c r="I6370" s="5"/>
      <c r="J6370" s="5"/>
      <c r="K6370" s="5"/>
      <c r="L6370" s="5"/>
      <c r="M6370" s="5"/>
      <c r="N6370" s="5"/>
      <c r="O6370" s="5"/>
      <c r="P6370" s="5"/>
      <c r="Q6370" s="5"/>
      <c r="R6370" s="5"/>
      <c r="S6370" s="5"/>
      <c r="T6370" s="5"/>
      <c r="U6370" s="5"/>
      <c r="V6370" s="5"/>
      <c r="W6370" s="5"/>
      <c r="X6370" s="5"/>
      <c r="Y6370" s="5"/>
      <c r="Z6370" s="5"/>
    </row>
    <row r="6371" spans="1:26" ht="15" x14ac:dyDescent="0.25">
      <c r="A6371" s="4" t="s">
        <v>6369</v>
      </c>
      <c r="B6371" s="4" t="s">
        <v>4550</v>
      </c>
      <c r="C6371" s="2" t="str">
        <f ca="1">IFERROR(__xludf.DUMMYFUNCTION("GOOGLETRANSLATE(A6371,""bn"",""en"")"),"I sent the email easily")</f>
        <v>I sent the email easily</v>
      </c>
      <c r="D6371" s="5"/>
      <c r="E6371" s="5"/>
      <c r="F6371" s="5"/>
      <c r="G6371" s="5"/>
      <c r="H6371" s="5"/>
      <c r="I6371" s="5"/>
      <c r="J6371" s="5"/>
      <c r="K6371" s="5"/>
      <c r="L6371" s="5"/>
      <c r="M6371" s="5"/>
      <c r="N6371" s="5"/>
      <c r="O6371" s="5"/>
      <c r="P6371" s="5"/>
      <c r="Q6371" s="5"/>
      <c r="R6371" s="5"/>
      <c r="S6371" s="5"/>
      <c r="T6371" s="5"/>
      <c r="U6371" s="5"/>
      <c r="V6371" s="5"/>
      <c r="W6371" s="5"/>
      <c r="X6371" s="5"/>
      <c r="Y6371" s="5"/>
      <c r="Z6371" s="5"/>
    </row>
    <row r="6372" spans="1:26" ht="15" x14ac:dyDescent="0.25">
      <c r="A6372" s="4" t="s">
        <v>6370</v>
      </c>
      <c r="B6372" s="4" t="s">
        <v>4550</v>
      </c>
      <c r="C6372" s="2" t="str">
        <f ca="1">IFERROR(__xludf.DUMMYFUNCTION("GOOGLETRANSLATE(A6372,""bn"",""en"")"),"The bank provided support")</f>
        <v>The bank provided support</v>
      </c>
      <c r="D6372" s="5"/>
      <c r="E6372" s="5"/>
      <c r="F6372" s="5"/>
      <c r="G6372" s="5"/>
      <c r="H6372" s="5"/>
      <c r="I6372" s="5"/>
      <c r="J6372" s="5"/>
      <c r="K6372" s="5"/>
      <c r="L6372" s="5"/>
      <c r="M6372" s="5"/>
      <c r="N6372" s="5"/>
      <c r="O6372" s="5"/>
      <c r="P6372" s="5"/>
      <c r="Q6372" s="5"/>
      <c r="R6372" s="5"/>
      <c r="S6372" s="5"/>
      <c r="T6372" s="5"/>
      <c r="U6372" s="5"/>
      <c r="V6372" s="5"/>
      <c r="W6372" s="5"/>
      <c r="X6372" s="5"/>
      <c r="Y6372" s="5"/>
      <c r="Z6372" s="5"/>
    </row>
    <row r="6373" spans="1:26" ht="15" x14ac:dyDescent="0.25">
      <c r="A6373" s="4" t="s">
        <v>6371</v>
      </c>
      <c r="B6373" s="4" t="s">
        <v>4550</v>
      </c>
      <c r="C6373" s="2" t="str">
        <f ca="1">IFERROR(__xludf.DUMMYFUNCTION("GOOGLETRANSLATE(A6373,""bn"",""en"")"),"Always loved football")</f>
        <v>Always loved football</v>
      </c>
      <c r="D6373" s="5"/>
      <c r="E6373" s="5"/>
      <c r="F6373" s="5"/>
      <c r="G6373" s="5"/>
      <c r="H6373" s="5"/>
      <c r="I6373" s="5"/>
      <c r="J6373" s="5"/>
      <c r="K6373" s="5"/>
      <c r="L6373" s="5"/>
      <c r="M6373" s="5"/>
      <c r="N6373" s="5"/>
      <c r="O6373" s="5"/>
      <c r="P6373" s="5"/>
      <c r="Q6373" s="5"/>
      <c r="R6373" s="5"/>
      <c r="S6373" s="5"/>
      <c r="T6373" s="5"/>
      <c r="U6373" s="5"/>
      <c r="V6373" s="5"/>
      <c r="W6373" s="5"/>
      <c r="X6373" s="5"/>
      <c r="Y6373" s="5"/>
      <c r="Z6373" s="5"/>
    </row>
    <row r="6374" spans="1:26" ht="15" x14ac:dyDescent="0.25">
      <c r="A6374" s="4" t="s">
        <v>6372</v>
      </c>
      <c r="B6374" s="4" t="s">
        <v>4550</v>
      </c>
      <c r="C6374" s="2" t="str">
        <f ca="1">IFERROR(__xludf.DUMMYFUNCTION("GOOGLETRANSLATE(A6374,""bn"",""en"")"),"I used the computer")</f>
        <v>I used the computer</v>
      </c>
      <c r="D6374" s="5"/>
      <c r="E6374" s="5"/>
      <c r="F6374" s="5"/>
      <c r="G6374" s="5"/>
      <c r="H6374" s="5"/>
      <c r="I6374" s="5"/>
      <c r="J6374" s="5"/>
      <c r="K6374" s="5"/>
      <c r="L6374" s="5"/>
      <c r="M6374" s="5"/>
      <c r="N6374" s="5"/>
      <c r="O6374" s="5"/>
      <c r="P6374" s="5"/>
      <c r="Q6374" s="5"/>
      <c r="R6374" s="5"/>
      <c r="S6374" s="5"/>
      <c r="T6374" s="5"/>
      <c r="U6374" s="5"/>
      <c r="V6374" s="5"/>
      <c r="W6374" s="5"/>
      <c r="X6374" s="5"/>
      <c r="Y6374" s="5"/>
      <c r="Z6374" s="5"/>
    </row>
    <row r="6375" spans="1:26" ht="15" x14ac:dyDescent="0.25">
      <c r="A6375" s="4" t="s">
        <v>6373</v>
      </c>
      <c r="B6375" s="4" t="s">
        <v>4550</v>
      </c>
      <c r="C6375" s="2" t="str">
        <f ca="1">IFERROR(__xludf.DUMMYFUNCTION("GOOGLETRANSLATE(A6375,""bn"",""en"")"),"I took IT training")</f>
        <v>I took IT training</v>
      </c>
      <c r="D6375" s="5"/>
      <c r="E6375" s="5"/>
      <c r="F6375" s="5"/>
      <c r="G6375" s="5"/>
      <c r="H6375" s="5"/>
      <c r="I6375" s="5"/>
      <c r="J6375" s="5"/>
      <c r="K6375" s="5"/>
      <c r="L6375" s="5"/>
      <c r="M6375" s="5"/>
      <c r="N6375" s="5"/>
      <c r="O6375" s="5"/>
      <c r="P6375" s="5"/>
      <c r="Q6375" s="5"/>
      <c r="R6375" s="5"/>
      <c r="S6375" s="5"/>
      <c r="T6375" s="5"/>
      <c r="U6375" s="5"/>
      <c r="V6375" s="5"/>
      <c r="W6375" s="5"/>
      <c r="X6375" s="5"/>
      <c r="Y6375" s="5"/>
      <c r="Z6375" s="5"/>
    </row>
    <row r="6376" spans="1:26" ht="15" x14ac:dyDescent="0.25">
      <c r="A6376" s="4" t="s">
        <v>6374</v>
      </c>
      <c r="B6376" s="4" t="s">
        <v>4550</v>
      </c>
      <c r="C6376" s="2" t="str">
        <f ca="1">IFERROR(__xludf.DUMMYFUNCTION("GOOGLETRANSLATE(A6376,""bn"",""en"")"),"He was leading by example")</f>
        <v>He was leading by example</v>
      </c>
      <c r="D6376" s="5"/>
      <c r="E6376" s="5"/>
      <c r="F6376" s="5"/>
      <c r="G6376" s="5"/>
      <c r="H6376" s="5"/>
      <c r="I6376" s="5"/>
      <c r="J6376" s="5"/>
      <c r="K6376" s="5"/>
      <c r="L6376" s="5"/>
      <c r="M6376" s="5"/>
      <c r="N6376" s="5"/>
      <c r="O6376" s="5"/>
      <c r="P6376" s="5"/>
      <c r="Q6376" s="5"/>
      <c r="R6376" s="5"/>
      <c r="S6376" s="5"/>
      <c r="T6376" s="5"/>
      <c r="U6376" s="5"/>
      <c r="V6376" s="5"/>
      <c r="W6376" s="5"/>
      <c r="X6376" s="5"/>
      <c r="Y6376" s="5"/>
      <c r="Z6376" s="5"/>
    </row>
    <row r="6377" spans="1:26" ht="15" x14ac:dyDescent="0.25">
      <c r="A6377" s="4" t="s">
        <v>6375</v>
      </c>
      <c r="B6377" s="4" t="s">
        <v>4550</v>
      </c>
      <c r="C6377" s="2" t="str">
        <f ca="1">IFERROR(__xludf.DUMMYFUNCTION("GOOGLETRANSLATE(A6377,""bn"",""en"")"),"The news was spreading")</f>
        <v>The news was spreading</v>
      </c>
      <c r="D6377" s="5"/>
      <c r="E6377" s="5"/>
      <c r="F6377" s="5"/>
      <c r="G6377" s="5"/>
      <c r="H6377" s="5"/>
      <c r="I6377" s="5"/>
      <c r="J6377" s="5"/>
      <c r="K6377" s="5"/>
      <c r="L6377" s="5"/>
      <c r="M6377" s="5"/>
      <c r="N6377" s="5"/>
      <c r="O6377" s="5"/>
      <c r="P6377" s="5"/>
      <c r="Q6377" s="5"/>
      <c r="R6377" s="5"/>
      <c r="S6377" s="5"/>
      <c r="T6377" s="5"/>
      <c r="U6377" s="5"/>
      <c r="V6377" s="5"/>
      <c r="W6377" s="5"/>
      <c r="X6377" s="5"/>
      <c r="Y6377" s="5"/>
      <c r="Z6377" s="5"/>
    </row>
    <row r="6378" spans="1:26" ht="15" x14ac:dyDescent="0.25">
      <c r="A6378" s="4" t="s">
        <v>6376</v>
      </c>
      <c r="B6378" s="4" t="s">
        <v>4550</v>
      </c>
      <c r="C6378" s="2" t="str">
        <f ca="1">IFERROR(__xludf.DUMMYFUNCTION("GOOGLETRANSLATE(A6378,""bn"",""en"")"),"He went to school")</f>
        <v>He went to school</v>
      </c>
      <c r="D6378" s="5"/>
      <c r="E6378" s="5"/>
      <c r="F6378" s="5"/>
      <c r="G6378" s="5"/>
      <c r="H6378" s="5"/>
      <c r="I6378" s="5"/>
      <c r="J6378" s="5"/>
      <c r="K6378" s="5"/>
      <c r="L6378" s="5"/>
      <c r="M6378" s="5"/>
      <c r="N6378" s="5"/>
      <c r="O6378" s="5"/>
      <c r="P6378" s="5"/>
      <c r="Q6378" s="5"/>
      <c r="R6378" s="5"/>
      <c r="S6378" s="5"/>
      <c r="T6378" s="5"/>
      <c r="U6378" s="5"/>
      <c r="V6378" s="5"/>
      <c r="W6378" s="5"/>
      <c r="X6378" s="5"/>
      <c r="Y6378" s="5"/>
      <c r="Z6378" s="5"/>
    </row>
    <row r="6379" spans="1:26" ht="15" x14ac:dyDescent="0.25">
      <c r="A6379" s="4" t="s">
        <v>6377</v>
      </c>
      <c r="B6379" s="4" t="s">
        <v>4550</v>
      </c>
      <c r="C6379" s="2" t="str">
        <f ca="1">IFERROR(__xludf.DUMMYFUNCTION("GOOGLETRANSLATE(A6379,""bn"",""en"")"),"Electricity production was increasing")</f>
        <v>Electricity production was increasing</v>
      </c>
      <c r="D6379" s="5"/>
      <c r="E6379" s="5"/>
      <c r="F6379" s="5"/>
      <c r="G6379" s="5"/>
      <c r="H6379" s="5"/>
      <c r="I6379" s="5"/>
      <c r="J6379" s="5"/>
      <c r="K6379" s="5"/>
      <c r="L6379" s="5"/>
      <c r="M6379" s="5"/>
      <c r="N6379" s="5"/>
      <c r="O6379" s="5"/>
      <c r="P6379" s="5"/>
      <c r="Q6379" s="5"/>
      <c r="R6379" s="5"/>
      <c r="S6379" s="5"/>
      <c r="T6379" s="5"/>
      <c r="U6379" s="5"/>
      <c r="V6379" s="5"/>
      <c r="W6379" s="5"/>
      <c r="X6379" s="5"/>
      <c r="Y6379" s="5"/>
      <c r="Z6379" s="5"/>
    </row>
    <row r="6380" spans="1:26" ht="15" x14ac:dyDescent="0.25">
      <c r="A6380" s="4" t="s">
        <v>6378</v>
      </c>
      <c r="B6380" s="4" t="s">
        <v>4550</v>
      </c>
      <c r="C6380" s="2" t="str">
        <f ca="1">IFERROR(__xludf.DUMMYFUNCTION("GOOGLETRANSLATE(A6380,""bn"",""en"")"),"I used bluetooth")</f>
        <v>I used bluetooth</v>
      </c>
      <c r="D6380" s="5"/>
      <c r="E6380" s="5"/>
      <c r="F6380" s="5"/>
      <c r="G6380" s="5"/>
      <c r="H6380" s="5"/>
      <c r="I6380" s="5"/>
      <c r="J6380" s="5"/>
      <c r="K6380" s="5"/>
      <c r="L6380" s="5"/>
      <c r="M6380" s="5"/>
      <c r="N6380" s="5"/>
      <c r="O6380" s="5"/>
      <c r="P6380" s="5"/>
      <c r="Q6380" s="5"/>
      <c r="R6380" s="5"/>
      <c r="S6380" s="5"/>
      <c r="T6380" s="5"/>
      <c r="U6380" s="5"/>
      <c r="V6380" s="5"/>
      <c r="W6380" s="5"/>
      <c r="X6380" s="5"/>
      <c r="Y6380" s="5"/>
      <c r="Z6380" s="5"/>
    </row>
    <row r="6381" spans="1:26" ht="15" x14ac:dyDescent="0.25">
      <c r="A6381" s="4" t="s">
        <v>6379</v>
      </c>
      <c r="B6381" s="4" t="s">
        <v>4550</v>
      </c>
      <c r="C6381" s="2" t="str">
        <f ca="1">IFERROR(__xludf.DUMMYFUNCTION("GOOGLETRANSLATE(A6381,""bn"",""en"")"),"I was going to publish research")</f>
        <v>I was going to publish research</v>
      </c>
      <c r="D6381" s="5"/>
      <c r="E6381" s="5"/>
      <c r="F6381" s="5"/>
      <c r="G6381" s="5"/>
      <c r="H6381" s="5"/>
      <c r="I6381" s="5"/>
      <c r="J6381" s="5"/>
      <c r="K6381" s="5"/>
      <c r="L6381" s="5"/>
      <c r="M6381" s="5"/>
      <c r="N6381" s="5"/>
      <c r="O6381" s="5"/>
      <c r="P6381" s="5"/>
      <c r="Q6381" s="5"/>
      <c r="R6381" s="5"/>
      <c r="S6381" s="5"/>
      <c r="T6381" s="5"/>
      <c r="U6381" s="5"/>
      <c r="V6381" s="5"/>
      <c r="W6381" s="5"/>
      <c r="X6381" s="5"/>
      <c r="Y6381" s="5"/>
      <c r="Z6381" s="5"/>
    </row>
    <row r="6382" spans="1:26" ht="15" x14ac:dyDescent="0.25">
      <c r="A6382" s="4" t="s">
        <v>6380</v>
      </c>
      <c r="B6382" s="4" t="s">
        <v>4550</v>
      </c>
      <c r="C6382" s="2" t="str">
        <f ca="1">IFERROR(__xludf.DUMMYFUNCTION("GOOGLETRANSLATE(A6382,""bn"",""en"")"),"I was testing the software")</f>
        <v>I was testing the software</v>
      </c>
      <c r="D6382" s="5"/>
      <c r="E6382" s="5"/>
      <c r="F6382" s="5"/>
      <c r="G6382" s="5"/>
      <c r="H6382" s="5"/>
      <c r="I6382" s="5"/>
      <c r="J6382" s="5"/>
      <c r="K6382" s="5"/>
      <c r="L6382" s="5"/>
      <c r="M6382" s="5"/>
      <c r="N6382" s="5"/>
      <c r="O6382" s="5"/>
      <c r="P6382" s="5"/>
      <c r="Q6382" s="5"/>
      <c r="R6382" s="5"/>
      <c r="S6382" s="5"/>
      <c r="T6382" s="5"/>
      <c r="U6382" s="5"/>
      <c r="V6382" s="5"/>
      <c r="W6382" s="5"/>
      <c r="X6382" s="5"/>
      <c r="Y6382" s="5"/>
      <c r="Z6382" s="5"/>
    </row>
    <row r="6383" spans="1:26" ht="15" x14ac:dyDescent="0.25">
      <c r="A6383" s="4" t="s">
        <v>6381</v>
      </c>
      <c r="B6383" s="4" t="s">
        <v>4550</v>
      </c>
      <c r="C6383" s="2" t="str">
        <f ca="1">IFERROR(__xludf.DUMMYFUNCTION("GOOGLETRANSLATE(A6383,""bn"",""en"")"),"you were going to school")</f>
        <v>you were going to school</v>
      </c>
      <c r="D6383" s="5"/>
      <c r="E6383" s="5"/>
      <c r="F6383" s="5"/>
      <c r="G6383" s="5"/>
      <c r="H6383" s="5"/>
      <c r="I6383" s="5"/>
      <c r="J6383" s="5"/>
      <c r="K6383" s="5"/>
      <c r="L6383" s="5"/>
      <c r="M6383" s="5"/>
      <c r="N6383" s="5"/>
      <c r="O6383" s="5"/>
      <c r="P6383" s="5"/>
      <c r="Q6383" s="5"/>
      <c r="R6383" s="5"/>
      <c r="S6383" s="5"/>
      <c r="T6383" s="5"/>
      <c r="U6383" s="5"/>
      <c r="V6383" s="5"/>
      <c r="W6383" s="5"/>
      <c r="X6383" s="5"/>
      <c r="Y6383" s="5"/>
      <c r="Z6383" s="5"/>
    </row>
    <row r="6384" spans="1:26" ht="15" x14ac:dyDescent="0.25">
      <c r="A6384" s="4" t="s">
        <v>6382</v>
      </c>
      <c r="B6384" s="4" t="s">
        <v>4550</v>
      </c>
      <c r="C6384" s="2" t="str">
        <f ca="1">IFERROR(__xludf.DUMMYFUNCTION("GOOGLETRANSLATE(A6384,""bn"",""en"")"),"Students read the story")</f>
        <v>Students read the story</v>
      </c>
      <c r="D6384" s="5"/>
      <c r="E6384" s="5"/>
      <c r="F6384" s="5"/>
      <c r="G6384" s="5"/>
      <c r="H6384" s="5"/>
      <c r="I6384" s="5"/>
      <c r="J6384" s="5"/>
      <c r="K6384" s="5"/>
      <c r="L6384" s="5"/>
      <c r="M6384" s="5"/>
      <c r="N6384" s="5"/>
      <c r="O6384" s="5"/>
      <c r="P6384" s="5"/>
      <c r="Q6384" s="5"/>
      <c r="R6384" s="5"/>
      <c r="S6384" s="5"/>
      <c r="T6384" s="5"/>
      <c r="U6384" s="5"/>
      <c r="V6384" s="5"/>
      <c r="W6384" s="5"/>
      <c r="X6384" s="5"/>
      <c r="Y6384" s="5"/>
      <c r="Z6384" s="5"/>
    </row>
    <row r="6385" spans="1:26" ht="15" x14ac:dyDescent="0.25">
      <c r="A6385" s="4" t="s">
        <v>6383</v>
      </c>
      <c r="B6385" s="4" t="s">
        <v>4550</v>
      </c>
      <c r="C6385" s="2" t="str">
        <f ca="1">IFERROR(__xludf.DUMMYFUNCTION("GOOGLETRANSLATE(A6385,""bn"",""en"")"),"I discovered technology")</f>
        <v>I discovered technology</v>
      </c>
      <c r="D6385" s="5"/>
      <c r="E6385" s="5"/>
      <c r="F6385" s="5"/>
      <c r="G6385" s="5"/>
      <c r="H6385" s="5"/>
      <c r="I6385" s="5"/>
      <c r="J6385" s="5"/>
      <c r="K6385" s="5"/>
      <c r="L6385" s="5"/>
      <c r="M6385" s="5"/>
      <c r="N6385" s="5"/>
      <c r="O6385" s="5"/>
      <c r="P6385" s="5"/>
      <c r="Q6385" s="5"/>
      <c r="R6385" s="5"/>
      <c r="S6385" s="5"/>
      <c r="T6385" s="5"/>
      <c r="U6385" s="5"/>
      <c r="V6385" s="5"/>
      <c r="W6385" s="5"/>
      <c r="X6385" s="5"/>
      <c r="Y6385" s="5"/>
      <c r="Z6385" s="5"/>
    </row>
    <row r="6386" spans="1:26" ht="15" x14ac:dyDescent="0.25">
      <c r="A6386" s="4" t="s">
        <v>6384</v>
      </c>
      <c r="B6386" s="4" t="s">
        <v>4550</v>
      </c>
      <c r="C6386" s="2" t="str">
        <f ca="1">IFERROR(__xludf.DUMMYFUNCTION("GOOGLETRANSLATE(A6386,""bn"",""en"")"),"You learned numbers")</f>
        <v>You learned numbers</v>
      </c>
      <c r="D6386" s="5"/>
      <c r="E6386" s="5"/>
      <c r="F6386" s="5"/>
      <c r="G6386" s="5"/>
      <c r="H6386" s="5"/>
      <c r="I6386" s="5"/>
      <c r="J6386" s="5"/>
      <c r="K6386" s="5"/>
      <c r="L6386" s="5"/>
      <c r="M6386" s="5"/>
      <c r="N6386" s="5"/>
      <c r="O6386" s="5"/>
      <c r="P6386" s="5"/>
      <c r="Q6386" s="5"/>
      <c r="R6386" s="5"/>
      <c r="S6386" s="5"/>
      <c r="T6386" s="5"/>
      <c r="U6386" s="5"/>
      <c r="V6386" s="5"/>
      <c r="W6386" s="5"/>
      <c r="X6386" s="5"/>
      <c r="Y6386" s="5"/>
      <c r="Z6386" s="5"/>
    </row>
    <row r="6387" spans="1:26" ht="15" x14ac:dyDescent="0.25">
      <c r="A6387" s="4" t="s">
        <v>6385</v>
      </c>
      <c r="B6387" s="4" t="s">
        <v>4550</v>
      </c>
      <c r="C6387" s="2" t="str">
        <f ca="1">IFERROR(__xludf.DUMMYFUNCTION("GOOGLETRANSLATE(A6387,""bn"",""en"")"),"Students became self-reliant")</f>
        <v>Students became self-reliant</v>
      </c>
      <c r="D6387" s="5"/>
      <c r="E6387" s="5"/>
      <c r="F6387" s="5"/>
      <c r="G6387" s="5"/>
      <c r="H6387" s="5"/>
      <c r="I6387" s="5"/>
      <c r="J6387" s="5"/>
      <c r="K6387" s="5"/>
      <c r="L6387" s="5"/>
      <c r="M6387" s="5"/>
      <c r="N6387" s="5"/>
      <c r="O6387" s="5"/>
      <c r="P6387" s="5"/>
      <c r="Q6387" s="5"/>
      <c r="R6387" s="5"/>
      <c r="S6387" s="5"/>
      <c r="T6387" s="5"/>
      <c r="U6387" s="5"/>
      <c r="V6387" s="5"/>
      <c r="W6387" s="5"/>
      <c r="X6387" s="5"/>
      <c r="Y6387" s="5"/>
      <c r="Z6387" s="5"/>
    </row>
    <row r="6388" spans="1:26" ht="15" x14ac:dyDescent="0.25">
      <c r="A6388" s="4" t="s">
        <v>6386</v>
      </c>
      <c r="B6388" s="4" t="s">
        <v>4550</v>
      </c>
      <c r="C6388" s="2" t="str">
        <f ca="1">IFERROR(__xludf.DUMMYFUNCTION("GOOGLETRANSLATE(A6388,""bn"",""en"")"),"He wrote poetry in his spare time")</f>
        <v>He wrote poetry in his spare time</v>
      </c>
      <c r="D6388" s="5"/>
      <c r="E6388" s="5"/>
      <c r="F6388" s="5"/>
      <c r="G6388" s="5"/>
      <c r="H6388" s="5"/>
      <c r="I6388" s="5"/>
      <c r="J6388" s="5"/>
      <c r="K6388" s="5"/>
      <c r="L6388" s="5"/>
      <c r="M6388" s="5"/>
      <c r="N6388" s="5"/>
      <c r="O6388" s="5"/>
      <c r="P6388" s="5"/>
      <c r="Q6388" s="5"/>
      <c r="R6388" s="5"/>
      <c r="S6388" s="5"/>
      <c r="T6388" s="5"/>
      <c r="U6388" s="5"/>
      <c r="V6388" s="5"/>
      <c r="W6388" s="5"/>
      <c r="X6388" s="5"/>
      <c r="Y6388" s="5"/>
      <c r="Z6388" s="5"/>
    </row>
    <row r="6389" spans="1:26" ht="15" x14ac:dyDescent="0.25">
      <c r="A6389" s="4" t="s">
        <v>6387</v>
      </c>
      <c r="B6389" s="4" t="s">
        <v>4550</v>
      </c>
      <c r="C6389" s="2" t="str">
        <f ca="1">IFERROR(__xludf.DUMMYFUNCTION("GOOGLETRANSLATE(A6389,""bn"",""en"")"),"I read the paper")</f>
        <v>I read the paper</v>
      </c>
      <c r="D6389" s="5"/>
      <c r="E6389" s="5"/>
      <c r="F6389" s="5"/>
      <c r="G6389" s="5"/>
      <c r="H6389" s="5"/>
      <c r="I6389" s="5"/>
      <c r="J6389" s="5"/>
      <c r="K6389" s="5"/>
      <c r="L6389" s="5"/>
      <c r="M6389" s="5"/>
      <c r="N6389" s="5"/>
      <c r="O6389" s="5"/>
      <c r="P6389" s="5"/>
      <c r="Q6389" s="5"/>
      <c r="R6389" s="5"/>
      <c r="S6389" s="5"/>
      <c r="T6389" s="5"/>
      <c r="U6389" s="5"/>
      <c r="V6389" s="5"/>
      <c r="W6389" s="5"/>
      <c r="X6389" s="5"/>
      <c r="Y6389" s="5"/>
      <c r="Z6389" s="5"/>
    </row>
    <row r="6390" spans="1:26" ht="15" x14ac:dyDescent="0.25">
      <c r="A6390" s="4" t="s">
        <v>6388</v>
      </c>
      <c r="B6390" s="4" t="s">
        <v>4550</v>
      </c>
      <c r="C6390" s="2" t="str">
        <f ca="1">IFERROR(__xludf.DUMMYFUNCTION("GOOGLETRANSLATE(A6390,""bn"",""en"")"),"Zakat was paid")</f>
        <v>Zakat was paid</v>
      </c>
      <c r="D6390" s="5"/>
      <c r="E6390" s="5"/>
      <c r="F6390" s="5"/>
      <c r="G6390" s="5"/>
      <c r="H6390" s="5"/>
      <c r="I6390" s="5"/>
      <c r="J6390" s="5"/>
      <c r="K6390" s="5"/>
      <c r="L6390" s="5"/>
      <c r="M6390" s="5"/>
      <c r="N6390" s="5"/>
      <c r="O6390" s="5"/>
      <c r="P6390" s="5"/>
      <c r="Q6390" s="5"/>
      <c r="R6390" s="5"/>
      <c r="S6390" s="5"/>
      <c r="T6390" s="5"/>
      <c r="U6390" s="5"/>
      <c r="V6390" s="5"/>
      <c r="W6390" s="5"/>
      <c r="X6390" s="5"/>
      <c r="Y6390" s="5"/>
      <c r="Z6390" s="5"/>
    </row>
    <row r="6391" spans="1:26" ht="15" x14ac:dyDescent="0.25">
      <c r="A6391" s="4" t="s">
        <v>6389</v>
      </c>
      <c r="B6391" s="4" t="s">
        <v>4550</v>
      </c>
      <c r="C6391" s="2" t="str">
        <f ca="1">IFERROR(__xludf.DUMMYFUNCTION("GOOGLETRANSLATE(A6391,""bn"",""en"")"),"I was taking online classes")</f>
        <v>I was taking online classes</v>
      </c>
      <c r="D6391" s="5"/>
      <c r="E6391" s="5"/>
      <c r="F6391" s="5"/>
      <c r="G6391" s="5"/>
      <c r="H6391" s="5"/>
      <c r="I6391" s="5"/>
      <c r="J6391" s="5"/>
      <c r="K6391" s="5"/>
      <c r="L6391" s="5"/>
      <c r="M6391" s="5"/>
      <c r="N6391" s="5"/>
      <c r="O6391" s="5"/>
      <c r="P6391" s="5"/>
      <c r="Q6391" s="5"/>
      <c r="R6391" s="5"/>
      <c r="S6391" s="5"/>
      <c r="T6391" s="5"/>
      <c r="U6391" s="5"/>
      <c r="V6391" s="5"/>
      <c r="W6391" s="5"/>
      <c r="X6391" s="5"/>
      <c r="Y6391" s="5"/>
      <c r="Z6391" s="5"/>
    </row>
    <row r="6392" spans="1:26" ht="15" x14ac:dyDescent="0.25">
      <c r="A6392" s="4" t="s">
        <v>6390</v>
      </c>
      <c r="B6392" s="4" t="s">
        <v>4550</v>
      </c>
      <c r="C6392" s="2" t="str">
        <f ca="1">IFERROR(__xludf.DUMMYFUNCTION("GOOGLETRANSLATE(A6392,""bn"",""en"")"),"Played football in school")</f>
        <v>Played football in school</v>
      </c>
      <c r="D6392" s="5"/>
      <c r="E6392" s="5"/>
      <c r="F6392" s="5"/>
      <c r="G6392" s="5"/>
      <c r="H6392" s="5"/>
      <c r="I6392" s="5"/>
      <c r="J6392" s="5"/>
      <c r="K6392" s="5"/>
      <c r="L6392" s="5"/>
      <c r="M6392" s="5"/>
      <c r="N6392" s="5"/>
      <c r="O6392" s="5"/>
      <c r="P6392" s="5"/>
      <c r="Q6392" s="5"/>
      <c r="R6392" s="5"/>
      <c r="S6392" s="5"/>
      <c r="T6392" s="5"/>
      <c r="U6392" s="5"/>
      <c r="V6392" s="5"/>
      <c r="W6392" s="5"/>
      <c r="X6392" s="5"/>
      <c r="Y6392" s="5"/>
      <c r="Z6392" s="5"/>
    </row>
    <row r="6393" spans="1:26" ht="15" x14ac:dyDescent="0.25">
      <c r="A6393" s="4" t="s">
        <v>6391</v>
      </c>
      <c r="B6393" s="4" t="s">
        <v>4550</v>
      </c>
      <c r="C6393" s="2" t="str">
        <f ca="1">IFERROR(__xludf.DUMMYFUNCTION("GOOGLETRANSLATE(A6393,""bn"",""en"")"),"I promised humanity")</f>
        <v>I promised humanity</v>
      </c>
      <c r="D6393" s="5"/>
      <c r="E6393" s="5"/>
      <c r="F6393" s="5"/>
      <c r="G6393" s="5"/>
      <c r="H6393" s="5"/>
      <c r="I6393" s="5"/>
      <c r="J6393" s="5"/>
      <c r="K6393" s="5"/>
      <c r="L6393" s="5"/>
      <c r="M6393" s="5"/>
      <c r="N6393" s="5"/>
      <c r="O6393" s="5"/>
      <c r="P6393" s="5"/>
      <c r="Q6393" s="5"/>
      <c r="R6393" s="5"/>
      <c r="S6393" s="5"/>
      <c r="T6393" s="5"/>
      <c r="U6393" s="5"/>
      <c r="V6393" s="5"/>
      <c r="W6393" s="5"/>
      <c r="X6393" s="5"/>
      <c r="Y6393" s="5"/>
      <c r="Z6393" s="5"/>
    </row>
    <row r="6394" spans="1:26" ht="15" x14ac:dyDescent="0.25">
      <c r="A6394" s="4" t="s">
        <v>6392</v>
      </c>
      <c r="B6394" s="4" t="s">
        <v>4550</v>
      </c>
      <c r="C6394" s="2" t="str">
        <f ca="1">IFERROR(__xludf.DUMMYFUNCTION("GOOGLETRANSLATE(A6394,""bn"",""en"")"),"I saw the face of light")</f>
        <v>I saw the face of light</v>
      </c>
      <c r="D6394" s="5"/>
      <c r="E6394" s="5"/>
      <c r="F6394" s="5"/>
      <c r="G6394" s="5"/>
      <c r="H6394" s="5"/>
      <c r="I6394" s="5"/>
      <c r="J6394" s="5"/>
      <c r="K6394" s="5"/>
      <c r="L6394" s="5"/>
      <c r="M6394" s="5"/>
      <c r="N6394" s="5"/>
      <c r="O6394" s="5"/>
      <c r="P6394" s="5"/>
      <c r="Q6394" s="5"/>
      <c r="R6394" s="5"/>
      <c r="S6394" s="5"/>
      <c r="T6394" s="5"/>
      <c r="U6394" s="5"/>
      <c r="V6394" s="5"/>
      <c r="W6394" s="5"/>
      <c r="X6394" s="5"/>
      <c r="Y6394" s="5"/>
      <c r="Z6394" s="5"/>
    </row>
    <row r="6395" spans="1:26" ht="15" x14ac:dyDescent="0.25">
      <c r="A6395" s="4" t="s">
        <v>6393</v>
      </c>
      <c r="B6395" s="4" t="s">
        <v>4550</v>
      </c>
      <c r="C6395" s="2" t="str">
        <f ca="1">IFERROR(__xludf.DUMMYFUNCTION("GOOGLETRANSLATE(A6395,""bn"",""en"")"),"I visited the bank")</f>
        <v>I visited the bank</v>
      </c>
      <c r="D6395" s="5"/>
      <c r="E6395" s="5"/>
      <c r="F6395" s="5"/>
      <c r="G6395" s="5"/>
      <c r="H6395" s="5"/>
      <c r="I6395" s="5"/>
      <c r="J6395" s="5"/>
      <c r="K6395" s="5"/>
      <c r="L6395" s="5"/>
      <c r="M6395" s="5"/>
      <c r="N6395" s="5"/>
      <c r="O6395" s="5"/>
      <c r="P6395" s="5"/>
      <c r="Q6395" s="5"/>
      <c r="R6395" s="5"/>
      <c r="S6395" s="5"/>
      <c r="T6395" s="5"/>
      <c r="U6395" s="5"/>
      <c r="V6395" s="5"/>
      <c r="W6395" s="5"/>
      <c r="X6395" s="5"/>
      <c r="Y6395" s="5"/>
      <c r="Z6395" s="5"/>
    </row>
    <row r="6396" spans="1:26" ht="15" x14ac:dyDescent="0.25">
      <c r="A6396" s="4" t="s">
        <v>6394</v>
      </c>
      <c r="B6396" s="4" t="s">
        <v>4550</v>
      </c>
      <c r="C6396" s="2" t="str">
        <f ca="1">IFERROR(__xludf.DUMMYFUNCTION("GOOGLETRANSLATE(A6396,""bn"",""en"")"),"I ordered the ebook")</f>
        <v>I ordered the ebook</v>
      </c>
      <c r="D6396" s="5"/>
      <c r="E6396" s="5"/>
      <c r="F6396" s="5"/>
      <c r="G6396" s="5"/>
      <c r="H6396" s="5"/>
      <c r="I6396" s="5"/>
      <c r="J6396" s="5"/>
      <c r="K6396" s="5"/>
      <c r="L6396" s="5"/>
      <c r="M6396" s="5"/>
      <c r="N6396" s="5"/>
      <c r="O6396" s="5"/>
      <c r="P6396" s="5"/>
      <c r="Q6396" s="5"/>
      <c r="R6396" s="5"/>
      <c r="S6396" s="5"/>
      <c r="T6396" s="5"/>
      <c r="U6396" s="5"/>
      <c r="V6396" s="5"/>
      <c r="W6396" s="5"/>
      <c r="X6396" s="5"/>
      <c r="Y6396" s="5"/>
      <c r="Z6396" s="5"/>
    </row>
    <row r="6397" spans="1:26" ht="15" x14ac:dyDescent="0.25">
      <c r="A6397" s="4" t="s">
        <v>6395</v>
      </c>
      <c r="B6397" s="4" t="s">
        <v>4550</v>
      </c>
      <c r="C6397" s="2" t="str">
        <f ca="1">IFERROR(__xludf.DUMMYFUNCTION("GOOGLETRANSLATE(A6397,""bn"",""en"")"),"I checked the software")</f>
        <v>I checked the software</v>
      </c>
      <c r="D6397" s="5"/>
      <c r="E6397" s="5"/>
      <c r="F6397" s="5"/>
      <c r="G6397" s="5"/>
      <c r="H6397" s="5"/>
      <c r="I6397" s="5"/>
      <c r="J6397" s="5"/>
      <c r="K6397" s="5"/>
      <c r="L6397" s="5"/>
      <c r="M6397" s="5"/>
      <c r="N6397" s="5"/>
      <c r="O6397" s="5"/>
      <c r="P6397" s="5"/>
      <c r="Q6397" s="5"/>
      <c r="R6397" s="5"/>
      <c r="S6397" s="5"/>
      <c r="T6397" s="5"/>
      <c r="U6397" s="5"/>
      <c r="V6397" s="5"/>
      <c r="W6397" s="5"/>
      <c r="X6397" s="5"/>
      <c r="Y6397" s="5"/>
      <c r="Z6397" s="5"/>
    </row>
    <row r="6398" spans="1:26" ht="15" x14ac:dyDescent="0.25">
      <c r="A6398" s="4" t="s">
        <v>6396</v>
      </c>
      <c r="B6398" s="4" t="s">
        <v>4550</v>
      </c>
      <c r="C6398" s="2" t="str">
        <f ca="1">IFERROR(__xludf.DUMMYFUNCTION("GOOGLETRANSLATE(A6398,""bn"",""en"")"),"The iPhone was expensive")</f>
        <v>The iPhone was expensive</v>
      </c>
      <c r="D6398" s="5"/>
      <c r="E6398" s="5"/>
      <c r="F6398" s="5"/>
      <c r="G6398" s="5"/>
      <c r="H6398" s="5"/>
      <c r="I6398" s="5"/>
      <c r="J6398" s="5"/>
      <c r="K6398" s="5"/>
      <c r="L6398" s="5"/>
      <c r="M6398" s="5"/>
      <c r="N6398" s="5"/>
      <c r="O6398" s="5"/>
      <c r="P6398" s="5"/>
      <c r="Q6398" s="5"/>
      <c r="R6398" s="5"/>
      <c r="S6398" s="5"/>
      <c r="T6398" s="5"/>
      <c r="U6398" s="5"/>
      <c r="V6398" s="5"/>
      <c r="W6398" s="5"/>
      <c r="X6398" s="5"/>
      <c r="Y6398" s="5"/>
      <c r="Z6398" s="5"/>
    </row>
    <row r="6399" spans="1:26" ht="15" x14ac:dyDescent="0.25">
      <c r="A6399" s="4" t="s">
        <v>6397</v>
      </c>
      <c r="B6399" s="4" t="s">
        <v>4550</v>
      </c>
      <c r="C6399" s="2" t="str">
        <f ca="1">IFERROR(__xludf.DUMMYFUNCTION("GOOGLETRANSLATE(A6399,""bn"",""en"")"),"Windows became popular")</f>
        <v>Windows became popular</v>
      </c>
      <c r="D6399" s="5"/>
      <c r="E6399" s="5"/>
      <c r="F6399" s="5"/>
      <c r="G6399" s="5"/>
      <c r="H6399" s="5"/>
      <c r="I6399" s="5"/>
      <c r="J6399" s="5"/>
      <c r="K6399" s="5"/>
      <c r="L6399" s="5"/>
      <c r="M6399" s="5"/>
      <c r="N6399" s="5"/>
      <c r="O6399" s="5"/>
      <c r="P6399" s="5"/>
      <c r="Q6399" s="5"/>
      <c r="R6399" s="5"/>
      <c r="S6399" s="5"/>
      <c r="T6399" s="5"/>
      <c r="U6399" s="5"/>
      <c r="V6399" s="5"/>
      <c r="W6399" s="5"/>
      <c r="X6399" s="5"/>
      <c r="Y6399" s="5"/>
      <c r="Z6399" s="5"/>
    </row>
    <row r="6400" spans="1:26" ht="15" x14ac:dyDescent="0.25">
      <c r="A6400" s="4" t="s">
        <v>6398</v>
      </c>
      <c r="B6400" s="4" t="s">
        <v>4550</v>
      </c>
      <c r="C6400" s="2" t="str">
        <f ca="1">IFERROR(__xludf.DUMMYFUNCTION("GOOGLETRANSLATE(A6400,""bn"",""en"")"),"I knew the name of the book")</f>
        <v>I knew the name of the book</v>
      </c>
      <c r="D6400" s="5"/>
      <c r="E6400" s="5"/>
      <c r="F6400" s="5"/>
      <c r="G6400" s="5"/>
      <c r="H6400" s="5"/>
      <c r="I6400" s="5"/>
      <c r="J6400" s="5"/>
      <c r="K6400" s="5"/>
      <c r="L6400" s="5"/>
      <c r="M6400" s="5"/>
      <c r="N6400" s="5"/>
      <c r="O6400" s="5"/>
      <c r="P6400" s="5"/>
      <c r="Q6400" s="5"/>
      <c r="R6400" s="5"/>
      <c r="S6400" s="5"/>
      <c r="T6400" s="5"/>
      <c r="U6400" s="5"/>
      <c r="V6400" s="5"/>
      <c r="W6400" s="5"/>
      <c r="X6400" s="5"/>
      <c r="Y6400" s="5"/>
      <c r="Z6400" s="5"/>
    </row>
    <row r="6401" spans="1:26" ht="15" x14ac:dyDescent="0.25">
      <c r="A6401" s="4" t="s">
        <v>6399</v>
      </c>
      <c r="B6401" s="4" t="s">
        <v>4550</v>
      </c>
      <c r="C6401" s="2" t="str">
        <f ca="1">IFERROR(__xludf.DUMMYFUNCTION("GOOGLETRANSLATE(A6401,""bn"",""en"")"),"I shared my feelings")</f>
        <v>I shared my feelings</v>
      </c>
      <c r="D6401" s="5"/>
      <c r="E6401" s="5"/>
      <c r="F6401" s="5"/>
      <c r="G6401" s="5"/>
      <c r="H6401" s="5"/>
      <c r="I6401" s="5"/>
      <c r="J6401" s="5"/>
      <c r="K6401" s="5"/>
      <c r="L6401" s="5"/>
      <c r="M6401" s="5"/>
      <c r="N6401" s="5"/>
      <c r="O6401" s="5"/>
      <c r="P6401" s="5"/>
      <c r="Q6401" s="5"/>
      <c r="R6401" s="5"/>
      <c r="S6401" s="5"/>
      <c r="T6401" s="5"/>
      <c r="U6401" s="5"/>
      <c r="V6401" s="5"/>
      <c r="W6401" s="5"/>
      <c r="X6401" s="5"/>
      <c r="Y6401" s="5"/>
      <c r="Z6401" s="5"/>
    </row>
    <row r="6402" spans="1:26" ht="15" x14ac:dyDescent="0.25">
      <c r="A6402" s="4" t="s">
        <v>6400</v>
      </c>
      <c r="B6402" s="4" t="s">
        <v>4550</v>
      </c>
      <c r="C6402" s="2" t="str">
        <f ca="1">IFERROR(__xludf.DUMMYFUNCTION("GOOGLETRANSLATE(A6402,""bn"",""en"")"),"I took the website work")</f>
        <v>I took the website work</v>
      </c>
      <c r="D6402" s="5"/>
      <c r="E6402" s="5"/>
      <c r="F6402" s="5"/>
      <c r="G6402" s="5"/>
      <c r="H6402" s="5"/>
      <c r="I6402" s="5"/>
      <c r="J6402" s="5"/>
      <c r="K6402" s="5"/>
      <c r="L6402" s="5"/>
      <c r="M6402" s="5"/>
      <c r="N6402" s="5"/>
      <c r="O6402" s="5"/>
      <c r="P6402" s="5"/>
      <c r="Q6402" s="5"/>
      <c r="R6402" s="5"/>
      <c r="S6402" s="5"/>
      <c r="T6402" s="5"/>
      <c r="U6402" s="5"/>
      <c r="V6402" s="5"/>
      <c r="W6402" s="5"/>
      <c r="X6402" s="5"/>
      <c r="Y6402" s="5"/>
      <c r="Z6402" s="5"/>
    </row>
    <row r="6403" spans="1:26" ht="15" x14ac:dyDescent="0.25">
      <c r="A6403" s="4" t="s">
        <v>6401</v>
      </c>
      <c r="B6403" s="4" t="s">
        <v>4550</v>
      </c>
      <c r="C6403" s="2" t="str">
        <f ca="1">IFERROR(__xludf.DUMMYFUNCTION("GOOGLETRANSLATE(A6403,""bn"",""en"")"),"I gave account proof")</f>
        <v>I gave account proof</v>
      </c>
      <c r="D6403" s="5"/>
      <c r="E6403" s="5"/>
      <c r="F6403" s="5"/>
      <c r="G6403" s="5"/>
      <c r="H6403" s="5"/>
      <c r="I6403" s="5"/>
      <c r="J6403" s="5"/>
      <c r="K6403" s="5"/>
      <c r="L6403" s="5"/>
      <c r="M6403" s="5"/>
      <c r="N6403" s="5"/>
      <c r="O6403" s="5"/>
      <c r="P6403" s="5"/>
      <c r="Q6403" s="5"/>
      <c r="R6403" s="5"/>
      <c r="S6403" s="5"/>
      <c r="T6403" s="5"/>
      <c r="U6403" s="5"/>
      <c r="V6403" s="5"/>
      <c r="W6403" s="5"/>
      <c r="X6403" s="5"/>
      <c r="Y6403" s="5"/>
      <c r="Z6403" s="5"/>
    </row>
    <row r="6404" spans="1:26" ht="15" x14ac:dyDescent="0.25">
      <c r="A6404" s="4" t="s">
        <v>6402</v>
      </c>
      <c r="B6404" s="4" t="s">
        <v>4550</v>
      </c>
      <c r="C6404" s="2" t="str">
        <f ca="1">IFERROR(__xludf.DUMMYFUNCTION("GOOGLETRANSLATE(A6404,""bn"",""en"")"),"I read the news on the Internet")</f>
        <v>I read the news on the Internet</v>
      </c>
      <c r="D6404" s="5"/>
      <c r="E6404" s="5"/>
      <c r="F6404" s="5"/>
      <c r="G6404" s="5"/>
      <c r="H6404" s="5"/>
      <c r="I6404" s="5"/>
      <c r="J6404" s="5"/>
      <c r="K6404" s="5"/>
      <c r="L6404" s="5"/>
      <c r="M6404" s="5"/>
      <c r="N6404" s="5"/>
      <c r="O6404" s="5"/>
      <c r="P6404" s="5"/>
      <c r="Q6404" s="5"/>
      <c r="R6404" s="5"/>
      <c r="S6404" s="5"/>
      <c r="T6404" s="5"/>
      <c r="U6404" s="5"/>
      <c r="V6404" s="5"/>
      <c r="W6404" s="5"/>
      <c r="X6404" s="5"/>
      <c r="Y6404" s="5"/>
      <c r="Z6404" s="5"/>
    </row>
    <row r="6405" spans="1:26" ht="15" x14ac:dyDescent="0.25">
      <c r="A6405" s="4" t="s">
        <v>6403</v>
      </c>
      <c r="B6405" s="4" t="s">
        <v>4550</v>
      </c>
      <c r="C6405" s="2" t="str">
        <f ca="1">IFERROR(__xludf.DUMMYFUNCTION("GOOGLETRANSLATE(A6405,""bn"",""en"")"),"The rocket went into space")</f>
        <v>The rocket went into space</v>
      </c>
      <c r="D6405" s="5"/>
      <c r="E6405" s="5"/>
      <c r="F6405" s="5"/>
      <c r="G6405" s="5"/>
      <c r="H6405" s="5"/>
      <c r="I6405" s="5"/>
      <c r="J6405" s="5"/>
      <c r="K6405" s="5"/>
      <c r="L6405" s="5"/>
      <c r="M6405" s="5"/>
      <c r="N6405" s="5"/>
      <c r="O6405" s="5"/>
      <c r="P6405" s="5"/>
      <c r="Q6405" s="5"/>
      <c r="R6405" s="5"/>
      <c r="S6405" s="5"/>
      <c r="T6405" s="5"/>
      <c r="U6405" s="5"/>
      <c r="V6405" s="5"/>
      <c r="W6405" s="5"/>
      <c r="X6405" s="5"/>
      <c r="Y6405" s="5"/>
      <c r="Z6405" s="5"/>
    </row>
    <row r="6406" spans="1:26" ht="15" x14ac:dyDescent="0.25">
      <c r="A6406" s="4" t="s">
        <v>6404</v>
      </c>
      <c r="B6406" s="4" t="s">
        <v>4550</v>
      </c>
      <c r="C6406" s="2" t="str">
        <f ca="1">IFERROR(__xludf.DUMMYFUNCTION("GOOGLETRANSLATE(A6406,""bn"",""en"")"),"We were studying science")</f>
        <v>We were studying science</v>
      </c>
      <c r="D6406" s="5"/>
      <c r="E6406" s="5"/>
      <c r="F6406" s="5"/>
      <c r="G6406" s="5"/>
      <c r="H6406" s="5"/>
      <c r="I6406" s="5"/>
      <c r="J6406" s="5"/>
      <c r="K6406" s="5"/>
      <c r="L6406" s="5"/>
      <c r="M6406" s="5"/>
      <c r="N6406" s="5"/>
      <c r="O6406" s="5"/>
      <c r="P6406" s="5"/>
      <c r="Q6406" s="5"/>
      <c r="R6406" s="5"/>
      <c r="S6406" s="5"/>
      <c r="T6406" s="5"/>
      <c r="U6406" s="5"/>
      <c r="V6406" s="5"/>
      <c r="W6406" s="5"/>
      <c r="X6406" s="5"/>
      <c r="Y6406" s="5"/>
      <c r="Z6406" s="5"/>
    </row>
    <row r="6407" spans="1:26" ht="15" x14ac:dyDescent="0.25">
      <c r="A6407" s="4" t="s">
        <v>6405</v>
      </c>
      <c r="B6407" s="4" t="s">
        <v>4550</v>
      </c>
      <c r="C6407" s="2" t="str">
        <f ca="1">IFERROR(__xludf.DUMMYFUNCTION("GOOGLETRANSLATE(A6407,""bn"",""en"")"),"A loan was being taken from the bank")</f>
        <v>A loan was being taken from the bank</v>
      </c>
      <c r="D6407" s="5"/>
      <c r="E6407" s="5"/>
      <c r="F6407" s="5"/>
      <c r="G6407" s="5"/>
      <c r="H6407" s="5"/>
      <c r="I6407" s="5"/>
      <c r="J6407" s="5"/>
      <c r="K6407" s="5"/>
      <c r="L6407" s="5"/>
      <c r="M6407" s="5"/>
      <c r="N6407" s="5"/>
      <c r="O6407" s="5"/>
      <c r="P6407" s="5"/>
      <c r="Q6407" s="5"/>
      <c r="R6407" s="5"/>
      <c r="S6407" s="5"/>
      <c r="T6407" s="5"/>
      <c r="U6407" s="5"/>
      <c r="V6407" s="5"/>
      <c r="W6407" s="5"/>
      <c r="X6407" s="5"/>
      <c r="Y6407" s="5"/>
      <c r="Z6407" s="5"/>
    </row>
    <row r="6408" spans="1:26" ht="15" x14ac:dyDescent="0.25">
      <c r="A6408" s="4" t="s">
        <v>6406</v>
      </c>
      <c r="B6408" s="4" t="s">
        <v>4550</v>
      </c>
      <c r="C6408" s="2" t="str">
        <f ca="1">IFERROR(__xludf.DUMMYFUNCTION("GOOGLETRANSLATE(A6408,""bn"",""en"")"),"The loan was requested by request")</f>
        <v>The loan was requested by request</v>
      </c>
      <c r="D6408" s="5"/>
      <c r="E6408" s="5"/>
      <c r="F6408" s="5"/>
      <c r="G6408" s="5"/>
      <c r="H6408" s="5"/>
      <c r="I6408" s="5"/>
      <c r="J6408" s="5"/>
      <c r="K6408" s="5"/>
      <c r="L6408" s="5"/>
      <c r="M6408" s="5"/>
      <c r="N6408" s="5"/>
      <c r="O6408" s="5"/>
      <c r="P6408" s="5"/>
      <c r="Q6408" s="5"/>
      <c r="R6408" s="5"/>
      <c r="S6408" s="5"/>
      <c r="T6408" s="5"/>
      <c r="U6408" s="5"/>
      <c r="V6408" s="5"/>
      <c r="W6408" s="5"/>
      <c r="X6408" s="5"/>
      <c r="Y6408" s="5"/>
      <c r="Z6408" s="5"/>
    </row>
    <row r="6409" spans="1:26" ht="15" x14ac:dyDescent="0.25">
      <c r="A6409" s="4" t="s">
        <v>6407</v>
      </c>
      <c r="B6409" s="4" t="s">
        <v>4550</v>
      </c>
      <c r="C6409" s="2" t="str">
        <f ca="1">IFERROR(__xludf.DUMMYFUNCTION("GOOGLETRANSLATE(A6409,""bn"",""en"")"),"I was withdrawing money")</f>
        <v>I was withdrawing money</v>
      </c>
      <c r="D6409" s="5"/>
      <c r="E6409" s="5"/>
      <c r="F6409" s="5"/>
      <c r="G6409" s="5"/>
      <c r="H6409" s="5"/>
      <c r="I6409" s="5"/>
      <c r="J6409" s="5"/>
      <c r="K6409" s="5"/>
      <c r="L6409" s="5"/>
      <c r="M6409" s="5"/>
      <c r="N6409" s="5"/>
      <c r="O6409" s="5"/>
      <c r="P6409" s="5"/>
      <c r="Q6409" s="5"/>
      <c r="R6409" s="5"/>
      <c r="S6409" s="5"/>
      <c r="T6409" s="5"/>
      <c r="U6409" s="5"/>
      <c r="V6409" s="5"/>
      <c r="W6409" s="5"/>
      <c r="X6409" s="5"/>
      <c r="Y6409" s="5"/>
      <c r="Z6409" s="5"/>
    </row>
    <row r="6410" spans="1:26" ht="15" x14ac:dyDescent="0.25">
      <c r="A6410" s="4" t="s">
        <v>6408</v>
      </c>
      <c r="B6410" s="4" t="s">
        <v>4550</v>
      </c>
      <c r="C6410" s="2" t="str">
        <f ca="1">IFERROR(__xludf.DUMMYFUNCTION("GOOGLETRANSLATE(A6410,""bn"",""en"")"),"The waves were spreading softness")</f>
        <v>The waves were spreading softness</v>
      </c>
      <c r="D6410" s="5"/>
      <c r="E6410" s="5"/>
      <c r="F6410" s="5"/>
      <c r="G6410" s="5"/>
      <c r="H6410" s="5"/>
      <c r="I6410" s="5"/>
      <c r="J6410" s="5"/>
      <c r="K6410" s="5"/>
      <c r="L6410" s="5"/>
      <c r="M6410" s="5"/>
      <c r="N6410" s="5"/>
      <c r="O6410" s="5"/>
      <c r="P6410" s="5"/>
      <c r="Q6410" s="5"/>
      <c r="R6410" s="5"/>
      <c r="S6410" s="5"/>
      <c r="T6410" s="5"/>
      <c r="U6410" s="5"/>
      <c r="V6410" s="5"/>
      <c r="W6410" s="5"/>
      <c r="X6410" s="5"/>
      <c r="Y6410" s="5"/>
      <c r="Z6410" s="5"/>
    </row>
    <row r="6411" spans="1:26" ht="15" x14ac:dyDescent="0.25">
      <c r="A6411" s="4" t="s">
        <v>6409</v>
      </c>
      <c r="B6411" s="4" t="s">
        <v>4550</v>
      </c>
      <c r="C6411" s="2" t="str">
        <f ca="1">IFERROR(__xludf.DUMMYFUNCTION("GOOGLETRANSLATE(A6411,""bn"",""en"")"),"I was writing a blog in Bengali")</f>
        <v>I was writing a blog in Bengali</v>
      </c>
      <c r="D6411" s="5"/>
      <c r="E6411" s="5"/>
      <c r="F6411" s="5"/>
      <c r="G6411" s="5"/>
      <c r="H6411" s="5"/>
      <c r="I6411" s="5"/>
      <c r="J6411" s="5"/>
      <c r="K6411" s="5"/>
      <c r="L6411" s="5"/>
      <c r="M6411" s="5"/>
      <c r="N6411" s="5"/>
      <c r="O6411" s="5"/>
      <c r="P6411" s="5"/>
      <c r="Q6411" s="5"/>
      <c r="R6411" s="5"/>
      <c r="S6411" s="5"/>
      <c r="T6411" s="5"/>
      <c r="U6411" s="5"/>
      <c r="V6411" s="5"/>
      <c r="W6411" s="5"/>
      <c r="X6411" s="5"/>
      <c r="Y6411" s="5"/>
      <c r="Z6411" s="5"/>
    </row>
    <row r="6412" spans="1:26" ht="15" x14ac:dyDescent="0.25">
      <c r="A6412" s="4" t="s">
        <v>6410</v>
      </c>
      <c r="B6412" s="4" t="s">
        <v>4550</v>
      </c>
      <c r="C6412" s="2" t="str">
        <f ca="1">IFERROR(__xludf.DUMMYFUNCTION("GOOGLETRANSLATE(A6412,""bn"",""en"")"),"I got the computer prize")</f>
        <v>I got the computer prize</v>
      </c>
      <c r="D6412" s="5"/>
      <c r="E6412" s="5"/>
      <c r="F6412" s="5"/>
      <c r="G6412" s="5"/>
      <c r="H6412" s="5"/>
      <c r="I6412" s="5"/>
      <c r="J6412" s="5"/>
      <c r="K6412" s="5"/>
      <c r="L6412" s="5"/>
      <c r="M6412" s="5"/>
      <c r="N6412" s="5"/>
      <c r="O6412" s="5"/>
      <c r="P6412" s="5"/>
      <c r="Q6412" s="5"/>
      <c r="R6412" s="5"/>
      <c r="S6412" s="5"/>
      <c r="T6412" s="5"/>
      <c r="U6412" s="5"/>
      <c r="V6412" s="5"/>
      <c r="W6412" s="5"/>
      <c r="X6412" s="5"/>
      <c r="Y6412" s="5"/>
      <c r="Z6412" s="5"/>
    </row>
    <row r="6413" spans="1:26" ht="15" x14ac:dyDescent="0.25">
      <c r="A6413" s="4" t="s">
        <v>6411</v>
      </c>
      <c r="B6413" s="4" t="s">
        <v>4550</v>
      </c>
      <c r="C6413" s="2" t="str">
        <f ca="1">IFERROR(__xludf.DUMMYFUNCTION("GOOGLETRANSLATE(A6413,""bn"",""en"")"),"He knew history")</f>
        <v>He knew history</v>
      </c>
      <c r="D6413" s="5"/>
      <c r="E6413" s="5"/>
      <c r="F6413" s="5"/>
      <c r="G6413" s="5"/>
      <c r="H6413" s="5"/>
      <c r="I6413" s="5"/>
      <c r="J6413" s="5"/>
      <c r="K6413" s="5"/>
      <c r="L6413" s="5"/>
      <c r="M6413" s="5"/>
      <c r="N6413" s="5"/>
      <c r="O6413" s="5"/>
      <c r="P6413" s="5"/>
      <c r="Q6413" s="5"/>
      <c r="R6413" s="5"/>
      <c r="S6413" s="5"/>
      <c r="T6413" s="5"/>
      <c r="U6413" s="5"/>
      <c r="V6413" s="5"/>
      <c r="W6413" s="5"/>
      <c r="X6413" s="5"/>
      <c r="Y6413" s="5"/>
      <c r="Z6413" s="5"/>
    </row>
    <row r="6414" spans="1:26" ht="15" x14ac:dyDescent="0.25">
      <c r="A6414" s="4" t="s">
        <v>6412</v>
      </c>
      <c r="B6414" s="4" t="s">
        <v>4550</v>
      </c>
      <c r="C6414" s="2" t="str">
        <f ca="1">IFERROR(__xludf.DUMMYFUNCTION("GOOGLETRANSLATE(A6414,""bn"",""en"")"),"The purchasing organization increased")</f>
        <v>The purchasing organization increased</v>
      </c>
      <c r="D6414" s="5"/>
      <c r="E6414" s="5"/>
      <c r="F6414" s="5"/>
      <c r="G6414" s="5"/>
      <c r="H6414" s="5"/>
      <c r="I6414" s="5"/>
      <c r="J6414" s="5"/>
      <c r="K6414" s="5"/>
      <c r="L6414" s="5"/>
      <c r="M6414" s="5"/>
      <c r="N6414" s="5"/>
      <c r="O6414" s="5"/>
      <c r="P6414" s="5"/>
      <c r="Q6414" s="5"/>
      <c r="R6414" s="5"/>
      <c r="S6414" s="5"/>
      <c r="T6414" s="5"/>
      <c r="U6414" s="5"/>
      <c r="V6414" s="5"/>
      <c r="W6414" s="5"/>
      <c r="X6414" s="5"/>
      <c r="Y6414" s="5"/>
      <c r="Z6414" s="5"/>
    </row>
    <row r="6415" spans="1:26" ht="15" x14ac:dyDescent="0.25">
      <c r="A6415" s="4" t="s">
        <v>6413</v>
      </c>
      <c r="B6415" s="4" t="s">
        <v>4550</v>
      </c>
      <c r="C6415" s="2" t="str">
        <f ca="1">IFERROR(__xludf.DUMMYFUNCTION("GOOGLETRANSLATE(A6415,""bn"",""en"")"),"Exports were increasing these days")</f>
        <v>Exports were increasing these days</v>
      </c>
      <c r="D6415" s="5"/>
      <c r="E6415" s="5"/>
      <c r="F6415" s="5"/>
      <c r="G6415" s="5"/>
      <c r="H6415" s="5"/>
      <c r="I6415" s="5"/>
      <c r="J6415" s="5"/>
      <c r="K6415" s="5"/>
      <c r="L6415" s="5"/>
      <c r="M6415" s="5"/>
      <c r="N6415" s="5"/>
      <c r="O6415" s="5"/>
      <c r="P6415" s="5"/>
      <c r="Q6415" s="5"/>
      <c r="R6415" s="5"/>
      <c r="S6415" s="5"/>
      <c r="T6415" s="5"/>
      <c r="U6415" s="5"/>
      <c r="V6415" s="5"/>
      <c r="W6415" s="5"/>
      <c r="X6415" s="5"/>
      <c r="Y6415" s="5"/>
      <c r="Z6415" s="5"/>
    </row>
    <row r="6416" spans="1:26" ht="15" x14ac:dyDescent="0.25">
      <c r="A6416" s="4" t="s">
        <v>6414</v>
      </c>
      <c r="B6416" s="4" t="s">
        <v>4550</v>
      </c>
      <c r="C6416" s="2" t="str">
        <f ca="1">IFERROR(__xludf.DUMMYFUNCTION("GOOGLETRANSLATE(A6416,""bn"",""en"")"),"Fishermen caught fish")</f>
        <v>Fishermen caught fish</v>
      </c>
      <c r="D6416" s="5"/>
      <c r="E6416" s="5"/>
      <c r="F6416" s="5"/>
      <c r="G6416" s="5"/>
      <c r="H6416" s="5"/>
      <c r="I6416" s="5"/>
      <c r="J6416" s="5"/>
      <c r="K6416" s="5"/>
      <c r="L6416" s="5"/>
      <c r="M6416" s="5"/>
      <c r="N6416" s="5"/>
      <c r="O6416" s="5"/>
      <c r="P6416" s="5"/>
      <c r="Q6416" s="5"/>
      <c r="R6416" s="5"/>
      <c r="S6416" s="5"/>
      <c r="T6416" s="5"/>
      <c r="U6416" s="5"/>
      <c r="V6416" s="5"/>
      <c r="W6416" s="5"/>
      <c r="X6416" s="5"/>
      <c r="Y6416" s="5"/>
      <c r="Z6416" s="5"/>
    </row>
    <row r="6417" spans="1:26" ht="15" x14ac:dyDescent="0.25">
      <c r="A6417" s="4" t="s">
        <v>6415</v>
      </c>
      <c r="B6417" s="4" t="s">
        <v>4550</v>
      </c>
      <c r="C6417" s="2" t="str">
        <f ca="1">IFERROR(__xludf.DUMMYFUNCTION("GOOGLETRANSLATE(A6417,""bn"",""en"")"),"Fishermen went into the deep sea to catch fish")</f>
        <v>Fishermen went into the deep sea to catch fish</v>
      </c>
      <c r="D6417" s="5"/>
      <c r="E6417" s="5"/>
      <c r="F6417" s="5"/>
      <c r="G6417" s="5"/>
      <c r="H6417" s="5"/>
      <c r="I6417" s="5"/>
      <c r="J6417" s="5"/>
      <c r="K6417" s="5"/>
      <c r="L6417" s="5"/>
      <c r="M6417" s="5"/>
      <c r="N6417" s="5"/>
      <c r="O6417" s="5"/>
      <c r="P6417" s="5"/>
      <c r="Q6417" s="5"/>
      <c r="R6417" s="5"/>
      <c r="S6417" s="5"/>
      <c r="T6417" s="5"/>
      <c r="U6417" s="5"/>
      <c r="V6417" s="5"/>
      <c r="W6417" s="5"/>
      <c r="X6417" s="5"/>
      <c r="Y6417" s="5"/>
      <c r="Z6417" s="5"/>
    </row>
    <row r="6418" spans="1:26" ht="15" x14ac:dyDescent="0.25">
      <c r="A6418" s="4" t="s">
        <v>6416</v>
      </c>
      <c r="B6418" s="4" t="s">
        <v>4550</v>
      </c>
      <c r="C6418" s="2" t="str">
        <f ca="1">IFERROR(__xludf.DUMMYFUNCTION("GOOGLETRANSLATE(A6418,""bn"",""en"")"),"Used to play sports in leisure")</f>
        <v>Used to play sports in leisure</v>
      </c>
      <c r="D6418" s="5"/>
      <c r="E6418" s="5"/>
      <c r="F6418" s="5"/>
      <c r="G6418" s="5"/>
      <c r="H6418" s="5"/>
      <c r="I6418" s="5"/>
      <c r="J6418" s="5"/>
      <c r="K6418" s="5"/>
      <c r="L6418" s="5"/>
      <c r="M6418" s="5"/>
      <c r="N6418" s="5"/>
      <c r="O6418" s="5"/>
      <c r="P6418" s="5"/>
      <c r="Q6418" s="5"/>
      <c r="R6418" s="5"/>
      <c r="S6418" s="5"/>
      <c r="T6418" s="5"/>
      <c r="U6418" s="5"/>
      <c r="V6418" s="5"/>
      <c r="W6418" s="5"/>
      <c r="X6418" s="5"/>
      <c r="Y6418" s="5"/>
      <c r="Z6418" s="5"/>
    </row>
    <row r="6419" spans="1:26" ht="15" x14ac:dyDescent="0.25">
      <c r="A6419" s="4" t="s">
        <v>6417</v>
      </c>
      <c r="B6419" s="4" t="s">
        <v>4550</v>
      </c>
      <c r="C6419" s="2" t="str">
        <f ca="1">IFERROR(__xludf.DUMMYFUNCTION("GOOGLETRANSLATE(A6419,""bn"",""en"")"),"I was using the printer")</f>
        <v>I was using the printer</v>
      </c>
      <c r="D6419" s="5"/>
      <c r="E6419" s="5"/>
      <c r="F6419" s="5"/>
      <c r="G6419" s="5"/>
      <c r="H6419" s="5"/>
      <c r="I6419" s="5"/>
      <c r="J6419" s="5"/>
      <c r="K6419" s="5"/>
      <c r="L6419" s="5"/>
      <c r="M6419" s="5"/>
      <c r="N6419" s="5"/>
      <c r="O6419" s="5"/>
      <c r="P6419" s="5"/>
      <c r="Q6419" s="5"/>
      <c r="R6419" s="5"/>
      <c r="S6419" s="5"/>
      <c r="T6419" s="5"/>
      <c r="U6419" s="5"/>
      <c r="V6419" s="5"/>
      <c r="W6419" s="5"/>
      <c r="X6419" s="5"/>
      <c r="Y6419" s="5"/>
      <c r="Z6419" s="5"/>
    </row>
    <row r="6420" spans="1:26" ht="15" x14ac:dyDescent="0.25">
      <c r="A6420" s="4" t="s">
        <v>6418</v>
      </c>
      <c r="B6420" s="4" t="s">
        <v>4550</v>
      </c>
      <c r="C6420" s="2" t="str">
        <f ca="1">IFERROR(__xludf.DUMMYFUNCTION("GOOGLETRANSLATE(A6420,""bn"",""en"")"),"I gained experience")</f>
        <v>I gained experience</v>
      </c>
      <c r="D6420" s="5"/>
      <c r="E6420" s="5"/>
      <c r="F6420" s="5"/>
      <c r="G6420" s="5"/>
      <c r="H6420" s="5"/>
      <c r="I6420" s="5"/>
      <c r="J6420" s="5"/>
      <c r="K6420" s="5"/>
      <c r="L6420" s="5"/>
      <c r="M6420" s="5"/>
      <c r="N6420" s="5"/>
      <c r="O6420" s="5"/>
      <c r="P6420" s="5"/>
      <c r="Q6420" s="5"/>
      <c r="R6420" s="5"/>
      <c r="S6420" s="5"/>
      <c r="T6420" s="5"/>
      <c r="U6420" s="5"/>
      <c r="V6420" s="5"/>
      <c r="W6420" s="5"/>
      <c r="X6420" s="5"/>
      <c r="Y6420" s="5"/>
      <c r="Z6420" s="5"/>
    </row>
    <row r="6421" spans="1:26" ht="15" x14ac:dyDescent="0.25">
      <c r="A6421" s="4" t="s">
        <v>6419</v>
      </c>
      <c r="B6421" s="4" t="s">
        <v>4550</v>
      </c>
      <c r="C6421" s="2" t="str">
        <f ca="1">IFERROR(__xludf.DUMMYFUNCTION("GOOGLETRANSLATE(A6421,""bn"",""en"")"),"I used an iPad")</f>
        <v>I used an iPad</v>
      </c>
      <c r="D6421" s="5"/>
      <c r="E6421" s="5"/>
      <c r="F6421" s="5"/>
      <c r="G6421" s="5"/>
      <c r="H6421" s="5"/>
      <c r="I6421" s="5"/>
      <c r="J6421" s="5"/>
      <c r="K6421" s="5"/>
      <c r="L6421" s="5"/>
      <c r="M6421" s="5"/>
      <c r="N6421" s="5"/>
      <c r="O6421" s="5"/>
      <c r="P6421" s="5"/>
      <c r="Q6421" s="5"/>
      <c r="R6421" s="5"/>
      <c r="S6421" s="5"/>
      <c r="T6421" s="5"/>
      <c r="U6421" s="5"/>
      <c r="V6421" s="5"/>
      <c r="W6421" s="5"/>
      <c r="X6421" s="5"/>
      <c r="Y6421" s="5"/>
      <c r="Z6421" s="5"/>
    </row>
    <row r="6422" spans="1:26" ht="15" x14ac:dyDescent="0.25">
      <c r="A6422" s="4" t="s">
        <v>6420</v>
      </c>
      <c r="B6422" s="4" t="s">
        <v>4550</v>
      </c>
      <c r="C6422" s="2" t="str">
        <f ca="1">IFERROR(__xludf.DUMMYFUNCTION("GOOGLETRANSLATE(A6422,""bn"",""en"")"),"I used to take pictures on my laptop")</f>
        <v>I used to take pictures on my laptop</v>
      </c>
      <c r="D6422" s="5"/>
      <c r="E6422" s="5"/>
      <c r="F6422" s="5"/>
      <c r="G6422" s="5"/>
      <c r="H6422" s="5"/>
      <c r="I6422" s="5"/>
      <c r="J6422" s="5"/>
      <c r="K6422" s="5"/>
      <c r="L6422" s="5"/>
      <c r="M6422" s="5"/>
      <c r="N6422" s="5"/>
      <c r="O6422" s="5"/>
      <c r="P6422" s="5"/>
      <c r="Q6422" s="5"/>
      <c r="R6422" s="5"/>
      <c r="S6422" s="5"/>
      <c r="T6422" s="5"/>
      <c r="U6422" s="5"/>
      <c r="V6422" s="5"/>
      <c r="W6422" s="5"/>
      <c r="X6422" s="5"/>
      <c r="Y6422" s="5"/>
      <c r="Z6422" s="5"/>
    </row>
    <row r="6423" spans="1:26" ht="15" x14ac:dyDescent="0.25">
      <c r="A6423" s="4" t="s">
        <v>6421</v>
      </c>
      <c r="B6423" s="4" t="s">
        <v>4550</v>
      </c>
      <c r="C6423" s="2" t="str">
        <f ca="1">IFERROR(__xludf.DUMMYFUNCTION("GOOGLETRANSLATE(A6423,""bn"",""en"")"),"I got banking facilities")</f>
        <v>I got banking facilities</v>
      </c>
      <c r="D6423" s="5"/>
      <c r="E6423" s="5"/>
      <c r="F6423" s="5"/>
      <c r="G6423" s="5"/>
      <c r="H6423" s="5"/>
      <c r="I6423" s="5"/>
      <c r="J6423" s="5"/>
      <c r="K6423" s="5"/>
      <c r="L6423" s="5"/>
      <c r="M6423" s="5"/>
      <c r="N6423" s="5"/>
      <c r="O6423" s="5"/>
      <c r="P6423" s="5"/>
      <c r="Q6423" s="5"/>
      <c r="R6423" s="5"/>
      <c r="S6423" s="5"/>
      <c r="T6423" s="5"/>
      <c r="U6423" s="5"/>
      <c r="V6423" s="5"/>
      <c r="W6423" s="5"/>
      <c r="X6423" s="5"/>
      <c r="Y6423" s="5"/>
      <c r="Z6423" s="5"/>
    </row>
    <row r="6424" spans="1:26" ht="15" x14ac:dyDescent="0.25">
      <c r="A6424" s="4" t="s">
        <v>6422</v>
      </c>
      <c r="B6424" s="4" t="s">
        <v>4550</v>
      </c>
      <c r="C6424" s="2" t="str">
        <f ca="1">IFERROR(__xludf.DUMMYFUNCTION("GOOGLETRANSLATE(A6424,""bn"",""en"")"),"I was making life easier")</f>
        <v>I was making life easier</v>
      </c>
      <c r="D6424" s="5"/>
      <c r="E6424" s="5"/>
      <c r="F6424" s="5"/>
      <c r="G6424" s="5"/>
      <c r="H6424" s="5"/>
      <c r="I6424" s="5"/>
      <c r="J6424" s="5"/>
      <c r="K6424" s="5"/>
      <c r="L6424" s="5"/>
      <c r="M6424" s="5"/>
      <c r="N6424" s="5"/>
      <c r="O6424" s="5"/>
      <c r="P6424" s="5"/>
      <c r="Q6424" s="5"/>
      <c r="R6424" s="5"/>
      <c r="S6424" s="5"/>
      <c r="T6424" s="5"/>
      <c r="U6424" s="5"/>
      <c r="V6424" s="5"/>
      <c r="W6424" s="5"/>
      <c r="X6424" s="5"/>
      <c r="Y6424" s="5"/>
      <c r="Z6424" s="5"/>
    </row>
    <row r="6425" spans="1:26" ht="15" x14ac:dyDescent="0.25">
      <c r="A6425" s="4" t="s">
        <v>6423</v>
      </c>
      <c r="B6425" s="4" t="s">
        <v>4550</v>
      </c>
      <c r="C6425" s="2" t="str">
        <f ca="1">IFERROR(__xludf.DUMMYFUNCTION("GOOGLETRANSLATE(A6425,""bn"",""en"")"),"There was a bank service")</f>
        <v>There was a bank service</v>
      </c>
      <c r="D6425" s="5"/>
      <c r="E6425" s="5"/>
      <c r="F6425" s="5"/>
      <c r="G6425" s="5"/>
      <c r="H6425" s="5"/>
      <c r="I6425" s="5"/>
      <c r="J6425" s="5"/>
      <c r="K6425" s="5"/>
      <c r="L6425" s="5"/>
      <c r="M6425" s="5"/>
      <c r="N6425" s="5"/>
      <c r="O6425" s="5"/>
      <c r="P6425" s="5"/>
      <c r="Q6425" s="5"/>
      <c r="R6425" s="5"/>
      <c r="S6425" s="5"/>
      <c r="T6425" s="5"/>
      <c r="U6425" s="5"/>
      <c r="V6425" s="5"/>
      <c r="W6425" s="5"/>
      <c r="X6425" s="5"/>
      <c r="Y6425" s="5"/>
      <c r="Z6425" s="5"/>
    </row>
    <row r="6426" spans="1:26" ht="15" x14ac:dyDescent="0.25">
      <c r="A6426" s="4" t="s">
        <v>6424</v>
      </c>
      <c r="B6426" s="4" t="s">
        <v>4550</v>
      </c>
      <c r="C6426" s="2" t="str">
        <f ca="1">IFERROR(__xludf.DUMMYFUNCTION("GOOGLETRANSLATE(A6426,""bn"",""en"")"),"I was saving the file")</f>
        <v>I was saving the file</v>
      </c>
      <c r="D6426" s="5"/>
      <c r="E6426" s="5"/>
      <c r="F6426" s="5"/>
      <c r="G6426" s="5"/>
      <c r="H6426" s="5"/>
      <c r="I6426" s="5"/>
      <c r="J6426" s="5"/>
      <c r="K6426" s="5"/>
      <c r="L6426" s="5"/>
      <c r="M6426" s="5"/>
      <c r="N6426" s="5"/>
      <c r="O6426" s="5"/>
      <c r="P6426" s="5"/>
      <c r="Q6426" s="5"/>
      <c r="R6426" s="5"/>
      <c r="S6426" s="5"/>
      <c r="T6426" s="5"/>
      <c r="U6426" s="5"/>
      <c r="V6426" s="5"/>
      <c r="W6426" s="5"/>
      <c r="X6426" s="5"/>
      <c r="Y6426" s="5"/>
      <c r="Z6426" s="5"/>
    </row>
    <row r="6427" spans="1:26" ht="15" x14ac:dyDescent="0.25">
      <c r="A6427" s="4" t="s">
        <v>6425</v>
      </c>
      <c r="B6427" s="4" t="s">
        <v>4550</v>
      </c>
      <c r="C6427" s="2" t="str">
        <f ca="1">IFERROR(__xludf.DUMMYFUNCTION("GOOGLETRANSLATE(A6427,""bn"",""en"")"),"I used credit")</f>
        <v>I used credit</v>
      </c>
      <c r="D6427" s="5"/>
      <c r="E6427" s="5"/>
      <c r="F6427" s="5"/>
      <c r="G6427" s="5"/>
      <c r="H6427" s="5"/>
      <c r="I6427" s="5"/>
      <c r="J6427" s="5"/>
      <c r="K6427" s="5"/>
      <c r="L6427" s="5"/>
      <c r="M6427" s="5"/>
      <c r="N6427" s="5"/>
      <c r="O6427" s="5"/>
      <c r="P6427" s="5"/>
      <c r="Q6427" s="5"/>
      <c r="R6427" s="5"/>
      <c r="S6427" s="5"/>
      <c r="T6427" s="5"/>
      <c r="U6427" s="5"/>
      <c r="V6427" s="5"/>
      <c r="W6427" s="5"/>
      <c r="X6427" s="5"/>
      <c r="Y6427" s="5"/>
      <c r="Z6427" s="5"/>
    </row>
    <row r="6428" spans="1:26" ht="15" x14ac:dyDescent="0.25">
      <c r="A6428" s="4" t="s">
        <v>6426</v>
      </c>
      <c r="B6428" s="4" t="s">
        <v>4550</v>
      </c>
      <c r="C6428" s="2" t="str">
        <f ca="1">IFERROR(__xludf.DUMMYFUNCTION("GOOGLETRANSLATE(A6428,""bn"",""en"")"),"Everyone was watching the game")</f>
        <v>Everyone was watching the game</v>
      </c>
      <c r="D6428" s="5"/>
      <c r="E6428" s="5"/>
      <c r="F6428" s="5"/>
      <c r="G6428" s="5"/>
      <c r="H6428" s="5"/>
      <c r="I6428" s="5"/>
      <c r="J6428" s="5"/>
      <c r="K6428" s="5"/>
      <c r="L6428" s="5"/>
      <c r="M6428" s="5"/>
      <c r="N6428" s="5"/>
      <c r="O6428" s="5"/>
      <c r="P6428" s="5"/>
      <c r="Q6428" s="5"/>
      <c r="R6428" s="5"/>
      <c r="S6428" s="5"/>
      <c r="T6428" s="5"/>
      <c r="U6428" s="5"/>
      <c r="V6428" s="5"/>
      <c r="W6428" s="5"/>
      <c r="X6428" s="5"/>
      <c r="Y6428" s="5"/>
      <c r="Z6428" s="5"/>
    </row>
    <row r="6429" spans="1:26" ht="15" x14ac:dyDescent="0.25">
      <c r="A6429" s="4" t="s">
        <v>6427</v>
      </c>
      <c r="B6429" s="4" t="s">
        <v>4550</v>
      </c>
      <c r="C6429" s="2" t="str">
        <f ca="1">IFERROR(__xludf.DUMMYFUNCTION("GOOGLETRANSLATE(A6429,""bn"",""en"")"),"I was turning on the GPS")</f>
        <v>I was turning on the GPS</v>
      </c>
      <c r="D6429" s="5"/>
      <c r="E6429" s="5"/>
      <c r="F6429" s="5"/>
      <c r="G6429" s="5"/>
      <c r="H6429" s="5"/>
      <c r="I6429" s="5"/>
      <c r="J6429" s="5"/>
      <c r="K6429" s="5"/>
      <c r="L6429" s="5"/>
      <c r="M6429" s="5"/>
      <c r="N6429" s="5"/>
      <c r="O6429" s="5"/>
      <c r="P6429" s="5"/>
      <c r="Q6429" s="5"/>
      <c r="R6429" s="5"/>
      <c r="S6429" s="5"/>
      <c r="T6429" s="5"/>
      <c r="U6429" s="5"/>
      <c r="V6429" s="5"/>
      <c r="W6429" s="5"/>
      <c r="X6429" s="5"/>
      <c r="Y6429" s="5"/>
      <c r="Z6429" s="5"/>
    </row>
    <row r="6430" spans="1:26" ht="15" x14ac:dyDescent="0.25">
      <c r="A6430" s="4" t="s">
        <v>6428</v>
      </c>
      <c r="B6430" s="4" t="s">
        <v>4550</v>
      </c>
      <c r="C6430" s="2" t="str">
        <f ca="1">IFERROR(__xludf.DUMMYFUNCTION("GOOGLETRANSLATE(A6430,""bn"",""en"")"),"I took pictures on my laptop")</f>
        <v>I took pictures on my laptop</v>
      </c>
      <c r="D6430" s="5"/>
      <c r="E6430" s="5"/>
      <c r="F6430" s="5"/>
      <c r="G6430" s="5"/>
      <c r="H6430" s="5"/>
      <c r="I6430" s="5"/>
      <c r="J6430" s="5"/>
      <c r="K6430" s="5"/>
      <c r="L6430" s="5"/>
      <c r="M6430" s="5"/>
      <c r="N6430" s="5"/>
      <c r="O6430" s="5"/>
      <c r="P6430" s="5"/>
      <c r="Q6430" s="5"/>
      <c r="R6430" s="5"/>
      <c r="S6430" s="5"/>
      <c r="T6430" s="5"/>
      <c r="U6430" s="5"/>
      <c r="V6430" s="5"/>
      <c r="W6430" s="5"/>
      <c r="X6430" s="5"/>
      <c r="Y6430" s="5"/>
      <c r="Z6430" s="5"/>
    </row>
    <row r="6431" spans="1:26" ht="15" x14ac:dyDescent="0.25">
      <c r="A6431" s="4" t="s">
        <v>6429</v>
      </c>
      <c r="B6431" s="4" t="s">
        <v>4550</v>
      </c>
      <c r="C6431" s="2" t="str">
        <f ca="1">IFERROR(__xludf.DUMMYFUNCTION("GOOGLETRANSLATE(A6431,""bn"",""en"")"),"There were ships in the sea")</f>
        <v>There were ships in the sea</v>
      </c>
      <c r="D6431" s="5"/>
      <c r="E6431" s="5"/>
      <c r="F6431" s="5"/>
      <c r="G6431" s="5"/>
      <c r="H6431" s="5"/>
      <c r="I6431" s="5"/>
      <c r="J6431" s="5"/>
      <c r="K6431" s="5"/>
      <c r="L6431" s="5"/>
      <c r="M6431" s="5"/>
      <c r="N6431" s="5"/>
      <c r="O6431" s="5"/>
      <c r="P6431" s="5"/>
      <c r="Q6431" s="5"/>
      <c r="R6431" s="5"/>
      <c r="S6431" s="5"/>
      <c r="T6431" s="5"/>
      <c r="U6431" s="5"/>
      <c r="V6431" s="5"/>
      <c r="W6431" s="5"/>
      <c r="X6431" s="5"/>
      <c r="Y6431" s="5"/>
      <c r="Z6431" s="5"/>
    </row>
    <row r="6432" spans="1:26" ht="15" x14ac:dyDescent="0.25">
      <c r="A6432" s="4" t="s">
        <v>6430</v>
      </c>
      <c r="B6432" s="4" t="s">
        <v>4550</v>
      </c>
      <c r="C6432" s="2" t="str">
        <f ca="1">IFERROR(__xludf.DUMMYFUNCTION("GOOGLETRANSLATE(A6432,""bn"",""en"")"),"I was sending information on the internet")</f>
        <v>I was sending information on the internet</v>
      </c>
      <c r="D6432" s="5"/>
      <c r="E6432" s="5"/>
      <c r="F6432" s="5"/>
      <c r="G6432" s="5"/>
      <c r="H6432" s="5"/>
      <c r="I6432" s="5"/>
      <c r="J6432" s="5"/>
      <c r="K6432" s="5"/>
      <c r="L6432" s="5"/>
      <c r="M6432" s="5"/>
      <c r="N6432" s="5"/>
      <c r="O6432" s="5"/>
      <c r="P6432" s="5"/>
      <c r="Q6432" s="5"/>
      <c r="R6432" s="5"/>
      <c r="S6432" s="5"/>
      <c r="T6432" s="5"/>
      <c r="U6432" s="5"/>
      <c r="V6432" s="5"/>
      <c r="W6432" s="5"/>
      <c r="X6432" s="5"/>
      <c r="Y6432" s="5"/>
      <c r="Z6432" s="5"/>
    </row>
    <row r="6433" spans="1:26" ht="15" x14ac:dyDescent="0.25">
      <c r="A6433" s="4" t="s">
        <v>6431</v>
      </c>
      <c r="B6433" s="4" t="s">
        <v>4550</v>
      </c>
      <c r="C6433" s="2" t="str">
        <f ca="1">IFERROR(__xludf.DUMMYFUNCTION("GOOGLETRANSLATE(A6433,""bn"",""en"")"),"I learned networking")</f>
        <v>I learned networking</v>
      </c>
      <c r="D6433" s="5"/>
      <c r="E6433" s="5"/>
      <c r="F6433" s="5"/>
      <c r="G6433" s="5"/>
      <c r="H6433" s="5"/>
      <c r="I6433" s="5"/>
      <c r="J6433" s="5"/>
      <c r="K6433" s="5"/>
      <c r="L6433" s="5"/>
      <c r="M6433" s="5"/>
      <c r="N6433" s="5"/>
      <c r="O6433" s="5"/>
      <c r="P6433" s="5"/>
      <c r="Q6433" s="5"/>
      <c r="R6433" s="5"/>
      <c r="S6433" s="5"/>
      <c r="T6433" s="5"/>
      <c r="U6433" s="5"/>
      <c r="V6433" s="5"/>
      <c r="W6433" s="5"/>
      <c r="X6433" s="5"/>
      <c r="Y6433" s="5"/>
      <c r="Z6433" s="5"/>
    </row>
    <row r="6434" spans="1:26" ht="15" x14ac:dyDescent="0.25">
      <c r="A6434" s="4" t="s">
        <v>6432</v>
      </c>
      <c r="B6434" s="4" t="s">
        <v>4550</v>
      </c>
      <c r="C6434" s="2" t="str">
        <f ca="1">IFERROR(__xludf.DUMMYFUNCTION("GOOGLETRANSLATE(A6434,""bn"",""en"")"),"I used to eat in the college cafeteria")</f>
        <v>I used to eat in the college cafeteria</v>
      </c>
      <c r="D6434" s="5"/>
      <c r="E6434" s="5"/>
      <c r="F6434" s="5"/>
      <c r="G6434" s="5"/>
      <c r="H6434" s="5"/>
      <c r="I6434" s="5"/>
      <c r="J6434" s="5"/>
      <c r="K6434" s="5"/>
      <c r="L6434" s="5"/>
      <c r="M6434" s="5"/>
      <c r="N6434" s="5"/>
      <c r="O6434" s="5"/>
      <c r="P6434" s="5"/>
      <c r="Q6434" s="5"/>
      <c r="R6434" s="5"/>
      <c r="S6434" s="5"/>
      <c r="T6434" s="5"/>
      <c r="U6434" s="5"/>
      <c r="V6434" s="5"/>
      <c r="W6434" s="5"/>
      <c r="X6434" s="5"/>
      <c r="Y6434" s="5"/>
      <c r="Z6434" s="5"/>
    </row>
    <row r="6435" spans="1:26" ht="15" x14ac:dyDescent="0.25">
      <c r="A6435" s="4" t="s">
        <v>6433</v>
      </c>
      <c r="B6435" s="4" t="s">
        <v>4550</v>
      </c>
      <c r="C6435" s="2" t="str">
        <f ca="1">IFERROR(__xludf.DUMMYFUNCTION("GOOGLETRANSLATE(A6435,""bn"",""en"")"),"I printed the statement")</f>
        <v>I printed the statement</v>
      </c>
      <c r="D6435" s="5"/>
      <c r="E6435" s="5"/>
      <c r="F6435" s="5"/>
      <c r="G6435" s="5"/>
      <c r="H6435" s="5"/>
      <c r="I6435" s="5"/>
      <c r="J6435" s="5"/>
      <c r="K6435" s="5"/>
      <c r="L6435" s="5"/>
      <c r="M6435" s="5"/>
      <c r="N6435" s="5"/>
      <c r="O6435" s="5"/>
      <c r="P6435" s="5"/>
      <c r="Q6435" s="5"/>
      <c r="R6435" s="5"/>
      <c r="S6435" s="5"/>
      <c r="T6435" s="5"/>
      <c r="U6435" s="5"/>
      <c r="V6435" s="5"/>
      <c r="W6435" s="5"/>
      <c r="X6435" s="5"/>
      <c r="Y6435" s="5"/>
      <c r="Z6435" s="5"/>
    </row>
    <row r="6436" spans="1:26" ht="15" x14ac:dyDescent="0.25">
      <c r="A6436" s="4" t="s">
        <v>6434</v>
      </c>
      <c r="B6436" s="4" t="s">
        <v>4550</v>
      </c>
      <c r="C6436" s="2" t="str">
        <f ca="1">IFERROR(__xludf.DUMMYFUNCTION("GOOGLETRANSLATE(A6436,""bn"",""en"")"),"The fishermen were resting")</f>
        <v>The fishermen were resting</v>
      </c>
      <c r="D6436" s="5"/>
      <c r="E6436" s="5"/>
      <c r="F6436" s="5"/>
      <c r="G6436" s="5"/>
      <c r="H6436" s="5"/>
      <c r="I6436" s="5"/>
      <c r="J6436" s="5"/>
      <c r="K6436" s="5"/>
      <c r="L6436" s="5"/>
      <c r="M6436" s="5"/>
      <c r="N6436" s="5"/>
      <c r="O6436" s="5"/>
      <c r="P6436" s="5"/>
      <c r="Q6436" s="5"/>
      <c r="R6436" s="5"/>
      <c r="S6436" s="5"/>
      <c r="T6436" s="5"/>
      <c r="U6436" s="5"/>
      <c r="V6436" s="5"/>
      <c r="W6436" s="5"/>
      <c r="X6436" s="5"/>
      <c r="Y6436" s="5"/>
      <c r="Z6436" s="5"/>
    </row>
    <row r="6437" spans="1:26" ht="15" x14ac:dyDescent="0.25">
      <c r="A6437" s="4" t="s">
        <v>6435</v>
      </c>
      <c r="B6437" s="4" t="s">
        <v>4550</v>
      </c>
      <c r="C6437" s="2" t="str">
        <f ca="1">IFERROR(__xludf.DUMMYFUNCTION("GOOGLETRANSLATE(A6437,""bn"",""en"")"),"Physical exercise in sports")</f>
        <v>Physical exercise in sports</v>
      </c>
      <c r="D6437" s="5"/>
      <c r="E6437" s="5"/>
      <c r="F6437" s="5"/>
      <c r="G6437" s="5"/>
      <c r="H6437" s="5"/>
      <c r="I6437" s="5"/>
      <c r="J6437" s="5"/>
      <c r="K6437" s="5"/>
      <c r="L6437" s="5"/>
      <c r="M6437" s="5"/>
      <c r="N6437" s="5"/>
      <c r="O6437" s="5"/>
      <c r="P6437" s="5"/>
      <c r="Q6437" s="5"/>
      <c r="R6437" s="5"/>
      <c r="S6437" s="5"/>
      <c r="T6437" s="5"/>
      <c r="U6437" s="5"/>
      <c r="V6437" s="5"/>
      <c r="W6437" s="5"/>
      <c r="X6437" s="5"/>
      <c r="Y6437" s="5"/>
      <c r="Z6437" s="5"/>
    </row>
    <row r="6438" spans="1:26" ht="15" x14ac:dyDescent="0.25">
      <c r="A6438" s="4" t="s">
        <v>6436</v>
      </c>
      <c r="B6438" s="4" t="s">
        <v>4550</v>
      </c>
      <c r="C6438" s="2" t="str">
        <f ca="1">IFERROR(__xludf.DUMMYFUNCTION("GOOGLETRANSLATE(A6438,""bn"",""en"")"),"I went to the Taj Mahal")</f>
        <v>I went to the Taj Mahal</v>
      </c>
      <c r="D6438" s="5"/>
      <c r="E6438" s="5"/>
      <c r="F6438" s="5"/>
      <c r="G6438" s="5"/>
      <c r="H6438" s="5"/>
      <c r="I6438" s="5"/>
      <c r="J6438" s="5"/>
      <c r="K6438" s="5"/>
      <c r="L6438" s="5"/>
      <c r="M6438" s="5"/>
      <c r="N6438" s="5"/>
      <c r="O6438" s="5"/>
      <c r="P6438" s="5"/>
      <c r="Q6438" s="5"/>
      <c r="R6438" s="5"/>
      <c r="S6438" s="5"/>
      <c r="T6438" s="5"/>
      <c r="U6438" s="5"/>
      <c r="V6438" s="5"/>
      <c r="W6438" s="5"/>
      <c r="X6438" s="5"/>
      <c r="Y6438" s="5"/>
      <c r="Z6438" s="5"/>
    </row>
    <row r="6439" spans="1:26" ht="15" x14ac:dyDescent="0.25">
      <c r="A6439" s="4" t="s">
        <v>6437</v>
      </c>
      <c r="B6439" s="4" t="s">
        <v>4550</v>
      </c>
      <c r="C6439" s="2" t="str">
        <f ca="1">IFERROR(__xludf.DUMMYFUNCTION("GOOGLETRANSLATE(A6439,""bn"",""en"")"),"I saw a tiger in the forest")</f>
        <v>I saw a tiger in the forest</v>
      </c>
      <c r="D6439" s="5"/>
      <c r="E6439" s="5"/>
      <c r="F6439" s="5"/>
      <c r="G6439" s="5"/>
      <c r="H6439" s="5"/>
      <c r="I6439" s="5"/>
      <c r="J6439" s="5"/>
      <c r="K6439" s="5"/>
      <c r="L6439" s="5"/>
      <c r="M6439" s="5"/>
      <c r="N6439" s="5"/>
      <c r="O6439" s="5"/>
      <c r="P6439" s="5"/>
      <c r="Q6439" s="5"/>
      <c r="R6439" s="5"/>
      <c r="S6439" s="5"/>
      <c r="T6439" s="5"/>
      <c r="U6439" s="5"/>
      <c r="V6439" s="5"/>
      <c r="W6439" s="5"/>
      <c r="X6439" s="5"/>
      <c r="Y6439" s="5"/>
      <c r="Z6439" s="5"/>
    </row>
    <row r="6440" spans="1:26" ht="15" x14ac:dyDescent="0.25">
      <c r="A6440" s="4" t="s">
        <v>6438</v>
      </c>
      <c r="B6440" s="4" t="s">
        <v>4550</v>
      </c>
      <c r="C6440" s="2" t="str">
        <f ca="1">IFERROR(__xludf.DUMMYFUNCTION("GOOGLETRANSLATE(A6440,""bn"",""en"")"),"Changed the infrastructure")</f>
        <v>Changed the infrastructure</v>
      </c>
      <c r="D6440" s="5"/>
      <c r="E6440" s="5"/>
      <c r="F6440" s="5"/>
      <c r="G6440" s="5"/>
      <c r="H6440" s="5"/>
      <c r="I6440" s="5"/>
      <c r="J6440" s="5"/>
      <c r="K6440" s="5"/>
      <c r="L6440" s="5"/>
      <c r="M6440" s="5"/>
      <c r="N6440" s="5"/>
      <c r="O6440" s="5"/>
      <c r="P6440" s="5"/>
      <c r="Q6440" s="5"/>
      <c r="R6440" s="5"/>
      <c r="S6440" s="5"/>
      <c r="T6440" s="5"/>
      <c r="U6440" s="5"/>
      <c r="V6440" s="5"/>
      <c r="W6440" s="5"/>
      <c r="X6440" s="5"/>
      <c r="Y6440" s="5"/>
      <c r="Z6440" s="5"/>
    </row>
    <row r="6441" spans="1:26" ht="15" x14ac:dyDescent="0.25">
      <c r="A6441" s="4" t="s">
        <v>6439</v>
      </c>
      <c r="B6441" s="4" t="s">
        <v>4550</v>
      </c>
      <c r="C6441" s="2" t="str">
        <f ca="1">IFERROR(__xludf.DUMMYFUNCTION("GOOGLETRANSLATE(A6441,""bn"",""en"")"),"Knowledge of technology was insufficient")</f>
        <v>Knowledge of technology was insufficient</v>
      </c>
      <c r="D6441" s="5"/>
      <c r="E6441" s="5"/>
      <c r="F6441" s="5"/>
      <c r="G6441" s="5"/>
      <c r="H6441" s="5"/>
      <c r="I6441" s="5"/>
      <c r="J6441" s="5"/>
      <c r="K6441" s="5"/>
      <c r="L6441" s="5"/>
      <c r="M6441" s="5"/>
      <c r="N6441" s="5"/>
      <c r="O6441" s="5"/>
      <c r="P6441" s="5"/>
      <c r="Q6441" s="5"/>
      <c r="R6441" s="5"/>
      <c r="S6441" s="5"/>
      <c r="T6441" s="5"/>
      <c r="U6441" s="5"/>
      <c r="V6441" s="5"/>
      <c r="W6441" s="5"/>
      <c r="X6441" s="5"/>
      <c r="Y6441" s="5"/>
      <c r="Z6441" s="5"/>
    </row>
    <row r="6442" spans="1:26" ht="15" x14ac:dyDescent="0.25">
      <c r="A6442" s="4" t="s">
        <v>6440</v>
      </c>
      <c r="B6442" s="4" t="s">
        <v>4550</v>
      </c>
      <c r="C6442" s="2" t="str">
        <f ca="1">IFERROR(__xludf.DUMMYFUNCTION("GOOGLETRANSLATE(A6442,""bn"",""en"")"),"Searched everything on Google")</f>
        <v>Searched everything on Google</v>
      </c>
      <c r="D6442" s="5"/>
      <c r="E6442" s="5"/>
      <c r="F6442" s="5"/>
      <c r="G6442" s="5"/>
      <c r="H6442" s="5"/>
      <c r="I6442" s="5"/>
      <c r="J6442" s="5"/>
      <c r="K6442" s="5"/>
      <c r="L6442" s="5"/>
      <c r="M6442" s="5"/>
      <c r="N6442" s="5"/>
      <c r="O6442" s="5"/>
      <c r="P6442" s="5"/>
      <c r="Q6442" s="5"/>
      <c r="R6442" s="5"/>
      <c r="S6442" s="5"/>
      <c r="T6442" s="5"/>
      <c r="U6442" s="5"/>
      <c r="V6442" s="5"/>
      <c r="W6442" s="5"/>
      <c r="X6442" s="5"/>
      <c r="Y6442" s="5"/>
      <c r="Z6442" s="5"/>
    </row>
    <row r="6443" spans="1:26" ht="15" x14ac:dyDescent="0.25">
      <c r="A6443" s="4" t="s">
        <v>6441</v>
      </c>
      <c r="B6443" s="4" t="s">
        <v>4550</v>
      </c>
      <c r="C6443" s="2" t="str">
        <f ca="1">IFERROR(__xludf.DUMMYFUNCTION("GOOGLETRANSLATE(A6443,""bn"",""en"")"),"We learned blockchain")</f>
        <v>We learned blockchain</v>
      </c>
      <c r="D6443" s="5"/>
      <c r="E6443" s="5"/>
      <c r="F6443" s="5"/>
      <c r="G6443" s="5"/>
      <c r="H6443" s="5"/>
      <c r="I6443" s="5"/>
      <c r="J6443" s="5"/>
      <c r="K6443" s="5"/>
      <c r="L6443" s="5"/>
      <c r="M6443" s="5"/>
      <c r="N6443" s="5"/>
      <c r="O6443" s="5"/>
      <c r="P6443" s="5"/>
      <c r="Q6443" s="5"/>
      <c r="R6443" s="5"/>
      <c r="S6443" s="5"/>
      <c r="T6443" s="5"/>
      <c r="U6443" s="5"/>
      <c r="V6443" s="5"/>
      <c r="W6443" s="5"/>
      <c r="X6443" s="5"/>
      <c r="Y6443" s="5"/>
      <c r="Z6443" s="5"/>
    </row>
    <row r="6444" spans="1:26" ht="15" x14ac:dyDescent="0.25">
      <c r="A6444" s="4" t="s">
        <v>6442</v>
      </c>
      <c r="B6444" s="4" t="s">
        <v>4550</v>
      </c>
      <c r="C6444" s="2" t="str">
        <f ca="1">IFERROR(__xludf.DUMMYFUNCTION("GOOGLETRANSLATE(A6444,""bn"",""en"")"),"I sent the internet information")</f>
        <v>I sent the internet information</v>
      </c>
      <c r="D6444" s="5"/>
      <c r="E6444" s="5"/>
      <c r="F6444" s="5"/>
      <c r="G6444" s="5"/>
      <c r="H6444" s="5"/>
      <c r="I6444" s="5"/>
      <c r="J6444" s="5"/>
      <c r="K6444" s="5"/>
      <c r="L6444" s="5"/>
      <c r="M6444" s="5"/>
      <c r="N6444" s="5"/>
      <c r="O6444" s="5"/>
      <c r="P6444" s="5"/>
      <c r="Q6444" s="5"/>
      <c r="R6444" s="5"/>
      <c r="S6444" s="5"/>
      <c r="T6444" s="5"/>
      <c r="U6444" s="5"/>
      <c r="V6444" s="5"/>
      <c r="W6444" s="5"/>
      <c r="X6444" s="5"/>
      <c r="Y6444" s="5"/>
      <c r="Z6444" s="5"/>
    </row>
    <row r="6445" spans="1:26" ht="15" x14ac:dyDescent="0.25">
      <c r="A6445" s="4" t="s">
        <v>6443</v>
      </c>
      <c r="B6445" s="4" t="s">
        <v>4550</v>
      </c>
      <c r="C6445" s="2" t="str">
        <f ca="1">IFERROR(__xludf.DUMMYFUNCTION("GOOGLETRANSLATE(A6445,""bn"",""en"")"),"Outsourcing work was coming")</f>
        <v>Outsourcing work was coming</v>
      </c>
      <c r="D6445" s="5"/>
      <c r="E6445" s="5"/>
      <c r="F6445" s="5"/>
      <c r="G6445" s="5"/>
      <c r="H6445" s="5"/>
      <c r="I6445" s="5"/>
      <c r="J6445" s="5"/>
      <c r="K6445" s="5"/>
      <c r="L6445" s="5"/>
      <c r="M6445" s="5"/>
      <c r="N6445" s="5"/>
      <c r="O6445" s="5"/>
      <c r="P6445" s="5"/>
      <c r="Q6445" s="5"/>
      <c r="R6445" s="5"/>
      <c r="S6445" s="5"/>
      <c r="T6445" s="5"/>
      <c r="U6445" s="5"/>
      <c r="V6445" s="5"/>
      <c r="W6445" s="5"/>
      <c r="X6445" s="5"/>
      <c r="Y6445" s="5"/>
      <c r="Z6445" s="5"/>
    </row>
    <row r="6446" spans="1:26" ht="15" x14ac:dyDescent="0.25">
      <c r="A6446" s="4" t="s">
        <v>6444</v>
      </c>
      <c r="B6446" s="4" t="s">
        <v>4550</v>
      </c>
      <c r="C6446" s="2" t="str">
        <f ca="1">IFERROR(__xludf.DUMMYFUNCTION("GOOGLETRANSLATE(A6446,""bn"",""en"")"),"I attended the meeting")</f>
        <v>I attended the meeting</v>
      </c>
      <c r="D6446" s="5"/>
      <c r="E6446" s="5"/>
      <c r="F6446" s="5"/>
      <c r="G6446" s="5"/>
      <c r="H6446" s="5"/>
      <c r="I6446" s="5"/>
      <c r="J6446" s="5"/>
      <c r="K6446" s="5"/>
      <c r="L6446" s="5"/>
      <c r="M6446" s="5"/>
      <c r="N6446" s="5"/>
      <c r="O6446" s="5"/>
      <c r="P6446" s="5"/>
      <c r="Q6446" s="5"/>
      <c r="R6446" s="5"/>
      <c r="S6446" s="5"/>
      <c r="T6446" s="5"/>
      <c r="U6446" s="5"/>
      <c r="V6446" s="5"/>
      <c r="W6446" s="5"/>
      <c r="X6446" s="5"/>
      <c r="Y6446" s="5"/>
      <c r="Z6446" s="5"/>
    </row>
    <row r="6447" spans="1:26" ht="15" x14ac:dyDescent="0.25">
      <c r="A6447" s="4" t="s">
        <v>6445</v>
      </c>
      <c r="B6447" s="4" t="s">
        <v>4550</v>
      </c>
      <c r="C6447" s="2" t="str">
        <f ca="1">IFERROR(__xludf.DUMMYFUNCTION("GOOGLETRANSLATE(A6447,""bn"",""en"")"),"Added benefits")</f>
        <v>Added benefits</v>
      </c>
      <c r="D6447" s="5"/>
      <c r="E6447" s="5"/>
      <c r="F6447" s="5"/>
      <c r="G6447" s="5"/>
      <c r="H6447" s="5"/>
      <c r="I6447" s="5"/>
      <c r="J6447" s="5"/>
      <c r="K6447" s="5"/>
      <c r="L6447" s="5"/>
      <c r="M6447" s="5"/>
      <c r="N6447" s="5"/>
      <c r="O6447" s="5"/>
      <c r="P6447" s="5"/>
      <c r="Q6447" s="5"/>
      <c r="R6447" s="5"/>
      <c r="S6447" s="5"/>
      <c r="T6447" s="5"/>
      <c r="U6447" s="5"/>
      <c r="V6447" s="5"/>
      <c r="W6447" s="5"/>
      <c r="X6447" s="5"/>
      <c r="Y6447" s="5"/>
      <c r="Z6447" s="5"/>
    </row>
    <row r="6448" spans="1:26" ht="15" x14ac:dyDescent="0.25">
      <c r="A6448" s="4" t="s">
        <v>6446</v>
      </c>
      <c r="B6448" s="4" t="s">
        <v>4550</v>
      </c>
      <c r="C6448" s="2" t="str">
        <f ca="1">IFERROR(__xludf.DUMMYFUNCTION("GOOGLETRANSLATE(A6448,""bn"",""en"")"),"He found peace in retirement")</f>
        <v>He found peace in retirement</v>
      </c>
      <c r="D6448" s="5"/>
      <c r="E6448" s="5"/>
      <c r="F6448" s="5"/>
      <c r="G6448" s="5"/>
      <c r="H6448" s="5"/>
      <c r="I6448" s="5"/>
      <c r="J6448" s="5"/>
      <c r="K6448" s="5"/>
      <c r="L6448" s="5"/>
      <c r="M6448" s="5"/>
      <c r="N6448" s="5"/>
      <c r="O6448" s="5"/>
      <c r="P6448" s="5"/>
      <c r="Q6448" s="5"/>
      <c r="R6448" s="5"/>
      <c r="S6448" s="5"/>
      <c r="T6448" s="5"/>
      <c r="U6448" s="5"/>
      <c r="V6448" s="5"/>
      <c r="W6448" s="5"/>
      <c r="X6448" s="5"/>
      <c r="Y6448" s="5"/>
      <c r="Z6448" s="5"/>
    </row>
    <row r="6449" spans="1:26" ht="15" x14ac:dyDescent="0.25">
      <c r="A6449" s="4" t="s">
        <v>6447</v>
      </c>
      <c r="B6449" s="4" t="s">
        <v>4550</v>
      </c>
      <c r="C6449" s="2" t="str">
        <f ca="1">IFERROR(__xludf.DUMMYFUNCTION("GOOGLETRANSLATE(A6449,""bn"",""en"")"),"I browsed Google")</f>
        <v>I browsed Google</v>
      </c>
      <c r="D6449" s="5"/>
      <c r="E6449" s="5"/>
      <c r="F6449" s="5"/>
      <c r="G6449" s="5"/>
      <c r="H6449" s="5"/>
      <c r="I6449" s="5"/>
      <c r="J6449" s="5"/>
      <c r="K6449" s="5"/>
      <c r="L6449" s="5"/>
      <c r="M6449" s="5"/>
      <c r="N6449" s="5"/>
      <c r="O6449" s="5"/>
      <c r="P6449" s="5"/>
      <c r="Q6449" s="5"/>
      <c r="R6449" s="5"/>
      <c r="S6449" s="5"/>
      <c r="T6449" s="5"/>
      <c r="U6449" s="5"/>
      <c r="V6449" s="5"/>
      <c r="W6449" s="5"/>
      <c r="X6449" s="5"/>
      <c r="Y6449" s="5"/>
      <c r="Z6449" s="5"/>
    </row>
    <row r="6450" spans="1:26" ht="15" x14ac:dyDescent="0.25">
      <c r="A6450" s="4" t="s">
        <v>6448</v>
      </c>
      <c r="B6450" s="4" t="s">
        <v>4550</v>
      </c>
      <c r="C6450" s="2" t="str">
        <f ca="1">IFERROR(__xludf.DUMMYFUNCTION("GOOGLETRANSLATE(A6450,""bn"",""en"")"),"There was a political debate")</f>
        <v>There was a political debate</v>
      </c>
      <c r="D6450" s="5"/>
      <c r="E6450" s="5"/>
      <c r="F6450" s="5"/>
      <c r="G6450" s="5"/>
      <c r="H6450" s="5"/>
      <c r="I6450" s="5"/>
      <c r="J6450" s="5"/>
      <c r="K6450" s="5"/>
      <c r="L6450" s="5"/>
      <c r="M6450" s="5"/>
      <c r="N6450" s="5"/>
      <c r="O6450" s="5"/>
      <c r="P6450" s="5"/>
      <c r="Q6450" s="5"/>
      <c r="R6450" s="5"/>
      <c r="S6450" s="5"/>
      <c r="T6450" s="5"/>
      <c r="U6450" s="5"/>
      <c r="V6450" s="5"/>
      <c r="W6450" s="5"/>
      <c r="X6450" s="5"/>
      <c r="Y6450" s="5"/>
      <c r="Z6450" s="5"/>
    </row>
    <row r="6451" spans="1:26" ht="15" x14ac:dyDescent="0.25">
      <c r="A6451" s="4" t="s">
        <v>6449</v>
      </c>
      <c r="B6451" s="4" t="s">
        <v>4550</v>
      </c>
      <c r="C6451" s="2" t="str">
        <f ca="1">IFERROR(__xludf.DUMMYFUNCTION("GOOGLETRANSLATE(A6451,""bn"",""en"")"),"He was reading a book")</f>
        <v>He was reading a book</v>
      </c>
      <c r="D6451" s="5"/>
      <c r="E6451" s="5"/>
      <c r="F6451" s="5"/>
      <c r="G6451" s="5"/>
      <c r="H6451" s="5"/>
      <c r="I6451" s="5"/>
      <c r="J6451" s="5"/>
      <c r="K6451" s="5"/>
      <c r="L6451" s="5"/>
      <c r="M6451" s="5"/>
      <c r="N6451" s="5"/>
      <c r="O6451" s="5"/>
      <c r="P6451" s="5"/>
      <c r="Q6451" s="5"/>
      <c r="R6451" s="5"/>
      <c r="S6451" s="5"/>
      <c r="T6451" s="5"/>
      <c r="U6451" s="5"/>
      <c r="V6451" s="5"/>
      <c r="W6451" s="5"/>
      <c r="X6451" s="5"/>
      <c r="Y6451" s="5"/>
      <c r="Z6451" s="5"/>
    </row>
    <row r="6452" spans="1:26" ht="15" x14ac:dyDescent="0.25">
      <c r="A6452" s="4" t="s">
        <v>6450</v>
      </c>
      <c r="B6452" s="4" t="s">
        <v>4550</v>
      </c>
      <c r="C6452" s="2" t="str">
        <f ca="1">IFERROR(__xludf.DUMMYFUNCTION("GOOGLETRANSLATE(A6452,""bn"",""en"")"),"I bought a new gadget")</f>
        <v>I bought a new gadget</v>
      </c>
      <c r="D6452" s="5"/>
      <c r="E6452" s="5"/>
      <c r="F6452" s="5"/>
      <c r="G6452" s="5"/>
      <c r="H6452" s="5"/>
      <c r="I6452" s="5"/>
      <c r="J6452" s="5"/>
      <c r="K6452" s="5"/>
      <c r="L6452" s="5"/>
      <c r="M6452" s="5"/>
      <c r="N6452" s="5"/>
      <c r="O6452" s="5"/>
      <c r="P6452" s="5"/>
      <c r="Q6452" s="5"/>
      <c r="R6452" s="5"/>
      <c r="S6452" s="5"/>
      <c r="T6452" s="5"/>
      <c r="U6452" s="5"/>
      <c r="V6452" s="5"/>
      <c r="W6452" s="5"/>
      <c r="X6452" s="5"/>
      <c r="Y6452" s="5"/>
      <c r="Z6452" s="5"/>
    </row>
    <row r="6453" spans="1:26" ht="15" x14ac:dyDescent="0.25">
      <c r="A6453" s="4" t="s">
        <v>6451</v>
      </c>
      <c r="B6453" s="4" t="s">
        <v>4550</v>
      </c>
      <c r="C6453" s="2" t="str">
        <f ca="1">IFERROR(__xludf.DUMMYFUNCTION("GOOGLETRANSLATE(A6453,""bn"",""en"")"),"The Prime Minister had a meeting")</f>
        <v>The Prime Minister had a meeting</v>
      </c>
      <c r="D6453" s="5"/>
      <c r="E6453" s="5"/>
      <c r="F6453" s="5"/>
      <c r="G6453" s="5"/>
      <c r="H6453" s="5"/>
      <c r="I6453" s="5"/>
      <c r="J6453" s="5"/>
      <c r="K6453" s="5"/>
      <c r="L6453" s="5"/>
      <c r="M6453" s="5"/>
      <c r="N6453" s="5"/>
      <c r="O6453" s="5"/>
      <c r="P6453" s="5"/>
      <c r="Q6453" s="5"/>
      <c r="R6453" s="5"/>
      <c r="S6453" s="5"/>
      <c r="T6453" s="5"/>
      <c r="U6453" s="5"/>
      <c r="V6453" s="5"/>
      <c r="W6453" s="5"/>
      <c r="X6453" s="5"/>
      <c r="Y6453" s="5"/>
      <c r="Z6453" s="5"/>
    </row>
    <row r="6454" spans="1:26" ht="15" x14ac:dyDescent="0.25">
      <c r="A6454" s="4" t="s">
        <v>6452</v>
      </c>
      <c r="B6454" s="4" t="s">
        <v>4550</v>
      </c>
      <c r="C6454" s="2" t="str">
        <f ca="1">IFERROR(__xludf.DUMMYFUNCTION("GOOGLETRANSLATE(A6454,""bn"",""en"")"),"Account was being opened")</f>
        <v>Account was being opened</v>
      </c>
      <c r="D6454" s="5"/>
      <c r="E6454" s="5"/>
      <c r="F6454" s="5"/>
      <c r="G6454" s="5"/>
      <c r="H6454" s="5"/>
      <c r="I6454" s="5"/>
      <c r="J6454" s="5"/>
      <c r="K6454" s="5"/>
      <c r="L6454" s="5"/>
      <c r="M6454" s="5"/>
      <c r="N6454" s="5"/>
      <c r="O6454" s="5"/>
      <c r="P6454" s="5"/>
      <c r="Q6454" s="5"/>
      <c r="R6454" s="5"/>
      <c r="S6454" s="5"/>
      <c r="T6454" s="5"/>
      <c r="U6454" s="5"/>
      <c r="V6454" s="5"/>
      <c r="W6454" s="5"/>
      <c r="X6454" s="5"/>
      <c r="Y6454" s="5"/>
      <c r="Z6454" s="5"/>
    </row>
    <row r="6455" spans="1:26" ht="15" x14ac:dyDescent="0.25">
      <c r="A6455" s="4" t="s">
        <v>6453</v>
      </c>
      <c r="B6455" s="4" t="s">
        <v>4550</v>
      </c>
      <c r="C6455" s="2" t="str">
        <f ca="1">IFERROR(__xludf.DUMMYFUNCTION("GOOGLETRANSLATE(A6455,""bn"",""en"")"),"I thought")</f>
        <v>I thought</v>
      </c>
      <c r="D6455" s="5"/>
      <c r="E6455" s="5"/>
      <c r="F6455" s="5"/>
      <c r="G6455" s="5"/>
      <c r="H6455" s="5"/>
      <c r="I6455" s="5"/>
      <c r="J6455" s="5"/>
      <c r="K6455" s="5"/>
      <c r="L6455" s="5"/>
      <c r="M6455" s="5"/>
      <c r="N6455" s="5"/>
      <c r="O6455" s="5"/>
      <c r="P6455" s="5"/>
      <c r="Q6455" s="5"/>
      <c r="R6455" s="5"/>
      <c r="S6455" s="5"/>
      <c r="T6455" s="5"/>
      <c r="U6455" s="5"/>
      <c r="V6455" s="5"/>
      <c r="W6455" s="5"/>
      <c r="X6455" s="5"/>
      <c r="Y6455" s="5"/>
      <c r="Z6455" s="5"/>
    </row>
    <row r="6456" spans="1:26" ht="15" x14ac:dyDescent="0.25">
      <c r="A6456" s="4" t="s">
        <v>6454</v>
      </c>
      <c r="B6456" s="4" t="s">
        <v>4550</v>
      </c>
      <c r="C6456" s="2" t="str">
        <f ca="1">IFERROR(__xludf.DUMMYFUNCTION("GOOGLETRANSLATE(A6456,""bn"",""en"")"),"People did politics")</f>
        <v>People did politics</v>
      </c>
      <c r="D6456" s="5"/>
      <c r="E6456" s="5"/>
      <c r="F6456" s="5"/>
      <c r="G6456" s="5"/>
      <c r="H6456" s="5"/>
      <c r="I6456" s="5"/>
      <c r="J6456" s="5"/>
      <c r="K6456" s="5"/>
      <c r="L6456" s="5"/>
      <c r="M6456" s="5"/>
      <c r="N6456" s="5"/>
      <c r="O6456" s="5"/>
      <c r="P6456" s="5"/>
      <c r="Q6456" s="5"/>
      <c r="R6456" s="5"/>
      <c r="S6456" s="5"/>
      <c r="T6456" s="5"/>
      <c r="U6456" s="5"/>
      <c r="V6456" s="5"/>
      <c r="W6456" s="5"/>
      <c r="X6456" s="5"/>
      <c r="Y6456" s="5"/>
      <c r="Z6456" s="5"/>
    </row>
    <row r="6457" spans="1:26" ht="15" x14ac:dyDescent="0.25">
      <c r="A6457" s="4" t="s">
        <v>6455</v>
      </c>
      <c r="B6457" s="4" t="s">
        <v>4550</v>
      </c>
      <c r="C6457" s="2" t="str">
        <f ca="1">IFERROR(__xludf.DUMMYFUNCTION("GOOGLETRANSLATE(A6457,""bn"",""en"")"),"I was reading a novel")</f>
        <v>I was reading a novel</v>
      </c>
      <c r="D6457" s="5"/>
      <c r="E6457" s="5"/>
      <c r="F6457" s="5"/>
      <c r="G6457" s="5"/>
      <c r="H6457" s="5"/>
      <c r="I6457" s="5"/>
      <c r="J6457" s="5"/>
      <c r="K6457" s="5"/>
      <c r="L6457" s="5"/>
      <c r="M6457" s="5"/>
      <c r="N6457" s="5"/>
      <c r="O6457" s="5"/>
      <c r="P6457" s="5"/>
      <c r="Q6457" s="5"/>
      <c r="R6457" s="5"/>
      <c r="S6457" s="5"/>
      <c r="T6457" s="5"/>
      <c r="U6457" s="5"/>
      <c r="V6457" s="5"/>
      <c r="W6457" s="5"/>
      <c r="X6457" s="5"/>
      <c r="Y6457" s="5"/>
      <c r="Z6457" s="5"/>
    </row>
    <row r="6458" spans="1:26" ht="15" x14ac:dyDescent="0.25">
      <c r="A6458" s="4" t="s">
        <v>6456</v>
      </c>
      <c r="B6458" s="4" t="s">
        <v>4550</v>
      </c>
      <c r="C6458" s="2" t="str">
        <f ca="1">IFERROR(__xludf.DUMMYFUNCTION("GOOGLETRANSLATE(A6458,""bn"",""en"")"),"I used to listen to Quran recitation")</f>
        <v>I used to listen to Quran recitation</v>
      </c>
      <c r="D6458" s="5"/>
      <c r="E6458" s="5"/>
      <c r="F6458" s="5"/>
      <c r="G6458" s="5"/>
      <c r="H6458" s="5"/>
      <c r="I6458" s="5"/>
      <c r="J6458" s="5"/>
      <c r="K6458" s="5"/>
      <c r="L6458" s="5"/>
      <c r="M6458" s="5"/>
      <c r="N6458" s="5"/>
      <c r="O6458" s="5"/>
      <c r="P6458" s="5"/>
      <c r="Q6458" s="5"/>
      <c r="R6458" s="5"/>
      <c r="S6458" s="5"/>
      <c r="T6458" s="5"/>
      <c r="U6458" s="5"/>
      <c r="V6458" s="5"/>
      <c r="W6458" s="5"/>
      <c r="X6458" s="5"/>
      <c r="Y6458" s="5"/>
      <c r="Z6458" s="5"/>
    </row>
    <row r="6459" spans="1:26" ht="15" x14ac:dyDescent="0.25">
      <c r="A6459" s="4" t="s">
        <v>6457</v>
      </c>
      <c r="B6459" s="4" t="s">
        <v>4550</v>
      </c>
      <c r="C6459" s="2" t="str">
        <f ca="1">IFERROR(__xludf.DUMMYFUNCTION("GOOGLETRANSLATE(A6459,""bn"",""en"")"),"I read various blogs")</f>
        <v>I read various blogs</v>
      </c>
      <c r="D6459" s="5"/>
      <c r="E6459" s="5"/>
      <c r="F6459" s="5"/>
      <c r="G6459" s="5"/>
      <c r="H6459" s="5"/>
      <c r="I6459" s="5"/>
      <c r="J6459" s="5"/>
      <c r="K6459" s="5"/>
      <c r="L6459" s="5"/>
      <c r="M6459" s="5"/>
      <c r="N6459" s="5"/>
      <c r="O6459" s="5"/>
      <c r="P6459" s="5"/>
      <c r="Q6459" s="5"/>
      <c r="R6459" s="5"/>
      <c r="S6459" s="5"/>
      <c r="T6459" s="5"/>
      <c r="U6459" s="5"/>
      <c r="V6459" s="5"/>
      <c r="W6459" s="5"/>
      <c r="X6459" s="5"/>
      <c r="Y6459" s="5"/>
      <c r="Z6459" s="5"/>
    </row>
    <row r="6460" spans="1:26" ht="15" x14ac:dyDescent="0.25">
      <c r="A6460" s="4" t="s">
        <v>6458</v>
      </c>
      <c r="B6460" s="4" t="s">
        <v>4550</v>
      </c>
      <c r="C6460" s="2" t="str">
        <f ca="1">IFERROR(__xludf.DUMMYFUNCTION("GOOGLETRANSLATE(A6460,""bn"",""en"")"),"I went to learn technology")</f>
        <v>I went to learn technology</v>
      </c>
      <c r="D6460" s="5"/>
      <c r="E6460" s="5"/>
      <c r="F6460" s="5"/>
      <c r="G6460" s="5"/>
      <c r="H6460" s="5"/>
      <c r="I6460" s="5"/>
      <c r="J6460" s="5"/>
      <c r="K6460" s="5"/>
      <c r="L6460" s="5"/>
      <c r="M6460" s="5"/>
      <c r="N6460" s="5"/>
      <c r="O6460" s="5"/>
      <c r="P6460" s="5"/>
      <c r="Q6460" s="5"/>
      <c r="R6460" s="5"/>
      <c r="S6460" s="5"/>
      <c r="T6460" s="5"/>
      <c r="U6460" s="5"/>
      <c r="V6460" s="5"/>
      <c r="W6460" s="5"/>
      <c r="X6460" s="5"/>
      <c r="Y6460" s="5"/>
      <c r="Z6460" s="5"/>
    </row>
    <row r="6461" spans="1:26" ht="15" x14ac:dyDescent="0.25">
      <c r="A6461" s="4" t="s">
        <v>6459</v>
      </c>
      <c r="B6461" s="4" t="s">
        <v>4550</v>
      </c>
      <c r="C6461" s="2" t="str">
        <f ca="1">IFERROR(__xludf.DUMMYFUNCTION("GOOGLETRANSLATE(A6461,""bn"",""en"")"),"I advanced in my career")</f>
        <v>I advanced in my career</v>
      </c>
      <c r="D6461" s="5"/>
      <c r="E6461" s="5"/>
      <c r="F6461" s="5"/>
      <c r="G6461" s="5"/>
      <c r="H6461" s="5"/>
      <c r="I6461" s="5"/>
      <c r="J6461" s="5"/>
      <c r="K6461" s="5"/>
      <c r="L6461" s="5"/>
      <c r="M6461" s="5"/>
      <c r="N6461" s="5"/>
      <c r="O6461" s="5"/>
      <c r="P6461" s="5"/>
      <c r="Q6461" s="5"/>
      <c r="R6461" s="5"/>
      <c r="S6461" s="5"/>
      <c r="T6461" s="5"/>
      <c r="U6461" s="5"/>
      <c r="V6461" s="5"/>
      <c r="W6461" s="5"/>
      <c r="X6461" s="5"/>
      <c r="Y6461" s="5"/>
      <c r="Z6461" s="5"/>
    </row>
    <row r="6462" spans="1:26" ht="15" x14ac:dyDescent="0.25">
      <c r="A6462" s="4" t="s">
        <v>6460</v>
      </c>
      <c r="B6462" s="4" t="s">
        <v>4550</v>
      </c>
      <c r="C6462" s="2" t="str">
        <f ca="1">IFERROR(__xludf.DUMMYFUNCTION("GOOGLETRANSLATE(A6462,""bn"",""en"")"),"I went on an educational trip")</f>
        <v>I went on an educational trip</v>
      </c>
      <c r="D6462" s="5"/>
      <c r="E6462" s="5"/>
      <c r="F6462" s="5"/>
      <c r="G6462" s="5"/>
      <c r="H6462" s="5"/>
      <c r="I6462" s="5"/>
      <c r="J6462" s="5"/>
      <c r="K6462" s="5"/>
      <c r="L6462" s="5"/>
      <c r="M6462" s="5"/>
      <c r="N6462" s="5"/>
      <c r="O6462" s="5"/>
      <c r="P6462" s="5"/>
      <c r="Q6462" s="5"/>
      <c r="R6462" s="5"/>
      <c r="S6462" s="5"/>
      <c r="T6462" s="5"/>
      <c r="U6462" s="5"/>
      <c r="V6462" s="5"/>
      <c r="W6462" s="5"/>
      <c r="X6462" s="5"/>
      <c r="Y6462" s="5"/>
      <c r="Z6462" s="5"/>
    </row>
    <row r="6463" spans="1:26" ht="15" x14ac:dyDescent="0.25">
      <c r="A6463" s="4" t="s">
        <v>6461</v>
      </c>
      <c r="B6463" s="4" t="s">
        <v>4550</v>
      </c>
      <c r="C6463" s="2" t="str">
        <f ca="1">IFERROR(__xludf.DUMMYFUNCTION("GOOGLETRANSLATE(A6463,""bn"",""en"")"),"I was traveling with friends")</f>
        <v>I was traveling with friends</v>
      </c>
      <c r="D6463" s="5"/>
      <c r="E6463" s="5"/>
      <c r="F6463" s="5"/>
      <c r="G6463" s="5"/>
      <c r="H6463" s="5"/>
      <c r="I6463" s="5"/>
      <c r="J6463" s="5"/>
      <c r="K6463" s="5"/>
      <c r="L6463" s="5"/>
      <c r="M6463" s="5"/>
      <c r="N6463" s="5"/>
      <c r="O6463" s="5"/>
      <c r="P6463" s="5"/>
      <c r="Q6463" s="5"/>
      <c r="R6463" s="5"/>
      <c r="S6463" s="5"/>
      <c r="T6463" s="5"/>
      <c r="U6463" s="5"/>
      <c r="V6463" s="5"/>
      <c r="W6463" s="5"/>
      <c r="X6463" s="5"/>
      <c r="Y6463" s="5"/>
      <c r="Z6463" s="5"/>
    </row>
    <row r="6464" spans="1:26" ht="15" x14ac:dyDescent="0.25">
      <c r="A6464" s="4" t="s">
        <v>6462</v>
      </c>
      <c r="B6464" s="4" t="s">
        <v>4550</v>
      </c>
      <c r="C6464" s="2" t="str">
        <f ca="1">IFERROR(__xludf.DUMMYFUNCTION("GOOGLETRANSLATE(A6464,""bn"",""en"")"),"I wanted to buy a gadget")</f>
        <v>I wanted to buy a gadget</v>
      </c>
      <c r="D6464" s="5"/>
      <c r="E6464" s="5"/>
      <c r="F6464" s="5"/>
      <c r="G6464" s="5"/>
      <c r="H6464" s="5"/>
      <c r="I6464" s="5"/>
      <c r="J6464" s="5"/>
      <c r="K6464" s="5"/>
      <c r="L6464" s="5"/>
      <c r="M6464" s="5"/>
      <c r="N6464" s="5"/>
      <c r="O6464" s="5"/>
      <c r="P6464" s="5"/>
      <c r="Q6464" s="5"/>
      <c r="R6464" s="5"/>
      <c r="S6464" s="5"/>
      <c r="T6464" s="5"/>
      <c r="U6464" s="5"/>
      <c r="V6464" s="5"/>
      <c r="W6464" s="5"/>
      <c r="X6464" s="5"/>
      <c r="Y6464" s="5"/>
      <c r="Z6464" s="5"/>
    </row>
    <row r="6465" spans="1:26" ht="15" x14ac:dyDescent="0.25">
      <c r="A6465" s="4" t="s">
        <v>6463</v>
      </c>
      <c r="B6465" s="4" t="s">
        <v>4550</v>
      </c>
      <c r="C6465" s="2" t="str">
        <f ca="1">IFERROR(__xludf.DUMMYFUNCTION("GOOGLETRANSLATE(A6465,""bn"",""en"")"),"I used hub")</f>
        <v>I used hub</v>
      </c>
      <c r="D6465" s="5"/>
      <c r="E6465" s="5"/>
      <c r="F6465" s="5"/>
      <c r="G6465" s="5"/>
      <c r="H6465" s="5"/>
      <c r="I6465" s="5"/>
      <c r="J6465" s="5"/>
      <c r="K6465" s="5"/>
      <c r="L6465" s="5"/>
      <c r="M6465" s="5"/>
      <c r="N6465" s="5"/>
      <c r="O6465" s="5"/>
      <c r="P6465" s="5"/>
      <c r="Q6465" s="5"/>
      <c r="R6465" s="5"/>
      <c r="S6465" s="5"/>
      <c r="T6465" s="5"/>
      <c r="U6465" s="5"/>
      <c r="V6465" s="5"/>
      <c r="W6465" s="5"/>
      <c r="X6465" s="5"/>
      <c r="Y6465" s="5"/>
      <c r="Z6465" s="5"/>
    </row>
    <row r="6466" spans="1:26" ht="15" x14ac:dyDescent="0.25">
      <c r="A6466" s="4" t="s">
        <v>6464</v>
      </c>
      <c r="B6466" s="4" t="s">
        <v>4550</v>
      </c>
      <c r="C6466" s="2" t="str">
        <f ca="1">IFERROR(__xludf.DUMMYFUNCTION("GOOGLETRANSLATE(A6466,""bn"",""en"")"),"You succeeded")</f>
        <v>You succeeded</v>
      </c>
      <c r="D6466" s="5"/>
      <c r="E6466" s="5"/>
      <c r="F6466" s="5"/>
      <c r="G6466" s="5"/>
      <c r="H6466" s="5"/>
      <c r="I6466" s="5"/>
      <c r="J6466" s="5"/>
      <c r="K6466" s="5"/>
      <c r="L6466" s="5"/>
      <c r="M6466" s="5"/>
      <c r="N6466" s="5"/>
      <c r="O6466" s="5"/>
      <c r="P6466" s="5"/>
      <c r="Q6466" s="5"/>
      <c r="R6466" s="5"/>
      <c r="S6466" s="5"/>
      <c r="T6466" s="5"/>
      <c r="U6466" s="5"/>
      <c r="V6466" s="5"/>
      <c r="W6466" s="5"/>
      <c r="X6466" s="5"/>
      <c r="Y6466" s="5"/>
      <c r="Z6466" s="5"/>
    </row>
    <row r="6467" spans="1:26" ht="15" x14ac:dyDescent="0.25">
      <c r="A6467" s="4" t="s">
        <v>6465</v>
      </c>
      <c r="B6467" s="4" t="s">
        <v>4550</v>
      </c>
      <c r="C6467" s="2" t="str">
        <f ca="1">IFERROR(__xludf.DUMMYFUNCTION("GOOGLETRANSLATE(A6467,""bn"",""en"")"),"I liked politics")</f>
        <v>I liked politics</v>
      </c>
      <c r="D6467" s="5"/>
      <c r="E6467" s="5"/>
      <c r="F6467" s="5"/>
      <c r="G6467" s="5"/>
      <c r="H6467" s="5"/>
      <c r="I6467" s="5"/>
      <c r="J6467" s="5"/>
      <c r="K6467" s="5"/>
      <c r="L6467" s="5"/>
      <c r="M6467" s="5"/>
      <c r="N6467" s="5"/>
      <c r="O6467" s="5"/>
      <c r="P6467" s="5"/>
      <c r="Q6467" s="5"/>
      <c r="R6467" s="5"/>
      <c r="S6467" s="5"/>
      <c r="T6467" s="5"/>
      <c r="U6467" s="5"/>
      <c r="V6467" s="5"/>
      <c r="W6467" s="5"/>
      <c r="X6467" s="5"/>
      <c r="Y6467" s="5"/>
      <c r="Z6467" s="5"/>
    </row>
    <row r="6468" spans="1:26" ht="15" x14ac:dyDescent="0.25">
      <c r="A6468" s="4" t="s">
        <v>6466</v>
      </c>
      <c r="B6468" s="4" t="s">
        <v>4550</v>
      </c>
      <c r="C6468" s="2" t="str">
        <f ca="1">IFERROR(__xludf.DUMMYFUNCTION("GOOGLETRANSLATE(A6468,""bn"",""en"")"),"I was mourning")</f>
        <v>I was mourning</v>
      </c>
      <c r="D6468" s="5"/>
      <c r="E6468" s="5"/>
      <c r="F6468" s="5"/>
      <c r="G6468" s="5"/>
      <c r="H6468" s="5"/>
      <c r="I6468" s="5"/>
      <c r="J6468" s="5"/>
      <c r="K6468" s="5"/>
      <c r="L6468" s="5"/>
      <c r="M6468" s="5"/>
      <c r="N6468" s="5"/>
      <c r="O6468" s="5"/>
      <c r="P6468" s="5"/>
      <c r="Q6468" s="5"/>
      <c r="R6468" s="5"/>
      <c r="S6468" s="5"/>
      <c r="T6468" s="5"/>
      <c r="U6468" s="5"/>
      <c r="V6468" s="5"/>
      <c r="W6468" s="5"/>
      <c r="X6468" s="5"/>
      <c r="Y6468" s="5"/>
      <c r="Z6468" s="5"/>
    </row>
    <row r="6469" spans="1:26" ht="15" x14ac:dyDescent="0.25">
      <c r="A6469" s="4" t="s">
        <v>6467</v>
      </c>
      <c r="B6469" s="4" t="s">
        <v>4550</v>
      </c>
      <c r="C6469" s="2" t="str">
        <f ca="1">IFERROR(__xludf.DUMMYFUNCTION("GOOGLETRANSLATE(A6469,""bn"",""en"")"),"They were travelling")</f>
        <v>They were travelling</v>
      </c>
      <c r="D6469" s="5"/>
      <c r="E6469" s="5"/>
      <c r="F6469" s="5"/>
      <c r="G6469" s="5"/>
      <c r="H6469" s="5"/>
      <c r="I6469" s="5"/>
      <c r="J6469" s="5"/>
      <c r="K6469" s="5"/>
      <c r="L6469" s="5"/>
      <c r="M6469" s="5"/>
      <c r="N6469" s="5"/>
      <c r="O6469" s="5"/>
      <c r="P6469" s="5"/>
      <c r="Q6469" s="5"/>
      <c r="R6469" s="5"/>
      <c r="S6469" s="5"/>
      <c r="T6469" s="5"/>
      <c r="U6469" s="5"/>
      <c r="V6469" s="5"/>
      <c r="W6469" s="5"/>
      <c r="X6469" s="5"/>
      <c r="Y6469" s="5"/>
      <c r="Z6469" s="5"/>
    </row>
    <row r="6470" spans="1:26" ht="15" x14ac:dyDescent="0.25">
      <c r="A6470" s="4" t="s">
        <v>6468</v>
      </c>
      <c r="B6470" s="4" t="s">
        <v>4550</v>
      </c>
      <c r="C6470" s="2" t="str">
        <f ca="1">IFERROR(__xludf.DUMMYFUNCTION("GOOGLETRANSLATE(A6470,""bn"",""en"")"),"I went to the book fair")</f>
        <v>I went to the book fair</v>
      </c>
      <c r="D6470" s="5"/>
      <c r="E6470" s="5"/>
      <c r="F6470" s="5"/>
      <c r="G6470" s="5"/>
      <c r="H6470" s="5"/>
      <c r="I6470" s="5"/>
      <c r="J6470" s="5"/>
      <c r="K6470" s="5"/>
      <c r="L6470" s="5"/>
      <c r="M6470" s="5"/>
      <c r="N6470" s="5"/>
      <c r="O6470" s="5"/>
      <c r="P6470" s="5"/>
      <c r="Q6470" s="5"/>
      <c r="R6470" s="5"/>
      <c r="S6470" s="5"/>
      <c r="T6470" s="5"/>
      <c r="U6470" s="5"/>
      <c r="V6470" s="5"/>
      <c r="W6470" s="5"/>
      <c r="X6470" s="5"/>
      <c r="Y6470" s="5"/>
      <c r="Z6470" s="5"/>
    </row>
    <row r="6471" spans="1:26" ht="15" x14ac:dyDescent="0.25">
      <c r="A6471" s="4" t="s">
        <v>6469</v>
      </c>
      <c r="B6471" s="4" t="s">
        <v>4550</v>
      </c>
      <c r="C6471" s="2" t="str">
        <f ca="1">IFERROR(__xludf.DUMMYFUNCTION("GOOGLETRANSLATE(A6471,""bn"",""en"")"),"Food was depleted")</f>
        <v>Food was depleted</v>
      </c>
      <c r="D6471" s="5"/>
      <c r="E6471" s="5"/>
      <c r="F6471" s="5"/>
      <c r="G6471" s="5"/>
      <c r="H6471" s="5"/>
      <c r="I6471" s="5"/>
      <c r="J6471" s="5"/>
      <c r="K6471" s="5"/>
      <c r="L6471" s="5"/>
      <c r="M6471" s="5"/>
      <c r="N6471" s="5"/>
      <c r="O6471" s="5"/>
      <c r="P6471" s="5"/>
      <c r="Q6471" s="5"/>
      <c r="R6471" s="5"/>
      <c r="S6471" s="5"/>
      <c r="T6471" s="5"/>
      <c r="U6471" s="5"/>
      <c r="V6471" s="5"/>
      <c r="W6471" s="5"/>
      <c r="X6471" s="5"/>
      <c r="Y6471" s="5"/>
      <c r="Z6471" s="5"/>
    </row>
    <row r="6472" spans="1:26" ht="15" x14ac:dyDescent="0.25">
      <c r="A6472" s="4" t="s">
        <v>6470</v>
      </c>
      <c r="B6472" s="4" t="s">
        <v>4550</v>
      </c>
      <c r="C6472" s="2" t="str">
        <f ca="1">IFERROR(__xludf.DUMMYFUNCTION("GOOGLETRANSLATE(A6472,""bn"",""en"")"),"I was downloading software")</f>
        <v>I was downloading software</v>
      </c>
      <c r="D6472" s="5"/>
      <c r="E6472" s="5"/>
      <c r="F6472" s="5"/>
      <c r="G6472" s="5"/>
      <c r="H6472" s="5"/>
      <c r="I6472" s="5"/>
      <c r="J6472" s="5"/>
      <c r="K6472" s="5"/>
      <c r="L6472" s="5"/>
      <c r="M6472" s="5"/>
      <c r="N6472" s="5"/>
      <c r="O6472" s="5"/>
      <c r="P6472" s="5"/>
      <c r="Q6472" s="5"/>
      <c r="R6472" s="5"/>
      <c r="S6472" s="5"/>
      <c r="T6472" s="5"/>
      <c r="U6472" s="5"/>
      <c r="V6472" s="5"/>
      <c r="W6472" s="5"/>
      <c r="X6472" s="5"/>
      <c r="Y6472" s="5"/>
      <c r="Z6472" s="5"/>
    </row>
    <row r="6473" spans="1:26" ht="15" x14ac:dyDescent="0.25">
      <c r="A6473" s="4" t="s">
        <v>6471</v>
      </c>
      <c r="B6473" s="4" t="s">
        <v>4550</v>
      </c>
      <c r="C6473" s="2" t="str">
        <f ca="1">IFERROR(__xludf.DUMMYFUNCTION("GOOGLETRANSLATE(A6473,""bn"",""en"")"),"I enrolled for the semester")</f>
        <v>I enrolled for the semester</v>
      </c>
      <c r="D6473" s="5"/>
      <c r="E6473" s="5"/>
      <c r="F6473" s="5"/>
      <c r="G6473" s="5"/>
      <c r="H6473" s="5"/>
      <c r="I6473" s="5"/>
      <c r="J6473" s="5"/>
      <c r="K6473" s="5"/>
      <c r="L6473" s="5"/>
      <c r="M6473" s="5"/>
      <c r="N6473" s="5"/>
      <c r="O6473" s="5"/>
      <c r="P6473" s="5"/>
      <c r="Q6473" s="5"/>
      <c r="R6473" s="5"/>
      <c r="S6473" s="5"/>
      <c r="T6473" s="5"/>
      <c r="U6473" s="5"/>
      <c r="V6473" s="5"/>
      <c r="W6473" s="5"/>
      <c r="X6473" s="5"/>
      <c r="Y6473" s="5"/>
      <c r="Z6473" s="5"/>
    </row>
    <row r="6474" spans="1:26" ht="15" x14ac:dyDescent="0.25">
      <c r="A6474" s="4" t="s">
        <v>6472</v>
      </c>
      <c r="B6474" s="4" t="s">
        <v>4550</v>
      </c>
      <c r="C6474" s="2" t="str">
        <f ca="1">IFERROR(__xludf.DUMMYFUNCTION("GOOGLETRANSLATE(A6474,""bn"",""en"")"),"I studied English")</f>
        <v>I studied English</v>
      </c>
      <c r="D6474" s="5"/>
      <c r="E6474" s="5"/>
      <c r="F6474" s="5"/>
      <c r="G6474" s="5"/>
      <c r="H6474" s="5"/>
      <c r="I6474" s="5"/>
      <c r="J6474" s="5"/>
      <c r="K6474" s="5"/>
      <c r="L6474" s="5"/>
      <c r="M6474" s="5"/>
      <c r="N6474" s="5"/>
      <c r="O6474" s="5"/>
      <c r="P6474" s="5"/>
      <c r="Q6474" s="5"/>
      <c r="R6474" s="5"/>
      <c r="S6474" s="5"/>
      <c r="T6474" s="5"/>
      <c r="U6474" s="5"/>
      <c r="V6474" s="5"/>
      <c r="W6474" s="5"/>
      <c r="X6474" s="5"/>
      <c r="Y6474" s="5"/>
      <c r="Z6474" s="5"/>
    </row>
    <row r="6475" spans="1:26" ht="15" x14ac:dyDescent="0.25">
      <c r="A6475" s="4" t="s">
        <v>6473</v>
      </c>
      <c r="B6475" s="4" t="s">
        <v>4550</v>
      </c>
      <c r="C6475" s="2" t="str">
        <f ca="1">IFERROR(__xludf.DUMMYFUNCTION("GOOGLETRANSLATE(A6475,""bn"",""en"")"),"I saw the Taj Mahal")</f>
        <v>I saw the Taj Mahal</v>
      </c>
      <c r="D6475" s="5"/>
      <c r="E6475" s="5"/>
      <c r="F6475" s="5"/>
      <c r="G6475" s="5"/>
      <c r="H6475" s="5"/>
      <c r="I6475" s="5"/>
      <c r="J6475" s="5"/>
      <c r="K6475" s="5"/>
      <c r="L6475" s="5"/>
      <c r="M6475" s="5"/>
      <c r="N6475" s="5"/>
      <c r="O6475" s="5"/>
      <c r="P6475" s="5"/>
      <c r="Q6475" s="5"/>
      <c r="R6475" s="5"/>
      <c r="S6475" s="5"/>
      <c r="T6475" s="5"/>
      <c r="U6475" s="5"/>
      <c r="V6475" s="5"/>
      <c r="W6475" s="5"/>
      <c r="X6475" s="5"/>
      <c r="Y6475" s="5"/>
      <c r="Z6475" s="5"/>
    </row>
    <row r="6476" spans="1:26" ht="15" x14ac:dyDescent="0.25">
      <c r="A6476" s="4" t="s">
        <v>6474</v>
      </c>
      <c r="B6476" s="4" t="s">
        <v>4550</v>
      </c>
      <c r="C6476" s="2" t="str">
        <f ca="1">IFERROR(__xludf.DUMMYFUNCTION("GOOGLETRANSLATE(A6476,""bn"",""en"")"),"Everyone watched the game")</f>
        <v>Everyone watched the game</v>
      </c>
      <c r="D6476" s="5"/>
      <c r="E6476" s="5"/>
      <c r="F6476" s="5"/>
      <c r="G6476" s="5"/>
      <c r="H6476" s="5"/>
      <c r="I6476" s="5"/>
      <c r="J6476" s="5"/>
      <c r="K6476" s="5"/>
      <c r="L6476" s="5"/>
      <c r="M6476" s="5"/>
      <c r="N6476" s="5"/>
      <c r="O6476" s="5"/>
      <c r="P6476" s="5"/>
      <c r="Q6476" s="5"/>
      <c r="R6476" s="5"/>
      <c r="S6476" s="5"/>
      <c r="T6476" s="5"/>
      <c r="U6476" s="5"/>
      <c r="V6476" s="5"/>
      <c r="W6476" s="5"/>
      <c r="X6476" s="5"/>
      <c r="Y6476" s="5"/>
      <c r="Z6476" s="5"/>
    </row>
    <row r="6477" spans="1:26" ht="15" x14ac:dyDescent="0.25">
      <c r="A6477" s="4" t="s">
        <v>6475</v>
      </c>
      <c r="B6477" s="4" t="s">
        <v>4550</v>
      </c>
      <c r="C6477" s="2" t="str">
        <f ca="1">IFERROR(__xludf.DUMMYFUNCTION("GOOGLETRANSLATE(A6477,""bn"",""en"")"),"Fishermen were catching fish")</f>
        <v>Fishermen were catching fish</v>
      </c>
      <c r="D6477" s="5"/>
      <c r="E6477" s="5"/>
      <c r="F6477" s="5"/>
      <c r="G6477" s="5"/>
      <c r="H6477" s="5"/>
      <c r="I6477" s="5"/>
      <c r="J6477" s="5"/>
      <c r="K6477" s="5"/>
      <c r="L6477" s="5"/>
      <c r="M6477" s="5"/>
      <c r="N6477" s="5"/>
      <c r="O6477" s="5"/>
      <c r="P6477" s="5"/>
      <c r="Q6477" s="5"/>
      <c r="R6477" s="5"/>
      <c r="S6477" s="5"/>
      <c r="T6477" s="5"/>
      <c r="U6477" s="5"/>
      <c r="V6477" s="5"/>
      <c r="W6477" s="5"/>
      <c r="X6477" s="5"/>
      <c r="Y6477" s="5"/>
      <c r="Z6477" s="5"/>
    </row>
    <row r="6478" spans="1:26" ht="15" x14ac:dyDescent="0.25">
      <c r="A6478" s="4" t="s">
        <v>6476</v>
      </c>
      <c r="B6478" s="4" t="s">
        <v>4550</v>
      </c>
      <c r="C6478" s="2" t="str">
        <f ca="1">IFERROR(__xludf.DUMMYFUNCTION("GOOGLETRANSLATE(A6478,""bn"",""en"")"),"Was looking for success")</f>
        <v>Was looking for success</v>
      </c>
      <c r="D6478" s="5"/>
      <c r="E6478" s="5"/>
      <c r="F6478" s="5"/>
      <c r="G6478" s="5"/>
      <c r="H6478" s="5"/>
      <c r="I6478" s="5"/>
      <c r="J6478" s="5"/>
      <c r="K6478" s="5"/>
      <c r="L6478" s="5"/>
      <c r="M6478" s="5"/>
      <c r="N6478" s="5"/>
      <c r="O6478" s="5"/>
      <c r="P6478" s="5"/>
      <c r="Q6478" s="5"/>
      <c r="R6478" s="5"/>
      <c r="S6478" s="5"/>
      <c r="T6478" s="5"/>
      <c r="U6478" s="5"/>
      <c r="V6478" s="5"/>
      <c r="W6478" s="5"/>
      <c r="X6478" s="5"/>
      <c r="Y6478" s="5"/>
      <c r="Z6478" s="5"/>
    </row>
    <row r="6479" spans="1:26" ht="15" x14ac:dyDescent="0.25">
      <c r="A6479" s="4" t="s">
        <v>6477</v>
      </c>
      <c r="B6479" s="4" t="s">
        <v>4550</v>
      </c>
      <c r="C6479" s="2" t="str">
        <f ca="1">IFERROR(__xludf.DUMMYFUNCTION("GOOGLETRANSLATE(A6479,""bn"",""en"")"),"I gained efficiency")</f>
        <v>I gained efficiency</v>
      </c>
      <c r="D6479" s="5"/>
      <c r="E6479" s="5"/>
      <c r="F6479" s="5"/>
      <c r="G6479" s="5"/>
      <c r="H6479" s="5"/>
      <c r="I6479" s="5"/>
      <c r="J6479" s="5"/>
      <c r="K6479" s="5"/>
      <c r="L6479" s="5"/>
      <c r="M6479" s="5"/>
      <c r="N6479" s="5"/>
      <c r="O6479" s="5"/>
      <c r="P6479" s="5"/>
      <c r="Q6479" s="5"/>
      <c r="R6479" s="5"/>
      <c r="S6479" s="5"/>
      <c r="T6479" s="5"/>
      <c r="U6479" s="5"/>
      <c r="V6479" s="5"/>
      <c r="W6479" s="5"/>
      <c r="X6479" s="5"/>
      <c r="Y6479" s="5"/>
      <c r="Z6479" s="5"/>
    </row>
    <row r="6480" spans="1:26" ht="15" x14ac:dyDescent="0.25">
      <c r="A6480" s="4" t="s">
        <v>6478</v>
      </c>
      <c r="B6480" s="4" t="s">
        <v>4550</v>
      </c>
      <c r="C6480" s="2" t="str">
        <f ca="1">IFERROR(__xludf.DUMMYFUNCTION("GOOGLETRANSLATE(A6480,""bn"",""en"")"),"I was using television")</f>
        <v>I was using television</v>
      </c>
      <c r="D6480" s="5"/>
      <c r="E6480" s="5"/>
      <c r="F6480" s="5"/>
      <c r="G6480" s="5"/>
      <c r="H6480" s="5"/>
      <c r="I6480" s="5"/>
      <c r="J6480" s="5"/>
      <c r="K6480" s="5"/>
      <c r="L6480" s="5"/>
      <c r="M6480" s="5"/>
      <c r="N6480" s="5"/>
      <c r="O6480" s="5"/>
      <c r="P6480" s="5"/>
      <c r="Q6480" s="5"/>
      <c r="R6480" s="5"/>
      <c r="S6480" s="5"/>
      <c r="T6480" s="5"/>
      <c r="U6480" s="5"/>
      <c r="V6480" s="5"/>
      <c r="W6480" s="5"/>
      <c r="X6480" s="5"/>
      <c r="Y6480" s="5"/>
      <c r="Z6480" s="5"/>
    </row>
    <row r="6481" spans="1:26" ht="15" x14ac:dyDescent="0.25">
      <c r="A6481" s="4" t="s">
        <v>6479</v>
      </c>
      <c r="B6481" s="4" t="s">
        <v>4550</v>
      </c>
      <c r="C6481" s="2" t="str">
        <f ca="1">IFERROR(__xludf.DUMMYFUNCTION("GOOGLETRANSLATE(A6481,""bn"",""en"")"),"I bought mobile games")</f>
        <v>I bought mobile games</v>
      </c>
      <c r="D6481" s="5"/>
      <c r="E6481" s="5"/>
      <c r="F6481" s="5"/>
      <c r="G6481" s="5"/>
      <c r="H6481" s="5"/>
      <c r="I6481" s="5"/>
      <c r="J6481" s="5"/>
      <c r="K6481" s="5"/>
      <c r="L6481" s="5"/>
      <c r="M6481" s="5"/>
      <c r="N6481" s="5"/>
      <c r="O6481" s="5"/>
      <c r="P6481" s="5"/>
      <c r="Q6481" s="5"/>
      <c r="R6481" s="5"/>
      <c r="S6481" s="5"/>
      <c r="T6481" s="5"/>
      <c r="U6481" s="5"/>
      <c r="V6481" s="5"/>
      <c r="W6481" s="5"/>
      <c r="X6481" s="5"/>
      <c r="Y6481" s="5"/>
      <c r="Z6481" s="5"/>
    </row>
    <row r="6482" spans="1:26" ht="15" x14ac:dyDescent="0.25">
      <c r="A6482" s="4" t="s">
        <v>6480</v>
      </c>
      <c r="B6482" s="4" t="s">
        <v>4550</v>
      </c>
      <c r="C6482" s="2" t="str">
        <f ca="1">IFERROR(__xludf.DUMMYFUNCTION("GOOGLETRANSLATE(A6482,""bn"",""en"")"),"I watched the game regularly")</f>
        <v>I watched the game regularly</v>
      </c>
      <c r="D6482" s="5"/>
      <c r="E6482" s="5"/>
      <c r="F6482" s="5"/>
      <c r="G6482" s="5"/>
      <c r="H6482" s="5"/>
      <c r="I6482" s="5"/>
      <c r="J6482" s="5"/>
      <c r="K6482" s="5"/>
      <c r="L6482" s="5"/>
      <c r="M6482" s="5"/>
      <c r="N6482" s="5"/>
      <c r="O6482" s="5"/>
      <c r="P6482" s="5"/>
      <c r="Q6482" s="5"/>
      <c r="R6482" s="5"/>
      <c r="S6482" s="5"/>
      <c r="T6482" s="5"/>
      <c r="U6482" s="5"/>
      <c r="V6482" s="5"/>
      <c r="W6482" s="5"/>
      <c r="X6482" s="5"/>
      <c r="Y6482" s="5"/>
      <c r="Z6482" s="5"/>
    </row>
    <row r="6483" spans="1:26" ht="15" x14ac:dyDescent="0.25">
      <c r="A6483" s="4" t="s">
        <v>6481</v>
      </c>
      <c r="B6483" s="4" t="s">
        <v>4550</v>
      </c>
      <c r="C6483" s="2" t="str">
        <f ca="1">IFERROR(__xludf.DUMMYFUNCTION("GOOGLETRANSLATE(A6483,""bn"",""en"")"),"I learned something new")</f>
        <v>I learned something new</v>
      </c>
      <c r="D6483" s="5"/>
      <c r="E6483" s="5"/>
      <c r="F6483" s="5"/>
      <c r="G6483" s="5"/>
      <c r="H6483" s="5"/>
      <c r="I6483" s="5"/>
      <c r="J6483" s="5"/>
      <c r="K6483" s="5"/>
      <c r="L6483" s="5"/>
      <c r="M6483" s="5"/>
      <c r="N6483" s="5"/>
      <c r="O6483" s="5"/>
      <c r="P6483" s="5"/>
      <c r="Q6483" s="5"/>
      <c r="R6483" s="5"/>
      <c r="S6483" s="5"/>
      <c r="T6483" s="5"/>
      <c r="U6483" s="5"/>
      <c r="V6483" s="5"/>
      <c r="W6483" s="5"/>
      <c r="X6483" s="5"/>
      <c r="Y6483" s="5"/>
      <c r="Z6483" s="5"/>
    </row>
    <row r="6484" spans="1:26" ht="15" x14ac:dyDescent="0.25">
      <c r="A6484" s="4" t="s">
        <v>6482</v>
      </c>
      <c r="B6484" s="4" t="s">
        <v>4550</v>
      </c>
      <c r="C6484" s="2" t="str">
        <f ca="1">IFERROR(__xludf.DUMMYFUNCTION("GOOGLETRANSLATE(A6484,""bn"",""en"")"),"I came to play games")</f>
        <v>I came to play games</v>
      </c>
      <c r="D6484" s="5"/>
      <c r="E6484" s="5"/>
      <c r="F6484" s="5"/>
      <c r="G6484" s="5"/>
      <c r="H6484" s="5"/>
      <c r="I6484" s="5"/>
      <c r="J6484" s="5"/>
      <c r="K6484" s="5"/>
      <c r="L6484" s="5"/>
      <c r="M6484" s="5"/>
      <c r="N6484" s="5"/>
      <c r="O6484" s="5"/>
      <c r="P6484" s="5"/>
      <c r="Q6484" s="5"/>
      <c r="R6484" s="5"/>
      <c r="S6484" s="5"/>
      <c r="T6484" s="5"/>
      <c r="U6484" s="5"/>
      <c r="V6484" s="5"/>
      <c r="W6484" s="5"/>
      <c r="X6484" s="5"/>
      <c r="Y6484" s="5"/>
      <c r="Z6484" s="5"/>
    </row>
    <row r="6485" spans="1:26" ht="15" x14ac:dyDescent="0.25">
      <c r="A6485" s="4" t="s">
        <v>6483</v>
      </c>
      <c r="B6485" s="4" t="s">
        <v>4550</v>
      </c>
      <c r="C6485" s="2" t="str">
        <f ca="1">IFERROR(__xludf.DUMMYFUNCTION("GOOGLETRANSLATE(A6485,""bn"",""en"")"),"I was learning networking")</f>
        <v>I was learning networking</v>
      </c>
      <c r="D6485" s="5"/>
      <c r="E6485" s="5"/>
      <c r="F6485" s="5"/>
      <c r="G6485" s="5"/>
      <c r="H6485" s="5"/>
      <c r="I6485" s="5"/>
      <c r="J6485" s="5"/>
      <c r="K6485" s="5"/>
      <c r="L6485" s="5"/>
      <c r="M6485" s="5"/>
      <c r="N6485" s="5"/>
      <c r="O6485" s="5"/>
      <c r="P6485" s="5"/>
      <c r="Q6485" s="5"/>
      <c r="R6485" s="5"/>
      <c r="S6485" s="5"/>
      <c r="T6485" s="5"/>
      <c r="U6485" s="5"/>
      <c r="V6485" s="5"/>
      <c r="W6485" s="5"/>
      <c r="X6485" s="5"/>
      <c r="Y6485" s="5"/>
      <c r="Z6485" s="5"/>
    </row>
    <row r="6486" spans="1:26" ht="15" x14ac:dyDescent="0.25">
      <c r="A6486" s="4" t="s">
        <v>6484</v>
      </c>
      <c r="B6486" s="4" t="s">
        <v>4550</v>
      </c>
      <c r="C6486" s="2" t="str">
        <f ca="1">IFERROR(__xludf.DUMMYFUNCTION("GOOGLETRANSLATE(A6486,""bn"",""en"")"),"The rocket traveled")</f>
        <v>The rocket traveled</v>
      </c>
      <c r="D6486" s="5"/>
      <c r="E6486" s="5"/>
      <c r="F6486" s="5"/>
      <c r="G6486" s="5"/>
      <c r="H6486" s="5"/>
      <c r="I6486" s="5"/>
      <c r="J6486" s="5"/>
      <c r="K6486" s="5"/>
      <c r="L6486" s="5"/>
      <c r="M6486" s="5"/>
      <c r="N6486" s="5"/>
      <c r="O6486" s="5"/>
      <c r="P6486" s="5"/>
      <c r="Q6486" s="5"/>
      <c r="R6486" s="5"/>
      <c r="S6486" s="5"/>
      <c r="T6486" s="5"/>
      <c r="U6486" s="5"/>
      <c r="V6486" s="5"/>
      <c r="W6486" s="5"/>
      <c r="X6486" s="5"/>
      <c r="Y6486" s="5"/>
      <c r="Z6486" s="5"/>
    </row>
    <row r="6487" spans="1:26" ht="15" x14ac:dyDescent="0.25">
      <c r="A6487" s="4" t="s">
        <v>6485</v>
      </c>
      <c r="B6487" s="4" t="s">
        <v>4550</v>
      </c>
      <c r="C6487" s="2" t="str">
        <f ca="1">IFERROR(__xludf.DUMMYFUNCTION("GOOGLETRANSLATE(A6487,""bn"",""en"")"),"I opened a mobile account")</f>
        <v>I opened a mobile account</v>
      </c>
      <c r="D6487" s="5"/>
      <c r="E6487" s="5"/>
      <c r="F6487" s="5"/>
      <c r="G6487" s="5"/>
      <c r="H6487" s="5"/>
      <c r="I6487" s="5"/>
      <c r="J6487" s="5"/>
      <c r="K6487" s="5"/>
      <c r="L6487" s="5"/>
      <c r="M6487" s="5"/>
      <c r="N6487" s="5"/>
      <c r="O6487" s="5"/>
      <c r="P6487" s="5"/>
      <c r="Q6487" s="5"/>
      <c r="R6487" s="5"/>
      <c r="S6487" s="5"/>
      <c r="T6487" s="5"/>
      <c r="U6487" s="5"/>
      <c r="V6487" s="5"/>
      <c r="W6487" s="5"/>
      <c r="X6487" s="5"/>
      <c r="Y6487" s="5"/>
      <c r="Z6487" s="5"/>
    </row>
    <row r="6488" spans="1:26" ht="15" x14ac:dyDescent="0.25">
      <c r="A6488" s="4" t="s">
        <v>6486</v>
      </c>
      <c r="B6488" s="4" t="s">
        <v>4550</v>
      </c>
      <c r="C6488" s="2" t="str">
        <f ca="1">IFERROR(__xludf.DUMMYFUNCTION("GOOGLETRANSLATE(A6488,""bn"",""en"")"),"I created the website")</f>
        <v>I created the website</v>
      </c>
      <c r="D6488" s="5"/>
      <c r="E6488" s="5"/>
      <c r="F6488" s="5"/>
      <c r="G6488" s="5"/>
      <c r="H6488" s="5"/>
      <c r="I6488" s="5"/>
      <c r="J6488" s="5"/>
      <c r="K6488" s="5"/>
      <c r="L6488" s="5"/>
      <c r="M6488" s="5"/>
      <c r="N6488" s="5"/>
      <c r="O6488" s="5"/>
      <c r="P6488" s="5"/>
      <c r="Q6488" s="5"/>
      <c r="R6488" s="5"/>
      <c r="S6488" s="5"/>
      <c r="T6488" s="5"/>
      <c r="U6488" s="5"/>
      <c r="V6488" s="5"/>
      <c r="W6488" s="5"/>
      <c r="X6488" s="5"/>
      <c r="Y6488" s="5"/>
      <c r="Z6488" s="5"/>
    </row>
    <row r="6489" spans="1:26" ht="15" x14ac:dyDescent="0.25">
      <c r="A6489" s="4" t="s">
        <v>6487</v>
      </c>
      <c r="B6489" s="4" t="s">
        <v>4550</v>
      </c>
      <c r="C6489" s="2" t="str">
        <f ca="1">IFERROR(__xludf.DUMMYFUNCTION("GOOGLETRANSLATE(A6489,""bn"",""en"")"),"He was succeeding")</f>
        <v>He was succeeding</v>
      </c>
      <c r="D6489" s="5"/>
      <c r="E6489" s="5"/>
      <c r="F6489" s="5"/>
      <c r="G6489" s="5"/>
      <c r="H6489" s="5"/>
      <c r="I6489" s="5"/>
      <c r="J6489" s="5"/>
      <c r="K6489" s="5"/>
      <c r="L6489" s="5"/>
      <c r="M6489" s="5"/>
      <c r="N6489" s="5"/>
      <c r="O6489" s="5"/>
      <c r="P6489" s="5"/>
      <c r="Q6489" s="5"/>
      <c r="R6489" s="5"/>
      <c r="S6489" s="5"/>
      <c r="T6489" s="5"/>
      <c r="U6489" s="5"/>
      <c r="V6489" s="5"/>
      <c r="W6489" s="5"/>
      <c r="X6489" s="5"/>
      <c r="Y6489" s="5"/>
      <c r="Z6489" s="5"/>
    </row>
    <row r="6490" spans="1:26" ht="15" x14ac:dyDescent="0.25">
      <c r="A6490" s="4" t="s">
        <v>6488</v>
      </c>
      <c r="B6490" s="4" t="s">
        <v>4550</v>
      </c>
      <c r="C6490" s="2" t="str">
        <f ca="1">IFERROR(__xludf.DUMMYFUNCTION("GOOGLETRANSLATE(A6490,""bn"",""en"")"),"The discussion was increasing")</f>
        <v>The discussion was increasing</v>
      </c>
      <c r="D6490" s="5"/>
      <c r="E6490" s="5"/>
      <c r="F6490" s="5"/>
      <c r="G6490" s="5"/>
      <c r="H6490" s="5"/>
      <c r="I6490" s="5"/>
      <c r="J6490" s="5"/>
      <c r="K6490" s="5"/>
      <c r="L6490" s="5"/>
      <c r="M6490" s="5"/>
      <c r="N6490" s="5"/>
      <c r="O6490" s="5"/>
      <c r="P6490" s="5"/>
      <c r="Q6490" s="5"/>
      <c r="R6490" s="5"/>
      <c r="S6490" s="5"/>
      <c r="T6490" s="5"/>
      <c r="U6490" s="5"/>
      <c r="V6490" s="5"/>
      <c r="W6490" s="5"/>
      <c r="X6490" s="5"/>
      <c r="Y6490" s="5"/>
      <c r="Z6490" s="5"/>
    </row>
    <row r="6491" spans="1:26" ht="15" x14ac:dyDescent="0.25">
      <c r="A6491" s="4" t="s">
        <v>6489</v>
      </c>
      <c r="B6491" s="4" t="s">
        <v>4550</v>
      </c>
      <c r="C6491" s="2" t="str">
        <f ca="1">IFERROR(__xludf.DUMMYFUNCTION("GOOGLETRANSLATE(A6491,""bn"",""en"")"),"Stayed in college hostel")</f>
        <v>Stayed in college hostel</v>
      </c>
      <c r="D6491" s="5"/>
      <c r="E6491" s="5"/>
      <c r="F6491" s="5"/>
      <c r="G6491" s="5"/>
      <c r="H6491" s="5"/>
      <c r="I6491" s="5"/>
      <c r="J6491" s="5"/>
      <c r="K6491" s="5"/>
      <c r="L6491" s="5"/>
      <c r="M6491" s="5"/>
      <c r="N6491" s="5"/>
      <c r="O6491" s="5"/>
      <c r="P6491" s="5"/>
      <c r="Q6491" s="5"/>
      <c r="R6491" s="5"/>
      <c r="S6491" s="5"/>
      <c r="T6491" s="5"/>
      <c r="U6491" s="5"/>
      <c r="V6491" s="5"/>
      <c r="W6491" s="5"/>
      <c r="X6491" s="5"/>
      <c r="Y6491" s="5"/>
      <c r="Z6491" s="5"/>
    </row>
    <row r="6492" spans="1:26" ht="15" x14ac:dyDescent="0.25">
      <c r="A6492" s="4" t="s">
        <v>6490</v>
      </c>
      <c r="B6492" s="4" t="s">
        <v>4550</v>
      </c>
      <c r="C6492" s="2" t="str">
        <f ca="1">IFERROR(__xludf.DUMMYFUNCTION("GOOGLETRANSLATE(A6492,""bn"",""en"")"),"I posted on Twitter")</f>
        <v>I posted on Twitter</v>
      </c>
      <c r="D6492" s="5"/>
      <c r="E6492" s="5"/>
      <c r="F6492" s="5"/>
      <c r="G6492" s="5"/>
      <c r="H6492" s="5"/>
      <c r="I6492" s="5"/>
      <c r="J6492" s="5"/>
      <c r="K6492" s="5"/>
      <c r="L6492" s="5"/>
      <c r="M6492" s="5"/>
      <c r="N6492" s="5"/>
      <c r="O6492" s="5"/>
      <c r="P6492" s="5"/>
      <c r="Q6492" s="5"/>
      <c r="R6492" s="5"/>
      <c r="S6492" s="5"/>
      <c r="T6492" s="5"/>
      <c r="U6492" s="5"/>
      <c r="V6492" s="5"/>
      <c r="W6492" s="5"/>
      <c r="X6492" s="5"/>
      <c r="Y6492" s="5"/>
      <c r="Z6492" s="5"/>
    </row>
    <row r="6493" spans="1:26" ht="15" x14ac:dyDescent="0.25">
      <c r="A6493" s="4" t="s">
        <v>6491</v>
      </c>
      <c r="B6493" s="4" t="s">
        <v>4550</v>
      </c>
      <c r="C6493" s="2" t="str">
        <f ca="1">IFERROR(__xludf.DUMMYFUNCTION("GOOGLETRANSLATE(A6493,""bn"",""en"")"),"I used the webcam")</f>
        <v>I used the webcam</v>
      </c>
      <c r="D6493" s="5"/>
      <c r="E6493" s="5"/>
      <c r="F6493" s="5"/>
      <c r="G6493" s="5"/>
      <c r="H6493" s="5"/>
      <c r="I6493" s="5"/>
      <c r="J6493" s="5"/>
      <c r="K6493" s="5"/>
      <c r="L6493" s="5"/>
      <c r="M6493" s="5"/>
      <c r="N6493" s="5"/>
      <c r="O6493" s="5"/>
      <c r="P6493" s="5"/>
      <c r="Q6493" s="5"/>
      <c r="R6493" s="5"/>
      <c r="S6493" s="5"/>
      <c r="T6493" s="5"/>
      <c r="U6493" s="5"/>
      <c r="V6493" s="5"/>
      <c r="W6493" s="5"/>
      <c r="X6493" s="5"/>
      <c r="Y6493" s="5"/>
      <c r="Z6493" s="5"/>
    </row>
    <row r="6494" spans="1:26" ht="15" x14ac:dyDescent="0.25">
      <c r="A6494" s="4" t="s">
        <v>6492</v>
      </c>
      <c r="B6494" s="4" t="s">
        <v>4550</v>
      </c>
      <c r="C6494" s="2" t="str">
        <f ca="1">IFERROR(__xludf.DUMMYFUNCTION("GOOGLETRANSLATE(A6494,""bn"",""en"")"),"I was introducing the initiative")</f>
        <v>I was introducing the initiative</v>
      </c>
      <c r="D6494" s="5"/>
      <c r="E6494" s="5"/>
      <c r="F6494" s="5"/>
      <c r="G6494" s="5"/>
      <c r="H6494" s="5"/>
      <c r="I6494" s="5"/>
      <c r="J6494" s="5"/>
      <c r="K6494" s="5"/>
      <c r="L6494" s="5"/>
      <c r="M6494" s="5"/>
      <c r="N6494" s="5"/>
      <c r="O6494" s="5"/>
      <c r="P6494" s="5"/>
      <c r="Q6494" s="5"/>
      <c r="R6494" s="5"/>
      <c r="S6494" s="5"/>
      <c r="T6494" s="5"/>
      <c r="U6494" s="5"/>
      <c r="V6494" s="5"/>
      <c r="W6494" s="5"/>
      <c r="X6494" s="5"/>
      <c r="Y6494" s="5"/>
      <c r="Z6494" s="5"/>
    </row>
    <row r="6495" spans="1:26" ht="15" x14ac:dyDescent="0.25">
      <c r="A6495" s="4" t="s">
        <v>6493</v>
      </c>
      <c r="B6495" s="4" t="s">
        <v>4550</v>
      </c>
      <c r="C6495" s="2" t="str">
        <f ca="1">IFERROR(__xludf.DUMMYFUNCTION("GOOGLETRANSLATE(A6495,""bn"",""en"")"),"He gave to the poor")</f>
        <v>He gave to the poor</v>
      </c>
      <c r="D6495" s="5"/>
      <c r="E6495" s="5"/>
      <c r="F6495" s="5"/>
      <c r="G6495" s="5"/>
      <c r="H6495" s="5"/>
      <c r="I6495" s="5"/>
      <c r="J6495" s="5"/>
      <c r="K6495" s="5"/>
      <c r="L6495" s="5"/>
      <c r="M6495" s="5"/>
      <c r="N6495" s="5"/>
      <c r="O6495" s="5"/>
      <c r="P6495" s="5"/>
      <c r="Q6495" s="5"/>
      <c r="R6495" s="5"/>
      <c r="S6495" s="5"/>
      <c r="T6495" s="5"/>
      <c r="U6495" s="5"/>
      <c r="V6495" s="5"/>
      <c r="W6495" s="5"/>
      <c r="X6495" s="5"/>
      <c r="Y6495" s="5"/>
      <c r="Z6495" s="5"/>
    </row>
    <row r="6496" spans="1:26" ht="15" x14ac:dyDescent="0.25">
      <c r="A6496" s="4" t="s">
        <v>6494</v>
      </c>
      <c r="B6496" s="4" t="s">
        <v>4550</v>
      </c>
      <c r="C6496" s="2" t="str">
        <f ca="1">IFERROR(__xludf.DUMMYFUNCTION("GOOGLETRANSLATE(A6496,""bn"",""en"")"),"I maintained order")</f>
        <v>I maintained order</v>
      </c>
      <c r="D6496" s="5"/>
      <c r="E6496" s="5"/>
      <c r="F6496" s="5"/>
      <c r="G6496" s="5"/>
      <c r="H6496" s="5"/>
      <c r="I6496" s="5"/>
      <c r="J6496" s="5"/>
      <c r="K6496" s="5"/>
      <c r="L6496" s="5"/>
      <c r="M6496" s="5"/>
      <c r="N6496" s="5"/>
      <c r="O6496" s="5"/>
      <c r="P6496" s="5"/>
      <c r="Q6496" s="5"/>
      <c r="R6496" s="5"/>
      <c r="S6496" s="5"/>
      <c r="T6496" s="5"/>
      <c r="U6496" s="5"/>
      <c r="V6496" s="5"/>
      <c r="W6496" s="5"/>
      <c r="X6496" s="5"/>
      <c r="Y6496" s="5"/>
      <c r="Z6496" s="5"/>
    </row>
    <row r="6497" spans="1:26" ht="15" x14ac:dyDescent="0.25">
      <c r="A6497" s="4" t="s">
        <v>6495</v>
      </c>
      <c r="B6497" s="4" t="s">
        <v>4550</v>
      </c>
      <c r="C6497" s="2" t="str">
        <f ca="1">IFERROR(__xludf.DUMMYFUNCTION("GOOGLETRANSLATE(A6497,""bn"",""en"")"),"There was a shortage of food")</f>
        <v>There was a shortage of food</v>
      </c>
      <c r="D6497" s="5"/>
      <c r="E6497" s="5"/>
      <c r="F6497" s="5"/>
      <c r="G6497" s="5"/>
      <c r="H6497" s="5"/>
      <c r="I6497" s="5"/>
      <c r="J6497" s="5"/>
      <c r="K6497" s="5"/>
      <c r="L6497" s="5"/>
      <c r="M6497" s="5"/>
      <c r="N6497" s="5"/>
      <c r="O6497" s="5"/>
      <c r="P6497" s="5"/>
      <c r="Q6497" s="5"/>
      <c r="R6497" s="5"/>
      <c r="S6497" s="5"/>
      <c r="T6497" s="5"/>
      <c r="U6497" s="5"/>
      <c r="V6497" s="5"/>
      <c r="W6497" s="5"/>
      <c r="X6497" s="5"/>
      <c r="Y6497" s="5"/>
      <c r="Z6497" s="5"/>
    </row>
    <row r="6498" spans="1:26" ht="15" x14ac:dyDescent="0.25">
      <c r="A6498" s="4" t="s">
        <v>6496</v>
      </c>
      <c r="B6498" s="4" t="s">
        <v>4550</v>
      </c>
      <c r="C6498" s="2" t="str">
        <f ca="1">IFERROR(__xludf.DUMMYFUNCTION("GOOGLETRANSLATE(A6498,""bn"",""en"")"),"I sent money in cash")</f>
        <v>I sent money in cash</v>
      </c>
      <c r="D6498" s="5"/>
      <c r="E6498" s="5"/>
      <c r="F6498" s="5"/>
      <c r="G6498" s="5"/>
      <c r="H6498" s="5"/>
      <c r="I6498" s="5"/>
      <c r="J6498" s="5"/>
      <c r="K6498" s="5"/>
      <c r="L6498" s="5"/>
      <c r="M6498" s="5"/>
      <c r="N6498" s="5"/>
      <c r="O6498" s="5"/>
      <c r="P6498" s="5"/>
      <c r="Q6498" s="5"/>
      <c r="R6498" s="5"/>
      <c r="S6498" s="5"/>
      <c r="T6498" s="5"/>
      <c r="U6498" s="5"/>
      <c r="V6498" s="5"/>
      <c r="W6498" s="5"/>
      <c r="X6498" s="5"/>
      <c r="Y6498" s="5"/>
      <c r="Z6498" s="5"/>
    </row>
    <row r="6499" spans="1:26" ht="15" x14ac:dyDescent="0.25">
      <c r="A6499" s="4" t="s">
        <v>6497</v>
      </c>
      <c r="B6499" s="4" t="s">
        <v>4550</v>
      </c>
      <c r="C6499" s="2" t="str">
        <f ca="1">IFERROR(__xludf.DUMMYFUNCTION("GOOGLETRANSLATE(A6499,""bn"",""en"")"),"Life was spent in the dormitory")</f>
        <v>Life was spent in the dormitory</v>
      </c>
      <c r="D6499" s="5"/>
      <c r="E6499" s="5"/>
      <c r="F6499" s="5"/>
      <c r="G6499" s="5"/>
      <c r="H6499" s="5"/>
      <c r="I6499" s="5"/>
      <c r="J6499" s="5"/>
      <c r="K6499" s="5"/>
      <c r="L6499" s="5"/>
      <c r="M6499" s="5"/>
      <c r="N6499" s="5"/>
      <c r="O6499" s="5"/>
      <c r="P6499" s="5"/>
      <c r="Q6499" s="5"/>
      <c r="R6499" s="5"/>
      <c r="S6499" s="5"/>
      <c r="T6499" s="5"/>
      <c r="U6499" s="5"/>
      <c r="V6499" s="5"/>
      <c r="W6499" s="5"/>
      <c r="X6499" s="5"/>
      <c r="Y6499" s="5"/>
      <c r="Z6499" s="5"/>
    </row>
    <row r="6500" spans="1:26" ht="15" x14ac:dyDescent="0.25">
      <c r="A6500" s="4" t="s">
        <v>6498</v>
      </c>
      <c r="B6500" s="4" t="s">
        <v>4550</v>
      </c>
      <c r="C6500" s="2" t="str">
        <f ca="1">IFERROR(__xludf.DUMMYFUNCTION("GOOGLETRANSLATE(A6500,""bn"",""en"")"),"I went to the book fair")</f>
        <v>I went to the book fair</v>
      </c>
      <c r="D6500" s="5"/>
      <c r="E6500" s="5"/>
      <c r="F6500" s="5"/>
      <c r="G6500" s="5"/>
      <c r="H6500" s="5"/>
      <c r="I6500" s="5"/>
      <c r="J6500" s="5"/>
      <c r="K6500" s="5"/>
      <c r="L6500" s="5"/>
      <c r="M6500" s="5"/>
      <c r="N6500" s="5"/>
      <c r="O6500" s="5"/>
      <c r="P6500" s="5"/>
      <c r="Q6500" s="5"/>
      <c r="R6500" s="5"/>
      <c r="S6500" s="5"/>
      <c r="T6500" s="5"/>
      <c r="U6500" s="5"/>
      <c r="V6500" s="5"/>
      <c r="W6500" s="5"/>
      <c r="X6500" s="5"/>
      <c r="Y6500" s="5"/>
      <c r="Z6500" s="5"/>
    </row>
    <row r="6501" spans="1:26" ht="15" x14ac:dyDescent="0.25">
      <c r="A6501" s="4" t="s">
        <v>6499</v>
      </c>
      <c r="B6501" s="4" t="s">
        <v>4550</v>
      </c>
      <c r="C6501" s="2" t="str">
        <f ca="1">IFERROR(__xludf.DUMMYFUNCTION("GOOGLETRANSLATE(A6501,""bn"",""en"")"),"Foreign imports were increasing")</f>
        <v>Foreign imports were increasing</v>
      </c>
      <c r="D6501" s="5"/>
      <c r="E6501" s="5"/>
      <c r="F6501" s="5"/>
      <c r="G6501" s="5"/>
      <c r="H6501" s="5"/>
      <c r="I6501" s="5"/>
      <c r="J6501" s="5"/>
      <c r="K6501" s="5"/>
      <c r="L6501" s="5"/>
      <c r="M6501" s="5"/>
      <c r="N6501" s="5"/>
      <c r="O6501" s="5"/>
      <c r="P6501" s="5"/>
      <c r="Q6501" s="5"/>
      <c r="R6501" s="5"/>
      <c r="S6501" s="5"/>
      <c r="T6501" s="5"/>
      <c r="U6501" s="5"/>
      <c r="V6501" s="5"/>
      <c r="W6501" s="5"/>
      <c r="X6501" s="5"/>
      <c r="Y6501" s="5"/>
      <c r="Z6501" s="5"/>
    </row>
    <row r="6502" spans="1:26" ht="15" x14ac:dyDescent="0.25">
      <c r="A6502" s="4" t="s">
        <v>6500</v>
      </c>
      <c r="B6502" s="4" t="s">
        <v>4550</v>
      </c>
      <c r="C6502" s="2" t="str">
        <f ca="1">IFERROR(__xludf.DUMMYFUNCTION("GOOGLETRANSLATE(A6502,""bn"",""en"")"),"spoke against")</f>
        <v>spoke against</v>
      </c>
      <c r="D6502" s="5"/>
      <c r="E6502" s="5"/>
      <c r="F6502" s="5"/>
      <c r="G6502" s="5"/>
      <c r="H6502" s="5"/>
      <c r="I6502" s="5"/>
      <c r="J6502" s="5"/>
      <c r="K6502" s="5"/>
      <c r="L6502" s="5"/>
      <c r="M6502" s="5"/>
      <c r="N6502" s="5"/>
      <c r="O6502" s="5"/>
      <c r="P6502" s="5"/>
      <c r="Q6502" s="5"/>
      <c r="R6502" s="5"/>
      <c r="S6502" s="5"/>
      <c r="T6502" s="5"/>
      <c r="U6502" s="5"/>
      <c r="V6502" s="5"/>
      <c r="W6502" s="5"/>
      <c r="X6502" s="5"/>
      <c r="Y6502" s="5"/>
      <c r="Z6502" s="5"/>
    </row>
    <row r="6503" spans="1:26" ht="15" x14ac:dyDescent="0.25">
      <c r="A6503" s="4" t="s">
        <v>6501</v>
      </c>
      <c r="B6503" s="4" t="s">
        <v>4550</v>
      </c>
      <c r="C6503" s="2" t="str">
        <f ca="1">IFERROR(__xludf.DUMMYFUNCTION("GOOGLETRANSLATE(A6503,""bn"",""en"")"),"He read the paper")</f>
        <v>He read the paper</v>
      </c>
      <c r="D6503" s="5"/>
      <c r="E6503" s="5"/>
      <c r="F6503" s="5"/>
      <c r="G6503" s="5"/>
      <c r="H6503" s="5"/>
      <c r="I6503" s="5"/>
      <c r="J6503" s="5"/>
      <c r="K6503" s="5"/>
      <c r="L6503" s="5"/>
      <c r="M6503" s="5"/>
      <c r="N6503" s="5"/>
      <c r="O6503" s="5"/>
      <c r="P6503" s="5"/>
      <c r="Q6503" s="5"/>
      <c r="R6503" s="5"/>
      <c r="S6503" s="5"/>
      <c r="T6503" s="5"/>
      <c r="U6503" s="5"/>
      <c r="V6503" s="5"/>
      <c r="W6503" s="5"/>
      <c r="X6503" s="5"/>
      <c r="Y6503" s="5"/>
      <c r="Z6503" s="5"/>
    </row>
    <row r="6504" spans="1:26" ht="15" x14ac:dyDescent="0.25">
      <c r="A6504" s="4" t="s">
        <v>6502</v>
      </c>
      <c r="B6504" s="4" t="s">
        <v>4550</v>
      </c>
      <c r="C6504" s="2" t="str">
        <f ca="1">IFERROR(__xludf.DUMMYFUNCTION("GOOGLETRANSLATE(A6504,""bn"",""en"")"),"I ate cold food")</f>
        <v>I ate cold food</v>
      </c>
      <c r="D6504" s="5"/>
      <c r="E6504" s="5"/>
      <c r="F6504" s="5"/>
      <c r="G6504" s="5"/>
      <c r="H6504" s="5"/>
      <c r="I6504" s="5"/>
      <c r="J6504" s="5"/>
      <c r="K6504" s="5"/>
      <c r="L6504" s="5"/>
      <c r="M6504" s="5"/>
      <c r="N6504" s="5"/>
      <c r="O6504" s="5"/>
      <c r="P6504" s="5"/>
      <c r="Q6504" s="5"/>
      <c r="R6504" s="5"/>
      <c r="S6504" s="5"/>
      <c r="T6504" s="5"/>
      <c r="U6504" s="5"/>
      <c r="V6504" s="5"/>
      <c r="W6504" s="5"/>
      <c r="X6504" s="5"/>
      <c r="Y6504" s="5"/>
      <c r="Z6504" s="5"/>
    </row>
    <row r="6505" spans="1:26" ht="15" x14ac:dyDescent="0.25">
      <c r="A6505" s="4" t="s">
        <v>6503</v>
      </c>
      <c r="B6505" s="4" t="s">
        <v>4550</v>
      </c>
      <c r="C6505" s="2" t="str">
        <f ca="1">IFERROR(__xludf.DUMMYFUNCTION("GOOGLETRANSLATE(A6505,""bn"",""en"")"),"I played sports in my spare time")</f>
        <v>I played sports in my spare time</v>
      </c>
      <c r="D6505" s="5"/>
      <c r="E6505" s="5"/>
      <c r="F6505" s="5"/>
      <c r="G6505" s="5"/>
      <c r="H6505" s="5"/>
      <c r="I6505" s="5"/>
      <c r="J6505" s="5"/>
      <c r="K6505" s="5"/>
      <c r="L6505" s="5"/>
      <c r="M6505" s="5"/>
      <c r="N6505" s="5"/>
      <c r="O6505" s="5"/>
      <c r="P6505" s="5"/>
      <c r="Q6505" s="5"/>
      <c r="R6505" s="5"/>
      <c r="S6505" s="5"/>
      <c r="T6505" s="5"/>
      <c r="U6505" s="5"/>
      <c r="V6505" s="5"/>
      <c r="W6505" s="5"/>
      <c r="X6505" s="5"/>
      <c r="Y6505" s="5"/>
      <c r="Z6505" s="5"/>
    </row>
    <row r="6506" spans="1:26" ht="15" x14ac:dyDescent="0.25">
      <c r="A6506" s="4" t="s">
        <v>6504</v>
      </c>
      <c r="B6506" s="4" t="s">
        <v>4550</v>
      </c>
      <c r="C6506" s="2" t="str">
        <f ca="1">IFERROR(__xludf.DUMMYFUNCTION("GOOGLETRANSLATE(A6506,""bn"",""en"")"),"I was working in the organization")</f>
        <v>I was working in the organization</v>
      </c>
      <c r="D6506" s="5"/>
      <c r="E6506" s="5"/>
      <c r="F6506" s="5"/>
      <c r="G6506" s="5"/>
      <c r="H6506" s="5"/>
      <c r="I6506" s="5"/>
      <c r="J6506" s="5"/>
      <c r="K6506" s="5"/>
      <c r="L6506" s="5"/>
      <c r="M6506" s="5"/>
      <c r="N6506" s="5"/>
      <c r="O6506" s="5"/>
      <c r="P6506" s="5"/>
      <c r="Q6506" s="5"/>
      <c r="R6506" s="5"/>
      <c r="S6506" s="5"/>
      <c r="T6506" s="5"/>
      <c r="U6506" s="5"/>
      <c r="V6506" s="5"/>
      <c r="W6506" s="5"/>
      <c r="X6506" s="5"/>
      <c r="Y6506" s="5"/>
      <c r="Z6506" s="5"/>
    </row>
    <row r="6507" spans="1:26" ht="15" x14ac:dyDescent="0.25">
      <c r="A6507" s="4" t="s">
        <v>6505</v>
      </c>
      <c r="B6507" s="4" t="s">
        <v>4550</v>
      </c>
      <c r="C6507" s="2" t="str">
        <f ca="1">IFERROR(__xludf.DUMMYFUNCTION("GOOGLETRANSLATE(A6507,""bn"",""en"")"),"I used Webwriter")</f>
        <v>I used Webwriter</v>
      </c>
      <c r="D6507" s="5"/>
      <c r="E6507" s="5"/>
      <c r="F6507" s="5"/>
      <c r="G6507" s="5"/>
      <c r="H6507" s="5"/>
      <c r="I6507" s="5"/>
      <c r="J6507" s="5"/>
      <c r="K6507" s="5"/>
      <c r="L6507" s="5"/>
      <c r="M6507" s="5"/>
      <c r="N6507" s="5"/>
      <c r="O6507" s="5"/>
      <c r="P6507" s="5"/>
      <c r="Q6507" s="5"/>
      <c r="R6507" s="5"/>
      <c r="S6507" s="5"/>
      <c r="T6507" s="5"/>
      <c r="U6507" s="5"/>
      <c r="V6507" s="5"/>
      <c r="W6507" s="5"/>
      <c r="X6507" s="5"/>
      <c r="Y6507" s="5"/>
      <c r="Z6507" s="5"/>
    </row>
    <row r="6508" spans="1:26" ht="15" x14ac:dyDescent="0.25">
      <c r="A6508" s="4" t="s">
        <v>6506</v>
      </c>
      <c r="B6508" s="4" t="s">
        <v>4550</v>
      </c>
      <c r="C6508" s="2" t="str">
        <f ca="1">IFERROR(__xludf.DUMMYFUNCTION("GOOGLETRANSLATE(A6508,""bn"",""en"")"),"Checked the balance")</f>
        <v>Checked the balance</v>
      </c>
      <c r="D6508" s="5"/>
      <c r="E6508" s="5"/>
      <c r="F6508" s="5"/>
      <c r="G6508" s="5"/>
      <c r="H6508" s="5"/>
      <c r="I6508" s="5"/>
      <c r="J6508" s="5"/>
      <c r="K6508" s="5"/>
      <c r="L6508" s="5"/>
      <c r="M6508" s="5"/>
      <c r="N6508" s="5"/>
      <c r="O6508" s="5"/>
      <c r="P6508" s="5"/>
      <c r="Q6508" s="5"/>
      <c r="R6508" s="5"/>
      <c r="S6508" s="5"/>
      <c r="T6508" s="5"/>
      <c r="U6508" s="5"/>
      <c r="V6508" s="5"/>
      <c r="W6508" s="5"/>
      <c r="X6508" s="5"/>
      <c r="Y6508" s="5"/>
      <c r="Z6508" s="5"/>
    </row>
    <row r="6509" spans="1:26" ht="15" x14ac:dyDescent="0.25">
      <c r="A6509" s="4" t="s">
        <v>6507</v>
      </c>
      <c r="B6509" s="4" t="s">
        <v>4550</v>
      </c>
      <c r="C6509" s="2" t="str">
        <f ca="1">IFERROR(__xludf.DUMMYFUNCTION("GOOGLETRANSLATE(A6509,""bn"",""en"")"),"I used wifi")</f>
        <v>I used wifi</v>
      </c>
      <c r="D6509" s="5"/>
      <c r="E6509" s="5"/>
      <c r="F6509" s="5"/>
      <c r="G6509" s="5"/>
      <c r="H6509" s="5"/>
      <c r="I6509" s="5"/>
      <c r="J6509" s="5"/>
      <c r="K6509" s="5"/>
      <c r="L6509" s="5"/>
      <c r="M6509" s="5"/>
      <c r="N6509" s="5"/>
      <c r="O6509" s="5"/>
      <c r="P6509" s="5"/>
      <c r="Q6509" s="5"/>
      <c r="R6509" s="5"/>
      <c r="S6509" s="5"/>
      <c r="T6509" s="5"/>
      <c r="U6509" s="5"/>
      <c r="V6509" s="5"/>
      <c r="W6509" s="5"/>
      <c r="X6509" s="5"/>
      <c r="Y6509" s="5"/>
      <c r="Z6509" s="5"/>
    </row>
    <row r="6510" spans="1:26" ht="15" x14ac:dyDescent="0.25">
      <c r="A6510" s="4" t="s">
        <v>6508</v>
      </c>
      <c r="B6510" s="4" t="s">
        <v>4550</v>
      </c>
      <c r="C6510" s="2" t="str">
        <f ca="1">IFERROR(__xludf.DUMMYFUNCTION("GOOGLETRANSLATE(A6510,""bn"",""en"")"),"I gave a digital camera")</f>
        <v>I gave a digital camera</v>
      </c>
      <c r="D6510" s="5"/>
      <c r="E6510" s="5"/>
      <c r="F6510" s="5"/>
      <c r="G6510" s="5"/>
      <c r="H6510" s="5"/>
      <c r="I6510" s="5"/>
      <c r="J6510" s="5"/>
      <c r="K6510" s="5"/>
      <c r="L6510" s="5"/>
      <c r="M6510" s="5"/>
      <c r="N6510" s="5"/>
      <c r="O6510" s="5"/>
      <c r="P6510" s="5"/>
      <c r="Q6510" s="5"/>
      <c r="R6510" s="5"/>
      <c r="S6510" s="5"/>
      <c r="T6510" s="5"/>
      <c r="U6510" s="5"/>
      <c r="V6510" s="5"/>
      <c r="W6510" s="5"/>
      <c r="X6510" s="5"/>
      <c r="Y6510" s="5"/>
      <c r="Z6510" s="5"/>
    </row>
    <row r="6511" spans="1:26" ht="15" x14ac:dyDescent="0.25">
      <c r="A6511" s="4" t="s">
        <v>6509</v>
      </c>
      <c r="B6511" s="4" t="s">
        <v>4550</v>
      </c>
      <c r="C6511" s="2" t="str">
        <f ca="1">IFERROR(__xludf.DUMMYFUNCTION("GOOGLETRANSLATE(A6511,""bn"",""en"")"),"There was an increase in sales")</f>
        <v>There was an increase in sales</v>
      </c>
      <c r="D6511" s="5"/>
      <c r="E6511" s="5"/>
      <c r="F6511" s="5"/>
      <c r="G6511" s="5"/>
      <c r="H6511" s="5"/>
      <c r="I6511" s="5"/>
      <c r="J6511" s="5"/>
      <c r="K6511" s="5"/>
      <c r="L6511" s="5"/>
      <c r="M6511" s="5"/>
      <c r="N6511" s="5"/>
      <c r="O6511" s="5"/>
      <c r="P6511" s="5"/>
      <c r="Q6511" s="5"/>
      <c r="R6511" s="5"/>
      <c r="S6511" s="5"/>
      <c r="T6511" s="5"/>
      <c r="U6511" s="5"/>
      <c r="V6511" s="5"/>
      <c r="W6511" s="5"/>
      <c r="X6511" s="5"/>
      <c r="Y6511" s="5"/>
      <c r="Z6511" s="5"/>
    </row>
    <row r="6512" spans="1:26" ht="15" x14ac:dyDescent="0.25">
      <c r="A6512" s="4" t="s">
        <v>6510</v>
      </c>
      <c r="B6512" s="4" t="s">
        <v>4550</v>
      </c>
      <c r="C6512" s="2" t="str">
        <f ca="1">IFERROR(__xludf.DUMMYFUNCTION("GOOGLETRANSLATE(A6512,""bn"",""en"")"),"People were becoming self-employed")</f>
        <v>People were becoming self-employed</v>
      </c>
      <c r="D6512" s="5"/>
      <c r="E6512" s="5"/>
      <c r="F6512" s="5"/>
      <c r="G6512" s="5"/>
      <c r="H6512" s="5"/>
      <c r="I6512" s="5"/>
      <c r="J6512" s="5"/>
      <c r="K6512" s="5"/>
      <c r="L6512" s="5"/>
      <c r="M6512" s="5"/>
      <c r="N6512" s="5"/>
      <c r="O6512" s="5"/>
      <c r="P6512" s="5"/>
      <c r="Q6512" s="5"/>
      <c r="R6512" s="5"/>
      <c r="S6512" s="5"/>
      <c r="T6512" s="5"/>
      <c r="U6512" s="5"/>
      <c r="V6512" s="5"/>
      <c r="W6512" s="5"/>
      <c r="X6512" s="5"/>
      <c r="Y6512" s="5"/>
      <c r="Z6512" s="5"/>
    </row>
    <row r="6513" spans="1:26" ht="15" x14ac:dyDescent="0.25">
      <c r="A6513" s="4" t="s">
        <v>6511</v>
      </c>
      <c r="B6513" s="4" t="s">
        <v>4550</v>
      </c>
      <c r="C6513" s="2" t="str">
        <f ca="1">IFERROR(__xludf.DUMMYFUNCTION("GOOGLETRANSLATE(A6513,""bn"",""en"")"),"The bank gave support")</f>
        <v>The bank gave support</v>
      </c>
      <c r="D6513" s="5"/>
      <c r="E6513" s="5"/>
      <c r="F6513" s="5"/>
      <c r="G6513" s="5"/>
      <c r="H6513" s="5"/>
      <c r="I6513" s="5"/>
      <c r="J6513" s="5"/>
      <c r="K6513" s="5"/>
      <c r="L6513" s="5"/>
      <c r="M6513" s="5"/>
      <c r="N6513" s="5"/>
      <c r="O6513" s="5"/>
      <c r="P6513" s="5"/>
      <c r="Q6513" s="5"/>
      <c r="R6513" s="5"/>
      <c r="S6513" s="5"/>
      <c r="T6513" s="5"/>
      <c r="U6513" s="5"/>
      <c r="V6513" s="5"/>
      <c r="W6513" s="5"/>
      <c r="X6513" s="5"/>
      <c r="Y6513" s="5"/>
      <c r="Z6513" s="5"/>
    </row>
    <row r="6514" spans="1:26" ht="15" x14ac:dyDescent="0.25">
      <c r="A6514" s="4" t="s">
        <v>6512</v>
      </c>
      <c r="B6514" s="4" t="s">
        <v>4550</v>
      </c>
      <c r="C6514" s="2" t="str">
        <f ca="1">IFERROR(__xludf.DUMMYFUNCTION("GOOGLETRANSLATE(A6514,""bn"",""en"")"),"I taught street children")</f>
        <v>I taught street children</v>
      </c>
      <c r="D6514" s="5"/>
      <c r="E6514" s="5"/>
      <c r="F6514" s="5"/>
      <c r="G6514" s="5"/>
      <c r="H6514" s="5"/>
      <c r="I6514" s="5"/>
      <c r="J6514" s="5"/>
      <c r="K6514" s="5"/>
      <c r="L6514" s="5"/>
      <c r="M6514" s="5"/>
      <c r="N6514" s="5"/>
      <c r="O6514" s="5"/>
      <c r="P6514" s="5"/>
      <c r="Q6514" s="5"/>
      <c r="R6514" s="5"/>
      <c r="S6514" s="5"/>
      <c r="T6514" s="5"/>
      <c r="U6514" s="5"/>
      <c r="V6514" s="5"/>
      <c r="W6514" s="5"/>
      <c r="X6514" s="5"/>
      <c r="Y6514" s="5"/>
      <c r="Z6514" s="5"/>
    </row>
    <row r="6515" spans="1:26" ht="15" x14ac:dyDescent="0.25">
      <c r="A6515" s="4" t="s">
        <v>6513</v>
      </c>
      <c r="B6515" s="4" t="s">
        <v>4550</v>
      </c>
      <c r="C6515" s="2" t="str">
        <f ca="1">IFERROR(__xludf.DUMMYFUNCTION("GOOGLETRANSLATE(A6515,""bn"",""en"")"),"I was using apps")</f>
        <v>I was using apps</v>
      </c>
      <c r="D6515" s="5"/>
      <c r="E6515" s="5"/>
      <c r="F6515" s="5"/>
      <c r="G6515" s="5"/>
      <c r="H6515" s="5"/>
      <c r="I6515" s="5"/>
      <c r="J6515" s="5"/>
      <c r="K6515" s="5"/>
      <c r="L6515" s="5"/>
      <c r="M6515" s="5"/>
      <c r="N6515" s="5"/>
      <c r="O6515" s="5"/>
      <c r="P6515" s="5"/>
      <c r="Q6515" s="5"/>
      <c r="R6515" s="5"/>
      <c r="S6515" s="5"/>
      <c r="T6515" s="5"/>
      <c r="U6515" s="5"/>
      <c r="V6515" s="5"/>
      <c r="W6515" s="5"/>
      <c r="X6515" s="5"/>
      <c r="Y6515" s="5"/>
      <c r="Z6515" s="5"/>
    </row>
    <row r="6516" spans="1:26" ht="15" x14ac:dyDescent="0.25">
      <c r="A6516" s="4" t="s">
        <v>6514</v>
      </c>
      <c r="B6516" s="4" t="s">
        <v>4550</v>
      </c>
      <c r="C6516" s="2" t="str">
        <f ca="1">IFERROR(__xludf.DUMMYFUNCTION("GOOGLETRANSLATE(A6516,""bn"",""en"")"),"Sky traveled")</f>
        <v>Sky traveled</v>
      </c>
      <c r="D6516" s="5"/>
      <c r="E6516" s="5"/>
      <c r="F6516" s="5"/>
      <c r="G6516" s="5"/>
      <c r="H6516" s="5"/>
      <c r="I6516" s="5"/>
      <c r="J6516" s="5"/>
      <c r="K6516" s="5"/>
      <c r="L6516" s="5"/>
      <c r="M6516" s="5"/>
      <c r="N6516" s="5"/>
      <c r="O6516" s="5"/>
      <c r="P6516" s="5"/>
      <c r="Q6516" s="5"/>
      <c r="R6516" s="5"/>
      <c r="S6516" s="5"/>
      <c r="T6516" s="5"/>
      <c r="U6516" s="5"/>
      <c r="V6516" s="5"/>
      <c r="W6516" s="5"/>
      <c r="X6516" s="5"/>
      <c r="Y6516" s="5"/>
      <c r="Z6516" s="5"/>
    </row>
    <row r="6517" spans="1:26" ht="15" x14ac:dyDescent="0.25">
      <c r="A6517" s="4" t="s">
        <v>6515</v>
      </c>
      <c r="B6517" s="4" t="s">
        <v>4550</v>
      </c>
      <c r="C6517" s="2" t="str">
        <f ca="1">IFERROR(__xludf.DUMMYFUNCTION("GOOGLETRANSLATE(A6517,""bn"",""en"")"),"I was using GPS")</f>
        <v>I was using GPS</v>
      </c>
      <c r="D6517" s="5"/>
      <c r="E6517" s="5"/>
      <c r="F6517" s="5"/>
      <c r="G6517" s="5"/>
      <c r="H6517" s="5"/>
      <c r="I6517" s="5"/>
      <c r="J6517" s="5"/>
      <c r="K6517" s="5"/>
      <c r="L6517" s="5"/>
      <c r="M6517" s="5"/>
      <c r="N6517" s="5"/>
      <c r="O6517" s="5"/>
      <c r="P6517" s="5"/>
      <c r="Q6517" s="5"/>
      <c r="R6517" s="5"/>
      <c r="S6517" s="5"/>
      <c r="T6517" s="5"/>
      <c r="U6517" s="5"/>
      <c r="V6517" s="5"/>
      <c r="W6517" s="5"/>
      <c r="X6517" s="5"/>
      <c r="Y6517" s="5"/>
      <c r="Z6517" s="5"/>
    </row>
    <row r="6518" spans="1:26" ht="15" x14ac:dyDescent="0.25">
      <c r="A6518" s="4" t="s">
        <v>6516</v>
      </c>
      <c r="B6518" s="4" t="s">
        <v>4550</v>
      </c>
      <c r="C6518" s="2" t="str">
        <f ca="1">IFERROR(__xludf.DUMMYFUNCTION("GOOGLETRANSLATE(A6518,""bn"",""en"")"),"I was a Java programmer")</f>
        <v>I was a Java programmer</v>
      </c>
      <c r="D6518" s="5"/>
      <c r="E6518" s="5"/>
      <c r="F6518" s="5"/>
      <c r="G6518" s="5"/>
      <c r="H6518" s="5"/>
      <c r="I6518" s="5"/>
      <c r="J6518" s="5"/>
      <c r="K6518" s="5"/>
      <c r="L6518" s="5"/>
      <c r="M6518" s="5"/>
      <c r="N6518" s="5"/>
      <c r="O6518" s="5"/>
      <c r="P6518" s="5"/>
      <c r="Q6518" s="5"/>
      <c r="R6518" s="5"/>
      <c r="S6518" s="5"/>
      <c r="T6518" s="5"/>
      <c r="U6518" s="5"/>
      <c r="V6518" s="5"/>
      <c r="W6518" s="5"/>
      <c r="X6518" s="5"/>
      <c r="Y6518" s="5"/>
      <c r="Z6518" s="5"/>
    </row>
    <row r="6519" spans="1:26" ht="15" x14ac:dyDescent="0.25">
      <c r="A6519" s="4" t="s">
        <v>6517</v>
      </c>
      <c r="B6519" s="4" t="s">
        <v>4550</v>
      </c>
      <c r="C6519" s="2" t="str">
        <f ca="1">IFERROR(__xludf.DUMMYFUNCTION("GOOGLETRANSLATE(A6519,""bn"",""en"")"),"Technology was the skill")</f>
        <v>Technology was the skill</v>
      </c>
      <c r="D6519" s="5"/>
      <c r="E6519" s="5"/>
      <c r="F6519" s="5"/>
      <c r="G6519" s="5"/>
      <c r="H6519" s="5"/>
      <c r="I6519" s="5"/>
      <c r="J6519" s="5"/>
      <c r="K6519" s="5"/>
      <c r="L6519" s="5"/>
      <c r="M6519" s="5"/>
      <c r="N6519" s="5"/>
      <c r="O6519" s="5"/>
      <c r="P6519" s="5"/>
      <c r="Q6519" s="5"/>
      <c r="R6519" s="5"/>
      <c r="S6519" s="5"/>
      <c r="T6519" s="5"/>
      <c r="U6519" s="5"/>
      <c r="V6519" s="5"/>
      <c r="W6519" s="5"/>
      <c r="X6519" s="5"/>
      <c r="Y6519" s="5"/>
      <c r="Z6519" s="5"/>
    </row>
    <row r="6520" spans="1:26" ht="15" x14ac:dyDescent="0.25">
      <c r="A6520" s="4" t="s">
        <v>6518</v>
      </c>
      <c r="B6520" s="4" t="s">
        <v>4550</v>
      </c>
      <c r="C6520" s="2" t="str">
        <f ca="1">IFERROR(__xludf.DUMMYFUNCTION("GOOGLETRANSLATE(A6520,""bn"",""en"")"),"He was going to perform Hajj")</f>
        <v>He was going to perform Hajj</v>
      </c>
      <c r="D6520" s="5"/>
      <c r="E6520" s="5"/>
      <c r="F6520" s="5"/>
      <c r="G6520" s="5"/>
      <c r="H6520" s="5"/>
      <c r="I6520" s="5"/>
      <c r="J6520" s="5"/>
      <c r="K6520" s="5"/>
      <c r="L6520" s="5"/>
      <c r="M6520" s="5"/>
      <c r="N6520" s="5"/>
      <c r="O6520" s="5"/>
      <c r="P6520" s="5"/>
      <c r="Q6520" s="5"/>
      <c r="R6520" s="5"/>
      <c r="S6520" s="5"/>
      <c r="T6520" s="5"/>
      <c r="U6520" s="5"/>
      <c r="V6520" s="5"/>
      <c r="W6520" s="5"/>
      <c r="X6520" s="5"/>
      <c r="Y6520" s="5"/>
      <c r="Z6520" s="5"/>
    </row>
    <row r="6521" spans="1:26" ht="15" x14ac:dyDescent="0.25">
      <c r="A6521" s="4" t="s">
        <v>6519</v>
      </c>
      <c r="B6521" s="4" t="s">
        <v>4550</v>
      </c>
      <c r="C6521" s="2" t="str">
        <f ca="1">IFERROR(__xludf.DUMMYFUNCTION("GOOGLETRANSLATE(A6521,""bn"",""en"")"),"The number of hackers was increasing")</f>
        <v>The number of hackers was increasing</v>
      </c>
      <c r="D6521" s="5"/>
      <c r="E6521" s="5"/>
      <c r="F6521" s="5"/>
      <c r="G6521" s="5"/>
      <c r="H6521" s="5"/>
      <c r="I6521" s="5"/>
      <c r="J6521" s="5"/>
      <c r="K6521" s="5"/>
      <c r="L6521" s="5"/>
      <c r="M6521" s="5"/>
      <c r="N6521" s="5"/>
      <c r="O6521" s="5"/>
      <c r="P6521" s="5"/>
      <c r="Q6521" s="5"/>
      <c r="R6521" s="5"/>
      <c r="S6521" s="5"/>
      <c r="T6521" s="5"/>
      <c r="U6521" s="5"/>
      <c r="V6521" s="5"/>
      <c r="W6521" s="5"/>
      <c r="X6521" s="5"/>
      <c r="Y6521" s="5"/>
      <c r="Z6521" s="5"/>
    </row>
    <row r="6522" spans="1:26" ht="15" x14ac:dyDescent="0.25">
      <c r="A6522" s="4" t="s">
        <v>6520</v>
      </c>
      <c r="B6522" s="4" t="s">
        <v>4550</v>
      </c>
      <c r="C6522" s="2" t="str">
        <f ca="1">IFERROR(__xludf.DUMMYFUNCTION("GOOGLETRANSLATE(A6522,""bn"",""en"")"),"Wanted to buy a gadget")</f>
        <v>Wanted to buy a gadget</v>
      </c>
      <c r="D6522" s="5"/>
      <c r="E6522" s="5"/>
      <c r="F6522" s="5"/>
      <c r="G6522" s="5"/>
      <c r="H6522" s="5"/>
      <c r="I6522" s="5"/>
      <c r="J6522" s="5"/>
      <c r="K6522" s="5"/>
      <c r="L6522" s="5"/>
      <c r="M6522" s="5"/>
      <c r="N6522" s="5"/>
      <c r="O6522" s="5"/>
      <c r="P6522" s="5"/>
      <c r="Q6522" s="5"/>
      <c r="R6522" s="5"/>
      <c r="S6522" s="5"/>
      <c r="T6522" s="5"/>
      <c r="U6522" s="5"/>
      <c r="V6522" s="5"/>
      <c r="W6522" s="5"/>
      <c r="X6522" s="5"/>
      <c r="Y6522" s="5"/>
      <c r="Z6522" s="5"/>
    </row>
    <row r="6523" spans="1:26" ht="15" x14ac:dyDescent="0.25">
      <c r="A6523" s="4" t="s">
        <v>6521</v>
      </c>
      <c r="B6523" s="4" t="s">
        <v>4550</v>
      </c>
      <c r="C6523" s="2" t="str">
        <f ca="1">IFERROR(__xludf.DUMMYFUNCTION("GOOGLETRANSLATE(A6523,""bn"",""en"")"),"I was ordering headphones")</f>
        <v>I was ordering headphones</v>
      </c>
      <c r="D6523" s="5"/>
      <c r="E6523" s="5"/>
      <c r="F6523" s="5"/>
      <c r="G6523" s="5"/>
      <c r="H6523" s="5"/>
      <c r="I6523" s="5"/>
      <c r="J6523" s="5"/>
      <c r="K6523" s="5"/>
      <c r="L6523" s="5"/>
      <c r="M6523" s="5"/>
      <c r="N6523" s="5"/>
      <c r="O6523" s="5"/>
      <c r="P6523" s="5"/>
      <c r="Q6523" s="5"/>
      <c r="R6523" s="5"/>
      <c r="S6523" s="5"/>
      <c r="T6523" s="5"/>
      <c r="U6523" s="5"/>
      <c r="V6523" s="5"/>
      <c r="W6523" s="5"/>
      <c r="X6523" s="5"/>
      <c r="Y6523" s="5"/>
      <c r="Z6523" s="5"/>
    </row>
    <row r="6524" spans="1:26" ht="15" x14ac:dyDescent="0.25">
      <c r="A6524" s="4" t="s">
        <v>6522</v>
      </c>
      <c r="B6524" s="4" t="s">
        <v>4550</v>
      </c>
      <c r="C6524" s="2" t="str">
        <f ca="1">IFERROR(__xludf.DUMMYFUNCTION("GOOGLETRANSLATE(A6524,""bn"",""en"")"),"I enjoyed traveling")</f>
        <v>I enjoyed traveling</v>
      </c>
      <c r="D6524" s="5"/>
      <c r="E6524" s="5"/>
      <c r="F6524" s="5"/>
      <c r="G6524" s="5"/>
      <c r="H6524" s="5"/>
      <c r="I6524" s="5"/>
      <c r="J6524" s="5"/>
      <c r="K6524" s="5"/>
      <c r="L6524" s="5"/>
      <c r="M6524" s="5"/>
      <c r="N6524" s="5"/>
      <c r="O6524" s="5"/>
      <c r="P6524" s="5"/>
      <c r="Q6524" s="5"/>
      <c r="R6524" s="5"/>
      <c r="S6524" s="5"/>
      <c r="T6524" s="5"/>
      <c r="U6524" s="5"/>
      <c r="V6524" s="5"/>
      <c r="W6524" s="5"/>
      <c r="X6524" s="5"/>
      <c r="Y6524" s="5"/>
      <c r="Z6524" s="5"/>
    </row>
    <row r="6525" spans="1:26" ht="15" x14ac:dyDescent="0.25">
      <c r="A6525" s="4" t="s">
        <v>6523</v>
      </c>
      <c r="B6525" s="4" t="s">
        <v>4550</v>
      </c>
      <c r="C6525" s="2" t="str">
        <f ca="1">IFERROR(__xludf.DUMMYFUNCTION("GOOGLETRANSLATE(A6525,""bn"",""en"")"),"He learned history")</f>
        <v>He learned history</v>
      </c>
      <c r="D6525" s="5"/>
      <c r="E6525" s="5"/>
      <c r="F6525" s="5"/>
      <c r="G6525" s="5"/>
      <c r="H6525" s="5"/>
      <c r="I6525" s="5"/>
      <c r="J6525" s="5"/>
      <c r="K6525" s="5"/>
      <c r="L6525" s="5"/>
      <c r="M6525" s="5"/>
      <c r="N6525" s="5"/>
      <c r="O6525" s="5"/>
      <c r="P6525" s="5"/>
      <c r="Q6525" s="5"/>
      <c r="R6525" s="5"/>
      <c r="S6525" s="5"/>
      <c r="T6525" s="5"/>
      <c r="U6525" s="5"/>
      <c r="V6525" s="5"/>
      <c r="W6525" s="5"/>
      <c r="X6525" s="5"/>
      <c r="Y6525" s="5"/>
      <c r="Z6525" s="5"/>
    </row>
    <row r="6526" spans="1:26" ht="15" x14ac:dyDescent="0.25">
      <c r="A6526" s="4" t="s">
        <v>6524</v>
      </c>
      <c r="B6526" s="4" t="s">
        <v>4550</v>
      </c>
      <c r="C6526" s="2" t="str">
        <f ca="1">IFERROR(__xludf.DUMMYFUNCTION("GOOGLETRANSLATE(A6526,""bn"",""en"")"),"Generations were prospering")</f>
        <v>Generations were prospering</v>
      </c>
      <c r="D6526" s="5"/>
      <c r="E6526" s="5"/>
      <c r="F6526" s="5"/>
      <c r="G6526" s="5"/>
      <c r="H6526" s="5"/>
      <c r="I6526" s="5"/>
      <c r="J6526" s="5"/>
      <c r="K6526" s="5"/>
      <c r="L6526" s="5"/>
      <c r="M6526" s="5"/>
      <c r="N6526" s="5"/>
      <c r="O6526" s="5"/>
      <c r="P6526" s="5"/>
      <c r="Q6526" s="5"/>
      <c r="R6526" s="5"/>
      <c r="S6526" s="5"/>
      <c r="T6526" s="5"/>
      <c r="U6526" s="5"/>
      <c r="V6526" s="5"/>
      <c r="W6526" s="5"/>
      <c r="X6526" s="5"/>
      <c r="Y6526" s="5"/>
      <c r="Z6526" s="5"/>
    </row>
    <row r="6527" spans="1:26" ht="15" x14ac:dyDescent="0.25">
      <c r="A6527" s="4" t="s">
        <v>6525</v>
      </c>
      <c r="B6527" s="4" t="s">
        <v>4550</v>
      </c>
      <c r="C6527" s="2" t="str">
        <f ca="1">IFERROR(__xludf.DUMMYFUNCTION("GOOGLETRANSLATE(A6527,""bn"",""en"")"),"The loan was disbursed")</f>
        <v>The loan was disbursed</v>
      </c>
      <c r="D6527" s="5"/>
      <c r="E6527" s="5"/>
      <c r="F6527" s="5"/>
      <c r="G6527" s="5"/>
      <c r="H6527" s="5"/>
      <c r="I6527" s="5"/>
      <c r="J6527" s="5"/>
      <c r="K6527" s="5"/>
      <c r="L6527" s="5"/>
      <c r="M6527" s="5"/>
      <c r="N6527" s="5"/>
      <c r="O6527" s="5"/>
      <c r="P6527" s="5"/>
      <c r="Q6527" s="5"/>
      <c r="R6527" s="5"/>
      <c r="S6527" s="5"/>
      <c r="T6527" s="5"/>
      <c r="U6527" s="5"/>
      <c r="V6527" s="5"/>
      <c r="W6527" s="5"/>
      <c r="X6527" s="5"/>
      <c r="Y6527" s="5"/>
      <c r="Z6527" s="5"/>
    </row>
    <row r="6528" spans="1:26" ht="15" x14ac:dyDescent="0.25">
      <c r="A6528" s="4" t="s">
        <v>6526</v>
      </c>
      <c r="B6528" s="4" t="s">
        <v>4550</v>
      </c>
      <c r="C6528" s="2" t="str">
        <f ca="1">IFERROR(__xludf.DUMMYFUNCTION("GOOGLETRANSLATE(A6528,""bn"",""en"")"),"He discussed politics")</f>
        <v>He discussed politics</v>
      </c>
      <c r="D6528" s="5"/>
      <c r="E6528" s="5"/>
      <c r="F6528" s="5"/>
      <c r="G6528" s="5"/>
      <c r="H6528" s="5"/>
      <c r="I6528" s="5"/>
      <c r="J6528" s="5"/>
      <c r="K6528" s="5"/>
      <c r="L6528" s="5"/>
      <c r="M6528" s="5"/>
      <c r="N6528" s="5"/>
      <c r="O6528" s="5"/>
      <c r="P6528" s="5"/>
      <c r="Q6528" s="5"/>
      <c r="R6528" s="5"/>
      <c r="S6528" s="5"/>
      <c r="T6528" s="5"/>
      <c r="U6528" s="5"/>
      <c r="V6528" s="5"/>
      <c r="W6528" s="5"/>
      <c r="X6528" s="5"/>
      <c r="Y6528" s="5"/>
      <c r="Z6528" s="5"/>
    </row>
    <row r="6529" spans="1:26" ht="15" x14ac:dyDescent="0.25">
      <c r="A6529" s="4" t="s">
        <v>6527</v>
      </c>
      <c r="B6529" s="4" t="s">
        <v>4550</v>
      </c>
      <c r="C6529" s="2" t="str">
        <f ca="1">IFERROR(__xludf.DUMMYFUNCTION("GOOGLETRANSLATE(A6529,""bn"",""en"")"),"I was using robots")</f>
        <v>I was using robots</v>
      </c>
      <c r="D6529" s="5"/>
      <c r="E6529" s="5"/>
      <c r="F6529" s="5"/>
      <c r="G6529" s="5"/>
      <c r="H6529" s="5"/>
      <c r="I6529" s="5"/>
      <c r="J6529" s="5"/>
      <c r="K6529" s="5"/>
      <c r="L6529" s="5"/>
      <c r="M6529" s="5"/>
      <c r="N6529" s="5"/>
      <c r="O6529" s="5"/>
      <c r="P6529" s="5"/>
      <c r="Q6529" s="5"/>
      <c r="R6529" s="5"/>
      <c r="S6529" s="5"/>
      <c r="T6529" s="5"/>
      <c r="U6529" s="5"/>
      <c r="V6529" s="5"/>
      <c r="W6529" s="5"/>
      <c r="X6529" s="5"/>
      <c r="Y6529" s="5"/>
      <c r="Z6529" s="5"/>
    </row>
    <row r="6530" spans="1:26" ht="15" x14ac:dyDescent="0.25">
      <c r="A6530" s="4" t="s">
        <v>6528</v>
      </c>
      <c r="B6530" s="4" t="s">
        <v>4550</v>
      </c>
      <c r="C6530" s="2" t="str">
        <f ca="1">IFERROR(__xludf.DUMMYFUNCTION("GOOGLETRANSLATE(A6530,""bn"",""en"")"),"I used the remote")</f>
        <v>I used the remote</v>
      </c>
      <c r="D6530" s="5"/>
      <c r="E6530" s="5"/>
      <c r="F6530" s="5"/>
      <c r="G6530" s="5"/>
      <c r="H6530" s="5"/>
      <c r="I6530" s="5"/>
      <c r="J6530" s="5"/>
      <c r="K6530" s="5"/>
      <c r="L6530" s="5"/>
      <c r="M6530" s="5"/>
      <c r="N6530" s="5"/>
      <c r="O6530" s="5"/>
      <c r="P6530" s="5"/>
      <c r="Q6530" s="5"/>
      <c r="R6530" s="5"/>
      <c r="S6530" s="5"/>
      <c r="T6530" s="5"/>
      <c r="U6530" s="5"/>
      <c r="V6530" s="5"/>
      <c r="W6530" s="5"/>
      <c r="X6530" s="5"/>
      <c r="Y6530" s="5"/>
      <c r="Z6530" s="5"/>
    </row>
    <row r="6531" spans="1:26" ht="15" x14ac:dyDescent="0.25">
      <c r="A6531" s="4" t="s">
        <v>6529</v>
      </c>
      <c r="B6531" s="4" t="s">
        <v>4550</v>
      </c>
      <c r="C6531" s="2" t="str">
        <f ca="1">IFERROR(__xludf.DUMMYFUNCTION("GOOGLETRANSLATE(A6531,""bn"",""en"")"),"The parties discussed")</f>
        <v>The parties discussed</v>
      </c>
      <c r="D6531" s="5"/>
      <c r="E6531" s="5"/>
      <c r="F6531" s="5"/>
      <c r="G6531" s="5"/>
      <c r="H6531" s="5"/>
      <c r="I6531" s="5"/>
      <c r="J6531" s="5"/>
      <c r="K6531" s="5"/>
      <c r="L6531" s="5"/>
      <c r="M6531" s="5"/>
      <c r="N6531" s="5"/>
      <c r="O6531" s="5"/>
      <c r="P6531" s="5"/>
      <c r="Q6531" s="5"/>
      <c r="R6531" s="5"/>
      <c r="S6531" s="5"/>
      <c r="T6531" s="5"/>
      <c r="U6531" s="5"/>
      <c r="V6531" s="5"/>
      <c r="W6531" s="5"/>
      <c r="X6531" s="5"/>
      <c r="Y6531" s="5"/>
      <c r="Z6531" s="5"/>
    </row>
    <row r="6532" spans="1:26" ht="15" x14ac:dyDescent="0.25">
      <c r="A6532" s="4" t="s">
        <v>6530</v>
      </c>
      <c r="B6532" s="4" t="s">
        <v>4550</v>
      </c>
      <c r="C6532" s="2" t="str">
        <f ca="1">IFERROR(__xludf.DUMMYFUNCTION("GOOGLETRANSLATE(A6532,""bn"",""en"")"),"I loved to read")</f>
        <v>I loved to read</v>
      </c>
      <c r="D6532" s="5"/>
      <c r="E6532" s="5"/>
      <c r="F6532" s="5"/>
      <c r="G6532" s="5"/>
      <c r="H6532" s="5"/>
      <c r="I6532" s="5"/>
      <c r="J6532" s="5"/>
      <c r="K6532" s="5"/>
      <c r="L6532" s="5"/>
      <c r="M6532" s="5"/>
      <c r="N6532" s="5"/>
      <c r="O6532" s="5"/>
      <c r="P6532" s="5"/>
      <c r="Q6532" s="5"/>
      <c r="R6532" s="5"/>
      <c r="S6532" s="5"/>
      <c r="T6532" s="5"/>
      <c r="U6532" s="5"/>
      <c r="V6532" s="5"/>
      <c r="W6532" s="5"/>
      <c r="X6532" s="5"/>
      <c r="Y6532" s="5"/>
      <c r="Z6532" s="5"/>
    </row>
    <row r="6533" spans="1:26" ht="15" x14ac:dyDescent="0.25">
      <c r="A6533" s="4" t="s">
        <v>6531</v>
      </c>
      <c r="B6533" s="4" t="s">
        <v>4550</v>
      </c>
      <c r="C6533" s="2" t="str">
        <f ca="1">IFERROR(__xludf.DUMMYFUNCTION("GOOGLETRANSLATE(A6533,""bn"",""en"")"),"I was suffering in winter")</f>
        <v>I was suffering in winter</v>
      </c>
      <c r="D6533" s="5"/>
      <c r="E6533" s="5"/>
      <c r="F6533" s="5"/>
      <c r="G6533" s="5"/>
      <c r="H6533" s="5"/>
      <c r="I6533" s="5"/>
      <c r="J6533" s="5"/>
      <c r="K6533" s="5"/>
      <c r="L6533" s="5"/>
      <c r="M6533" s="5"/>
      <c r="N6533" s="5"/>
      <c r="O6533" s="5"/>
      <c r="P6533" s="5"/>
      <c r="Q6533" s="5"/>
      <c r="R6533" s="5"/>
      <c r="S6533" s="5"/>
      <c r="T6533" s="5"/>
      <c r="U6533" s="5"/>
      <c r="V6533" s="5"/>
      <c r="W6533" s="5"/>
      <c r="X6533" s="5"/>
      <c r="Y6533" s="5"/>
      <c r="Z6533" s="5"/>
    </row>
    <row r="6534" spans="1:26" ht="15" x14ac:dyDescent="0.25">
      <c r="A6534" s="4" t="s">
        <v>6532</v>
      </c>
      <c r="B6534" s="4" t="s">
        <v>4550</v>
      </c>
      <c r="C6534" s="2" t="str">
        <f ca="1">IFERROR(__xludf.DUMMYFUNCTION("GOOGLETRANSLATE(A6534,""bn"",""en"")"),"I took the bank exam")</f>
        <v>I took the bank exam</v>
      </c>
      <c r="D6534" s="5"/>
      <c r="E6534" s="5"/>
      <c r="F6534" s="5"/>
      <c r="G6534" s="5"/>
      <c r="H6534" s="5"/>
      <c r="I6534" s="5"/>
      <c r="J6534" s="5"/>
      <c r="K6534" s="5"/>
      <c r="L6534" s="5"/>
      <c r="M6534" s="5"/>
      <c r="N6534" s="5"/>
      <c r="O6534" s="5"/>
      <c r="P6534" s="5"/>
      <c r="Q6534" s="5"/>
      <c r="R6534" s="5"/>
      <c r="S6534" s="5"/>
      <c r="T6534" s="5"/>
      <c r="U6534" s="5"/>
      <c r="V6534" s="5"/>
      <c r="W6534" s="5"/>
      <c r="X6534" s="5"/>
      <c r="Y6534" s="5"/>
      <c r="Z6534" s="5"/>
    </row>
    <row r="6535" spans="1:26" ht="15" x14ac:dyDescent="0.25">
      <c r="A6535" s="4" t="s">
        <v>6533</v>
      </c>
      <c r="B6535" s="4" t="s">
        <v>4550</v>
      </c>
      <c r="C6535" s="2" t="str">
        <f ca="1">IFERROR(__xludf.DUMMYFUNCTION("GOOGLETRANSLATE(A6535,""bn"",""en"")"),"I watched the news on the laptop")</f>
        <v>I watched the news on the laptop</v>
      </c>
      <c r="D6535" s="5"/>
      <c r="E6535" s="5"/>
      <c r="F6535" s="5"/>
      <c r="G6535" s="5"/>
      <c r="H6535" s="5"/>
      <c r="I6535" s="5"/>
      <c r="J6535" s="5"/>
      <c r="K6535" s="5"/>
      <c r="L6535" s="5"/>
      <c r="M6535" s="5"/>
      <c r="N6535" s="5"/>
      <c r="O6535" s="5"/>
      <c r="P6535" s="5"/>
      <c r="Q6535" s="5"/>
      <c r="R6535" s="5"/>
      <c r="S6535" s="5"/>
      <c r="T6535" s="5"/>
      <c r="U6535" s="5"/>
      <c r="V6535" s="5"/>
      <c r="W6535" s="5"/>
      <c r="X6535" s="5"/>
      <c r="Y6535" s="5"/>
      <c r="Z6535" s="5"/>
    </row>
    <row r="6536" spans="1:26" ht="15" x14ac:dyDescent="0.25">
      <c r="A6536" s="4" t="s">
        <v>6534</v>
      </c>
      <c r="B6536" s="4" t="s">
        <v>4550</v>
      </c>
      <c r="C6536" s="2" t="str">
        <f ca="1">IFERROR(__xludf.DUMMYFUNCTION("GOOGLETRANSLATE(A6536,""bn"",""en"")"),"He was a glutton")</f>
        <v>He was a glutton</v>
      </c>
      <c r="D6536" s="5"/>
      <c r="E6536" s="5"/>
      <c r="F6536" s="5"/>
      <c r="G6536" s="5"/>
      <c r="H6536" s="5"/>
      <c r="I6536" s="5"/>
      <c r="J6536" s="5"/>
      <c r="K6536" s="5"/>
      <c r="L6536" s="5"/>
      <c r="M6536" s="5"/>
      <c r="N6536" s="5"/>
      <c r="O6536" s="5"/>
      <c r="P6536" s="5"/>
      <c r="Q6536" s="5"/>
      <c r="R6536" s="5"/>
      <c r="S6536" s="5"/>
      <c r="T6536" s="5"/>
      <c r="U6536" s="5"/>
      <c r="V6536" s="5"/>
      <c r="W6536" s="5"/>
      <c r="X6536" s="5"/>
      <c r="Y6536" s="5"/>
      <c r="Z6536" s="5"/>
    </row>
    <row r="6537" spans="1:26" ht="15" x14ac:dyDescent="0.25">
      <c r="A6537" s="4" t="s">
        <v>6535</v>
      </c>
      <c r="B6537" s="4" t="s">
        <v>4550</v>
      </c>
      <c r="C6537" s="2" t="str">
        <f ca="1">IFERROR(__xludf.DUMMYFUNCTION("GOOGLETRANSLATE(A6537,""bn"",""en"")"),"The college was located")</f>
        <v>The college was located</v>
      </c>
      <c r="D6537" s="5"/>
      <c r="E6537" s="5"/>
      <c r="F6537" s="5"/>
      <c r="G6537" s="5"/>
      <c r="H6537" s="5"/>
      <c r="I6537" s="5"/>
      <c r="J6537" s="5"/>
      <c r="K6537" s="5"/>
      <c r="L6537" s="5"/>
      <c r="M6537" s="5"/>
      <c r="N6537" s="5"/>
      <c r="O6537" s="5"/>
      <c r="P6537" s="5"/>
      <c r="Q6537" s="5"/>
      <c r="R6537" s="5"/>
      <c r="S6537" s="5"/>
      <c r="T6537" s="5"/>
      <c r="U6537" s="5"/>
      <c r="V6537" s="5"/>
      <c r="W6537" s="5"/>
      <c r="X6537" s="5"/>
      <c r="Y6537" s="5"/>
      <c r="Z6537" s="5"/>
    </row>
    <row r="6538" spans="1:26" ht="15" x14ac:dyDescent="0.25">
      <c r="A6538" s="4" t="s">
        <v>6536</v>
      </c>
      <c r="B6538" s="4" t="s">
        <v>4550</v>
      </c>
      <c r="C6538" s="2" t="str">
        <f ca="1">IFERROR(__xludf.DUMMYFUNCTION("GOOGLETRANSLATE(A6538,""bn"",""en"")"),"I liked cricket")</f>
        <v>I liked cricket</v>
      </c>
      <c r="D6538" s="5"/>
      <c r="E6538" s="5"/>
      <c r="F6538" s="5"/>
      <c r="G6538" s="5"/>
      <c r="H6538" s="5"/>
      <c r="I6538" s="5"/>
      <c r="J6538" s="5"/>
      <c r="K6538" s="5"/>
      <c r="L6538" s="5"/>
      <c r="M6538" s="5"/>
      <c r="N6538" s="5"/>
      <c r="O6538" s="5"/>
      <c r="P6538" s="5"/>
      <c r="Q6538" s="5"/>
      <c r="R6538" s="5"/>
      <c r="S6538" s="5"/>
      <c r="T6538" s="5"/>
      <c r="U6538" s="5"/>
      <c r="V6538" s="5"/>
      <c r="W6538" s="5"/>
      <c r="X6538" s="5"/>
      <c r="Y6538" s="5"/>
      <c r="Z6538" s="5"/>
    </row>
    <row r="6539" spans="1:26" ht="15" x14ac:dyDescent="0.25">
      <c r="A6539" s="4" t="s">
        <v>6537</v>
      </c>
      <c r="B6539" s="4" t="s">
        <v>4550</v>
      </c>
      <c r="C6539" s="2" t="str">
        <f ca="1">IFERROR(__xludf.DUMMYFUNCTION("GOOGLETRANSLATE(A6539,""bn"",""en"")"),"He was reading poetry")</f>
        <v>He was reading poetry</v>
      </c>
      <c r="D6539" s="5"/>
      <c r="E6539" s="5"/>
      <c r="F6539" s="5"/>
      <c r="G6539" s="5"/>
      <c r="H6539" s="5"/>
      <c r="I6539" s="5"/>
      <c r="J6539" s="5"/>
      <c r="K6539" s="5"/>
      <c r="L6539" s="5"/>
      <c r="M6539" s="5"/>
      <c r="N6539" s="5"/>
      <c r="O6539" s="5"/>
      <c r="P6539" s="5"/>
      <c r="Q6539" s="5"/>
      <c r="R6539" s="5"/>
      <c r="S6539" s="5"/>
      <c r="T6539" s="5"/>
      <c r="U6539" s="5"/>
      <c r="V6539" s="5"/>
      <c r="W6539" s="5"/>
      <c r="X6539" s="5"/>
      <c r="Y6539" s="5"/>
      <c r="Z6539" s="5"/>
    </row>
    <row r="6540" spans="1:26" ht="15" x14ac:dyDescent="0.25">
      <c r="A6540" s="4" t="s">
        <v>6538</v>
      </c>
      <c r="B6540" s="4" t="s">
        <v>4550</v>
      </c>
      <c r="C6540" s="2" t="str">
        <f ca="1">IFERROR(__xludf.DUMMYFUNCTION("GOOGLETRANSLATE(A6540,""bn"",""en"")"),"I did according to the passbook")</f>
        <v>I did according to the passbook</v>
      </c>
      <c r="D6540" s="5"/>
      <c r="E6540" s="5"/>
      <c r="F6540" s="5"/>
      <c r="G6540" s="5"/>
      <c r="H6540" s="5"/>
      <c r="I6540" s="5"/>
      <c r="J6540" s="5"/>
      <c r="K6540" s="5"/>
      <c r="L6540" s="5"/>
      <c r="M6540" s="5"/>
      <c r="N6540" s="5"/>
      <c r="O6540" s="5"/>
      <c r="P6540" s="5"/>
      <c r="Q6540" s="5"/>
      <c r="R6540" s="5"/>
      <c r="S6540" s="5"/>
      <c r="T6540" s="5"/>
      <c r="U6540" s="5"/>
      <c r="V6540" s="5"/>
      <c r="W6540" s="5"/>
      <c r="X6540" s="5"/>
      <c r="Y6540" s="5"/>
      <c r="Z6540" s="5"/>
    </row>
    <row r="6541" spans="1:26" ht="15" x14ac:dyDescent="0.25">
      <c r="A6541" s="4" t="s">
        <v>6539</v>
      </c>
      <c r="B6541" s="4" t="s">
        <v>4550</v>
      </c>
      <c r="C6541" s="2" t="str">
        <f ca="1">IFERROR(__xludf.DUMMYFUNCTION("GOOGLETRANSLATE(A6541,""bn"",""en"")"),"The product was being produced")</f>
        <v>The product was being produced</v>
      </c>
      <c r="D6541" s="5"/>
      <c r="E6541" s="5"/>
      <c r="F6541" s="5"/>
      <c r="G6541" s="5"/>
      <c r="H6541" s="5"/>
      <c r="I6541" s="5"/>
      <c r="J6541" s="5"/>
      <c r="K6541" s="5"/>
      <c r="L6541" s="5"/>
      <c r="M6541" s="5"/>
      <c r="N6541" s="5"/>
      <c r="O6541" s="5"/>
      <c r="P6541" s="5"/>
      <c r="Q6541" s="5"/>
      <c r="R6541" s="5"/>
      <c r="S6541" s="5"/>
      <c r="T6541" s="5"/>
      <c r="U6541" s="5"/>
      <c r="V6541" s="5"/>
      <c r="W6541" s="5"/>
      <c r="X6541" s="5"/>
      <c r="Y6541" s="5"/>
      <c r="Z6541" s="5"/>
    </row>
    <row r="6542" spans="1:26" ht="15" x14ac:dyDescent="0.25">
      <c r="A6542" s="4" t="s">
        <v>6540</v>
      </c>
      <c r="B6542" s="4" t="s">
        <v>4550</v>
      </c>
      <c r="C6542" s="2" t="str">
        <f ca="1">IFERROR(__xludf.DUMMYFUNCTION("GOOGLETRANSLATE(A6542,""bn"",""en"")"),"He bought the computer")</f>
        <v>He bought the computer</v>
      </c>
      <c r="D6542" s="5"/>
      <c r="E6542" s="5"/>
      <c r="F6542" s="5"/>
      <c r="G6542" s="5"/>
      <c r="H6542" s="5"/>
      <c r="I6542" s="5"/>
      <c r="J6542" s="5"/>
      <c r="K6542" s="5"/>
      <c r="L6542" s="5"/>
      <c r="M6542" s="5"/>
      <c r="N6542" s="5"/>
      <c r="O6542" s="5"/>
      <c r="P6542" s="5"/>
      <c r="Q6542" s="5"/>
      <c r="R6542" s="5"/>
      <c r="S6542" s="5"/>
      <c r="T6542" s="5"/>
      <c r="U6542" s="5"/>
      <c r="V6542" s="5"/>
      <c r="W6542" s="5"/>
      <c r="X6542" s="5"/>
      <c r="Y6542" s="5"/>
      <c r="Z6542" s="5"/>
    </row>
    <row r="6543" spans="1:26" ht="15" x14ac:dyDescent="0.25">
      <c r="A6543" s="4" t="s">
        <v>6541</v>
      </c>
      <c r="B6543" s="4" t="s">
        <v>4550</v>
      </c>
      <c r="C6543" s="2" t="str">
        <f ca="1">IFERROR(__xludf.DUMMYFUNCTION("GOOGLETRANSLATE(A6543,""bn"",""en"")"),"I wanted to read history")</f>
        <v>I wanted to read history</v>
      </c>
      <c r="D6543" s="5"/>
      <c r="E6543" s="5"/>
      <c r="F6543" s="5"/>
      <c r="G6543" s="5"/>
      <c r="H6543" s="5"/>
      <c r="I6543" s="5"/>
      <c r="J6543" s="5"/>
      <c r="K6543" s="5"/>
      <c r="L6543" s="5"/>
      <c r="M6543" s="5"/>
      <c r="N6543" s="5"/>
      <c r="O6543" s="5"/>
      <c r="P6543" s="5"/>
      <c r="Q6543" s="5"/>
      <c r="R6543" s="5"/>
      <c r="S6543" s="5"/>
      <c r="T6543" s="5"/>
      <c r="U6543" s="5"/>
      <c r="V6543" s="5"/>
      <c r="W6543" s="5"/>
      <c r="X6543" s="5"/>
      <c r="Y6543" s="5"/>
      <c r="Z6543" s="5"/>
    </row>
    <row r="6544" spans="1:26" ht="15" x14ac:dyDescent="0.25">
      <c r="A6544" s="4" t="s">
        <v>6542</v>
      </c>
      <c r="B6544" s="4" t="s">
        <v>4550</v>
      </c>
      <c r="C6544" s="2" t="str">
        <f ca="1">IFERROR(__xludf.DUMMYFUNCTION("GOOGLETRANSLATE(A6544,""bn"",""en"")"),"I read poetry")</f>
        <v>I read poetry</v>
      </c>
      <c r="D6544" s="5"/>
      <c r="E6544" s="5"/>
      <c r="F6544" s="5"/>
      <c r="G6544" s="5"/>
      <c r="H6544" s="5"/>
      <c r="I6544" s="5"/>
      <c r="J6544" s="5"/>
      <c r="K6544" s="5"/>
      <c r="L6544" s="5"/>
      <c r="M6544" s="5"/>
      <c r="N6544" s="5"/>
      <c r="O6544" s="5"/>
      <c r="P6544" s="5"/>
      <c r="Q6544" s="5"/>
      <c r="R6544" s="5"/>
      <c r="S6544" s="5"/>
      <c r="T6544" s="5"/>
      <c r="U6544" s="5"/>
      <c r="V6544" s="5"/>
      <c r="W6544" s="5"/>
      <c r="X6544" s="5"/>
      <c r="Y6544" s="5"/>
      <c r="Z6544" s="5"/>
    </row>
    <row r="6545" spans="1:26" ht="15" x14ac:dyDescent="0.25">
      <c r="A6545" s="4" t="s">
        <v>6543</v>
      </c>
      <c r="B6545" s="4" t="s">
        <v>4550</v>
      </c>
      <c r="C6545" s="2" t="str">
        <f ca="1">IFERROR(__xludf.DUMMYFUNCTION("GOOGLETRANSLATE(A6545,""bn"",""en"")"),"Credit card is approved")</f>
        <v>Credit card is approved</v>
      </c>
      <c r="D6545" s="5"/>
      <c r="E6545" s="5"/>
      <c r="F6545" s="5"/>
      <c r="G6545" s="5"/>
      <c r="H6545" s="5"/>
      <c r="I6545" s="5"/>
      <c r="J6545" s="5"/>
      <c r="K6545" s="5"/>
      <c r="L6545" s="5"/>
      <c r="M6545" s="5"/>
      <c r="N6545" s="5"/>
      <c r="O6545" s="5"/>
      <c r="P6545" s="5"/>
      <c r="Q6545" s="5"/>
      <c r="R6545" s="5"/>
      <c r="S6545" s="5"/>
      <c r="T6545" s="5"/>
      <c r="U6545" s="5"/>
      <c r="V6545" s="5"/>
      <c r="W6545" s="5"/>
      <c r="X6545" s="5"/>
      <c r="Y6545" s="5"/>
      <c r="Z6545" s="5"/>
    </row>
    <row r="6546" spans="1:26" ht="15" x14ac:dyDescent="0.25">
      <c r="A6546" s="4" t="s">
        <v>6544</v>
      </c>
      <c r="B6546" s="4" t="s">
        <v>4550</v>
      </c>
      <c r="C6546" s="2" t="str">
        <f ca="1">IFERROR(__xludf.DUMMYFUNCTION("GOOGLETRANSLATE(A6546,""bn"",""en"")"),"Played football in school")</f>
        <v>Played football in school</v>
      </c>
      <c r="D6546" s="5"/>
      <c r="E6546" s="5"/>
      <c r="F6546" s="5"/>
      <c r="G6546" s="5"/>
      <c r="H6546" s="5"/>
      <c r="I6546" s="5"/>
      <c r="J6546" s="5"/>
      <c r="K6546" s="5"/>
      <c r="L6546" s="5"/>
      <c r="M6546" s="5"/>
      <c r="N6546" s="5"/>
      <c r="O6546" s="5"/>
      <c r="P6546" s="5"/>
      <c r="Q6546" s="5"/>
      <c r="R6546" s="5"/>
      <c r="S6546" s="5"/>
      <c r="T6546" s="5"/>
      <c r="U6546" s="5"/>
      <c r="V6546" s="5"/>
      <c r="W6546" s="5"/>
      <c r="X6546" s="5"/>
      <c r="Y6546" s="5"/>
      <c r="Z6546" s="5"/>
    </row>
    <row r="6547" spans="1:26" ht="15" x14ac:dyDescent="0.25">
      <c r="A6547" s="4" t="s">
        <v>6545</v>
      </c>
      <c r="B6547" s="4" t="s">
        <v>4550</v>
      </c>
      <c r="C6547" s="2" t="str">
        <f ca="1">IFERROR(__xludf.DUMMYFUNCTION("GOOGLETRANSLATE(A6547,""bn"",""en"")"),"I took medical training")</f>
        <v>I took medical training</v>
      </c>
      <c r="D6547" s="5"/>
      <c r="E6547" s="5"/>
      <c r="F6547" s="5"/>
      <c r="G6547" s="5"/>
      <c r="H6547" s="5"/>
      <c r="I6547" s="5"/>
      <c r="J6547" s="5"/>
      <c r="K6547" s="5"/>
      <c r="L6547" s="5"/>
      <c r="M6547" s="5"/>
      <c r="N6547" s="5"/>
      <c r="O6547" s="5"/>
      <c r="P6547" s="5"/>
      <c r="Q6547" s="5"/>
      <c r="R6547" s="5"/>
      <c r="S6547" s="5"/>
      <c r="T6547" s="5"/>
      <c r="U6547" s="5"/>
      <c r="V6547" s="5"/>
      <c r="W6547" s="5"/>
      <c r="X6547" s="5"/>
      <c r="Y6547" s="5"/>
      <c r="Z6547" s="5"/>
    </row>
    <row r="6548" spans="1:26" ht="15" x14ac:dyDescent="0.25">
      <c r="A6548" s="4" t="s">
        <v>6546</v>
      </c>
      <c r="B6548" s="4" t="s">
        <v>4550</v>
      </c>
      <c r="C6548" s="2" t="str">
        <f ca="1">IFERROR(__xludf.DUMMYFUNCTION("GOOGLETRANSLATE(A6548,""bn"",""en"")"),"We studied science")</f>
        <v>We studied science</v>
      </c>
      <c r="D6548" s="5"/>
      <c r="E6548" s="5"/>
      <c r="F6548" s="5"/>
      <c r="G6548" s="5"/>
      <c r="H6548" s="5"/>
      <c r="I6548" s="5"/>
      <c r="J6548" s="5"/>
      <c r="K6548" s="5"/>
      <c r="L6548" s="5"/>
      <c r="M6548" s="5"/>
      <c r="N6548" s="5"/>
      <c r="O6548" s="5"/>
      <c r="P6548" s="5"/>
      <c r="Q6548" s="5"/>
      <c r="R6548" s="5"/>
      <c r="S6548" s="5"/>
      <c r="T6548" s="5"/>
      <c r="U6548" s="5"/>
      <c r="V6548" s="5"/>
      <c r="W6548" s="5"/>
      <c r="X6548" s="5"/>
      <c r="Y6548" s="5"/>
      <c r="Z6548" s="5"/>
    </row>
    <row r="6549" spans="1:26" ht="15" x14ac:dyDescent="0.25">
      <c r="A6549" s="4" t="s">
        <v>6547</v>
      </c>
      <c r="B6549" s="4" t="s">
        <v>4550</v>
      </c>
      <c r="C6549" s="2" t="str">
        <f ca="1">IFERROR(__xludf.DUMMYFUNCTION("GOOGLETRANSLATE(A6549,""bn"",""en"")"),"I used memory card")</f>
        <v>I used memory card</v>
      </c>
      <c r="D6549" s="5"/>
      <c r="E6549" s="5"/>
      <c r="F6549" s="5"/>
      <c r="G6549" s="5"/>
      <c r="H6549" s="5"/>
      <c r="I6549" s="5"/>
      <c r="J6549" s="5"/>
      <c r="K6549" s="5"/>
      <c r="L6549" s="5"/>
      <c r="M6549" s="5"/>
      <c r="N6549" s="5"/>
      <c r="O6549" s="5"/>
      <c r="P6549" s="5"/>
      <c r="Q6549" s="5"/>
      <c r="R6549" s="5"/>
      <c r="S6549" s="5"/>
      <c r="T6549" s="5"/>
      <c r="U6549" s="5"/>
      <c r="V6549" s="5"/>
      <c r="W6549" s="5"/>
      <c r="X6549" s="5"/>
      <c r="Y6549" s="5"/>
      <c r="Z6549" s="5"/>
    </row>
    <row r="6550" spans="1:26" ht="15" x14ac:dyDescent="0.25">
      <c r="A6550" s="4" t="s">
        <v>6548</v>
      </c>
      <c r="B6550" s="4" t="s">
        <v>4550</v>
      </c>
      <c r="C6550" s="2" t="str">
        <f ca="1">IFERROR(__xludf.DUMMYFUNCTION("GOOGLETRANSLATE(A6550,""bn"",""en"")"),"I was using the touchpad")</f>
        <v>I was using the touchpad</v>
      </c>
      <c r="D6550" s="5"/>
      <c r="E6550" s="5"/>
      <c r="F6550" s="5"/>
      <c r="G6550" s="5"/>
      <c r="H6550" s="5"/>
      <c r="I6550" s="5"/>
      <c r="J6550" s="5"/>
      <c r="K6550" s="5"/>
      <c r="L6550" s="5"/>
      <c r="M6550" s="5"/>
      <c r="N6550" s="5"/>
      <c r="O6550" s="5"/>
      <c r="P6550" s="5"/>
      <c r="Q6550" s="5"/>
      <c r="R6550" s="5"/>
      <c r="S6550" s="5"/>
      <c r="T6550" s="5"/>
      <c r="U6550" s="5"/>
      <c r="V6550" s="5"/>
      <c r="W6550" s="5"/>
      <c r="X6550" s="5"/>
      <c r="Y6550" s="5"/>
      <c r="Z6550" s="5"/>
    </row>
    <row r="6551" spans="1:26" ht="15" x14ac:dyDescent="0.25">
      <c r="A6551" s="4" t="s">
        <v>6549</v>
      </c>
      <c r="B6551" s="4" t="s">
        <v>4550</v>
      </c>
      <c r="C6551" s="2" t="str">
        <f ca="1">IFERROR(__xludf.DUMMYFUNCTION("GOOGLETRANSLATE(A6551,""bn"",""en"")"),"The campus was beautified")</f>
        <v>The campus was beautified</v>
      </c>
      <c r="D6551" s="5"/>
      <c r="E6551" s="5"/>
      <c r="F6551" s="5"/>
      <c r="G6551" s="5"/>
      <c r="H6551" s="5"/>
      <c r="I6551" s="5"/>
      <c r="J6551" s="5"/>
      <c r="K6551" s="5"/>
      <c r="L6551" s="5"/>
      <c r="M6551" s="5"/>
      <c r="N6551" s="5"/>
      <c r="O6551" s="5"/>
      <c r="P6551" s="5"/>
      <c r="Q6551" s="5"/>
      <c r="R6551" s="5"/>
      <c r="S6551" s="5"/>
      <c r="T6551" s="5"/>
      <c r="U6551" s="5"/>
      <c r="V6551" s="5"/>
      <c r="W6551" s="5"/>
      <c r="X6551" s="5"/>
      <c r="Y6551" s="5"/>
      <c r="Z6551" s="5"/>
    </row>
    <row r="6552" spans="1:26" ht="15" x14ac:dyDescent="0.25">
      <c r="A6552" s="4" t="s">
        <v>6550</v>
      </c>
      <c r="B6552" s="4" t="s">
        <v>4550</v>
      </c>
      <c r="C6552" s="2" t="str">
        <f ca="1">IFERROR(__xludf.DUMMYFUNCTION("GOOGLETRANSLATE(A6552,""bn"",""en"")"),"I applied for a loan")</f>
        <v>I applied for a loan</v>
      </c>
      <c r="D6552" s="5"/>
      <c r="E6552" s="5"/>
      <c r="F6552" s="5"/>
      <c r="G6552" s="5"/>
      <c r="H6552" s="5"/>
      <c r="I6552" s="5"/>
      <c r="J6552" s="5"/>
      <c r="K6552" s="5"/>
      <c r="L6552" s="5"/>
      <c r="M6552" s="5"/>
      <c r="N6552" s="5"/>
      <c r="O6552" s="5"/>
      <c r="P6552" s="5"/>
      <c r="Q6552" s="5"/>
      <c r="R6552" s="5"/>
      <c r="S6552" s="5"/>
      <c r="T6552" s="5"/>
      <c r="U6552" s="5"/>
      <c r="V6552" s="5"/>
      <c r="W6552" s="5"/>
      <c r="X6552" s="5"/>
      <c r="Y6552" s="5"/>
      <c r="Z6552" s="5"/>
    </row>
    <row r="6553" spans="1:26" ht="15" x14ac:dyDescent="0.25">
      <c r="A6553" s="4" t="s">
        <v>6551</v>
      </c>
      <c r="B6553" s="4" t="s">
        <v>4550</v>
      </c>
      <c r="C6553" s="2" t="str">
        <f ca="1">IFERROR(__xludf.DUMMYFUNCTION("GOOGLETRANSLATE(A6553,""bn"",""en"")"),"I read history")</f>
        <v>I read history</v>
      </c>
      <c r="D6553" s="5"/>
      <c r="E6553" s="5"/>
      <c r="F6553" s="5"/>
      <c r="G6553" s="5"/>
      <c r="H6553" s="5"/>
      <c r="I6553" s="5"/>
      <c r="J6553" s="5"/>
      <c r="K6553" s="5"/>
      <c r="L6553" s="5"/>
      <c r="M6553" s="5"/>
      <c r="N6553" s="5"/>
      <c r="O6553" s="5"/>
      <c r="P6553" s="5"/>
      <c r="Q6553" s="5"/>
      <c r="R6553" s="5"/>
      <c r="S6553" s="5"/>
      <c r="T6553" s="5"/>
      <c r="U6553" s="5"/>
      <c r="V6553" s="5"/>
      <c r="W6553" s="5"/>
      <c r="X6553" s="5"/>
      <c r="Y6553" s="5"/>
      <c r="Z6553" s="5"/>
    </row>
    <row r="6554" spans="1:26" ht="15" x14ac:dyDescent="0.25">
      <c r="A6554" s="4" t="s">
        <v>6552</v>
      </c>
      <c r="B6554" s="4" t="s">
        <v>4550</v>
      </c>
      <c r="C6554" s="2" t="str">
        <f ca="1">IFERROR(__xludf.DUMMYFUNCTION("GOOGLETRANSLATE(A6554,""bn"",""en"")"),"I browsed Google")</f>
        <v>I browsed Google</v>
      </c>
      <c r="D6554" s="5"/>
      <c r="E6554" s="5"/>
      <c r="F6554" s="5"/>
      <c r="G6554" s="5"/>
      <c r="H6554" s="5"/>
      <c r="I6554" s="5"/>
      <c r="J6554" s="5"/>
      <c r="K6554" s="5"/>
      <c r="L6554" s="5"/>
      <c r="M6554" s="5"/>
      <c r="N6554" s="5"/>
      <c r="O6554" s="5"/>
      <c r="P6554" s="5"/>
      <c r="Q6554" s="5"/>
      <c r="R6554" s="5"/>
      <c r="S6554" s="5"/>
      <c r="T6554" s="5"/>
      <c r="U6554" s="5"/>
      <c r="V6554" s="5"/>
      <c r="W6554" s="5"/>
      <c r="X6554" s="5"/>
      <c r="Y6554" s="5"/>
      <c r="Z6554" s="5"/>
    </row>
    <row r="6555" spans="1:26" ht="15" x14ac:dyDescent="0.25">
      <c r="A6555" s="4" t="s">
        <v>6553</v>
      </c>
      <c r="B6555" s="4" t="s">
        <v>4550</v>
      </c>
      <c r="C6555" s="2" t="str">
        <f ca="1">IFERROR(__xludf.DUMMYFUNCTION("GOOGLETRANSLATE(A6555,""bn"",""en"")"),"I thought")</f>
        <v>I thought</v>
      </c>
      <c r="D6555" s="5"/>
      <c r="E6555" s="5"/>
      <c r="F6555" s="5"/>
      <c r="G6555" s="5"/>
      <c r="H6555" s="5"/>
      <c r="I6555" s="5"/>
      <c r="J6555" s="5"/>
      <c r="K6555" s="5"/>
      <c r="L6555" s="5"/>
      <c r="M6555" s="5"/>
      <c r="N6555" s="5"/>
      <c r="O6555" s="5"/>
      <c r="P6555" s="5"/>
      <c r="Q6555" s="5"/>
      <c r="R6555" s="5"/>
      <c r="S6555" s="5"/>
      <c r="T6555" s="5"/>
      <c r="U6555" s="5"/>
      <c r="V6555" s="5"/>
      <c r="W6555" s="5"/>
      <c r="X6555" s="5"/>
      <c r="Y6555" s="5"/>
      <c r="Z6555" s="5"/>
    </row>
    <row r="6556" spans="1:26" ht="15" x14ac:dyDescent="0.25">
      <c r="A6556" s="4" t="s">
        <v>6554</v>
      </c>
      <c r="B6556" s="4" t="s">
        <v>4550</v>
      </c>
      <c r="C6556" s="2" t="str">
        <f ca="1">IFERROR(__xludf.DUMMYFUNCTION("GOOGLETRANSLATE(A6556,""bn"",""en"")"),"I played sports in college")</f>
        <v>I played sports in college</v>
      </c>
      <c r="D6556" s="5"/>
      <c r="E6556" s="5"/>
      <c r="F6556" s="5"/>
      <c r="G6556" s="5"/>
      <c r="H6556" s="5"/>
      <c r="I6556" s="5"/>
      <c r="J6556" s="5"/>
      <c r="K6556" s="5"/>
      <c r="L6556" s="5"/>
      <c r="M6556" s="5"/>
      <c r="N6556" s="5"/>
      <c r="O6556" s="5"/>
      <c r="P6556" s="5"/>
      <c r="Q6556" s="5"/>
      <c r="R6556" s="5"/>
      <c r="S6556" s="5"/>
      <c r="T6556" s="5"/>
      <c r="U6556" s="5"/>
      <c r="V6556" s="5"/>
      <c r="W6556" s="5"/>
      <c r="X6556" s="5"/>
      <c r="Y6556" s="5"/>
      <c r="Z6556" s="5"/>
    </row>
    <row r="6557" spans="1:26" ht="15" x14ac:dyDescent="0.25">
      <c r="A6557" s="4" t="s">
        <v>6555</v>
      </c>
      <c r="B6557" s="4" t="s">
        <v>4550</v>
      </c>
      <c r="C6557" s="2" t="str">
        <f ca="1">IFERROR(__xludf.DUMMYFUNCTION("GOOGLETRANSLATE(A6557,""bn"",""en"")"),"I was using laptop")</f>
        <v>I was using laptop</v>
      </c>
      <c r="D6557" s="5"/>
      <c r="E6557" s="5"/>
      <c r="F6557" s="5"/>
      <c r="G6557" s="5"/>
      <c r="H6557" s="5"/>
      <c r="I6557" s="5"/>
      <c r="J6557" s="5"/>
      <c r="K6557" s="5"/>
      <c r="L6557" s="5"/>
      <c r="M6557" s="5"/>
      <c r="N6557" s="5"/>
      <c r="O6557" s="5"/>
      <c r="P6557" s="5"/>
      <c r="Q6557" s="5"/>
      <c r="R6557" s="5"/>
      <c r="S6557" s="5"/>
      <c r="T6557" s="5"/>
      <c r="U6557" s="5"/>
      <c r="V6557" s="5"/>
      <c r="W6557" s="5"/>
      <c r="X6557" s="5"/>
      <c r="Y6557" s="5"/>
      <c r="Z6557" s="5"/>
    </row>
    <row r="6558" spans="1:26" ht="15" x14ac:dyDescent="0.25">
      <c r="A6558" s="4" t="s">
        <v>6556</v>
      </c>
      <c r="B6558" s="4" t="s">
        <v>4550</v>
      </c>
      <c r="C6558" s="2" t="str">
        <f ca="1">IFERROR(__xludf.DUMMYFUNCTION("GOOGLETRANSLATE(A6558,""bn"",""en"")"),"I was going out of the country")</f>
        <v>I was going out of the country</v>
      </c>
      <c r="D6558" s="5"/>
      <c r="E6558" s="5"/>
      <c r="F6558" s="5"/>
      <c r="G6558" s="5"/>
      <c r="H6558" s="5"/>
      <c r="I6558" s="5"/>
      <c r="J6558" s="5"/>
      <c r="K6558" s="5"/>
      <c r="L6558" s="5"/>
      <c r="M6558" s="5"/>
      <c r="N6558" s="5"/>
      <c r="O6558" s="5"/>
      <c r="P6558" s="5"/>
      <c r="Q6558" s="5"/>
      <c r="R6558" s="5"/>
      <c r="S6558" s="5"/>
      <c r="T6558" s="5"/>
      <c r="U6558" s="5"/>
      <c r="V6558" s="5"/>
      <c r="W6558" s="5"/>
      <c r="X6558" s="5"/>
      <c r="Y6558" s="5"/>
      <c r="Z6558" s="5"/>
    </row>
    <row r="6559" spans="1:26" ht="15" x14ac:dyDescent="0.25">
      <c r="A6559" s="4" t="s">
        <v>6557</v>
      </c>
      <c r="B6559" s="4" t="s">
        <v>4550</v>
      </c>
      <c r="C6559" s="2" t="str">
        <f ca="1">IFERROR(__xludf.DUMMYFUNCTION("GOOGLETRANSLATE(A6559,""bn"",""en"")"),"Russia was advanced")</f>
        <v>Russia was advanced</v>
      </c>
      <c r="D6559" s="5"/>
      <c r="E6559" s="5"/>
      <c r="F6559" s="5"/>
      <c r="G6559" s="5"/>
      <c r="H6559" s="5"/>
      <c r="I6559" s="5"/>
      <c r="J6559" s="5"/>
      <c r="K6559" s="5"/>
      <c r="L6559" s="5"/>
      <c r="M6559" s="5"/>
      <c r="N6559" s="5"/>
      <c r="O6559" s="5"/>
      <c r="P6559" s="5"/>
      <c r="Q6559" s="5"/>
      <c r="R6559" s="5"/>
      <c r="S6559" s="5"/>
      <c r="T6559" s="5"/>
      <c r="U6559" s="5"/>
      <c r="V6559" s="5"/>
      <c r="W6559" s="5"/>
      <c r="X6559" s="5"/>
      <c r="Y6559" s="5"/>
      <c r="Z6559" s="5"/>
    </row>
    <row r="6560" spans="1:26" ht="15" x14ac:dyDescent="0.25">
      <c r="A6560" s="4" t="s">
        <v>6558</v>
      </c>
      <c r="B6560" s="4" t="s">
        <v>4550</v>
      </c>
      <c r="C6560" s="2" t="str">
        <f ca="1">IFERROR(__xludf.DUMMYFUNCTION("GOOGLETRANSLATE(A6560,""bn"",""en"")"),"We studied science")</f>
        <v>We studied science</v>
      </c>
      <c r="D6560" s="5"/>
      <c r="E6560" s="5"/>
      <c r="F6560" s="5"/>
      <c r="G6560" s="5"/>
      <c r="H6560" s="5"/>
      <c r="I6560" s="5"/>
      <c r="J6560" s="5"/>
      <c r="K6560" s="5"/>
      <c r="L6560" s="5"/>
      <c r="M6560" s="5"/>
      <c r="N6560" s="5"/>
      <c r="O6560" s="5"/>
      <c r="P6560" s="5"/>
      <c r="Q6560" s="5"/>
      <c r="R6560" s="5"/>
      <c r="S6560" s="5"/>
      <c r="T6560" s="5"/>
      <c r="U6560" s="5"/>
      <c r="V6560" s="5"/>
      <c r="W6560" s="5"/>
      <c r="X6560" s="5"/>
      <c r="Y6560" s="5"/>
      <c r="Z6560" s="5"/>
    </row>
    <row r="6561" spans="1:26" ht="15" x14ac:dyDescent="0.25">
      <c r="A6561" s="4" t="s">
        <v>6559</v>
      </c>
      <c r="B6561" s="4" t="s">
        <v>4550</v>
      </c>
      <c r="C6561" s="2" t="str">
        <f ca="1">IFERROR(__xludf.DUMMYFUNCTION("GOOGLETRANSLATE(A6561,""bn"",""en"")"),"Lined up and turned around")</f>
        <v>Lined up and turned around</v>
      </c>
      <c r="D6561" s="5"/>
      <c r="E6561" s="5"/>
      <c r="F6561" s="5"/>
      <c r="G6561" s="5"/>
      <c r="H6561" s="5"/>
      <c r="I6561" s="5"/>
      <c r="J6561" s="5"/>
      <c r="K6561" s="5"/>
      <c r="L6561" s="5"/>
      <c r="M6561" s="5"/>
      <c r="N6561" s="5"/>
      <c r="O6561" s="5"/>
      <c r="P6561" s="5"/>
      <c r="Q6561" s="5"/>
      <c r="R6561" s="5"/>
      <c r="S6561" s="5"/>
      <c r="T6561" s="5"/>
      <c r="U6561" s="5"/>
      <c r="V6561" s="5"/>
      <c r="W6561" s="5"/>
      <c r="X6561" s="5"/>
      <c r="Y6561" s="5"/>
      <c r="Z6561" s="5"/>
    </row>
    <row r="6562" spans="1:26" ht="15" x14ac:dyDescent="0.25">
      <c r="A6562" s="4" t="s">
        <v>6560</v>
      </c>
      <c r="B6562" s="4" t="s">
        <v>4550</v>
      </c>
      <c r="C6562" s="2" t="str">
        <f ca="1">IFERROR(__xludf.DUMMYFUNCTION("GOOGLETRANSLATE(A6562,""bn"",""en"")"),"I took the service of e-library")</f>
        <v>I took the service of e-library</v>
      </c>
      <c r="D6562" s="5"/>
      <c r="E6562" s="5"/>
      <c r="F6562" s="5"/>
      <c r="G6562" s="5"/>
      <c r="H6562" s="5"/>
      <c r="I6562" s="5"/>
      <c r="J6562" s="5"/>
      <c r="K6562" s="5"/>
      <c r="L6562" s="5"/>
      <c r="M6562" s="5"/>
      <c r="N6562" s="5"/>
      <c r="O6562" s="5"/>
      <c r="P6562" s="5"/>
      <c r="Q6562" s="5"/>
      <c r="R6562" s="5"/>
      <c r="S6562" s="5"/>
      <c r="T6562" s="5"/>
      <c r="U6562" s="5"/>
      <c r="V6562" s="5"/>
      <c r="W6562" s="5"/>
      <c r="X6562" s="5"/>
      <c r="Y6562" s="5"/>
      <c r="Z6562" s="5"/>
    </row>
    <row r="6563" spans="1:26" ht="15" x14ac:dyDescent="0.25">
      <c r="A6563" s="4" t="s">
        <v>6561</v>
      </c>
      <c r="B6563" s="4" t="s">
        <v>4550</v>
      </c>
      <c r="C6563" s="2" t="str">
        <f ca="1">IFERROR(__xludf.DUMMYFUNCTION("GOOGLETRANSLATE(A6563,""bn"",""en"")"),"you do the math")</f>
        <v>you do the math</v>
      </c>
      <c r="D6563" s="5"/>
      <c r="E6563" s="5"/>
      <c r="F6563" s="5"/>
      <c r="G6563" s="5"/>
      <c r="H6563" s="5"/>
      <c r="I6563" s="5"/>
      <c r="J6563" s="5"/>
      <c r="K6563" s="5"/>
      <c r="L6563" s="5"/>
      <c r="M6563" s="5"/>
      <c r="N6563" s="5"/>
      <c r="O6563" s="5"/>
      <c r="P6563" s="5"/>
      <c r="Q6563" s="5"/>
      <c r="R6563" s="5"/>
      <c r="S6563" s="5"/>
      <c r="T6563" s="5"/>
      <c r="U6563" s="5"/>
      <c r="V6563" s="5"/>
      <c r="W6563" s="5"/>
      <c r="X6563" s="5"/>
      <c r="Y6563" s="5"/>
      <c r="Z6563" s="5"/>
    </row>
    <row r="6564" spans="1:26" ht="15" x14ac:dyDescent="0.25">
      <c r="A6564" s="4" t="s">
        <v>6562</v>
      </c>
      <c r="B6564" s="4" t="s">
        <v>4550</v>
      </c>
      <c r="C6564" s="2" t="str">
        <f ca="1">IFERROR(__xludf.DUMMYFUNCTION("GOOGLETRANSLATE(A6564,""bn"",""en"")"),"Politics was debated")</f>
        <v>Politics was debated</v>
      </c>
      <c r="D6564" s="5"/>
      <c r="E6564" s="5"/>
      <c r="F6564" s="5"/>
      <c r="G6564" s="5"/>
      <c r="H6564" s="5"/>
      <c r="I6564" s="5"/>
      <c r="J6564" s="5"/>
      <c r="K6564" s="5"/>
      <c r="L6564" s="5"/>
      <c r="M6564" s="5"/>
      <c r="N6564" s="5"/>
      <c r="O6564" s="5"/>
      <c r="P6564" s="5"/>
      <c r="Q6564" s="5"/>
      <c r="R6564" s="5"/>
      <c r="S6564" s="5"/>
      <c r="T6564" s="5"/>
      <c r="U6564" s="5"/>
      <c r="V6564" s="5"/>
      <c r="W6564" s="5"/>
      <c r="X6564" s="5"/>
      <c r="Y6564" s="5"/>
      <c r="Z6564" s="5"/>
    </row>
    <row r="6565" spans="1:26" ht="15" x14ac:dyDescent="0.25">
      <c r="A6565" s="4" t="s">
        <v>6563</v>
      </c>
      <c r="B6565" s="4" t="s">
        <v>4550</v>
      </c>
      <c r="C6565" s="2" t="str">
        <f ca="1">IFERROR(__xludf.DUMMYFUNCTION("GOOGLETRANSLATE(A6565,""bn"",""en"")"),"Added benefits")</f>
        <v>Added benefits</v>
      </c>
      <c r="D6565" s="5"/>
      <c r="E6565" s="5"/>
      <c r="F6565" s="5"/>
      <c r="G6565" s="5"/>
      <c r="H6565" s="5"/>
      <c r="I6565" s="5"/>
      <c r="J6565" s="5"/>
      <c r="K6565" s="5"/>
      <c r="L6565" s="5"/>
      <c r="M6565" s="5"/>
      <c r="N6565" s="5"/>
      <c r="O6565" s="5"/>
      <c r="P6565" s="5"/>
      <c r="Q6565" s="5"/>
      <c r="R6565" s="5"/>
      <c r="S6565" s="5"/>
      <c r="T6565" s="5"/>
      <c r="U6565" s="5"/>
      <c r="V6565" s="5"/>
      <c r="W6565" s="5"/>
      <c r="X6565" s="5"/>
      <c r="Y6565" s="5"/>
      <c r="Z6565" s="5"/>
    </row>
    <row r="6566" spans="1:26" ht="15" x14ac:dyDescent="0.25">
      <c r="A6566" s="4" t="s">
        <v>6564</v>
      </c>
      <c r="B6566" s="4" t="s">
        <v>4550</v>
      </c>
      <c r="C6566" s="2" t="str">
        <f ca="1">IFERROR(__xludf.DUMMYFUNCTION("GOOGLETRANSLATE(A6566,""bn"",""en"")"),"I introduced the initiative")</f>
        <v>I introduced the initiative</v>
      </c>
      <c r="D6566" s="5"/>
      <c r="E6566" s="5"/>
      <c r="F6566" s="5"/>
      <c r="G6566" s="5"/>
      <c r="H6566" s="5"/>
      <c r="I6566" s="5"/>
      <c r="J6566" s="5"/>
      <c r="K6566" s="5"/>
      <c r="L6566" s="5"/>
      <c r="M6566" s="5"/>
      <c r="N6566" s="5"/>
      <c r="O6566" s="5"/>
      <c r="P6566" s="5"/>
      <c r="Q6566" s="5"/>
      <c r="R6566" s="5"/>
      <c r="S6566" s="5"/>
      <c r="T6566" s="5"/>
      <c r="U6566" s="5"/>
      <c r="V6566" s="5"/>
      <c r="W6566" s="5"/>
      <c r="X6566" s="5"/>
      <c r="Y6566" s="5"/>
      <c r="Z6566" s="5"/>
    </row>
    <row r="6567" spans="1:26" ht="15" x14ac:dyDescent="0.25">
      <c r="A6567" s="4" t="s">
        <v>6565</v>
      </c>
      <c r="B6567" s="4" t="s">
        <v>4550</v>
      </c>
      <c r="C6567" s="2" t="str">
        <f ca="1">IFERROR(__xludf.DUMMYFUNCTION("GOOGLETRANSLATE(A6567,""bn"",""en"")"),"Managed the business")</f>
        <v>Managed the business</v>
      </c>
      <c r="D6567" s="5"/>
      <c r="E6567" s="5"/>
      <c r="F6567" s="5"/>
      <c r="G6567" s="5"/>
      <c r="H6567" s="5"/>
      <c r="I6567" s="5"/>
      <c r="J6567" s="5"/>
      <c r="K6567" s="5"/>
      <c r="L6567" s="5"/>
      <c r="M6567" s="5"/>
      <c r="N6567" s="5"/>
      <c r="O6567" s="5"/>
      <c r="P6567" s="5"/>
      <c r="Q6567" s="5"/>
      <c r="R6567" s="5"/>
      <c r="S6567" s="5"/>
      <c r="T6567" s="5"/>
      <c r="U6567" s="5"/>
      <c r="V6567" s="5"/>
      <c r="W6567" s="5"/>
      <c r="X6567" s="5"/>
      <c r="Y6567" s="5"/>
      <c r="Z6567" s="5"/>
    </row>
    <row r="6568" spans="1:26" ht="15" x14ac:dyDescent="0.25">
      <c r="A6568" s="4" t="s">
        <v>6566</v>
      </c>
      <c r="B6568" s="4" t="s">
        <v>4550</v>
      </c>
      <c r="C6568" s="2" t="str">
        <f ca="1">IFERROR(__xludf.DUMMYFUNCTION("GOOGLETRANSLATE(A6568,""bn"",""en"")"),"I upgraded the hardware")</f>
        <v>I upgraded the hardware</v>
      </c>
      <c r="D6568" s="5"/>
      <c r="E6568" s="5"/>
      <c r="F6568" s="5"/>
      <c r="G6568" s="5"/>
      <c r="H6568" s="5"/>
      <c r="I6568" s="5"/>
      <c r="J6568" s="5"/>
      <c r="K6568" s="5"/>
      <c r="L6568" s="5"/>
      <c r="M6568" s="5"/>
      <c r="N6568" s="5"/>
      <c r="O6568" s="5"/>
      <c r="P6568" s="5"/>
      <c r="Q6568" s="5"/>
      <c r="R6568" s="5"/>
      <c r="S6568" s="5"/>
      <c r="T6568" s="5"/>
      <c r="U6568" s="5"/>
      <c r="V6568" s="5"/>
      <c r="W6568" s="5"/>
      <c r="X6568" s="5"/>
      <c r="Y6568" s="5"/>
      <c r="Z6568" s="5"/>
    </row>
    <row r="6569" spans="1:26" ht="15" x14ac:dyDescent="0.25">
      <c r="A6569" s="4" t="s">
        <v>6567</v>
      </c>
      <c r="B6569" s="4" t="s">
        <v>4550</v>
      </c>
      <c r="C6569" s="2" t="str">
        <f ca="1">IFERROR(__xludf.DUMMYFUNCTION("GOOGLETRANSLATE(A6569,""bn"",""en"")"),"I learned networking")</f>
        <v>I learned networking</v>
      </c>
      <c r="D6569" s="5"/>
      <c r="E6569" s="5"/>
      <c r="F6569" s="5"/>
      <c r="G6569" s="5"/>
      <c r="H6569" s="5"/>
      <c r="I6569" s="5"/>
      <c r="J6569" s="5"/>
      <c r="K6569" s="5"/>
      <c r="L6569" s="5"/>
      <c r="M6569" s="5"/>
      <c r="N6569" s="5"/>
      <c r="O6569" s="5"/>
      <c r="P6569" s="5"/>
      <c r="Q6569" s="5"/>
      <c r="R6569" s="5"/>
      <c r="S6569" s="5"/>
      <c r="T6569" s="5"/>
      <c r="U6569" s="5"/>
      <c r="V6569" s="5"/>
      <c r="W6569" s="5"/>
      <c r="X6569" s="5"/>
      <c r="Y6569" s="5"/>
      <c r="Z6569" s="5"/>
    </row>
    <row r="6570" spans="1:26" ht="15" x14ac:dyDescent="0.25">
      <c r="A6570" s="4" t="s">
        <v>6568</v>
      </c>
      <c r="B6570" s="4" t="s">
        <v>4550</v>
      </c>
      <c r="C6570" s="2" t="str">
        <f ca="1">IFERROR(__xludf.DUMMYFUNCTION("GOOGLETRANSLATE(A6570,""bn"",""en"")"),"A fair was held at Shishu Park")</f>
        <v>A fair was held at Shishu Park</v>
      </c>
      <c r="D6570" s="5"/>
      <c r="E6570" s="5"/>
      <c r="F6570" s="5"/>
      <c r="G6570" s="5"/>
      <c r="H6570" s="5"/>
      <c r="I6570" s="5"/>
      <c r="J6570" s="5"/>
      <c r="K6570" s="5"/>
      <c r="L6570" s="5"/>
      <c r="M6570" s="5"/>
      <c r="N6570" s="5"/>
      <c r="O6570" s="5"/>
      <c r="P6570" s="5"/>
      <c r="Q6570" s="5"/>
      <c r="R6570" s="5"/>
      <c r="S6570" s="5"/>
      <c r="T6570" s="5"/>
      <c r="U6570" s="5"/>
      <c r="V6570" s="5"/>
      <c r="W6570" s="5"/>
      <c r="X6570" s="5"/>
      <c r="Y6570" s="5"/>
      <c r="Z6570" s="5"/>
    </row>
    <row r="6571" spans="1:26" ht="15" x14ac:dyDescent="0.25">
      <c r="A6571" s="4" t="s">
        <v>6569</v>
      </c>
      <c r="B6571" s="4" t="s">
        <v>4550</v>
      </c>
      <c r="C6571" s="2" t="str">
        <f ca="1">IFERROR(__xludf.DUMMYFUNCTION("GOOGLETRANSLATE(A6571,""bn"",""en"")"),"I was withdrawing money")</f>
        <v>I was withdrawing money</v>
      </c>
      <c r="D6571" s="5"/>
      <c r="E6571" s="5"/>
      <c r="F6571" s="5"/>
      <c r="G6571" s="5"/>
      <c r="H6571" s="5"/>
      <c r="I6571" s="5"/>
      <c r="J6571" s="5"/>
      <c r="K6571" s="5"/>
      <c r="L6571" s="5"/>
      <c r="M6571" s="5"/>
      <c r="N6571" s="5"/>
      <c r="O6571" s="5"/>
      <c r="P6571" s="5"/>
      <c r="Q6571" s="5"/>
      <c r="R6571" s="5"/>
      <c r="S6571" s="5"/>
      <c r="T6571" s="5"/>
      <c r="U6571" s="5"/>
      <c r="V6571" s="5"/>
      <c r="W6571" s="5"/>
      <c r="X6571" s="5"/>
      <c r="Y6571" s="5"/>
      <c r="Z6571" s="5"/>
    </row>
    <row r="6572" spans="1:26" ht="15" x14ac:dyDescent="0.25">
      <c r="A6572" s="4" t="s">
        <v>6570</v>
      </c>
      <c r="B6572" s="4" t="s">
        <v>4550</v>
      </c>
      <c r="C6572" s="2" t="str">
        <f ca="1">IFERROR(__xludf.DUMMYFUNCTION("GOOGLETRANSLATE(A6572,""bn"",""en"")"),"I thought about the afterlife")</f>
        <v>I thought about the afterlife</v>
      </c>
      <c r="D6572" s="5"/>
      <c r="E6572" s="5"/>
      <c r="F6572" s="5"/>
      <c r="G6572" s="5"/>
      <c r="H6572" s="5"/>
      <c r="I6572" s="5"/>
      <c r="J6572" s="5"/>
      <c r="K6572" s="5"/>
      <c r="L6572" s="5"/>
      <c r="M6572" s="5"/>
      <c r="N6572" s="5"/>
      <c r="O6572" s="5"/>
      <c r="P6572" s="5"/>
      <c r="Q6572" s="5"/>
      <c r="R6572" s="5"/>
      <c r="S6572" s="5"/>
      <c r="T6572" s="5"/>
      <c r="U6572" s="5"/>
      <c r="V6572" s="5"/>
      <c r="W6572" s="5"/>
      <c r="X6572" s="5"/>
      <c r="Y6572" s="5"/>
      <c r="Z6572" s="5"/>
    </row>
    <row r="6573" spans="1:26" ht="15" x14ac:dyDescent="0.25">
      <c r="A6573" s="4" t="s">
        <v>6571</v>
      </c>
      <c r="B6573" s="4" t="s">
        <v>4550</v>
      </c>
      <c r="C6573" s="2" t="str">
        <f ca="1">IFERROR(__xludf.DUMMYFUNCTION("GOOGLETRANSLATE(A6573,""bn"",""en"")"),"I used the touchpad")</f>
        <v>I used the touchpad</v>
      </c>
      <c r="D6573" s="5"/>
      <c r="E6573" s="5"/>
      <c r="F6573" s="5"/>
      <c r="G6573" s="5"/>
      <c r="H6573" s="5"/>
      <c r="I6573" s="5"/>
      <c r="J6573" s="5"/>
      <c r="K6573" s="5"/>
      <c r="L6573" s="5"/>
      <c r="M6573" s="5"/>
      <c r="N6573" s="5"/>
      <c r="O6573" s="5"/>
      <c r="P6573" s="5"/>
      <c r="Q6573" s="5"/>
      <c r="R6573" s="5"/>
      <c r="S6573" s="5"/>
      <c r="T6573" s="5"/>
      <c r="U6573" s="5"/>
      <c r="V6573" s="5"/>
      <c r="W6573" s="5"/>
      <c r="X6573" s="5"/>
      <c r="Y6573" s="5"/>
      <c r="Z6573" s="5"/>
    </row>
    <row r="6574" spans="1:26" ht="15" x14ac:dyDescent="0.25">
      <c r="A6574" s="4" t="s">
        <v>6572</v>
      </c>
      <c r="B6574" s="4" t="s">
        <v>4550</v>
      </c>
      <c r="C6574" s="2" t="str">
        <f ca="1">IFERROR(__xludf.DUMMYFUNCTION("GOOGLETRANSLATE(A6574,""bn"",""en"")"),"I used chatgpt")</f>
        <v>I used chatgpt</v>
      </c>
      <c r="D6574" s="5"/>
      <c r="E6574" s="5"/>
      <c r="F6574" s="5"/>
      <c r="G6574" s="5"/>
      <c r="H6574" s="5"/>
      <c r="I6574" s="5"/>
      <c r="J6574" s="5"/>
      <c r="K6574" s="5"/>
      <c r="L6574" s="5"/>
      <c r="M6574" s="5"/>
      <c r="N6574" s="5"/>
      <c r="O6574" s="5"/>
      <c r="P6574" s="5"/>
      <c r="Q6574" s="5"/>
      <c r="R6574" s="5"/>
      <c r="S6574" s="5"/>
      <c r="T6574" s="5"/>
      <c r="U6574" s="5"/>
      <c r="V6574" s="5"/>
      <c r="W6574" s="5"/>
      <c r="X6574" s="5"/>
      <c r="Y6574" s="5"/>
      <c r="Z6574" s="5"/>
    </row>
    <row r="6575" spans="1:26" ht="15" x14ac:dyDescent="0.25">
      <c r="A6575" s="4" t="s">
        <v>6573</v>
      </c>
      <c r="B6575" s="4" t="s">
        <v>4550</v>
      </c>
      <c r="C6575" s="2" t="str">
        <f ca="1">IFERROR(__xludf.DUMMYFUNCTION("GOOGLETRANSLATE(A6575,""bn"",""en"")"),"I put money in the account")</f>
        <v>I put money in the account</v>
      </c>
      <c r="D6575" s="5"/>
      <c r="E6575" s="5"/>
      <c r="F6575" s="5"/>
      <c r="G6575" s="5"/>
      <c r="H6575" s="5"/>
      <c r="I6575" s="5"/>
      <c r="J6575" s="5"/>
      <c r="K6575" s="5"/>
      <c r="L6575" s="5"/>
      <c r="M6575" s="5"/>
      <c r="N6575" s="5"/>
      <c r="O6575" s="5"/>
      <c r="P6575" s="5"/>
      <c r="Q6575" s="5"/>
      <c r="R6575" s="5"/>
      <c r="S6575" s="5"/>
      <c r="T6575" s="5"/>
      <c r="U6575" s="5"/>
      <c r="V6575" s="5"/>
      <c r="W6575" s="5"/>
      <c r="X6575" s="5"/>
      <c r="Y6575" s="5"/>
      <c r="Z6575" s="5"/>
    </row>
    <row r="6576" spans="1:26" ht="15" x14ac:dyDescent="0.25">
      <c r="A6576" s="4" t="s">
        <v>6574</v>
      </c>
      <c r="B6576" s="4" t="s">
        <v>4550</v>
      </c>
      <c r="C6576" s="2" t="str">
        <f ca="1">IFERROR(__xludf.DUMMYFUNCTION("GOOGLETRANSLATE(A6576,""bn"",""en"")"),"I was counting money")</f>
        <v>I was counting money</v>
      </c>
      <c r="D6576" s="5"/>
      <c r="E6576" s="5"/>
      <c r="F6576" s="5"/>
      <c r="G6576" s="5"/>
      <c r="H6576" s="5"/>
      <c r="I6576" s="5"/>
      <c r="J6576" s="5"/>
      <c r="K6576" s="5"/>
      <c r="L6576" s="5"/>
      <c r="M6576" s="5"/>
      <c r="N6576" s="5"/>
      <c r="O6576" s="5"/>
      <c r="P6576" s="5"/>
      <c r="Q6576" s="5"/>
      <c r="R6576" s="5"/>
      <c r="S6576" s="5"/>
      <c r="T6576" s="5"/>
      <c r="U6576" s="5"/>
      <c r="V6576" s="5"/>
      <c r="W6576" s="5"/>
      <c r="X6576" s="5"/>
      <c r="Y6576" s="5"/>
      <c r="Z6576" s="5"/>
    </row>
    <row r="6577" spans="1:26" ht="15" x14ac:dyDescent="0.25">
      <c r="A6577" s="4" t="s">
        <v>6575</v>
      </c>
      <c r="B6577" s="4" t="s">
        <v>4550</v>
      </c>
      <c r="C6577" s="2" t="str">
        <f ca="1">IFERROR(__xludf.DUMMYFUNCTION("GOOGLETRANSLATE(A6577,""bn"",""en"")"),"I saw the news on television")</f>
        <v>I saw the news on television</v>
      </c>
      <c r="D6577" s="5"/>
      <c r="E6577" s="5"/>
      <c r="F6577" s="5"/>
      <c r="G6577" s="5"/>
      <c r="H6577" s="5"/>
      <c r="I6577" s="5"/>
      <c r="J6577" s="5"/>
      <c r="K6577" s="5"/>
      <c r="L6577" s="5"/>
      <c r="M6577" s="5"/>
      <c r="N6577" s="5"/>
      <c r="O6577" s="5"/>
      <c r="P6577" s="5"/>
      <c r="Q6577" s="5"/>
      <c r="R6577" s="5"/>
      <c r="S6577" s="5"/>
      <c r="T6577" s="5"/>
      <c r="U6577" s="5"/>
      <c r="V6577" s="5"/>
      <c r="W6577" s="5"/>
      <c r="X6577" s="5"/>
      <c r="Y6577" s="5"/>
      <c r="Z6577" s="5"/>
    </row>
    <row r="6578" spans="1:26" ht="15" x14ac:dyDescent="0.25">
      <c r="A6578" s="4" t="s">
        <v>6576</v>
      </c>
      <c r="B6578" s="4" t="s">
        <v>4550</v>
      </c>
      <c r="C6578" s="2" t="str">
        <f ca="1">IFERROR(__xludf.DUMMYFUNCTION("GOOGLETRANSLATE(A6578,""bn"",""en"")"),"Mainul read prose")</f>
        <v>Mainul read prose</v>
      </c>
      <c r="D6578" s="5"/>
      <c r="E6578" s="5"/>
      <c r="F6578" s="5"/>
      <c r="G6578" s="5"/>
      <c r="H6578" s="5"/>
      <c r="I6578" s="5"/>
      <c r="J6578" s="5"/>
      <c r="K6578" s="5"/>
      <c r="L6578" s="5"/>
      <c r="M6578" s="5"/>
      <c r="N6578" s="5"/>
      <c r="O6578" s="5"/>
      <c r="P6578" s="5"/>
      <c r="Q6578" s="5"/>
      <c r="R6578" s="5"/>
      <c r="S6578" s="5"/>
      <c r="T6578" s="5"/>
      <c r="U6578" s="5"/>
      <c r="V6578" s="5"/>
      <c r="W6578" s="5"/>
      <c r="X6578" s="5"/>
      <c r="Y6578" s="5"/>
      <c r="Z6578" s="5"/>
    </row>
    <row r="6579" spans="1:26" ht="15" x14ac:dyDescent="0.25">
      <c r="A6579" s="4" t="s">
        <v>6577</v>
      </c>
      <c r="B6579" s="4" t="s">
        <v>4550</v>
      </c>
      <c r="C6579" s="2" t="str">
        <f ca="1">IFERROR(__xludf.DUMMYFUNCTION("GOOGLETRANSLATE(A6579,""bn"",""en"")"),"Loans were shrinking")</f>
        <v>Loans were shrinking</v>
      </c>
      <c r="D6579" s="5"/>
      <c r="E6579" s="5"/>
      <c r="F6579" s="5"/>
      <c r="G6579" s="5"/>
      <c r="H6579" s="5"/>
      <c r="I6579" s="5"/>
      <c r="J6579" s="5"/>
      <c r="K6579" s="5"/>
      <c r="L6579" s="5"/>
      <c r="M6579" s="5"/>
      <c r="N6579" s="5"/>
      <c r="O6579" s="5"/>
      <c r="P6579" s="5"/>
      <c r="Q6579" s="5"/>
      <c r="R6579" s="5"/>
      <c r="S6579" s="5"/>
      <c r="T6579" s="5"/>
      <c r="U6579" s="5"/>
      <c r="V6579" s="5"/>
      <c r="W6579" s="5"/>
      <c r="X6579" s="5"/>
      <c r="Y6579" s="5"/>
      <c r="Z6579" s="5"/>
    </row>
    <row r="6580" spans="1:26" ht="15" x14ac:dyDescent="0.25">
      <c r="A6580" s="4" t="s">
        <v>6578</v>
      </c>
      <c r="B6580" s="4" t="s">
        <v>4550</v>
      </c>
      <c r="C6580" s="2" t="str">
        <f ca="1">IFERROR(__xludf.DUMMYFUNCTION("GOOGLETRANSLATE(A6580,""bn"",""en"")"),"Social discussion continued")</f>
        <v>Social discussion continued</v>
      </c>
      <c r="D6580" s="5"/>
      <c r="E6580" s="5"/>
      <c r="F6580" s="5"/>
      <c r="G6580" s="5"/>
      <c r="H6580" s="5"/>
      <c r="I6580" s="5"/>
      <c r="J6580" s="5"/>
      <c r="K6580" s="5"/>
      <c r="L6580" s="5"/>
      <c r="M6580" s="5"/>
      <c r="N6580" s="5"/>
      <c r="O6580" s="5"/>
      <c r="P6580" s="5"/>
      <c r="Q6580" s="5"/>
      <c r="R6580" s="5"/>
      <c r="S6580" s="5"/>
      <c r="T6580" s="5"/>
      <c r="U6580" s="5"/>
      <c r="V6580" s="5"/>
      <c r="W6580" s="5"/>
      <c r="X6580" s="5"/>
      <c r="Y6580" s="5"/>
      <c r="Z6580" s="5"/>
    </row>
    <row r="6581" spans="1:26" ht="15" x14ac:dyDescent="0.25">
      <c r="A6581" s="4" t="s">
        <v>6579</v>
      </c>
      <c r="B6581" s="4" t="s">
        <v>4550</v>
      </c>
      <c r="C6581" s="2" t="str">
        <f ca="1">IFERROR(__xludf.DUMMYFUNCTION("GOOGLETRANSLATE(A6581,""bn"",""en"")"),"Looking for a good friend")</f>
        <v>Looking for a good friend</v>
      </c>
      <c r="D6581" s="5"/>
      <c r="E6581" s="5"/>
      <c r="F6581" s="5"/>
      <c r="G6581" s="5"/>
      <c r="H6581" s="5"/>
      <c r="I6581" s="5"/>
      <c r="J6581" s="5"/>
      <c r="K6581" s="5"/>
      <c r="L6581" s="5"/>
      <c r="M6581" s="5"/>
      <c r="N6581" s="5"/>
      <c r="O6581" s="5"/>
      <c r="P6581" s="5"/>
      <c r="Q6581" s="5"/>
      <c r="R6581" s="5"/>
      <c r="S6581" s="5"/>
      <c r="T6581" s="5"/>
      <c r="U6581" s="5"/>
      <c r="V6581" s="5"/>
      <c r="W6581" s="5"/>
      <c r="X6581" s="5"/>
      <c r="Y6581" s="5"/>
      <c r="Z6581" s="5"/>
    </row>
    <row r="6582" spans="1:26" ht="15" x14ac:dyDescent="0.25">
      <c r="A6582" s="4" t="s">
        <v>6580</v>
      </c>
      <c r="B6582" s="4" t="s">
        <v>4550</v>
      </c>
      <c r="C6582" s="2" t="str">
        <f ca="1">IFERROR(__xludf.DUMMYFUNCTION("GOOGLETRANSLATE(A6582,""bn"",""en"")"),"I was using eReader")</f>
        <v>I was using eReader</v>
      </c>
      <c r="D6582" s="5"/>
      <c r="E6582" s="5"/>
      <c r="F6582" s="5"/>
      <c r="G6582" s="5"/>
      <c r="H6582" s="5"/>
      <c r="I6582" s="5"/>
      <c r="J6582" s="5"/>
      <c r="K6582" s="5"/>
      <c r="L6582" s="5"/>
      <c r="M6582" s="5"/>
      <c r="N6582" s="5"/>
      <c r="O6582" s="5"/>
      <c r="P6582" s="5"/>
      <c r="Q6582" s="5"/>
      <c r="R6582" s="5"/>
      <c r="S6582" s="5"/>
      <c r="T6582" s="5"/>
      <c r="U6582" s="5"/>
      <c r="V6582" s="5"/>
      <c r="W6582" s="5"/>
      <c r="X6582" s="5"/>
      <c r="Y6582" s="5"/>
      <c r="Z6582" s="5"/>
    </row>
    <row r="6583" spans="1:26" ht="15" x14ac:dyDescent="0.25">
      <c r="A6583" s="4" t="s">
        <v>6581</v>
      </c>
      <c r="B6583" s="4" t="s">
        <v>4550</v>
      </c>
      <c r="C6583" s="2" t="str">
        <f ca="1">IFERROR(__xludf.DUMMYFUNCTION("GOOGLETRANSLATE(A6583,""bn"",""en"")"),"He played games")</f>
        <v>He played games</v>
      </c>
      <c r="D6583" s="5"/>
      <c r="E6583" s="5"/>
      <c r="F6583" s="5"/>
      <c r="G6583" s="5"/>
      <c r="H6583" s="5"/>
      <c r="I6583" s="5"/>
      <c r="J6583" s="5"/>
      <c r="K6583" s="5"/>
      <c r="L6583" s="5"/>
      <c r="M6583" s="5"/>
      <c r="N6583" s="5"/>
      <c r="O6583" s="5"/>
      <c r="P6583" s="5"/>
      <c r="Q6583" s="5"/>
      <c r="R6583" s="5"/>
      <c r="S6583" s="5"/>
      <c r="T6583" s="5"/>
      <c r="U6583" s="5"/>
      <c r="V6583" s="5"/>
      <c r="W6583" s="5"/>
      <c r="X6583" s="5"/>
      <c r="Y6583" s="5"/>
      <c r="Z6583" s="5"/>
    </row>
    <row r="6584" spans="1:26" ht="15" x14ac:dyDescent="0.25">
      <c r="A6584" s="4" t="s">
        <v>6582</v>
      </c>
      <c r="B6584" s="4" t="s">
        <v>4550</v>
      </c>
      <c r="C6584" s="2" t="str">
        <f ca="1">IFERROR(__xludf.DUMMYFUNCTION("GOOGLETRANSLATE(A6584,""bn"",""en"")"),"I used to play cricket every day")</f>
        <v>I used to play cricket every day</v>
      </c>
      <c r="D6584" s="5"/>
      <c r="E6584" s="5"/>
      <c r="F6584" s="5"/>
      <c r="G6584" s="5"/>
      <c r="H6584" s="5"/>
      <c r="I6584" s="5"/>
      <c r="J6584" s="5"/>
      <c r="K6584" s="5"/>
      <c r="L6584" s="5"/>
      <c r="M6584" s="5"/>
      <c r="N6584" s="5"/>
      <c r="O6584" s="5"/>
      <c r="P6584" s="5"/>
      <c r="Q6584" s="5"/>
      <c r="R6584" s="5"/>
      <c r="S6584" s="5"/>
      <c r="T6584" s="5"/>
      <c r="U6584" s="5"/>
      <c r="V6584" s="5"/>
      <c r="W6584" s="5"/>
      <c r="X6584" s="5"/>
      <c r="Y6584" s="5"/>
      <c r="Z6584" s="5"/>
    </row>
    <row r="6585" spans="1:26" ht="15" x14ac:dyDescent="0.25">
      <c r="A6585" s="4" t="s">
        <v>6583</v>
      </c>
      <c r="B6585" s="4" t="s">
        <v>4550</v>
      </c>
      <c r="C6585" s="2" t="str">
        <f ca="1">IFERROR(__xludf.DUMMYFUNCTION("GOOGLETRANSLATE(A6585,""bn"",""en"")"),"I did my homework")</f>
        <v>I did my homework</v>
      </c>
      <c r="D6585" s="5"/>
      <c r="E6585" s="5"/>
      <c r="F6585" s="5"/>
      <c r="G6585" s="5"/>
      <c r="H6585" s="5"/>
      <c r="I6585" s="5"/>
      <c r="J6585" s="5"/>
      <c r="K6585" s="5"/>
      <c r="L6585" s="5"/>
      <c r="M6585" s="5"/>
      <c r="N6585" s="5"/>
      <c r="O6585" s="5"/>
      <c r="P6585" s="5"/>
      <c r="Q6585" s="5"/>
      <c r="R6585" s="5"/>
      <c r="S6585" s="5"/>
      <c r="T6585" s="5"/>
      <c r="U6585" s="5"/>
      <c r="V6585" s="5"/>
      <c r="W6585" s="5"/>
      <c r="X6585" s="5"/>
      <c r="Y6585" s="5"/>
      <c r="Z6585" s="5"/>
    </row>
    <row r="6586" spans="1:26" ht="15" x14ac:dyDescent="0.25">
      <c r="A6586" s="4" t="s">
        <v>6584</v>
      </c>
      <c r="B6586" s="4" t="s">
        <v>4550</v>
      </c>
      <c r="C6586" s="2" t="str">
        <f ca="1">IFERROR(__xludf.DUMMYFUNCTION("GOOGLETRANSLATE(A6586,""bn"",""en"")"),"I was going to travel")</f>
        <v>I was going to travel</v>
      </c>
      <c r="D6586" s="5"/>
      <c r="E6586" s="5"/>
      <c r="F6586" s="5"/>
      <c r="G6586" s="5"/>
      <c r="H6586" s="5"/>
      <c r="I6586" s="5"/>
      <c r="J6586" s="5"/>
      <c r="K6586" s="5"/>
      <c r="L6586" s="5"/>
      <c r="M6586" s="5"/>
      <c r="N6586" s="5"/>
      <c r="O6586" s="5"/>
      <c r="P6586" s="5"/>
      <c r="Q6586" s="5"/>
      <c r="R6586" s="5"/>
      <c r="S6586" s="5"/>
      <c r="T6586" s="5"/>
      <c r="U6586" s="5"/>
      <c r="V6586" s="5"/>
      <c r="W6586" s="5"/>
      <c r="X6586" s="5"/>
      <c r="Y6586" s="5"/>
      <c r="Z6586" s="5"/>
    </row>
    <row r="6587" spans="1:26" ht="15" x14ac:dyDescent="0.25">
      <c r="A6587" s="4" t="s">
        <v>6585</v>
      </c>
      <c r="B6587" s="4" t="s">
        <v>4550</v>
      </c>
      <c r="C6587" s="2" t="str">
        <f ca="1">IFERROR(__xludf.DUMMYFUNCTION("GOOGLETRANSLATE(A6587,""bn"",""en"")"),"Downloaded the game")</f>
        <v>Downloaded the game</v>
      </c>
      <c r="D6587" s="5"/>
      <c r="E6587" s="5"/>
      <c r="F6587" s="5"/>
      <c r="G6587" s="5"/>
      <c r="H6587" s="5"/>
      <c r="I6587" s="5"/>
      <c r="J6587" s="5"/>
      <c r="K6587" s="5"/>
      <c r="L6587" s="5"/>
      <c r="M6587" s="5"/>
      <c r="N6587" s="5"/>
      <c r="O6587" s="5"/>
      <c r="P6587" s="5"/>
      <c r="Q6587" s="5"/>
      <c r="R6587" s="5"/>
      <c r="S6587" s="5"/>
      <c r="T6587" s="5"/>
      <c r="U6587" s="5"/>
      <c r="V6587" s="5"/>
      <c r="W6587" s="5"/>
      <c r="X6587" s="5"/>
      <c r="Y6587" s="5"/>
      <c r="Z6587" s="5"/>
    </row>
    <row r="6588" spans="1:26" ht="15" x14ac:dyDescent="0.25">
      <c r="A6588" s="4" t="s">
        <v>6586</v>
      </c>
      <c r="B6588" s="4" t="s">
        <v>4550</v>
      </c>
      <c r="C6588" s="2" t="str">
        <f ca="1">IFERROR(__xludf.DUMMYFUNCTION("GOOGLETRANSLATE(A6588,""bn"",""en"")"),"I used iPad")</f>
        <v>I used iPad</v>
      </c>
      <c r="D6588" s="5"/>
      <c r="E6588" s="5"/>
      <c r="F6588" s="5"/>
      <c r="G6588" s="5"/>
      <c r="H6588" s="5"/>
      <c r="I6588" s="5"/>
      <c r="J6588" s="5"/>
      <c r="K6588" s="5"/>
      <c r="L6588" s="5"/>
      <c r="M6588" s="5"/>
      <c r="N6588" s="5"/>
      <c r="O6588" s="5"/>
      <c r="P6588" s="5"/>
      <c r="Q6588" s="5"/>
      <c r="R6588" s="5"/>
      <c r="S6588" s="5"/>
      <c r="T6588" s="5"/>
      <c r="U6588" s="5"/>
      <c r="V6588" s="5"/>
      <c r="W6588" s="5"/>
      <c r="X6588" s="5"/>
      <c r="Y6588" s="5"/>
      <c r="Z6588" s="5"/>
    </row>
    <row r="6589" spans="1:26" ht="15" x14ac:dyDescent="0.25">
      <c r="A6589" s="4" t="s">
        <v>6587</v>
      </c>
      <c r="B6589" s="4" t="s">
        <v>4550</v>
      </c>
      <c r="C6589" s="2" t="str">
        <f ca="1">IFERROR(__xludf.DUMMYFUNCTION("GOOGLETRANSLATE(A6589,""bn"",""en"")"),"The flowers were fragrant")</f>
        <v>The flowers were fragrant</v>
      </c>
      <c r="D6589" s="5"/>
      <c r="E6589" s="5"/>
      <c r="F6589" s="5"/>
      <c r="G6589" s="5"/>
      <c r="H6589" s="5"/>
      <c r="I6589" s="5"/>
      <c r="J6589" s="5"/>
      <c r="K6589" s="5"/>
      <c r="L6589" s="5"/>
      <c r="M6589" s="5"/>
      <c r="N6589" s="5"/>
      <c r="O6589" s="5"/>
      <c r="P6589" s="5"/>
      <c r="Q6589" s="5"/>
      <c r="R6589" s="5"/>
      <c r="S6589" s="5"/>
      <c r="T6589" s="5"/>
      <c r="U6589" s="5"/>
      <c r="V6589" s="5"/>
      <c r="W6589" s="5"/>
      <c r="X6589" s="5"/>
      <c r="Y6589" s="5"/>
      <c r="Z6589" s="5"/>
    </row>
    <row r="6590" spans="1:26" ht="15" x14ac:dyDescent="0.25">
      <c r="A6590" s="4" t="s">
        <v>6588</v>
      </c>
      <c r="B6590" s="4" t="s">
        <v>4550</v>
      </c>
      <c r="C6590" s="2" t="str">
        <f ca="1">IFERROR(__xludf.DUMMYFUNCTION("GOOGLETRANSLATE(A6590,""bn"",""en"")"),"I was looking for entertainment")</f>
        <v>I was looking for entertainment</v>
      </c>
      <c r="D6590" s="5"/>
      <c r="E6590" s="5"/>
      <c r="F6590" s="5"/>
      <c r="G6590" s="5"/>
      <c r="H6590" s="5"/>
      <c r="I6590" s="5"/>
      <c r="J6590" s="5"/>
      <c r="K6590" s="5"/>
      <c r="L6590" s="5"/>
      <c r="M6590" s="5"/>
      <c r="N6590" s="5"/>
      <c r="O6590" s="5"/>
      <c r="P6590" s="5"/>
      <c r="Q6590" s="5"/>
      <c r="R6590" s="5"/>
      <c r="S6590" s="5"/>
      <c r="T6590" s="5"/>
      <c r="U6590" s="5"/>
      <c r="V6590" s="5"/>
      <c r="W6590" s="5"/>
      <c r="X6590" s="5"/>
      <c r="Y6590" s="5"/>
      <c r="Z6590" s="5"/>
    </row>
    <row r="6591" spans="1:26" ht="15" x14ac:dyDescent="0.25">
      <c r="A6591" s="4" t="s">
        <v>6589</v>
      </c>
      <c r="B6591" s="4" t="s">
        <v>4550</v>
      </c>
      <c r="C6591" s="2" t="str">
        <f ca="1">IFERROR(__xludf.DUMMYFUNCTION("GOOGLETRANSLATE(A6591,""bn"",""en"")"),"I went to see Kashmir")</f>
        <v>I went to see Kashmir</v>
      </c>
      <c r="D6591" s="5"/>
      <c r="E6591" s="5"/>
      <c r="F6591" s="5"/>
      <c r="G6591" s="5"/>
      <c r="H6591" s="5"/>
      <c r="I6591" s="5"/>
      <c r="J6591" s="5"/>
      <c r="K6591" s="5"/>
      <c r="L6591" s="5"/>
      <c r="M6591" s="5"/>
      <c r="N6591" s="5"/>
      <c r="O6591" s="5"/>
      <c r="P6591" s="5"/>
      <c r="Q6591" s="5"/>
      <c r="R6591" s="5"/>
      <c r="S6591" s="5"/>
      <c r="T6591" s="5"/>
      <c r="U6591" s="5"/>
      <c r="V6591" s="5"/>
      <c r="W6591" s="5"/>
      <c r="X6591" s="5"/>
      <c r="Y6591" s="5"/>
      <c r="Z6591" s="5"/>
    </row>
    <row r="6592" spans="1:26" ht="15" x14ac:dyDescent="0.25">
      <c r="A6592" s="4" t="s">
        <v>6590</v>
      </c>
      <c r="B6592" s="4" t="s">
        <v>4550</v>
      </c>
      <c r="C6592" s="2" t="str">
        <f ca="1">IFERROR(__xludf.DUMMYFUNCTION("GOOGLETRANSLATE(A6592,""bn"",""en"")"),"Travel inspired")</f>
        <v>Travel inspired</v>
      </c>
      <c r="D6592" s="5"/>
      <c r="E6592" s="5"/>
      <c r="F6592" s="5"/>
      <c r="G6592" s="5"/>
      <c r="H6592" s="5"/>
      <c r="I6592" s="5"/>
      <c r="J6592" s="5"/>
      <c r="K6592" s="5"/>
      <c r="L6592" s="5"/>
      <c r="M6592" s="5"/>
      <c r="N6592" s="5"/>
      <c r="O6592" s="5"/>
      <c r="P6592" s="5"/>
      <c r="Q6592" s="5"/>
      <c r="R6592" s="5"/>
      <c r="S6592" s="5"/>
      <c r="T6592" s="5"/>
      <c r="U6592" s="5"/>
      <c r="V6592" s="5"/>
      <c r="W6592" s="5"/>
      <c r="X6592" s="5"/>
      <c r="Y6592" s="5"/>
      <c r="Z6592" s="5"/>
    </row>
    <row r="6593" spans="1:26" ht="15" x14ac:dyDescent="0.25">
      <c r="A6593" s="4" t="s">
        <v>6591</v>
      </c>
      <c r="B6593" s="4" t="s">
        <v>4550</v>
      </c>
      <c r="C6593" s="2" t="str">
        <f ca="1">IFERROR(__xludf.DUMMYFUNCTION("GOOGLETRANSLATE(A6593,""bn"",""en"")"),"Looking for a good friend")</f>
        <v>Looking for a good friend</v>
      </c>
      <c r="D6593" s="5"/>
      <c r="E6593" s="5"/>
      <c r="F6593" s="5"/>
      <c r="G6593" s="5"/>
      <c r="H6593" s="5"/>
      <c r="I6593" s="5"/>
      <c r="J6593" s="5"/>
      <c r="K6593" s="5"/>
      <c r="L6593" s="5"/>
      <c r="M6593" s="5"/>
      <c r="N6593" s="5"/>
      <c r="O6593" s="5"/>
      <c r="P6593" s="5"/>
      <c r="Q6593" s="5"/>
      <c r="R6593" s="5"/>
      <c r="S6593" s="5"/>
      <c r="T6593" s="5"/>
      <c r="U6593" s="5"/>
      <c r="V6593" s="5"/>
      <c r="W6593" s="5"/>
      <c r="X6593" s="5"/>
      <c r="Y6593" s="5"/>
      <c r="Z6593" s="5"/>
    </row>
    <row r="6594" spans="1:26" ht="15" x14ac:dyDescent="0.25">
      <c r="A6594" s="4" t="s">
        <v>6592</v>
      </c>
      <c r="B6594" s="4" t="s">
        <v>4550</v>
      </c>
      <c r="C6594" s="2" t="str">
        <f ca="1">IFERROR(__xludf.DUMMYFUNCTION("GOOGLETRANSLATE(A6594,""bn"",""en"")"),"The loan was disbursed")</f>
        <v>The loan was disbursed</v>
      </c>
      <c r="D6594" s="5"/>
      <c r="E6594" s="5"/>
      <c r="F6594" s="5"/>
      <c r="G6594" s="5"/>
      <c r="H6594" s="5"/>
      <c r="I6594" s="5"/>
      <c r="J6594" s="5"/>
      <c r="K6594" s="5"/>
      <c r="L6594" s="5"/>
      <c r="M6594" s="5"/>
      <c r="N6594" s="5"/>
      <c r="O6594" s="5"/>
      <c r="P6594" s="5"/>
      <c r="Q6594" s="5"/>
      <c r="R6594" s="5"/>
      <c r="S6594" s="5"/>
      <c r="T6594" s="5"/>
      <c r="U6594" s="5"/>
      <c r="V6594" s="5"/>
      <c r="W6594" s="5"/>
      <c r="X6594" s="5"/>
      <c r="Y6594" s="5"/>
      <c r="Z6594" s="5"/>
    </row>
    <row r="6595" spans="1:26" ht="15" x14ac:dyDescent="0.25">
      <c r="A6595" s="4" t="s">
        <v>6593</v>
      </c>
      <c r="B6595" s="4" t="s">
        <v>4550</v>
      </c>
      <c r="C6595" s="2" t="str">
        <f ca="1">IFERROR(__xludf.DUMMYFUNCTION("GOOGLETRANSLATE(A6595,""bn"",""en"")"),"I was buying new software")</f>
        <v>I was buying new software</v>
      </c>
      <c r="D6595" s="5"/>
      <c r="E6595" s="5"/>
      <c r="F6595" s="5"/>
      <c r="G6595" s="5"/>
      <c r="H6595" s="5"/>
      <c r="I6595" s="5"/>
      <c r="J6595" s="5"/>
      <c r="K6595" s="5"/>
      <c r="L6595" s="5"/>
      <c r="M6595" s="5"/>
      <c r="N6595" s="5"/>
      <c r="O6595" s="5"/>
      <c r="P6595" s="5"/>
      <c r="Q6595" s="5"/>
      <c r="R6595" s="5"/>
      <c r="S6595" s="5"/>
      <c r="T6595" s="5"/>
      <c r="U6595" s="5"/>
      <c r="V6595" s="5"/>
      <c r="W6595" s="5"/>
      <c r="X6595" s="5"/>
      <c r="Y6595" s="5"/>
      <c r="Z6595" s="5"/>
    </row>
    <row r="6596" spans="1:26" ht="15" x14ac:dyDescent="0.25">
      <c r="A6596" s="4" t="s">
        <v>6594</v>
      </c>
      <c r="B6596" s="4" t="s">
        <v>4550</v>
      </c>
      <c r="C6596" s="2" t="str">
        <f ca="1">IFERROR(__xludf.DUMMYFUNCTION("GOOGLETRANSLATE(A6596,""bn"",""en"")"),"I wanted to download")</f>
        <v>I wanted to download</v>
      </c>
      <c r="D6596" s="5"/>
      <c r="E6596" s="5"/>
      <c r="F6596" s="5"/>
      <c r="G6596" s="5"/>
      <c r="H6596" s="5"/>
      <c r="I6596" s="5"/>
      <c r="J6596" s="5"/>
      <c r="K6596" s="5"/>
      <c r="L6596" s="5"/>
      <c r="M6596" s="5"/>
      <c r="N6596" s="5"/>
      <c r="O6596" s="5"/>
      <c r="P6596" s="5"/>
      <c r="Q6596" s="5"/>
      <c r="R6596" s="5"/>
      <c r="S6596" s="5"/>
      <c r="T6596" s="5"/>
      <c r="U6596" s="5"/>
      <c r="V6596" s="5"/>
      <c r="W6596" s="5"/>
      <c r="X6596" s="5"/>
      <c r="Y6596" s="5"/>
      <c r="Z6596" s="5"/>
    </row>
    <row r="6597" spans="1:26" ht="15" x14ac:dyDescent="0.25">
      <c r="A6597" s="4" t="s">
        <v>6595</v>
      </c>
      <c r="B6597" s="4" t="s">
        <v>4550</v>
      </c>
      <c r="C6597" s="2" t="str">
        <f ca="1">IFERROR(__xludf.DUMMYFUNCTION("GOOGLETRANSLATE(A6597,""bn"",""en"")"),"Account balance was decreasing")</f>
        <v>Account balance was decreasing</v>
      </c>
      <c r="D6597" s="5"/>
      <c r="E6597" s="5"/>
      <c r="F6597" s="5"/>
      <c r="G6597" s="5"/>
      <c r="H6597" s="5"/>
      <c r="I6597" s="5"/>
      <c r="J6597" s="5"/>
      <c r="K6597" s="5"/>
      <c r="L6597" s="5"/>
      <c r="M6597" s="5"/>
      <c r="N6597" s="5"/>
      <c r="O6597" s="5"/>
      <c r="P6597" s="5"/>
      <c r="Q6597" s="5"/>
      <c r="R6597" s="5"/>
      <c r="S6597" s="5"/>
      <c r="T6597" s="5"/>
      <c r="U6597" s="5"/>
      <c r="V6597" s="5"/>
      <c r="W6597" s="5"/>
      <c r="X6597" s="5"/>
      <c r="Y6597" s="5"/>
      <c r="Z6597" s="5"/>
    </row>
    <row r="6598" spans="1:26" ht="15" x14ac:dyDescent="0.25">
      <c r="A6598" s="4" t="s">
        <v>6596</v>
      </c>
      <c r="B6598" s="4" t="s">
        <v>4550</v>
      </c>
      <c r="C6598" s="2" t="str">
        <f ca="1">IFERROR(__xludf.DUMMYFUNCTION("GOOGLETRANSLATE(A6598,""bn"",""en"")"),"Then I went on a trip")</f>
        <v>Then I went on a trip</v>
      </c>
      <c r="D6598" s="5"/>
      <c r="E6598" s="5"/>
      <c r="F6598" s="5"/>
      <c r="G6598" s="5"/>
      <c r="H6598" s="5"/>
      <c r="I6598" s="5"/>
      <c r="J6598" s="5"/>
      <c r="K6598" s="5"/>
      <c r="L6598" s="5"/>
      <c r="M6598" s="5"/>
      <c r="N6598" s="5"/>
      <c r="O6598" s="5"/>
      <c r="P6598" s="5"/>
      <c r="Q6598" s="5"/>
      <c r="R6598" s="5"/>
      <c r="S6598" s="5"/>
      <c r="T6598" s="5"/>
      <c r="U6598" s="5"/>
      <c r="V6598" s="5"/>
      <c r="W6598" s="5"/>
      <c r="X6598" s="5"/>
      <c r="Y6598" s="5"/>
      <c r="Z6598" s="5"/>
    </row>
    <row r="6599" spans="1:26" ht="15" x14ac:dyDescent="0.25">
      <c r="A6599" s="4" t="s">
        <v>6597</v>
      </c>
      <c r="B6599" s="4" t="s">
        <v>4550</v>
      </c>
      <c r="C6599" s="2" t="str">
        <f ca="1">IFERROR(__xludf.DUMMYFUNCTION("GOOGLETRANSLATE(A6599,""bn"",""en"")"),"I used to operate Linux")</f>
        <v>I used to operate Linux</v>
      </c>
      <c r="D6599" s="5"/>
      <c r="E6599" s="5"/>
      <c r="F6599" s="5"/>
      <c r="G6599" s="5"/>
      <c r="H6599" s="5"/>
      <c r="I6599" s="5"/>
      <c r="J6599" s="5"/>
      <c r="K6599" s="5"/>
      <c r="L6599" s="5"/>
      <c r="M6599" s="5"/>
      <c r="N6599" s="5"/>
      <c r="O6599" s="5"/>
      <c r="P6599" s="5"/>
      <c r="Q6599" s="5"/>
      <c r="R6599" s="5"/>
      <c r="S6599" s="5"/>
      <c r="T6599" s="5"/>
      <c r="U6599" s="5"/>
      <c r="V6599" s="5"/>
      <c r="W6599" s="5"/>
      <c r="X6599" s="5"/>
      <c r="Y6599" s="5"/>
      <c r="Z6599" s="5"/>
    </row>
    <row r="6600" spans="1:26" ht="15" x14ac:dyDescent="0.25">
      <c r="A6600" s="4" t="s">
        <v>6598</v>
      </c>
      <c r="B6600" s="4" t="s">
        <v>4550</v>
      </c>
      <c r="C6600" s="2" t="str">
        <f ca="1">IFERROR(__xludf.DUMMYFUNCTION("GOOGLETRANSLATE(A6600,""bn"",""en"")"),"Technology was scarce")</f>
        <v>Technology was scarce</v>
      </c>
      <c r="D6600" s="5"/>
      <c r="E6600" s="5"/>
      <c r="F6600" s="5"/>
      <c r="G6600" s="5"/>
      <c r="H6600" s="5"/>
      <c r="I6600" s="5"/>
      <c r="J6600" s="5"/>
      <c r="K6600" s="5"/>
      <c r="L6600" s="5"/>
      <c r="M6600" s="5"/>
      <c r="N6600" s="5"/>
      <c r="O6600" s="5"/>
      <c r="P6600" s="5"/>
      <c r="Q6600" s="5"/>
      <c r="R6600" s="5"/>
      <c r="S6600" s="5"/>
      <c r="T6600" s="5"/>
      <c r="U6600" s="5"/>
      <c r="V6600" s="5"/>
      <c r="W6600" s="5"/>
      <c r="X6600" s="5"/>
      <c r="Y6600" s="5"/>
      <c r="Z6600" s="5"/>
    </row>
    <row r="6601" spans="1:26" ht="15" x14ac:dyDescent="0.25">
      <c r="A6601" s="4" t="s">
        <v>6599</v>
      </c>
      <c r="B6601" s="4" t="s">
        <v>4550</v>
      </c>
      <c r="C6601" s="2" t="str">
        <f ca="1">IFERROR(__xludf.DUMMYFUNCTION("GOOGLETRANSLATE(A6601,""bn"",""en"")"),"He did the math")</f>
        <v>He did the math</v>
      </c>
      <c r="D6601" s="5"/>
      <c r="E6601" s="5"/>
      <c r="F6601" s="5"/>
      <c r="G6601" s="5"/>
      <c r="H6601" s="5"/>
      <c r="I6601" s="5"/>
      <c r="J6601" s="5"/>
      <c r="K6601" s="5"/>
      <c r="L6601" s="5"/>
      <c r="M6601" s="5"/>
      <c r="N6601" s="5"/>
      <c r="O6601" s="5"/>
      <c r="P6601" s="5"/>
      <c r="Q6601" s="5"/>
      <c r="R6601" s="5"/>
      <c r="S6601" s="5"/>
      <c r="T6601" s="5"/>
      <c r="U6601" s="5"/>
      <c r="V6601" s="5"/>
      <c r="W6601" s="5"/>
      <c r="X6601" s="5"/>
      <c r="Y6601" s="5"/>
      <c r="Z6601" s="5"/>
    </row>
    <row r="6602" spans="1:26" ht="15" x14ac:dyDescent="0.25">
      <c r="A6602" s="4" t="s">
        <v>6600</v>
      </c>
      <c r="B6602" s="4" t="s">
        <v>4550</v>
      </c>
      <c r="C6602" s="2" t="str">
        <f ca="1">IFERROR(__xludf.DUMMYFUNCTION("GOOGLETRANSLATE(A6602,""bn"",""en"")"),"I was contacting the family")</f>
        <v>I was contacting the family</v>
      </c>
      <c r="D6602" s="5"/>
      <c r="E6602" s="5"/>
      <c r="F6602" s="5"/>
      <c r="G6602" s="5"/>
      <c r="H6602" s="5"/>
      <c r="I6602" s="5"/>
      <c r="J6602" s="5"/>
      <c r="K6602" s="5"/>
      <c r="L6602" s="5"/>
      <c r="M6602" s="5"/>
      <c r="N6602" s="5"/>
      <c r="O6602" s="5"/>
      <c r="P6602" s="5"/>
      <c r="Q6602" s="5"/>
      <c r="R6602" s="5"/>
      <c r="S6602" s="5"/>
      <c r="T6602" s="5"/>
      <c r="U6602" s="5"/>
      <c r="V6602" s="5"/>
      <c r="W6602" s="5"/>
      <c r="X6602" s="5"/>
      <c r="Y6602" s="5"/>
      <c r="Z6602" s="5"/>
    </row>
    <row r="6603" spans="1:26" ht="15" x14ac:dyDescent="0.25">
      <c r="A6603" s="4" t="s">
        <v>6601</v>
      </c>
      <c r="B6603" s="4" t="s">
        <v>4550</v>
      </c>
      <c r="C6603" s="2" t="str">
        <f ca="1">IFERROR(__xludf.DUMMYFUNCTION("GOOGLETRANSLATE(A6603,""bn"",""en"")"),"I read the novel")</f>
        <v>I read the novel</v>
      </c>
      <c r="D6603" s="5"/>
      <c r="E6603" s="5"/>
      <c r="F6603" s="5"/>
      <c r="G6603" s="5"/>
      <c r="H6603" s="5"/>
      <c r="I6603" s="5"/>
      <c r="J6603" s="5"/>
      <c r="K6603" s="5"/>
      <c r="L6603" s="5"/>
      <c r="M6603" s="5"/>
      <c r="N6603" s="5"/>
      <c r="O6603" s="5"/>
      <c r="P6603" s="5"/>
      <c r="Q6603" s="5"/>
      <c r="R6603" s="5"/>
      <c r="S6603" s="5"/>
      <c r="T6603" s="5"/>
      <c r="U6603" s="5"/>
      <c r="V6603" s="5"/>
      <c r="W6603" s="5"/>
      <c r="X6603" s="5"/>
      <c r="Y6603" s="5"/>
      <c r="Z6603" s="5"/>
    </row>
    <row r="6604" spans="1:26" ht="15" x14ac:dyDescent="0.25">
      <c r="A6604" s="4" t="s">
        <v>6602</v>
      </c>
      <c r="B6604" s="4" t="s">
        <v>4550</v>
      </c>
      <c r="C6604" s="2" t="str">
        <f ca="1">IFERROR(__xludf.DUMMYFUNCTION("GOOGLETRANSLATE(A6604,""bn"",""en"")"),"Loved the trip")</f>
        <v>Loved the trip</v>
      </c>
      <c r="D6604" s="5"/>
      <c r="E6604" s="5"/>
      <c r="F6604" s="5"/>
      <c r="G6604" s="5"/>
      <c r="H6604" s="5"/>
      <c r="I6604" s="5"/>
      <c r="J6604" s="5"/>
      <c r="K6604" s="5"/>
      <c r="L6604" s="5"/>
      <c r="M6604" s="5"/>
      <c r="N6604" s="5"/>
      <c r="O6604" s="5"/>
      <c r="P6604" s="5"/>
      <c r="Q6604" s="5"/>
      <c r="R6604" s="5"/>
      <c r="S6604" s="5"/>
      <c r="T6604" s="5"/>
      <c r="U6604" s="5"/>
      <c r="V6604" s="5"/>
      <c r="W6604" s="5"/>
      <c r="X6604" s="5"/>
      <c r="Y6604" s="5"/>
      <c r="Z6604" s="5"/>
    </row>
    <row r="6605" spans="1:26" ht="15" x14ac:dyDescent="0.25">
      <c r="A6605" s="4" t="s">
        <v>6603</v>
      </c>
      <c r="B6605" s="4" t="s">
        <v>4550</v>
      </c>
      <c r="C6605" s="2" t="str">
        <f ca="1">IFERROR(__xludf.DUMMYFUNCTION("GOOGLETRANSLATE(A6605,""bn"",""en"")"),"I used a smartphone")</f>
        <v>I used a smartphone</v>
      </c>
      <c r="D6605" s="5"/>
      <c r="E6605" s="5"/>
      <c r="F6605" s="5"/>
      <c r="G6605" s="5"/>
      <c r="H6605" s="5"/>
      <c r="I6605" s="5"/>
      <c r="J6605" s="5"/>
      <c r="K6605" s="5"/>
      <c r="L6605" s="5"/>
      <c r="M6605" s="5"/>
      <c r="N6605" s="5"/>
      <c r="O6605" s="5"/>
      <c r="P6605" s="5"/>
      <c r="Q6605" s="5"/>
      <c r="R6605" s="5"/>
      <c r="S6605" s="5"/>
      <c r="T6605" s="5"/>
      <c r="U6605" s="5"/>
      <c r="V6605" s="5"/>
      <c r="W6605" s="5"/>
      <c r="X6605" s="5"/>
      <c r="Y6605" s="5"/>
      <c r="Z6605" s="5"/>
    </row>
    <row r="6606" spans="1:26" ht="15" x14ac:dyDescent="0.25">
      <c r="A6606" s="4" t="s">
        <v>6604</v>
      </c>
      <c r="B6606" s="4" t="s">
        <v>4550</v>
      </c>
      <c r="C6606" s="2" t="str">
        <f ca="1">IFERROR(__xludf.DUMMYFUNCTION("GOOGLETRANSLATE(A6606,""bn"",""en"")"),"There were lifting facilities")</f>
        <v>There were lifting facilities</v>
      </c>
      <c r="D6606" s="5"/>
      <c r="E6606" s="5"/>
      <c r="F6606" s="5"/>
      <c r="G6606" s="5"/>
      <c r="H6606" s="5"/>
      <c r="I6606" s="5"/>
      <c r="J6606" s="5"/>
      <c r="K6606" s="5"/>
      <c r="L6606" s="5"/>
      <c r="M6606" s="5"/>
      <c r="N6606" s="5"/>
      <c r="O6606" s="5"/>
      <c r="P6606" s="5"/>
      <c r="Q6606" s="5"/>
      <c r="R6606" s="5"/>
      <c r="S6606" s="5"/>
      <c r="T6606" s="5"/>
      <c r="U6606" s="5"/>
      <c r="V6606" s="5"/>
      <c r="W6606" s="5"/>
      <c r="X6606" s="5"/>
      <c r="Y6606" s="5"/>
      <c r="Z6606" s="5"/>
    </row>
    <row r="6607" spans="1:26" ht="15" x14ac:dyDescent="0.25">
      <c r="A6607" s="4" t="s">
        <v>6605</v>
      </c>
      <c r="B6607" s="4" t="s">
        <v>4550</v>
      </c>
      <c r="C6607" s="2" t="str">
        <f ca="1">IFERROR(__xludf.DUMMYFUNCTION("GOOGLETRANSLATE(A6607,""bn"",""en"")"),"I could send an email")</f>
        <v>I could send an email</v>
      </c>
      <c r="D6607" s="5"/>
      <c r="E6607" s="5"/>
      <c r="F6607" s="5"/>
      <c r="G6607" s="5"/>
      <c r="H6607" s="5"/>
      <c r="I6607" s="5"/>
      <c r="J6607" s="5"/>
      <c r="K6607" s="5"/>
      <c r="L6607" s="5"/>
      <c r="M6607" s="5"/>
      <c r="N6607" s="5"/>
      <c r="O6607" s="5"/>
      <c r="P6607" s="5"/>
      <c r="Q6607" s="5"/>
      <c r="R6607" s="5"/>
      <c r="S6607" s="5"/>
      <c r="T6607" s="5"/>
      <c r="U6607" s="5"/>
      <c r="V6607" s="5"/>
      <c r="W6607" s="5"/>
      <c r="X6607" s="5"/>
      <c r="Y6607" s="5"/>
      <c r="Z6607" s="5"/>
    </row>
    <row r="6608" spans="1:26" ht="15" x14ac:dyDescent="0.25">
      <c r="A6608" s="4" t="s">
        <v>6606</v>
      </c>
      <c r="B6608" s="4" t="s">
        <v>4550</v>
      </c>
      <c r="C6608" s="2" t="str">
        <f ca="1">IFERROR(__xludf.DUMMYFUNCTION("GOOGLETRANSLATE(A6608,""bn"",""en"")"),"I gave bank service")</f>
        <v>I gave bank service</v>
      </c>
      <c r="D6608" s="5"/>
      <c r="E6608" s="5"/>
      <c r="F6608" s="5"/>
      <c r="G6608" s="5"/>
      <c r="H6608" s="5"/>
      <c r="I6608" s="5"/>
      <c r="J6608" s="5"/>
      <c r="K6608" s="5"/>
      <c r="L6608" s="5"/>
      <c r="M6608" s="5"/>
      <c r="N6608" s="5"/>
      <c r="O6608" s="5"/>
      <c r="P6608" s="5"/>
      <c r="Q6608" s="5"/>
      <c r="R6608" s="5"/>
      <c r="S6608" s="5"/>
      <c r="T6608" s="5"/>
      <c r="U6608" s="5"/>
      <c r="V6608" s="5"/>
      <c r="W6608" s="5"/>
      <c r="X6608" s="5"/>
      <c r="Y6608" s="5"/>
      <c r="Z6608" s="5"/>
    </row>
    <row r="6609" spans="1:26" ht="15" x14ac:dyDescent="0.25">
      <c r="A6609" s="4" t="s">
        <v>6607</v>
      </c>
      <c r="B6609" s="4" t="s">
        <v>4550</v>
      </c>
      <c r="C6609" s="2" t="str">
        <f ca="1">IFERROR(__xludf.DUMMYFUNCTION("GOOGLETRANSLATE(A6609,""bn"",""en"")"),"The Prime Minister's meeting was held")</f>
        <v>The Prime Minister's meeting was held</v>
      </c>
      <c r="D6609" s="5"/>
      <c r="E6609" s="5"/>
      <c r="F6609" s="5"/>
      <c r="G6609" s="5"/>
      <c r="H6609" s="5"/>
      <c r="I6609" s="5"/>
      <c r="J6609" s="5"/>
      <c r="K6609" s="5"/>
      <c r="L6609" s="5"/>
      <c r="M6609" s="5"/>
      <c r="N6609" s="5"/>
      <c r="O6609" s="5"/>
      <c r="P6609" s="5"/>
      <c r="Q6609" s="5"/>
      <c r="R6609" s="5"/>
      <c r="S6609" s="5"/>
      <c r="T6609" s="5"/>
      <c r="U6609" s="5"/>
      <c r="V6609" s="5"/>
      <c r="W6609" s="5"/>
      <c r="X6609" s="5"/>
      <c r="Y6609" s="5"/>
      <c r="Z6609" s="5"/>
    </row>
    <row r="6610" spans="1:26" ht="15" x14ac:dyDescent="0.25">
      <c r="A6610" s="4" t="s">
        <v>6608</v>
      </c>
      <c r="B6610" s="4" t="s">
        <v>4550</v>
      </c>
      <c r="C6610" s="2" t="str">
        <f ca="1">IFERROR(__xludf.DUMMYFUNCTION("GOOGLETRANSLATE(A6610,""bn"",""en"")"),"I deposited the money")</f>
        <v>I deposited the money</v>
      </c>
      <c r="D6610" s="5"/>
      <c r="E6610" s="5"/>
      <c r="F6610" s="5"/>
      <c r="G6610" s="5"/>
      <c r="H6610" s="5"/>
      <c r="I6610" s="5"/>
      <c r="J6610" s="5"/>
      <c r="K6610" s="5"/>
      <c r="L6610" s="5"/>
      <c r="M6610" s="5"/>
      <c r="N6610" s="5"/>
      <c r="O6610" s="5"/>
      <c r="P6610" s="5"/>
      <c r="Q6610" s="5"/>
      <c r="R6610" s="5"/>
      <c r="S6610" s="5"/>
      <c r="T6610" s="5"/>
      <c r="U6610" s="5"/>
      <c r="V6610" s="5"/>
      <c r="W6610" s="5"/>
      <c r="X6610" s="5"/>
      <c r="Y6610" s="5"/>
      <c r="Z6610" s="5"/>
    </row>
    <row r="6611" spans="1:26" ht="15" x14ac:dyDescent="0.25">
      <c r="A6611" s="4" t="s">
        <v>6609</v>
      </c>
      <c r="B6611" s="4" t="s">
        <v>4550</v>
      </c>
      <c r="C6611" s="2" t="str">
        <f ca="1">IFERROR(__xludf.DUMMYFUNCTION("GOOGLETRANSLATE(A6611,""bn"",""en"")"),"He went on the path of politics")</f>
        <v>He went on the path of politics</v>
      </c>
      <c r="D6611" s="5"/>
      <c r="E6611" s="5"/>
      <c r="F6611" s="5"/>
      <c r="G6611" s="5"/>
      <c r="H6611" s="5"/>
      <c r="I6611" s="5"/>
      <c r="J6611" s="5"/>
      <c r="K6611" s="5"/>
      <c r="L6611" s="5"/>
      <c r="M6611" s="5"/>
      <c r="N6611" s="5"/>
      <c r="O6611" s="5"/>
      <c r="P6611" s="5"/>
      <c r="Q6611" s="5"/>
      <c r="R6611" s="5"/>
      <c r="S6611" s="5"/>
      <c r="T6611" s="5"/>
      <c r="U6611" s="5"/>
      <c r="V6611" s="5"/>
      <c r="W6611" s="5"/>
      <c r="X6611" s="5"/>
      <c r="Y6611" s="5"/>
      <c r="Z6611" s="5"/>
    </row>
    <row r="6612" spans="1:26" ht="15" x14ac:dyDescent="0.25">
      <c r="A6612" s="4" t="s">
        <v>6610</v>
      </c>
      <c r="B6612" s="4" t="s">
        <v>4550</v>
      </c>
      <c r="C6612" s="2" t="str">
        <f ca="1">IFERROR(__xludf.DUMMYFUNCTION("GOOGLETRANSLATE(A6612,""bn"",""en"")"),"He wrote essays")</f>
        <v>He wrote essays</v>
      </c>
      <c r="D6612" s="5"/>
      <c r="E6612" s="5"/>
      <c r="F6612" s="5"/>
      <c r="G6612" s="5"/>
      <c r="H6612" s="5"/>
      <c r="I6612" s="5"/>
      <c r="J6612" s="5"/>
      <c r="K6612" s="5"/>
      <c r="L6612" s="5"/>
      <c r="M6612" s="5"/>
      <c r="N6612" s="5"/>
      <c r="O6612" s="5"/>
      <c r="P6612" s="5"/>
      <c r="Q6612" s="5"/>
      <c r="R6612" s="5"/>
      <c r="S6612" s="5"/>
      <c r="T6612" s="5"/>
      <c r="U6612" s="5"/>
      <c r="V6612" s="5"/>
      <c r="W6612" s="5"/>
      <c r="X6612" s="5"/>
      <c r="Y6612" s="5"/>
      <c r="Z6612" s="5"/>
    </row>
    <row r="6613" spans="1:26" ht="15" x14ac:dyDescent="0.25">
      <c r="A6613" s="4" t="s">
        <v>6611</v>
      </c>
      <c r="B6613" s="4" t="s">
        <v>4550</v>
      </c>
      <c r="C6613" s="2" t="str">
        <f ca="1">IFERROR(__xludf.DUMMYFUNCTION("GOOGLETRANSLATE(A6613,""bn"",""en"")"),"Food was providing energy")</f>
        <v>Food was providing energy</v>
      </c>
      <c r="D6613" s="5"/>
      <c r="E6613" s="5"/>
      <c r="F6613" s="5"/>
      <c r="G6613" s="5"/>
      <c r="H6613" s="5"/>
      <c r="I6613" s="5"/>
      <c r="J6613" s="5"/>
      <c r="K6613" s="5"/>
      <c r="L6613" s="5"/>
      <c r="M6613" s="5"/>
      <c r="N6613" s="5"/>
      <c r="O6613" s="5"/>
      <c r="P6613" s="5"/>
      <c r="Q6613" s="5"/>
      <c r="R6613" s="5"/>
      <c r="S6613" s="5"/>
      <c r="T6613" s="5"/>
      <c r="U6613" s="5"/>
      <c r="V6613" s="5"/>
      <c r="W6613" s="5"/>
      <c r="X6613" s="5"/>
      <c r="Y6613" s="5"/>
      <c r="Z6613" s="5"/>
    </row>
    <row r="6614" spans="1:26" ht="15" x14ac:dyDescent="0.25">
      <c r="A6614" s="4" t="s">
        <v>6612</v>
      </c>
      <c r="B6614" s="4" t="s">
        <v>4550</v>
      </c>
      <c r="C6614" s="2" t="str">
        <f ca="1">IFERROR(__xludf.DUMMYFUNCTION("GOOGLETRANSLATE(A6614,""bn"",""en"")"),"The teachers did the research")</f>
        <v>The teachers did the research</v>
      </c>
      <c r="D6614" s="5"/>
      <c r="E6614" s="5"/>
      <c r="F6614" s="5"/>
      <c r="G6614" s="5"/>
      <c r="H6614" s="5"/>
      <c r="I6614" s="5"/>
      <c r="J6614" s="5"/>
      <c r="K6614" s="5"/>
      <c r="L6614" s="5"/>
      <c r="M6614" s="5"/>
      <c r="N6614" s="5"/>
      <c r="O6614" s="5"/>
      <c r="P6614" s="5"/>
      <c r="Q6614" s="5"/>
      <c r="R6614" s="5"/>
      <c r="S6614" s="5"/>
      <c r="T6614" s="5"/>
      <c r="U6614" s="5"/>
      <c r="V6614" s="5"/>
      <c r="W6614" s="5"/>
      <c r="X6614" s="5"/>
      <c r="Y6614" s="5"/>
      <c r="Z6614" s="5"/>
    </row>
    <row r="6615" spans="1:26" ht="15" x14ac:dyDescent="0.25">
      <c r="A6615" s="4" t="s">
        <v>6613</v>
      </c>
      <c r="B6615" s="4" t="s">
        <v>4550</v>
      </c>
      <c r="C6615" s="2" t="str">
        <f ca="1">IFERROR(__xludf.DUMMYFUNCTION("GOOGLETRANSLATE(A6615,""bn"",""en"")"),"Students were playing football")</f>
        <v>Students were playing football</v>
      </c>
      <c r="D6615" s="5"/>
      <c r="E6615" s="5"/>
      <c r="F6615" s="5"/>
      <c r="G6615" s="5"/>
      <c r="H6615" s="5"/>
      <c r="I6615" s="5"/>
      <c r="J6615" s="5"/>
      <c r="K6615" s="5"/>
      <c r="L6615" s="5"/>
      <c r="M6615" s="5"/>
      <c r="N6615" s="5"/>
      <c r="O6615" s="5"/>
      <c r="P6615" s="5"/>
      <c r="Q6615" s="5"/>
      <c r="R6615" s="5"/>
      <c r="S6615" s="5"/>
      <c r="T6615" s="5"/>
      <c r="U6615" s="5"/>
      <c r="V6615" s="5"/>
      <c r="W6615" s="5"/>
      <c r="X6615" s="5"/>
      <c r="Y6615" s="5"/>
      <c r="Z6615" s="5"/>
    </row>
    <row r="6616" spans="1:26" ht="15" x14ac:dyDescent="0.25">
      <c r="A6616" s="4" t="s">
        <v>6614</v>
      </c>
      <c r="B6616" s="4" t="s">
        <v>4550</v>
      </c>
      <c r="C6616" s="2" t="str">
        <f ca="1">IFERROR(__xludf.DUMMYFUNCTION("GOOGLETRANSLATE(A6616,""bn"",""en"")"),"Finances improved")</f>
        <v>Finances improved</v>
      </c>
      <c r="D6616" s="5"/>
      <c r="E6616" s="5"/>
      <c r="F6616" s="5"/>
      <c r="G6616" s="5"/>
      <c r="H6616" s="5"/>
      <c r="I6616" s="5"/>
      <c r="J6616" s="5"/>
      <c r="K6616" s="5"/>
      <c r="L6616" s="5"/>
      <c r="M6616" s="5"/>
      <c r="N6616" s="5"/>
      <c r="O6616" s="5"/>
      <c r="P6616" s="5"/>
      <c r="Q6616" s="5"/>
      <c r="R6616" s="5"/>
      <c r="S6616" s="5"/>
      <c r="T6616" s="5"/>
      <c r="U6616" s="5"/>
      <c r="V6616" s="5"/>
      <c r="W6616" s="5"/>
      <c r="X6616" s="5"/>
      <c r="Y6616" s="5"/>
      <c r="Z6616" s="5"/>
    </row>
    <row r="6617" spans="1:26" ht="15" x14ac:dyDescent="0.25">
      <c r="A6617" s="4" t="s">
        <v>6615</v>
      </c>
      <c r="B6617" s="4" t="s">
        <v>4550</v>
      </c>
      <c r="C6617" s="2" t="str">
        <f ca="1">IFERROR(__xludf.DUMMYFUNCTION("GOOGLETRANSLATE(A6617,""bn"",""en"")"),"I ate padma hilsa")</f>
        <v>I ate padma hilsa</v>
      </c>
      <c r="D6617" s="5"/>
      <c r="E6617" s="5"/>
      <c r="F6617" s="5"/>
      <c r="G6617" s="5"/>
      <c r="H6617" s="5"/>
      <c r="I6617" s="5"/>
      <c r="J6617" s="5"/>
      <c r="K6617" s="5"/>
      <c r="L6617" s="5"/>
      <c r="M6617" s="5"/>
      <c r="N6617" s="5"/>
      <c r="O6617" s="5"/>
      <c r="P6617" s="5"/>
      <c r="Q6617" s="5"/>
      <c r="R6617" s="5"/>
      <c r="S6617" s="5"/>
      <c r="T6617" s="5"/>
      <c r="U6617" s="5"/>
      <c r="V6617" s="5"/>
      <c r="W6617" s="5"/>
      <c r="X6617" s="5"/>
      <c r="Y6617" s="5"/>
      <c r="Z6617" s="5"/>
    </row>
    <row r="6618" spans="1:26" ht="15" x14ac:dyDescent="0.25">
      <c r="A6618" s="4" t="s">
        <v>6616</v>
      </c>
      <c r="B6618" s="4" t="s">
        <v>4550</v>
      </c>
      <c r="C6618" s="2" t="str">
        <f ca="1">IFERROR(__xludf.DUMMYFUNCTION("GOOGLETRANSLATE(A6618,""bn"",""en"")"),"Teams were helping")</f>
        <v>Teams were helping</v>
      </c>
      <c r="D6618" s="5"/>
      <c r="E6618" s="5"/>
      <c r="F6618" s="5"/>
      <c r="G6618" s="5"/>
      <c r="H6618" s="5"/>
      <c r="I6618" s="5"/>
      <c r="J6618" s="5"/>
      <c r="K6618" s="5"/>
      <c r="L6618" s="5"/>
      <c r="M6618" s="5"/>
      <c r="N6618" s="5"/>
      <c r="O6618" s="5"/>
      <c r="P6618" s="5"/>
      <c r="Q6618" s="5"/>
      <c r="R6618" s="5"/>
      <c r="S6618" s="5"/>
      <c r="T6618" s="5"/>
      <c r="U6618" s="5"/>
      <c r="V6618" s="5"/>
      <c r="W6618" s="5"/>
      <c r="X6618" s="5"/>
      <c r="Y6618" s="5"/>
      <c r="Z6618" s="5"/>
    </row>
    <row r="6619" spans="1:26" ht="15" x14ac:dyDescent="0.25">
      <c r="A6619" s="4" t="s">
        <v>6617</v>
      </c>
      <c r="B6619" s="4" t="s">
        <v>4550</v>
      </c>
      <c r="C6619" s="2" t="str">
        <f ca="1">IFERROR(__xludf.DUMMYFUNCTION("GOOGLETRANSLATE(A6619,""bn"",""en"")"),"I took pictures using the camera")</f>
        <v>I took pictures using the camera</v>
      </c>
      <c r="D6619" s="5"/>
      <c r="E6619" s="5"/>
      <c r="F6619" s="5"/>
      <c r="G6619" s="5"/>
      <c r="H6619" s="5"/>
      <c r="I6619" s="5"/>
      <c r="J6619" s="5"/>
      <c r="K6619" s="5"/>
      <c r="L6619" s="5"/>
      <c r="M6619" s="5"/>
      <c r="N6619" s="5"/>
      <c r="O6619" s="5"/>
      <c r="P6619" s="5"/>
      <c r="Q6619" s="5"/>
      <c r="R6619" s="5"/>
      <c r="S6619" s="5"/>
      <c r="T6619" s="5"/>
      <c r="U6619" s="5"/>
      <c r="V6619" s="5"/>
      <c r="W6619" s="5"/>
      <c r="X6619" s="5"/>
      <c r="Y6619" s="5"/>
      <c r="Z6619" s="5"/>
    </row>
    <row r="6620" spans="1:26" ht="15" x14ac:dyDescent="0.25">
      <c r="A6620" s="4" t="s">
        <v>6618</v>
      </c>
      <c r="B6620" s="4" t="s">
        <v>4550</v>
      </c>
      <c r="C6620" s="2" t="str">
        <f ca="1">IFERROR(__xludf.DUMMYFUNCTION("GOOGLETRANSLATE(A6620,""bn"",""en"")"),"Went for entertainment")</f>
        <v>Went for entertainment</v>
      </c>
      <c r="D6620" s="5"/>
      <c r="E6620" s="5"/>
      <c r="F6620" s="5"/>
      <c r="G6620" s="5"/>
      <c r="H6620" s="5"/>
      <c r="I6620" s="5"/>
      <c r="J6620" s="5"/>
      <c r="K6620" s="5"/>
      <c r="L6620" s="5"/>
      <c r="M6620" s="5"/>
      <c r="N6620" s="5"/>
      <c r="O6620" s="5"/>
      <c r="P6620" s="5"/>
      <c r="Q6620" s="5"/>
      <c r="R6620" s="5"/>
      <c r="S6620" s="5"/>
      <c r="T6620" s="5"/>
      <c r="U6620" s="5"/>
      <c r="V6620" s="5"/>
      <c r="W6620" s="5"/>
      <c r="X6620" s="5"/>
      <c r="Y6620" s="5"/>
      <c r="Z6620" s="5"/>
    </row>
    <row r="6621" spans="1:26" ht="15" x14ac:dyDescent="0.25">
      <c r="A6621" s="4" t="s">
        <v>6619</v>
      </c>
      <c r="B6621" s="4" t="s">
        <v>4550</v>
      </c>
      <c r="C6621" s="2" t="str">
        <f ca="1">IFERROR(__xludf.DUMMYFUNCTION("GOOGLETRANSLATE(A6621,""bn"",""en"")"),"I did cash banking")</f>
        <v>I did cash banking</v>
      </c>
      <c r="D6621" s="5"/>
      <c r="E6621" s="5"/>
      <c r="F6621" s="5"/>
      <c r="G6621" s="5"/>
      <c r="H6621" s="5"/>
      <c r="I6621" s="5"/>
      <c r="J6621" s="5"/>
      <c r="K6621" s="5"/>
      <c r="L6621" s="5"/>
      <c r="M6621" s="5"/>
      <c r="N6621" s="5"/>
      <c r="O6621" s="5"/>
      <c r="P6621" s="5"/>
      <c r="Q6621" s="5"/>
      <c r="R6621" s="5"/>
      <c r="S6621" s="5"/>
      <c r="T6621" s="5"/>
      <c r="U6621" s="5"/>
      <c r="V6621" s="5"/>
      <c r="W6621" s="5"/>
      <c r="X6621" s="5"/>
      <c r="Y6621" s="5"/>
      <c r="Z6621" s="5"/>
    </row>
    <row r="6622" spans="1:26" ht="15" x14ac:dyDescent="0.25">
      <c r="A6622" s="4" t="s">
        <v>6620</v>
      </c>
      <c r="B6622" s="4" t="s">
        <v>4550</v>
      </c>
      <c r="C6622" s="2" t="str">
        <f ca="1">IFERROR(__xludf.DUMMYFUNCTION("GOOGLETRANSLATE(A6622,""bn"",""en"")"),"I used a laptop")</f>
        <v>I used a laptop</v>
      </c>
      <c r="D6622" s="5"/>
      <c r="E6622" s="5"/>
      <c r="F6622" s="5"/>
      <c r="G6622" s="5"/>
      <c r="H6622" s="5"/>
      <c r="I6622" s="5"/>
      <c r="J6622" s="5"/>
      <c r="K6622" s="5"/>
      <c r="L6622" s="5"/>
      <c r="M6622" s="5"/>
      <c r="N6622" s="5"/>
      <c r="O6622" s="5"/>
      <c r="P6622" s="5"/>
      <c r="Q6622" s="5"/>
      <c r="R6622" s="5"/>
      <c r="S6622" s="5"/>
      <c r="T6622" s="5"/>
      <c r="U6622" s="5"/>
      <c r="V6622" s="5"/>
      <c r="W6622" s="5"/>
      <c r="X6622" s="5"/>
      <c r="Y6622" s="5"/>
      <c r="Z6622" s="5"/>
    </row>
    <row r="6623" spans="1:26" ht="15" x14ac:dyDescent="0.25">
      <c r="A6623" s="4" t="s">
        <v>6621</v>
      </c>
      <c r="B6623" s="4" t="s">
        <v>4550</v>
      </c>
      <c r="C6623" s="2" t="str">
        <f ca="1">IFERROR(__xludf.DUMMYFUNCTION("GOOGLETRANSLATE(A6623,""bn"",""en"")"),"Agriculture was improving")</f>
        <v>Agriculture was improving</v>
      </c>
      <c r="D6623" s="5"/>
      <c r="E6623" s="5"/>
      <c r="F6623" s="5"/>
      <c r="G6623" s="5"/>
      <c r="H6623" s="5"/>
      <c r="I6623" s="5"/>
      <c r="J6623" s="5"/>
      <c r="K6623" s="5"/>
      <c r="L6623" s="5"/>
      <c r="M6623" s="5"/>
      <c r="N6623" s="5"/>
      <c r="O6623" s="5"/>
      <c r="P6623" s="5"/>
      <c r="Q6623" s="5"/>
      <c r="R6623" s="5"/>
      <c r="S6623" s="5"/>
      <c r="T6623" s="5"/>
      <c r="U6623" s="5"/>
      <c r="V6623" s="5"/>
      <c r="W6623" s="5"/>
      <c r="X6623" s="5"/>
      <c r="Y6623" s="5"/>
      <c r="Z6623" s="5"/>
    </row>
    <row r="6624" spans="1:26" ht="15" x14ac:dyDescent="0.25">
      <c r="A6624" s="4" t="s">
        <v>6622</v>
      </c>
      <c r="B6624" s="4" t="s">
        <v>4550</v>
      </c>
      <c r="C6624" s="2" t="str">
        <f ca="1">IFERROR(__xludf.DUMMYFUNCTION("GOOGLETRANSLATE(A6624,""bn"",""en"")"),"Everyone had love")</f>
        <v>Everyone had love</v>
      </c>
      <c r="D6624" s="5"/>
      <c r="E6624" s="5"/>
      <c r="F6624" s="5"/>
      <c r="G6624" s="5"/>
      <c r="H6624" s="5"/>
      <c r="I6624" s="5"/>
      <c r="J6624" s="5"/>
      <c r="K6624" s="5"/>
      <c r="L6624" s="5"/>
      <c r="M6624" s="5"/>
      <c r="N6624" s="5"/>
      <c r="O6624" s="5"/>
      <c r="P6624" s="5"/>
      <c r="Q6624" s="5"/>
      <c r="R6624" s="5"/>
      <c r="S6624" s="5"/>
      <c r="T6624" s="5"/>
      <c r="U6624" s="5"/>
      <c r="V6624" s="5"/>
      <c r="W6624" s="5"/>
      <c r="X6624" s="5"/>
      <c r="Y6624" s="5"/>
      <c r="Z6624" s="5"/>
    </row>
    <row r="6625" spans="1:26" ht="15" x14ac:dyDescent="0.25">
      <c r="A6625" s="4" t="s">
        <v>6623</v>
      </c>
      <c r="B6625" s="4" t="s">
        <v>4550</v>
      </c>
      <c r="C6625" s="2" t="str">
        <f ca="1">IFERROR(__xludf.DUMMYFUNCTION("GOOGLETRANSLATE(A6625,""bn"",""en"")"),"He was studying history")</f>
        <v>He was studying history</v>
      </c>
      <c r="D6625" s="5"/>
      <c r="E6625" s="5"/>
      <c r="F6625" s="5"/>
      <c r="G6625" s="5"/>
      <c r="H6625" s="5"/>
      <c r="I6625" s="5"/>
      <c r="J6625" s="5"/>
      <c r="K6625" s="5"/>
      <c r="L6625" s="5"/>
      <c r="M6625" s="5"/>
      <c r="N6625" s="5"/>
      <c r="O6625" s="5"/>
      <c r="P6625" s="5"/>
      <c r="Q6625" s="5"/>
      <c r="R6625" s="5"/>
      <c r="S6625" s="5"/>
      <c r="T6625" s="5"/>
      <c r="U6625" s="5"/>
      <c r="V6625" s="5"/>
      <c r="W6625" s="5"/>
      <c r="X6625" s="5"/>
      <c r="Y6625" s="5"/>
      <c r="Z6625" s="5"/>
    </row>
    <row r="6626" spans="1:26" ht="15" x14ac:dyDescent="0.25">
      <c r="A6626" s="4" t="s">
        <v>6624</v>
      </c>
      <c r="B6626" s="4" t="s">
        <v>4550</v>
      </c>
      <c r="C6626" s="2" t="str">
        <f ca="1">IFERROR(__xludf.DUMMYFUNCTION("GOOGLETRANSLATE(A6626,""bn"",""en"")"),"Law was asked to prepare")</f>
        <v>Law was asked to prepare</v>
      </c>
      <c r="D6626" s="5"/>
      <c r="E6626" s="5"/>
      <c r="F6626" s="5"/>
      <c r="G6626" s="5"/>
      <c r="H6626" s="5"/>
      <c r="I6626" s="5"/>
      <c r="J6626" s="5"/>
      <c r="K6626" s="5"/>
      <c r="L6626" s="5"/>
      <c r="M6626" s="5"/>
      <c r="N6626" s="5"/>
      <c r="O6626" s="5"/>
      <c r="P6626" s="5"/>
      <c r="Q6626" s="5"/>
      <c r="R6626" s="5"/>
      <c r="S6626" s="5"/>
      <c r="T6626" s="5"/>
      <c r="U6626" s="5"/>
      <c r="V6626" s="5"/>
      <c r="W6626" s="5"/>
      <c r="X6626" s="5"/>
      <c r="Y6626" s="5"/>
      <c r="Z6626" s="5"/>
    </row>
    <row r="6627" spans="1:26" ht="15" x14ac:dyDescent="0.25">
      <c r="A6627" s="4" t="s">
        <v>6625</v>
      </c>
      <c r="B6627" s="4" t="s">
        <v>4550</v>
      </c>
      <c r="C6627" s="2" t="str">
        <f ca="1">IFERROR(__xludf.DUMMYFUNCTION("GOOGLETRANSLATE(A6627,""bn"",""en"")"),"The law was prepared")</f>
        <v>The law was prepared</v>
      </c>
      <c r="D6627" s="5"/>
      <c r="E6627" s="5"/>
      <c r="F6627" s="5"/>
      <c r="G6627" s="5"/>
      <c r="H6627" s="5"/>
      <c r="I6627" s="5"/>
      <c r="J6627" s="5"/>
      <c r="K6627" s="5"/>
      <c r="L6627" s="5"/>
      <c r="M6627" s="5"/>
      <c r="N6627" s="5"/>
      <c r="O6627" s="5"/>
      <c r="P6627" s="5"/>
      <c r="Q6627" s="5"/>
      <c r="R6627" s="5"/>
      <c r="S6627" s="5"/>
      <c r="T6627" s="5"/>
      <c r="U6627" s="5"/>
      <c r="V6627" s="5"/>
      <c r="W6627" s="5"/>
      <c r="X6627" s="5"/>
      <c r="Y6627" s="5"/>
      <c r="Z6627" s="5"/>
    </row>
    <row r="6628" spans="1:26" ht="15" x14ac:dyDescent="0.25">
      <c r="A6628" s="4" t="s">
        <v>6626</v>
      </c>
      <c r="B6628" s="4" t="s">
        <v>4550</v>
      </c>
      <c r="C6628" s="2" t="str">
        <f ca="1">IFERROR(__xludf.DUMMYFUNCTION("GOOGLETRANSLATE(A6628,""bn"",""en"")"),"Mainul was reading prose")</f>
        <v>Mainul was reading prose</v>
      </c>
      <c r="D6628" s="5"/>
      <c r="E6628" s="5"/>
      <c r="F6628" s="5"/>
      <c r="G6628" s="5"/>
      <c r="H6628" s="5"/>
      <c r="I6628" s="5"/>
      <c r="J6628" s="5"/>
      <c r="K6628" s="5"/>
      <c r="L6628" s="5"/>
      <c r="M6628" s="5"/>
      <c r="N6628" s="5"/>
      <c r="O6628" s="5"/>
      <c r="P6628" s="5"/>
      <c r="Q6628" s="5"/>
      <c r="R6628" s="5"/>
      <c r="S6628" s="5"/>
      <c r="T6628" s="5"/>
      <c r="U6628" s="5"/>
      <c r="V6628" s="5"/>
      <c r="W6628" s="5"/>
      <c r="X6628" s="5"/>
      <c r="Y6628" s="5"/>
      <c r="Z6628" s="5"/>
    </row>
    <row r="6629" spans="1:26" ht="15" x14ac:dyDescent="0.25">
      <c r="A6629" s="4" t="s">
        <v>6627</v>
      </c>
      <c r="B6629" s="4" t="s">
        <v>4550</v>
      </c>
      <c r="C6629" s="2" t="str">
        <f ca="1">IFERROR(__xludf.DUMMYFUNCTION("GOOGLETRANSLATE(A6629,""bn"",""en"")"),"I used ereader")</f>
        <v>I used ereader</v>
      </c>
      <c r="D6629" s="5"/>
      <c r="E6629" s="5"/>
      <c r="F6629" s="5"/>
      <c r="G6629" s="5"/>
      <c r="H6629" s="5"/>
      <c r="I6629" s="5"/>
      <c r="J6629" s="5"/>
      <c r="K6629" s="5"/>
      <c r="L6629" s="5"/>
      <c r="M6629" s="5"/>
      <c r="N6629" s="5"/>
      <c r="O6629" s="5"/>
      <c r="P6629" s="5"/>
      <c r="Q6629" s="5"/>
      <c r="R6629" s="5"/>
      <c r="S6629" s="5"/>
      <c r="T6629" s="5"/>
      <c r="U6629" s="5"/>
      <c r="V6629" s="5"/>
      <c r="W6629" s="5"/>
      <c r="X6629" s="5"/>
      <c r="Y6629" s="5"/>
      <c r="Z6629" s="5"/>
    </row>
    <row r="6630" spans="1:26" ht="15" x14ac:dyDescent="0.25">
      <c r="A6630" s="4" t="s">
        <v>6628</v>
      </c>
      <c r="B6630" s="4" t="s">
        <v>4550</v>
      </c>
      <c r="C6630" s="2" t="str">
        <f ca="1">IFERROR(__xludf.DUMMYFUNCTION("GOOGLETRANSLATE(A6630,""bn"",""en"")"),"History was being discussed")</f>
        <v>History was being discussed</v>
      </c>
      <c r="D6630" s="5"/>
      <c r="E6630" s="5"/>
      <c r="F6630" s="5"/>
      <c r="G6630" s="5"/>
      <c r="H6630" s="5"/>
      <c r="I6630" s="5"/>
      <c r="J6630" s="5"/>
      <c r="K6630" s="5"/>
      <c r="L6630" s="5"/>
      <c r="M6630" s="5"/>
      <c r="N6630" s="5"/>
      <c r="O6630" s="5"/>
      <c r="P6630" s="5"/>
      <c r="Q6630" s="5"/>
      <c r="R6630" s="5"/>
      <c r="S6630" s="5"/>
      <c r="T6630" s="5"/>
      <c r="U6630" s="5"/>
      <c r="V6630" s="5"/>
      <c r="W6630" s="5"/>
      <c r="X6630" s="5"/>
      <c r="Y6630" s="5"/>
      <c r="Z6630" s="5"/>
    </row>
    <row r="6631" spans="1:26" ht="15" x14ac:dyDescent="0.25">
      <c r="A6631" s="4" t="s">
        <v>6629</v>
      </c>
      <c r="B6631" s="4" t="s">
        <v>4550</v>
      </c>
      <c r="C6631" s="2" t="str">
        <f ca="1">IFERROR(__xludf.DUMMYFUNCTION("GOOGLETRANSLATE(A6631,""bn"",""en"")"),"I went to Mecca")</f>
        <v>I went to Mecca</v>
      </c>
      <c r="D6631" s="5"/>
      <c r="E6631" s="5"/>
      <c r="F6631" s="5"/>
      <c r="G6631" s="5"/>
      <c r="H6631" s="5"/>
      <c r="I6631" s="5"/>
      <c r="J6631" s="5"/>
      <c r="K6631" s="5"/>
      <c r="L6631" s="5"/>
      <c r="M6631" s="5"/>
      <c r="N6631" s="5"/>
      <c r="O6631" s="5"/>
      <c r="P6631" s="5"/>
      <c r="Q6631" s="5"/>
      <c r="R6631" s="5"/>
      <c r="S6631" s="5"/>
      <c r="T6631" s="5"/>
      <c r="U6631" s="5"/>
      <c r="V6631" s="5"/>
      <c r="W6631" s="5"/>
      <c r="X6631" s="5"/>
      <c r="Y6631" s="5"/>
      <c r="Z6631" s="5"/>
    </row>
    <row r="6632" spans="1:26" ht="15" x14ac:dyDescent="0.25">
      <c r="A6632" s="4" t="s">
        <v>6630</v>
      </c>
      <c r="B6632" s="4" t="s">
        <v>4550</v>
      </c>
      <c r="C6632" s="2" t="str">
        <f ca="1">IFERROR(__xludf.DUMMYFUNCTION("GOOGLETRANSLATE(A6632,""bn"",""en"")"),"They were good")</f>
        <v>They were good</v>
      </c>
      <c r="D6632" s="5"/>
      <c r="E6632" s="5"/>
      <c r="F6632" s="5"/>
      <c r="G6632" s="5"/>
      <c r="H6632" s="5"/>
      <c r="I6632" s="5"/>
      <c r="J6632" s="5"/>
      <c r="K6632" s="5"/>
      <c r="L6632" s="5"/>
      <c r="M6632" s="5"/>
      <c r="N6632" s="5"/>
      <c r="O6632" s="5"/>
      <c r="P6632" s="5"/>
      <c r="Q6632" s="5"/>
      <c r="R6632" s="5"/>
      <c r="S6632" s="5"/>
      <c r="T6632" s="5"/>
      <c r="U6632" s="5"/>
      <c r="V6632" s="5"/>
      <c r="W6632" s="5"/>
      <c r="X6632" s="5"/>
      <c r="Y6632" s="5"/>
      <c r="Z6632" s="5"/>
    </row>
    <row r="6633" spans="1:26" ht="15" x14ac:dyDescent="0.25">
      <c r="A6633" s="4" t="s">
        <v>6631</v>
      </c>
      <c r="B6633" s="4" t="s">
        <v>4550</v>
      </c>
      <c r="C6633" s="2" t="str">
        <f ca="1">IFERROR(__xludf.DUMMYFUNCTION("GOOGLETRANSLATE(A6633,""bn"",""en"")"),"I traveled by sea")</f>
        <v>I traveled by sea</v>
      </c>
      <c r="D6633" s="5"/>
      <c r="E6633" s="5"/>
      <c r="F6633" s="5"/>
      <c r="G6633" s="5"/>
      <c r="H6633" s="5"/>
      <c r="I6633" s="5"/>
      <c r="J6633" s="5"/>
      <c r="K6633" s="5"/>
      <c r="L6633" s="5"/>
      <c r="M6633" s="5"/>
      <c r="N6633" s="5"/>
      <c r="O6633" s="5"/>
      <c r="P6633" s="5"/>
      <c r="Q6633" s="5"/>
      <c r="R6633" s="5"/>
      <c r="S6633" s="5"/>
      <c r="T6633" s="5"/>
      <c r="U6633" s="5"/>
      <c r="V6633" s="5"/>
      <c r="W6633" s="5"/>
      <c r="X6633" s="5"/>
      <c r="Y6633" s="5"/>
      <c r="Z6633" s="5"/>
    </row>
    <row r="6634" spans="1:26" ht="15" x14ac:dyDescent="0.25">
      <c r="A6634" s="4" t="s">
        <v>6632</v>
      </c>
      <c r="B6634" s="4" t="s">
        <v>4550</v>
      </c>
      <c r="C6634" s="2" t="str">
        <f ca="1">IFERROR(__xludf.DUMMYFUNCTION("GOOGLETRANSLATE(A6634,""bn"",""en"")"),"I was exchanging messages")</f>
        <v>I was exchanging messages</v>
      </c>
      <c r="D6634" s="5"/>
      <c r="E6634" s="5"/>
      <c r="F6634" s="5"/>
      <c r="G6634" s="5"/>
      <c r="H6634" s="5"/>
      <c r="I6634" s="5"/>
      <c r="J6634" s="5"/>
      <c r="K6634" s="5"/>
      <c r="L6634" s="5"/>
      <c r="M6634" s="5"/>
      <c r="N6634" s="5"/>
      <c r="O6634" s="5"/>
      <c r="P6634" s="5"/>
      <c r="Q6634" s="5"/>
      <c r="R6634" s="5"/>
      <c r="S6634" s="5"/>
      <c r="T6634" s="5"/>
      <c r="U6634" s="5"/>
      <c r="V6634" s="5"/>
      <c r="W6634" s="5"/>
      <c r="X6634" s="5"/>
      <c r="Y6634" s="5"/>
      <c r="Z6634" s="5"/>
    </row>
    <row r="6635" spans="1:26" ht="15" x14ac:dyDescent="0.25">
      <c r="A6635" s="4" t="s">
        <v>6633</v>
      </c>
      <c r="B6635" s="4" t="s">
        <v>4550</v>
      </c>
      <c r="C6635" s="2" t="str">
        <f ca="1">IFERROR(__xludf.DUMMYFUNCTION("GOOGLETRANSLATE(A6635,""bn"",""en"")"),"He was reading the Quran")</f>
        <v>He was reading the Quran</v>
      </c>
      <c r="D6635" s="5"/>
      <c r="E6635" s="5"/>
      <c r="F6635" s="5"/>
      <c r="G6635" s="5"/>
      <c r="H6635" s="5"/>
      <c r="I6635" s="5"/>
      <c r="J6635" s="5"/>
      <c r="K6635" s="5"/>
      <c r="L6635" s="5"/>
      <c r="M6635" s="5"/>
      <c r="N6635" s="5"/>
      <c r="O6635" s="5"/>
      <c r="P6635" s="5"/>
      <c r="Q6635" s="5"/>
      <c r="R6635" s="5"/>
      <c r="S6635" s="5"/>
      <c r="T6635" s="5"/>
      <c r="U6635" s="5"/>
      <c r="V6635" s="5"/>
      <c r="W6635" s="5"/>
      <c r="X6635" s="5"/>
      <c r="Y6635" s="5"/>
      <c r="Z6635" s="5"/>
    </row>
    <row r="6636" spans="1:26" ht="15" x14ac:dyDescent="0.25">
      <c r="A6636" s="4" t="s">
        <v>6634</v>
      </c>
      <c r="B6636" s="4" t="s">
        <v>4550</v>
      </c>
      <c r="C6636" s="2" t="str">
        <f ca="1">IFERROR(__xludf.DUMMYFUNCTION("GOOGLETRANSLATE(A6636,""bn"",""en"")"),"I was succeeding")</f>
        <v>I was succeeding</v>
      </c>
      <c r="D6636" s="5"/>
      <c r="E6636" s="5"/>
      <c r="F6636" s="5"/>
      <c r="G6636" s="5"/>
      <c r="H6636" s="5"/>
      <c r="I6636" s="5"/>
      <c r="J6636" s="5"/>
      <c r="K6636" s="5"/>
      <c r="L6636" s="5"/>
      <c r="M6636" s="5"/>
      <c r="N6636" s="5"/>
      <c r="O6636" s="5"/>
      <c r="P6636" s="5"/>
      <c r="Q6636" s="5"/>
      <c r="R6636" s="5"/>
      <c r="S6636" s="5"/>
      <c r="T6636" s="5"/>
      <c r="U6636" s="5"/>
      <c r="V6636" s="5"/>
      <c r="W6636" s="5"/>
      <c r="X6636" s="5"/>
      <c r="Y6636" s="5"/>
      <c r="Z6636" s="5"/>
    </row>
    <row r="6637" spans="1:26" ht="15" x14ac:dyDescent="0.25">
      <c r="A6637" s="4" t="s">
        <v>6635</v>
      </c>
      <c r="B6637" s="4" t="s">
        <v>4550</v>
      </c>
      <c r="C6637" s="2" t="str">
        <f ca="1">IFERROR(__xludf.DUMMYFUNCTION("GOOGLETRANSLATE(A6637,""bn"",""en"")"),"The forest was beautiful")</f>
        <v>The forest was beautiful</v>
      </c>
      <c r="D6637" s="5"/>
      <c r="E6637" s="5"/>
      <c r="F6637" s="5"/>
      <c r="G6637" s="5"/>
      <c r="H6637" s="5"/>
      <c r="I6637" s="5"/>
      <c r="J6637" s="5"/>
      <c r="K6637" s="5"/>
      <c r="L6637" s="5"/>
      <c r="M6637" s="5"/>
      <c r="N6637" s="5"/>
      <c r="O6637" s="5"/>
      <c r="P6637" s="5"/>
      <c r="Q6637" s="5"/>
      <c r="R6637" s="5"/>
      <c r="S6637" s="5"/>
      <c r="T6637" s="5"/>
      <c r="U6637" s="5"/>
      <c r="V6637" s="5"/>
      <c r="W6637" s="5"/>
      <c r="X6637" s="5"/>
      <c r="Y6637" s="5"/>
      <c r="Z6637" s="5"/>
    </row>
    <row r="6638" spans="1:26" ht="15" x14ac:dyDescent="0.25">
      <c r="A6638" s="4" t="s">
        <v>6636</v>
      </c>
      <c r="B6638" s="4" t="s">
        <v>4550</v>
      </c>
      <c r="C6638" s="2" t="str">
        <f ca="1">IFERROR(__xludf.DUMMYFUNCTION("GOOGLETRANSLATE(A6638,""bn"",""en"")"),"He played tennis")</f>
        <v>He played tennis</v>
      </c>
      <c r="D6638" s="5"/>
      <c r="E6638" s="5"/>
      <c r="F6638" s="5"/>
      <c r="G6638" s="5"/>
      <c r="H6638" s="5"/>
      <c r="I6638" s="5"/>
      <c r="J6638" s="5"/>
      <c r="K6638" s="5"/>
      <c r="L6638" s="5"/>
      <c r="M6638" s="5"/>
      <c r="N6638" s="5"/>
      <c r="O6638" s="5"/>
      <c r="P6638" s="5"/>
      <c r="Q6638" s="5"/>
      <c r="R6638" s="5"/>
      <c r="S6638" s="5"/>
      <c r="T6638" s="5"/>
      <c r="U6638" s="5"/>
      <c r="V6638" s="5"/>
      <c r="W6638" s="5"/>
      <c r="X6638" s="5"/>
      <c r="Y6638" s="5"/>
      <c r="Z6638" s="5"/>
    </row>
    <row r="6639" spans="1:26" ht="15" x14ac:dyDescent="0.25">
      <c r="A6639" s="4" t="s">
        <v>6637</v>
      </c>
      <c r="B6639" s="4" t="s">
        <v>4550</v>
      </c>
      <c r="C6639" s="2" t="str">
        <f ca="1">IFERROR(__xludf.DUMMYFUNCTION("GOOGLETRANSLATE(A6639,""bn"",""en"")"),"Everyone watched the game")</f>
        <v>Everyone watched the game</v>
      </c>
      <c r="D6639" s="5"/>
      <c r="E6639" s="5"/>
      <c r="F6639" s="5"/>
      <c r="G6639" s="5"/>
      <c r="H6639" s="5"/>
      <c r="I6639" s="5"/>
      <c r="J6639" s="5"/>
      <c r="K6639" s="5"/>
      <c r="L6639" s="5"/>
      <c r="M6639" s="5"/>
      <c r="N6639" s="5"/>
      <c r="O6639" s="5"/>
      <c r="P6639" s="5"/>
      <c r="Q6639" s="5"/>
      <c r="R6639" s="5"/>
      <c r="S6639" s="5"/>
      <c r="T6639" s="5"/>
      <c r="U6639" s="5"/>
      <c r="V6639" s="5"/>
      <c r="W6639" s="5"/>
      <c r="X6639" s="5"/>
      <c r="Y6639" s="5"/>
      <c r="Z6639" s="5"/>
    </row>
    <row r="6640" spans="1:26" ht="15" x14ac:dyDescent="0.25">
      <c r="A6640" s="4" t="s">
        <v>6638</v>
      </c>
      <c r="B6640" s="4" t="s">
        <v>4550</v>
      </c>
      <c r="C6640" s="2" t="str">
        <f ca="1">IFERROR(__xludf.DUMMYFUNCTION("GOOGLETRANSLATE(A6640,""bn"",""en"")"),"Loved flowers")</f>
        <v>Loved flowers</v>
      </c>
      <c r="D6640" s="5"/>
      <c r="E6640" s="5"/>
      <c r="F6640" s="5"/>
      <c r="G6640" s="5"/>
      <c r="H6640" s="5"/>
      <c r="I6640" s="5"/>
      <c r="J6640" s="5"/>
      <c r="K6640" s="5"/>
      <c r="L6640" s="5"/>
      <c r="M6640" s="5"/>
      <c r="N6640" s="5"/>
      <c r="O6640" s="5"/>
      <c r="P6640" s="5"/>
      <c r="Q6640" s="5"/>
      <c r="R6640" s="5"/>
      <c r="S6640" s="5"/>
      <c r="T6640" s="5"/>
      <c r="U6640" s="5"/>
      <c r="V6640" s="5"/>
      <c r="W6640" s="5"/>
      <c r="X6640" s="5"/>
      <c r="Y6640" s="5"/>
      <c r="Z6640" s="5"/>
    </row>
    <row r="6641" spans="1:26" ht="15" x14ac:dyDescent="0.25">
      <c r="A6641" s="4" t="s">
        <v>6639</v>
      </c>
      <c r="B6641" s="4" t="s">
        <v>4550</v>
      </c>
      <c r="C6641" s="2" t="str">
        <f ca="1">IFERROR(__xludf.DUMMYFUNCTION("GOOGLETRANSLATE(A6641,""bn"",""en"")"),"I enjoyed the trip")</f>
        <v>I enjoyed the trip</v>
      </c>
      <c r="D6641" s="5"/>
      <c r="E6641" s="5"/>
      <c r="F6641" s="5"/>
      <c r="G6641" s="5"/>
      <c r="H6641" s="5"/>
      <c r="I6641" s="5"/>
      <c r="J6641" s="5"/>
      <c r="K6641" s="5"/>
      <c r="L6641" s="5"/>
      <c r="M6641" s="5"/>
      <c r="N6641" s="5"/>
      <c r="O6641" s="5"/>
      <c r="P6641" s="5"/>
      <c r="Q6641" s="5"/>
      <c r="R6641" s="5"/>
      <c r="S6641" s="5"/>
      <c r="T6641" s="5"/>
      <c r="U6641" s="5"/>
      <c r="V6641" s="5"/>
      <c r="W6641" s="5"/>
      <c r="X6641" s="5"/>
      <c r="Y6641" s="5"/>
      <c r="Z6641" s="5"/>
    </row>
    <row r="6642" spans="1:26" ht="15" x14ac:dyDescent="0.25">
      <c r="A6642" s="4" t="s">
        <v>6640</v>
      </c>
      <c r="B6642" s="4" t="s">
        <v>4550</v>
      </c>
      <c r="C6642" s="2" t="str">
        <f ca="1">IFERROR(__xludf.DUMMYFUNCTION("GOOGLETRANSLATE(A6642,""bn"",""en"")"),"I joined the meeting")</f>
        <v>I joined the meeting</v>
      </c>
      <c r="D6642" s="5"/>
      <c r="E6642" s="5"/>
      <c r="F6642" s="5"/>
      <c r="G6642" s="5"/>
      <c r="H6642" s="5"/>
      <c r="I6642" s="5"/>
      <c r="J6642" s="5"/>
      <c r="K6642" s="5"/>
      <c r="L6642" s="5"/>
      <c r="M6642" s="5"/>
      <c r="N6642" s="5"/>
      <c r="O6642" s="5"/>
      <c r="P6642" s="5"/>
      <c r="Q6642" s="5"/>
      <c r="R6642" s="5"/>
      <c r="S6642" s="5"/>
      <c r="T6642" s="5"/>
      <c r="U6642" s="5"/>
      <c r="V6642" s="5"/>
      <c r="W6642" s="5"/>
      <c r="X6642" s="5"/>
      <c r="Y6642" s="5"/>
      <c r="Z6642" s="5"/>
    </row>
    <row r="6643" spans="1:26" ht="15" x14ac:dyDescent="0.25">
      <c r="A6643" s="4" t="s">
        <v>6641</v>
      </c>
      <c r="B6643" s="4" t="s">
        <v>4550</v>
      </c>
      <c r="C6643" s="2" t="str">
        <f ca="1">IFERROR(__xludf.DUMMYFUNCTION("GOOGLETRANSLATE(A6643,""bn"",""en"")"),"College students were playing")</f>
        <v>College students were playing</v>
      </c>
      <c r="D6643" s="5"/>
      <c r="E6643" s="5"/>
      <c r="F6643" s="5"/>
      <c r="G6643" s="5"/>
      <c r="H6643" s="5"/>
      <c r="I6643" s="5"/>
      <c r="J6643" s="5"/>
      <c r="K6643" s="5"/>
      <c r="L6643" s="5"/>
      <c r="M6643" s="5"/>
      <c r="N6643" s="5"/>
      <c r="O6643" s="5"/>
      <c r="P6643" s="5"/>
      <c r="Q6643" s="5"/>
      <c r="R6643" s="5"/>
      <c r="S6643" s="5"/>
      <c r="T6643" s="5"/>
      <c r="U6643" s="5"/>
      <c r="V6643" s="5"/>
      <c r="W6643" s="5"/>
      <c r="X6643" s="5"/>
      <c r="Y6643" s="5"/>
      <c r="Z6643" s="5"/>
    </row>
    <row r="6644" spans="1:26" ht="15" x14ac:dyDescent="0.25">
      <c r="A6644" s="4" t="s">
        <v>6642</v>
      </c>
      <c r="B6644" s="4" t="s">
        <v>4550</v>
      </c>
      <c r="C6644" s="2" t="str">
        <f ca="1">IFERROR(__xludf.DUMMYFUNCTION("GOOGLETRANSLATE(A6644,""bn"",""en"")"),"Radio was used")</f>
        <v>Radio was used</v>
      </c>
      <c r="D6644" s="5"/>
      <c r="E6644" s="5"/>
      <c r="F6644" s="5"/>
      <c r="G6644" s="5"/>
      <c r="H6644" s="5"/>
      <c r="I6644" s="5"/>
      <c r="J6644" s="5"/>
      <c r="K6644" s="5"/>
      <c r="L6644" s="5"/>
      <c r="M6644" s="5"/>
      <c r="N6644" s="5"/>
      <c r="O6644" s="5"/>
      <c r="P6644" s="5"/>
      <c r="Q6644" s="5"/>
      <c r="R6644" s="5"/>
      <c r="S6644" s="5"/>
      <c r="T6644" s="5"/>
      <c r="U6644" s="5"/>
      <c r="V6644" s="5"/>
      <c r="W6644" s="5"/>
      <c r="X6644" s="5"/>
      <c r="Y6644" s="5"/>
      <c r="Z6644" s="5"/>
    </row>
    <row r="6645" spans="1:26" ht="15" x14ac:dyDescent="0.25">
      <c r="A6645" s="4" t="s">
        <v>6643</v>
      </c>
      <c r="B6645" s="4" t="s">
        <v>4550</v>
      </c>
      <c r="C6645" s="2" t="str">
        <f ca="1">IFERROR(__xludf.DUMMYFUNCTION("GOOGLETRANSLATE(A6645,""bn"",""en"")"),"I watched the sea")</f>
        <v>I watched the sea</v>
      </c>
      <c r="D6645" s="5"/>
      <c r="E6645" s="5"/>
      <c r="F6645" s="5"/>
      <c r="G6645" s="5"/>
      <c r="H6645" s="5"/>
      <c r="I6645" s="5"/>
      <c r="J6645" s="5"/>
      <c r="K6645" s="5"/>
      <c r="L6645" s="5"/>
      <c r="M6645" s="5"/>
      <c r="N6645" s="5"/>
      <c r="O6645" s="5"/>
      <c r="P6645" s="5"/>
      <c r="Q6645" s="5"/>
      <c r="R6645" s="5"/>
      <c r="S6645" s="5"/>
      <c r="T6645" s="5"/>
      <c r="U6645" s="5"/>
      <c r="V6645" s="5"/>
      <c r="W6645" s="5"/>
      <c r="X6645" s="5"/>
      <c r="Y6645" s="5"/>
      <c r="Z6645" s="5"/>
    </row>
    <row r="6646" spans="1:26" ht="15" x14ac:dyDescent="0.25">
      <c r="A6646" s="4" t="s">
        <v>6644</v>
      </c>
      <c r="B6646" s="4" t="s">
        <v>4550</v>
      </c>
      <c r="C6646" s="2" t="str">
        <f ca="1">IFERROR(__xludf.DUMMYFUNCTION("GOOGLETRANSLATE(A6646,""bn"",""en"")"),"I bought a book at the book fair")</f>
        <v>I bought a book at the book fair</v>
      </c>
      <c r="D6646" s="5"/>
      <c r="E6646" s="5"/>
      <c r="F6646" s="5"/>
      <c r="G6646" s="5"/>
      <c r="H6646" s="5"/>
      <c r="I6646" s="5"/>
      <c r="J6646" s="5"/>
      <c r="K6646" s="5"/>
      <c r="L6646" s="5"/>
      <c r="M6646" s="5"/>
      <c r="N6646" s="5"/>
      <c r="O6646" s="5"/>
      <c r="P6646" s="5"/>
      <c r="Q6646" s="5"/>
      <c r="R6646" s="5"/>
      <c r="S6646" s="5"/>
      <c r="T6646" s="5"/>
      <c r="U6646" s="5"/>
      <c r="V6646" s="5"/>
      <c r="W6646" s="5"/>
      <c r="X6646" s="5"/>
      <c r="Y6646" s="5"/>
      <c r="Z6646" s="5"/>
    </row>
    <row r="6647" spans="1:26" ht="15" x14ac:dyDescent="0.25">
      <c r="A6647" s="4" t="s">
        <v>6645</v>
      </c>
      <c r="B6647" s="4" t="s">
        <v>4550</v>
      </c>
      <c r="C6647" s="2" t="str">
        <f ca="1">IFERROR(__xludf.DUMMYFUNCTION("GOOGLETRANSLATE(A6647,""bn"",""en"")"),"was speaking against")</f>
        <v>was speaking against</v>
      </c>
      <c r="D6647" s="5"/>
      <c r="E6647" s="5"/>
      <c r="F6647" s="5"/>
      <c r="G6647" s="5"/>
      <c r="H6647" s="5"/>
      <c r="I6647" s="5"/>
      <c r="J6647" s="5"/>
      <c r="K6647" s="5"/>
      <c r="L6647" s="5"/>
      <c r="M6647" s="5"/>
      <c r="N6647" s="5"/>
      <c r="O6647" s="5"/>
      <c r="P6647" s="5"/>
      <c r="Q6647" s="5"/>
      <c r="R6647" s="5"/>
      <c r="S6647" s="5"/>
      <c r="T6647" s="5"/>
      <c r="U6647" s="5"/>
      <c r="V6647" s="5"/>
      <c r="W6647" s="5"/>
      <c r="X6647" s="5"/>
      <c r="Y6647" s="5"/>
      <c r="Z6647" s="5"/>
    </row>
    <row r="6648" spans="1:26" ht="15" x14ac:dyDescent="0.25">
      <c r="A6648" s="4" t="s">
        <v>6646</v>
      </c>
      <c r="B6648" s="4" t="s">
        <v>4550</v>
      </c>
      <c r="C6648" s="2" t="str">
        <f ca="1">IFERROR(__xludf.DUMMYFUNCTION("GOOGLETRANSLATE(A6648,""bn"",""en"")"),"Students read poetry")</f>
        <v>Students read poetry</v>
      </c>
      <c r="D6648" s="5"/>
      <c r="E6648" s="5"/>
      <c r="F6648" s="5"/>
      <c r="G6648" s="5"/>
      <c r="H6648" s="5"/>
      <c r="I6648" s="5"/>
      <c r="J6648" s="5"/>
      <c r="K6648" s="5"/>
      <c r="L6648" s="5"/>
      <c r="M6648" s="5"/>
      <c r="N6648" s="5"/>
      <c r="O6648" s="5"/>
      <c r="P6648" s="5"/>
      <c r="Q6648" s="5"/>
      <c r="R6648" s="5"/>
      <c r="S6648" s="5"/>
      <c r="T6648" s="5"/>
      <c r="U6648" s="5"/>
      <c r="V6648" s="5"/>
      <c r="W6648" s="5"/>
      <c r="X6648" s="5"/>
      <c r="Y6648" s="5"/>
      <c r="Z6648" s="5"/>
    </row>
    <row r="6649" spans="1:26" ht="15" x14ac:dyDescent="0.25">
      <c r="A6649" s="4" t="s">
        <v>6647</v>
      </c>
      <c r="B6649" s="4" t="s">
        <v>4550</v>
      </c>
      <c r="C6649" s="2" t="str">
        <f ca="1">IFERROR(__xludf.DUMMYFUNCTION("GOOGLETRANSLATE(A6649,""bn"",""en"")"),"The discussion went on with the people")</f>
        <v>The discussion went on with the people</v>
      </c>
      <c r="D6649" s="5"/>
      <c r="E6649" s="5"/>
      <c r="F6649" s="5"/>
      <c r="G6649" s="5"/>
      <c r="H6649" s="5"/>
      <c r="I6649" s="5"/>
      <c r="J6649" s="5"/>
      <c r="K6649" s="5"/>
      <c r="L6649" s="5"/>
      <c r="M6649" s="5"/>
      <c r="N6649" s="5"/>
      <c r="O6649" s="5"/>
      <c r="P6649" s="5"/>
      <c r="Q6649" s="5"/>
      <c r="R6649" s="5"/>
      <c r="S6649" s="5"/>
      <c r="T6649" s="5"/>
      <c r="U6649" s="5"/>
      <c r="V6649" s="5"/>
      <c r="W6649" s="5"/>
      <c r="X6649" s="5"/>
      <c r="Y6649" s="5"/>
      <c r="Z6649" s="5"/>
    </row>
    <row r="6650" spans="1:26" ht="15" x14ac:dyDescent="0.25">
      <c r="A6650" s="4" t="s">
        <v>6648</v>
      </c>
      <c r="B6650" s="4" t="s">
        <v>4550</v>
      </c>
      <c r="C6650" s="2" t="str">
        <f ca="1">IFERROR(__xludf.DUMMYFUNCTION("GOOGLETRANSLATE(A6650,""bn"",""en"")"),"I used apple phone")</f>
        <v>I used apple phone</v>
      </c>
      <c r="D6650" s="5"/>
      <c r="E6650" s="5"/>
      <c r="F6650" s="5"/>
      <c r="G6650" s="5"/>
      <c r="H6650" s="5"/>
      <c r="I6650" s="5"/>
      <c r="J6650" s="5"/>
      <c r="K6650" s="5"/>
      <c r="L6650" s="5"/>
      <c r="M6650" s="5"/>
      <c r="N6650" s="5"/>
      <c r="O6650" s="5"/>
      <c r="P6650" s="5"/>
      <c r="Q6650" s="5"/>
      <c r="R6650" s="5"/>
      <c r="S6650" s="5"/>
      <c r="T6650" s="5"/>
      <c r="U6650" s="5"/>
      <c r="V6650" s="5"/>
      <c r="W6650" s="5"/>
      <c r="X6650" s="5"/>
      <c r="Y6650" s="5"/>
      <c r="Z6650" s="5"/>
    </row>
    <row r="6651" spans="1:26" ht="15" x14ac:dyDescent="0.25">
      <c r="A6651" s="4" t="s">
        <v>6649</v>
      </c>
      <c r="B6651" s="4" t="s">
        <v>4550</v>
      </c>
      <c r="C6651" s="2" t="str">
        <f ca="1">IFERROR(__xludf.DUMMYFUNCTION("GOOGLETRANSLATE(A6651,""bn"",""en"")"),"Participated in sports")</f>
        <v>Participated in sports</v>
      </c>
      <c r="D6651" s="5"/>
      <c r="E6651" s="5"/>
      <c r="F6651" s="5"/>
      <c r="G6651" s="5"/>
      <c r="H6651" s="5"/>
      <c r="I6651" s="5"/>
      <c r="J6651" s="5"/>
      <c r="K6651" s="5"/>
      <c r="L6651" s="5"/>
      <c r="M6651" s="5"/>
      <c r="N6651" s="5"/>
      <c r="O6651" s="5"/>
      <c r="P6651" s="5"/>
      <c r="Q6651" s="5"/>
      <c r="R6651" s="5"/>
      <c r="S6651" s="5"/>
      <c r="T6651" s="5"/>
      <c r="U6651" s="5"/>
      <c r="V6651" s="5"/>
      <c r="W6651" s="5"/>
      <c r="X6651" s="5"/>
      <c r="Y6651" s="5"/>
      <c r="Z6651" s="5"/>
    </row>
    <row r="6652" spans="1:26" ht="15" x14ac:dyDescent="0.25">
      <c r="A6652" s="4" t="s">
        <v>6650</v>
      </c>
      <c r="B6652" s="4" t="s">
        <v>4550</v>
      </c>
      <c r="C6652" s="2" t="str">
        <f ca="1">IFERROR(__xludf.DUMMYFUNCTION("GOOGLETRANSLATE(A6652,""bn"",""en"")"),"I wrote notes")</f>
        <v>I wrote notes</v>
      </c>
      <c r="D6652" s="5"/>
      <c r="E6652" s="5"/>
      <c r="F6652" s="5"/>
      <c r="G6652" s="5"/>
      <c r="H6652" s="5"/>
      <c r="I6652" s="5"/>
      <c r="J6652" s="5"/>
      <c r="K6652" s="5"/>
      <c r="L6652" s="5"/>
      <c r="M6652" s="5"/>
      <c r="N6652" s="5"/>
      <c r="O6652" s="5"/>
      <c r="P6652" s="5"/>
      <c r="Q6652" s="5"/>
      <c r="R6652" s="5"/>
      <c r="S6652" s="5"/>
      <c r="T6652" s="5"/>
      <c r="U6652" s="5"/>
      <c r="V6652" s="5"/>
      <c r="W6652" s="5"/>
      <c r="X6652" s="5"/>
      <c r="Y6652" s="5"/>
      <c r="Z6652" s="5"/>
    </row>
    <row r="6653" spans="1:26" ht="15" x14ac:dyDescent="0.25">
      <c r="A6653" s="4" t="s">
        <v>6651</v>
      </c>
      <c r="B6653" s="4" t="s">
        <v>4550</v>
      </c>
      <c r="C6653" s="2" t="str">
        <f ca="1">IFERROR(__xludf.DUMMYFUNCTION("GOOGLETRANSLATE(A6653,""bn"",""en"")"),"I used to play high skill games")</f>
        <v>I used to play high skill games</v>
      </c>
      <c r="D6653" s="5"/>
      <c r="E6653" s="5"/>
      <c r="F6653" s="5"/>
      <c r="G6653" s="5"/>
      <c r="H6653" s="5"/>
      <c r="I6653" s="5"/>
      <c r="J6653" s="5"/>
      <c r="K6653" s="5"/>
      <c r="L6653" s="5"/>
      <c r="M6653" s="5"/>
      <c r="N6653" s="5"/>
      <c r="O6653" s="5"/>
      <c r="P6653" s="5"/>
      <c r="Q6653" s="5"/>
      <c r="R6653" s="5"/>
      <c r="S6653" s="5"/>
      <c r="T6653" s="5"/>
      <c r="U6653" s="5"/>
      <c r="V6653" s="5"/>
      <c r="W6653" s="5"/>
      <c r="X6653" s="5"/>
      <c r="Y6653" s="5"/>
      <c r="Z6653" s="5"/>
    </row>
    <row r="6654" spans="1:26" ht="15" x14ac:dyDescent="0.25">
      <c r="A6654" s="4" t="s">
        <v>6652</v>
      </c>
      <c r="B6654" s="4" t="s">
        <v>4550</v>
      </c>
      <c r="C6654" s="2" t="str">
        <f ca="1">IFERROR(__xludf.DUMMYFUNCTION("GOOGLETRANSLATE(A6654,""bn"",""en"")"),"Technology was coming to market")</f>
        <v>Technology was coming to market</v>
      </c>
      <c r="D6654" s="5"/>
      <c r="E6654" s="5"/>
      <c r="F6654" s="5"/>
      <c r="G6654" s="5"/>
      <c r="H6654" s="5"/>
      <c r="I6654" s="5"/>
      <c r="J6654" s="5"/>
      <c r="K6654" s="5"/>
      <c r="L6654" s="5"/>
      <c r="M6654" s="5"/>
      <c r="N6654" s="5"/>
      <c r="O6654" s="5"/>
      <c r="P6654" s="5"/>
      <c r="Q6654" s="5"/>
      <c r="R6654" s="5"/>
      <c r="S6654" s="5"/>
      <c r="T6654" s="5"/>
      <c r="U6654" s="5"/>
      <c r="V6654" s="5"/>
      <c r="W6654" s="5"/>
      <c r="X6654" s="5"/>
      <c r="Y6654" s="5"/>
      <c r="Z6654" s="5"/>
    </row>
    <row r="6655" spans="1:26" ht="15" x14ac:dyDescent="0.25">
      <c r="A6655" s="4" t="s">
        <v>6653</v>
      </c>
      <c r="B6655" s="4" t="s">
        <v>4550</v>
      </c>
      <c r="C6655" s="2" t="str">
        <f ca="1">IFERROR(__xludf.DUMMYFUNCTION("GOOGLETRANSLATE(A6655,""bn"",""en"")"),"I was collecting books")</f>
        <v>I was collecting books</v>
      </c>
      <c r="D6655" s="5"/>
      <c r="E6655" s="5"/>
      <c r="F6655" s="5"/>
      <c r="G6655" s="5"/>
      <c r="H6655" s="5"/>
      <c r="I6655" s="5"/>
      <c r="J6655" s="5"/>
      <c r="K6655" s="5"/>
      <c r="L6655" s="5"/>
      <c r="M6655" s="5"/>
      <c r="N6655" s="5"/>
      <c r="O6655" s="5"/>
      <c r="P6655" s="5"/>
      <c r="Q6655" s="5"/>
      <c r="R6655" s="5"/>
      <c r="S6655" s="5"/>
      <c r="T6655" s="5"/>
      <c r="U6655" s="5"/>
      <c r="V6655" s="5"/>
      <c r="W6655" s="5"/>
      <c r="X6655" s="5"/>
      <c r="Y6655" s="5"/>
      <c r="Z6655" s="5"/>
    </row>
    <row r="6656" spans="1:26" ht="15" x14ac:dyDescent="0.25">
      <c r="A6656" s="4" t="s">
        <v>6654</v>
      </c>
      <c r="B6656" s="4" t="s">
        <v>4550</v>
      </c>
      <c r="C6656" s="2" t="str">
        <f ca="1">IFERROR(__xludf.DUMMYFUNCTION("GOOGLETRANSLATE(A6656,""bn"",""en"")"),"He read poetry")</f>
        <v>He read poetry</v>
      </c>
      <c r="D6656" s="5"/>
      <c r="E6656" s="5"/>
      <c r="F6656" s="5"/>
      <c r="G6656" s="5"/>
      <c r="H6656" s="5"/>
      <c r="I6656" s="5"/>
      <c r="J6656" s="5"/>
      <c r="K6656" s="5"/>
      <c r="L6656" s="5"/>
      <c r="M6656" s="5"/>
      <c r="N6656" s="5"/>
      <c r="O6656" s="5"/>
      <c r="P6656" s="5"/>
      <c r="Q6656" s="5"/>
      <c r="R6656" s="5"/>
      <c r="S6656" s="5"/>
      <c r="T6656" s="5"/>
      <c r="U6656" s="5"/>
      <c r="V6656" s="5"/>
      <c r="W6656" s="5"/>
      <c r="X6656" s="5"/>
      <c r="Y6656" s="5"/>
      <c r="Z6656" s="5"/>
    </row>
    <row r="6657" spans="1:26" ht="15" x14ac:dyDescent="0.25">
      <c r="A6657" s="4" t="s">
        <v>6655</v>
      </c>
      <c r="B6657" s="4" t="s">
        <v>4550</v>
      </c>
      <c r="C6657" s="2" t="str">
        <f ca="1">IFERROR(__xludf.DUMMYFUNCTION("GOOGLETRANSLATE(A6657,""bn"",""en"")"),"I voted effectively")</f>
        <v>I voted effectively</v>
      </c>
      <c r="D6657" s="5"/>
      <c r="E6657" s="5"/>
      <c r="F6657" s="5"/>
      <c r="G6657" s="5"/>
      <c r="H6657" s="5"/>
      <c r="I6657" s="5"/>
      <c r="J6657" s="5"/>
      <c r="K6657" s="5"/>
      <c r="L6657" s="5"/>
      <c r="M6657" s="5"/>
      <c r="N6657" s="5"/>
      <c r="O6657" s="5"/>
      <c r="P6657" s="5"/>
      <c r="Q6657" s="5"/>
      <c r="R6657" s="5"/>
      <c r="S6657" s="5"/>
      <c r="T6657" s="5"/>
      <c r="U6657" s="5"/>
      <c r="V6657" s="5"/>
      <c r="W6657" s="5"/>
      <c r="X6657" s="5"/>
      <c r="Y6657" s="5"/>
      <c r="Z6657" s="5"/>
    </row>
    <row r="6658" spans="1:26" ht="15" x14ac:dyDescent="0.25">
      <c r="A6658" s="4" t="s">
        <v>6656</v>
      </c>
      <c r="B6658" s="4" t="s">
        <v>4550</v>
      </c>
      <c r="C6658" s="2" t="str">
        <f ca="1">IFERROR(__xludf.DUMMYFUNCTION("GOOGLETRANSLATE(A6658,""bn"",""en"")"),"Controversial markets were running")</f>
        <v>Controversial markets were running</v>
      </c>
      <c r="D6658" s="5"/>
      <c r="E6658" s="5"/>
      <c r="F6658" s="5"/>
      <c r="G6658" s="5"/>
      <c r="H6658" s="5"/>
      <c r="I6658" s="5"/>
      <c r="J6658" s="5"/>
      <c r="K6658" s="5"/>
      <c r="L6658" s="5"/>
      <c r="M6658" s="5"/>
      <c r="N6658" s="5"/>
      <c r="O6658" s="5"/>
      <c r="P6658" s="5"/>
      <c r="Q6658" s="5"/>
      <c r="R6658" s="5"/>
      <c r="S6658" s="5"/>
      <c r="T6658" s="5"/>
      <c r="U6658" s="5"/>
      <c r="V6658" s="5"/>
      <c r="W6658" s="5"/>
      <c r="X6658" s="5"/>
      <c r="Y6658" s="5"/>
      <c r="Z6658" s="5"/>
    </row>
    <row r="6659" spans="1:26" ht="15" x14ac:dyDescent="0.25">
      <c r="A6659" s="4" t="s">
        <v>6657</v>
      </c>
      <c r="B6659" s="4" t="s">
        <v>4550</v>
      </c>
      <c r="C6659" s="2" t="str">
        <f ca="1">IFERROR(__xludf.DUMMYFUNCTION("GOOGLETRANSLATE(A6659,""bn"",""en"")"),"The children were playing tennis")</f>
        <v>The children were playing tennis</v>
      </c>
      <c r="D6659" s="5"/>
      <c r="E6659" s="5"/>
      <c r="F6659" s="5"/>
      <c r="G6659" s="5"/>
      <c r="H6659" s="5"/>
      <c r="I6659" s="5"/>
      <c r="J6659" s="5"/>
      <c r="K6659" s="5"/>
      <c r="L6659" s="5"/>
      <c r="M6659" s="5"/>
      <c r="N6659" s="5"/>
      <c r="O6659" s="5"/>
      <c r="P6659" s="5"/>
      <c r="Q6659" s="5"/>
      <c r="R6659" s="5"/>
      <c r="S6659" s="5"/>
      <c r="T6659" s="5"/>
      <c r="U6659" s="5"/>
      <c r="V6659" s="5"/>
      <c r="W6659" s="5"/>
      <c r="X6659" s="5"/>
      <c r="Y6659" s="5"/>
      <c r="Z6659" s="5"/>
    </row>
    <row r="6660" spans="1:26" ht="15" x14ac:dyDescent="0.25">
      <c r="A6660" s="4" t="s">
        <v>6658</v>
      </c>
      <c r="B6660" s="4" t="s">
        <v>4550</v>
      </c>
      <c r="C6660" s="2" t="str">
        <f ca="1">IFERROR(__xludf.DUMMYFUNCTION("GOOGLETRANSLATE(A6660,""bn"",""en"")"),"Rita studied")</f>
        <v>Rita studied</v>
      </c>
      <c r="D6660" s="5"/>
      <c r="E6660" s="5"/>
      <c r="F6660" s="5"/>
      <c r="G6660" s="5"/>
      <c r="H6660" s="5"/>
      <c r="I6660" s="5"/>
      <c r="J6660" s="5"/>
      <c r="K6660" s="5"/>
      <c r="L6660" s="5"/>
      <c r="M6660" s="5"/>
      <c r="N6660" s="5"/>
      <c r="O6660" s="5"/>
      <c r="P6660" s="5"/>
      <c r="Q6660" s="5"/>
      <c r="R6660" s="5"/>
      <c r="S6660" s="5"/>
      <c r="T6660" s="5"/>
      <c r="U6660" s="5"/>
      <c r="V6660" s="5"/>
      <c r="W6660" s="5"/>
      <c r="X6660" s="5"/>
      <c r="Y6660" s="5"/>
      <c r="Z6660" s="5"/>
    </row>
    <row r="6661" spans="1:26" ht="15" x14ac:dyDescent="0.25">
      <c r="A6661" s="4" t="s">
        <v>6659</v>
      </c>
      <c r="B6661" s="4" t="s">
        <v>4550</v>
      </c>
      <c r="C6661" s="2" t="str">
        <f ca="1">IFERROR(__xludf.DUMMYFUNCTION("GOOGLETRANSLATE(A6661,""bn"",""en"")"),"I used a smartwatch")</f>
        <v>I used a smartwatch</v>
      </c>
      <c r="D6661" s="5"/>
      <c r="E6661" s="5"/>
      <c r="F6661" s="5"/>
      <c r="G6661" s="5"/>
      <c r="H6661" s="5"/>
      <c r="I6661" s="5"/>
      <c r="J6661" s="5"/>
      <c r="K6661" s="5"/>
      <c r="L6661" s="5"/>
      <c r="M6661" s="5"/>
      <c r="N6661" s="5"/>
      <c r="O6661" s="5"/>
      <c r="P6661" s="5"/>
      <c r="Q6661" s="5"/>
      <c r="R6661" s="5"/>
      <c r="S6661" s="5"/>
      <c r="T6661" s="5"/>
      <c r="U6661" s="5"/>
      <c r="V6661" s="5"/>
      <c r="W6661" s="5"/>
      <c r="X6661" s="5"/>
      <c r="Y6661" s="5"/>
      <c r="Z6661" s="5"/>
    </row>
    <row r="6662" spans="1:26" ht="15" x14ac:dyDescent="0.25">
      <c r="A6662" s="4" t="s">
        <v>6660</v>
      </c>
      <c r="B6662" s="4" t="s">
        <v>4550</v>
      </c>
      <c r="C6662" s="2" t="str">
        <f ca="1">IFERROR(__xludf.DUMMYFUNCTION("GOOGLETRANSLATE(A6662,""bn"",""en"")"),"Satellites were expensive")</f>
        <v>Satellites were expensive</v>
      </c>
      <c r="D6662" s="5"/>
      <c r="E6662" s="5"/>
      <c r="F6662" s="5"/>
      <c r="G6662" s="5"/>
      <c r="H6662" s="5"/>
      <c r="I6662" s="5"/>
      <c r="J6662" s="5"/>
      <c r="K6662" s="5"/>
      <c r="L6662" s="5"/>
      <c r="M6662" s="5"/>
      <c r="N6662" s="5"/>
      <c r="O6662" s="5"/>
      <c r="P6662" s="5"/>
      <c r="Q6662" s="5"/>
      <c r="R6662" s="5"/>
      <c r="S6662" s="5"/>
      <c r="T6662" s="5"/>
      <c r="U6662" s="5"/>
      <c r="V6662" s="5"/>
      <c r="W6662" s="5"/>
      <c r="X6662" s="5"/>
      <c r="Y6662" s="5"/>
      <c r="Z6662" s="5"/>
    </row>
    <row r="6663" spans="1:26" ht="15" x14ac:dyDescent="0.25">
      <c r="A6663" s="4" t="s">
        <v>6661</v>
      </c>
      <c r="B6663" s="4" t="s">
        <v>4550</v>
      </c>
      <c r="C6663" s="2" t="str">
        <f ca="1">IFERROR(__xludf.DUMMYFUNCTION("GOOGLETRANSLATE(A6663,""bn"",""en"")"),"I went to the beach")</f>
        <v>I went to the beach</v>
      </c>
      <c r="D6663" s="5"/>
      <c r="E6663" s="5"/>
      <c r="F6663" s="5"/>
      <c r="G6663" s="5"/>
      <c r="H6663" s="5"/>
      <c r="I6663" s="5"/>
      <c r="J6663" s="5"/>
      <c r="K6663" s="5"/>
      <c r="L6663" s="5"/>
      <c r="M6663" s="5"/>
      <c r="N6663" s="5"/>
      <c r="O6663" s="5"/>
      <c r="P6663" s="5"/>
      <c r="Q6663" s="5"/>
      <c r="R6663" s="5"/>
      <c r="S6663" s="5"/>
      <c r="T6663" s="5"/>
      <c r="U6663" s="5"/>
      <c r="V6663" s="5"/>
      <c r="W6663" s="5"/>
      <c r="X6663" s="5"/>
      <c r="Y6663" s="5"/>
      <c r="Z6663" s="5"/>
    </row>
    <row r="6664" spans="1:26" ht="15" x14ac:dyDescent="0.25">
      <c r="A6664" s="4" t="s">
        <v>6662</v>
      </c>
      <c r="B6664" s="4" t="s">
        <v>4550</v>
      </c>
      <c r="C6664" s="2" t="str">
        <f ca="1">IFERROR(__xludf.DUMMYFUNCTION("GOOGLETRANSLATE(A6664,""bn"",""en"")"),"A walk on the seashore was relaxing")</f>
        <v>A walk on the seashore was relaxing</v>
      </c>
      <c r="D6664" s="5"/>
      <c r="E6664" s="5"/>
      <c r="F6664" s="5"/>
      <c r="G6664" s="5"/>
      <c r="H6664" s="5"/>
      <c r="I6664" s="5"/>
      <c r="J6664" s="5"/>
      <c r="K6664" s="5"/>
      <c r="L6664" s="5"/>
      <c r="M6664" s="5"/>
      <c r="N6664" s="5"/>
      <c r="O6664" s="5"/>
      <c r="P6664" s="5"/>
      <c r="Q6664" s="5"/>
      <c r="R6664" s="5"/>
      <c r="S6664" s="5"/>
      <c r="T6664" s="5"/>
      <c r="U6664" s="5"/>
      <c r="V6664" s="5"/>
      <c r="W6664" s="5"/>
      <c r="X6664" s="5"/>
      <c r="Y6664" s="5"/>
      <c r="Z6664" s="5"/>
    </row>
    <row r="6665" spans="1:26" ht="15" x14ac:dyDescent="0.25">
      <c r="A6665" s="4" t="s">
        <v>6663</v>
      </c>
      <c r="B6665" s="4" t="s">
        <v>4550</v>
      </c>
      <c r="C6665" s="2" t="str">
        <f ca="1">IFERROR(__xludf.DUMMYFUNCTION("GOOGLETRANSLATE(A6665,""bn"",""en"")"),"was gaining prosperity")</f>
        <v>was gaining prosperity</v>
      </c>
      <c r="D6665" s="5"/>
      <c r="E6665" s="5"/>
      <c r="F6665" s="5"/>
      <c r="G6665" s="5"/>
      <c r="H6665" s="5"/>
      <c r="I6665" s="5"/>
      <c r="J6665" s="5"/>
      <c r="K6665" s="5"/>
      <c r="L6665" s="5"/>
      <c r="M6665" s="5"/>
      <c r="N6665" s="5"/>
      <c r="O6665" s="5"/>
      <c r="P6665" s="5"/>
      <c r="Q6665" s="5"/>
      <c r="R6665" s="5"/>
      <c r="S6665" s="5"/>
      <c r="T6665" s="5"/>
      <c r="U6665" s="5"/>
      <c r="V6665" s="5"/>
      <c r="W6665" s="5"/>
      <c r="X6665" s="5"/>
      <c r="Y6665" s="5"/>
      <c r="Z6665" s="5"/>
    </row>
    <row r="6666" spans="1:26" ht="15" x14ac:dyDescent="0.25">
      <c r="A6666" s="4" t="s">
        <v>6664</v>
      </c>
      <c r="B6666" s="4" t="s">
        <v>4550</v>
      </c>
      <c r="C6666" s="2" t="str">
        <f ca="1">IFERROR(__xludf.DUMMYFUNCTION("GOOGLETRANSLATE(A6666,""bn"",""en"")"),"Hadith was read regularly")</f>
        <v>Hadith was read regularly</v>
      </c>
      <c r="D6666" s="5"/>
      <c r="E6666" s="5"/>
      <c r="F6666" s="5"/>
      <c r="G6666" s="5"/>
      <c r="H6666" s="5"/>
      <c r="I6666" s="5"/>
      <c r="J6666" s="5"/>
      <c r="K6666" s="5"/>
      <c r="L6666" s="5"/>
      <c r="M6666" s="5"/>
      <c r="N6666" s="5"/>
      <c r="O6666" s="5"/>
      <c r="P6666" s="5"/>
      <c r="Q6666" s="5"/>
      <c r="R6666" s="5"/>
      <c r="S6666" s="5"/>
      <c r="T6666" s="5"/>
      <c r="U6666" s="5"/>
      <c r="V6666" s="5"/>
      <c r="W6666" s="5"/>
      <c r="X6666" s="5"/>
      <c r="Y6666" s="5"/>
      <c r="Z6666" s="5"/>
    </row>
    <row r="6667" spans="1:26" ht="15" x14ac:dyDescent="0.25">
      <c r="A6667" s="4" t="s">
        <v>6665</v>
      </c>
      <c r="B6667" s="4" t="s">
        <v>4550</v>
      </c>
      <c r="C6667" s="2" t="str">
        <f ca="1">IFERROR(__xludf.DUMMYFUNCTION("GOOGLETRANSLATE(A6667,""bn"",""en"")"),"Revenue was increasing")</f>
        <v>Revenue was increasing</v>
      </c>
      <c r="D6667" s="5"/>
      <c r="E6667" s="5"/>
      <c r="F6667" s="5"/>
      <c r="G6667" s="5"/>
      <c r="H6667" s="5"/>
      <c r="I6667" s="5"/>
      <c r="J6667" s="5"/>
      <c r="K6667" s="5"/>
      <c r="L6667" s="5"/>
      <c r="M6667" s="5"/>
      <c r="N6667" s="5"/>
      <c r="O6667" s="5"/>
      <c r="P6667" s="5"/>
      <c r="Q6667" s="5"/>
      <c r="R6667" s="5"/>
      <c r="S6667" s="5"/>
      <c r="T6667" s="5"/>
      <c r="U6667" s="5"/>
      <c r="V6667" s="5"/>
      <c r="W6667" s="5"/>
      <c r="X6667" s="5"/>
      <c r="Y6667" s="5"/>
      <c r="Z6667" s="5"/>
    </row>
    <row r="6668" spans="1:26" ht="15" x14ac:dyDescent="0.25">
      <c r="A6668" s="4" t="s">
        <v>6666</v>
      </c>
      <c r="B6668" s="4" t="s">
        <v>4550</v>
      </c>
      <c r="C6668" s="2" t="str">
        <f ca="1">IFERROR(__xludf.DUMMYFUNCTION("GOOGLETRANSLATE(A6668,""bn"",""en"")"),"I found peace in retirement")</f>
        <v>I found peace in retirement</v>
      </c>
      <c r="D6668" s="5"/>
      <c r="E6668" s="5"/>
      <c r="F6668" s="5"/>
      <c r="G6668" s="5"/>
      <c r="H6668" s="5"/>
      <c r="I6668" s="5"/>
      <c r="J6668" s="5"/>
      <c r="K6668" s="5"/>
      <c r="L6668" s="5"/>
      <c r="M6668" s="5"/>
      <c r="N6668" s="5"/>
      <c r="O6668" s="5"/>
      <c r="P6668" s="5"/>
      <c r="Q6668" s="5"/>
      <c r="R6668" s="5"/>
      <c r="S6668" s="5"/>
      <c r="T6668" s="5"/>
      <c r="U6668" s="5"/>
      <c r="V6668" s="5"/>
      <c r="W6668" s="5"/>
      <c r="X6668" s="5"/>
      <c r="Y6668" s="5"/>
      <c r="Z6668" s="5"/>
    </row>
    <row r="6669" spans="1:26" ht="15" x14ac:dyDescent="0.25">
      <c r="A6669" s="4" t="s">
        <v>6667</v>
      </c>
      <c r="B6669" s="4" t="s">
        <v>4550</v>
      </c>
      <c r="C6669" s="2" t="str">
        <f ca="1">IFERROR(__xludf.DUMMYFUNCTION("GOOGLETRANSLATE(A6669,""bn"",""en"")"),"People were united")</f>
        <v>People were united</v>
      </c>
      <c r="D6669" s="5"/>
      <c r="E6669" s="5"/>
      <c r="F6669" s="5"/>
      <c r="G6669" s="5"/>
      <c r="H6669" s="5"/>
      <c r="I6669" s="5"/>
      <c r="J6669" s="5"/>
      <c r="K6669" s="5"/>
      <c r="L6669" s="5"/>
      <c r="M6669" s="5"/>
      <c r="N6669" s="5"/>
      <c r="O6669" s="5"/>
      <c r="P6669" s="5"/>
      <c r="Q6669" s="5"/>
      <c r="R6669" s="5"/>
      <c r="S6669" s="5"/>
      <c r="T6669" s="5"/>
      <c r="U6669" s="5"/>
      <c r="V6669" s="5"/>
      <c r="W6669" s="5"/>
      <c r="X6669" s="5"/>
      <c r="Y6669" s="5"/>
      <c r="Z6669" s="5"/>
    </row>
    <row r="6670" spans="1:26" ht="15" x14ac:dyDescent="0.25">
      <c r="A6670" s="4" t="s">
        <v>6668</v>
      </c>
      <c r="B6670" s="4" t="s">
        <v>4550</v>
      </c>
      <c r="C6670" s="2" t="str">
        <f ca="1">IFERROR(__xludf.DUMMYFUNCTION("GOOGLETRANSLATE(A6670,""bn"",""en"")"),"I was watching a bear in the forest")</f>
        <v>I was watching a bear in the forest</v>
      </c>
      <c r="D6670" s="5"/>
      <c r="E6670" s="5"/>
      <c r="F6670" s="5"/>
      <c r="G6670" s="5"/>
      <c r="H6670" s="5"/>
      <c r="I6670" s="5"/>
      <c r="J6670" s="5"/>
      <c r="K6670" s="5"/>
      <c r="L6670" s="5"/>
      <c r="M6670" s="5"/>
      <c r="N6670" s="5"/>
      <c r="O6670" s="5"/>
      <c r="P6670" s="5"/>
      <c r="Q6670" s="5"/>
      <c r="R6670" s="5"/>
      <c r="S6670" s="5"/>
      <c r="T6670" s="5"/>
      <c r="U6670" s="5"/>
      <c r="V6670" s="5"/>
      <c r="W6670" s="5"/>
      <c r="X6670" s="5"/>
      <c r="Y6670" s="5"/>
      <c r="Z6670" s="5"/>
    </row>
    <row r="6671" spans="1:26" ht="15" x14ac:dyDescent="0.25">
      <c r="A6671" s="4" t="s">
        <v>6669</v>
      </c>
      <c r="B6671" s="4" t="s">
        <v>4550</v>
      </c>
      <c r="C6671" s="2" t="str">
        <f ca="1">IFERROR(__xludf.DUMMYFUNCTION("GOOGLETRANSLATE(A6671,""bn"",""en"")"),"Wanted honest advice")</f>
        <v>Wanted honest advice</v>
      </c>
      <c r="D6671" s="5"/>
      <c r="E6671" s="5"/>
      <c r="F6671" s="5"/>
      <c r="G6671" s="5"/>
      <c r="H6671" s="5"/>
      <c r="I6671" s="5"/>
      <c r="J6671" s="5"/>
      <c r="K6671" s="5"/>
      <c r="L6671" s="5"/>
      <c r="M6671" s="5"/>
      <c r="N6671" s="5"/>
      <c r="O6671" s="5"/>
      <c r="P6671" s="5"/>
      <c r="Q6671" s="5"/>
      <c r="R6671" s="5"/>
      <c r="S6671" s="5"/>
      <c r="T6671" s="5"/>
      <c r="U6671" s="5"/>
      <c r="V6671" s="5"/>
      <c r="W6671" s="5"/>
      <c r="X6671" s="5"/>
      <c r="Y6671" s="5"/>
      <c r="Z6671" s="5"/>
    </row>
    <row r="6672" spans="1:26" ht="15" x14ac:dyDescent="0.25">
      <c r="A6672" s="4" t="s">
        <v>6670</v>
      </c>
      <c r="B6672" s="4" t="s">
        <v>4550</v>
      </c>
      <c r="C6672" s="2" t="str">
        <f ca="1">IFERROR(__xludf.DUMMYFUNCTION("GOOGLETRANSLATE(A6672,""bn"",""en"")"),"I bought a Google phone")</f>
        <v>I bought a Google phone</v>
      </c>
      <c r="D6672" s="5"/>
      <c r="E6672" s="5"/>
      <c r="F6672" s="5"/>
      <c r="G6672" s="5"/>
      <c r="H6672" s="5"/>
      <c r="I6672" s="5"/>
      <c r="J6672" s="5"/>
      <c r="K6672" s="5"/>
      <c r="L6672" s="5"/>
      <c r="M6672" s="5"/>
      <c r="N6672" s="5"/>
      <c r="O6672" s="5"/>
      <c r="P6672" s="5"/>
      <c r="Q6672" s="5"/>
      <c r="R6672" s="5"/>
      <c r="S6672" s="5"/>
      <c r="T6672" s="5"/>
      <c r="U6672" s="5"/>
      <c r="V6672" s="5"/>
      <c r="W6672" s="5"/>
      <c r="X6672" s="5"/>
      <c r="Y6672" s="5"/>
      <c r="Z6672" s="5"/>
    </row>
    <row r="6673" spans="1:26" ht="15" x14ac:dyDescent="0.25">
      <c r="A6673" s="4" t="s">
        <v>6671</v>
      </c>
      <c r="B6673" s="4" t="s">
        <v>4550</v>
      </c>
      <c r="C6673" s="2" t="str">
        <f ca="1">IFERROR(__xludf.DUMMYFUNCTION("GOOGLETRANSLATE(A6673,""bn"",""en"")"),"I was maintaining order")</f>
        <v>I was maintaining order</v>
      </c>
      <c r="D6673" s="5"/>
      <c r="E6673" s="5"/>
      <c r="F6673" s="5"/>
      <c r="G6673" s="5"/>
      <c r="H6673" s="5"/>
      <c r="I6673" s="5"/>
      <c r="J6673" s="5"/>
      <c r="K6673" s="5"/>
      <c r="L6673" s="5"/>
      <c r="M6673" s="5"/>
      <c r="N6673" s="5"/>
      <c r="O6673" s="5"/>
      <c r="P6673" s="5"/>
      <c r="Q6673" s="5"/>
      <c r="R6673" s="5"/>
      <c r="S6673" s="5"/>
      <c r="T6673" s="5"/>
      <c r="U6673" s="5"/>
      <c r="V6673" s="5"/>
      <c r="W6673" s="5"/>
      <c r="X6673" s="5"/>
      <c r="Y6673" s="5"/>
      <c r="Z6673" s="5"/>
    </row>
    <row r="6674" spans="1:26" ht="15" x14ac:dyDescent="0.25">
      <c r="A6674" s="4" t="s">
        <v>6672</v>
      </c>
      <c r="B6674" s="4" t="s">
        <v>4550</v>
      </c>
      <c r="C6674" s="2" t="str">
        <f ca="1">IFERROR(__xludf.DUMMYFUNCTION("GOOGLETRANSLATE(A6674,""bn"",""en"")"),"He was writing an essay")</f>
        <v>He was writing an essay</v>
      </c>
      <c r="D6674" s="5"/>
      <c r="E6674" s="5"/>
      <c r="F6674" s="5"/>
      <c r="G6674" s="5"/>
      <c r="H6674" s="5"/>
      <c r="I6674" s="5"/>
      <c r="J6674" s="5"/>
      <c r="K6674" s="5"/>
      <c r="L6674" s="5"/>
      <c r="M6674" s="5"/>
      <c r="N6674" s="5"/>
      <c r="O6674" s="5"/>
      <c r="P6674" s="5"/>
      <c r="Q6674" s="5"/>
      <c r="R6674" s="5"/>
      <c r="S6674" s="5"/>
      <c r="T6674" s="5"/>
      <c r="U6674" s="5"/>
      <c r="V6674" s="5"/>
      <c r="W6674" s="5"/>
      <c r="X6674" s="5"/>
      <c r="Y6674" s="5"/>
      <c r="Z6674" s="5"/>
    </row>
    <row r="6675" spans="1:26" ht="15" x14ac:dyDescent="0.25">
      <c r="A6675" s="4" t="s">
        <v>6673</v>
      </c>
      <c r="B6675" s="4" t="s">
        <v>4550</v>
      </c>
      <c r="C6675" s="2" t="str">
        <f ca="1">IFERROR(__xludf.DUMMYFUNCTION("GOOGLETRANSLATE(A6675,""bn"",""en"")"),"I invested in the Internet")</f>
        <v>I invested in the Internet</v>
      </c>
      <c r="D6675" s="5"/>
      <c r="E6675" s="5"/>
      <c r="F6675" s="5"/>
      <c r="G6675" s="5"/>
      <c r="H6675" s="5"/>
      <c r="I6675" s="5"/>
      <c r="J6675" s="5"/>
      <c r="K6675" s="5"/>
      <c r="L6675" s="5"/>
      <c r="M6675" s="5"/>
      <c r="N6675" s="5"/>
      <c r="O6675" s="5"/>
      <c r="P6675" s="5"/>
      <c r="Q6675" s="5"/>
      <c r="R6675" s="5"/>
      <c r="S6675" s="5"/>
      <c r="T6675" s="5"/>
      <c r="U6675" s="5"/>
      <c r="V6675" s="5"/>
      <c r="W6675" s="5"/>
      <c r="X6675" s="5"/>
      <c r="Y6675" s="5"/>
      <c r="Z6675" s="5"/>
    </row>
    <row r="6676" spans="1:26" ht="15" x14ac:dyDescent="0.25">
      <c r="A6676" s="4" t="s">
        <v>6674</v>
      </c>
      <c r="B6676" s="4" t="s">
        <v>4550</v>
      </c>
      <c r="C6676" s="2" t="str">
        <f ca="1">IFERROR(__xludf.DUMMYFUNCTION("GOOGLETRANSLATE(A6676,""bn"",""en"")"),"I sent messages every day")</f>
        <v>I sent messages every day</v>
      </c>
      <c r="D6676" s="5"/>
      <c r="E6676" s="5"/>
      <c r="F6676" s="5"/>
      <c r="G6676" s="5"/>
      <c r="H6676" s="5"/>
      <c r="I6676" s="5"/>
      <c r="J6676" s="5"/>
      <c r="K6676" s="5"/>
      <c r="L6676" s="5"/>
      <c r="M6676" s="5"/>
      <c r="N6676" s="5"/>
      <c r="O6676" s="5"/>
      <c r="P6676" s="5"/>
      <c r="Q6676" s="5"/>
      <c r="R6676" s="5"/>
      <c r="S6676" s="5"/>
      <c r="T6676" s="5"/>
      <c r="U6676" s="5"/>
      <c r="V6676" s="5"/>
      <c r="W6676" s="5"/>
      <c r="X6676" s="5"/>
      <c r="Y6676" s="5"/>
      <c r="Z6676" s="5"/>
    </row>
    <row r="6677" spans="1:26" ht="15" x14ac:dyDescent="0.25">
      <c r="A6677" s="4" t="s">
        <v>6675</v>
      </c>
      <c r="B6677" s="4" t="s">
        <v>4550</v>
      </c>
      <c r="C6677" s="2" t="str">
        <f ca="1">IFERROR(__xludf.DUMMYFUNCTION("GOOGLETRANSLATE(A6677,""bn"",""en"")"),"Rita studied")</f>
        <v>Rita studied</v>
      </c>
      <c r="D6677" s="5"/>
      <c r="E6677" s="5"/>
      <c r="F6677" s="5"/>
      <c r="G6677" s="5"/>
      <c r="H6677" s="5"/>
      <c r="I6677" s="5"/>
      <c r="J6677" s="5"/>
      <c r="K6677" s="5"/>
      <c r="L6677" s="5"/>
      <c r="M6677" s="5"/>
      <c r="N6677" s="5"/>
      <c r="O6677" s="5"/>
      <c r="P6677" s="5"/>
      <c r="Q6677" s="5"/>
      <c r="R6677" s="5"/>
      <c r="S6677" s="5"/>
      <c r="T6677" s="5"/>
      <c r="U6677" s="5"/>
      <c r="V6677" s="5"/>
      <c r="W6677" s="5"/>
      <c r="X6677" s="5"/>
      <c r="Y6677" s="5"/>
      <c r="Z6677" s="5"/>
    </row>
    <row r="6678" spans="1:26" ht="15" x14ac:dyDescent="0.25">
      <c r="A6678" s="4" t="s">
        <v>6676</v>
      </c>
      <c r="B6678" s="4" t="s">
        <v>4550</v>
      </c>
      <c r="C6678" s="2" t="str">
        <f ca="1">IFERROR(__xludf.DUMMYFUNCTION("GOOGLETRANSLATE(A6678,""bn"",""en"")"),"I used smart TV")</f>
        <v>I used smart TV</v>
      </c>
      <c r="D6678" s="5"/>
      <c r="E6678" s="5"/>
      <c r="F6678" s="5"/>
      <c r="G6678" s="5"/>
      <c r="H6678" s="5"/>
      <c r="I6678" s="5"/>
      <c r="J6678" s="5"/>
      <c r="K6678" s="5"/>
      <c r="L6678" s="5"/>
      <c r="M6678" s="5"/>
      <c r="N6678" s="5"/>
      <c r="O6678" s="5"/>
      <c r="P6678" s="5"/>
      <c r="Q6678" s="5"/>
      <c r="R6678" s="5"/>
      <c r="S6678" s="5"/>
      <c r="T6678" s="5"/>
      <c r="U6678" s="5"/>
      <c r="V6678" s="5"/>
      <c r="W6678" s="5"/>
      <c r="X6678" s="5"/>
      <c r="Y6678" s="5"/>
      <c r="Z6678" s="5"/>
    </row>
    <row r="6679" spans="1:26" ht="15" x14ac:dyDescent="0.25">
      <c r="A6679" s="4" t="s">
        <v>6677</v>
      </c>
      <c r="B6679" s="4" t="s">
        <v>4550</v>
      </c>
      <c r="C6679" s="2" t="str">
        <f ca="1">IFERROR(__xludf.DUMMYFUNCTION("GOOGLETRANSLATE(A6679,""bn"",""en"")"),"I used a printer")</f>
        <v>I used a printer</v>
      </c>
      <c r="D6679" s="5"/>
      <c r="E6679" s="5"/>
      <c r="F6679" s="5"/>
      <c r="G6679" s="5"/>
      <c r="H6679" s="5"/>
      <c r="I6679" s="5"/>
      <c r="J6679" s="5"/>
      <c r="K6679" s="5"/>
      <c r="L6679" s="5"/>
      <c r="M6679" s="5"/>
      <c r="N6679" s="5"/>
      <c r="O6679" s="5"/>
      <c r="P6679" s="5"/>
      <c r="Q6679" s="5"/>
      <c r="R6679" s="5"/>
      <c r="S6679" s="5"/>
      <c r="T6679" s="5"/>
      <c r="U6679" s="5"/>
      <c r="V6679" s="5"/>
      <c r="W6679" s="5"/>
      <c r="X6679" s="5"/>
      <c r="Y6679" s="5"/>
      <c r="Z6679" s="5"/>
    </row>
    <row r="6680" spans="1:26" ht="15" x14ac:dyDescent="0.25">
      <c r="A6680" s="4" t="s">
        <v>6678</v>
      </c>
      <c r="B6680" s="4" t="s">
        <v>4550</v>
      </c>
      <c r="C6680" s="2" t="str">
        <f ca="1">IFERROR(__xludf.DUMMYFUNCTION("GOOGLETRANSLATE(A6680,""bn"",""en"")"),"I listened to music on the laptop")</f>
        <v>I listened to music on the laptop</v>
      </c>
      <c r="D6680" s="5"/>
      <c r="E6680" s="5"/>
      <c r="F6680" s="5"/>
      <c r="G6680" s="5"/>
      <c r="H6680" s="5"/>
      <c r="I6680" s="5"/>
      <c r="J6680" s="5"/>
      <c r="K6680" s="5"/>
      <c r="L6680" s="5"/>
      <c r="M6680" s="5"/>
      <c r="N6680" s="5"/>
      <c r="O6680" s="5"/>
      <c r="P6680" s="5"/>
      <c r="Q6680" s="5"/>
      <c r="R6680" s="5"/>
      <c r="S6680" s="5"/>
      <c r="T6680" s="5"/>
      <c r="U6680" s="5"/>
      <c r="V6680" s="5"/>
      <c r="W6680" s="5"/>
      <c r="X6680" s="5"/>
      <c r="Y6680" s="5"/>
      <c r="Z6680" s="5"/>
    </row>
    <row r="6681" spans="1:26" ht="15" x14ac:dyDescent="0.25">
      <c r="A6681" s="4" t="s">
        <v>6679</v>
      </c>
      <c r="B6681" s="4" t="s">
        <v>4550</v>
      </c>
      <c r="C6681" s="2" t="str">
        <f ca="1">IFERROR(__xludf.DUMMYFUNCTION("GOOGLETRANSLATE(A6681,""bn"",""en"")"),"Bangladesh was riverine")</f>
        <v>Bangladesh was riverine</v>
      </c>
      <c r="D6681" s="5"/>
      <c r="E6681" s="5"/>
      <c r="F6681" s="5"/>
      <c r="G6681" s="5"/>
      <c r="H6681" s="5"/>
      <c r="I6681" s="5"/>
      <c r="J6681" s="5"/>
      <c r="K6681" s="5"/>
      <c r="L6681" s="5"/>
      <c r="M6681" s="5"/>
      <c r="N6681" s="5"/>
      <c r="O6681" s="5"/>
      <c r="P6681" s="5"/>
      <c r="Q6681" s="5"/>
      <c r="R6681" s="5"/>
      <c r="S6681" s="5"/>
      <c r="T6681" s="5"/>
      <c r="U6681" s="5"/>
      <c r="V6681" s="5"/>
      <c r="W6681" s="5"/>
      <c r="X6681" s="5"/>
      <c r="Y6681" s="5"/>
      <c r="Z6681" s="5"/>
    </row>
    <row r="6682" spans="1:26" ht="15" x14ac:dyDescent="0.25">
      <c r="A6682" s="4" t="s">
        <v>6680</v>
      </c>
      <c r="B6682" s="4" t="s">
        <v>4550</v>
      </c>
      <c r="C6682" s="2" t="str">
        <f ca="1">IFERROR(__xludf.DUMMYFUNCTION("GOOGLETRANSLATE(A6682,""bn"",""en"")"),"The money was withdrawn")</f>
        <v>The money was withdrawn</v>
      </c>
      <c r="D6682" s="5"/>
      <c r="E6682" s="5"/>
      <c r="F6682" s="5"/>
      <c r="G6682" s="5"/>
      <c r="H6682" s="5"/>
      <c r="I6682" s="5"/>
      <c r="J6682" s="5"/>
      <c r="K6682" s="5"/>
      <c r="L6682" s="5"/>
      <c r="M6682" s="5"/>
      <c r="N6682" s="5"/>
      <c r="O6682" s="5"/>
      <c r="P6682" s="5"/>
      <c r="Q6682" s="5"/>
      <c r="R6682" s="5"/>
      <c r="S6682" s="5"/>
      <c r="T6682" s="5"/>
      <c r="U6682" s="5"/>
      <c r="V6682" s="5"/>
      <c r="W6682" s="5"/>
      <c r="X6682" s="5"/>
      <c r="Y6682" s="5"/>
      <c r="Z6682" s="5"/>
    </row>
    <row r="6683" spans="1:26" ht="15" x14ac:dyDescent="0.25">
      <c r="A6683" s="4" t="s">
        <v>6681</v>
      </c>
      <c r="B6683" s="4" t="s">
        <v>4550</v>
      </c>
      <c r="C6683" s="2" t="str">
        <f ca="1">IFERROR(__xludf.DUMMYFUNCTION("GOOGLETRANSLATE(A6683,""bn"",""en"")"),"The product was being launched")</f>
        <v>The product was being launched</v>
      </c>
      <c r="D6683" s="5"/>
      <c r="E6683" s="5"/>
      <c r="F6683" s="5"/>
      <c r="G6683" s="5"/>
      <c r="H6683" s="5"/>
      <c r="I6683" s="5"/>
      <c r="J6683" s="5"/>
      <c r="K6683" s="5"/>
      <c r="L6683" s="5"/>
      <c r="M6683" s="5"/>
      <c r="N6683" s="5"/>
      <c r="O6683" s="5"/>
      <c r="P6683" s="5"/>
      <c r="Q6683" s="5"/>
      <c r="R6683" s="5"/>
      <c r="S6683" s="5"/>
      <c r="T6683" s="5"/>
      <c r="U6683" s="5"/>
      <c r="V6683" s="5"/>
      <c r="W6683" s="5"/>
      <c r="X6683" s="5"/>
      <c r="Y6683" s="5"/>
      <c r="Z6683" s="5"/>
    </row>
    <row r="6684" spans="1:26" ht="15" x14ac:dyDescent="0.25">
      <c r="A6684" s="4" t="s">
        <v>6682</v>
      </c>
      <c r="B6684" s="4" t="s">
        <v>4550</v>
      </c>
      <c r="C6684" s="2" t="str">
        <f ca="1">IFERROR(__xludf.DUMMYFUNCTION("GOOGLETRANSLATE(A6684,""bn"",""en"")"),"Prepared for the law")</f>
        <v>Prepared for the law</v>
      </c>
      <c r="D6684" s="5"/>
      <c r="E6684" s="5"/>
      <c r="F6684" s="5"/>
      <c r="G6684" s="5"/>
      <c r="H6684" s="5"/>
      <c r="I6684" s="5"/>
      <c r="J6684" s="5"/>
      <c r="K6684" s="5"/>
      <c r="L6684" s="5"/>
      <c r="M6684" s="5"/>
      <c r="N6684" s="5"/>
      <c r="O6684" s="5"/>
      <c r="P6684" s="5"/>
      <c r="Q6684" s="5"/>
      <c r="R6684" s="5"/>
      <c r="S6684" s="5"/>
      <c r="T6684" s="5"/>
      <c r="U6684" s="5"/>
      <c r="V6684" s="5"/>
      <c r="W6684" s="5"/>
      <c r="X6684" s="5"/>
      <c r="Y6684" s="5"/>
      <c r="Z6684" s="5"/>
    </row>
    <row r="6685" spans="1:26" ht="15" x14ac:dyDescent="0.25">
      <c r="A6685" s="4" t="s">
        <v>6683</v>
      </c>
      <c r="B6685" s="4" t="s">
        <v>4550</v>
      </c>
      <c r="C6685" s="2" t="str">
        <f ca="1">IFERROR(__xludf.DUMMYFUNCTION("GOOGLETRANSLATE(A6685,""bn"",""en"")"),"I paid Zakat")</f>
        <v>I paid Zakat</v>
      </c>
      <c r="D6685" s="5"/>
      <c r="E6685" s="5"/>
      <c r="F6685" s="5"/>
      <c r="G6685" s="5"/>
      <c r="H6685" s="5"/>
      <c r="I6685" s="5"/>
      <c r="J6685" s="5"/>
      <c r="K6685" s="5"/>
      <c r="L6685" s="5"/>
      <c r="M6685" s="5"/>
      <c r="N6685" s="5"/>
      <c r="O6685" s="5"/>
      <c r="P6685" s="5"/>
      <c r="Q6685" s="5"/>
      <c r="R6685" s="5"/>
      <c r="S6685" s="5"/>
      <c r="T6685" s="5"/>
      <c r="U6685" s="5"/>
      <c r="V6685" s="5"/>
      <c r="W6685" s="5"/>
      <c r="X6685" s="5"/>
      <c r="Y6685" s="5"/>
      <c r="Z6685" s="5"/>
    </row>
    <row r="6686" spans="1:26" ht="15" x14ac:dyDescent="0.25">
      <c r="A6686" s="4" t="s">
        <v>6684</v>
      </c>
      <c r="B6686" s="4" t="s">
        <v>4550</v>
      </c>
      <c r="C6686" s="2" t="str">
        <f ca="1">IFERROR(__xludf.DUMMYFUNCTION("GOOGLETRANSLATE(A6686,""bn"",""en"")"),"There was no bank service")</f>
        <v>There was no bank service</v>
      </c>
      <c r="D6686" s="5"/>
      <c r="E6686" s="5"/>
      <c r="F6686" s="5"/>
      <c r="G6686" s="5"/>
      <c r="H6686" s="5"/>
      <c r="I6686" s="5"/>
      <c r="J6686" s="5"/>
      <c r="K6686" s="5"/>
      <c r="L6686" s="5"/>
      <c r="M6686" s="5"/>
      <c r="N6686" s="5"/>
      <c r="O6686" s="5"/>
      <c r="P6686" s="5"/>
      <c r="Q6686" s="5"/>
      <c r="R6686" s="5"/>
      <c r="S6686" s="5"/>
      <c r="T6686" s="5"/>
      <c r="U6686" s="5"/>
      <c r="V6686" s="5"/>
      <c r="W6686" s="5"/>
      <c r="X6686" s="5"/>
      <c r="Y6686" s="5"/>
      <c r="Z6686" s="5"/>
    </row>
    <row r="6687" spans="1:26" ht="15" x14ac:dyDescent="0.25">
      <c r="A6687" s="4" t="s">
        <v>6685</v>
      </c>
      <c r="B6687" s="4" t="s">
        <v>4550</v>
      </c>
      <c r="C6687" s="2" t="str">
        <f ca="1">IFERROR(__xludf.DUMMYFUNCTION("GOOGLETRANSLATE(A6687,""bn"",""en"")"),"I sent money in cash")</f>
        <v>I sent money in cash</v>
      </c>
      <c r="D6687" s="5"/>
      <c r="E6687" s="5"/>
      <c r="F6687" s="5"/>
      <c r="G6687" s="5"/>
      <c r="H6687" s="5"/>
      <c r="I6687" s="5"/>
      <c r="J6687" s="5"/>
      <c r="K6687" s="5"/>
      <c r="L6687" s="5"/>
      <c r="M6687" s="5"/>
      <c r="N6687" s="5"/>
      <c r="O6687" s="5"/>
      <c r="P6687" s="5"/>
      <c r="Q6687" s="5"/>
      <c r="R6687" s="5"/>
      <c r="S6687" s="5"/>
      <c r="T6687" s="5"/>
      <c r="U6687" s="5"/>
      <c r="V6687" s="5"/>
      <c r="W6687" s="5"/>
      <c r="X6687" s="5"/>
      <c r="Y6687" s="5"/>
      <c r="Z6687" s="5"/>
    </row>
    <row r="6688" spans="1:26" ht="15" x14ac:dyDescent="0.25">
      <c r="A6688" s="4" t="s">
        <v>6686</v>
      </c>
      <c r="B6688" s="4" t="s">
        <v>4550</v>
      </c>
      <c r="C6688" s="2" t="str">
        <f ca="1">IFERROR(__xludf.DUMMYFUNCTION("GOOGLETRANSLATE(A6688,""bn"",""en"")"),"I was using pan")</f>
        <v>I was using pan</v>
      </c>
      <c r="D6688" s="5"/>
      <c r="E6688" s="5"/>
      <c r="F6688" s="5"/>
      <c r="G6688" s="5"/>
      <c r="H6688" s="5"/>
      <c r="I6688" s="5"/>
      <c r="J6688" s="5"/>
      <c r="K6688" s="5"/>
      <c r="L6688" s="5"/>
      <c r="M6688" s="5"/>
      <c r="N6688" s="5"/>
      <c r="O6688" s="5"/>
      <c r="P6688" s="5"/>
      <c r="Q6688" s="5"/>
      <c r="R6688" s="5"/>
      <c r="S6688" s="5"/>
      <c r="T6688" s="5"/>
      <c r="U6688" s="5"/>
      <c r="V6688" s="5"/>
      <c r="W6688" s="5"/>
      <c r="X6688" s="5"/>
      <c r="Y6688" s="5"/>
      <c r="Z6688" s="5"/>
    </row>
    <row r="6689" spans="1:26" ht="15" x14ac:dyDescent="0.25">
      <c r="A6689" s="4" t="s">
        <v>6687</v>
      </c>
      <c r="B6689" s="4" t="s">
        <v>4550</v>
      </c>
      <c r="C6689" s="2" t="str">
        <f ca="1">IFERROR(__xludf.DUMMYFUNCTION("GOOGLETRANSLATE(A6689,""bn"",""en"")"),"I went to a religious event")</f>
        <v>I went to a religious event</v>
      </c>
      <c r="D6689" s="5"/>
      <c r="E6689" s="5"/>
      <c r="F6689" s="5"/>
      <c r="G6689" s="5"/>
      <c r="H6689" s="5"/>
      <c r="I6689" s="5"/>
      <c r="J6689" s="5"/>
      <c r="K6689" s="5"/>
      <c r="L6689" s="5"/>
      <c r="M6689" s="5"/>
      <c r="N6689" s="5"/>
      <c r="O6689" s="5"/>
      <c r="P6689" s="5"/>
      <c r="Q6689" s="5"/>
      <c r="R6689" s="5"/>
      <c r="S6689" s="5"/>
      <c r="T6689" s="5"/>
      <c r="U6689" s="5"/>
      <c r="V6689" s="5"/>
      <c r="W6689" s="5"/>
      <c r="X6689" s="5"/>
      <c r="Y6689" s="5"/>
      <c r="Z6689" s="5"/>
    </row>
    <row r="6690" spans="1:26" ht="15" x14ac:dyDescent="0.25">
      <c r="A6690" s="4" t="s">
        <v>6688</v>
      </c>
      <c r="B6690" s="4" t="s">
        <v>4550</v>
      </c>
      <c r="C6690" s="2" t="str">
        <f ca="1">IFERROR(__xludf.DUMMYFUNCTION("GOOGLETRANSLATE(A6690,""bn"",""en"")"),"There was social discussion")</f>
        <v>There was social discussion</v>
      </c>
      <c r="D6690" s="5"/>
      <c r="E6690" s="5"/>
      <c r="F6690" s="5"/>
      <c r="G6690" s="5"/>
      <c r="H6690" s="5"/>
      <c r="I6690" s="5"/>
      <c r="J6690" s="5"/>
      <c r="K6690" s="5"/>
      <c r="L6690" s="5"/>
      <c r="M6690" s="5"/>
      <c r="N6690" s="5"/>
      <c r="O6690" s="5"/>
      <c r="P6690" s="5"/>
      <c r="Q6690" s="5"/>
      <c r="R6690" s="5"/>
      <c r="S6690" s="5"/>
      <c r="T6690" s="5"/>
      <c r="U6690" s="5"/>
      <c r="V6690" s="5"/>
      <c r="W6690" s="5"/>
      <c r="X6690" s="5"/>
      <c r="Y6690" s="5"/>
      <c r="Z6690" s="5"/>
    </row>
    <row r="6691" spans="1:26" ht="15" x14ac:dyDescent="0.25">
      <c r="A6691" s="4" t="s">
        <v>6689</v>
      </c>
      <c r="B6691" s="4" t="s">
        <v>4550</v>
      </c>
      <c r="C6691" s="2" t="str">
        <f ca="1">IFERROR(__xludf.DUMMYFUNCTION("GOOGLETRANSLATE(A6691,""bn"",""en"")"),"I got good compliments")</f>
        <v>I got good compliments</v>
      </c>
      <c r="D6691" s="5"/>
      <c r="E6691" s="5"/>
      <c r="F6691" s="5"/>
      <c r="G6691" s="5"/>
      <c r="H6691" s="5"/>
      <c r="I6691" s="5"/>
      <c r="J6691" s="5"/>
      <c r="K6691" s="5"/>
      <c r="L6691" s="5"/>
      <c r="M6691" s="5"/>
      <c r="N6691" s="5"/>
      <c r="O6691" s="5"/>
      <c r="P6691" s="5"/>
      <c r="Q6691" s="5"/>
      <c r="R6691" s="5"/>
      <c r="S6691" s="5"/>
      <c r="T6691" s="5"/>
      <c r="U6691" s="5"/>
      <c r="V6691" s="5"/>
      <c r="W6691" s="5"/>
      <c r="X6691" s="5"/>
      <c r="Y6691" s="5"/>
      <c r="Z6691" s="5"/>
    </row>
    <row r="6692" spans="1:26" ht="15" x14ac:dyDescent="0.25">
      <c r="A6692" s="4" t="s">
        <v>6690</v>
      </c>
      <c r="B6692" s="4" t="s">
        <v>4550</v>
      </c>
      <c r="C6692" s="2" t="str">
        <f ca="1">IFERROR(__xludf.DUMMYFUNCTION("GOOGLETRANSLATE(A6692,""bn"",""en"")"),"I wanted to share my feelings")</f>
        <v>I wanted to share my feelings</v>
      </c>
      <c r="D6692" s="5"/>
      <c r="E6692" s="5"/>
      <c r="F6692" s="5"/>
      <c r="G6692" s="5"/>
      <c r="H6692" s="5"/>
      <c r="I6692" s="5"/>
      <c r="J6692" s="5"/>
      <c r="K6692" s="5"/>
      <c r="L6692" s="5"/>
      <c r="M6692" s="5"/>
      <c r="N6692" s="5"/>
      <c r="O6692" s="5"/>
      <c r="P6692" s="5"/>
      <c r="Q6692" s="5"/>
      <c r="R6692" s="5"/>
      <c r="S6692" s="5"/>
      <c r="T6692" s="5"/>
      <c r="U6692" s="5"/>
      <c r="V6692" s="5"/>
      <c r="W6692" s="5"/>
      <c r="X6692" s="5"/>
      <c r="Y6692" s="5"/>
      <c r="Z6692" s="5"/>
    </row>
    <row r="6693" spans="1:26" ht="15" x14ac:dyDescent="0.25">
      <c r="A6693" s="4" t="s">
        <v>6691</v>
      </c>
      <c r="B6693" s="4" t="s">
        <v>4550</v>
      </c>
      <c r="C6693" s="2" t="str">
        <f ca="1">IFERROR(__xludf.DUMMYFUNCTION("GOOGLETRANSLATE(A6693,""bn"",""en"")"),"Had a computer class")</f>
        <v>Had a computer class</v>
      </c>
      <c r="D6693" s="5"/>
      <c r="E6693" s="5"/>
      <c r="F6693" s="5"/>
      <c r="G6693" s="5"/>
      <c r="H6693" s="5"/>
      <c r="I6693" s="5"/>
      <c r="J6693" s="5"/>
      <c r="K6693" s="5"/>
      <c r="L6693" s="5"/>
      <c r="M6693" s="5"/>
      <c r="N6693" s="5"/>
      <c r="O6693" s="5"/>
      <c r="P6693" s="5"/>
      <c r="Q6693" s="5"/>
      <c r="R6693" s="5"/>
      <c r="S6693" s="5"/>
      <c r="T6693" s="5"/>
      <c r="U6693" s="5"/>
      <c r="V6693" s="5"/>
      <c r="W6693" s="5"/>
      <c r="X6693" s="5"/>
      <c r="Y6693" s="5"/>
      <c r="Z6693" s="5"/>
    </row>
    <row r="6694" spans="1:26" ht="15" x14ac:dyDescent="0.25">
      <c r="A6694" s="4" t="s">
        <v>6692</v>
      </c>
      <c r="B6694" s="4" t="s">
        <v>4550</v>
      </c>
      <c r="C6694" s="2" t="str">
        <f ca="1">IFERROR(__xludf.DUMMYFUNCTION("GOOGLETRANSLATE(A6694,""bn"",""en"")"),"Had a cold drink")</f>
        <v>Had a cold drink</v>
      </c>
      <c r="D6694" s="5"/>
      <c r="E6694" s="5"/>
      <c r="F6694" s="5"/>
      <c r="G6694" s="5"/>
      <c r="H6694" s="5"/>
      <c r="I6694" s="5"/>
      <c r="J6694" s="5"/>
      <c r="K6694" s="5"/>
      <c r="L6694" s="5"/>
      <c r="M6694" s="5"/>
      <c r="N6694" s="5"/>
      <c r="O6694" s="5"/>
      <c r="P6694" s="5"/>
      <c r="Q6694" s="5"/>
      <c r="R6694" s="5"/>
      <c r="S6694" s="5"/>
      <c r="T6694" s="5"/>
      <c r="U6694" s="5"/>
      <c r="V6694" s="5"/>
      <c r="W6694" s="5"/>
      <c r="X6694" s="5"/>
      <c r="Y6694" s="5"/>
      <c r="Z6694" s="5"/>
    </row>
    <row r="6695" spans="1:26" ht="15" x14ac:dyDescent="0.25">
      <c r="A6695" s="4" t="s">
        <v>6693</v>
      </c>
      <c r="B6695" s="4" t="s">
        <v>4550</v>
      </c>
      <c r="C6695" s="2" t="str">
        <f ca="1">IFERROR(__xludf.DUMMYFUNCTION("GOOGLETRANSLATE(A6695,""bn"",""en"")"),"I went for a walk in winter")</f>
        <v>I went for a walk in winter</v>
      </c>
      <c r="D6695" s="5"/>
      <c r="E6695" s="5"/>
      <c r="F6695" s="5"/>
      <c r="G6695" s="5"/>
      <c r="H6695" s="5"/>
      <c r="I6695" s="5"/>
      <c r="J6695" s="5"/>
      <c r="K6695" s="5"/>
      <c r="L6695" s="5"/>
      <c r="M6695" s="5"/>
      <c r="N6695" s="5"/>
      <c r="O6695" s="5"/>
      <c r="P6695" s="5"/>
      <c r="Q6695" s="5"/>
      <c r="R6695" s="5"/>
      <c r="S6695" s="5"/>
      <c r="T6695" s="5"/>
      <c r="U6695" s="5"/>
      <c r="V6695" s="5"/>
      <c r="W6695" s="5"/>
      <c r="X6695" s="5"/>
      <c r="Y6695" s="5"/>
      <c r="Z6695" s="5"/>
    </row>
    <row r="6696" spans="1:26" ht="15" x14ac:dyDescent="0.25">
      <c r="A6696" s="4" t="s">
        <v>6694</v>
      </c>
      <c r="B6696" s="4" t="s">
        <v>4550</v>
      </c>
      <c r="C6696" s="2" t="str">
        <f ca="1">IFERROR(__xludf.DUMMYFUNCTION("GOOGLETRANSLATE(A6696,""bn"",""en"")"),"We learned blockchain")</f>
        <v>We learned blockchain</v>
      </c>
      <c r="D6696" s="5"/>
      <c r="E6696" s="5"/>
      <c r="F6696" s="5"/>
      <c r="G6696" s="5"/>
      <c r="H6696" s="5"/>
      <c r="I6696" s="5"/>
      <c r="J6696" s="5"/>
      <c r="K6696" s="5"/>
      <c r="L6696" s="5"/>
      <c r="M6696" s="5"/>
      <c r="N6696" s="5"/>
      <c r="O6696" s="5"/>
      <c r="P6696" s="5"/>
      <c r="Q6696" s="5"/>
      <c r="R6696" s="5"/>
      <c r="S6696" s="5"/>
      <c r="T6696" s="5"/>
      <c r="U6696" s="5"/>
      <c r="V6696" s="5"/>
      <c r="W6696" s="5"/>
      <c r="X6696" s="5"/>
      <c r="Y6696" s="5"/>
      <c r="Z6696" s="5"/>
    </row>
    <row r="6697" spans="1:26" ht="15" x14ac:dyDescent="0.25">
      <c r="A6697" s="4" t="s">
        <v>6695</v>
      </c>
      <c r="B6697" s="4" t="s">
        <v>4550</v>
      </c>
      <c r="C6697" s="2" t="str">
        <f ca="1">IFERROR(__xludf.DUMMYFUNCTION("GOOGLETRANSLATE(A6697,""bn"",""en"")"),"I was doing an online course")</f>
        <v>I was doing an online course</v>
      </c>
      <c r="D6697" s="5"/>
      <c r="E6697" s="5"/>
      <c r="F6697" s="5"/>
      <c r="G6697" s="5"/>
      <c r="H6697" s="5"/>
      <c r="I6697" s="5"/>
      <c r="J6697" s="5"/>
      <c r="K6697" s="5"/>
      <c r="L6697" s="5"/>
      <c r="M6697" s="5"/>
      <c r="N6697" s="5"/>
      <c r="O6697" s="5"/>
      <c r="P6697" s="5"/>
      <c r="Q6697" s="5"/>
      <c r="R6697" s="5"/>
      <c r="S6697" s="5"/>
      <c r="T6697" s="5"/>
      <c r="U6697" s="5"/>
      <c r="V6697" s="5"/>
      <c r="W6697" s="5"/>
      <c r="X6697" s="5"/>
      <c r="Y6697" s="5"/>
      <c r="Z6697" s="5"/>
    </row>
    <row r="6698" spans="1:26" ht="15" x14ac:dyDescent="0.25">
      <c r="A6698" s="4" t="s">
        <v>6696</v>
      </c>
      <c r="B6698" s="4" t="s">
        <v>4550</v>
      </c>
      <c r="C6698" s="2" t="str">
        <f ca="1">IFERROR(__xludf.DUMMYFUNCTION("GOOGLETRANSLATE(A6698,""bn"",""en"")"),"I was checking the software")</f>
        <v>I was checking the software</v>
      </c>
      <c r="D6698" s="5"/>
      <c r="E6698" s="5"/>
      <c r="F6698" s="5"/>
      <c r="G6698" s="5"/>
      <c r="H6698" s="5"/>
      <c r="I6698" s="5"/>
      <c r="J6698" s="5"/>
      <c r="K6698" s="5"/>
      <c r="L6698" s="5"/>
      <c r="M6698" s="5"/>
      <c r="N6698" s="5"/>
      <c r="O6698" s="5"/>
      <c r="P6698" s="5"/>
      <c r="Q6698" s="5"/>
      <c r="R6698" s="5"/>
      <c r="S6698" s="5"/>
      <c r="T6698" s="5"/>
      <c r="U6698" s="5"/>
      <c r="V6698" s="5"/>
      <c r="W6698" s="5"/>
      <c r="X6698" s="5"/>
      <c r="Y6698" s="5"/>
      <c r="Z6698" s="5"/>
    </row>
    <row r="6699" spans="1:26" ht="15" x14ac:dyDescent="0.25">
      <c r="A6699" s="4" t="s">
        <v>6697</v>
      </c>
      <c r="B6699" s="4" t="s">
        <v>4550</v>
      </c>
      <c r="C6699" s="2" t="str">
        <f ca="1">IFERROR(__xludf.DUMMYFUNCTION("GOOGLETRANSLATE(A6699,""bn"",""en"")"),"Agriculture was improving")</f>
        <v>Agriculture was improving</v>
      </c>
      <c r="D6699" s="5"/>
      <c r="E6699" s="5"/>
      <c r="F6699" s="5"/>
      <c r="G6699" s="5"/>
      <c r="H6699" s="5"/>
      <c r="I6699" s="5"/>
      <c r="J6699" s="5"/>
      <c r="K6699" s="5"/>
      <c r="L6699" s="5"/>
      <c r="M6699" s="5"/>
      <c r="N6699" s="5"/>
      <c r="O6699" s="5"/>
      <c r="P6699" s="5"/>
      <c r="Q6699" s="5"/>
      <c r="R6699" s="5"/>
      <c r="S6699" s="5"/>
      <c r="T6699" s="5"/>
      <c r="U6699" s="5"/>
      <c r="V6699" s="5"/>
      <c r="W6699" s="5"/>
      <c r="X6699" s="5"/>
      <c r="Y6699" s="5"/>
      <c r="Z6699" s="5"/>
    </row>
    <row r="6700" spans="1:26" ht="15" x14ac:dyDescent="0.25">
      <c r="A6700" s="4" t="s">
        <v>6698</v>
      </c>
      <c r="B6700" s="4" t="s">
        <v>4550</v>
      </c>
      <c r="C6700" s="2" t="str">
        <f ca="1">IFERROR(__xludf.DUMMYFUNCTION("GOOGLETRANSLATE(A6700,""bn"",""en"")"),"I used to accept bank services")</f>
        <v>I used to accept bank services</v>
      </c>
      <c r="D6700" s="5"/>
      <c r="E6700" s="5"/>
      <c r="F6700" s="5"/>
      <c r="G6700" s="5"/>
      <c r="H6700" s="5"/>
      <c r="I6700" s="5"/>
      <c r="J6700" s="5"/>
      <c r="K6700" s="5"/>
      <c r="L6700" s="5"/>
      <c r="M6700" s="5"/>
      <c r="N6700" s="5"/>
      <c r="O6700" s="5"/>
      <c r="P6700" s="5"/>
      <c r="Q6700" s="5"/>
      <c r="R6700" s="5"/>
      <c r="S6700" s="5"/>
      <c r="T6700" s="5"/>
      <c r="U6700" s="5"/>
      <c r="V6700" s="5"/>
      <c r="W6700" s="5"/>
      <c r="X6700" s="5"/>
      <c r="Y6700" s="5"/>
      <c r="Z6700" s="5"/>
    </row>
    <row r="6701" spans="1:26" ht="15" x14ac:dyDescent="0.25">
      <c r="A6701" s="4" t="s">
        <v>6699</v>
      </c>
      <c r="B6701" s="4" t="s">
        <v>4550</v>
      </c>
      <c r="C6701" s="2" t="str">
        <f ca="1">IFERROR(__xludf.DUMMYFUNCTION("GOOGLETRANSLATE(A6701,""bn"",""en"")"),"Bank loans were decreasing")</f>
        <v>Bank loans were decreasing</v>
      </c>
      <c r="D6701" s="5"/>
      <c r="E6701" s="5"/>
      <c r="F6701" s="5"/>
      <c r="G6701" s="5"/>
      <c r="H6701" s="5"/>
      <c r="I6701" s="5"/>
      <c r="J6701" s="5"/>
      <c r="K6701" s="5"/>
      <c r="L6701" s="5"/>
      <c r="M6701" s="5"/>
      <c r="N6701" s="5"/>
      <c r="O6701" s="5"/>
      <c r="P6701" s="5"/>
      <c r="Q6701" s="5"/>
      <c r="R6701" s="5"/>
      <c r="S6701" s="5"/>
      <c r="T6701" s="5"/>
      <c r="U6701" s="5"/>
      <c r="V6701" s="5"/>
      <c r="W6701" s="5"/>
      <c r="X6701" s="5"/>
      <c r="Y6701" s="5"/>
      <c r="Z6701" s="5"/>
    </row>
    <row r="6702" spans="1:26" ht="15" x14ac:dyDescent="0.25">
      <c r="A6702" s="4" t="s">
        <v>6700</v>
      </c>
      <c r="B6702" s="4" t="s">
        <v>4550</v>
      </c>
      <c r="C6702" s="2" t="str">
        <f ca="1">IFERROR(__xludf.DUMMYFUNCTION("GOOGLETRANSLATE(A6702,""bn"",""en"")"),"I could share")</f>
        <v>I could share</v>
      </c>
      <c r="D6702" s="5"/>
      <c r="E6702" s="5"/>
      <c r="F6702" s="5"/>
      <c r="G6702" s="5"/>
      <c r="H6702" s="5"/>
      <c r="I6702" s="5"/>
      <c r="J6702" s="5"/>
      <c r="K6702" s="5"/>
      <c r="L6702" s="5"/>
      <c r="M6702" s="5"/>
      <c r="N6702" s="5"/>
      <c r="O6702" s="5"/>
      <c r="P6702" s="5"/>
      <c r="Q6702" s="5"/>
      <c r="R6702" s="5"/>
      <c r="S6702" s="5"/>
      <c r="T6702" s="5"/>
      <c r="U6702" s="5"/>
      <c r="V6702" s="5"/>
      <c r="W6702" s="5"/>
      <c r="X6702" s="5"/>
      <c r="Y6702" s="5"/>
      <c r="Z6702" s="5"/>
    </row>
    <row r="6703" spans="1:26" ht="15" x14ac:dyDescent="0.25">
      <c r="A6703" s="4" t="s">
        <v>6701</v>
      </c>
      <c r="B6703" s="4" t="s">
        <v>4550</v>
      </c>
      <c r="C6703" s="2" t="str">
        <f ca="1">IFERROR(__xludf.DUMMYFUNCTION("GOOGLETRANSLATE(A6703,""bn"",""en"")"),"Purchasing company was growing")</f>
        <v>Purchasing company was growing</v>
      </c>
      <c r="D6703" s="5"/>
      <c r="E6703" s="5"/>
      <c r="F6703" s="5"/>
      <c r="G6703" s="5"/>
      <c r="H6703" s="5"/>
      <c r="I6703" s="5"/>
      <c r="J6703" s="5"/>
      <c r="K6703" s="5"/>
      <c r="L6703" s="5"/>
      <c r="M6703" s="5"/>
      <c r="N6703" s="5"/>
      <c r="O6703" s="5"/>
      <c r="P6703" s="5"/>
      <c r="Q6703" s="5"/>
      <c r="R6703" s="5"/>
      <c r="S6703" s="5"/>
      <c r="T6703" s="5"/>
      <c r="U6703" s="5"/>
      <c r="V6703" s="5"/>
      <c r="W6703" s="5"/>
      <c r="X6703" s="5"/>
      <c r="Y6703" s="5"/>
      <c r="Z6703" s="5"/>
    </row>
    <row r="6704" spans="1:26" ht="15" x14ac:dyDescent="0.25">
      <c r="A6704" s="4" t="s">
        <v>6702</v>
      </c>
      <c r="B6704" s="4" t="s">
        <v>4550</v>
      </c>
      <c r="C6704" s="2" t="str">
        <f ca="1">IFERROR(__xludf.DUMMYFUNCTION("GOOGLETRANSLATE(A6704,""bn"",""en"")"),"I read the story")</f>
        <v>I read the story</v>
      </c>
      <c r="D6704" s="5"/>
      <c r="E6704" s="5"/>
      <c r="F6704" s="5"/>
      <c r="G6704" s="5"/>
      <c r="H6704" s="5"/>
      <c r="I6704" s="5"/>
      <c r="J6704" s="5"/>
      <c r="K6704" s="5"/>
      <c r="L6704" s="5"/>
      <c r="M6704" s="5"/>
      <c r="N6704" s="5"/>
      <c r="O6704" s="5"/>
      <c r="P6704" s="5"/>
      <c r="Q6704" s="5"/>
      <c r="R6704" s="5"/>
      <c r="S6704" s="5"/>
      <c r="T6704" s="5"/>
      <c r="U6704" s="5"/>
      <c r="V6704" s="5"/>
      <c r="W6704" s="5"/>
      <c r="X6704" s="5"/>
      <c r="Y6704" s="5"/>
      <c r="Z6704" s="5"/>
    </row>
    <row r="6705" spans="1:26" ht="15" x14ac:dyDescent="0.25">
      <c r="A6705" s="4" t="s">
        <v>6703</v>
      </c>
      <c r="B6705" s="4" t="s">
        <v>4550</v>
      </c>
      <c r="C6705" s="2" t="str">
        <f ca="1">IFERROR(__xludf.DUMMYFUNCTION("GOOGLETRANSLATE(A6705,""bn"",""en"")"),"I got loan facility")</f>
        <v>I got loan facility</v>
      </c>
      <c r="D6705" s="5"/>
      <c r="E6705" s="5"/>
      <c r="F6705" s="5"/>
      <c r="G6705" s="5"/>
      <c r="H6705" s="5"/>
      <c r="I6705" s="5"/>
      <c r="J6705" s="5"/>
      <c r="K6705" s="5"/>
      <c r="L6705" s="5"/>
      <c r="M6705" s="5"/>
      <c r="N6705" s="5"/>
      <c r="O6705" s="5"/>
      <c r="P6705" s="5"/>
      <c r="Q6705" s="5"/>
      <c r="R6705" s="5"/>
      <c r="S6705" s="5"/>
      <c r="T6705" s="5"/>
      <c r="U6705" s="5"/>
      <c r="V6705" s="5"/>
      <c r="W6705" s="5"/>
      <c r="X6705" s="5"/>
      <c r="Y6705" s="5"/>
      <c r="Z6705" s="5"/>
    </row>
    <row r="6706" spans="1:26" ht="15" x14ac:dyDescent="0.25">
      <c r="A6706" s="4" t="s">
        <v>6704</v>
      </c>
      <c r="B6706" s="4" t="s">
        <v>4550</v>
      </c>
      <c r="C6706" s="2" t="str">
        <f ca="1">IFERROR(__xludf.DUMMYFUNCTION("GOOGLETRANSLATE(A6706,""bn"",""en"")"),"Children play tennis")</f>
        <v>Children play tennis</v>
      </c>
      <c r="D6706" s="5"/>
      <c r="E6706" s="5"/>
      <c r="F6706" s="5"/>
      <c r="G6706" s="5"/>
      <c r="H6706" s="5"/>
      <c r="I6706" s="5"/>
      <c r="J6706" s="5"/>
      <c r="K6706" s="5"/>
      <c r="L6706" s="5"/>
      <c r="M6706" s="5"/>
      <c r="N6706" s="5"/>
      <c r="O6706" s="5"/>
      <c r="P6706" s="5"/>
      <c r="Q6706" s="5"/>
      <c r="R6706" s="5"/>
      <c r="S6706" s="5"/>
      <c r="T6706" s="5"/>
      <c r="U6706" s="5"/>
      <c r="V6706" s="5"/>
      <c r="W6706" s="5"/>
      <c r="X6706" s="5"/>
      <c r="Y6706" s="5"/>
      <c r="Z6706" s="5"/>
    </row>
    <row r="6707" spans="1:26" ht="15" x14ac:dyDescent="0.25">
      <c r="A6707" s="4" t="s">
        <v>6705</v>
      </c>
      <c r="B6707" s="4" t="s">
        <v>4550</v>
      </c>
      <c r="C6707" s="2" t="str">
        <f ca="1">IFERROR(__xludf.DUMMYFUNCTION("GOOGLETRANSLATE(A6707,""bn"",""en"")"),"The concept was improving")</f>
        <v>The concept was improving</v>
      </c>
      <c r="D6707" s="5"/>
      <c r="E6707" s="5"/>
      <c r="F6707" s="5"/>
      <c r="G6707" s="5"/>
      <c r="H6707" s="5"/>
      <c r="I6707" s="5"/>
      <c r="J6707" s="5"/>
      <c r="K6707" s="5"/>
      <c r="L6707" s="5"/>
      <c r="M6707" s="5"/>
      <c r="N6707" s="5"/>
      <c r="O6707" s="5"/>
      <c r="P6707" s="5"/>
      <c r="Q6707" s="5"/>
      <c r="R6707" s="5"/>
      <c r="S6707" s="5"/>
      <c r="T6707" s="5"/>
      <c r="U6707" s="5"/>
      <c r="V6707" s="5"/>
      <c r="W6707" s="5"/>
      <c r="X6707" s="5"/>
      <c r="Y6707" s="5"/>
      <c r="Z6707" s="5"/>
    </row>
    <row r="6708" spans="1:26" ht="15" x14ac:dyDescent="0.25">
      <c r="A6708" s="4" t="s">
        <v>6706</v>
      </c>
      <c r="B6708" s="4" t="s">
        <v>4550</v>
      </c>
      <c r="C6708" s="2" t="str">
        <f ca="1">IFERROR(__xludf.DUMMYFUNCTION("GOOGLETRANSLATE(A6708,""bn"",""en"")"),"I was walking around in a row")</f>
        <v>I was walking around in a row</v>
      </c>
      <c r="D6708" s="5"/>
      <c r="E6708" s="5"/>
      <c r="F6708" s="5"/>
      <c r="G6708" s="5"/>
      <c r="H6708" s="5"/>
      <c r="I6708" s="5"/>
      <c r="J6708" s="5"/>
      <c r="K6708" s="5"/>
      <c r="L6708" s="5"/>
      <c r="M6708" s="5"/>
      <c r="N6708" s="5"/>
      <c r="O6708" s="5"/>
      <c r="P6708" s="5"/>
      <c r="Q6708" s="5"/>
      <c r="R6708" s="5"/>
      <c r="S6708" s="5"/>
      <c r="T6708" s="5"/>
      <c r="U6708" s="5"/>
      <c r="V6708" s="5"/>
      <c r="W6708" s="5"/>
      <c r="X6708" s="5"/>
      <c r="Y6708" s="5"/>
      <c r="Z6708" s="5"/>
    </row>
    <row r="6709" spans="1:26" ht="15" x14ac:dyDescent="0.25">
      <c r="A6709" s="4" t="s">
        <v>6707</v>
      </c>
      <c r="B6709" s="4" t="s">
        <v>4550</v>
      </c>
      <c r="C6709" s="2" t="str">
        <f ca="1">IFERROR(__xludf.DUMMYFUNCTION("GOOGLETRANSLATE(A6709,""bn"",""en"")"),"you were successful")</f>
        <v>you were successful</v>
      </c>
      <c r="D6709" s="5"/>
      <c r="E6709" s="5"/>
      <c r="F6709" s="5"/>
      <c r="G6709" s="5"/>
      <c r="H6709" s="5"/>
      <c r="I6709" s="5"/>
      <c r="J6709" s="5"/>
      <c r="K6709" s="5"/>
      <c r="L6709" s="5"/>
      <c r="M6709" s="5"/>
      <c r="N6709" s="5"/>
      <c r="O6709" s="5"/>
      <c r="P6709" s="5"/>
      <c r="Q6709" s="5"/>
      <c r="R6709" s="5"/>
      <c r="S6709" s="5"/>
      <c r="T6709" s="5"/>
      <c r="U6709" s="5"/>
      <c r="V6709" s="5"/>
      <c r="W6709" s="5"/>
      <c r="X6709" s="5"/>
      <c r="Y6709" s="5"/>
      <c r="Z6709" s="5"/>
    </row>
    <row r="6710" spans="1:26" ht="15" x14ac:dyDescent="0.25">
      <c r="A6710" s="4" t="s">
        <v>6708</v>
      </c>
      <c r="B6710" s="4" t="s">
        <v>4550</v>
      </c>
      <c r="C6710" s="2" t="str">
        <f ca="1">IFERROR(__xludf.DUMMYFUNCTION("GOOGLETRANSLATE(A6710,""bn"",""en"")"),"I used apple phone")</f>
        <v>I used apple phone</v>
      </c>
      <c r="D6710" s="5"/>
      <c r="E6710" s="5"/>
      <c r="F6710" s="5"/>
      <c r="G6710" s="5"/>
      <c r="H6710" s="5"/>
      <c r="I6710" s="5"/>
      <c r="J6710" s="5"/>
      <c r="K6710" s="5"/>
      <c r="L6710" s="5"/>
      <c r="M6710" s="5"/>
      <c r="N6710" s="5"/>
      <c r="O6710" s="5"/>
      <c r="P6710" s="5"/>
      <c r="Q6710" s="5"/>
      <c r="R6710" s="5"/>
      <c r="S6710" s="5"/>
      <c r="T6710" s="5"/>
      <c r="U6710" s="5"/>
      <c r="V6710" s="5"/>
      <c r="W6710" s="5"/>
      <c r="X6710" s="5"/>
      <c r="Y6710" s="5"/>
      <c r="Z6710" s="5"/>
    </row>
    <row r="6711" spans="1:26" ht="15" x14ac:dyDescent="0.25">
      <c r="A6711" s="4" t="s">
        <v>6709</v>
      </c>
      <c r="B6711" s="4" t="s">
        <v>4550</v>
      </c>
      <c r="C6711" s="2" t="str">
        <f ca="1">IFERROR(__xludf.DUMMYFUNCTION("GOOGLETRANSLATE(A6711,""bn"",""en"")"),"I invested safely")</f>
        <v>I invested safely</v>
      </c>
      <c r="D6711" s="5"/>
      <c r="E6711" s="5"/>
      <c r="F6711" s="5"/>
      <c r="G6711" s="5"/>
      <c r="H6711" s="5"/>
      <c r="I6711" s="5"/>
      <c r="J6711" s="5"/>
      <c r="K6711" s="5"/>
      <c r="L6711" s="5"/>
      <c r="M6711" s="5"/>
      <c r="N6711" s="5"/>
      <c r="O6711" s="5"/>
      <c r="P6711" s="5"/>
      <c r="Q6711" s="5"/>
      <c r="R6711" s="5"/>
      <c r="S6711" s="5"/>
      <c r="T6711" s="5"/>
      <c r="U6711" s="5"/>
      <c r="V6711" s="5"/>
      <c r="W6711" s="5"/>
      <c r="X6711" s="5"/>
      <c r="Y6711" s="5"/>
      <c r="Z6711" s="5"/>
    </row>
    <row r="6712" spans="1:26" ht="15" x14ac:dyDescent="0.25">
      <c r="A6712" s="4" t="s">
        <v>6710</v>
      </c>
      <c r="B6712" s="4" t="s">
        <v>4550</v>
      </c>
      <c r="C6712" s="2" t="str">
        <f ca="1">IFERROR(__xludf.DUMMYFUNCTION("GOOGLETRANSLATE(A6712,""bn"",""en"")"),"The parties were meeting")</f>
        <v>The parties were meeting</v>
      </c>
      <c r="D6712" s="5"/>
      <c r="E6712" s="5"/>
      <c r="F6712" s="5"/>
      <c r="G6712" s="5"/>
      <c r="H6712" s="5"/>
      <c r="I6712" s="5"/>
      <c r="J6712" s="5"/>
      <c r="K6712" s="5"/>
      <c r="L6712" s="5"/>
      <c r="M6712" s="5"/>
      <c r="N6712" s="5"/>
      <c r="O6712" s="5"/>
      <c r="P6712" s="5"/>
      <c r="Q6712" s="5"/>
      <c r="R6712" s="5"/>
      <c r="S6712" s="5"/>
      <c r="T6712" s="5"/>
      <c r="U6712" s="5"/>
      <c r="V6712" s="5"/>
      <c r="W6712" s="5"/>
      <c r="X6712" s="5"/>
      <c r="Y6712" s="5"/>
      <c r="Z6712" s="5"/>
    </row>
    <row r="6713" spans="1:26" ht="15" x14ac:dyDescent="0.25">
      <c r="A6713" s="4" t="s">
        <v>6711</v>
      </c>
      <c r="B6713" s="4" t="s">
        <v>4550</v>
      </c>
      <c r="C6713" s="2" t="str">
        <f ca="1">IFERROR(__xludf.DUMMYFUNCTION("GOOGLETRANSLATE(A6713,""bn"",""en"")"),"Parties were taking vows")</f>
        <v>Parties were taking vows</v>
      </c>
      <c r="D6713" s="5"/>
      <c r="E6713" s="5"/>
      <c r="F6713" s="5"/>
      <c r="G6713" s="5"/>
      <c r="H6713" s="5"/>
      <c r="I6713" s="5"/>
      <c r="J6713" s="5"/>
      <c r="K6713" s="5"/>
      <c r="L6713" s="5"/>
      <c r="M6713" s="5"/>
      <c r="N6713" s="5"/>
      <c r="O6713" s="5"/>
      <c r="P6713" s="5"/>
      <c r="Q6713" s="5"/>
      <c r="R6713" s="5"/>
      <c r="S6713" s="5"/>
      <c r="T6713" s="5"/>
      <c r="U6713" s="5"/>
      <c r="V6713" s="5"/>
      <c r="W6713" s="5"/>
      <c r="X6713" s="5"/>
      <c r="Y6713" s="5"/>
      <c r="Z6713" s="5"/>
    </row>
    <row r="6714" spans="1:26" ht="15" x14ac:dyDescent="0.25">
      <c r="A6714" s="4" t="s">
        <v>6712</v>
      </c>
      <c r="B6714" s="4" t="s">
        <v>4550</v>
      </c>
      <c r="C6714" s="2" t="str">
        <f ca="1">IFERROR(__xludf.DUMMYFUNCTION("GOOGLETRANSLATE(A6714,""bn"",""en"")"),"I went to Kashmir")</f>
        <v>I went to Kashmir</v>
      </c>
      <c r="D6714" s="5"/>
      <c r="E6714" s="5"/>
      <c r="F6714" s="5"/>
      <c r="G6714" s="5"/>
      <c r="H6714" s="5"/>
      <c r="I6714" s="5"/>
      <c r="J6714" s="5"/>
      <c r="K6714" s="5"/>
      <c r="L6714" s="5"/>
      <c r="M6714" s="5"/>
      <c r="N6714" s="5"/>
      <c r="O6714" s="5"/>
      <c r="P6714" s="5"/>
      <c r="Q6714" s="5"/>
      <c r="R6714" s="5"/>
      <c r="S6714" s="5"/>
      <c r="T6714" s="5"/>
      <c r="U6714" s="5"/>
      <c r="V6714" s="5"/>
      <c r="W6714" s="5"/>
      <c r="X6714" s="5"/>
      <c r="Y6714" s="5"/>
      <c r="Z6714" s="5"/>
    </row>
    <row r="6715" spans="1:26" ht="15" x14ac:dyDescent="0.25">
      <c r="A6715" s="4" t="s">
        <v>6713</v>
      </c>
      <c r="B6715" s="4" t="s">
        <v>4550</v>
      </c>
      <c r="C6715" s="2" t="str">
        <f ca="1">IFERROR(__xludf.DUMMYFUNCTION("GOOGLETRANSLATE(A6715,""bn"",""en"")"),"I was reading the news on the website")</f>
        <v>I was reading the news on the website</v>
      </c>
      <c r="D6715" s="5"/>
      <c r="E6715" s="5"/>
      <c r="F6715" s="5"/>
      <c r="G6715" s="5"/>
      <c r="H6715" s="5"/>
      <c r="I6715" s="5"/>
      <c r="J6715" s="5"/>
      <c r="K6715" s="5"/>
      <c r="L6715" s="5"/>
      <c r="M6715" s="5"/>
      <c r="N6715" s="5"/>
      <c r="O6715" s="5"/>
      <c r="P6715" s="5"/>
      <c r="Q6715" s="5"/>
      <c r="R6715" s="5"/>
      <c r="S6715" s="5"/>
      <c r="T6715" s="5"/>
      <c r="U6715" s="5"/>
      <c r="V6715" s="5"/>
      <c r="W6715" s="5"/>
      <c r="X6715" s="5"/>
      <c r="Y6715" s="5"/>
      <c r="Z6715" s="5"/>
    </row>
    <row r="6716" spans="1:26" ht="15" x14ac:dyDescent="0.25">
      <c r="A6716" s="4" t="s">
        <v>6714</v>
      </c>
      <c r="B6716" s="4" t="s">
        <v>4550</v>
      </c>
      <c r="C6716" s="2" t="str">
        <f ca="1">IFERROR(__xludf.DUMMYFUNCTION("GOOGLETRANSLATE(A6716,""bn"",""en"")"),"I was good at studies")</f>
        <v>I was good at studies</v>
      </c>
      <c r="D6716" s="5"/>
      <c r="E6716" s="5"/>
      <c r="F6716" s="5"/>
      <c r="G6716" s="5"/>
      <c r="H6716" s="5"/>
      <c r="I6716" s="5"/>
      <c r="J6716" s="5"/>
      <c r="K6716" s="5"/>
      <c r="L6716" s="5"/>
      <c r="M6716" s="5"/>
      <c r="N6716" s="5"/>
      <c r="O6716" s="5"/>
      <c r="P6716" s="5"/>
      <c r="Q6716" s="5"/>
      <c r="R6716" s="5"/>
      <c r="S6716" s="5"/>
      <c r="T6716" s="5"/>
      <c r="U6716" s="5"/>
      <c r="V6716" s="5"/>
      <c r="W6716" s="5"/>
      <c r="X6716" s="5"/>
      <c r="Y6716" s="5"/>
      <c r="Z6716" s="5"/>
    </row>
    <row r="6717" spans="1:26" ht="15" x14ac:dyDescent="0.25">
      <c r="A6717" s="4" t="s">
        <v>6715</v>
      </c>
      <c r="B6717" s="4" t="s">
        <v>4550</v>
      </c>
      <c r="C6717" s="2" t="str">
        <f ca="1">IFERROR(__xludf.DUMMYFUNCTION("GOOGLETRANSLATE(A6717,""bn"",""en"")"),"Topology in the office")</f>
        <v>Topology in the office</v>
      </c>
      <c r="D6717" s="5"/>
      <c r="E6717" s="5"/>
      <c r="F6717" s="5"/>
      <c r="G6717" s="5"/>
      <c r="H6717" s="5"/>
      <c r="I6717" s="5"/>
      <c r="J6717" s="5"/>
      <c r="K6717" s="5"/>
      <c r="L6717" s="5"/>
      <c r="M6717" s="5"/>
      <c r="N6717" s="5"/>
      <c r="O6717" s="5"/>
      <c r="P6717" s="5"/>
      <c r="Q6717" s="5"/>
      <c r="R6717" s="5"/>
      <c r="S6717" s="5"/>
      <c r="T6717" s="5"/>
      <c r="U6717" s="5"/>
      <c r="V6717" s="5"/>
      <c r="W6717" s="5"/>
      <c r="X6717" s="5"/>
      <c r="Y6717" s="5"/>
      <c r="Z6717" s="5"/>
    </row>
    <row r="6718" spans="1:26" ht="15" x14ac:dyDescent="0.25">
      <c r="A6718" s="4" t="s">
        <v>6716</v>
      </c>
      <c r="B6718" s="4" t="s">
        <v>4550</v>
      </c>
      <c r="C6718" s="2" t="str">
        <f ca="1">IFERROR(__xludf.DUMMYFUNCTION("GOOGLETRANSLATE(A6718,""bn"",""en"")"),"I wanted to see the Taj Mahal")</f>
        <v>I wanted to see the Taj Mahal</v>
      </c>
      <c r="D6718" s="5"/>
      <c r="E6718" s="5"/>
      <c r="F6718" s="5"/>
      <c r="G6718" s="5"/>
      <c r="H6718" s="5"/>
      <c r="I6718" s="5"/>
      <c r="J6718" s="5"/>
      <c r="K6718" s="5"/>
      <c r="L6718" s="5"/>
      <c r="M6718" s="5"/>
      <c r="N6718" s="5"/>
      <c r="O6718" s="5"/>
      <c r="P6718" s="5"/>
      <c r="Q6718" s="5"/>
      <c r="R6718" s="5"/>
      <c r="S6718" s="5"/>
      <c r="T6718" s="5"/>
      <c r="U6718" s="5"/>
      <c r="V6718" s="5"/>
      <c r="W6718" s="5"/>
      <c r="X6718" s="5"/>
      <c r="Y6718" s="5"/>
      <c r="Z6718" s="5"/>
    </row>
    <row r="6719" spans="1:26" ht="15" x14ac:dyDescent="0.25">
      <c r="A6719" s="4" t="s">
        <v>6717</v>
      </c>
      <c r="B6719" s="4" t="s">
        <v>4550</v>
      </c>
      <c r="C6719" s="2" t="str">
        <f ca="1">IFERROR(__xludf.DUMMYFUNCTION("GOOGLETRANSLATE(A6719,""bn"",""en"")"),"Students used to play Hadudu")</f>
        <v>Students used to play Hadudu</v>
      </c>
      <c r="D6719" s="5"/>
      <c r="E6719" s="5"/>
      <c r="F6719" s="5"/>
      <c r="G6719" s="5"/>
      <c r="H6719" s="5"/>
      <c r="I6719" s="5"/>
      <c r="J6719" s="5"/>
      <c r="K6719" s="5"/>
      <c r="L6719" s="5"/>
      <c r="M6719" s="5"/>
      <c r="N6719" s="5"/>
      <c r="O6719" s="5"/>
      <c r="P6719" s="5"/>
      <c r="Q6719" s="5"/>
      <c r="R6719" s="5"/>
      <c r="S6719" s="5"/>
      <c r="T6719" s="5"/>
      <c r="U6719" s="5"/>
      <c r="V6719" s="5"/>
      <c r="W6719" s="5"/>
      <c r="X6719" s="5"/>
      <c r="Y6719" s="5"/>
      <c r="Z6719" s="5"/>
    </row>
    <row r="6720" spans="1:26" ht="15" x14ac:dyDescent="0.25">
      <c r="A6720" s="4" t="s">
        <v>6718</v>
      </c>
      <c r="B6720" s="4" t="s">
        <v>4550</v>
      </c>
      <c r="C6720" s="2" t="str">
        <f ca="1">IFERROR(__xludf.DUMMYFUNCTION("GOOGLETRANSLATE(A6720,""bn"",""en"")"),"Registration increased")</f>
        <v>Registration increased</v>
      </c>
      <c r="D6720" s="5"/>
      <c r="E6720" s="5"/>
      <c r="F6720" s="5"/>
      <c r="G6720" s="5"/>
      <c r="H6720" s="5"/>
      <c r="I6720" s="5"/>
      <c r="J6720" s="5"/>
      <c r="K6720" s="5"/>
      <c r="L6720" s="5"/>
      <c r="M6720" s="5"/>
      <c r="N6720" s="5"/>
      <c r="O6720" s="5"/>
      <c r="P6720" s="5"/>
      <c r="Q6720" s="5"/>
      <c r="R6720" s="5"/>
      <c r="S6720" s="5"/>
      <c r="T6720" s="5"/>
      <c r="U6720" s="5"/>
      <c r="V6720" s="5"/>
      <c r="W6720" s="5"/>
      <c r="X6720" s="5"/>
      <c r="Y6720" s="5"/>
      <c r="Z6720" s="5"/>
    </row>
    <row r="6721" spans="1:26" ht="15" x14ac:dyDescent="0.25">
      <c r="A6721" s="4" t="s">
        <v>6719</v>
      </c>
      <c r="B6721" s="4" t="s">
        <v>4550</v>
      </c>
      <c r="C6721" s="2" t="str">
        <f ca="1">IFERROR(__xludf.DUMMYFUNCTION("GOOGLETRANSLATE(A6721,""bn"",""en"")"),"Factories were being eliminated")</f>
        <v>Factories were being eliminated</v>
      </c>
      <c r="D6721" s="5"/>
      <c r="E6721" s="5"/>
      <c r="F6721" s="5"/>
      <c r="G6721" s="5"/>
      <c r="H6721" s="5"/>
      <c r="I6721" s="5"/>
      <c r="J6721" s="5"/>
      <c r="K6721" s="5"/>
      <c r="L6721" s="5"/>
      <c r="M6721" s="5"/>
      <c r="N6721" s="5"/>
      <c r="O6721" s="5"/>
      <c r="P6721" s="5"/>
      <c r="Q6721" s="5"/>
      <c r="R6721" s="5"/>
      <c r="S6721" s="5"/>
      <c r="T6721" s="5"/>
      <c r="U6721" s="5"/>
      <c r="V6721" s="5"/>
      <c r="W6721" s="5"/>
      <c r="X6721" s="5"/>
      <c r="Y6721" s="5"/>
      <c r="Z6721" s="5"/>
    </row>
    <row r="6722" spans="1:26" ht="15" x14ac:dyDescent="0.25">
      <c r="A6722" s="4" t="s">
        <v>6720</v>
      </c>
      <c r="B6722" s="4" t="s">
        <v>4550</v>
      </c>
      <c r="C6722" s="2" t="str">
        <f ca="1">IFERROR(__xludf.DUMMYFUNCTION("GOOGLETRANSLATE(A6722,""bn"",""en"")"),"I gave the bank exam")</f>
        <v>I gave the bank exam</v>
      </c>
      <c r="D6722" s="5"/>
      <c r="E6722" s="5"/>
      <c r="F6722" s="5"/>
      <c r="G6722" s="5"/>
      <c r="H6722" s="5"/>
      <c r="I6722" s="5"/>
      <c r="J6722" s="5"/>
      <c r="K6722" s="5"/>
      <c r="L6722" s="5"/>
      <c r="M6722" s="5"/>
      <c r="N6722" s="5"/>
      <c r="O6722" s="5"/>
      <c r="P6722" s="5"/>
      <c r="Q6722" s="5"/>
      <c r="R6722" s="5"/>
      <c r="S6722" s="5"/>
      <c r="T6722" s="5"/>
      <c r="U6722" s="5"/>
      <c r="V6722" s="5"/>
      <c r="W6722" s="5"/>
      <c r="X6722" s="5"/>
      <c r="Y6722" s="5"/>
      <c r="Z6722" s="5"/>
    </row>
    <row r="6723" spans="1:26" ht="15" x14ac:dyDescent="0.25">
      <c r="A6723" s="4" t="s">
        <v>6721</v>
      </c>
      <c r="B6723" s="4" t="s">
        <v>4550</v>
      </c>
      <c r="C6723" s="2" t="str">
        <f ca="1">IFERROR(__xludf.DUMMYFUNCTION("GOOGLETRANSLATE(A6723,""bn"",""en"")"),"I went to the book fair")</f>
        <v>I went to the book fair</v>
      </c>
      <c r="D6723" s="5"/>
      <c r="E6723" s="5"/>
      <c r="F6723" s="5"/>
      <c r="G6723" s="5"/>
      <c r="H6723" s="5"/>
      <c r="I6723" s="5"/>
      <c r="J6723" s="5"/>
      <c r="K6723" s="5"/>
      <c r="L6723" s="5"/>
      <c r="M6723" s="5"/>
      <c r="N6723" s="5"/>
      <c r="O6723" s="5"/>
      <c r="P6723" s="5"/>
      <c r="Q6723" s="5"/>
      <c r="R6723" s="5"/>
      <c r="S6723" s="5"/>
      <c r="T6723" s="5"/>
      <c r="U6723" s="5"/>
      <c r="V6723" s="5"/>
      <c r="W6723" s="5"/>
      <c r="X6723" s="5"/>
      <c r="Y6723" s="5"/>
      <c r="Z6723" s="5"/>
    </row>
    <row r="6724" spans="1:26" ht="15" x14ac:dyDescent="0.25">
      <c r="A6724" s="4" t="s">
        <v>6722</v>
      </c>
      <c r="B6724" s="4" t="s">
        <v>4550</v>
      </c>
      <c r="C6724" s="2" t="str">
        <f ca="1">IFERROR(__xludf.DUMMYFUNCTION("GOOGLETRANSLATE(A6724,""bn"",""en"")"),"I checked the bank")</f>
        <v>I checked the bank</v>
      </c>
      <c r="D6724" s="5"/>
      <c r="E6724" s="5"/>
      <c r="F6724" s="5"/>
      <c r="G6724" s="5"/>
      <c r="H6724" s="5"/>
      <c r="I6724" s="5"/>
      <c r="J6724" s="5"/>
      <c r="K6724" s="5"/>
      <c r="L6724" s="5"/>
      <c r="M6724" s="5"/>
      <c r="N6724" s="5"/>
      <c r="O6724" s="5"/>
      <c r="P6724" s="5"/>
      <c r="Q6724" s="5"/>
      <c r="R6724" s="5"/>
      <c r="S6724" s="5"/>
      <c r="T6724" s="5"/>
      <c r="U6724" s="5"/>
      <c r="V6724" s="5"/>
      <c r="W6724" s="5"/>
      <c r="X6724" s="5"/>
      <c r="Y6724" s="5"/>
      <c r="Z6724" s="5"/>
    </row>
    <row r="6725" spans="1:26" ht="15" x14ac:dyDescent="0.25">
      <c r="A6725" s="4" t="s">
        <v>6723</v>
      </c>
      <c r="B6725" s="4" t="s">
        <v>4550</v>
      </c>
      <c r="C6725" s="2" t="str">
        <f ca="1">IFERROR(__xludf.DUMMYFUNCTION("GOOGLETRANSLATE(A6725,""bn"",""en"")"),"I was designing the website")</f>
        <v>I was designing the website</v>
      </c>
      <c r="D6725" s="5"/>
      <c r="E6725" s="5"/>
      <c r="F6725" s="5"/>
      <c r="G6725" s="5"/>
      <c r="H6725" s="5"/>
      <c r="I6725" s="5"/>
      <c r="J6725" s="5"/>
      <c r="K6725" s="5"/>
      <c r="L6725" s="5"/>
      <c r="M6725" s="5"/>
      <c r="N6725" s="5"/>
      <c r="O6725" s="5"/>
      <c r="P6725" s="5"/>
      <c r="Q6725" s="5"/>
      <c r="R6725" s="5"/>
      <c r="S6725" s="5"/>
      <c r="T6725" s="5"/>
      <c r="U6725" s="5"/>
      <c r="V6725" s="5"/>
      <c r="W6725" s="5"/>
      <c r="X6725" s="5"/>
      <c r="Y6725" s="5"/>
      <c r="Z6725" s="5"/>
    </row>
    <row r="6726" spans="1:26" ht="15" x14ac:dyDescent="0.25">
      <c r="A6726" s="4" t="s">
        <v>6724</v>
      </c>
      <c r="B6726" s="4" t="s">
        <v>4550</v>
      </c>
      <c r="C6726" s="2" t="str">
        <f ca="1">IFERROR(__xludf.DUMMYFUNCTION("GOOGLETRANSLATE(A6726,""bn"",""en"")"),"Researched science")</f>
        <v>Researched science</v>
      </c>
      <c r="D6726" s="5"/>
      <c r="E6726" s="5"/>
      <c r="F6726" s="5"/>
      <c r="G6726" s="5"/>
      <c r="H6726" s="5"/>
      <c r="I6726" s="5"/>
      <c r="J6726" s="5"/>
      <c r="K6726" s="5"/>
      <c r="L6726" s="5"/>
      <c r="M6726" s="5"/>
      <c r="N6726" s="5"/>
      <c r="O6726" s="5"/>
      <c r="P6726" s="5"/>
      <c r="Q6726" s="5"/>
      <c r="R6726" s="5"/>
      <c r="S6726" s="5"/>
      <c r="T6726" s="5"/>
      <c r="U6726" s="5"/>
      <c r="V6726" s="5"/>
      <c r="W6726" s="5"/>
      <c r="X6726" s="5"/>
      <c r="Y6726" s="5"/>
      <c r="Z6726" s="5"/>
    </row>
    <row r="6727" spans="1:26" ht="15" x14ac:dyDescent="0.25">
      <c r="A6727" s="4" t="s">
        <v>6725</v>
      </c>
      <c r="B6727" s="4" t="s">
        <v>4550</v>
      </c>
      <c r="C6727" s="2" t="str">
        <f ca="1">IFERROR(__xludf.DUMMYFUNCTION("GOOGLETRANSLATE(A6727,""bn"",""en"")"),"I paid the check")</f>
        <v>I paid the check</v>
      </c>
      <c r="D6727" s="5"/>
      <c r="E6727" s="5"/>
      <c r="F6727" s="5"/>
      <c r="G6727" s="5"/>
      <c r="H6727" s="5"/>
      <c r="I6727" s="5"/>
      <c r="J6727" s="5"/>
      <c r="K6727" s="5"/>
      <c r="L6727" s="5"/>
      <c r="M6727" s="5"/>
      <c r="N6727" s="5"/>
      <c r="O6727" s="5"/>
      <c r="P6727" s="5"/>
      <c r="Q6727" s="5"/>
      <c r="R6727" s="5"/>
      <c r="S6727" s="5"/>
      <c r="T6727" s="5"/>
      <c r="U6727" s="5"/>
      <c r="V6727" s="5"/>
      <c r="W6727" s="5"/>
      <c r="X6727" s="5"/>
      <c r="Y6727" s="5"/>
      <c r="Z6727" s="5"/>
    </row>
    <row r="6728" spans="1:26" ht="15" x14ac:dyDescent="0.25">
      <c r="A6728" s="4" t="s">
        <v>6726</v>
      </c>
      <c r="B6728" s="4" t="s">
        <v>4550</v>
      </c>
      <c r="C6728" s="2" t="str">
        <f ca="1">IFERROR(__xludf.DUMMYFUNCTION("GOOGLETRANSLATE(A6728,""bn"",""en"")"),"I worked in a bank")</f>
        <v>I worked in a bank</v>
      </c>
      <c r="D6728" s="5"/>
      <c r="E6728" s="5"/>
      <c r="F6728" s="5"/>
      <c r="G6728" s="5"/>
      <c r="H6728" s="5"/>
      <c r="I6728" s="5"/>
      <c r="J6728" s="5"/>
      <c r="K6728" s="5"/>
      <c r="L6728" s="5"/>
      <c r="M6728" s="5"/>
      <c r="N6728" s="5"/>
      <c r="O6728" s="5"/>
      <c r="P6728" s="5"/>
      <c r="Q6728" s="5"/>
      <c r="R6728" s="5"/>
      <c r="S6728" s="5"/>
      <c r="T6728" s="5"/>
      <c r="U6728" s="5"/>
      <c r="V6728" s="5"/>
      <c r="W6728" s="5"/>
      <c r="X6728" s="5"/>
      <c r="Y6728" s="5"/>
      <c r="Z6728" s="5"/>
    </row>
    <row r="6729" spans="1:26" ht="15" x14ac:dyDescent="0.25">
      <c r="A6729" s="4" t="s">
        <v>6727</v>
      </c>
      <c r="B6729" s="4" t="s">
        <v>4550</v>
      </c>
      <c r="C6729" s="2" t="str">
        <f ca="1">IFERROR(__xludf.DUMMYFUNCTION("GOOGLETRANSLATE(A6729,""bn"",""en"")"),"I discussed politics")</f>
        <v>I discussed politics</v>
      </c>
      <c r="D6729" s="5"/>
      <c r="E6729" s="5"/>
      <c r="F6729" s="5"/>
      <c r="G6729" s="5"/>
      <c r="H6729" s="5"/>
      <c r="I6729" s="5"/>
      <c r="J6729" s="5"/>
      <c r="K6729" s="5"/>
      <c r="L6729" s="5"/>
      <c r="M6729" s="5"/>
      <c r="N6729" s="5"/>
      <c r="O6729" s="5"/>
      <c r="P6729" s="5"/>
      <c r="Q6729" s="5"/>
      <c r="R6729" s="5"/>
      <c r="S6729" s="5"/>
      <c r="T6729" s="5"/>
      <c r="U6729" s="5"/>
      <c r="V6729" s="5"/>
      <c r="W6729" s="5"/>
      <c r="X6729" s="5"/>
      <c r="Y6729" s="5"/>
      <c r="Z6729" s="5"/>
    </row>
    <row r="6730" spans="1:26" ht="15" x14ac:dyDescent="0.25">
      <c r="A6730" s="4" t="s">
        <v>6728</v>
      </c>
      <c r="B6730" s="4" t="s">
        <v>4550</v>
      </c>
      <c r="C6730" s="2" t="str">
        <f ca="1">IFERROR(__xludf.DUMMYFUNCTION("GOOGLETRANSLATE(A6730,""bn"",""en"")"),"I counted the money")</f>
        <v>I counted the money</v>
      </c>
      <c r="D6730" s="5"/>
      <c r="E6730" s="5"/>
      <c r="F6730" s="5"/>
      <c r="G6730" s="5"/>
      <c r="H6730" s="5"/>
      <c r="I6730" s="5"/>
      <c r="J6730" s="5"/>
      <c r="K6730" s="5"/>
      <c r="L6730" s="5"/>
      <c r="M6730" s="5"/>
      <c r="N6730" s="5"/>
      <c r="O6730" s="5"/>
      <c r="P6730" s="5"/>
      <c r="Q6730" s="5"/>
      <c r="R6730" s="5"/>
      <c r="S6730" s="5"/>
      <c r="T6730" s="5"/>
      <c r="U6730" s="5"/>
      <c r="V6730" s="5"/>
      <c r="W6730" s="5"/>
      <c r="X6730" s="5"/>
      <c r="Y6730" s="5"/>
      <c r="Z6730" s="5"/>
    </row>
    <row r="6731" spans="1:26" ht="15" x14ac:dyDescent="0.25">
      <c r="A6731" s="4" t="s">
        <v>6729</v>
      </c>
      <c r="B6731" s="4" t="s">
        <v>4550</v>
      </c>
      <c r="C6731" s="2" t="str">
        <f ca="1">IFERROR(__xludf.DUMMYFUNCTION("GOOGLETRANSLATE(A6731,""bn"",""en"")"),"A football tournament was held")</f>
        <v>A football tournament was held</v>
      </c>
      <c r="D6731" s="5"/>
      <c r="E6731" s="5"/>
      <c r="F6731" s="5"/>
      <c r="G6731" s="5"/>
      <c r="H6731" s="5"/>
      <c r="I6731" s="5"/>
      <c r="J6731" s="5"/>
      <c r="K6731" s="5"/>
      <c r="L6731" s="5"/>
      <c r="M6731" s="5"/>
      <c r="N6731" s="5"/>
      <c r="O6731" s="5"/>
      <c r="P6731" s="5"/>
      <c r="Q6731" s="5"/>
      <c r="R6731" s="5"/>
      <c r="S6731" s="5"/>
      <c r="T6731" s="5"/>
      <c r="U6731" s="5"/>
      <c r="V6731" s="5"/>
      <c r="W6731" s="5"/>
      <c r="X6731" s="5"/>
      <c r="Y6731" s="5"/>
      <c r="Z6731" s="5"/>
    </row>
    <row r="6732" spans="1:26" ht="15" x14ac:dyDescent="0.25">
      <c r="A6732" s="4" t="s">
        <v>6730</v>
      </c>
      <c r="B6732" s="4" t="s">
        <v>4550</v>
      </c>
      <c r="C6732" s="2" t="str">
        <f ca="1">IFERROR(__xludf.DUMMYFUNCTION("GOOGLETRANSLATE(A6732,""bn"",""en"")"),"I went on a trip to Mecca")</f>
        <v>I went on a trip to Mecca</v>
      </c>
      <c r="D6732" s="5"/>
      <c r="E6732" s="5"/>
      <c r="F6732" s="5"/>
      <c r="G6732" s="5"/>
      <c r="H6732" s="5"/>
      <c r="I6732" s="5"/>
      <c r="J6732" s="5"/>
      <c r="K6732" s="5"/>
      <c r="L6732" s="5"/>
      <c r="M6732" s="5"/>
      <c r="N6732" s="5"/>
      <c r="O6732" s="5"/>
      <c r="P6732" s="5"/>
      <c r="Q6732" s="5"/>
      <c r="R6732" s="5"/>
      <c r="S6732" s="5"/>
      <c r="T6732" s="5"/>
      <c r="U6732" s="5"/>
      <c r="V6732" s="5"/>
      <c r="W6732" s="5"/>
      <c r="X6732" s="5"/>
      <c r="Y6732" s="5"/>
      <c r="Z6732" s="5"/>
    </row>
    <row r="6733" spans="1:26" ht="15" x14ac:dyDescent="0.25">
      <c r="A6733" s="4" t="s">
        <v>6731</v>
      </c>
      <c r="B6733" s="4" t="s">
        <v>4550</v>
      </c>
      <c r="C6733" s="2" t="str">
        <f ca="1">IFERROR(__xludf.DUMMYFUNCTION("GOOGLETRANSLATE(A6733,""bn"",""en"")"),"I was watching a movie on my laptop")</f>
        <v>I was watching a movie on my laptop</v>
      </c>
      <c r="D6733" s="5"/>
      <c r="E6733" s="5"/>
      <c r="F6733" s="5"/>
      <c r="G6733" s="5"/>
      <c r="H6733" s="5"/>
      <c r="I6733" s="5"/>
      <c r="J6733" s="5"/>
      <c r="K6733" s="5"/>
      <c r="L6733" s="5"/>
      <c r="M6733" s="5"/>
      <c r="N6733" s="5"/>
      <c r="O6733" s="5"/>
      <c r="P6733" s="5"/>
      <c r="Q6733" s="5"/>
      <c r="R6733" s="5"/>
      <c r="S6733" s="5"/>
      <c r="T6733" s="5"/>
      <c r="U6733" s="5"/>
      <c r="V6733" s="5"/>
      <c r="W6733" s="5"/>
      <c r="X6733" s="5"/>
      <c r="Y6733" s="5"/>
      <c r="Z6733" s="5"/>
    </row>
    <row r="6734" spans="1:26" ht="15" x14ac:dyDescent="0.25">
      <c r="A6734" s="4" t="s">
        <v>6732</v>
      </c>
      <c r="B6734" s="4" t="s">
        <v>4550</v>
      </c>
      <c r="C6734" s="2" t="str">
        <f ca="1">IFERROR(__xludf.DUMMYFUNCTION("GOOGLETRANSLATE(A6734,""bn"",""en"")"),"The market price was increasing")</f>
        <v>The market price was increasing</v>
      </c>
      <c r="D6734" s="5"/>
      <c r="E6734" s="5"/>
      <c r="F6734" s="5"/>
      <c r="G6734" s="5"/>
      <c r="H6734" s="5"/>
      <c r="I6734" s="5"/>
      <c r="J6734" s="5"/>
      <c r="K6734" s="5"/>
      <c r="L6734" s="5"/>
      <c r="M6734" s="5"/>
      <c r="N6734" s="5"/>
      <c r="O6734" s="5"/>
      <c r="P6734" s="5"/>
      <c r="Q6734" s="5"/>
      <c r="R6734" s="5"/>
      <c r="S6734" s="5"/>
      <c r="T6734" s="5"/>
      <c r="U6734" s="5"/>
      <c r="V6734" s="5"/>
      <c r="W6734" s="5"/>
      <c r="X6734" s="5"/>
      <c r="Y6734" s="5"/>
      <c r="Z6734" s="5"/>
    </row>
    <row r="6735" spans="1:26" ht="15" x14ac:dyDescent="0.25">
      <c r="A6735" s="4" t="s">
        <v>6733</v>
      </c>
      <c r="B6735" s="4" t="s">
        <v>4550</v>
      </c>
      <c r="C6735" s="2" t="str">
        <f ca="1">IFERROR(__xludf.DUMMYFUNCTION("GOOGLETRANSLATE(A6735,""bn"",""en"")"),"Voting was effective")</f>
        <v>Voting was effective</v>
      </c>
      <c r="D6735" s="5"/>
      <c r="E6735" s="5"/>
      <c r="F6735" s="5"/>
      <c r="G6735" s="5"/>
      <c r="H6735" s="5"/>
      <c r="I6735" s="5"/>
      <c r="J6735" s="5"/>
      <c r="K6735" s="5"/>
      <c r="L6735" s="5"/>
      <c r="M6735" s="5"/>
      <c r="N6735" s="5"/>
      <c r="O6735" s="5"/>
      <c r="P6735" s="5"/>
      <c r="Q6735" s="5"/>
      <c r="R6735" s="5"/>
      <c r="S6735" s="5"/>
      <c r="T6735" s="5"/>
      <c r="U6735" s="5"/>
      <c r="V6735" s="5"/>
      <c r="W6735" s="5"/>
      <c r="X6735" s="5"/>
      <c r="Y6735" s="5"/>
      <c r="Z6735" s="5"/>
    </row>
    <row r="6736" spans="1:26" ht="15" x14ac:dyDescent="0.25">
      <c r="A6736" s="4" t="s">
        <v>6734</v>
      </c>
      <c r="B6736" s="4" t="s">
        <v>4550</v>
      </c>
      <c r="C6736" s="2" t="str">
        <f ca="1">IFERROR(__xludf.DUMMYFUNCTION("GOOGLETRANSLATE(A6736,""bn"",""en"")"),"I gave IT training")</f>
        <v>I gave IT training</v>
      </c>
      <c r="D6736" s="5"/>
      <c r="E6736" s="5"/>
      <c r="F6736" s="5"/>
      <c r="G6736" s="5"/>
      <c r="H6736" s="5"/>
      <c r="I6736" s="5"/>
      <c r="J6736" s="5"/>
      <c r="K6736" s="5"/>
      <c r="L6736" s="5"/>
      <c r="M6736" s="5"/>
      <c r="N6736" s="5"/>
      <c r="O6736" s="5"/>
      <c r="P6736" s="5"/>
      <c r="Q6736" s="5"/>
      <c r="R6736" s="5"/>
      <c r="S6736" s="5"/>
      <c r="T6736" s="5"/>
      <c r="U6736" s="5"/>
      <c r="V6736" s="5"/>
      <c r="W6736" s="5"/>
      <c r="X6736" s="5"/>
      <c r="Y6736" s="5"/>
      <c r="Z6736" s="5"/>
    </row>
    <row r="6737" spans="1:26" ht="15" x14ac:dyDescent="0.25">
      <c r="A6737" s="4" t="s">
        <v>6735</v>
      </c>
      <c r="B6737" s="4" t="s">
        <v>4550</v>
      </c>
      <c r="C6737" s="2" t="str">
        <f ca="1">IFERROR(__xludf.DUMMYFUNCTION("GOOGLETRANSLATE(A6737,""bn"",""en"")"),"I was buying a phone")</f>
        <v>I was buying a phone</v>
      </c>
      <c r="D6737" s="5"/>
      <c r="E6737" s="5"/>
      <c r="F6737" s="5"/>
      <c r="G6737" s="5"/>
      <c r="H6737" s="5"/>
      <c r="I6737" s="5"/>
      <c r="J6737" s="5"/>
      <c r="K6737" s="5"/>
      <c r="L6737" s="5"/>
      <c r="M6737" s="5"/>
      <c r="N6737" s="5"/>
      <c r="O6737" s="5"/>
      <c r="P6737" s="5"/>
      <c r="Q6737" s="5"/>
      <c r="R6737" s="5"/>
      <c r="S6737" s="5"/>
      <c r="T6737" s="5"/>
      <c r="U6737" s="5"/>
      <c r="V6737" s="5"/>
      <c r="W6737" s="5"/>
      <c r="X6737" s="5"/>
      <c r="Y6737" s="5"/>
      <c r="Z6737" s="5"/>
    </row>
    <row r="6738" spans="1:26" ht="15" x14ac:dyDescent="0.25">
      <c r="A6738" s="4" t="s">
        <v>6736</v>
      </c>
      <c r="B6738" s="4" t="s">
        <v>4550</v>
      </c>
      <c r="C6738" s="2" t="str">
        <f ca="1">IFERROR(__xludf.DUMMYFUNCTION("GOOGLETRANSLATE(A6738,""bn"",""en"")"),"I worked in banking")</f>
        <v>I worked in banking</v>
      </c>
      <c r="D6738" s="5"/>
      <c r="E6738" s="5"/>
      <c r="F6738" s="5"/>
      <c r="G6738" s="5"/>
      <c r="H6738" s="5"/>
      <c r="I6738" s="5"/>
      <c r="J6738" s="5"/>
      <c r="K6738" s="5"/>
      <c r="L6738" s="5"/>
      <c r="M6738" s="5"/>
      <c r="N6738" s="5"/>
      <c r="O6738" s="5"/>
      <c r="P6738" s="5"/>
      <c r="Q6738" s="5"/>
      <c r="R6738" s="5"/>
      <c r="S6738" s="5"/>
      <c r="T6738" s="5"/>
      <c r="U6738" s="5"/>
      <c r="V6738" s="5"/>
      <c r="W6738" s="5"/>
      <c r="X6738" s="5"/>
      <c r="Y6738" s="5"/>
      <c r="Z6738" s="5"/>
    </row>
    <row r="6739" spans="1:26" ht="15" x14ac:dyDescent="0.25">
      <c r="A6739" s="4" t="s">
        <v>6737</v>
      </c>
      <c r="B6739" s="4" t="s">
        <v>4550</v>
      </c>
      <c r="C6739" s="2" t="str">
        <f ca="1">IFERROR(__xludf.DUMMYFUNCTION("GOOGLETRANSLATE(A6739,""bn"",""en"")"),"You were writing notes")</f>
        <v>You were writing notes</v>
      </c>
      <c r="D6739" s="5"/>
      <c r="E6739" s="5"/>
      <c r="F6739" s="5"/>
      <c r="G6739" s="5"/>
      <c r="H6739" s="5"/>
      <c r="I6739" s="5"/>
      <c r="J6739" s="5"/>
      <c r="K6739" s="5"/>
      <c r="L6739" s="5"/>
      <c r="M6739" s="5"/>
      <c r="N6739" s="5"/>
      <c r="O6739" s="5"/>
      <c r="P6739" s="5"/>
      <c r="Q6739" s="5"/>
      <c r="R6739" s="5"/>
      <c r="S6739" s="5"/>
      <c r="T6739" s="5"/>
      <c r="U6739" s="5"/>
      <c r="V6739" s="5"/>
      <c r="W6739" s="5"/>
      <c r="X6739" s="5"/>
      <c r="Y6739" s="5"/>
      <c r="Z6739" s="5"/>
    </row>
    <row r="6740" spans="1:26" ht="15" x14ac:dyDescent="0.25">
      <c r="A6740" s="4" t="s">
        <v>6738</v>
      </c>
      <c r="B6740" s="4" t="s">
        <v>4550</v>
      </c>
      <c r="C6740" s="2" t="str">
        <f ca="1">IFERROR(__xludf.DUMMYFUNCTION("GOOGLETRANSLATE(A6740,""bn"",""en"")"),"Banking facility provided")</f>
        <v>Banking facility provided</v>
      </c>
      <c r="D6740" s="5"/>
      <c r="E6740" s="5"/>
      <c r="F6740" s="5"/>
      <c r="G6740" s="5"/>
      <c r="H6740" s="5"/>
      <c r="I6740" s="5"/>
      <c r="J6740" s="5"/>
      <c r="K6740" s="5"/>
      <c r="L6740" s="5"/>
      <c r="M6740" s="5"/>
      <c r="N6740" s="5"/>
      <c r="O6740" s="5"/>
      <c r="P6740" s="5"/>
      <c r="Q6740" s="5"/>
      <c r="R6740" s="5"/>
      <c r="S6740" s="5"/>
      <c r="T6740" s="5"/>
      <c r="U6740" s="5"/>
      <c r="V6740" s="5"/>
      <c r="W6740" s="5"/>
      <c r="X6740" s="5"/>
      <c r="Y6740" s="5"/>
      <c r="Z6740" s="5"/>
    </row>
    <row r="6741" spans="1:26" ht="15" x14ac:dyDescent="0.25">
      <c r="A6741" s="4" t="s">
        <v>6739</v>
      </c>
      <c r="B6741" s="4" t="s">
        <v>4550</v>
      </c>
      <c r="C6741" s="2" t="str">
        <f ca="1">IFERROR(__xludf.DUMMYFUNCTION("GOOGLETRANSLATE(A6741,""bn"",""en"")"),"I used the remote")</f>
        <v>I used the remote</v>
      </c>
      <c r="D6741" s="5"/>
      <c r="E6741" s="5"/>
      <c r="F6741" s="5"/>
      <c r="G6741" s="5"/>
      <c r="H6741" s="5"/>
      <c r="I6741" s="5"/>
      <c r="J6741" s="5"/>
      <c r="K6741" s="5"/>
      <c r="L6741" s="5"/>
      <c r="M6741" s="5"/>
      <c r="N6741" s="5"/>
      <c r="O6741" s="5"/>
      <c r="P6741" s="5"/>
      <c r="Q6741" s="5"/>
      <c r="R6741" s="5"/>
      <c r="S6741" s="5"/>
      <c r="T6741" s="5"/>
      <c r="U6741" s="5"/>
      <c r="V6741" s="5"/>
      <c r="W6741" s="5"/>
      <c r="X6741" s="5"/>
      <c r="Y6741" s="5"/>
      <c r="Z6741" s="5"/>
    </row>
    <row r="6742" spans="1:26" ht="15" x14ac:dyDescent="0.25">
      <c r="A6742" s="4" t="s">
        <v>6740</v>
      </c>
      <c r="B6742" s="4" t="s">
        <v>4550</v>
      </c>
      <c r="C6742" s="2" t="str">
        <f ca="1">IFERROR(__xludf.DUMMYFUNCTION("GOOGLETRANSLATE(A6742,""bn"",""en"")"),"Sania was playing badminton")</f>
        <v>Sania was playing badminton</v>
      </c>
      <c r="D6742" s="5"/>
      <c r="E6742" s="5"/>
      <c r="F6742" s="5"/>
      <c r="G6742" s="5"/>
      <c r="H6742" s="5"/>
      <c r="I6742" s="5"/>
      <c r="J6742" s="5"/>
      <c r="K6742" s="5"/>
      <c r="L6742" s="5"/>
      <c r="M6742" s="5"/>
      <c r="N6742" s="5"/>
      <c r="O6742" s="5"/>
      <c r="P6742" s="5"/>
      <c r="Q6742" s="5"/>
      <c r="R6742" s="5"/>
      <c r="S6742" s="5"/>
      <c r="T6742" s="5"/>
      <c r="U6742" s="5"/>
      <c r="V6742" s="5"/>
      <c r="W6742" s="5"/>
      <c r="X6742" s="5"/>
      <c r="Y6742" s="5"/>
      <c r="Z6742" s="5"/>
    </row>
    <row r="6743" spans="1:26" ht="15" x14ac:dyDescent="0.25">
      <c r="A6743" s="4" t="s">
        <v>6741</v>
      </c>
      <c r="B6743" s="4" t="s">
        <v>4550</v>
      </c>
      <c r="C6743" s="2" t="str">
        <f ca="1">IFERROR(__xludf.DUMMYFUNCTION("GOOGLETRANSLATE(A6743,""bn"",""en"")"),"I advanced in my career")</f>
        <v>I advanced in my career</v>
      </c>
      <c r="D6743" s="5"/>
      <c r="E6743" s="5"/>
      <c r="F6743" s="5"/>
      <c r="G6743" s="5"/>
      <c r="H6743" s="5"/>
      <c r="I6743" s="5"/>
      <c r="J6743" s="5"/>
      <c r="K6743" s="5"/>
      <c r="L6743" s="5"/>
      <c r="M6743" s="5"/>
      <c r="N6743" s="5"/>
      <c r="O6743" s="5"/>
      <c r="P6743" s="5"/>
      <c r="Q6743" s="5"/>
      <c r="R6743" s="5"/>
      <c r="S6743" s="5"/>
      <c r="T6743" s="5"/>
      <c r="U6743" s="5"/>
      <c r="V6743" s="5"/>
      <c r="W6743" s="5"/>
      <c r="X6743" s="5"/>
      <c r="Y6743" s="5"/>
      <c r="Z6743" s="5"/>
    </row>
    <row r="6744" spans="1:26" ht="15" x14ac:dyDescent="0.25">
      <c r="A6744" s="4" t="s">
        <v>6742</v>
      </c>
      <c r="B6744" s="4" t="s">
        <v>4550</v>
      </c>
      <c r="C6744" s="2" t="str">
        <f ca="1">IFERROR(__xludf.DUMMYFUNCTION("GOOGLETRANSLATE(A6744,""bn"",""en"")"),"I went to see the circus")</f>
        <v>I went to see the circus</v>
      </c>
      <c r="D6744" s="5"/>
      <c r="E6744" s="5"/>
      <c r="F6744" s="5"/>
      <c r="G6744" s="5"/>
      <c r="H6744" s="5"/>
      <c r="I6744" s="5"/>
      <c r="J6744" s="5"/>
      <c r="K6744" s="5"/>
      <c r="L6744" s="5"/>
      <c r="M6744" s="5"/>
      <c r="N6744" s="5"/>
      <c r="O6744" s="5"/>
      <c r="P6744" s="5"/>
      <c r="Q6744" s="5"/>
      <c r="R6744" s="5"/>
      <c r="S6744" s="5"/>
      <c r="T6744" s="5"/>
      <c r="U6744" s="5"/>
      <c r="V6744" s="5"/>
      <c r="W6744" s="5"/>
      <c r="X6744" s="5"/>
      <c r="Y6744" s="5"/>
      <c r="Z6744" s="5"/>
    </row>
    <row r="6745" spans="1:26" ht="15" x14ac:dyDescent="0.25">
      <c r="A6745" s="4" t="s">
        <v>6743</v>
      </c>
      <c r="B6745" s="4" t="s">
        <v>4550</v>
      </c>
      <c r="C6745" s="2" t="str">
        <f ca="1">IFERROR(__xludf.DUMMYFUNCTION("GOOGLETRANSLATE(A6745,""bn"",""en"")"),"I took service at the hospital")</f>
        <v>I took service at the hospital</v>
      </c>
      <c r="D6745" s="5"/>
      <c r="E6745" s="5"/>
      <c r="F6745" s="5"/>
      <c r="G6745" s="5"/>
      <c r="H6745" s="5"/>
      <c r="I6745" s="5"/>
      <c r="J6745" s="5"/>
      <c r="K6745" s="5"/>
      <c r="L6745" s="5"/>
      <c r="M6745" s="5"/>
      <c r="N6745" s="5"/>
      <c r="O6745" s="5"/>
      <c r="P6745" s="5"/>
      <c r="Q6745" s="5"/>
      <c r="R6745" s="5"/>
      <c r="S6745" s="5"/>
      <c r="T6745" s="5"/>
      <c r="U6745" s="5"/>
      <c r="V6745" s="5"/>
      <c r="W6745" s="5"/>
      <c r="X6745" s="5"/>
      <c r="Y6745" s="5"/>
      <c r="Z6745" s="5"/>
    </row>
    <row r="6746" spans="1:26" ht="15" x14ac:dyDescent="0.25">
      <c r="A6746" s="4" t="s">
        <v>6744</v>
      </c>
      <c r="B6746" s="4" t="s">
        <v>4550</v>
      </c>
      <c r="C6746" s="2" t="str">
        <f ca="1">IFERROR(__xludf.DUMMYFUNCTION("GOOGLETRANSLATE(A6746,""bn"",""en"")"),"I was doing online business")</f>
        <v>I was doing online business</v>
      </c>
      <c r="D6746" s="5"/>
      <c r="E6746" s="5"/>
      <c r="F6746" s="5"/>
      <c r="G6746" s="5"/>
      <c r="H6746" s="5"/>
      <c r="I6746" s="5"/>
      <c r="J6746" s="5"/>
      <c r="K6746" s="5"/>
      <c r="L6746" s="5"/>
      <c r="M6746" s="5"/>
      <c r="N6746" s="5"/>
      <c r="O6746" s="5"/>
      <c r="P6746" s="5"/>
      <c r="Q6746" s="5"/>
      <c r="R6746" s="5"/>
      <c r="S6746" s="5"/>
      <c r="T6746" s="5"/>
      <c r="U6746" s="5"/>
      <c r="V6746" s="5"/>
      <c r="W6746" s="5"/>
      <c r="X6746" s="5"/>
      <c r="Y6746" s="5"/>
      <c r="Z6746" s="5"/>
    </row>
    <row r="6747" spans="1:26" ht="15" x14ac:dyDescent="0.25">
      <c r="A6747" s="4" t="s">
        <v>6745</v>
      </c>
      <c r="B6747" s="4" t="s">
        <v>4550</v>
      </c>
      <c r="C6747" s="2" t="str">
        <f ca="1">IFERROR(__xludf.DUMMYFUNCTION("GOOGLETRANSLATE(A6747,""bn"",""en"")"),"I checked the checkbook")</f>
        <v>I checked the checkbook</v>
      </c>
      <c r="D6747" s="5"/>
      <c r="E6747" s="5"/>
      <c r="F6747" s="5"/>
      <c r="G6747" s="5"/>
      <c r="H6747" s="5"/>
      <c r="I6747" s="5"/>
      <c r="J6747" s="5"/>
      <c r="K6747" s="5"/>
      <c r="L6747" s="5"/>
      <c r="M6747" s="5"/>
      <c r="N6747" s="5"/>
      <c r="O6747" s="5"/>
      <c r="P6747" s="5"/>
      <c r="Q6747" s="5"/>
      <c r="R6747" s="5"/>
      <c r="S6747" s="5"/>
      <c r="T6747" s="5"/>
      <c r="U6747" s="5"/>
      <c r="V6747" s="5"/>
      <c r="W6747" s="5"/>
      <c r="X6747" s="5"/>
      <c r="Y6747" s="5"/>
      <c r="Z6747" s="5"/>
    </row>
    <row r="6748" spans="1:26" ht="15" x14ac:dyDescent="0.25">
      <c r="A6748" s="4" t="s">
        <v>6746</v>
      </c>
      <c r="B6748" s="4" t="s">
        <v>4550</v>
      </c>
      <c r="C6748" s="2" t="str">
        <f ca="1">IFERROR(__xludf.DUMMYFUNCTION("GOOGLETRANSLATE(A6748,""bn"",""en"")"),"I used ants")</f>
        <v>I used ants</v>
      </c>
      <c r="D6748" s="5"/>
      <c r="E6748" s="5"/>
      <c r="F6748" s="5"/>
      <c r="G6748" s="5"/>
      <c r="H6748" s="5"/>
      <c r="I6748" s="5"/>
      <c r="J6748" s="5"/>
      <c r="K6748" s="5"/>
      <c r="L6748" s="5"/>
      <c r="M6748" s="5"/>
      <c r="N6748" s="5"/>
      <c r="O6748" s="5"/>
      <c r="P6748" s="5"/>
      <c r="Q6748" s="5"/>
      <c r="R6748" s="5"/>
      <c r="S6748" s="5"/>
      <c r="T6748" s="5"/>
      <c r="U6748" s="5"/>
      <c r="V6748" s="5"/>
      <c r="W6748" s="5"/>
      <c r="X6748" s="5"/>
      <c r="Y6748" s="5"/>
      <c r="Z6748" s="5"/>
    </row>
    <row r="6749" spans="1:26" ht="15" x14ac:dyDescent="0.25">
      <c r="A6749" s="4" t="s">
        <v>6747</v>
      </c>
      <c r="B6749" s="4" t="s">
        <v>4550</v>
      </c>
      <c r="C6749" s="2" t="str">
        <f ca="1">IFERROR(__xludf.DUMMYFUNCTION("GOOGLETRANSLATE(A6749,""bn"",""en"")"),"Technology was essential")</f>
        <v>Technology was essential</v>
      </c>
      <c r="D6749" s="5"/>
      <c r="E6749" s="5"/>
      <c r="F6749" s="5"/>
      <c r="G6749" s="5"/>
      <c r="H6749" s="5"/>
      <c r="I6749" s="5"/>
      <c r="J6749" s="5"/>
      <c r="K6749" s="5"/>
      <c r="L6749" s="5"/>
      <c r="M6749" s="5"/>
      <c r="N6749" s="5"/>
      <c r="O6749" s="5"/>
      <c r="P6749" s="5"/>
      <c r="Q6749" s="5"/>
      <c r="R6749" s="5"/>
      <c r="S6749" s="5"/>
      <c r="T6749" s="5"/>
      <c r="U6749" s="5"/>
      <c r="V6749" s="5"/>
      <c r="W6749" s="5"/>
      <c r="X6749" s="5"/>
      <c r="Y6749" s="5"/>
      <c r="Z6749" s="5"/>
    </row>
    <row r="6750" spans="1:26" ht="15" x14ac:dyDescent="0.25">
      <c r="A6750" s="4" t="s">
        <v>6748</v>
      </c>
      <c r="B6750" s="4" t="s">
        <v>4550</v>
      </c>
      <c r="C6750" s="2" t="str">
        <f ca="1">IFERROR(__xludf.DUMMYFUNCTION("GOOGLETRANSLATE(A6750,""bn"",""en"")"),"I saw a bear in the forest")</f>
        <v>I saw a bear in the forest</v>
      </c>
      <c r="D6750" s="5"/>
      <c r="E6750" s="5"/>
      <c r="F6750" s="5"/>
      <c r="G6750" s="5"/>
      <c r="H6750" s="5"/>
      <c r="I6750" s="5"/>
      <c r="J6750" s="5"/>
      <c r="K6750" s="5"/>
      <c r="L6750" s="5"/>
      <c r="M6750" s="5"/>
      <c r="N6750" s="5"/>
      <c r="O6750" s="5"/>
      <c r="P6750" s="5"/>
      <c r="Q6750" s="5"/>
      <c r="R6750" s="5"/>
      <c r="S6750" s="5"/>
      <c r="T6750" s="5"/>
      <c r="U6750" s="5"/>
      <c r="V6750" s="5"/>
      <c r="W6750" s="5"/>
      <c r="X6750" s="5"/>
      <c r="Y6750" s="5"/>
      <c r="Z6750" s="5"/>
    </row>
    <row r="6751" spans="1:26" ht="15" x14ac:dyDescent="0.25">
      <c r="A6751" s="4" t="s">
        <v>6749</v>
      </c>
      <c r="B6751" s="4" t="s">
        <v>4550</v>
      </c>
      <c r="C6751" s="2" t="str">
        <f ca="1">IFERROR(__xludf.DUMMYFUNCTION("GOOGLETRANSLATE(A6751,""bn"",""en"")"),"I was giving regular videos")</f>
        <v>I was giving regular videos</v>
      </c>
      <c r="D6751" s="5"/>
      <c r="E6751" s="5"/>
      <c r="F6751" s="5"/>
      <c r="G6751" s="5"/>
      <c r="H6751" s="5"/>
      <c r="I6751" s="5"/>
      <c r="J6751" s="5"/>
      <c r="K6751" s="5"/>
      <c r="L6751" s="5"/>
      <c r="M6751" s="5"/>
      <c r="N6751" s="5"/>
      <c r="O6751" s="5"/>
      <c r="P6751" s="5"/>
      <c r="Q6751" s="5"/>
      <c r="R6751" s="5"/>
      <c r="S6751" s="5"/>
      <c r="T6751" s="5"/>
      <c r="U6751" s="5"/>
      <c r="V6751" s="5"/>
      <c r="W6751" s="5"/>
      <c r="X6751" s="5"/>
      <c r="Y6751" s="5"/>
      <c r="Z6751" s="5"/>
    </row>
    <row r="6752" spans="1:26" ht="15" x14ac:dyDescent="0.25">
      <c r="A6752" s="4" t="s">
        <v>6750</v>
      </c>
      <c r="B6752" s="4" t="s">
        <v>4550</v>
      </c>
      <c r="C6752" s="2" t="str">
        <f ca="1">IFERROR(__xludf.DUMMYFUNCTION("GOOGLETRANSLATE(A6752,""bn"",""en"")"),"I was learning numbers")</f>
        <v>I was learning numbers</v>
      </c>
      <c r="D6752" s="5"/>
      <c r="E6752" s="5"/>
      <c r="F6752" s="5"/>
      <c r="G6752" s="5"/>
      <c r="H6752" s="5"/>
      <c r="I6752" s="5"/>
      <c r="J6752" s="5"/>
      <c r="K6752" s="5"/>
      <c r="L6752" s="5"/>
      <c r="M6752" s="5"/>
      <c r="N6752" s="5"/>
      <c r="O6752" s="5"/>
      <c r="P6752" s="5"/>
      <c r="Q6752" s="5"/>
      <c r="R6752" s="5"/>
      <c r="S6752" s="5"/>
      <c r="T6752" s="5"/>
      <c r="U6752" s="5"/>
      <c r="V6752" s="5"/>
      <c r="W6752" s="5"/>
      <c r="X6752" s="5"/>
      <c r="Y6752" s="5"/>
      <c r="Z6752" s="5"/>
    </row>
    <row r="6753" spans="1:26" ht="15" x14ac:dyDescent="0.25">
      <c r="A6753" s="4" t="s">
        <v>6751</v>
      </c>
      <c r="B6753" s="4" t="s">
        <v>4550</v>
      </c>
      <c r="C6753" s="2" t="str">
        <f ca="1">IFERROR(__xludf.DUMMYFUNCTION("GOOGLETRANSLATE(A6753,""bn"",""en"")"),"The tide came into the sea")</f>
        <v>The tide came into the sea</v>
      </c>
      <c r="D6753" s="5"/>
      <c r="E6753" s="5"/>
      <c r="F6753" s="5"/>
      <c r="G6753" s="5"/>
      <c r="H6753" s="5"/>
      <c r="I6753" s="5"/>
      <c r="J6753" s="5"/>
      <c r="K6753" s="5"/>
      <c r="L6753" s="5"/>
      <c r="M6753" s="5"/>
      <c r="N6753" s="5"/>
      <c r="O6753" s="5"/>
      <c r="P6753" s="5"/>
      <c r="Q6753" s="5"/>
      <c r="R6753" s="5"/>
      <c r="S6753" s="5"/>
      <c r="T6753" s="5"/>
      <c r="U6753" s="5"/>
      <c r="V6753" s="5"/>
      <c r="W6753" s="5"/>
      <c r="X6753" s="5"/>
      <c r="Y6753" s="5"/>
      <c r="Z6753" s="5"/>
    </row>
    <row r="6754" spans="1:26" ht="15" x14ac:dyDescent="0.25">
      <c r="A6754" s="4" t="s">
        <v>6752</v>
      </c>
      <c r="B6754" s="4" t="s">
        <v>4550</v>
      </c>
      <c r="C6754" s="2" t="str">
        <f ca="1">IFERROR(__xludf.DUMMYFUNCTION("GOOGLETRANSLATE(A6754,""bn"",""en"")"),"People met")</f>
        <v>People met</v>
      </c>
      <c r="D6754" s="5"/>
      <c r="E6754" s="5"/>
      <c r="F6754" s="5"/>
      <c r="G6754" s="5"/>
      <c r="H6754" s="5"/>
      <c r="I6754" s="5"/>
      <c r="J6754" s="5"/>
      <c r="K6754" s="5"/>
      <c r="L6754" s="5"/>
      <c r="M6754" s="5"/>
      <c r="N6754" s="5"/>
      <c r="O6754" s="5"/>
      <c r="P6754" s="5"/>
      <c r="Q6754" s="5"/>
      <c r="R6754" s="5"/>
      <c r="S6754" s="5"/>
      <c r="T6754" s="5"/>
      <c r="U6754" s="5"/>
      <c r="V6754" s="5"/>
      <c r="W6754" s="5"/>
      <c r="X6754" s="5"/>
      <c r="Y6754" s="5"/>
      <c r="Z6754" s="5"/>
    </row>
    <row r="6755" spans="1:26" ht="15" x14ac:dyDescent="0.25">
      <c r="A6755" s="4" t="s">
        <v>6753</v>
      </c>
      <c r="B6755" s="4" t="s">
        <v>4550</v>
      </c>
      <c r="C6755" s="2" t="str">
        <f ca="1">IFERROR(__xludf.DUMMYFUNCTION("GOOGLETRANSLATE(A6755,""bn"",""en"")"),"Travel was time consuming")</f>
        <v>Travel was time consuming</v>
      </c>
      <c r="D6755" s="5"/>
      <c r="E6755" s="5"/>
      <c r="F6755" s="5"/>
      <c r="G6755" s="5"/>
      <c r="H6755" s="5"/>
      <c r="I6755" s="5"/>
      <c r="J6755" s="5"/>
      <c r="K6755" s="5"/>
      <c r="L6755" s="5"/>
      <c r="M6755" s="5"/>
      <c r="N6755" s="5"/>
      <c r="O6755" s="5"/>
      <c r="P6755" s="5"/>
      <c r="Q6755" s="5"/>
      <c r="R6755" s="5"/>
      <c r="S6755" s="5"/>
      <c r="T6755" s="5"/>
      <c r="U6755" s="5"/>
      <c r="V6755" s="5"/>
      <c r="W6755" s="5"/>
      <c r="X6755" s="5"/>
      <c r="Y6755" s="5"/>
      <c r="Z6755" s="5"/>
    </row>
    <row r="6756" spans="1:26" ht="15" x14ac:dyDescent="0.25">
      <c r="A6756" s="4" t="s">
        <v>6754</v>
      </c>
      <c r="B6756" s="4" t="s">
        <v>4550</v>
      </c>
      <c r="C6756" s="2" t="str">
        <f ca="1">IFERROR(__xludf.DUMMYFUNCTION("GOOGLETRANSLATE(A6756,""bn"",""en"")"),"Waves spread fascination")</f>
        <v>Waves spread fascination</v>
      </c>
      <c r="D6756" s="5"/>
      <c r="E6756" s="5"/>
      <c r="F6756" s="5"/>
      <c r="G6756" s="5"/>
      <c r="H6756" s="5"/>
      <c r="I6756" s="5"/>
      <c r="J6756" s="5"/>
      <c r="K6756" s="5"/>
      <c r="L6756" s="5"/>
      <c r="M6756" s="5"/>
      <c r="N6756" s="5"/>
      <c r="O6756" s="5"/>
      <c r="P6756" s="5"/>
      <c r="Q6756" s="5"/>
      <c r="R6756" s="5"/>
      <c r="S6756" s="5"/>
      <c r="T6756" s="5"/>
      <c r="U6756" s="5"/>
      <c r="V6756" s="5"/>
      <c r="W6756" s="5"/>
      <c r="X6756" s="5"/>
      <c r="Y6756" s="5"/>
      <c r="Z6756" s="5"/>
    </row>
    <row r="6757" spans="1:26" ht="15" x14ac:dyDescent="0.25">
      <c r="A6757" s="4" t="s">
        <v>6755</v>
      </c>
      <c r="B6757" s="4" t="s">
        <v>4550</v>
      </c>
      <c r="C6757" s="2" t="str">
        <f ca="1">IFERROR(__xludf.DUMMYFUNCTION("GOOGLETRANSLATE(A6757,""bn"",""en"")"),"People roamed the seashore")</f>
        <v>People roamed the seashore</v>
      </c>
      <c r="D6757" s="5"/>
      <c r="E6757" s="5"/>
      <c r="F6757" s="5"/>
      <c r="G6757" s="5"/>
      <c r="H6757" s="5"/>
      <c r="I6757" s="5"/>
      <c r="J6757" s="5"/>
      <c r="K6757" s="5"/>
      <c r="L6757" s="5"/>
      <c r="M6757" s="5"/>
      <c r="N6757" s="5"/>
      <c r="O6757" s="5"/>
      <c r="P6757" s="5"/>
      <c r="Q6757" s="5"/>
      <c r="R6757" s="5"/>
      <c r="S6757" s="5"/>
      <c r="T6757" s="5"/>
      <c r="U6757" s="5"/>
      <c r="V6757" s="5"/>
      <c r="W6757" s="5"/>
      <c r="X6757" s="5"/>
      <c r="Y6757" s="5"/>
      <c r="Z6757" s="5"/>
    </row>
    <row r="6758" spans="1:26" ht="15" x14ac:dyDescent="0.25">
      <c r="A6758" s="4" t="s">
        <v>6756</v>
      </c>
      <c r="B6758" s="4" t="s">
        <v>4550</v>
      </c>
      <c r="C6758" s="2" t="str">
        <f ca="1">IFERROR(__xludf.DUMMYFUNCTION("GOOGLETRANSLATE(A6758,""bn"",""en"")"),"I wanted to buy a gadget")</f>
        <v>I wanted to buy a gadget</v>
      </c>
      <c r="D6758" s="5"/>
      <c r="E6758" s="5"/>
      <c r="F6758" s="5"/>
      <c r="G6758" s="5"/>
      <c r="H6758" s="5"/>
      <c r="I6758" s="5"/>
      <c r="J6758" s="5"/>
      <c r="K6758" s="5"/>
      <c r="L6758" s="5"/>
      <c r="M6758" s="5"/>
      <c r="N6758" s="5"/>
      <c r="O6758" s="5"/>
      <c r="P6758" s="5"/>
      <c r="Q6758" s="5"/>
      <c r="R6758" s="5"/>
      <c r="S6758" s="5"/>
      <c r="T6758" s="5"/>
      <c r="U6758" s="5"/>
      <c r="V6758" s="5"/>
      <c r="W6758" s="5"/>
      <c r="X6758" s="5"/>
      <c r="Y6758" s="5"/>
      <c r="Z6758" s="5"/>
    </row>
    <row r="6759" spans="1:26" ht="15" x14ac:dyDescent="0.25">
      <c r="A6759" s="4" t="s">
        <v>6757</v>
      </c>
      <c r="B6759" s="4" t="s">
        <v>4550</v>
      </c>
      <c r="C6759" s="2" t="str">
        <f ca="1">IFERROR(__xludf.DUMMYFUNCTION("GOOGLETRANSLATE(A6759,""bn"",""en"")"),"I was using apple phone")</f>
        <v>I was using apple phone</v>
      </c>
      <c r="D6759" s="5"/>
      <c r="E6759" s="5"/>
      <c r="F6759" s="5"/>
      <c r="G6759" s="5"/>
      <c r="H6759" s="5"/>
      <c r="I6759" s="5"/>
      <c r="J6759" s="5"/>
      <c r="K6759" s="5"/>
      <c r="L6759" s="5"/>
      <c r="M6759" s="5"/>
      <c r="N6759" s="5"/>
      <c r="O6759" s="5"/>
      <c r="P6759" s="5"/>
      <c r="Q6759" s="5"/>
      <c r="R6759" s="5"/>
      <c r="S6759" s="5"/>
      <c r="T6759" s="5"/>
      <c r="U6759" s="5"/>
      <c r="V6759" s="5"/>
      <c r="W6759" s="5"/>
      <c r="X6759" s="5"/>
      <c r="Y6759" s="5"/>
      <c r="Z6759" s="5"/>
    </row>
    <row r="6760" spans="1:26" ht="15" x14ac:dyDescent="0.25">
      <c r="A6760" s="4" t="s">
        <v>6758</v>
      </c>
      <c r="B6760" s="4" t="s">
        <v>4550</v>
      </c>
      <c r="C6760" s="2" t="str">
        <f ca="1">IFERROR(__xludf.DUMMYFUNCTION("GOOGLETRANSLATE(A6760,""bn"",""en"")"),"Arabic was taught")</f>
        <v>Arabic was taught</v>
      </c>
      <c r="D6760" s="5"/>
      <c r="E6760" s="5"/>
      <c r="F6760" s="5"/>
      <c r="G6760" s="5"/>
      <c r="H6760" s="5"/>
      <c r="I6760" s="5"/>
      <c r="J6760" s="5"/>
      <c r="K6760" s="5"/>
      <c r="L6760" s="5"/>
      <c r="M6760" s="5"/>
      <c r="N6760" s="5"/>
      <c r="O6760" s="5"/>
      <c r="P6760" s="5"/>
      <c r="Q6760" s="5"/>
      <c r="R6760" s="5"/>
      <c r="S6760" s="5"/>
      <c r="T6760" s="5"/>
      <c r="U6760" s="5"/>
      <c r="V6760" s="5"/>
      <c r="W6760" s="5"/>
      <c r="X6760" s="5"/>
      <c r="Y6760" s="5"/>
      <c r="Z6760" s="5"/>
    </row>
    <row r="6761" spans="1:26" ht="15" x14ac:dyDescent="0.25">
      <c r="A6761" s="4" t="s">
        <v>6759</v>
      </c>
      <c r="B6761" s="4" t="s">
        <v>4550</v>
      </c>
      <c r="C6761" s="2" t="str">
        <f ca="1">IFERROR(__xludf.DUMMYFUNCTION("GOOGLETRANSLATE(A6761,""bn"",""en"")"),"He learned numbers")</f>
        <v>He learned numbers</v>
      </c>
      <c r="D6761" s="5"/>
      <c r="E6761" s="5"/>
      <c r="F6761" s="5"/>
      <c r="G6761" s="5"/>
      <c r="H6761" s="5"/>
      <c r="I6761" s="5"/>
      <c r="J6761" s="5"/>
      <c r="K6761" s="5"/>
      <c r="L6761" s="5"/>
      <c r="M6761" s="5"/>
      <c r="N6761" s="5"/>
      <c r="O6761" s="5"/>
      <c r="P6761" s="5"/>
      <c r="Q6761" s="5"/>
      <c r="R6761" s="5"/>
      <c r="S6761" s="5"/>
      <c r="T6761" s="5"/>
      <c r="U6761" s="5"/>
      <c r="V6761" s="5"/>
      <c r="W6761" s="5"/>
      <c r="X6761" s="5"/>
      <c r="Y6761" s="5"/>
      <c r="Z6761" s="5"/>
    </row>
    <row r="6762" spans="1:26" ht="15" x14ac:dyDescent="0.25">
      <c r="A6762" s="4" t="s">
        <v>6760</v>
      </c>
      <c r="B6762" s="4" t="s">
        <v>4550</v>
      </c>
      <c r="C6762" s="2" t="str">
        <f ca="1">IFERROR(__xludf.DUMMYFUNCTION("GOOGLETRANSLATE(A6762,""bn"",""en"")"),"I bought a new computer")</f>
        <v>I bought a new computer</v>
      </c>
      <c r="D6762" s="5"/>
      <c r="E6762" s="5"/>
      <c r="F6762" s="5"/>
      <c r="G6762" s="5"/>
      <c r="H6762" s="5"/>
      <c r="I6762" s="5"/>
      <c r="J6762" s="5"/>
      <c r="K6762" s="5"/>
      <c r="L6762" s="5"/>
      <c r="M6762" s="5"/>
      <c r="N6762" s="5"/>
      <c r="O6762" s="5"/>
      <c r="P6762" s="5"/>
      <c r="Q6762" s="5"/>
      <c r="R6762" s="5"/>
      <c r="S6762" s="5"/>
      <c r="T6762" s="5"/>
      <c r="U6762" s="5"/>
      <c r="V6762" s="5"/>
      <c r="W6762" s="5"/>
      <c r="X6762" s="5"/>
      <c r="Y6762" s="5"/>
      <c r="Z6762" s="5"/>
    </row>
    <row r="6763" spans="1:26" ht="15" x14ac:dyDescent="0.25">
      <c r="A6763" s="4" t="s">
        <v>6761</v>
      </c>
      <c r="B6763" s="4" t="s">
        <v>4550</v>
      </c>
      <c r="C6763" s="2" t="str">
        <f ca="1">IFERROR(__xludf.DUMMYFUNCTION("GOOGLETRANSLATE(A6763,""bn"",""en"")"),"Loved flowers")</f>
        <v>Loved flowers</v>
      </c>
      <c r="D6763" s="5"/>
      <c r="E6763" s="5"/>
      <c r="F6763" s="5"/>
      <c r="G6763" s="5"/>
      <c r="H6763" s="5"/>
      <c r="I6763" s="5"/>
      <c r="J6763" s="5"/>
      <c r="K6763" s="5"/>
      <c r="L6763" s="5"/>
      <c r="M6763" s="5"/>
      <c r="N6763" s="5"/>
      <c r="O6763" s="5"/>
      <c r="P6763" s="5"/>
      <c r="Q6763" s="5"/>
      <c r="R6763" s="5"/>
      <c r="S6763" s="5"/>
      <c r="T6763" s="5"/>
      <c r="U6763" s="5"/>
      <c r="V6763" s="5"/>
      <c r="W6763" s="5"/>
      <c r="X6763" s="5"/>
      <c r="Y6763" s="5"/>
      <c r="Z6763" s="5"/>
    </row>
    <row r="6764" spans="1:26" ht="15" x14ac:dyDescent="0.25">
      <c r="A6764" s="4" t="s">
        <v>6762</v>
      </c>
      <c r="B6764" s="4" t="s">
        <v>4550</v>
      </c>
      <c r="C6764" s="2" t="str">
        <f ca="1">IFERROR(__xludf.DUMMYFUNCTION("GOOGLETRANSLATE(A6764,""bn"",""en"")"),"I was analyzing the website")</f>
        <v>I was analyzing the website</v>
      </c>
      <c r="D6764" s="5"/>
      <c r="E6764" s="5"/>
      <c r="F6764" s="5"/>
      <c r="G6764" s="5"/>
      <c r="H6764" s="5"/>
      <c r="I6764" s="5"/>
      <c r="J6764" s="5"/>
      <c r="K6764" s="5"/>
      <c r="L6764" s="5"/>
      <c r="M6764" s="5"/>
      <c r="N6764" s="5"/>
      <c r="O6764" s="5"/>
      <c r="P6764" s="5"/>
      <c r="Q6764" s="5"/>
      <c r="R6764" s="5"/>
      <c r="S6764" s="5"/>
      <c r="T6764" s="5"/>
      <c r="U6764" s="5"/>
      <c r="V6764" s="5"/>
      <c r="W6764" s="5"/>
      <c r="X6764" s="5"/>
      <c r="Y6764" s="5"/>
      <c r="Z6764" s="5"/>
    </row>
    <row r="6765" spans="1:26" ht="15" x14ac:dyDescent="0.25">
      <c r="A6765" s="4" t="s">
        <v>6763</v>
      </c>
      <c r="B6765" s="4" t="s">
        <v>4550</v>
      </c>
      <c r="C6765" s="2" t="str">
        <f ca="1">IFERROR(__xludf.DUMMYFUNCTION("GOOGLETRANSLATE(A6765,""bn"",""en"")"),"Always walking around")</f>
        <v>Always walking around</v>
      </c>
      <c r="D6765" s="5"/>
      <c r="E6765" s="5"/>
      <c r="F6765" s="5"/>
      <c r="G6765" s="5"/>
      <c r="H6765" s="5"/>
      <c r="I6765" s="5"/>
      <c r="J6765" s="5"/>
      <c r="K6765" s="5"/>
      <c r="L6765" s="5"/>
      <c r="M6765" s="5"/>
      <c r="N6765" s="5"/>
      <c r="O6765" s="5"/>
      <c r="P6765" s="5"/>
      <c r="Q6765" s="5"/>
      <c r="R6765" s="5"/>
      <c r="S6765" s="5"/>
      <c r="T6765" s="5"/>
      <c r="U6765" s="5"/>
      <c r="V6765" s="5"/>
      <c r="W6765" s="5"/>
      <c r="X6765" s="5"/>
      <c r="Y6765" s="5"/>
      <c r="Z6765" s="5"/>
    </row>
    <row r="6766" spans="1:26" ht="15" x14ac:dyDescent="0.25">
      <c r="A6766" s="4" t="s">
        <v>6764</v>
      </c>
      <c r="B6766" s="4" t="s">
        <v>4550</v>
      </c>
      <c r="C6766" s="2" t="str">
        <f ca="1">IFERROR(__xludf.DUMMYFUNCTION("GOOGLETRANSLATE(A6766,""bn"",""en"")"),"He was studying English")</f>
        <v>He was studying English</v>
      </c>
      <c r="D6766" s="5"/>
      <c r="E6766" s="5"/>
      <c r="F6766" s="5"/>
      <c r="G6766" s="5"/>
      <c r="H6766" s="5"/>
      <c r="I6766" s="5"/>
      <c r="J6766" s="5"/>
      <c r="K6766" s="5"/>
      <c r="L6766" s="5"/>
      <c r="M6766" s="5"/>
      <c r="N6766" s="5"/>
      <c r="O6766" s="5"/>
      <c r="P6766" s="5"/>
      <c r="Q6766" s="5"/>
      <c r="R6766" s="5"/>
      <c r="S6766" s="5"/>
      <c r="T6766" s="5"/>
      <c r="U6766" s="5"/>
      <c r="V6766" s="5"/>
      <c r="W6766" s="5"/>
      <c r="X6766" s="5"/>
      <c r="Y6766" s="5"/>
      <c r="Z6766" s="5"/>
    </row>
    <row r="6767" spans="1:26" ht="15" x14ac:dyDescent="0.25">
      <c r="A6767" s="4" t="s">
        <v>6765</v>
      </c>
      <c r="B6767" s="4" t="s">
        <v>4550</v>
      </c>
      <c r="C6767" s="2" t="str">
        <f ca="1">IFERROR(__xludf.DUMMYFUNCTION("GOOGLETRANSLATE(A6767,""bn"",""en"")"),"Loans increased")</f>
        <v>Loans increased</v>
      </c>
      <c r="D6767" s="5"/>
      <c r="E6767" s="5"/>
      <c r="F6767" s="5"/>
      <c r="G6767" s="5"/>
      <c r="H6767" s="5"/>
      <c r="I6767" s="5"/>
      <c r="J6767" s="5"/>
      <c r="K6767" s="5"/>
      <c r="L6767" s="5"/>
      <c r="M6767" s="5"/>
      <c r="N6767" s="5"/>
      <c r="O6767" s="5"/>
      <c r="P6767" s="5"/>
      <c r="Q6767" s="5"/>
      <c r="R6767" s="5"/>
      <c r="S6767" s="5"/>
      <c r="T6767" s="5"/>
      <c r="U6767" s="5"/>
      <c r="V6767" s="5"/>
      <c r="W6767" s="5"/>
      <c r="X6767" s="5"/>
      <c r="Y6767" s="5"/>
      <c r="Z6767" s="5"/>
    </row>
    <row r="6768" spans="1:26" ht="15" x14ac:dyDescent="0.25">
      <c r="A6768" s="4" t="s">
        <v>6766</v>
      </c>
      <c r="B6768" s="4" t="s">
        <v>4550</v>
      </c>
      <c r="C6768" s="2" t="str">
        <f ca="1">IFERROR(__xludf.DUMMYFUNCTION("GOOGLETRANSLATE(A6768,""bn"",""en"")"),"I was listening to music on my laptop")</f>
        <v>I was listening to music on my laptop</v>
      </c>
      <c r="D6768" s="5"/>
      <c r="E6768" s="5"/>
      <c r="F6768" s="5"/>
      <c r="G6768" s="5"/>
      <c r="H6768" s="5"/>
      <c r="I6768" s="5"/>
      <c r="J6768" s="5"/>
      <c r="K6768" s="5"/>
      <c r="L6768" s="5"/>
      <c r="M6768" s="5"/>
      <c r="N6768" s="5"/>
      <c r="O6768" s="5"/>
      <c r="P6768" s="5"/>
      <c r="Q6768" s="5"/>
      <c r="R6768" s="5"/>
      <c r="S6768" s="5"/>
      <c r="T6768" s="5"/>
      <c r="U6768" s="5"/>
      <c r="V6768" s="5"/>
      <c r="W6768" s="5"/>
      <c r="X6768" s="5"/>
      <c r="Y6768" s="5"/>
      <c r="Z6768" s="5"/>
    </row>
    <row r="6769" spans="1:26" ht="15" x14ac:dyDescent="0.25">
      <c r="A6769" s="4" t="s">
        <v>6767</v>
      </c>
      <c r="B6769" s="4" t="s">
        <v>4550</v>
      </c>
      <c r="C6769" s="2" t="str">
        <f ca="1">IFERROR(__xludf.DUMMYFUNCTION("GOOGLETRANSLATE(A6769,""bn"",""en"")"),"Peace was found in retirement")</f>
        <v>Peace was found in retirement</v>
      </c>
      <c r="D6769" s="5"/>
      <c r="E6769" s="5"/>
      <c r="F6769" s="5"/>
      <c r="G6769" s="5"/>
      <c r="H6769" s="5"/>
      <c r="I6769" s="5"/>
      <c r="J6769" s="5"/>
      <c r="K6769" s="5"/>
      <c r="L6769" s="5"/>
      <c r="M6769" s="5"/>
      <c r="N6769" s="5"/>
      <c r="O6769" s="5"/>
      <c r="P6769" s="5"/>
      <c r="Q6769" s="5"/>
      <c r="R6769" s="5"/>
      <c r="S6769" s="5"/>
      <c r="T6769" s="5"/>
      <c r="U6769" s="5"/>
      <c r="V6769" s="5"/>
      <c r="W6769" s="5"/>
      <c r="X6769" s="5"/>
      <c r="Y6769" s="5"/>
      <c r="Z6769" s="5"/>
    </row>
    <row r="6770" spans="1:26" ht="15" x14ac:dyDescent="0.25">
      <c r="A6770" s="4" t="s">
        <v>6768</v>
      </c>
      <c r="B6770" s="4" t="s">
        <v>4550</v>
      </c>
      <c r="C6770" s="2" t="str">
        <f ca="1">IFERROR(__xludf.DUMMYFUNCTION("GOOGLETRANSLATE(A6770,""bn"",""en"")"),"I was paying the check")</f>
        <v>I was paying the check</v>
      </c>
      <c r="D6770" s="5"/>
      <c r="E6770" s="5"/>
      <c r="F6770" s="5"/>
      <c r="G6770" s="5"/>
      <c r="H6770" s="5"/>
      <c r="I6770" s="5"/>
      <c r="J6770" s="5"/>
      <c r="K6770" s="5"/>
      <c r="L6770" s="5"/>
      <c r="M6770" s="5"/>
      <c r="N6770" s="5"/>
      <c r="O6770" s="5"/>
      <c r="P6770" s="5"/>
      <c r="Q6770" s="5"/>
      <c r="R6770" s="5"/>
      <c r="S6770" s="5"/>
      <c r="T6770" s="5"/>
      <c r="U6770" s="5"/>
      <c r="V6770" s="5"/>
      <c r="W6770" s="5"/>
      <c r="X6770" s="5"/>
      <c r="Y6770" s="5"/>
      <c r="Z6770" s="5"/>
    </row>
    <row r="6771" spans="1:26" ht="15" x14ac:dyDescent="0.25">
      <c r="A6771" s="4" t="s">
        <v>6769</v>
      </c>
      <c r="B6771" s="4" t="s">
        <v>4550</v>
      </c>
      <c r="C6771" s="2" t="str">
        <f ca="1">IFERROR(__xludf.DUMMYFUNCTION("GOOGLETRANSLATE(A6771,""bn"",""en"")"),"Education increased")</f>
        <v>Education increased</v>
      </c>
      <c r="D6771" s="5"/>
      <c r="E6771" s="5"/>
      <c r="F6771" s="5"/>
      <c r="G6771" s="5"/>
      <c r="H6771" s="5"/>
      <c r="I6771" s="5"/>
      <c r="J6771" s="5"/>
      <c r="K6771" s="5"/>
      <c r="L6771" s="5"/>
      <c r="M6771" s="5"/>
      <c r="N6771" s="5"/>
      <c r="O6771" s="5"/>
      <c r="P6771" s="5"/>
      <c r="Q6771" s="5"/>
      <c r="R6771" s="5"/>
      <c r="S6771" s="5"/>
      <c r="T6771" s="5"/>
      <c r="U6771" s="5"/>
      <c r="V6771" s="5"/>
      <c r="W6771" s="5"/>
      <c r="X6771" s="5"/>
      <c r="Y6771" s="5"/>
      <c r="Z6771" s="5"/>
    </row>
    <row r="6772" spans="1:26" ht="15" x14ac:dyDescent="0.25">
      <c r="A6772" s="4" t="s">
        <v>6770</v>
      </c>
      <c r="B6772" s="4" t="s">
        <v>4550</v>
      </c>
      <c r="C6772" s="2" t="str">
        <f ca="1">IFERROR(__xludf.DUMMYFUNCTION("GOOGLETRANSLATE(A6772,""bn"",""en"")"),"Blockchain was becoming popular")</f>
        <v>Blockchain was becoming popular</v>
      </c>
      <c r="D6772" s="5"/>
      <c r="E6772" s="5"/>
      <c r="F6772" s="5"/>
      <c r="G6772" s="5"/>
      <c r="H6772" s="5"/>
      <c r="I6772" s="5"/>
      <c r="J6772" s="5"/>
      <c r="K6772" s="5"/>
      <c r="L6772" s="5"/>
      <c r="M6772" s="5"/>
      <c r="N6772" s="5"/>
      <c r="O6772" s="5"/>
      <c r="P6772" s="5"/>
      <c r="Q6772" s="5"/>
      <c r="R6772" s="5"/>
      <c r="S6772" s="5"/>
      <c r="T6772" s="5"/>
      <c r="U6772" s="5"/>
      <c r="V6772" s="5"/>
      <c r="W6772" s="5"/>
      <c r="X6772" s="5"/>
      <c r="Y6772" s="5"/>
      <c r="Z6772" s="5"/>
    </row>
    <row r="6773" spans="1:26" ht="15" x14ac:dyDescent="0.25">
      <c r="A6773" s="4" t="s">
        <v>6771</v>
      </c>
      <c r="B6773" s="4" t="s">
        <v>4550</v>
      </c>
      <c r="C6773" s="2" t="str">
        <f ca="1">IFERROR(__xludf.DUMMYFUNCTION("GOOGLETRANSLATE(A6773,""bn"",""en"")"),"I took a digital meter")</f>
        <v>I took a digital meter</v>
      </c>
      <c r="D6773" s="5"/>
      <c r="E6773" s="5"/>
      <c r="F6773" s="5"/>
      <c r="G6773" s="5"/>
      <c r="H6773" s="5"/>
      <c r="I6773" s="5"/>
      <c r="J6773" s="5"/>
      <c r="K6773" s="5"/>
      <c r="L6773" s="5"/>
      <c r="M6773" s="5"/>
      <c r="N6773" s="5"/>
      <c r="O6773" s="5"/>
      <c r="P6773" s="5"/>
      <c r="Q6773" s="5"/>
      <c r="R6773" s="5"/>
      <c r="S6773" s="5"/>
      <c r="T6773" s="5"/>
      <c r="U6773" s="5"/>
      <c r="V6773" s="5"/>
      <c r="W6773" s="5"/>
      <c r="X6773" s="5"/>
      <c r="Y6773" s="5"/>
      <c r="Z6773" s="5"/>
    </row>
    <row r="6774" spans="1:26" ht="15" x14ac:dyDescent="0.25">
      <c r="A6774" s="4" t="s">
        <v>6772</v>
      </c>
      <c r="B6774" s="4" t="s">
        <v>4550</v>
      </c>
      <c r="C6774" s="2" t="str">
        <f ca="1">IFERROR(__xludf.DUMMYFUNCTION("GOOGLETRANSLATE(A6774,""bn"",""en"")"),"I knew the history of Spain")</f>
        <v>I knew the history of Spain</v>
      </c>
      <c r="D6774" s="5"/>
      <c r="E6774" s="5"/>
      <c r="F6774" s="5"/>
      <c r="G6774" s="5"/>
      <c r="H6774" s="5"/>
      <c r="I6774" s="5"/>
      <c r="J6774" s="5"/>
      <c r="K6774" s="5"/>
      <c r="L6774" s="5"/>
      <c r="M6774" s="5"/>
      <c r="N6774" s="5"/>
      <c r="O6774" s="5"/>
      <c r="P6774" s="5"/>
      <c r="Q6774" s="5"/>
      <c r="R6774" s="5"/>
      <c r="S6774" s="5"/>
      <c r="T6774" s="5"/>
      <c r="U6774" s="5"/>
      <c r="V6774" s="5"/>
      <c r="W6774" s="5"/>
      <c r="X6774" s="5"/>
      <c r="Y6774" s="5"/>
      <c r="Z6774" s="5"/>
    </row>
    <row r="6775" spans="1:26" ht="15" x14ac:dyDescent="0.25">
      <c r="A6775" s="4" t="s">
        <v>6773</v>
      </c>
      <c r="B6775" s="4" t="s">
        <v>4550</v>
      </c>
      <c r="C6775" s="2" t="str">
        <f ca="1">IFERROR(__xludf.DUMMYFUNCTION("GOOGLETRANSLATE(A6775,""bn"",""en"")"),"We were succeeding")</f>
        <v>We were succeeding</v>
      </c>
      <c r="D6775" s="5"/>
      <c r="E6775" s="5"/>
      <c r="F6775" s="5"/>
      <c r="G6775" s="5"/>
      <c r="H6775" s="5"/>
      <c r="I6775" s="5"/>
      <c r="J6775" s="5"/>
      <c r="K6775" s="5"/>
      <c r="L6775" s="5"/>
      <c r="M6775" s="5"/>
      <c r="N6775" s="5"/>
      <c r="O6775" s="5"/>
      <c r="P6775" s="5"/>
      <c r="Q6775" s="5"/>
      <c r="R6775" s="5"/>
      <c r="S6775" s="5"/>
      <c r="T6775" s="5"/>
      <c r="U6775" s="5"/>
      <c r="V6775" s="5"/>
      <c r="W6775" s="5"/>
      <c r="X6775" s="5"/>
      <c r="Y6775" s="5"/>
      <c r="Z6775" s="5"/>
    </row>
    <row r="6776" spans="1:26" ht="15" x14ac:dyDescent="0.25">
      <c r="A6776" s="4" t="s">
        <v>6774</v>
      </c>
      <c r="B6776" s="4" t="s">
        <v>4550</v>
      </c>
      <c r="C6776" s="2" t="str">
        <f ca="1">IFERROR(__xludf.DUMMYFUNCTION("GOOGLETRANSLATE(A6776,""bn"",""en"")"),"Improvement was needed")</f>
        <v>Improvement was needed</v>
      </c>
      <c r="D6776" s="5"/>
      <c r="E6776" s="5"/>
      <c r="F6776" s="5"/>
      <c r="G6776" s="5"/>
      <c r="H6776" s="5"/>
      <c r="I6776" s="5"/>
      <c r="J6776" s="5"/>
      <c r="K6776" s="5"/>
      <c r="L6776" s="5"/>
      <c r="M6776" s="5"/>
      <c r="N6776" s="5"/>
      <c r="O6776" s="5"/>
      <c r="P6776" s="5"/>
      <c r="Q6776" s="5"/>
      <c r="R6776" s="5"/>
      <c r="S6776" s="5"/>
      <c r="T6776" s="5"/>
      <c r="U6776" s="5"/>
      <c r="V6776" s="5"/>
      <c r="W6776" s="5"/>
      <c r="X6776" s="5"/>
      <c r="Y6776" s="5"/>
      <c r="Z6776" s="5"/>
    </row>
    <row r="6777" spans="1:26" ht="15" x14ac:dyDescent="0.25">
      <c r="A6777" s="4" t="s">
        <v>6775</v>
      </c>
      <c r="B6777" s="4" t="s">
        <v>4550</v>
      </c>
      <c r="C6777" s="2" t="str">
        <f ca="1">IFERROR(__xludf.DUMMYFUNCTION("GOOGLETRANSLATE(A6777,""bn"",""en"")"),"He read the paper")</f>
        <v>He read the paper</v>
      </c>
      <c r="D6777" s="5"/>
      <c r="E6777" s="5"/>
      <c r="F6777" s="5"/>
      <c r="G6777" s="5"/>
      <c r="H6777" s="5"/>
      <c r="I6777" s="5"/>
      <c r="J6777" s="5"/>
      <c r="K6777" s="5"/>
      <c r="L6777" s="5"/>
      <c r="M6777" s="5"/>
      <c r="N6777" s="5"/>
      <c r="O6777" s="5"/>
      <c r="P6777" s="5"/>
      <c r="Q6777" s="5"/>
      <c r="R6777" s="5"/>
      <c r="S6777" s="5"/>
      <c r="T6777" s="5"/>
      <c r="U6777" s="5"/>
      <c r="V6777" s="5"/>
      <c r="W6777" s="5"/>
      <c r="X6777" s="5"/>
      <c r="Y6777" s="5"/>
      <c r="Z6777" s="5"/>
    </row>
    <row r="6778" spans="1:26" ht="15" x14ac:dyDescent="0.25">
      <c r="A6778" s="4" t="s">
        <v>6776</v>
      </c>
      <c r="B6778" s="4" t="s">
        <v>4550</v>
      </c>
      <c r="C6778" s="2" t="str">
        <f ca="1">IFERROR(__xludf.DUMMYFUNCTION("GOOGLETRANSLATE(A6778,""bn"",""en"")"),"Wanted to see Kyokradang")</f>
        <v>Wanted to see Kyokradang</v>
      </c>
      <c r="D6778" s="5"/>
      <c r="E6778" s="5"/>
      <c r="F6778" s="5"/>
      <c r="G6778" s="5"/>
      <c r="H6778" s="5"/>
      <c r="I6778" s="5"/>
      <c r="J6778" s="5"/>
      <c r="K6778" s="5"/>
      <c r="L6778" s="5"/>
      <c r="M6778" s="5"/>
      <c r="N6778" s="5"/>
      <c r="O6778" s="5"/>
      <c r="P6778" s="5"/>
      <c r="Q6778" s="5"/>
      <c r="R6778" s="5"/>
      <c r="S6778" s="5"/>
      <c r="T6778" s="5"/>
      <c r="U6778" s="5"/>
      <c r="V6778" s="5"/>
      <c r="W6778" s="5"/>
      <c r="X6778" s="5"/>
      <c r="Y6778" s="5"/>
      <c r="Z6778" s="5"/>
    </row>
    <row r="6779" spans="1:26" ht="15" x14ac:dyDescent="0.25">
      <c r="A6779" s="4" t="s">
        <v>6777</v>
      </c>
      <c r="B6779" s="4" t="s">
        <v>4550</v>
      </c>
      <c r="C6779" s="2" t="str">
        <f ca="1">IFERROR(__xludf.DUMMYFUNCTION("GOOGLETRANSLATE(A6779,""bn"",""en"")"),"Development was deceptive")</f>
        <v>Development was deceptive</v>
      </c>
      <c r="D6779" s="5"/>
      <c r="E6779" s="5"/>
      <c r="F6779" s="5"/>
      <c r="G6779" s="5"/>
      <c r="H6779" s="5"/>
      <c r="I6779" s="5"/>
      <c r="J6779" s="5"/>
      <c r="K6779" s="5"/>
      <c r="L6779" s="5"/>
      <c r="M6779" s="5"/>
      <c r="N6779" s="5"/>
      <c r="O6779" s="5"/>
      <c r="P6779" s="5"/>
      <c r="Q6779" s="5"/>
      <c r="R6779" s="5"/>
      <c r="S6779" s="5"/>
      <c r="T6779" s="5"/>
      <c r="U6779" s="5"/>
      <c r="V6779" s="5"/>
      <c r="W6779" s="5"/>
      <c r="X6779" s="5"/>
      <c r="Y6779" s="5"/>
      <c r="Z6779" s="5"/>
    </row>
    <row r="6780" spans="1:26" ht="15" x14ac:dyDescent="0.25">
      <c r="A6780" s="4" t="s">
        <v>6778</v>
      </c>
      <c r="B6780" s="4" t="s">
        <v>4550</v>
      </c>
      <c r="C6780" s="2" t="str">
        <f ca="1">IFERROR(__xludf.DUMMYFUNCTION("GOOGLETRANSLATE(A6780,""bn"",""en"")"),"Used to go to the college cafeteria")</f>
        <v>Used to go to the college cafeteria</v>
      </c>
      <c r="D6780" s="5"/>
      <c r="E6780" s="5"/>
      <c r="F6780" s="5"/>
      <c r="G6780" s="5"/>
      <c r="H6780" s="5"/>
      <c r="I6780" s="5"/>
      <c r="J6780" s="5"/>
      <c r="K6780" s="5"/>
      <c r="L6780" s="5"/>
      <c r="M6780" s="5"/>
      <c r="N6780" s="5"/>
      <c r="O6780" s="5"/>
      <c r="P6780" s="5"/>
      <c r="Q6780" s="5"/>
      <c r="R6780" s="5"/>
      <c r="S6780" s="5"/>
      <c r="T6780" s="5"/>
      <c r="U6780" s="5"/>
      <c r="V6780" s="5"/>
      <c r="W6780" s="5"/>
      <c r="X6780" s="5"/>
      <c r="Y6780" s="5"/>
      <c r="Z6780" s="5"/>
    </row>
    <row r="6781" spans="1:26" ht="15" x14ac:dyDescent="0.25">
      <c r="A6781" s="4" t="s">
        <v>6779</v>
      </c>
      <c r="B6781" s="4" t="s">
        <v>4550</v>
      </c>
      <c r="C6781" s="2" t="str">
        <f ca="1">IFERROR(__xludf.DUMMYFUNCTION("GOOGLETRANSLATE(A6781,""bn"",""en"")"),"The circus was going on in politics")</f>
        <v>The circus was going on in politics</v>
      </c>
      <c r="D6781" s="5"/>
      <c r="E6781" s="5"/>
      <c r="F6781" s="5"/>
      <c r="G6781" s="5"/>
      <c r="H6781" s="5"/>
      <c r="I6781" s="5"/>
      <c r="J6781" s="5"/>
      <c r="K6781" s="5"/>
      <c r="L6781" s="5"/>
      <c r="M6781" s="5"/>
      <c r="N6781" s="5"/>
      <c r="O6781" s="5"/>
      <c r="P6781" s="5"/>
      <c r="Q6781" s="5"/>
      <c r="R6781" s="5"/>
      <c r="S6781" s="5"/>
      <c r="T6781" s="5"/>
      <c r="U6781" s="5"/>
      <c r="V6781" s="5"/>
      <c r="W6781" s="5"/>
      <c r="X6781" s="5"/>
      <c r="Y6781" s="5"/>
      <c r="Z6781" s="5"/>
    </row>
    <row r="6782" spans="1:26" ht="15" x14ac:dyDescent="0.25">
      <c r="A6782" s="4" t="s">
        <v>6780</v>
      </c>
      <c r="B6782" s="4" t="s">
        <v>4550</v>
      </c>
      <c r="C6782" s="2" t="str">
        <f ca="1">IFERROR(__xludf.DUMMYFUNCTION("GOOGLETRANSLATE(A6782,""bn"",""en"")"),"I attended the meeting")</f>
        <v>I attended the meeting</v>
      </c>
      <c r="D6782" s="5"/>
      <c r="E6782" s="5"/>
      <c r="F6782" s="5"/>
      <c r="G6782" s="5"/>
      <c r="H6782" s="5"/>
      <c r="I6782" s="5"/>
      <c r="J6782" s="5"/>
      <c r="K6782" s="5"/>
      <c r="L6782" s="5"/>
      <c r="M6782" s="5"/>
      <c r="N6782" s="5"/>
      <c r="O6782" s="5"/>
      <c r="P6782" s="5"/>
      <c r="Q6782" s="5"/>
      <c r="R6782" s="5"/>
      <c r="S6782" s="5"/>
      <c r="T6782" s="5"/>
      <c r="U6782" s="5"/>
      <c r="V6782" s="5"/>
      <c r="W6782" s="5"/>
      <c r="X6782" s="5"/>
      <c r="Y6782" s="5"/>
      <c r="Z6782" s="5"/>
    </row>
    <row r="6783" spans="1:26" ht="15" x14ac:dyDescent="0.25">
      <c r="A6783" s="4" t="s">
        <v>6781</v>
      </c>
      <c r="B6783" s="4" t="s">
        <v>4550</v>
      </c>
      <c r="C6783" s="2" t="str">
        <f ca="1">IFERROR(__xludf.DUMMYFUNCTION("GOOGLETRANSLATE(A6783,""bn"",""en"")"),"I bought a mobile phone")</f>
        <v>I bought a mobile phone</v>
      </c>
      <c r="D6783" s="5"/>
      <c r="E6783" s="5"/>
      <c r="F6783" s="5"/>
      <c r="G6783" s="5"/>
      <c r="H6783" s="5"/>
      <c r="I6783" s="5"/>
      <c r="J6783" s="5"/>
      <c r="K6783" s="5"/>
      <c r="L6783" s="5"/>
      <c r="M6783" s="5"/>
      <c r="N6783" s="5"/>
      <c r="O6783" s="5"/>
      <c r="P6783" s="5"/>
      <c r="Q6783" s="5"/>
      <c r="R6783" s="5"/>
      <c r="S6783" s="5"/>
      <c r="T6783" s="5"/>
      <c r="U6783" s="5"/>
      <c r="V6783" s="5"/>
      <c r="W6783" s="5"/>
      <c r="X6783" s="5"/>
      <c r="Y6783" s="5"/>
      <c r="Z6783" s="5"/>
    </row>
    <row r="6784" spans="1:26" ht="15" x14ac:dyDescent="0.25">
      <c r="A6784" s="4" t="s">
        <v>6782</v>
      </c>
      <c r="B6784" s="4" t="s">
        <v>4550</v>
      </c>
      <c r="C6784" s="2" t="str">
        <f ca="1">IFERROR(__xludf.DUMMYFUNCTION("GOOGLETRANSLATE(A6784,""bn"",""en"")"),"I was working in banking")</f>
        <v>I was working in banking</v>
      </c>
      <c r="D6784" s="5"/>
      <c r="E6784" s="5"/>
      <c r="F6784" s="5"/>
      <c r="G6784" s="5"/>
      <c r="H6784" s="5"/>
      <c r="I6784" s="5"/>
      <c r="J6784" s="5"/>
      <c r="K6784" s="5"/>
      <c r="L6784" s="5"/>
      <c r="M6784" s="5"/>
      <c r="N6784" s="5"/>
      <c r="O6784" s="5"/>
      <c r="P6784" s="5"/>
      <c r="Q6784" s="5"/>
      <c r="R6784" s="5"/>
      <c r="S6784" s="5"/>
      <c r="T6784" s="5"/>
      <c r="U6784" s="5"/>
      <c r="V6784" s="5"/>
      <c r="W6784" s="5"/>
      <c r="X6784" s="5"/>
      <c r="Y6784" s="5"/>
      <c r="Z6784" s="5"/>
    </row>
    <row r="6785" spans="1:26" ht="15" x14ac:dyDescent="0.25">
      <c r="A6785" s="4" t="s">
        <v>6783</v>
      </c>
      <c r="B6785" s="4" t="s">
        <v>4550</v>
      </c>
      <c r="C6785" s="2" t="str">
        <f ca="1">IFERROR(__xludf.DUMMYFUNCTION("GOOGLETRANSLATE(A6785,""bn"",""en"")"),"The teachers were working hard")</f>
        <v>The teachers were working hard</v>
      </c>
      <c r="D6785" s="5"/>
      <c r="E6785" s="5"/>
      <c r="F6785" s="5"/>
      <c r="G6785" s="5"/>
      <c r="H6785" s="5"/>
      <c r="I6785" s="5"/>
      <c r="J6785" s="5"/>
      <c r="K6785" s="5"/>
      <c r="L6785" s="5"/>
      <c r="M6785" s="5"/>
      <c r="N6785" s="5"/>
      <c r="O6785" s="5"/>
      <c r="P6785" s="5"/>
      <c r="Q6785" s="5"/>
      <c r="R6785" s="5"/>
      <c r="S6785" s="5"/>
      <c r="T6785" s="5"/>
      <c r="U6785" s="5"/>
      <c r="V6785" s="5"/>
      <c r="W6785" s="5"/>
      <c r="X6785" s="5"/>
      <c r="Y6785" s="5"/>
      <c r="Z6785" s="5"/>
    </row>
    <row r="6786" spans="1:26" ht="15" x14ac:dyDescent="0.25">
      <c r="A6786" s="4" t="s">
        <v>6784</v>
      </c>
      <c r="B6786" s="4" t="s">
        <v>4550</v>
      </c>
      <c r="C6786" s="2" t="str">
        <f ca="1">IFERROR(__xludf.DUMMYFUNCTION("GOOGLETRANSLATE(A6786,""bn"",""en"")"),"I used hub")</f>
        <v>I used hub</v>
      </c>
      <c r="D6786" s="5"/>
      <c r="E6786" s="5"/>
      <c r="F6786" s="5"/>
      <c r="G6786" s="5"/>
      <c r="H6786" s="5"/>
      <c r="I6786" s="5"/>
      <c r="J6786" s="5"/>
      <c r="K6786" s="5"/>
      <c r="L6786" s="5"/>
      <c r="M6786" s="5"/>
      <c r="N6786" s="5"/>
      <c r="O6786" s="5"/>
      <c r="P6786" s="5"/>
      <c r="Q6786" s="5"/>
      <c r="R6786" s="5"/>
      <c r="S6786" s="5"/>
      <c r="T6786" s="5"/>
      <c r="U6786" s="5"/>
      <c r="V6786" s="5"/>
      <c r="W6786" s="5"/>
      <c r="X6786" s="5"/>
      <c r="Y6786" s="5"/>
      <c r="Z6786" s="5"/>
    </row>
    <row r="6787" spans="1:26" ht="15" x14ac:dyDescent="0.25">
      <c r="A6787" s="4" t="s">
        <v>6785</v>
      </c>
      <c r="B6787" s="4" t="s">
        <v>4550</v>
      </c>
      <c r="C6787" s="2" t="str">
        <f ca="1">IFERROR(__xludf.DUMMYFUNCTION("GOOGLETRANSLATE(A6787,""bn"",""en"")"),"I created the website")</f>
        <v>I created the website</v>
      </c>
      <c r="D6787" s="5"/>
      <c r="E6787" s="5"/>
      <c r="F6787" s="5"/>
      <c r="G6787" s="5"/>
      <c r="H6787" s="5"/>
      <c r="I6787" s="5"/>
      <c r="J6787" s="5"/>
      <c r="K6787" s="5"/>
      <c r="L6787" s="5"/>
      <c r="M6787" s="5"/>
      <c r="N6787" s="5"/>
      <c r="O6787" s="5"/>
      <c r="P6787" s="5"/>
      <c r="Q6787" s="5"/>
      <c r="R6787" s="5"/>
      <c r="S6787" s="5"/>
      <c r="T6787" s="5"/>
      <c r="U6787" s="5"/>
      <c r="V6787" s="5"/>
      <c r="W6787" s="5"/>
      <c r="X6787" s="5"/>
      <c r="Y6787" s="5"/>
      <c r="Z6787" s="5"/>
    </row>
    <row r="6788" spans="1:26" ht="15" x14ac:dyDescent="0.25">
      <c r="A6788" s="4" t="s">
        <v>6786</v>
      </c>
      <c r="B6788" s="4" t="s">
        <v>4550</v>
      </c>
      <c r="C6788" s="2" t="str">
        <f ca="1">IFERROR(__xludf.DUMMYFUNCTION("GOOGLETRANSLATE(A6788,""bn"",""en"")"),"The diagnosis is made")</f>
        <v>The diagnosis is made</v>
      </c>
      <c r="D6788" s="5"/>
      <c r="E6788" s="5"/>
      <c r="F6788" s="5"/>
      <c r="G6788" s="5"/>
      <c r="H6788" s="5"/>
      <c r="I6788" s="5"/>
      <c r="J6788" s="5"/>
      <c r="K6788" s="5"/>
      <c r="L6788" s="5"/>
      <c r="M6788" s="5"/>
      <c r="N6788" s="5"/>
      <c r="O6788" s="5"/>
      <c r="P6788" s="5"/>
      <c r="Q6788" s="5"/>
      <c r="R6788" s="5"/>
      <c r="S6788" s="5"/>
      <c r="T6788" s="5"/>
      <c r="U6788" s="5"/>
      <c r="V6788" s="5"/>
      <c r="W6788" s="5"/>
      <c r="X6788" s="5"/>
      <c r="Y6788" s="5"/>
      <c r="Z6788" s="5"/>
    </row>
    <row r="6789" spans="1:26" ht="15" x14ac:dyDescent="0.25">
      <c r="A6789" s="4" t="s">
        <v>6787</v>
      </c>
      <c r="B6789" s="4" t="s">
        <v>4550</v>
      </c>
      <c r="C6789" s="2" t="str">
        <f ca="1">IFERROR(__xludf.DUMMYFUNCTION("GOOGLETRANSLATE(A6789,""bn"",""en"")"),"I watched the game on the laptop")</f>
        <v>I watched the game on the laptop</v>
      </c>
      <c r="D6789" s="5"/>
      <c r="E6789" s="5"/>
      <c r="F6789" s="5"/>
      <c r="G6789" s="5"/>
      <c r="H6789" s="5"/>
      <c r="I6789" s="5"/>
      <c r="J6789" s="5"/>
      <c r="K6789" s="5"/>
      <c r="L6789" s="5"/>
      <c r="M6789" s="5"/>
      <c r="N6789" s="5"/>
      <c r="O6789" s="5"/>
      <c r="P6789" s="5"/>
      <c r="Q6789" s="5"/>
      <c r="R6789" s="5"/>
      <c r="S6789" s="5"/>
      <c r="T6789" s="5"/>
      <c r="U6789" s="5"/>
      <c r="V6789" s="5"/>
      <c r="W6789" s="5"/>
      <c r="X6789" s="5"/>
      <c r="Y6789" s="5"/>
      <c r="Z6789" s="5"/>
    </row>
    <row r="6790" spans="1:26" ht="15" x14ac:dyDescent="0.25">
      <c r="A6790" s="4" t="s">
        <v>6788</v>
      </c>
      <c r="B6790" s="4" t="s">
        <v>4550</v>
      </c>
      <c r="C6790" s="2" t="str">
        <f ca="1">IFERROR(__xludf.DUMMYFUNCTION("GOOGLETRANSLATE(A6790,""bn"",""en"")"),"The bank gave the facility")</f>
        <v>The bank gave the facility</v>
      </c>
      <c r="D6790" s="5"/>
      <c r="E6790" s="5"/>
      <c r="F6790" s="5"/>
      <c r="G6790" s="5"/>
      <c r="H6790" s="5"/>
      <c r="I6790" s="5"/>
      <c r="J6790" s="5"/>
      <c r="K6790" s="5"/>
      <c r="L6790" s="5"/>
      <c r="M6790" s="5"/>
      <c r="N6790" s="5"/>
      <c r="O6790" s="5"/>
      <c r="P6790" s="5"/>
      <c r="Q6790" s="5"/>
      <c r="R6790" s="5"/>
      <c r="S6790" s="5"/>
      <c r="T6790" s="5"/>
      <c r="U6790" s="5"/>
      <c r="V6790" s="5"/>
      <c r="W6790" s="5"/>
      <c r="X6790" s="5"/>
      <c r="Y6790" s="5"/>
      <c r="Z6790" s="5"/>
    </row>
    <row r="6791" spans="1:26" ht="15" x14ac:dyDescent="0.25">
      <c r="A6791" s="4" t="s">
        <v>6789</v>
      </c>
      <c r="B6791" s="4" t="s">
        <v>4550</v>
      </c>
      <c r="C6791" s="2" t="str">
        <f ca="1">IFERROR(__xludf.DUMMYFUNCTION("GOOGLETRANSLATE(A6791,""bn"",""en"")"),"Commercial momentum was increasing")</f>
        <v>Commercial momentum was increasing</v>
      </c>
      <c r="D6791" s="5"/>
      <c r="E6791" s="5"/>
      <c r="F6791" s="5"/>
      <c r="G6791" s="5"/>
      <c r="H6791" s="5"/>
      <c r="I6791" s="5"/>
      <c r="J6791" s="5"/>
      <c r="K6791" s="5"/>
      <c r="L6791" s="5"/>
      <c r="M6791" s="5"/>
      <c r="N6791" s="5"/>
      <c r="O6791" s="5"/>
      <c r="P6791" s="5"/>
      <c r="Q6791" s="5"/>
      <c r="R6791" s="5"/>
      <c r="S6791" s="5"/>
      <c r="T6791" s="5"/>
      <c r="U6791" s="5"/>
      <c r="V6791" s="5"/>
      <c r="W6791" s="5"/>
      <c r="X6791" s="5"/>
      <c r="Y6791" s="5"/>
      <c r="Z6791" s="5"/>
    </row>
    <row r="6792" spans="1:26" ht="15" x14ac:dyDescent="0.25">
      <c r="A6792" s="4" t="s">
        <v>6790</v>
      </c>
      <c r="B6792" s="4" t="s">
        <v>4550</v>
      </c>
      <c r="C6792" s="2" t="str">
        <f ca="1">IFERROR(__xludf.DUMMYFUNCTION("GOOGLETRANSLATE(A6792,""bn"",""en"")"),"I used apps")</f>
        <v>I used apps</v>
      </c>
      <c r="D6792" s="5"/>
      <c r="E6792" s="5"/>
      <c r="F6792" s="5"/>
      <c r="G6792" s="5"/>
      <c r="H6792" s="5"/>
      <c r="I6792" s="5"/>
      <c r="J6792" s="5"/>
      <c r="K6792" s="5"/>
      <c r="L6792" s="5"/>
      <c r="M6792" s="5"/>
      <c r="N6792" s="5"/>
      <c r="O6792" s="5"/>
      <c r="P6792" s="5"/>
      <c r="Q6792" s="5"/>
      <c r="R6792" s="5"/>
      <c r="S6792" s="5"/>
      <c r="T6792" s="5"/>
      <c r="U6792" s="5"/>
      <c r="V6792" s="5"/>
      <c r="W6792" s="5"/>
      <c r="X6792" s="5"/>
      <c r="Y6792" s="5"/>
      <c r="Z6792" s="5"/>
    </row>
    <row r="6793" spans="1:26" ht="15" x14ac:dyDescent="0.25">
      <c r="A6793" s="4" t="s">
        <v>6791</v>
      </c>
      <c r="B6793" s="4" t="s">
        <v>4550</v>
      </c>
      <c r="C6793" s="2" t="str">
        <f ca="1">IFERROR(__xludf.DUMMYFUNCTION("GOOGLETRANSLATE(A6793,""bn"",""en"")"),"I was designing the database")</f>
        <v>I was designing the database</v>
      </c>
      <c r="D6793" s="5"/>
      <c r="E6793" s="5"/>
      <c r="F6793" s="5"/>
      <c r="G6793" s="5"/>
      <c r="H6793" s="5"/>
      <c r="I6793" s="5"/>
      <c r="J6793" s="5"/>
      <c r="K6793" s="5"/>
      <c r="L6793" s="5"/>
      <c r="M6793" s="5"/>
      <c r="N6793" s="5"/>
      <c r="O6793" s="5"/>
      <c r="P6793" s="5"/>
      <c r="Q6793" s="5"/>
      <c r="R6793" s="5"/>
      <c r="S6793" s="5"/>
      <c r="T6793" s="5"/>
      <c r="U6793" s="5"/>
      <c r="V6793" s="5"/>
      <c r="W6793" s="5"/>
      <c r="X6793" s="5"/>
      <c r="Y6793" s="5"/>
      <c r="Z6793" s="5"/>
    </row>
    <row r="6794" spans="1:26" ht="15" x14ac:dyDescent="0.25">
      <c r="A6794" s="4" t="s">
        <v>6792</v>
      </c>
      <c r="B6794" s="4" t="s">
        <v>4550</v>
      </c>
      <c r="C6794" s="2" t="str">
        <f ca="1">IFERROR(__xludf.DUMMYFUNCTION("GOOGLETRANSLATE(A6794,""bn"",""en"")"),"Had food on time")</f>
        <v>Had food on time</v>
      </c>
      <c r="D6794" s="5"/>
      <c r="E6794" s="5"/>
      <c r="F6794" s="5"/>
      <c r="G6794" s="5"/>
      <c r="H6794" s="5"/>
      <c r="I6794" s="5"/>
      <c r="J6794" s="5"/>
      <c r="K6794" s="5"/>
      <c r="L6794" s="5"/>
      <c r="M6794" s="5"/>
      <c r="N6794" s="5"/>
      <c r="O6794" s="5"/>
      <c r="P6794" s="5"/>
      <c r="Q6794" s="5"/>
      <c r="R6794" s="5"/>
      <c r="S6794" s="5"/>
      <c r="T6794" s="5"/>
      <c r="U6794" s="5"/>
      <c r="V6794" s="5"/>
      <c r="W6794" s="5"/>
      <c r="X6794" s="5"/>
      <c r="Y6794" s="5"/>
      <c r="Z6794" s="5"/>
    </row>
    <row r="6795" spans="1:26" ht="15" x14ac:dyDescent="0.25">
      <c r="A6795" s="4" t="s">
        <v>6793</v>
      </c>
      <c r="B6795" s="4" t="s">
        <v>4550</v>
      </c>
      <c r="C6795" s="2" t="str">
        <f ca="1">IFERROR(__xludf.DUMMYFUNCTION("GOOGLETRANSLATE(A6795,""bn"",""en"")"),"I prepared the research")</f>
        <v>I prepared the research</v>
      </c>
      <c r="D6795" s="5"/>
      <c r="E6795" s="5"/>
      <c r="F6795" s="5"/>
      <c r="G6795" s="5"/>
      <c r="H6795" s="5"/>
      <c r="I6795" s="5"/>
      <c r="J6795" s="5"/>
      <c r="K6795" s="5"/>
      <c r="L6795" s="5"/>
      <c r="M6795" s="5"/>
      <c r="N6795" s="5"/>
      <c r="O6795" s="5"/>
      <c r="P6795" s="5"/>
      <c r="Q6795" s="5"/>
      <c r="R6795" s="5"/>
      <c r="S6795" s="5"/>
      <c r="T6795" s="5"/>
      <c r="U6795" s="5"/>
      <c r="V6795" s="5"/>
      <c r="W6795" s="5"/>
      <c r="X6795" s="5"/>
      <c r="Y6795" s="5"/>
      <c r="Z6795" s="5"/>
    </row>
    <row r="6796" spans="1:26" ht="15" x14ac:dyDescent="0.25">
      <c r="A6796" s="4" t="s">
        <v>6794</v>
      </c>
      <c r="B6796" s="4" t="s">
        <v>4550</v>
      </c>
      <c r="C6796" s="2" t="str">
        <f ca="1">IFERROR(__xludf.DUMMYFUNCTION("GOOGLETRANSLATE(A6796,""bn"",""en"")"),"Went to Hajj")</f>
        <v>Went to Hajj</v>
      </c>
      <c r="D6796" s="5"/>
      <c r="E6796" s="5"/>
      <c r="F6796" s="5"/>
      <c r="G6796" s="5"/>
      <c r="H6796" s="5"/>
      <c r="I6796" s="5"/>
      <c r="J6796" s="5"/>
      <c r="K6796" s="5"/>
      <c r="L6796" s="5"/>
      <c r="M6796" s="5"/>
      <c r="N6796" s="5"/>
      <c r="O6796" s="5"/>
      <c r="P6796" s="5"/>
      <c r="Q6796" s="5"/>
      <c r="R6796" s="5"/>
      <c r="S6796" s="5"/>
      <c r="T6796" s="5"/>
      <c r="U6796" s="5"/>
      <c r="V6796" s="5"/>
      <c r="W6796" s="5"/>
      <c r="X6796" s="5"/>
      <c r="Y6796" s="5"/>
      <c r="Z6796" s="5"/>
    </row>
    <row r="6797" spans="1:26" ht="15" x14ac:dyDescent="0.25">
      <c r="A6797" s="4" t="s">
        <v>6795</v>
      </c>
      <c r="B6797" s="4" t="s">
        <v>4550</v>
      </c>
      <c r="C6797" s="2" t="str">
        <f ca="1">IFERROR(__xludf.DUMMYFUNCTION("GOOGLETRANSLATE(A6797,""bn"",""en"")"),"Ribosomes were low")</f>
        <v>Ribosomes were low</v>
      </c>
      <c r="D6797" s="5"/>
      <c r="E6797" s="5"/>
      <c r="F6797" s="5"/>
      <c r="G6797" s="5"/>
      <c r="H6797" s="5"/>
      <c r="I6797" s="5"/>
      <c r="J6797" s="5"/>
      <c r="K6797" s="5"/>
      <c r="L6797" s="5"/>
      <c r="M6797" s="5"/>
      <c r="N6797" s="5"/>
      <c r="O6797" s="5"/>
      <c r="P6797" s="5"/>
      <c r="Q6797" s="5"/>
      <c r="R6797" s="5"/>
      <c r="S6797" s="5"/>
      <c r="T6797" s="5"/>
      <c r="U6797" s="5"/>
      <c r="V6797" s="5"/>
      <c r="W6797" s="5"/>
      <c r="X6797" s="5"/>
      <c r="Y6797" s="5"/>
      <c r="Z6797" s="5"/>
    </row>
    <row r="6798" spans="1:26" ht="15" x14ac:dyDescent="0.25">
      <c r="A6798" s="4" t="s">
        <v>6796</v>
      </c>
      <c r="B6798" s="4" t="s">
        <v>4550</v>
      </c>
      <c r="C6798" s="2" t="str">
        <f ca="1">IFERROR(__xludf.DUMMYFUNCTION("GOOGLETRANSLATE(A6798,""bn"",""en"")"),"I heard the story on the mobile phone")</f>
        <v>I heard the story on the mobile phone</v>
      </c>
      <c r="D6798" s="5"/>
      <c r="E6798" s="5"/>
      <c r="F6798" s="5"/>
      <c r="G6798" s="5"/>
      <c r="H6798" s="5"/>
      <c r="I6798" s="5"/>
      <c r="J6798" s="5"/>
      <c r="K6798" s="5"/>
      <c r="L6798" s="5"/>
      <c r="M6798" s="5"/>
      <c r="N6798" s="5"/>
      <c r="O6798" s="5"/>
      <c r="P6798" s="5"/>
      <c r="Q6798" s="5"/>
      <c r="R6798" s="5"/>
      <c r="S6798" s="5"/>
      <c r="T6798" s="5"/>
      <c r="U6798" s="5"/>
      <c r="V6798" s="5"/>
      <c r="W6798" s="5"/>
      <c r="X6798" s="5"/>
      <c r="Y6798" s="5"/>
      <c r="Z6798" s="5"/>
    </row>
    <row r="6799" spans="1:26" ht="15" x14ac:dyDescent="0.25">
      <c r="A6799" s="4" t="s">
        <v>6797</v>
      </c>
      <c r="B6799" s="4" t="s">
        <v>4550</v>
      </c>
      <c r="C6799" s="2" t="str">
        <f ca="1">IFERROR(__xludf.DUMMYFUNCTION("GOOGLETRANSLATE(A6799,""bn"",""en"")"),"I was earning money")</f>
        <v>I was earning money</v>
      </c>
      <c r="D6799" s="5"/>
      <c r="E6799" s="5"/>
      <c r="F6799" s="5"/>
      <c r="G6799" s="5"/>
      <c r="H6799" s="5"/>
      <c r="I6799" s="5"/>
      <c r="J6799" s="5"/>
      <c r="K6799" s="5"/>
      <c r="L6799" s="5"/>
      <c r="M6799" s="5"/>
      <c r="N6799" s="5"/>
      <c r="O6799" s="5"/>
      <c r="P6799" s="5"/>
      <c r="Q6799" s="5"/>
      <c r="R6799" s="5"/>
      <c r="S6799" s="5"/>
      <c r="T6799" s="5"/>
      <c r="U6799" s="5"/>
      <c r="V6799" s="5"/>
      <c r="W6799" s="5"/>
      <c r="X6799" s="5"/>
      <c r="Y6799" s="5"/>
      <c r="Z6799" s="5"/>
    </row>
    <row r="6800" spans="1:26" ht="15" x14ac:dyDescent="0.25">
      <c r="A6800" s="4" t="s">
        <v>6798</v>
      </c>
      <c r="B6800" s="4" t="s">
        <v>4550</v>
      </c>
      <c r="C6800" s="2" t="str">
        <f ca="1">IFERROR(__xludf.DUMMYFUNCTION("GOOGLETRANSLATE(A6800,""bn"",""en"")"),"I learned numbers")</f>
        <v>I learned numbers</v>
      </c>
      <c r="D6800" s="5"/>
      <c r="E6800" s="5"/>
      <c r="F6800" s="5"/>
      <c r="G6800" s="5"/>
      <c r="H6800" s="5"/>
      <c r="I6800" s="5"/>
      <c r="J6800" s="5"/>
      <c r="K6800" s="5"/>
      <c r="L6800" s="5"/>
      <c r="M6800" s="5"/>
      <c r="N6800" s="5"/>
      <c r="O6800" s="5"/>
      <c r="P6800" s="5"/>
      <c r="Q6800" s="5"/>
      <c r="R6800" s="5"/>
      <c r="S6800" s="5"/>
      <c r="T6800" s="5"/>
      <c r="U6800" s="5"/>
      <c r="V6800" s="5"/>
      <c r="W6800" s="5"/>
      <c r="X6800" s="5"/>
      <c r="Y6800" s="5"/>
      <c r="Z6800" s="5"/>
    </row>
    <row r="6801" spans="1:26" ht="15" x14ac:dyDescent="0.25">
      <c r="A6801" s="4" t="s">
        <v>6799</v>
      </c>
      <c r="B6801" s="4" t="s">
        <v>4550</v>
      </c>
      <c r="C6801" s="2" t="str">
        <f ca="1">IFERROR(__xludf.DUMMYFUNCTION("GOOGLETRANSLATE(A6801,""bn"",""en"")"),"I accepted the bank service")</f>
        <v>I accepted the bank service</v>
      </c>
      <c r="D6801" s="5"/>
      <c r="E6801" s="5"/>
      <c r="F6801" s="5"/>
      <c r="G6801" s="5"/>
      <c r="H6801" s="5"/>
      <c r="I6801" s="5"/>
      <c r="J6801" s="5"/>
      <c r="K6801" s="5"/>
      <c r="L6801" s="5"/>
      <c r="M6801" s="5"/>
      <c r="N6801" s="5"/>
      <c r="O6801" s="5"/>
      <c r="P6801" s="5"/>
      <c r="Q6801" s="5"/>
      <c r="R6801" s="5"/>
      <c r="S6801" s="5"/>
      <c r="T6801" s="5"/>
      <c r="U6801" s="5"/>
      <c r="V6801" s="5"/>
      <c r="W6801" s="5"/>
      <c r="X6801" s="5"/>
      <c r="Y6801" s="5"/>
      <c r="Z6801" s="5"/>
    </row>
    <row r="6802" spans="1:26" ht="15" x14ac:dyDescent="0.25">
      <c r="A6802" s="4" t="s">
        <v>6800</v>
      </c>
      <c r="B6802" s="4" t="s">
        <v>4550</v>
      </c>
      <c r="C6802" s="2" t="str">
        <f ca="1">IFERROR(__xludf.DUMMYFUNCTION("GOOGLETRANSLATE(A6802,""bn"",""en"")"),"I always wandered")</f>
        <v>I always wandered</v>
      </c>
      <c r="D6802" s="5"/>
      <c r="E6802" s="5"/>
      <c r="F6802" s="5"/>
      <c r="G6802" s="5"/>
      <c r="H6802" s="5"/>
      <c r="I6802" s="5"/>
      <c r="J6802" s="5"/>
      <c r="K6802" s="5"/>
      <c r="L6802" s="5"/>
      <c r="M6802" s="5"/>
      <c r="N6802" s="5"/>
      <c r="O6802" s="5"/>
      <c r="P6802" s="5"/>
      <c r="Q6802" s="5"/>
      <c r="R6802" s="5"/>
      <c r="S6802" s="5"/>
      <c r="T6802" s="5"/>
      <c r="U6802" s="5"/>
      <c r="V6802" s="5"/>
      <c r="W6802" s="5"/>
      <c r="X6802" s="5"/>
      <c r="Y6802" s="5"/>
      <c r="Z6802" s="5"/>
    </row>
    <row r="6803" spans="1:26" ht="15" x14ac:dyDescent="0.25">
      <c r="A6803" s="4" t="s">
        <v>6801</v>
      </c>
      <c r="B6803" s="4" t="s">
        <v>4550</v>
      </c>
      <c r="C6803" s="2" t="str">
        <f ca="1">IFERROR(__xludf.DUMMYFUNCTION("GOOGLETRANSLATE(A6803,""bn"",""en"")"),"The teachers worked hard")</f>
        <v>The teachers worked hard</v>
      </c>
      <c r="D6803" s="5"/>
      <c r="E6803" s="5"/>
      <c r="F6803" s="5"/>
      <c r="G6803" s="5"/>
      <c r="H6803" s="5"/>
      <c r="I6803" s="5"/>
      <c r="J6803" s="5"/>
      <c r="K6803" s="5"/>
      <c r="L6803" s="5"/>
      <c r="M6803" s="5"/>
      <c r="N6803" s="5"/>
      <c r="O6803" s="5"/>
      <c r="P6803" s="5"/>
      <c r="Q6803" s="5"/>
      <c r="R6803" s="5"/>
      <c r="S6803" s="5"/>
      <c r="T6803" s="5"/>
      <c r="U6803" s="5"/>
      <c r="V6803" s="5"/>
      <c r="W6803" s="5"/>
      <c r="X6803" s="5"/>
      <c r="Y6803" s="5"/>
      <c r="Z6803" s="5"/>
    </row>
    <row r="6804" spans="1:26" ht="15" x14ac:dyDescent="0.25">
      <c r="A6804" s="4" t="s">
        <v>6802</v>
      </c>
      <c r="B6804" s="4" t="s">
        <v>4550</v>
      </c>
      <c r="C6804" s="2" t="str">
        <f ca="1">IFERROR(__xludf.DUMMYFUNCTION("GOOGLETRANSLATE(A6804,""bn"",""en"")"),"I was watching the game regularly")</f>
        <v>I was watching the game regularly</v>
      </c>
      <c r="D6804" s="5"/>
      <c r="E6804" s="5"/>
      <c r="F6804" s="5"/>
      <c r="G6804" s="5"/>
      <c r="H6804" s="5"/>
      <c r="I6804" s="5"/>
      <c r="J6804" s="5"/>
      <c r="K6804" s="5"/>
      <c r="L6804" s="5"/>
      <c r="M6804" s="5"/>
      <c r="N6804" s="5"/>
      <c r="O6804" s="5"/>
      <c r="P6804" s="5"/>
      <c r="Q6804" s="5"/>
      <c r="R6804" s="5"/>
      <c r="S6804" s="5"/>
      <c r="T6804" s="5"/>
      <c r="U6804" s="5"/>
      <c r="V6804" s="5"/>
      <c r="W6804" s="5"/>
      <c r="X6804" s="5"/>
      <c r="Y6804" s="5"/>
      <c r="Z6804" s="5"/>
    </row>
    <row r="6805" spans="1:26" ht="15" x14ac:dyDescent="0.25">
      <c r="A6805" s="4" t="s">
        <v>6803</v>
      </c>
      <c r="B6805" s="4" t="s">
        <v>4550</v>
      </c>
      <c r="C6805" s="2" t="str">
        <f ca="1">IFERROR(__xludf.DUMMYFUNCTION("GOOGLETRANSLATE(A6805,""bn"",""en"")"),"Wisdom grows in travel")</f>
        <v>Wisdom grows in travel</v>
      </c>
      <c r="D6805" s="5"/>
      <c r="E6805" s="5"/>
      <c r="F6805" s="5"/>
      <c r="G6805" s="5"/>
      <c r="H6805" s="5"/>
      <c r="I6805" s="5"/>
      <c r="J6805" s="5"/>
      <c r="K6805" s="5"/>
      <c r="L6805" s="5"/>
      <c r="M6805" s="5"/>
      <c r="N6805" s="5"/>
      <c r="O6805" s="5"/>
      <c r="P6805" s="5"/>
      <c r="Q6805" s="5"/>
      <c r="R6805" s="5"/>
      <c r="S6805" s="5"/>
      <c r="T6805" s="5"/>
      <c r="U6805" s="5"/>
      <c r="V6805" s="5"/>
      <c r="W6805" s="5"/>
      <c r="X6805" s="5"/>
      <c r="Y6805" s="5"/>
      <c r="Z6805" s="5"/>
    </row>
    <row r="6806" spans="1:26" ht="15" x14ac:dyDescent="0.25">
      <c r="A6806" s="4" t="s">
        <v>6804</v>
      </c>
      <c r="B6806" s="4" t="s">
        <v>4550</v>
      </c>
      <c r="C6806" s="2" t="str">
        <f ca="1">IFERROR(__xludf.DUMMYFUNCTION("GOOGLETRANSLATE(A6806,""bn"",""en"")"),"I was reading the news")</f>
        <v>I was reading the news</v>
      </c>
      <c r="D6806" s="5"/>
      <c r="E6806" s="5"/>
      <c r="F6806" s="5"/>
      <c r="G6806" s="5"/>
      <c r="H6806" s="5"/>
      <c r="I6806" s="5"/>
      <c r="J6806" s="5"/>
      <c r="K6806" s="5"/>
      <c r="L6806" s="5"/>
      <c r="M6806" s="5"/>
      <c r="N6806" s="5"/>
      <c r="O6806" s="5"/>
      <c r="P6806" s="5"/>
      <c r="Q6806" s="5"/>
      <c r="R6806" s="5"/>
      <c r="S6806" s="5"/>
      <c r="T6806" s="5"/>
      <c r="U6806" s="5"/>
      <c r="V6806" s="5"/>
      <c r="W6806" s="5"/>
      <c r="X6806" s="5"/>
      <c r="Y6806" s="5"/>
      <c r="Z6806" s="5"/>
    </row>
    <row r="6807" spans="1:26" ht="15" x14ac:dyDescent="0.25">
      <c r="A6807" s="4" t="s">
        <v>6805</v>
      </c>
      <c r="B6807" s="4" t="s">
        <v>4550</v>
      </c>
      <c r="C6807" s="2" t="str">
        <f ca="1">IFERROR(__xludf.DUMMYFUNCTION("GOOGLETRANSLATE(A6807,""bn"",""en"")"),"I took loan approval")</f>
        <v>I took loan approval</v>
      </c>
      <c r="D6807" s="5"/>
      <c r="E6807" s="5"/>
      <c r="F6807" s="5"/>
      <c r="G6807" s="5"/>
      <c r="H6807" s="5"/>
      <c r="I6807" s="5"/>
      <c r="J6807" s="5"/>
      <c r="K6807" s="5"/>
      <c r="L6807" s="5"/>
      <c r="M6807" s="5"/>
      <c r="N6807" s="5"/>
      <c r="O6807" s="5"/>
      <c r="P6807" s="5"/>
      <c r="Q6807" s="5"/>
      <c r="R6807" s="5"/>
      <c r="S6807" s="5"/>
      <c r="T6807" s="5"/>
      <c r="U6807" s="5"/>
      <c r="V6807" s="5"/>
      <c r="W6807" s="5"/>
      <c r="X6807" s="5"/>
      <c r="Y6807" s="5"/>
      <c r="Z6807" s="5"/>
    </row>
    <row r="6808" spans="1:26" ht="15" x14ac:dyDescent="0.25">
      <c r="A6808" s="4" t="s">
        <v>6806</v>
      </c>
      <c r="B6808" s="4" t="s">
        <v>4550</v>
      </c>
      <c r="C6808" s="2" t="str">
        <f ca="1">IFERROR(__xludf.DUMMYFUNCTION("GOOGLETRANSLATE(A6808,""bn"",""en"")"),"I updated the account")</f>
        <v>I updated the account</v>
      </c>
      <c r="D6808" s="5"/>
      <c r="E6808" s="5"/>
      <c r="F6808" s="5"/>
      <c r="G6808" s="5"/>
      <c r="H6808" s="5"/>
      <c r="I6808" s="5"/>
      <c r="J6808" s="5"/>
      <c r="K6808" s="5"/>
      <c r="L6808" s="5"/>
      <c r="M6808" s="5"/>
      <c r="N6808" s="5"/>
      <c r="O6808" s="5"/>
      <c r="P6808" s="5"/>
      <c r="Q6808" s="5"/>
      <c r="R6808" s="5"/>
      <c r="S6808" s="5"/>
      <c r="T6808" s="5"/>
      <c r="U6808" s="5"/>
      <c r="V6808" s="5"/>
      <c r="W6808" s="5"/>
      <c r="X6808" s="5"/>
      <c r="Y6808" s="5"/>
      <c r="Z6808" s="5"/>
    </row>
    <row r="6809" spans="1:26" ht="15" x14ac:dyDescent="0.25">
      <c r="A6809" s="4" t="s">
        <v>6807</v>
      </c>
      <c r="B6809" s="4" t="s">
        <v>4550</v>
      </c>
      <c r="C6809" s="2" t="str">
        <f ca="1">IFERROR(__xludf.DUMMYFUNCTION("GOOGLETRANSLATE(A6809,""bn"",""en"")"),"You went to learn history")</f>
        <v>You went to learn history</v>
      </c>
      <c r="D6809" s="5"/>
      <c r="E6809" s="5"/>
      <c r="F6809" s="5"/>
      <c r="G6809" s="5"/>
      <c r="H6809" s="5"/>
      <c r="I6809" s="5"/>
      <c r="J6809" s="5"/>
      <c r="K6809" s="5"/>
      <c r="L6809" s="5"/>
      <c r="M6809" s="5"/>
      <c r="N6809" s="5"/>
      <c r="O6809" s="5"/>
      <c r="P6809" s="5"/>
      <c r="Q6809" s="5"/>
      <c r="R6809" s="5"/>
      <c r="S6809" s="5"/>
      <c r="T6809" s="5"/>
      <c r="U6809" s="5"/>
      <c r="V6809" s="5"/>
      <c r="W6809" s="5"/>
      <c r="X6809" s="5"/>
      <c r="Y6809" s="5"/>
      <c r="Z6809" s="5"/>
    </row>
    <row r="6810" spans="1:26" ht="15" x14ac:dyDescent="0.25">
      <c r="A6810" s="4" t="s">
        <v>6808</v>
      </c>
      <c r="B6810" s="4" t="s">
        <v>4550</v>
      </c>
      <c r="C6810" s="2" t="str">
        <f ca="1">IFERROR(__xludf.DUMMYFUNCTION("GOOGLETRANSLATE(A6810,""bn"",""en"")"),"You read history")</f>
        <v>You read history</v>
      </c>
      <c r="D6810" s="5"/>
      <c r="E6810" s="5"/>
      <c r="F6810" s="5"/>
      <c r="G6810" s="5"/>
      <c r="H6810" s="5"/>
      <c r="I6810" s="5"/>
      <c r="J6810" s="5"/>
      <c r="K6810" s="5"/>
      <c r="L6810" s="5"/>
      <c r="M6810" s="5"/>
      <c r="N6810" s="5"/>
      <c r="O6810" s="5"/>
      <c r="P6810" s="5"/>
      <c r="Q6810" s="5"/>
      <c r="R6810" s="5"/>
      <c r="S6810" s="5"/>
      <c r="T6810" s="5"/>
      <c r="U6810" s="5"/>
      <c r="V6810" s="5"/>
      <c r="W6810" s="5"/>
      <c r="X6810" s="5"/>
      <c r="Y6810" s="5"/>
      <c r="Z6810" s="5"/>
    </row>
    <row r="6811" spans="1:26" ht="15" x14ac:dyDescent="0.25">
      <c r="A6811" s="4" t="s">
        <v>6809</v>
      </c>
      <c r="B6811" s="4" t="s">
        <v>4550</v>
      </c>
      <c r="C6811" s="2" t="str">
        <f ca="1">IFERROR(__xludf.DUMMYFUNCTION("GOOGLETRANSLATE(A6811,""bn"",""en"")"),"I collected books")</f>
        <v>I collected books</v>
      </c>
      <c r="D6811" s="5"/>
      <c r="E6811" s="5"/>
      <c r="F6811" s="5"/>
      <c r="G6811" s="5"/>
      <c r="H6811" s="5"/>
      <c r="I6811" s="5"/>
      <c r="J6811" s="5"/>
      <c r="K6811" s="5"/>
      <c r="L6811" s="5"/>
      <c r="M6811" s="5"/>
      <c r="N6811" s="5"/>
      <c r="O6811" s="5"/>
      <c r="P6811" s="5"/>
      <c r="Q6811" s="5"/>
      <c r="R6811" s="5"/>
      <c r="S6811" s="5"/>
      <c r="T6811" s="5"/>
      <c r="U6811" s="5"/>
      <c r="V6811" s="5"/>
      <c r="W6811" s="5"/>
      <c r="X6811" s="5"/>
      <c r="Y6811" s="5"/>
      <c r="Z6811" s="5"/>
    </row>
    <row r="6812" spans="1:26" ht="15" x14ac:dyDescent="0.25">
      <c r="A6812" s="4" t="s">
        <v>6810</v>
      </c>
      <c r="B6812" s="4" t="s">
        <v>4550</v>
      </c>
      <c r="C6812" s="2" t="str">
        <f ca="1">IFERROR(__xludf.DUMMYFUNCTION("GOOGLETRANSLATE(A6812,""bn"",""en"")"),"Technology use was low")</f>
        <v>Technology use was low</v>
      </c>
      <c r="D6812" s="5"/>
      <c r="E6812" s="5"/>
      <c r="F6812" s="5"/>
      <c r="G6812" s="5"/>
      <c r="H6812" s="5"/>
      <c r="I6812" s="5"/>
      <c r="J6812" s="5"/>
      <c r="K6812" s="5"/>
      <c r="L6812" s="5"/>
      <c r="M6812" s="5"/>
      <c r="N6812" s="5"/>
      <c r="O6812" s="5"/>
      <c r="P6812" s="5"/>
      <c r="Q6812" s="5"/>
      <c r="R6812" s="5"/>
      <c r="S6812" s="5"/>
      <c r="T6812" s="5"/>
      <c r="U6812" s="5"/>
      <c r="V6812" s="5"/>
      <c r="W6812" s="5"/>
      <c r="X6812" s="5"/>
      <c r="Y6812" s="5"/>
      <c r="Z6812" s="5"/>
    </row>
    <row r="6813" spans="1:26" ht="15" x14ac:dyDescent="0.25">
      <c r="A6813" s="4" t="s">
        <v>6811</v>
      </c>
      <c r="B6813" s="4" t="s">
        <v>4550</v>
      </c>
      <c r="C6813" s="2" t="str">
        <f ca="1">IFERROR(__xludf.DUMMYFUNCTION("GOOGLETRANSLATE(A6813,""bn"",""en"")"),"I was trying to learn the subject")</f>
        <v>I was trying to learn the subject</v>
      </c>
      <c r="D6813" s="5"/>
      <c r="E6813" s="5"/>
      <c r="F6813" s="5"/>
      <c r="G6813" s="5"/>
      <c r="H6813" s="5"/>
      <c r="I6813" s="5"/>
      <c r="J6813" s="5"/>
      <c r="K6813" s="5"/>
      <c r="L6813" s="5"/>
      <c r="M6813" s="5"/>
      <c r="N6813" s="5"/>
      <c r="O6813" s="5"/>
      <c r="P6813" s="5"/>
      <c r="Q6813" s="5"/>
      <c r="R6813" s="5"/>
      <c r="S6813" s="5"/>
      <c r="T6813" s="5"/>
      <c r="U6813" s="5"/>
      <c r="V6813" s="5"/>
      <c r="W6813" s="5"/>
      <c r="X6813" s="5"/>
      <c r="Y6813" s="5"/>
      <c r="Z6813" s="5"/>
    </row>
    <row r="6814" spans="1:26" ht="15" x14ac:dyDescent="0.25">
      <c r="A6814" s="4" t="s">
        <v>6812</v>
      </c>
      <c r="B6814" s="4" t="s">
        <v>4550</v>
      </c>
      <c r="C6814" s="2" t="str">
        <f ca="1">IFERROR(__xludf.DUMMYFUNCTION("GOOGLETRANSLATE(A6814,""bn"",""en"")"),"I wanted to buy headphones")</f>
        <v>I wanted to buy headphones</v>
      </c>
      <c r="D6814" s="5"/>
      <c r="E6814" s="5"/>
      <c r="F6814" s="5"/>
      <c r="G6814" s="5"/>
      <c r="H6814" s="5"/>
      <c r="I6814" s="5"/>
      <c r="J6814" s="5"/>
      <c r="K6814" s="5"/>
      <c r="L6814" s="5"/>
      <c r="M6814" s="5"/>
      <c r="N6814" s="5"/>
      <c r="O6814" s="5"/>
      <c r="P6814" s="5"/>
      <c r="Q6814" s="5"/>
      <c r="R6814" s="5"/>
      <c r="S6814" s="5"/>
      <c r="T6814" s="5"/>
      <c r="U6814" s="5"/>
      <c r="V6814" s="5"/>
      <c r="W6814" s="5"/>
      <c r="X6814" s="5"/>
      <c r="Y6814" s="5"/>
      <c r="Z6814" s="5"/>
    </row>
    <row r="6815" spans="1:26" ht="15" x14ac:dyDescent="0.25">
      <c r="A6815" s="4" t="s">
        <v>6813</v>
      </c>
      <c r="B6815" s="4" t="s">
        <v>4550</v>
      </c>
      <c r="C6815" s="2" t="str">
        <f ca="1">IFERROR(__xludf.DUMMYFUNCTION("GOOGLETRANSLATE(A6815,""bn"",""en"")"),"I was using smartphone")</f>
        <v>I was using smartphone</v>
      </c>
      <c r="D6815" s="5"/>
      <c r="E6815" s="5"/>
      <c r="F6815" s="5"/>
      <c r="G6815" s="5"/>
      <c r="H6815" s="5"/>
      <c r="I6815" s="5"/>
      <c r="J6815" s="5"/>
      <c r="K6815" s="5"/>
      <c r="L6815" s="5"/>
      <c r="M6815" s="5"/>
      <c r="N6815" s="5"/>
      <c r="O6815" s="5"/>
      <c r="P6815" s="5"/>
      <c r="Q6815" s="5"/>
      <c r="R6815" s="5"/>
      <c r="S6815" s="5"/>
      <c r="T6815" s="5"/>
      <c r="U6815" s="5"/>
      <c r="V6815" s="5"/>
      <c r="W6815" s="5"/>
      <c r="X6815" s="5"/>
      <c r="Y6815" s="5"/>
      <c r="Z6815" s="5"/>
    </row>
    <row r="6816" spans="1:26" ht="15" x14ac:dyDescent="0.25">
      <c r="A6816" s="4" t="s">
        <v>6814</v>
      </c>
      <c r="B6816" s="4" t="s">
        <v>4550</v>
      </c>
      <c r="C6816" s="2" t="str">
        <f ca="1">IFERROR(__xludf.DUMMYFUNCTION("GOOGLETRANSLATE(A6816,""bn"",""en"")"),"I was using the card")</f>
        <v>I was using the card</v>
      </c>
      <c r="D6816" s="5"/>
      <c r="E6816" s="5"/>
      <c r="F6816" s="5"/>
      <c r="G6816" s="5"/>
      <c r="H6816" s="5"/>
      <c r="I6816" s="5"/>
      <c r="J6816" s="5"/>
      <c r="K6816" s="5"/>
      <c r="L6816" s="5"/>
      <c r="M6816" s="5"/>
      <c r="N6816" s="5"/>
      <c r="O6816" s="5"/>
      <c r="P6816" s="5"/>
      <c r="Q6816" s="5"/>
      <c r="R6816" s="5"/>
      <c r="S6816" s="5"/>
      <c r="T6816" s="5"/>
      <c r="U6816" s="5"/>
      <c r="V6816" s="5"/>
      <c r="W6816" s="5"/>
      <c r="X6816" s="5"/>
      <c r="Y6816" s="5"/>
      <c r="Z6816" s="5"/>
    </row>
    <row r="6817" spans="1:26" ht="15" x14ac:dyDescent="0.25">
      <c r="A6817" s="4" t="s">
        <v>6815</v>
      </c>
      <c r="B6817" s="4" t="s">
        <v>4550</v>
      </c>
      <c r="C6817" s="2" t="str">
        <f ca="1">IFERROR(__xludf.DUMMYFUNCTION("GOOGLETRANSLATE(A6817,""bn"",""en"")"),"I had a constructive discussion")</f>
        <v>I had a constructive discussion</v>
      </c>
      <c r="D6817" s="5"/>
      <c r="E6817" s="5"/>
      <c r="F6817" s="5"/>
      <c r="G6817" s="5"/>
      <c r="H6817" s="5"/>
      <c r="I6817" s="5"/>
      <c r="J6817" s="5"/>
      <c r="K6817" s="5"/>
      <c r="L6817" s="5"/>
      <c r="M6817" s="5"/>
      <c r="N6817" s="5"/>
      <c r="O6817" s="5"/>
      <c r="P6817" s="5"/>
      <c r="Q6817" s="5"/>
      <c r="R6817" s="5"/>
      <c r="S6817" s="5"/>
      <c r="T6817" s="5"/>
      <c r="U6817" s="5"/>
      <c r="V6817" s="5"/>
      <c r="W6817" s="5"/>
      <c r="X6817" s="5"/>
      <c r="Y6817" s="5"/>
      <c r="Z6817" s="5"/>
    </row>
    <row r="6818" spans="1:26" ht="15" x14ac:dyDescent="0.25">
      <c r="A6818" s="4" t="s">
        <v>6816</v>
      </c>
      <c r="B6818" s="4" t="s">
        <v>4550</v>
      </c>
      <c r="C6818" s="2" t="str">
        <f ca="1">IFERROR(__xludf.DUMMYFUNCTION("GOOGLETRANSLATE(A6818,""bn"",""en"")"),"I used a router")</f>
        <v>I used a router</v>
      </c>
      <c r="D6818" s="5"/>
      <c r="E6818" s="5"/>
      <c r="F6818" s="5"/>
      <c r="G6818" s="5"/>
      <c r="H6818" s="5"/>
      <c r="I6818" s="5"/>
      <c r="J6818" s="5"/>
      <c r="K6818" s="5"/>
      <c r="L6818" s="5"/>
      <c r="M6818" s="5"/>
      <c r="N6818" s="5"/>
      <c r="O6818" s="5"/>
      <c r="P6818" s="5"/>
      <c r="Q6818" s="5"/>
      <c r="R6818" s="5"/>
      <c r="S6818" s="5"/>
      <c r="T6818" s="5"/>
      <c r="U6818" s="5"/>
      <c r="V6818" s="5"/>
      <c r="W6818" s="5"/>
      <c r="X6818" s="5"/>
      <c r="Y6818" s="5"/>
      <c r="Z6818" s="5"/>
    </row>
    <row r="6819" spans="1:26" ht="15" x14ac:dyDescent="0.25">
      <c r="A6819" s="4" t="s">
        <v>6817</v>
      </c>
      <c r="B6819" s="4" t="s">
        <v>4550</v>
      </c>
      <c r="C6819" s="2" t="str">
        <f ca="1">IFERROR(__xludf.DUMMYFUNCTION("GOOGLETRANSLATE(A6819,""bn"",""en"")"),"I opened a savings account")</f>
        <v>I opened a savings account</v>
      </c>
      <c r="D6819" s="5"/>
      <c r="E6819" s="5"/>
      <c r="F6819" s="5"/>
      <c r="G6819" s="5"/>
      <c r="H6819" s="5"/>
      <c r="I6819" s="5"/>
      <c r="J6819" s="5"/>
      <c r="K6819" s="5"/>
      <c r="L6819" s="5"/>
      <c r="M6819" s="5"/>
      <c r="N6819" s="5"/>
      <c r="O6819" s="5"/>
      <c r="P6819" s="5"/>
      <c r="Q6819" s="5"/>
      <c r="R6819" s="5"/>
      <c r="S6819" s="5"/>
      <c r="T6819" s="5"/>
      <c r="U6819" s="5"/>
      <c r="V6819" s="5"/>
      <c r="W6819" s="5"/>
      <c r="X6819" s="5"/>
      <c r="Y6819" s="5"/>
      <c r="Z6819" s="5"/>
    </row>
    <row r="6820" spans="1:26" ht="15" x14ac:dyDescent="0.25">
      <c r="A6820" s="4" t="s">
        <v>6818</v>
      </c>
      <c r="B6820" s="4" t="s">
        <v>4550</v>
      </c>
      <c r="C6820" s="2" t="str">
        <f ca="1">IFERROR(__xludf.DUMMYFUNCTION("GOOGLETRANSLATE(A6820,""bn"",""en"")"),"I was finding peace")</f>
        <v>I was finding peace</v>
      </c>
      <c r="D6820" s="5"/>
      <c r="E6820" s="5"/>
      <c r="F6820" s="5"/>
      <c r="G6820" s="5"/>
      <c r="H6820" s="5"/>
      <c r="I6820" s="5"/>
      <c r="J6820" s="5"/>
      <c r="K6820" s="5"/>
      <c r="L6820" s="5"/>
      <c r="M6820" s="5"/>
      <c r="N6820" s="5"/>
      <c r="O6820" s="5"/>
      <c r="P6820" s="5"/>
      <c r="Q6820" s="5"/>
      <c r="R6820" s="5"/>
      <c r="S6820" s="5"/>
      <c r="T6820" s="5"/>
      <c r="U6820" s="5"/>
      <c r="V6820" s="5"/>
      <c r="W6820" s="5"/>
      <c r="X6820" s="5"/>
      <c r="Y6820" s="5"/>
      <c r="Z6820" s="5"/>
    </row>
    <row r="6821" spans="1:26" ht="15" x14ac:dyDescent="0.25">
      <c r="A6821" s="4" t="s">
        <v>6819</v>
      </c>
      <c r="B6821" s="4" t="s">
        <v>4550</v>
      </c>
      <c r="C6821" s="2" t="str">
        <f ca="1">IFERROR(__xludf.DUMMYFUNCTION("GOOGLETRANSLATE(A6821,""bn"",""en"")"),"I bought a laptop")</f>
        <v>I bought a laptop</v>
      </c>
      <c r="D6821" s="5"/>
      <c r="E6821" s="5"/>
      <c r="F6821" s="5"/>
      <c r="G6821" s="5"/>
      <c r="H6821" s="5"/>
      <c r="I6821" s="5"/>
      <c r="J6821" s="5"/>
      <c r="K6821" s="5"/>
      <c r="L6821" s="5"/>
      <c r="M6821" s="5"/>
      <c r="N6821" s="5"/>
      <c r="O6821" s="5"/>
      <c r="P6821" s="5"/>
      <c r="Q6821" s="5"/>
      <c r="R6821" s="5"/>
      <c r="S6821" s="5"/>
      <c r="T6821" s="5"/>
      <c r="U6821" s="5"/>
      <c r="V6821" s="5"/>
      <c r="W6821" s="5"/>
      <c r="X6821" s="5"/>
      <c r="Y6821" s="5"/>
      <c r="Z6821" s="5"/>
    </row>
    <row r="6822" spans="1:26" ht="15" x14ac:dyDescent="0.25">
      <c r="A6822" s="4" t="s">
        <v>6820</v>
      </c>
      <c r="B6822" s="4" t="s">
        <v>4550</v>
      </c>
      <c r="C6822" s="2" t="str">
        <f ca="1">IFERROR(__xludf.DUMMYFUNCTION("GOOGLETRANSLATE(A6822,""bn"",""en"")"),"I asked for honest advice")</f>
        <v>I asked for honest advice</v>
      </c>
      <c r="D6822" s="5"/>
      <c r="E6822" s="5"/>
      <c r="F6822" s="5"/>
      <c r="G6822" s="5"/>
      <c r="H6822" s="5"/>
      <c r="I6822" s="5"/>
      <c r="J6822" s="5"/>
      <c r="K6822" s="5"/>
      <c r="L6822" s="5"/>
      <c r="M6822" s="5"/>
      <c r="N6822" s="5"/>
      <c r="O6822" s="5"/>
      <c r="P6822" s="5"/>
      <c r="Q6822" s="5"/>
      <c r="R6822" s="5"/>
      <c r="S6822" s="5"/>
      <c r="T6822" s="5"/>
      <c r="U6822" s="5"/>
      <c r="V6822" s="5"/>
      <c r="W6822" s="5"/>
      <c r="X6822" s="5"/>
      <c r="Y6822" s="5"/>
      <c r="Z6822" s="5"/>
    </row>
    <row r="6823" spans="1:26" ht="15" x14ac:dyDescent="0.25">
      <c r="A6823" s="4" t="s">
        <v>6821</v>
      </c>
      <c r="B6823" s="4" t="s">
        <v>4550</v>
      </c>
      <c r="C6823" s="2" t="str">
        <f ca="1">IFERROR(__xludf.DUMMYFUNCTION("GOOGLETRANSLATE(A6823,""bn"",""en"")"),"I was reading poetry")</f>
        <v>I was reading poetry</v>
      </c>
      <c r="D6823" s="5"/>
      <c r="E6823" s="5"/>
      <c r="F6823" s="5"/>
      <c r="G6823" s="5"/>
      <c r="H6823" s="5"/>
      <c r="I6823" s="5"/>
      <c r="J6823" s="5"/>
      <c r="K6823" s="5"/>
      <c r="L6823" s="5"/>
      <c r="M6823" s="5"/>
      <c r="N6823" s="5"/>
      <c r="O6823" s="5"/>
      <c r="P6823" s="5"/>
      <c r="Q6823" s="5"/>
      <c r="R6823" s="5"/>
      <c r="S6823" s="5"/>
      <c r="T6823" s="5"/>
      <c r="U6823" s="5"/>
      <c r="V6823" s="5"/>
      <c r="W6823" s="5"/>
      <c r="X6823" s="5"/>
      <c r="Y6823" s="5"/>
      <c r="Z6823" s="5"/>
    </row>
    <row r="6824" spans="1:26" ht="15" x14ac:dyDescent="0.25">
      <c r="A6824" s="4" t="s">
        <v>6822</v>
      </c>
      <c r="B6824" s="4" t="s">
        <v>4550</v>
      </c>
      <c r="C6824" s="2" t="str">
        <f ca="1">IFERROR(__xludf.DUMMYFUNCTION("GOOGLETRANSLATE(A6824,""bn"",""en"")"),"I saw the beauty of the mountains")</f>
        <v>I saw the beauty of the mountains</v>
      </c>
      <c r="D6824" s="5"/>
      <c r="E6824" s="5"/>
      <c r="F6824" s="5"/>
      <c r="G6824" s="5"/>
      <c r="H6824" s="5"/>
      <c r="I6824" s="5"/>
      <c r="J6824" s="5"/>
      <c r="K6824" s="5"/>
      <c r="L6824" s="5"/>
      <c r="M6824" s="5"/>
      <c r="N6824" s="5"/>
      <c r="O6824" s="5"/>
      <c r="P6824" s="5"/>
      <c r="Q6824" s="5"/>
      <c r="R6824" s="5"/>
      <c r="S6824" s="5"/>
      <c r="T6824" s="5"/>
      <c r="U6824" s="5"/>
      <c r="V6824" s="5"/>
      <c r="W6824" s="5"/>
      <c r="X6824" s="5"/>
      <c r="Y6824" s="5"/>
      <c r="Z6824" s="5"/>
    </row>
    <row r="6825" spans="1:26" ht="15" x14ac:dyDescent="0.25">
      <c r="A6825" s="4" t="s">
        <v>6823</v>
      </c>
      <c r="B6825" s="4" t="s">
        <v>4550</v>
      </c>
      <c r="C6825" s="2" t="str">
        <f ca="1">IFERROR(__xludf.DUMMYFUNCTION("GOOGLETRANSLATE(A6825,""bn"",""en"")"),"The diagnosis was being made")</f>
        <v>The diagnosis was being made</v>
      </c>
      <c r="D6825" s="5"/>
      <c r="E6825" s="5"/>
      <c r="F6825" s="5"/>
      <c r="G6825" s="5"/>
      <c r="H6825" s="5"/>
      <c r="I6825" s="5"/>
      <c r="J6825" s="5"/>
      <c r="K6825" s="5"/>
      <c r="L6825" s="5"/>
      <c r="M6825" s="5"/>
      <c r="N6825" s="5"/>
      <c r="O6825" s="5"/>
      <c r="P6825" s="5"/>
      <c r="Q6825" s="5"/>
      <c r="R6825" s="5"/>
      <c r="S6825" s="5"/>
      <c r="T6825" s="5"/>
      <c r="U6825" s="5"/>
      <c r="V6825" s="5"/>
      <c r="W6825" s="5"/>
      <c r="X6825" s="5"/>
      <c r="Y6825" s="5"/>
      <c r="Z6825" s="5"/>
    </row>
    <row r="6826" spans="1:26" ht="15" x14ac:dyDescent="0.25">
      <c r="A6826" s="4" t="s">
        <v>6824</v>
      </c>
      <c r="B6826" s="4" t="s">
        <v>4550</v>
      </c>
      <c r="C6826" s="2" t="str">
        <f ca="1">IFERROR(__xludf.DUMMYFUNCTION("GOOGLETRANSLATE(A6826,""bn"",""en"")"),"Went to the college cafeteria")</f>
        <v>Went to the college cafeteria</v>
      </c>
      <c r="D6826" s="5"/>
      <c r="E6826" s="5"/>
      <c r="F6826" s="5"/>
      <c r="G6826" s="5"/>
      <c r="H6826" s="5"/>
      <c r="I6826" s="5"/>
      <c r="J6826" s="5"/>
      <c r="K6826" s="5"/>
      <c r="L6826" s="5"/>
      <c r="M6826" s="5"/>
      <c r="N6826" s="5"/>
      <c r="O6826" s="5"/>
      <c r="P6826" s="5"/>
      <c r="Q6826" s="5"/>
      <c r="R6826" s="5"/>
      <c r="S6826" s="5"/>
      <c r="T6826" s="5"/>
      <c r="U6826" s="5"/>
      <c r="V6826" s="5"/>
      <c r="W6826" s="5"/>
      <c r="X6826" s="5"/>
      <c r="Y6826" s="5"/>
      <c r="Z6826" s="5"/>
    </row>
    <row r="6827" spans="1:26" ht="15" x14ac:dyDescent="0.25">
      <c r="A6827" s="4" t="s">
        <v>6825</v>
      </c>
      <c r="B6827" s="4" t="s">
        <v>4550</v>
      </c>
      <c r="C6827" s="2" t="str">
        <f ca="1">IFERROR(__xludf.DUMMYFUNCTION("GOOGLETRANSLATE(A6827,""bn"",""en"")"),"It was an educational trip")</f>
        <v>It was an educational trip</v>
      </c>
      <c r="D6827" s="5"/>
      <c r="E6827" s="5"/>
      <c r="F6827" s="5"/>
      <c r="G6827" s="5"/>
      <c r="H6827" s="5"/>
      <c r="I6827" s="5"/>
      <c r="J6827" s="5"/>
      <c r="K6827" s="5"/>
      <c r="L6827" s="5"/>
      <c r="M6827" s="5"/>
      <c r="N6827" s="5"/>
      <c r="O6827" s="5"/>
      <c r="P6827" s="5"/>
      <c r="Q6827" s="5"/>
      <c r="R6827" s="5"/>
      <c r="S6827" s="5"/>
      <c r="T6827" s="5"/>
      <c r="U6827" s="5"/>
      <c r="V6827" s="5"/>
      <c r="W6827" s="5"/>
      <c r="X6827" s="5"/>
      <c r="Y6827" s="5"/>
      <c r="Z6827" s="5"/>
    </row>
    <row r="6828" spans="1:26" ht="15" x14ac:dyDescent="0.25">
      <c r="A6828" s="4" t="s">
        <v>6826</v>
      </c>
      <c r="B6828" s="4" t="s">
        <v>4550</v>
      </c>
      <c r="C6828" s="2" t="str">
        <f ca="1">IFERROR(__xludf.DUMMYFUNCTION("GOOGLETRANSLATE(A6828,""bn"",""en"")"),"I bought a new laptop and used it")</f>
        <v>I bought a new laptop and used it</v>
      </c>
      <c r="D6828" s="5"/>
      <c r="E6828" s="5"/>
      <c r="F6828" s="5"/>
      <c r="G6828" s="5"/>
      <c r="H6828" s="5"/>
      <c r="I6828" s="5"/>
      <c r="J6828" s="5"/>
      <c r="K6828" s="5"/>
      <c r="L6828" s="5"/>
      <c r="M6828" s="5"/>
      <c r="N6828" s="5"/>
      <c r="O6828" s="5"/>
      <c r="P6828" s="5"/>
      <c r="Q6828" s="5"/>
      <c r="R6828" s="5"/>
      <c r="S6828" s="5"/>
      <c r="T6828" s="5"/>
      <c r="U6828" s="5"/>
      <c r="V6828" s="5"/>
      <c r="W6828" s="5"/>
      <c r="X6828" s="5"/>
      <c r="Y6828" s="5"/>
      <c r="Z6828" s="5"/>
    </row>
    <row r="6829" spans="1:26" ht="15" x14ac:dyDescent="0.25">
      <c r="A6829" s="4" t="s">
        <v>6827</v>
      </c>
      <c r="B6829" s="4" t="s">
        <v>4550</v>
      </c>
      <c r="C6829" s="2" t="str">
        <f ca="1">IFERROR(__xludf.DUMMYFUNCTION("GOOGLETRANSLATE(A6829,""bn"",""en"")"),"Citizens' hopes were rising")</f>
        <v>Citizens' hopes were rising</v>
      </c>
      <c r="D6829" s="5"/>
      <c r="E6829" s="5"/>
      <c r="F6829" s="5"/>
      <c r="G6829" s="5"/>
      <c r="H6829" s="5"/>
      <c r="I6829" s="5"/>
      <c r="J6829" s="5"/>
      <c r="K6829" s="5"/>
      <c r="L6829" s="5"/>
      <c r="M6829" s="5"/>
      <c r="N6829" s="5"/>
      <c r="O6829" s="5"/>
      <c r="P6829" s="5"/>
      <c r="Q6829" s="5"/>
      <c r="R6829" s="5"/>
      <c r="S6829" s="5"/>
      <c r="T6829" s="5"/>
      <c r="U6829" s="5"/>
      <c r="V6829" s="5"/>
      <c r="W6829" s="5"/>
      <c r="X6829" s="5"/>
      <c r="Y6829" s="5"/>
      <c r="Z6829" s="5"/>
    </row>
    <row r="6830" spans="1:26" ht="15" x14ac:dyDescent="0.25">
      <c r="A6830" s="4" t="s">
        <v>6828</v>
      </c>
      <c r="B6830" s="4" t="s">
        <v>4550</v>
      </c>
      <c r="C6830" s="2" t="str">
        <f ca="1">IFERROR(__xludf.DUMMYFUNCTION("GOOGLETRANSLATE(A6830,""bn"",""en"")"),"College traveled")</f>
        <v>College traveled</v>
      </c>
      <c r="D6830" s="5"/>
      <c r="E6830" s="5"/>
      <c r="F6830" s="5"/>
      <c r="G6830" s="5"/>
      <c r="H6830" s="5"/>
      <c r="I6830" s="5"/>
      <c r="J6830" s="5"/>
      <c r="K6830" s="5"/>
      <c r="L6830" s="5"/>
      <c r="M6830" s="5"/>
      <c r="N6830" s="5"/>
      <c r="O6830" s="5"/>
      <c r="P6830" s="5"/>
      <c r="Q6830" s="5"/>
      <c r="R6830" s="5"/>
      <c r="S6830" s="5"/>
      <c r="T6830" s="5"/>
      <c r="U6830" s="5"/>
      <c r="V6830" s="5"/>
      <c r="W6830" s="5"/>
      <c r="X6830" s="5"/>
      <c r="Y6830" s="5"/>
      <c r="Z6830" s="5"/>
    </row>
    <row r="6831" spans="1:26" ht="15" x14ac:dyDescent="0.25">
      <c r="A6831" s="4" t="s">
        <v>6829</v>
      </c>
      <c r="B6831" s="4" t="s">
        <v>4550</v>
      </c>
      <c r="C6831" s="2" t="str">
        <f ca="1">IFERROR(__xludf.DUMMYFUNCTION("GOOGLETRANSLATE(A6831,""bn"",""en"")"),"I read this book")</f>
        <v>I read this book</v>
      </c>
      <c r="D6831" s="5"/>
      <c r="E6831" s="5"/>
      <c r="F6831" s="5"/>
      <c r="G6831" s="5"/>
      <c r="H6831" s="5"/>
      <c r="I6831" s="5"/>
      <c r="J6831" s="5"/>
      <c r="K6831" s="5"/>
      <c r="L6831" s="5"/>
      <c r="M6831" s="5"/>
      <c r="N6831" s="5"/>
      <c r="O6831" s="5"/>
      <c r="P6831" s="5"/>
      <c r="Q6831" s="5"/>
      <c r="R6831" s="5"/>
      <c r="S6831" s="5"/>
      <c r="T6831" s="5"/>
      <c r="U6831" s="5"/>
      <c r="V6831" s="5"/>
      <c r="W6831" s="5"/>
      <c r="X6831" s="5"/>
      <c r="Y6831" s="5"/>
      <c r="Z6831" s="5"/>
    </row>
    <row r="6832" spans="1:26" ht="15" x14ac:dyDescent="0.25">
      <c r="A6832" s="4" t="s">
        <v>6830</v>
      </c>
      <c r="B6832" s="4" t="s">
        <v>4550</v>
      </c>
      <c r="C6832" s="2" t="str">
        <f ca="1">IFERROR(__xludf.DUMMYFUNCTION("GOOGLETRANSLATE(A6832,""bn"",""en"")"),"I lit a fire in the wood")</f>
        <v>I lit a fire in the wood</v>
      </c>
      <c r="D6832" s="5"/>
      <c r="E6832" s="5"/>
      <c r="F6832" s="5"/>
      <c r="G6832" s="5"/>
      <c r="H6832" s="5"/>
      <c r="I6832" s="5"/>
      <c r="J6832" s="5"/>
      <c r="K6832" s="5"/>
      <c r="L6832" s="5"/>
      <c r="M6832" s="5"/>
      <c r="N6832" s="5"/>
      <c r="O6832" s="5"/>
      <c r="P6832" s="5"/>
      <c r="Q6832" s="5"/>
      <c r="R6832" s="5"/>
      <c r="S6832" s="5"/>
      <c r="T6832" s="5"/>
      <c r="U6832" s="5"/>
      <c r="V6832" s="5"/>
      <c r="W6832" s="5"/>
      <c r="X6832" s="5"/>
      <c r="Y6832" s="5"/>
      <c r="Z6832" s="5"/>
    </row>
    <row r="6833" spans="1:26" ht="15" x14ac:dyDescent="0.25">
      <c r="A6833" s="4" t="s">
        <v>6831</v>
      </c>
      <c r="B6833" s="4" t="s">
        <v>4550</v>
      </c>
      <c r="C6833" s="2" t="str">
        <f ca="1">IFERROR(__xludf.DUMMYFUNCTION("GOOGLETRANSLATE(A6833,""bn"",""en"")"),"The discussion was held by the people")</f>
        <v>The discussion was held by the people</v>
      </c>
      <c r="D6833" s="5"/>
      <c r="E6833" s="5"/>
      <c r="F6833" s="5"/>
      <c r="G6833" s="5"/>
      <c r="H6833" s="5"/>
      <c r="I6833" s="5"/>
      <c r="J6833" s="5"/>
      <c r="K6833" s="5"/>
      <c r="L6833" s="5"/>
      <c r="M6833" s="5"/>
      <c r="N6833" s="5"/>
      <c r="O6833" s="5"/>
      <c r="P6833" s="5"/>
      <c r="Q6833" s="5"/>
      <c r="R6833" s="5"/>
      <c r="S6833" s="5"/>
      <c r="T6833" s="5"/>
      <c r="U6833" s="5"/>
      <c r="V6833" s="5"/>
      <c r="W6833" s="5"/>
      <c r="X6833" s="5"/>
      <c r="Y6833" s="5"/>
      <c r="Z6833" s="5"/>
    </row>
    <row r="6834" spans="1:26" ht="15" x14ac:dyDescent="0.25">
      <c r="A6834" s="4" t="s">
        <v>6832</v>
      </c>
      <c r="B6834" s="4" t="s">
        <v>4550</v>
      </c>
      <c r="C6834" s="2" t="str">
        <f ca="1">IFERROR(__xludf.DUMMYFUNCTION("GOOGLETRANSLATE(A6834,""bn"",""en"")"),"Employee standards increased")</f>
        <v>Employee standards increased</v>
      </c>
      <c r="D6834" s="5"/>
      <c r="E6834" s="5"/>
      <c r="F6834" s="5"/>
      <c r="G6834" s="5"/>
      <c r="H6834" s="5"/>
      <c r="I6834" s="5"/>
      <c r="J6834" s="5"/>
      <c r="K6834" s="5"/>
      <c r="L6834" s="5"/>
      <c r="M6834" s="5"/>
      <c r="N6834" s="5"/>
      <c r="O6834" s="5"/>
      <c r="P6834" s="5"/>
      <c r="Q6834" s="5"/>
      <c r="R6834" s="5"/>
      <c r="S6834" s="5"/>
      <c r="T6834" s="5"/>
      <c r="U6834" s="5"/>
      <c r="V6834" s="5"/>
      <c r="W6834" s="5"/>
      <c r="X6834" s="5"/>
      <c r="Y6834" s="5"/>
      <c r="Z6834" s="5"/>
    </row>
    <row r="6835" spans="1:26" ht="15" x14ac:dyDescent="0.25">
      <c r="A6835" s="4" t="s">
        <v>6833</v>
      </c>
      <c r="B6835" s="4" t="s">
        <v>4550</v>
      </c>
      <c r="C6835" s="2" t="str">
        <f ca="1">IFERROR(__xludf.DUMMYFUNCTION("GOOGLETRANSLATE(A6835,""bn"",""en"")"),"I was using ROM")</f>
        <v>I was using ROM</v>
      </c>
      <c r="D6835" s="5"/>
      <c r="E6835" s="5"/>
      <c r="F6835" s="5"/>
      <c r="G6835" s="5"/>
      <c r="H6835" s="5"/>
      <c r="I6835" s="5"/>
      <c r="J6835" s="5"/>
      <c r="K6835" s="5"/>
      <c r="L6835" s="5"/>
      <c r="M6835" s="5"/>
      <c r="N6835" s="5"/>
      <c r="O6835" s="5"/>
      <c r="P6835" s="5"/>
      <c r="Q6835" s="5"/>
      <c r="R6835" s="5"/>
      <c r="S6835" s="5"/>
      <c r="T6835" s="5"/>
      <c r="U6835" s="5"/>
      <c r="V6835" s="5"/>
      <c r="W6835" s="5"/>
      <c r="X6835" s="5"/>
      <c r="Y6835" s="5"/>
      <c r="Z6835" s="5"/>
    </row>
    <row r="6836" spans="1:26" ht="15" x14ac:dyDescent="0.25">
      <c r="A6836" s="4" t="s">
        <v>6834</v>
      </c>
      <c r="B6836" s="4" t="s">
        <v>4550</v>
      </c>
      <c r="C6836" s="2" t="str">
        <f ca="1">IFERROR(__xludf.DUMMYFUNCTION("GOOGLETRANSLATE(A6836,""bn"",""en"")"),"I want a new smartphone")</f>
        <v>I want a new smartphone</v>
      </c>
      <c r="D6836" s="5"/>
      <c r="E6836" s="5"/>
      <c r="F6836" s="5"/>
      <c r="G6836" s="5"/>
      <c r="H6836" s="5"/>
      <c r="I6836" s="5"/>
      <c r="J6836" s="5"/>
      <c r="K6836" s="5"/>
      <c r="L6836" s="5"/>
      <c r="M6836" s="5"/>
      <c r="N6836" s="5"/>
      <c r="O6836" s="5"/>
      <c r="P6836" s="5"/>
      <c r="Q6836" s="5"/>
      <c r="R6836" s="5"/>
      <c r="S6836" s="5"/>
      <c r="T6836" s="5"/>
      <c r="U6836" s="5"/>
      <c r="V6836" s="5"/>
      <c r="W6836" s="5"/>
      <c r="X6836" s="5"/>
      <c r="Y6836" s="5"/>
      <c r="Z6836" s="5"/>
    </row>
    <row r="6837" spans="1:26" ht="15" x14ac:dyDescent="0.25">
      <c r="A6837" s="4" t="s">
        <v>6835</v>
      </c>
      <c r="B6837" s="4" t="s">
        <v>4550</v>
      </c>
      <c r="C6837" s="2" t="str">
        <f ca="1">IFERROR(__xludf.DUMMYFUNCTION("GOOGLETRANSLATE(A6837,""bn"",""en"")"),"The tide is in the real ocean")</f>
        <v>The tide is in the real ocean</v>
      </c>
      <c r="D6837" s="5"/>
      <c r="E6837" s="5"/>
      <c r="F6837" s="5"/>
      <c r="G6837" s="5"/>
      <c r="H6837" s="5"/>
      <c r="I6837" s="5"/>
      <c r="J6837" s="5"/>
      <c r="K6837" s="5"/>
      <c r="L6837" s="5"/>
      <c r="M6837" s="5"/>
      <c r="N6837" s="5"/>
      <c r="O6837" s="5"/>
      <c r="P6837" s="5"/>
      <c r="Q6837" s="5"/>
      <c r="R6837" s="5"/>
      <c r="S6837" s="5"/>
      <c r="T6837" s="5"/>
      <c r="U6837" s="5"/>
      <c r="V6837" s="5"/>
      <c r="W6837" s="5"/>
      <c r="X6837" s="5"/>
      <c r="Y6837" s="5"/>
      <c r="Z6837" s="5"/>
    </row>
    <row r="6838" spans="1:26" ht="15" x14ac:dyDescent="0.25">
      <c r="A6838" s="4" t="s">
        <v>6836</v>
      </c>
      <c r="B6838" s="4" t="s">
        <v>4550</v>
      </c>
      <c r="C6838" s="2" t="str">
        <f ca="1">IFERROR(__xludf.DUMMYFUNCTION("GOOGLETRANSLATE(A6838,""bn"",""en"")"),"Loans were increasing")</f>
        <v>Loans were increasing</v>
      </c>
      <c r="D6838" s="5"/>
      <c r="E6838" s="5"/>
      <c r="F6838" s="5"/>
      <c r="G6838" s="5"/>
      <c r="H6838" s="5"/>
      <c r="I6838" s="5"/>
      <c r="J6838" s="5"/>
      <c r="K6838" s="5"/>
      <c r="L6838" s="5"/>
      <c r="M6838" s="5"/>
      <c r="N6838" s="5"/>
      <c r="O6838" s="5"/>
      <c r="P6838" s="5"/>
      <c r="Q6838" s="5"/>
      <c r="R6838" s="5"/>
      <c r="S6838" s="5"/>
      <c r="T6838" s="5"/>
      <c r="U6838" s="5"/>
      <c r="V6838" s="5"/>
      <c r="W6838" s="5"/>
      <c r="X6838" s="5"/>
      <c r="Y6838" s="5"/>
      <c r="Z6838" s="5"/>
    </row>
    <row r="6839" spans="1:26" ht="15" x14ac:dyDescent="0.25">
      <c r="A6839" s="4" t="s">
        <v>6837</v>
      </c>
      <c r="B6839" s="4" t="s">
        <v>4550</v>
      </c>
      <c r="C6839" s="2" t="str">
        <f ca="1">IFERROR(__xludf.DUMMYFUNCTION("GOOGLETRANSLATE(A6839,""bn"",""en"")"),"I went to the rainforest")</f>
        <v>I went to the rainforest</v>
      </c>
      <c r="D6839" s="5"/>
      <c r="E6839" s="5"/>
      <c r="F6839" s="5"/>
      <c r="G6839" s="5"/>
      <c r="H6839" s="5"/>
      <c r="I6839" s="5"/>
      <c r="J6839" s="5"/>
      <c r="K6839" s="5"/>
      <c r="L6839" s="5"/>
      <c r="M6839" s="5"/>
      <c r="N6839" s="5"/>
      <c r="O6839" s="5"/>
      <c r="P6839" s="5"/>
      <c r="Q6839" s="5"/>
      <c r="R6839" s="5"/>
      <c r="S6839" s="5"/>
      <c r="T6839" s="5"/>
      <c r="U6839" s="5"/>
      <c r="V6839" s="5"/>
      <c r="W6839" s="5"/>
      <c r="X6839" s="5"/>
      <c r="Y6839" s="5"/>
      <c r="Z6839" s="5"/>
    </row>
    <row r="6840" spans="1:26" ht="15" x14ac:dyDescent="0.25">
      <c r="A6840" s="4" t="s">
        <v>6838</v>
      </c>
      <c r="B6840" s="4" t="s">
        <v>4550</v>
      </c>
      <c r="C6840" s="2" t="str">
        <f ca="1">IFERROR(__xludf.DUMMYFUNCTION("GOOGLETRANSLATE(A6840,""bn"",""en"")"),"I withdrew the money")</f>
        <v>I withdrew the money</v>
      </c>
      <c r="D6840" s="5"/>
      <c r="E6840" s="5"/>
      <c r="F6840" s="5"/>
      <c r="G6840" s="5"/>
      <c r="H6840" s="5"/>
      <c r="I6840" s="5"/>
      <c r="J6840" s="5"/>
      <c r="K6840" s="5"/>
      <c r="L6840" s="5"/>
      <c r="M6840" s="5"/>
      <c r="N6840" s="5"/>
      <c r="O6840" s="5"/>
      <c r="P6840" s="5"/>
      <c r="Q6840" s="5"/>
      <c r="R6840" s="5"/>
      <c r="S6840" s="5"/>
      <c r="T6840" s="5"/>
      <c r="U6840" s="5"/>
      <c r="V6840" s="5"/>
      <c r="W6840" s="5"/>
      <c r="X6840" s="5"/>
      <c r="Y6840" s="5"/>
      <c r="Z6840" s="5"/>
    </row>
    <row r="6841" spans="1:26" ht="15" x14ac:dyDescent="0.25">
      <c r="A6841" s="4" t="s">
        <v>6839</v>
      </c>
      <c r="B6841" s="4" t="s">
        <v>4550</v>
      </c>
      <c r="C6841" s="2" t="str">
        <f ca="1">IFERROR(__xludf.DUMMYFUNCTION("GOOGLETRANSLATE(A6841,""bn"",""en"")"),"The loan was being paid")</f>
        <v>The loan was being paid</v>
      </c>
      <c r="D6841" s="5"/>
      <c r="E6841" s="5"/>
      <c r="F6841" s="5"/>
      <c r="G6841" s="5"/>
      <c r="H6841" s="5"/>
      <c r="I6841" s="5"/>
      <c r="J6841" s="5"/>
      <c r="K6841" s="5"/>
      <c r="L6841" s="5"/>
      <c r="M6841" s="5"/>
      <c r="N6841" s="5"/>
      <c r="O6841" s="5"/>
      <c r="P6841" s="5"/>
      <c r="Q6841" s="5"/>
      <c r="R6841" s="5"/>
      <c r="S6841" s="5"/>
      <c r="T6841" s="5"/>
      <c r="U6841" s="5"/>
      <c r="V6841" s="5"/>
      <c r="W6841" s="5"/>
      <c r="X6841" s="5"/>
      <c r="Y6841" s="5"/>
      <c r="Z6841" s="5"/>
    </row>
    <row r="6842" spans="1:26" ht="15" x14ac:dyDescent="0.25">
      <c r="A6842" s="4" t="s">
        <v>6840</v>
      </c>
      <c r="B6842" s="4" t="s">
        <v>4550</v>
      </c>
      <c r="C6842" s="2" t="str">
        <f ca="1">IFERROR(__xludf.DUMMYFUNCTION("GOOGLETRANSLATE(A6842,""bn"",""en"")"),"I used the internet")</f>
        <v>I used the internet</v>
      </c>
      <c r="D6842" s="5"/>
      <c r="E6842" s="5"/>
      <c r="F6842" s="5"/>
      <c r="G6842" s="5"/>
      <c r="H6842" s="5"/>
      <c r="I6842" s="5"/>
      <c r="J6842" s="5"/>
      <c r="K6842" s="5"/>
      <c r="L6842" s="5"/>
      <c r="M6842" s="5"/>
      <c r="N6842" s="5"/>
      <c r="O6842" s="5"/>
      <c r="P6842" s="5"/>
      <c r="Q6842" s="5"/>
      <c r="R6842" s="5"/>
      <c r="S6842" s="5"/>
      <c r="T6842" s="5"/>
      <c r="U6842" s="5"/>
      <c r="V6842" s="5"/>
      <c r="W6842" s="5"/>
      <c r="X6842" s="5"/>
      <c r="Y6842" s="5"/>
      <c r="Z6842" s="5"/>
    </row>
    <row r="6843" spans="1:26" ht="15" x14ac:dyDescent="0.25">
      <c r="A6843" s="4" t="s">
        <v>6841</v>
      </c>
      <c r="B6843" s="4" t="s">
        <v>4550</v>
      </c>
      <c r="C6843" s="2" t="str">
        <f ca="1">IFERROR(__xludf.DUMMYFUNCTION("GOOGLETRANSLATE(A6843,""bn"",""en"")"),"The trip boosted confidence")</f>
        <v>The trip boosted confidence</v>
      </c>
      <c r="D6843" s="5"/>
      <c r="E6843" s="5"/>
      <c r="F6843" s="5"/>
      <c r="G6843" s="5"/>
      <c r="H6843" s="5"/>
      <c r="I6843" s="5"/>
      <c r="J6843" s="5"/>
      <c r="K6843" s="5"/>
      <c r="L6843" s="5"/>
      <c r="M6843" s="5"/>
      <c r="N6843" s="5"/>
      <c r="O6843" s="5"/>
      <c r="P6843" s="5"/>
      <c r="Q6843" s="5"/>
      <c r="R6843" s="5"/>
      <c r="S6843" s="5"/>
      <c r="T6843" s="5"/>
      <c r="U6843" s="5"/>
      <c r="V6843" s="5"/>
      <c r="W6843" s="5"/>
      <c r="X6843" s="5"/>
      <c r="Y6843" s="5"/>
      <c r="Z6843" s="5"/>
    </row>
    <row r="6844" spans="1:26" ht="15" x14ac:dyDescent="0.25">
      <c r="A6844" s="4" t="s">
        <v>6842</v>
      </c>
      <c r="B6844" s="4" t="s">
        <v>4550</v>
      </c>
      <c r="C6844" s="2" t="str">
        <f ca="1">IFERROR(__xludf.DUMMYFUNCTION("GOOGLETRANSLATE(A6844,""bn"",""en"")"),"I used iOS")</f>
        <v>I used iOS</v>
      </c>
      <c r="D6844" s="5"/>
      <c r="E6844" s="5"/>
      <c r="F6844" s="5"/>
      <c r="G6844" s="5"/>
      <c r="H6844" s="5"/>
      <c r="I6844" s="5"/>
      <c r="J6844" s="5"/>
      <c r="K6844" s="5"/>
      <c r="L6844" s="5"/>
      <c r="M6844" s="5"/>
      <c r="N6844" s="5"/>
      <c r="O6844" s="5"/>
      <c r="P6844" s="5"/>
      <c r="Q6844" s="5"/>
      <c r="R6844" s="5"/>
      <c r="S6844" s="5"/>
      <c r="T6844" s="5"/>
      <c r="U6844" s="5"/>
      <c r="V6844" s="5"/>
      <c r="W6844" s="5"/>
      <c r="X6844" s="5"/>
      <c r="Y6844" s="5"/>
      <c r="Z6844" s="5"/>
    </row>
    <row r="6845" spans="1:26" ht="15" x14ac:dyDescent="0.25">
      <c r="A6845" s="4" t="s">
        <v>6843</v>
      </c>
      <c r="B6845" s="4" t="s">
        <v>4550</v>
      </c>
      <c r="C6845" s="2" t="str">
        <f ca="1">IFERROR(__xludf.DUMMYFUNCTION("GOOGLETRANSLATE(A6845,""bn"",""en"")"),"I started traveling")</f>
        <v>I started traveling</v>
      </c>
      <c r="D6845" s="5"/>
      <c r="E6845" s="5"/>
      <c r="F6845" s="5"/>
      <c r="G6845" s="5"/>
      <c r="H6845" s="5"/>
      <c r="I6845" s="5"/>
      <c r="J6845" s="5"/>
      <c r="K6845" s="5"/>
      <c r="L6845" s="5"/>
      <c r="M6845" s="5"/>
      <c r="N6845" s="5"/>
      <c r="O6845" s="5"/>
      <c r="P6845" s="5"/>
      <c r="Q6845" s="5"/>
      <c r="R6845" s="5"/>
      <c r="S6845" s="5"/>
      <c r="T6845" s="5"/>
      <c r="U6845" s="5"/>
      <c r="V6845" s="5"/>
      <c r="W6845" s="5"/>
      <c r="X6845" s="5"/>
      <c r="Y6845" s="5"/>
      <c r="Z6845" s="5"/>
    </row>
    <row r="6846" spans="1:26" ht="15" x14ac:dyDescent="0.25">
      <c r="A6846" s="4" t="s">
        <v>6844</v>
      </c>
      <c r="B6846" s="4" t="s">
        <v>4550</v>
      </c>
      <c r="C6846" s="2" t="str">
        <f ca="1">IFERROR(__xludf.DUMMYFUNCTION("GOOGLETRANSLATE(A6846,""bn"",""en"")"),"I was taking examples")</f>
        <v>I was taking examples</v>
      </c>
      <c r="D6846" s="5"/>
      <c r="E6846" s="5"/>
      <c r="F6846" s="5"/>
      <c r="G6846" s="5"/>
      <c r="H6846" s="5"/>
      <c r="I6846" s="5"/>
      <c r="J6846" s="5"/>
      <c r="K6846" s="5"/>
      <c r="L6846" s="5"/>
      <c r="M6846" s="5"/>
      <c r="N6846" s="5"/>
      <c r="O6846" s="5"/>
      <c r="P6846" s="5"/>
      <c r="Q6846" s="5"/>
      <c r="R6846" s="5"/>
      <c r="S6846" s="5"/>
      <c r="T6846" s="5"/>
      <c r="U6846" s="5"/>
      <c r="V6846" s="5"/>
      <c r="W6846" s="5"/>
      <c r="X6846" s="5"/>
      <c r="Y6846" s="5"/>
      <c r="Z6846" s="5"/>
    </row>
    <row r="6847" spans="1:26" ht="15" x14ac:dyDescent="0.25">
      <c r="A6847" s="4" t="s">
        <v>6845</v>
      </c>
      <c r="B6847" s="4" t="s">
        <v>4550</v>
      </c>
      <c r="C6847" s="2" t="str">
        <f ca="1">IFERROR(__xludf.DUMMYFUNCTION("GOOGLETRANSLATE(A6847,""bn"",""en"")"),"I sent money to Rocket")</f>
        <v>I sent money to Rocket</v>
      </c>
      <c r="D6847" s="5"/>
      <c r="E6847" s="5"/>
      <c r="F6847" s="5"/>
      <c r="G6847" s="5"/>
      <c r="H6847" s="5"/>
      <c r="I6847" s="5"/>
      <c r="J6847" s="5"/>
      <c r="K6847" s="5"/>
      <c r="L6847" s="5"/>
      <c r="M6847" s="5"/>
      <c r="N6847" s="5"/>
      <c r="O6847" s="5"/>
      <c r="P6847" s="5"/>
      <c r="Q6847" s="5"/>
      <c r="R6847" s="5"/>
      <c r="S6847" s="5"/>
      <c r="T6847" s="5"/>
      <c r="U6847" s="5"/>
      <c r="V6847" s="5"/>
      <c r="W6847" s="5"/>
      <c r="X6847" s="5"/>
      <c r="Y6847" s="5"/>
      <c r="Z6847" s="5"/>
    </row>
    <row r="6848" spans="1:26" ht="15" x14ac:dyDescent="0.25">
      <c r="A6848" s="4" t="s">
        <v>6846</v>
      </c>
      <c r="B6848" s="4" t="s">
        <v>4550</v>
      </c>
      <c r="C6848" s="2" t="str">
        <f ca="1">IFERROR(__xludf.DUMMYFUNCTION("GOOGLETRANSLATE(A6848,""bn"",""en"")"),"The quality of education was reduced")</f>
        <v>The quality of education was reduced</v>
      </c>
      <c r="D6848" s="5"/>
      <c r="E6848" s="5"/>
      <c r="F6848" s="5"/>
      <c r="G6848" s="5"/>
      <c r="H6848" s="5"/>
      <c r="I6848" s="5"/>
      <c r="J6848" s="5"/>
      <c r="K6848" s="5"/>
      <c r="L6848" s="5"/>
      <c r="M6848" s="5"/>
      <c r="N6848" s="5"/>
      <c r="O6848" s="5"/>
      <c r="P6848" s="5"/>
      <c r="Q6848" s="5"/>
      <c r="R6848" s="5"/>
      <c r="S6848" s="5"/>
      <c r="T6848" s="5"/>
      <c r="U6848" s="5"/>
      <c r="V6848" s="5"/>
      <c r="W6848" s="5"/>
      <c r="X6848" s="5"/>
      <c r="Y6848" s="5"/>
      <c r="Z6848" s="5"/>
    </row>
    <row r="6849" spans="1:26" ht="15" x14ac:dyDescent="0.25">
      <c r="A6849" s="4" t="s">
        <v>6847</v>
      </c>
      <c r="B6849" s="4" t="s">
        <v>4550</v>
      </c>
      <c r="C6849" s="2" t="str">
        <f ca="1">IFERROR(__xludf.DUMMYFUNCTION("GOOGLETRANSLATE(A6849,""bn"",""en"")"),"Agriculture was improved")</f>
        <v>Agriculture was improved</v>
      </c>
      <c r="D6849" s="5"/>
      <c r="E6849" s="5"/>
      <c r="F6849" s="5"/>
      <c r="G6849" s="5"/>
      <c r="H6849" s="5"/>
      <c r="I6849" s="5"/>
      <c r="J6849" s="5"/>
      <c r="K6849" s="5"/>
      <c r="L6849" s="5"/>
      <c r="M6849" s="5"/>
      <c r="N6849" s="5"/>
      <c r="O6849" s="5"/>
      <c r="P6849" s="5"/>
      <c r="Q6849" s="5"/>
      <c r="R6849" s="5"/>
      <c r="S6849" s="5"/>
      <c r="T6849" s="5"/>
      <c r="U6849" s="5"/>
      <c r="V6849" s="5"/>
      <c r="W6849" s="5"/>
      <c r="X6849" s="5"/>
      <c r="Y6849" s="5"/>
      <c r="Z6849" s="5"/>
    </row>
    <row r="6850" spans="1:26" ht="15" x14ac:dyDescent="0.25">
      <c r="A6850" s="4" t="s">
        <v>6848</v>
      </c>
      <c r="B6850" s="4" t="s">
        <v>4550</v>
      </c>
      <c r="C6850" s="2" t="str">
        <f ca="1">IFERROR(__xludf.DUMMYFUNCTION("GOOGLETRANSLATE(A6850,""bn"",""en"")"),"New technology has arrived")</f>
        <v>New technology has arrived</v>
      </c>
      <c r="D6850" s="5"/>
      <c r="E6850" s="5"/>
      <c r="F6850" s="5"/>
      <c r="G6850" s="5"/>
      <c r="H6850" s="5"/>
      <c r="I6850" s="5"/>
      <c r="J6850" s="5"/>
      <c r="K6850" s="5"/>
      <c r="L6850" s="5"/>
      <c r="M6850" s="5"/>
      <c r="N6850" s="5"/>
      <c r="O6850" s="5"/>
      <c r="P6850" s="5"/>
      <c r="Q6850" s="5"/>
      <c r="R6850" s="5"/>
      <c r="S6850" s="5"/>
      <c r="T6850" s="5"/>
      <c r="U6850" s="5"/>
      <c r="V6850" s="5"/>
      <c r="W6850" s="5"/>
      <c r="X6850" s="5"/>
      <c r="Y6850" s="5"/>
      <c r="Z6850" s="5"/>
    </row>
    <row r="6851" spans="1:26" ht="15" x14ac:dyDescent="0.25">
      <c r="A6851" s="4" t="s">
        <v>6849</v>
      </c>
      <c r="B6851" s="4" t="s">
        <v>4550</v>
      </c>
      <c r="C6851" s="2" t="str">
        <f ca="1">IFERROR(__xludf.DUMMYFUNCTION("GOOGLETRANSLATE(A6851,""bn"",""en"")"),"I was doing mobile banking")</f>
        <v>I was doing mobile banking</v>
      </c>
      <c r="D6851" s="5"/>
      <c r="E6851" s="5"/>
      <c r="F6851" s="5"/>
      <c r="G6851" s="5"/>
      <c r="H6851" s="5"/>
      <c r="I6851" s="5"/>
      <c r="J6851" s="5"/>
      <c r="K6851" s="5"/>
      <c r="L6851" s="5"/>
      <c r="M6851" s="5"/>
      <c r="N6851" s="5"/>
      <c r="O6851" s="5"/>
      <c r="P6851" s="5"/>
      <c r="Q6851" s="5"/>
      <c r="R6851" s="5"/>
      <c r="S6851" s="5"/>
      <c r="T6851" s="5"/>
      <c r="U6851" s="5"/>
      <c r="V6851" s="5"/>
      <c r="W6851" s="5"/>
      <c r="X6851" s="5"/>
      <c r="Y6851" s="5"/>
      <c r="Z6851" s="5"/>
    </row>
    <row r="6852" spans="1:26" ht="15" x14ac:dyDescent="0.25">
      <c r="A6852" s="4" t="s">
        <v>6850</v>
      </c>
      <c r="B6852" s="4" t="s">
        <v>4550</v>
      </c>
      <c r="C6852" s="2" t="str">
        <f ca="1">IFERROR(__xludf.DUMMYFUNCTION("GOOGLETRANSLATE(A6852,""bn"",""en"")"),"I added the keyboard")</f>
        <v>I added the keyboard</v>
      </c>
      <c r="D6852" s="5"/>
      <c r="E6852" s="5"/>
      <c r="F6852" s="5"/>
      <c r="G6852" s="5"/>
      <c r="H6852" s="5"/>
      <c r="I6852" s="5"/>
      <c r="J6852" s="5"/>
      <c r="K6852" s="5"/>
      <c r="L6852" s="5"/>
      <c r="M6852" s="5"/>
      <c r="N6852" s="5"/>
      <c r="O6852" s="5"/>
      <c r="P6852" s="5"/>
      <c r="Q6852" s="5"/>
      <c r="R6852" s="5"/>
      <c r="S6852" s="5"/>
      <c r="T6852" s="5"/>
      <c r="U6852" s="5"/>
      <c r="V6852" s="5"/>
      <c r="W6852" s="5"/>
      <c r="X6852" s="5"/>
      <c r="Y6852" s="5"/>
      <c r="Z6852" s="5"/>
    </row>
    <row r="6853" spans="1:26" ht="15" x14ac:dyDescent="0.25">
      <c r="A6853" s="4" t="s">
        <v>6851</v>
      </c>
      <c r="B6853" s="4" t="s">
        <v>4550</v>
      </c>
      <c r="C6853" s="2" t="str">
        <f ca="1">IFERROR(__xludf.DUMMYFUNCTION("GOOGLETRANSLATE(A6853,""bn"",""en"")"),"I was designing the database")</f>
        <v>I was designing the database</v>
      </c>
      <c r="D6853" s="5"/>
      <c r="E6853" s="5"/>
      <c r="F6853" s="5"/>
      <c r="G6853" s="5"/>
      <c r="H6853" s="5"/>
      <c r="I6853" s="5"/>
      <c r="J6853" s="5"/>
      <c r="K6853" s="5"/>
      <c r="L6853" s="5"/>
      <c r="M6853" s="5"/>
      <c r="N6853" s="5"/>
      <c r="O6853" s="5"/>
      <c r="P6853" s="5"/>
      <c r="Q6853" s="5"/>
      <c r="R6853" s="5"/>
      <c r="S6853" s="5"/>
      <c r="T6853" s="5"/>
      <c r="U6853" s="5"/>
      <c r="V6853" s="5"/>
      <c r="W6853" s="5"/>
      <c r="X6853" s="5"/>
      <c r="Y6853" s="5"/>
      <c r="Z6853" s="5"/>
    </row>
    <row r="6854" spans="1:26" ht="15" x14ac:dyDescent="0.25">
      <c r="A6854" s="4" t="s">
        <v>6852</v>
      </c>
      <c r="B6854" s="4" t="s">
        <v>4550</v>
      </c>
      <c r="C6854" s="2" t="str">
        <f ca="1">IFERROR(__xludf.DUMMYFUNCTION("GOOGLETRANSLATE(A6854,""bn"",""en"")"),"I designed the database and sent it to you")</f>
        <v>I designed the database and sent it to you</v>
      </c>
      <c r="D6854" s="5"/>
      <c r="E6854" s="5"/>
      <c r="F6854" s="5"/>
      <c r="G6854" s="5"/>
      <c r="H6854" s="5"/>
      <c r="I6854" s="5"/>
      <c r="J6854" s="5"/>
      <c r="K6854" s="5"/>
      <c r="L6854" s="5"/>
      <c r="M6854" s="5"/>
      <c r="N6854" s="5"/>
      <c r="O6854" s="5"/>
      <c r="P6854" s="5"/>
      <c r="Q6854" s="5"/>
      <c r="R6854" s="5"/>
      <c r="S6854" s="5"/>
      <c r="T6854" s="5"/>
      <c r="U6854" s="5"/>
      <c r="V6854" s="5"/>
      <c r="W6854" s="5"/>
      <c r="X6854" s="5"/>
      <c r="Y6854" s="5"/>
      <c r="Z6854" s="5"/>
    </row>
    <row r="6855" spans="1:26" ht="15" x14ac:dyDescent="0.25">
      <c r="A6855" s="4" t="s">
        <v>6853</v>
      </c>
      <c r="B6855" s="4" t="s">
        <v>4550</v>
      </c>
      <c r="C6855" s="2" t="str">
        <f ca="1">IFERROR(__xludf.DUMMYFUNCTION("GOOGLETRANSLATE(A6855,""bn"",""en"")"),"I searched for success")</f>
        <v>I searched for success</v>
      </c>
      <c r="D6855" s="5"/>
      <c r="E6855" s="5"/>
      <c r="F6855" s="5"/>
      <c r="G6855" s="5"/>
      <c r="H6855" s="5"/>
      <c r="I6855" s="5"/>
      <c r="J6855" s="5"/>
      <c r="K6855" s="5"/>
      <c r="L6855" s="5"/>
      <c r="M6855" s="5"/>
      <c r="N6855" s="5"/>
      <c r="O6855" s="5"/>
      <c r="P6855" s="5"/>
      <c r="Q6855" s="5"/>
      <c r="R6855" s="5"/>
      <c r="S6855" s="5"/>
      <c r="T6855" s="5"/>
      <c r="U6855" s="5"/>
      <c r="V6855" s="5"/>
      <c r="W6855" s="5"/>
      <c r="X6855" s="5"/>
      <c r="Y6855" s="5"/>
      <c r="Z6855" s="5"/>
    </row>
    <row r="6856" spans="1:26" ht="15" x14ac:dyDescent="0.25">
      <c r="A6856" s="4" t="s">
        <v>6854</v>
      </c>
      <c r="B6856" s="4" t="s">
        <v>4550</v>
      </c>
      <c r="C6856" s="2" t="str">
        <f ca="1">IFERROR(__xludf.DUMMYFUNCTION("GOOGLETRANSLATE(A6856,""bn"",""en"")"),"I enjoyed the song")</f>
        <v>I enjoyed the song</v>
      </c>
      <c r="D6856" s="5"/>
      <c r="E6856" s="5"/>
      <c r="F6856" s="5"/>
      <c r="G6856" s="5"/>
      <c r="H6856" s="5"/>
      <c r="I6856" s="5"/>
      <c r="J6856" s="5"/>
      <c r="K6856" s="5"/>
      <c r="L6856" s="5"/>
      <c r="M6856" s="5"/>
      <c r="N6856" s="5"/>
      <c r="O6856" s="5"/>
      <c r="P6856" s="5"/>
      <c r="Q6856" s="5"/>
      <c r="R6856" s="5"/>
      <c r="S6856" s="5"/>
      <c r="T6856" s="5"/>
      <c r="U6856" s="5"/>
      <c r="V6856" s="5"/>
      <c r="W6856" s="5"/>
      <c r="X6856" s="5"/>
      <c r="Y6856" s="5"/>
      <c r="Z6856" s="5"/>
    </row>
    <row r="6857" spans="1:26" ht="15" x14ac:dyDescent="0.25">
      <c r="A6857" s="4" t="s">
        <v>6855</v>
      </c>
      <c r="B6857" s="4" t="s">
        <v>4550</v>
      </c>
      <c r="C6857" s="2" t="str">
        <f ca="1">IFERROR(__xludf.DUMMYFUNCTION("GOOGLETRANSLATE(A6857,""bn"",""en"")"),"He used to walk to the mosque")</f>
        <v>He used to walk to the mosque</v>
      </c>
      <c r="D6857" s="5"/>
      <c r="E6857" s="5"/>
      <c r="F6857" s="5"/>
      <c r="G6857" s="5"/>
      <c r="H6857" s="5"/>
      <c r="I6857" s="5"/>
      <c r="J6857" s="5"/>
      <c r="K6857" s="5"/>
      <c r="L6857" s="5"/>
      <c r="M6857" s="5"/>
      <c r="N6857" s="5"/>
      <c r="O6857" s="5"/>
      <c r="P6857" s="5"/>
      <c r="Q6857" s="5"/>
      <c r="R6857" s="5"/>
      <c r="S6857" s="5"/>
      <c r="T6857" s="5"/>
      <c r="U6857" s="5"/>
      <c r="V6857" s="5"/>
      <c r="W6857" s="5"/>
      <c r="X6857" s="5"/>
      <c r="Y6857" s="5"/>
      <c r="Z6857" s="5"/>
    </row>
    <row r="6858" spans="1:26" ht="15" x14ac:dyDescent="0.25">
      <c r="A6858" s="4" t="s">
        <v>6856</v>
      </c>
      <c r="B6858" s="4" t="s">
        <v>4550</v>
      </c>
      <c r="C6858" s="2" t="str">
        <f ca="1">IFERROR(__xludf.DUMMYFUNCTION("GOOGLETRANSLATE(A6858,""bn"",""en"")"),"I found happiness in traveling")</f>
        <v>I found happiness in traveling</v>
      </c>
      <c r="D6858" s="5"/>
      <c r="E6858" s="5"/>
      <c r="F6858" s="5"/>
      <c r="G6858" s="5"/>
      <c r="H6858" s="5"/>
      <c r="I6858" s="5"/>
      <c r="J6858" s="5"/>
      <c r="K6858" s="5"/>
      <c r="L6858" s="5"/>
      <c r="M6858" s="5"/>
      <c r="N6858" s="5"/>
      <c r="O6858" s="5"/>
      <c r="P6858" s="5"/>
      <c r="Q6858" s="5"/>
      <c r="R6858" s="5"/>
      <c r="S6858" s="5"/>
      <c r="T6858" s="5"/>
      <c r="U6858" s="5"/>
      <c r="V6858" s="5"/>
      <c r="W6858" s="5"/>
      <c r="X6858" s="5"/>
      <c r="Y6858" s="5"/>
      <c r="Z6858" s="5"/>
    </row>
    <row r="6859" spans="1:26" ht="15" x14ac:dyDescent="0.25">
      <c r="A6859" s="4" t="s">
        <v>6857</v>
      </c>
      <c r="B6859" s="4" t="s">
        <v>4550</v>
      </c>
      <c r="C6859" s="2" t="str">
        <f ca="1">IFERROR(__xludf.DUMMYFUNCTION("GOOGLETRANSLATE(A6859,""bn"",""en"")"),"I used to listen to music on my laptop")</f>
        <v>I used to listen to music on my laptop</v>
      </c>
      <c r="D6859" s="5"/>
      <c r="E6859" s="5"/>
      <c r="F6859" s="5"/>
      <c r="G6859" s="5"/>
      <c r="H6859" s="5"/>
      <c r="I6859" s="5"/>
      <c r="J6859" s="5"/>
      <c r="K6859" s="5"/>
      <c r="L6859" s="5"/>
      <c r="M6859" s="5"/>
      <c r="N6859" s="5"/>
      <c r="O6859" s="5"/>
      <c r="P6859" s="5"/>
      <c r="Q6859" s="5"/>
      <c r="R6859" s="5"/>
      <c r="S6859" s="5"/>
      <c r="T6859" s="5"/>
      <c r="U6859" s="5"/>
      <c r="V6859" s="5"/>
      <c r="W6859" s="5"/>
      <c r="X6859" s="5"/>
      <c r="Y6859" s="5"/>
      <c r="Z6859" s="5"/>
    </row>
    <row r="6860" spans="1:26" ht="15" x14ac:dyDescent="0.25">
      <c r="A6860" s="4" t="s">
        <v>6858</v>
      </c>
      <c r="B6860" s="4" t="s">
        <v>4550</v>
      </c>
      <c r="C6860" s="2" t="str">
        <f ca="1">IFERROR(__xludf.DUMMYFUNCTION("GOOGLETRANSLATE(A6860,""bn"",""en"")"),"I was going to the Taj Mahal")</f>
        <v>I was going to the Taj Mahal</v>
      </c>
      <c r="D6860" s="5"/>
      <c r="E6860" s="5"/>
      <c r="F6860" s="5"/>
      <c r="G6860" s="5"/>
      <c r="H6860" s="5"/>
      <c r="I6860" s="5"/>
      <c r="J6860" s="5"/>
      <c r="K6860" s="5"/>
      <c r="L6860" s="5"/>
      <c r="M6860" s="5"/>
      <c r="N6860" s="5"/>
      <c r="O6860" s="5"/>
      <c r="P6860" s="5"/>
      <c r="Q6860" s="5"/>
      <c r="R6860" s="5"/>
      <c r="S6860" s="5"/>
      <c r="T6860" s="5"/>
      <c r="U6860" s="5"/>
      <c r="V6860" s="5"/>
      <c r="W6860" s="5"/>
      <c r="X6860" s="5"/>
      <c r="Y6860" s="5"/>
      <c r="Z6860" s="5"/>
    </row>
    <row r="6861" spans="1:26" ht="15" x14ac:dyDescent="0.25">
      <c r="A6861" s="4" t="s">
        <v>6859</v>
      </c>
      <c r="B6861" s="4" t="s">
        <v>4550</v>
      </c>
      <c r="C6861" s="2" t="str">
        <f ca="1">IFERROR(__xludf.DUMMYFUNCTION("GOOGLETRANSLATE(A6861,""bn"",""en"")"),"I was reading jokes online")</f>
        <v>I was reading jokes online</v>
      </c>
      <c r="D6861" s="5"/>
      <c r="E6861" s="5"/>
      <c r="F6861" s="5"/>
      <c r="G6861" s="5"/>
      <c r="H6861" s="5"/>
      <c r="I6861" s="5"/>
      <c r="J6861" s="5"/>
      <c r="K6861" s="5"/>
      <c r="L6861" s="5"/>
      <c r="M6861" s="5"/>
      <c r="N6861" s="5"/>
      <c r="O6861" s="5"/>
      <c r="P6861" s="5"/>
      <c r="Q6861" s="5"/>
      <c r="R6861" s="5"/>
      <c r="S6861" s="5"/>
      <c r="T6861" s="5"/>
      <c r="U6861" s="5"/>
      <c r="V6861" s="5"/>
      <c r="W6861" s="5"/>
      <c r="X6861" s="5"/>
      <c r="Y6861" s="5"/>
      <c r="Z6861" s="5"/>
    </row>
    <row r="6862" spans="1:26" ht="15" x14ac:dyDescent="0.25">
      <c r="A6862" s="4" t="s">
        <v>6860</v>
      </c>
      <c r="B6862" s="4" t="s">
        <v>4550</v>
      </c>
      <c r="C6862" s="2" t="str">
        <f ca="1">IFERROR(__xludf.DUMMYFUNCTION("GOOGLETRANSLATE(A6862,""bn"",""en"")"),"I used to travel to college")</f>
        <v>I used to travel to college</v>
      </c>
      <c r="D6862" s="5"/>
      <c r="E6862" s="5"/>
      <c r="F6862" s="5"/>
      <c r="G6862" s="5"/>
      <c r="H6862" s="5"/>
      <c r="I6862" s="5"/>
      <c r="J6862" s="5"/>
      <c r="K6862" s="5"/>
      <c r="L6862" s="5"/>
      <c r="M6862" s="5"/>
      <c r="N6862" s="5"/>
      <c r="O6862" s="5"/>
      <c r="P6862" s="5"/>
      <c r="Q6862" s="5"/>
      <c r="R6862" s="5"/>
      <c r="S6862" s="5"/>
      <c r="T6862" s="5"/>
      <c r="U6862" s="5"/>
      <c r="V6862" s="5"/>
      <c r="W6862" s="5"/>
      <c r="X6862" s="5"/>
      <c r="Y6862" s="5"/>
      <c r="Z6862" s="5"/>
    </row>
    <row r="6863" spans="1:26" ht="15" x14ac:dyDescent="0.25">
      <c r="A6863" s="4" t="s">
        <v>6861</v>
      </c>
      <c r="B6863" s="4" t="s">
        <v>4550</v>
      </c>
      <c r="C6863" s="2" t="str">
        <f ca="1">IFERROR(__xludf.DUMMYFUNCTION("GOOGLETRANSLATE(A6863,""bn"",""en"")"),"Researched science")</f>
        <v>Researched science</v>
      </c>
      <c r="D6863" s="5"/>
      <c r="E6863" s="5"/>
      <c r="F6863" s="5"/>
      <c r="G6863" s="5"/>
      <c r="H6863" s="5"/>
      <c r="I6863" s="5"/>
      <c r="J6863" s="5"/>
      <c r="K6863" s="5"/>
      <c r="L6863" s="5"/>
      <c r="M6863" s="5"/>
      <c r="N6863" s="5"/>
      <c r="O6863" s="5"/>
      <c r="P6863" s="5"/>
      <c r="Q6863" s="5"/>
      <c r="R6863" s="5"/>
      <c r="S6863" s="5"/>
      <c r="T6863" s="5"/>
      <c r="U6863" s="5"/>
      <c r="V6863" s="5"/>
      <c r="W6863" s="5"/>
      <c r="X6863" s="5"/>
      <c r="Y6863" s="5"/>
      <c r="Z6863" s="5"/>
    </row>
    <row r="6864" spans="1:26" ht="15" x14ac:dyDescent="0.25">
      <c r="A6864" s="4" t="s">
        <v>6862</v>
      </c>
      <c r="B6864" s="4" t="s">
        <v>4550</v>
      </c>
      <c r="C6864" s="2" t="str">
        <f ca="1">IFERROR(__xludf.DUMMYFUNCTION("GOOGLETRANSLATE(A6864,""bn"",""en"")"),"I did database course")</f>
        <v>I did database course</v>
      </c>
      <c r="D6864" s="5"/>
      <c r="E6864" s="5"/>
      <c r="F6864" s="5"/>
      <c r="G6864" s="5"/>
      <c r="H6864" s="5"/>
      <c r="I6864" s="5"/>
      <c r="J6864" s="5"/>
      <c r="K6864" s="5"/>
      <c r="L6864" s="5"/>
      <c r="M6864" s="5"/>
      <c r="N6864" s="5"/>
      <c r="O6864" s="5"/>
      <c r="P6864" s="5"/>
      <c r="Q6864" s="5"/>
      <c r="R6864" s="5"/>
      <c r="S6864" s="5"/>
      <c r="T6864" s="5"/>
      <c r="U6864" s="5"/>
      <c r="V6864" s="5"/>
      <c r="W6864" s="5"/>
      <c r="X6864" s="5"/>
      <c r="Y6864" s="5"/>
      <c r="Z6864" s="5"/>
    </row>
    <row r="6865" spans="1:26" ht="15" x14ac:dyDescent="0.25">
      <c r="A6865" s="4" t="s">
        <v>6863</v>
      </c>
      <c r="B6865" s="4" t="s">
        <v>4550</v>
      </c>
      <c r="C6865" s="2" t="str">
        <f ca="1">IFERROR(__xludf.DUMMYFUNCTION("GOOGLETRANSLATE(A6865,""bn"",""en"")"),"I got the problem solved")</f>
        <v>I got the problem solved</v>
      </c>
      <c r="D6865" s="5"/>
      <c r="E6865" s="5"/>
      <c r="F6865" s="5"/>
      <c r="G6865" s="5"/>
      <c r="H6865" s="5"/>
      <c r="I6865" s="5"/>
      <c r="J6865" s="5"/>
      <c r="K6865" s="5"/>
      <c r="L6865" s="5"/>
      <c r="M6865" s="5"/>
      <c r="N6865" s="5"/>
      <c r="O6865" s="5"/>
      <c r="P6865" s="5"/>
      <c r="Q6865" s="5"/>
      <c r="R6865" s="5"/>
      <c r="S6865" s="5"/>
      <c r="T6865" s="5"/>
      <c r="U6865" s="5"/>
      <c r="V6865" s="5"/>
      <c r="W6865" s="5"/>
      <c r="X6865" s="5"/>
      <c r="Y6865" s="5"/>
      <c r="Z6865" s="5"/>
    </row>
    <row r="6866" spans="1:26" ht="15" x14ac:dyDescent="0.25">
      <c r="A6866" s="4" t="s">
        <v>6864</v>
      </c>
      <c r="B6866" s="4" t="s">
        <v>4550</v>
      </c>
      <c r="C6866" s="2" t="str">
        <f ca="1">IFERROR(__xludf.DUMMYFUNCTION("GOOGLETRANSLATE(A6866,""bn"",""en"")"),"I was using tab")</f>
        <v>I was using tab</v>
      </c>
      <c r="D6866" s="5"/>
      <c r="E6866" s="5"/>
      <c r="F6866" s="5"/>
      <c r="G6866" s="5"/>
      <c r="H6866" s="5"/>
      <c r="I6866" s="5"/>
      <c r="J6866" s="5"/>
      <c r="K6866" s="5"/>
      <c r="L6866" s="5"/>
      <c r="M6866" s="5"/>
      <c r="N6866" s="5"/>
      <c r="O6866" s="5"/>
      <c r="P6866" s="5"/>
      <c r="Q6866" s="5"/>
      <c r="R6866" s="5"/>
      <c r="S6866" s="5"/>
      <c r="T6866" s="5"/>
      <c r="U6866" s="5"/>
      <c r="V6866" s="5"/>
      <c r="W6866" s="5"/>
      <c r="X6866" s="5"/>
      <c r="Y6866" s="5"/>
      <c r="Z6866" s="5"/>
    </row>
    <row r="6867" spans="1:26" ht="15" x14ac:dyDescent="0.25">
      <c r="A6867" s="4" t="s">
        <v>6865</v>
      </c>
      <c r="B6867" s="4" t="s">
        <v>4550</v>
      </c>
      <c r="C6867" s="2" t="str">
        <f ca="1">IFERROR(__xludf.DUMMYFUNCTION("GOOGLETRANSLATE(A6867,""bn"",""en"")"),"The Prime Minister was having a meeting")</f>
        <v>The Prime Minister was having a meeting</v>
      </c>
      <c r="D6867" s="5"/>
      <c r="E6867" s="5"/>
      <c r="F6867" s="5"/>
      <c r="G6867" s="5"/>
      <c r="H6867" s="5"/>
      <c r="I6867" s="5"/>
      <c r="J6867" s="5"/>
      <c r="K6867" s="5"/>
      <c r="L6867" s="5"/>
      <c r="M6867" s="5"/>
      <c r="N6867" s="5"/>
      <c r="O6867" s="5"/>
      <c r="P6867" s="5"/>
      <c r="Q6867" s="5"/>
      <c r="R6867" s="5"/>
      <c r="S6867" s="5"/>
      <c r="T6867" s="5"/>
      <c r="U6867" s="5"/>
      <c r="V6867" s="5"/>
      <c r="W6867" s="5"/>
      <c r="X6867" s="5"/>
      <c r="Y6867" s="5"/>
      <c r="Z6867" s="5"/>
    </row>
    <row r="6868" spans="1:26" ht="15" x14ac:dyDescent="0.25">
      <c r="A6868" s="4" t="s">
        <v>6866</v>
      </c>
      <c r="B6868" s="4" t="s">
        <v>4550</v>
      </c>
      <c r="C6868" s="2" t="str">
        <f ca="1">IFERROR(__xludf.DUMMYFUNCTION("GOOGLETRANSLATE(A6868,""bn"",""en"")"),"I learned something new")</f>
        <v>I learned something new</v>
      </c>
      <c r="D6868" s="5"/>
      <c r="E6868" s="5"/>
      <c r="F6868" s="5"/>
      <c r="G6868" s="5"/>
      <c r="H6868" s="5"/>
      <c r="I6868" s="5"/>
      <c r="J6868" s="5"/>
      <c r="K6868" s="5"/>
      <c r="L6868" s="5"/>
      <c r="M6868" s="5"/>
      <c r="N6868" s="5"/>
      <c r="O6868" s="5"/>
      <c r="P6868" s="5"/>
      <c r="Q6868" s="5"/>
      <c r="R6868" s="5"/>
      <c r="S6868" s="5"/>
      <c r="T6868" s="5"/>
      <c r="U6868" s="5"/>
      <c r="V6868" s="5"/>
      <c r="W6868" s="5"/>
      <c r="X6868" s="5"/>
      <c r="Y6868" s="5"/>
      <c r="Z6868" s="5"/>
    </row>
    <row r="6869" spans="1:26" ht="15" x14ac:dyDescent="0.25">
      <c r="A6869" s="4" t="s">
        <v>6867</v>
      </c>
      <c r="B6869" s="4" t="s">
        <v>4550</v>
      </c>
      <c r="C6869" s="2" t="str">
        <f ca="1">IFERROR(__xludf.DUMMYFUNCTION("GOOGLETRANSLATE(A6869,""bn"",""en"")"),"The trip boosted morale")</f>
        <v>The trip boosted morale</v>
      </c>
      <c r="D6869" s="5"/>
      <c r="E6869" s="5"/>
      <c r="F6869" s="5"/>
      <c r="G6869" s="5"/>
      <c r="H6869" s="5"/>
      <c r="I6869" s="5"/>
      <c r="J6869" s="5"/>
      <c r="K6869" s="5"/>
      <c r="L6869" s="5"/>
      <c r="M6869" s="5"/>
      <c r="N6869" s="5"/>
      <c r="O6869" s="5"/>
      <c r="P6869" s="5"/>
      <c r="Q6869" s="5"/>
      <c r="R6869" s="5"/>
      <c r="S6869" s="5"/>
      <c r="T6869" s="5"/>
      <c r="U6869" s="5"/>
      <c r="V6869" s="5"/>
      <c r="W6869" s="5"/>
      <c r="X6869" s="5"/>
      <c r="Y6869" s="5"/>
      <c r="Z6869" s="5"/>
    </row>
    <row r="6870" spans="1:26" ht="15" x14ac:dyDescent="0.25">
      <c r="A6870" s="4" t="s">
        <v>6868</v>
      </c>
      <c r="B6870" s="4" t="s">
        <v>4550</v>
      </c>
      <c r="C6870" s="2" t="str">
        <f ca="1">IFERROR(__xludf.DUMMYFUNCTION("GOOGLETRANSLATE(A6870,""bn"",""en"")"),"I went to the college cafeteria")</f>
        <v>I went to the college cafeteria</v>
      </c>
      <c r="D6870" s="5"/>
      <c r="E6870" s="5"/>
      <c r="F6870" s="5"/>
      <c r="G6870" s="5"/>
      <c r="H6870" s="5"/>
      <c r="I6870" s="5"/>
      <c r="J6870" s="5"/>
      <c r="K6870" s="5"/>
      <c r="L6870" s="5"/>
      <c r="M6870" s="5"/>
      <c r="N6870" s="5"/>
      <c r="O6870" s="5"/>
      <c r="P6870" s="5"/>
      <c r="Q6870" s="5"/>
      <c r="R6870" s="5"/>
      <c r="S6870" s="5"/>
      <c r="T6870" s="5"/>
      <c r="U6870" s="5"/>
      <c r="V6870" s="5"/>
      <c r="W6870" s="5"/>
      <c r="X6870" s="5"/>
      <c r="Y6870" s="5"/>
      <c r="Z6870" s="5"/>
    </row>
    <row r="6871" spans="1:26" ht="15" x14ac:dyDescent="0.25">
      <c r="A6871" s="4" t="s">
        <v>6869</v>
      </c>
      <c r="B6871" s="4" t="s">
        <v>4550</v>
      </c>
      <c r="C6871" s="2" t="str">
        <f ca="1">IFERROR(__xludf.DUMMYFUNCTION("GOOGLETRANSLATE(A6871,""bn"",""en"")"),"He was singing in his spare time")</f>
        <v>He was singing in his spare time</v>
      </c>
      <c r="D6871" s="5"/>
      <c r="E6871" s="5"/>
      <c r="F6871" s="5"/>
      <c r="G6871" s="5"/>
      <c r="H6871" s="5"/>
      <c r="I6871" s="5"/>
      <c r="J6871" s="5"/>
      <c r="K6871" s="5"/>
      <c r="L6871" s="5"/>
      <c r="M6871" s="5"/>
      <c r="N6871" s="5"/>
      <c r="O6871" s="5"/>
      <c r="P6871" s="5"/>
      <c r="Q6871" s="5"/>
      <c r="R6871" s="5"/>
      <c r="S6871" s="5"/>
      <c r="T6871" s="5"/>
      <c r="U6871" s="5"/>
      <c r="V6871" s="5"/>
      <c r="W6871" s="5"/>
      <c r="X6871" s="5"/>
      <c r="Y6871" s="5"/>
      <c r="Z6871" s="5"/>
    </row>
    <row r="6872" spans="1:26" ht="15" x14ac:dyDescent="0.25">
      <c r="A6872" s="4" t="s">
        <v>6870</v>
      </c>
      <c r="B6872" s="4" t="s">
        <v>4550</v>
      </c>
      <c r="C6872" s="2" t="str">
        <f ca="1">IFERROR(__xludf.DUMMYFUNCTION("GOOGLETRANSLATE(A6872,""bn"",""en"")"),"People were meeting")</f>
        <v>People were meeting</v>
      </c>
      <c r="D6872" s="5"/>
      <c r="E6872" s="5"/>
      <c r="F6872" s="5"/>
      <c r="G6872" s="5"/>
      <c r="H6872" s="5"/>
      <c r="I6872" s="5"/>
      <c r="J6872" s="5"/>
      <c r="K6872" s="5"/>
      <c r="L6872" s="5"/>
      <c r="M6872" s="5"/>
      <c r="N6872" s="5"/>
      <c r="O6872" s="5"/>
      <c r="P6872" s="5"/>
      <c r="Q6872" s="5"/>
      <c r="R6872" s="5"/>
      <c r="S6872" s="5"/>
      <c r="T6872" s="5"/>
      <c r="U6872" s="5"/>
      <c r="V6872" s="5"/>
      <c r="W6872" s="5"/>
      <c r="X6872" s="5"/>
      <c r="Y6872" s="5"/>
      <c r="Z6872" s="5"/>
    </row>
    <row r="6873" spans="1:26" ht="15" x14ac:dyDescent="0.25">
      <c r="A6873" s="4" t="s">
        <v>6871</v>
      </c>
      <c r="B6873" s="4" t="s">
        <v>4550</v>
      </c>
      <c r="C6873" s="2" t="str">
        <f ca="1">IFERROR(__xludf.DUMMYFUNCTION("GOOGLETRANSLATE(A6873,""bn"",""en"")"),"Was praying")</f>
        <v>Was praying</v>
      </c>
      <c r="D6873" s="5"/>
      <c r="E6873" s="5"/>
      <c r="F6873" s="5"/>
      <c r="G6873" s="5"/>
      <c r="H6873" s="5"/>
      <c r="I6873" s="5"/>
      <c r="J6873" s="5"/>
      <c r="K6873" s="5"/>
      <c r="L6873" s="5"/>
      <c r="M6873" s="5"/>
      <c r="N6873" s="5"/>
      <c r="O6873" s="5"/>
      <c r="P6873" s="5"/>
      <c r="Q6873" s="5"/>
      <c r="R6873" s="5"/>
      <c r="S6873" s="5"/>
      <c r="T6873" s="5"/>
      <c r="U6873" s="5"/>
      <c r="V6873" s="5"/>
      <c r="W6873" s="5"/>
      <c r="X6873" s="5"/>
      <c r="Y6873" s="5"/>
      <c r="Z6873" s="5"/>
    </row>
    <row r="6874" spans="1:26" ht="15" x14ac:dyDescent="0.25">
      <c r="A6874" s="4" t="s">
        <v>6872</v>
      </c>
      <c r="B6874" s="4" t="s">
        <v>4550</v>
      </c>
      <c r="C6874" s="2" t="str">
        <f ca="1">IFERROR(__xludf.DUMMYFUNCTION("GOOGLETRANSLATE(A6874,""bn"",""en"")"),"I was learning internet business")</f>
        <v>I was learning internet business</v>
      </c>
      <c r="D6874" s="5"/>
      <c r="E6874" s="5"/>
      <c r="F6874" s="5"/>
      <c r="G6874" s="5"/>
      <c r="H6874" s="5"/>
      <c r="I6874" s="5"/>
      <c r="J6874" s="5"/>
      <c r="K6874" s="5"/>
      <c r="L6874" s="5"/>
      <c r="M6874" s="5"/>
      <c r="N6874" s="5"/>
      <c r="O6874" s="5"/>
      <c r="P6874" s="5"/>
      <c r="Q6874" s="5"/>
      <c r="R6874" s="5"/>
      <c r="S6874" s="5"/>
      <c r="T6874" s="5"/>
      <c r="U6874" s="5"/>
      <c r="V6874" s="5"/>
      <c r="W6874" s="5"/>
      <c r="X6874" s="5"/>
      <c r="Y6874" s="5"/>
      <c r="Z6874" s="5"/>
    </row>
    <row r="6875" spans="1:26" ht="15" x14ac:dyDescent="0.25">
      <c r="A6875" s="4" t="s">
        <v>6873</v>
      </c>
      <c r="B6875" s="4" t="s">
        <v>4550</v>
      </c>
      <c r="C6875" s="2" t="str">
        <f ca="1">IFERROR(__xludf.DUMMYFUNCTION("GOOGLETRANSLATE(A6875,""bn"",""en"")"),"The beauty of the campus increased")</f>
        <v>The beauty of the campus increased</v>
      </c>
      <c r="D6875" s="5"/>
      <c r="E6875" s="5"/>
      <c r="F6875" s="5"/>
      <c r="G6875" s="5"/>
      <c r="H6875" s="5"/>
      <c r="I6875" s="5"/>
      <c r="J6875" s="5"/>
      <c r="K6875" s="5"/>
      <c r="L6875" s="5"/>
      <c r="M6875" s="5"/>
      <c r="N6875" s="5"/>
      <c r="O6875" s="5"/>
      <c r="P6875" s="5"/>
      <c r="Q6875" s="5"/>
      <c r="R6875" s="5"/>
      <c r="S6875" s="5"/>
      <c r="T6875" s="5"/>
      <c r="U6875" s="5"/>
      <c r="V6875" s="5"/>
      <c r="W6875" s="5"/>
      <c r="X6875" s="5"/>
      <c r="Y6875" s="5"/>
      <c r="Z6875" s="5"/>
    </row>
    <row r="6876" spans="1:26" ht="15" x14ac:dyDescent="0.25">
      <c r="A6876" s="4" t="s">
        <v>6874</v>
      </c>
      <c r="B6876" s="4" t="s">
        <v>4550</v>
      </c>
      <c r="C6876" s="2" t="str">
        <f ca="1">IFERROR(__xludf.DUMMYFUNCTION("GOOGLETRANSLATE(A6876,""bn"",""en"")"),"I was planning a trip")</f>
        <v>I was planning a trip</v>
      </c>
      <c r="D6876" s="5"/>
      <c r="E6876" s="5"/>
      <c r="F6876" s="5"/>
      <c r="G6876" s="5"/>
      <c r="H6876" s="5"/>
      <c r="I6876" s="5"/>
      <c r="J6876" s="5"/>
      <c r="K6876" s="5"/>
      <c r="L6876" s="5"/>
      <c r="M6876" s="5"/>
      <c r="N6876" s="5"/>
      <c r="O6876" s="5"/>
      <c r="P6876" s="5"/>
      <c r="Q6876" s="5"/>
      <c r="R6876" s="5"/>
      <c r="S6876" s="5"/>
      <c r="T6876" s="5"/>
      <c r="U6876" s="5"/>
      <c r="V6876" s="5"/>
      <c r="W6876" s="5"/>
      <c r="X6876" s="5"/>
      <c r="Y6876" s="5"/>
      <c r="Z6876" s="5"/>
    </row>
    <row r="6877" spans="1:26" ht="15" x14ac:dyDescent="0.25">
      <c r="A6877" s="4" t="s">
        <v>6875</v>
      </c>
      <c r="B6877" s="4" t="s">
        <v>4550</v>
      </c>
      <c r="C6877" s="2" t="str">
        <f ca="1">IFERROR(__xludf.DUMMYFUNCTION("GOOGLETRANSLATE(A6877,""bn"",""en"")"),"Enjoyed using mobile")</f>
        <v>Enjoyed using mobile</v>
      </c>
      <c r="D6877" s="5"/>
      <c r="E6877" s="5"/>
      <c r="F6877" s="5"/>
      <c r="G6877" s="5"/>
      <c r="H6877" s="5"/>
      <c r="I6877" s="5"/>
      <c r="J6877" s="5"/>
      <c r="K6877" s="5"/>
      <c r="L6877" s="5"/>
      <c r="M6877" s="5"/>
      <c r="N6877" s="5"/>
      <c r="O6877" s="5"/>
      <c r="P6877" s="5"/>
      <c r="Q6877" s="5"/>
      <c r="R6877" s="5"/>
      <c r="S6877" s="5"/>
      <c r="T6877" s="5"/>
      <c r="U6877" s="5"/>
      <c r="V6877" s="5"/>
      <c r="W6877" s="5"/>
      <c r="X6877" s="5"/>
      <c r="Y6877" s="5"/>
      <c r="Z6877" s="5"/>
    </row>
    <row r="6878" spans="1:26" ht="15" x14ac:dyDescent="0.25">
      <c r="A6878" s="4" t="s">
        <v>6876</v>
      </c>
      <c r="B6878" s="4" t="s">
        <v>4550</v>
      </c>
      <c r="C6878" s="2" t="str">
        <f ca="1">IFERROR(__xludf.DUMMYFUNCTION("GOOGLETRANSLATE(A6878,""bn"",""en"")"),"I was enrolling for the semester")</f>
        <v>I was enrolling for the semester</v>
      </c>
      <c r="D6878" s="5"/>
      <c r="E6878" s="5"/>
      <c r="F6878" s="5"/>
      <c r="G6878" s="5"/>
      <c r="H6878" s="5"/>
      <c r="I6878" s="5"/>
      <c r="J6878" s="5"/>
      <c r="K6878" s="5"/>
      <c r="L6878" s="5"/>
      <c r="M6878" s="5"/>
      <c r="N6878" s="5"/>
      <c r="O6878" s="5"/>
      <c r="P6878" s="5"/>
      <c r="Q6878" s="5"/>
      <c r="R6878" s="5"/>
      <c r="S6878" s="5"/>
      <c r="T6878" s="5"/>
      <c r="U6878" s="5"/>
      <c r="V6878" s="5"/>
      <c r="W6878" s="5"/>
      <c r="X6878" s="5"/>
      <c r="Y6878" s="5"/>
      <c r="Z6878" s="5"/>
    </row>
    <row r="6879" spans="1:26" ht="15" x14ac:dyDescent="0.25">
      <c r="A6879" s="4" t="s">
        <v>6877</v>
      </c>
      <c r="B6879" s="4" t="s">
        <v>4550</v>
      </c>
      <c r="C6879" s="2" t="str">
        <f ca="1">IFERROR(__xludf.DUMMYFUNCTION("GOOGLETRANSLATE(A6879,""bn"",""en"")"),"Windows was becoming popular")</f>
        <v>Windows was becoming popular</v>
      </c>
      <c r="D6879" s="5"/>
      <c r="E6879" s="5"/>
      <c r="F6879" s="5"/>
      <c r="G6879" s="5"/>
      <c r="H6879" s="5"/>
      <c r="I6879" s="5"/>
      <c r="J6879" s="5"/>
      <c r="K6879" s="5"/>
      <c r="L6879" s="5"/>
      <c r="M6879" s="5"/>
      <c r="N6879" s="5"/>
      <c r="O6879" s="5"/>
      <c r="P6879" s="5"/>
      <c r="Q6879" s="5"/>
      <c r="R6879" s="5"/>
      <c r="S6879" s="5"/>
      <c r="T6879" s="5"/>
      <c r="U6879" s="5"/>
      <c r="V6879" s="5"/>
      <c r="W6879" s="5"/>
      <c r="X6879" s="5"/>
      <c r="Y6879" s="5"/>
      <c r="Z6879" s="5"/>
    </row>
    <row r="6880" spans="1:26" ht="15" x14ac:dyDescent="0.25">
      <c r="A6880" s="4" t="s">
        <v>6878</v>
      </c>
      <c r="B6880" s="4" t="s">
        <v>4550</v>
      </c>
      <c r="C6880" s="2" t="str">
        <f ca="1">IFERROR(__xludf.DUMMYFUNCTION("GOOGLETRANSLATE(A6880,""bn"",""en"")"),"Physical exercise was done in sports")</f>
        <v>Physical exercise was done in sports</v>
      </c>
      <c r="D6880" s="5"/>
      <c r="E6880" s="5"/>
      <c r="F6880" s="5"/>
      <c r="G6880" s="5"/>
      <c r="H6880" s="5"/>
      <c r="I6880" s="5"/>
      <c r="J6880" s="5"/>
      <c r="K6880" s="5"/>
      <c r="L6880" s="5"/>
      <c r="M6880" s="5"/>
      <c r="N6880" s="5"/>
      <c r="O6880" s="5"/>
      <c r="P6880" s="5"/>
      <c r="Q6880" s="5"/>
      <c r="R6880" s="5"/>
      <c r="S6880" s="5"/>
      <c r="T6880" s="5"/>
      <c r="U6880" s="5"/>
      <c r="V6880" s="5"/>
      <c r="W6880" s="5"/>
      <c r="X6880" s="5"/>
      <c r="Y6880" s="5"/>
      <c r="Z6880" s="5"/>
    </row>
    <row r="6881" spans="1:26" ht="15" x14ac:dyDescent="0.25">
      <c r="A6881" s="4" t="s">
        <v>6879</v>
      </c>
      <c r="B6881" s="4" t="s">
        <v>4550</v>
      </c>
      <c r="C6881" s="2" t="str">
        <f ca="1">IFERROR(__xludf.DUMMYFUNCTION("GOOGLETRANSLATE(A6881,""bn"",""en"")"),"I did my homework")</f>
        <v>I did my homework</v>
      </c>
      <c r="D6881" s="5"/>
      <c r="E6881" s="5"/>
      <c r="F6881" s="5"/>
      <c r="G6881" s="5"/>
      <c r="H6881" s="5"/>
      <c r="I6881" s="5"/>
      <c r="J6881" s="5"/>
      <c r="K6881" s="5"/>
      <c r="L6881" s="5"/>
      <c r="M6881" s="5"/>
      <c r="N6881" s="5"/>
      <c r="O6881" s="5"/>
      <c r="P6881" s="5"/>
      <c r="Q6881" s="5"/>
      <c r="R6881" s="5"/>
      <c r="S6881" s="5"/>
      <c r="T6881" s="5"/>
      <c r="U6881" s="5"/>
      <c r="V6881" s="5"/>
      <c r="W6881" s="5"/>
      <c r="X6881" s="5"/>
      <c r="Y6881" s="5"/>
      <c r="Z6881" s="5"/>
    </row>
    <row r="6882" spans="1:26" ht="15" x14ac:dyDescent="0.25">
      <c r="A6882" s="4" t="s">
        <v>6880</v>
      </c>
      <c r="B6882" s="4" t="s">
        <v>4550</v>
      </c>
      <c r="C6882" s="2" t="str">
        <f ca="1">IFERROR(__xludf.DUMMYFUNCTION("GOOGLETRANSLATE(A6882,""bn"",""en"")"),"The sailors were steering the ship")</f>
        <v>The sailors were steering the ship</v>
      </c>
      <c r="D6882" s="5"/>
      <c r="E6882" s="5"/>
      <c r="F6882" s="5"/>
      <c r="G6882" s="5"/>
      <c r="H6882" s="5"/>
      <c r="I6882" s="5"/>
      <c r="J6882" s="5"/>
      <c r="K6882" s="5"/>
      <c r="L6882" s="5"/>
      <c r="M6882" s="5"/>
      <c r="N6882" s="5"/>
      <c r="O6882" s="5"/>
      <c r="P6882" s="5"/>
      <c r="Q6882" s="5"/>
      <c r="R6882" s="5"/>
      <c r="S6882" s="5"/>
      <c r="T6882" s="5"/>
      <c r="U6882" s="5"/>
      <c r="V6882" s="5"/>
      <c r="W6882" s="5"/>
      <c r="X6882" s="5"/>
      <c r="Y6882" s="5"/>
      <c r="Z6882" s="5"/>
    </row>
    <row r="6883" spans="1:26" ht="15" x14ac:dyDescent="0.25">
      <c r="A6883" s="4" t="s">
        <v>6881</v>
      </c>
      <c r="B6883" s="4" t="s">
        <v>4550</v>
      </c>
      <c r="C6883" s="2" t="str">
        <f ca="1">IFERROR(__xludf.DUMMYFUNCTION("GOOGLETRANSLATE(A6883,""bn"",""en"")"),"Sailors made their living sailing ships")</f>
        <v>Sailors made their living sailing ships</v>
      </c>
      <c r="D6883" s="5"/>
      <c r="E6883" s="5"/>
      <c r="F6883" s="5"/>
      <c r="G6883" s="5"/>
      <c r="H6883" s="5"/>
      <c r="I6883" s="5"/>
      <c r="J6883" s="5"/>
      <c r="K6883" s="5"/>
      <c r="L6883" s="5"/>
      <c r="M6883" s="5"/>
      <c r="N6883" s="5"/>
      <c r="O6883" s="5"/>
      <c r="P6883" s="5"/>
      <c r="Q6883" s="5"/>
      <c r="R6883" s="5"/>
      <c r="S6883" s="5"/>
      <c r="T6883" s="5"/>
      <c r="U6883" s="5"/>
      <c r="V6883" s="5"/>
      <c r="W6883" s="5"/>
      <c r="X6883" s="5"/>
      <c r="Y6883" s="5"/>
      <c r="Z6883" s="5"/>
    </row>
    <row r="6884" spans="1:26" ht="15" x14ac:dyDescent="0.25">
      <c r="A6884" s="4" t="s">
        <v>6882</v>
      </c>
      <c r="B6884" s="4" t="s">
        <v>4550</v>
      </c>
      <c r="C6884" s="2" t="str">
        <f ca="1">IFERROR(__xludf.DUMMYFUNCTION("GOOGLETRANSLATE(A6884,""bn"",""en"")"),"I made noise")</f>
        <v>I made noise</v>
      </c>
      <c r="D6884" s="5"/>
      <c r="E6884" s="5"/>
      <c r="F6884" s="5"/>
      <c r="G6884" s="5"/>
      <c r="H6884" s="5"/>
      <c r="I6884" s="5"/>
      <c r="J6884" s="5"/>
      <c r="K6884" s="5"/>
      <c r="L6884" s="5"/>
      <c r="M6884" s="5"/>
      <c r="N6884" s="5"/>
      <c r="O6884" s="5"/>
      <c r="P6884" s="5"/>
      <c r="Q6884" s="5"/>
      <c r="R6884" s="5"/>
      <c r="S6884" s="5"/>
      <c r="T6884" s="5"/>
      <c r="U6884" s="5"/>
      <c r="V6884" s="5"/>
      <c r="W6884" s="5"/>
      <c r="X6884" s="5"/>
      <c r="Y6884" s="5"/>
      <c r="Z6884" s="5"/>
    </row>
    <row r="6885" spans="1:26" ht="15" x14ac:dyDescent="0.25">
      <c r="A6885" s="4" t="s">
        <v>6883</v>
      </c>
      <c r="B6885" s="4" t="s">
        <v>4550</v>
      </c>
      <c r="C6885" s="2" t="str">
        <f ca="1">IFERROR(__xludf.DUMMYFUNCTION("GOOGLETRANSLATE(A6885,""bn"",""en"")"),"The Prime Minister was discussing")</f>
        <v>The Prime Minister was discussing</v>
      </c>
      <c r="D6885" s="5"/>
      <c r="E6885" s="5"/>
      <c r="F6885" s="5"/>
      <c r="G6885" s="5"/>
      <c r="H6885" s="5"/>
      <c r="I6885" s="5"/>
      <c r="J6885" s="5"/>
      <c r="K6885" s="5"/>
      <c r="L6885" s="5"/>
      <c r="M6885" s="5"/>
      <c r="N6885" s="5"/>
      <c r="O6885" s="5"/>
      <c r="P6885" s="5"/>
      <c r="Q6885" s="5"/>
      <c r="R6885" s="5"/>
      <c r="S6885" s="5"/>
      <c r="T6885" s="5"/>
      <c r="U6885" s="5"/>
      <c r="V6885" s="5"/>
      <c r="W6885" s="5"/>
      <c r="X6885" s="5"/>
      <c r="Y6885" s="5"/>
      <c r="Z6885" s="5"/>
    </row>
    <row r="6886" spans="1:26" ht="15" x14ac:dyDescent="0.25">
      <c r="A6886" s="4" t="s">
        <v>6884</v>
      </c>
      <c r="B6886" s="4" t="s">
        <v>4550</v>
      </c>
      <c r="C6886" s="2" t="str">
        <f ca="1">IFERROR(__xludf.DUMMYFUNCTION("GOOGLETRANSLATE(A6886,""bn"",""en"")"),"I was using a drone")</f>
        <v>I was using a drone</v>
      </c>
      <c r="D6886" s="5"/>
      <c r="E6886" s="5"/>
      <c r="F6886" s="5"/>
      <c r="G6886" s="5"/>
      <c r="H6886" s="5"/>
      <c r="I6886" s="5"/>
      <c r="J6886" s="5"/>
      <c r="K6886" s="5"/>
      <c r="L6886" s="5"/>
      <c r="M6886" s="5"/>
      <c r="N6886" s="5"/>
      <c r="O6886" s="5"/>
      <c r="P6886" s="5"/>
      <c r="Q6886" s="5"/>
      <c r="R6886" s="5"/>
      <c r="S6886" s="5"/>
      <c r="T6886" s="5"/>
      <c r="U6886" s="5"/>
      <c r="V6886" s="5"/>
      <c r="W6886" s="5"/>
      <c r="X6886" s="5"/>
      <c r="Y6886" s="5"/>
      <c r="Z6886" s="5"/>
    </row>
    <row r="6887" spans="1:26" ht="15" x14ac:dyDescent="0.25">
      <c r="A6887" s="4" t="s">
        <v>6885</v>
      </c>
      <c r="B6887" s="4" t="s">
        <v>4550</v>
      </c>
      <c r="C6887" s="2" t="str">
        <f ca="1">IFERROR(__xludf.DUMMYFUNCTION("GOOGLETRANSLATE(A6887,""bn"",""en"")"),"Financial development took place")</f>
        <v>Financial development took place</v>
      </c>
      <c r="D6887" s="5"/>
      <c r="E6887" s="5"/>
      <c r="F6887" s="5"/>
      <c r="G6887" s="5"/>
      <c r="H6887" s="5"/>
      <c r="I6887" s="5"/>
      <c r="J6887" s="5"/>
      <c r="K6887" s="5"/>
      <c r="L6887" s="5"/>
      <c r="M6887" s="5"/>
      <c r="N6887" s="5"/>
      <c r="O6887" s="5"/>
      <c r="P6887" s="5"/>
      <c r="Q6887" s="5"/>
      <c r="R6887" s="5"/>
      <c r="S6887" s="5"/>
      <c r="T6887" s="5"/>
      <c r="U6887" s="5"/>
      <c r="V6887" s="5"/>
      <c r="W6887" s="5"/>
      <c r="X6887" s="5"/>
      <c r="Y6887" s="5"/>
      <c r="Z6887" s="5"/>
    </row>
    <row r="6888" spans="1:26" ht="15" x14ac:dyDescent="0.25">
      <c r="A6888" s="4" t="s">
        <v>6886</v>
      </c>
      <c r="B6888" s="4" t="s">
        <v>4550</v>
      </c>
      <c r="C6888" s="2" t="str">
        <f ca="1">IFERROR(__xludf.DUMMYFUNCTION("GOOGLETRANSLATE(A6888,""bn"",""en"")"),"you did the math")</f>
        <v>you did the math</v>
      </c>
      <c r="D6888" s="5"/>
      <c r="E6888" s="5"/>
      <c r="F6888" s="5"/>
      <c r="G6888" s="5"/>
      <c r="H6888" s="5"/>
      <c r="I6888" s="5"/>
      <c r="J6888" s="5"/>
      <c r="K6888" s="5"/>
      <c r="L6888" s="5"/>
      <c r="M6888" s="5"/>
      <c r="N6888" s="5"/>
      <c r="O6888" s="5"/>
      <c r="P6888" s="5"/>
      <c r="Q6888" s="5"/>
      <c r="R6888" s="5"/>
      <c r="S6888" s="5"/>
      <c r="T6888" s="5"/>
      <c r="U6888" s="5"/>
      <c r="V6888" s="5"/>
      <c r="W6888" s="5"/>
      <c r="X6888" s="5"/>
      <c r="Y6888" s="5"/>
      <c r="Z6888" s="5"/>
    </row>
    <row r="6889" spans="1:26" ht="15" x14ac:dyDescent="0.25">
      <c r="A6889" s="4" t="s">
        <v>6887</v>
      </c>
      <c r="B6889" s="4" t="s">
        <v>4550</v>
      </c>
      <c r="C6889" s="2" t="str">
        <f ca="1">IFERROR(__xludf.DUMMYFUNCTION("GOOGLETRANSLATE(A6889,""bn"",""en"")"),"I studied in college")</f>
        <v>I studied in college</v>
      </c>
      <c r="D6889" s="5"/>
      <c r="E6889" s="5"/>
      <c r="F6889" s="5"/>
      <c r="G6889" s="5"/>
      <c r="H6889" s="5"/>
      <c r="I6889" s="5"/>
      <c r="J6889" s="5"/>
      <c r="K6889" s="5"/>
      <c r="L6889" s="5"/>
      <c r="M6889" s="5"/>
      <c r="N6889" s="5"/>
      <c r="O6889" s="5"/>
      <c r="P6889" s="5"/>
      <c r="Q6889" s="5"/>
      <c r="R6889" s="5"/>
      <c r="S6889" s="5"/>
      <c r="T6889" s="5"/>
      <c r="U6889" s="5"/>
      <c r="V6889" s="5"/>
      <c r="W6889" s="5"/>
      <c r="X6889" s="5"/>
      <c r="Y6889" s="5"/>
      <c r="Z6889" s="5"/>
    </row>
    <row r="6890" spans="1:26" ht="15" x14ac:dyDescent="0.25">
      <c r="A6890" s="4" t="s">
        <v>6888</v>
      </c>
      <c r="B6890" s="4" t="s">
        <v>4550</v>
      </c>
      <c r="C6890" s="2" t="str">
        <f ca="1">IFERROR(__xludf.DUMMYFUNCTION("GOOGLETRANSLATE(A6890,""bn"",""en"")"),"The game was opening")</f>
        <v>The game was opening</v>
      </c>
      <c r="D6890" s="5"/>
      <c r="E6890" s="5"/>
      <c r="F6890" s="5"/>
      <c r="G6890" s="5"/>
      <c r="H6890" s="5"/>
      <c r="I6890" s="5"/>
      <c r="J6890" s="5"/>
      <c r="K6890" s="5"/>
      <c r="L6890" s="5"/>
      <c r="M6890" s="5"/>
      <c r="N6890" s="5"/>
      <c r="O6890" s="5"/>
      <c r="P6890" s="5"/>
      <c r="Q6890" s="5"/>
      <c r="R6890" s="5"/>
      <c r="S6890" s="5"/>
      <c r="T6890" s="5"/>
      <c r="U6890" s="5"/>
      <c r="V6890" s="5"/>
      <c r="W6890" s="5"/>
      <c r="X6890" s="5"/>
      <c r="Y6890" s="5"/>
      <c r="Z6890" s="5"/>
    </row>
    <row r="6891" spans="1:26" ht="15" x14ac:dyDescent="0.25">
      <c r="A6891" s="4" t="s">
        <v>6889</v>
      </c>
      <c r="B6891" s="4" t="s">
        <v>4550</v>
      </c>
      <c r="C6891" s="2" t="str">
        <f ca="1">IFERROR(__xludf.DUMMYFUNCTION("GOOGLETRANSLATE(A6891,""bn"",""en"")"),"I was operating on Linux")</f>
        <v>I was operating on Linux</v>
      </c>
      <c r="D6891" s="5"/>
      <c r="E6891" s="5"/>
      <c r="F6891" s="5"/>
      <c r="G6891" s="5"/>
      <c r="H6891" s="5"/>
      <c r="I6891" s="5"/>
      <c r="J6891" s="5"/>
      <c r="K6891" s="5"/>
      <c r="L6891" s="5"/>
      <c r="M6891" s="5"/>
      <c r="N6891" s="5"/>
      <c r="O6891" s="5"/>
      <c r="P6891" s="5"/>
      <c r="Q6891" s="5"/>
      <c r="R6891" s="5"/>
      <c r="S6891" s="5"/>
      <c r="T6891" s="5"/>
      <c r="U6891" s="5"/>
      <c r="V6891" s="5"/>
      <c r="W6891" s="5"/>
      <c r="X6891" s="5"/>
      <c r="Y6891" s="5"/>
      <c r="Z6891" s="5"/>
    </row>
    <row r="6892" spans="1:26" ht="15" x14ac:dyDescent="0.25">
      <c r="A6892" s="4" t="s">
        <v>6890</v>
      </c>
      <c r="B6892" s="4" t="s">
        <v>4550</v>
      </c>
      <c r="C6892" s="2" t="str">
        <f ca="1">IFERROR(__xludf.DUMMYFUNCTION("GOOGLETRANSLATE(A6892,""bn"",""en"")"),"Knowledge was needed")</f>
        <v>Knowledge was needed</v>
      </c>
      <c r="D6892" s="5"/>
      <c r="E6892" s="5"/>
      <c r="F6892" s="5"/>
      <c r="G6892" s="5"/>
      <c r="H6892" s="5"/>
      <c r="I6892" s="5"/>
      <c r="J6892" s="5"/>
      <c r="K6892" s="5"/>
      <c r="L6892" s="5"/>
      <c r="M6892" s="5"/>
      <c r="N6892" s="5"/>
      <c r="O6892" s="5"/>
      <c r="P6892" s="5"/>
      <c r="Q6892" s="5"/>
      <c r="R6892" s="5"/>
      <c r="S6892" s="5"/>
      <c r="T6892" s="5"/>
      <c r="U6892" s="5"/>
      <c r="V6892" s="5"/>
      <c r="W6892" s="5"/>
      <c r="X6892" s="5"/>
      <c r="Y6892" s="5"/>
      <c r="Z6892" s="5"/>
    </row>
    <row r="6893" spans="1:26" ht="15" x14ac:dyDescent="0.25">
      <c r="A6893" s="4" t="s">
        <v>6891</v>
      </c>
      <c r="B6893" s="4" t="s">
        <v>4550</v>
      </c>
      <c r="C6893" s="2" t="str">
        <f ca="1">IFERROR(__xludf.DUMMYFUNCTION("GOOGLETRANSLATE(A6893,""bn"",""en"")"),"I was buying new headphones")</f>
        <v>I was buying new headphones</v>
      </c>
      <c r="D6893" s="5"/>
      <c r="E6893" s="5"/>
      <c r="F6893" s="5"/>
      <c r="G6893" s="5"/>
      <c r="H6893" s="5"/>
      <c r="I6893" s="5"/>
      <c r="J6893" s="5"/>
      <c r="K6893" s="5"/>
      <c r="L6893" s="5"/>
      <c r="M6893" s="5"/>
      <c r="N6893" s="5"/>
      <c r="O6893" s="5"/>
      <c r="P6893" s="5"/>
      <c r="Q6893" s="5"/>
      <c r="R6893" s="5"/>
      <c r="S6893" s="5"/>
      <c r="T6893" s="5"/>
      <c r="U6893" s="5"/>
      <c r="V6893" s="5"/>
      <c r="W6893" s="5"/>
      <c r="X6893" s="5"/>
      <c r="Y6893" s="5"/>
      <c r="Z6893" s="5"/>
    </row>
    <row r="6894" spans="1:26" ht="15" x14ac:dyDescent="0.25">
      <c r="A6894" s="4" t="s">
        <v>6892</v>
      </c>
      <c r="B6894" s="4" t="s">
        <v>4550</v>
      </c>
      <c r="C6894" s="2" t="str">
        <f ca="1">IFERROR(__xludf.DUMMYFUNCTION("GOOGLETRANSLATE(A6894,""bn"",""en"")"),"Rasmalai Khelam of Comilla")</f>
        <v>Rasmalai Khelam of Comilla</v>
      </c>
      <c r="D6894" s="5"/>
      <c r="E6894" s="5"/>
      <c r="F6894" s="5"/>
      <c r="G6894" s="5"/>
      <c r="H6894" s="5"/>
      <c r="I6894" s="5"/>
      <c r="J6894" s="5"/>
      <c r="K6894" s="5"/>
      <c r="L6894" s="5"/>
      <c r="M6894" s="5"/>
      <c r="N6894" s="5"/>
      <c r="O6894" s="5"/>
      <c r="P6894" s="5"/>
      <c r="Q6894" s="5"/>
      <c r="R6894" s="5"/>
      <c r="S6894" s="5"/>
      <c r="T6894" s="5"/>
      <c r="U6894" s="5"/>
      <c r="V6894" s="5"/>
      <c r="W6894" s="5"/>
      <c r="X6894" s="5"/>
      <c r="Y6894" s="5"/>
      <c r="Z6894" s="5"/>
    </row>
    <row r="6895" spans="1:26" ht="15" x14ac:dyDescent="0.25">
      <c r="A6895" s="4" t="s">
        <v>6893</v>
      </c>
      <c r="B6895" s="4" t="s">
        <v>4550</v>
      </c>
      <c r="C6895" s="2" t="str">
        <f ca="1">IFERROR(__xludf.DUMMYFUNCTION("GOOGLETRANSLATE(A6895,""bn"",""en"")"),"Wanted to see the Taj Mahal")</f>
        <v>Wanted to see the Taj Mahal</v>
      </c>
      <c r="D6895" s="5"/>
      <c r="E6895" s="5"/>
      <c r="F6895" s="5"/>
      <c r="G6895" s="5"/>
      <c r="H6895" s="5"/>
      <c r="I6895" s="5"/>
      <c r="J6895" s="5"/>
      <c r="K6895" s="5"/>
      <c r="L6895" s="5"/>
      <c r="M6895" s="5"/>
      <c r="N6895" s="5"/>
      <c r="O6895" s="5"/>
      <c r="P6895" s="5"/>
      <c r="Q6895" s="5"/>
      <c r="R6895" s="5"/>
      <c r="S6895" s="5"/>
      <c r="T6895" s="5"/>
      <c r="U6895" s="5"/>
      <c r="V6895" s="5"/>
      <c r="W6895" s="5"/>
      <c r="X6895" s="5"/>
      <c r="Y6895" s="5"/>
      <c r="Z6895" s="5"/>
    </row>
    <row r="6896" spans="1:26" ht="15" x14ac:dyDescent="0.25">
      <c r="A6896" s="4" t="s">
        <v>6894</v>
      </c>
      <c r="B6896" s="4" t="s">
        <v>4550</v>
      </c>
      <c r="C6896" s="2" t="str">
        <f ca="1">IFERROR(__xludf.DUMMYFUNCTION("GOOGLETRANSLATE(A6896,""bn"",""en"")"),"I was creating a website")</f>
        <v>I was creating a website</v>
      </c>
      <c r="D6896" s="5"/>
      <c r="E6896" s="5"/>
      <c r="F6896" s="5"/>
      <c r="G6896" s="5"/>
      <c r="H6896" s="5"/>
      <c r="I6896" s="5"/>
      <c r="J6896" s="5"/>
      <c r="K6896" s="5"/>
      <c r="L6896" s="5"/>
      <c r="M6896" s="5"/>
      <c r="N6896" s="5"/>
      <c r="O6896" s="5"/>
      <c r="P6896" s="5"/>
      <c r="Q6896" s="5"/>
      <c r="R6896" s="5"/>
      <c r="S6896" s="5"/>
      <c r="T6896" s="5"/>
      <c r="U6896" s="5"/>
      <c r="V6896" s="5"/>
      <c r="W6896" s="5"/>
      <c r="X6896" s="5"/>
      <c r="Y6896" s="5"/>
      <c r="Z6896" s="5"/>
    </row>
    <row r="6897" spans="1:26" ht="15" x14ac:dyDescent="0.25">
      <c r="A6897" s="4" t="s">
        <v>6895</v>
      </c>
      <c r="B6897" s="4" t="s">
        <v>4550</v>
      </c>
      <c r="C6897" s="2" t="str">
        <f ca="1">IFERROR(__xludf.DUMMYFUNCTION("GOOGLETRANSLATE(A6897,""bn"",""en"")"),"Travel inspires")</f>
        <v>Travel inspires</v>
      </c>
      <c r="D6897" s="5"/>
      <c r="E6897" s="5"/>
      <c r="F6897" s="5"/>
      <c r="G6897" s="5"/>
      <c r="H6897" s="5"/>
      <c r="I6897" s="5"/>
      <c r="J6897" s="5"/>
      <c r="K6897" s="5"/>
      <c r="L6897" s="5"/>
      <c r="M6897" s="5"/>
      <c r="N6897" s="5"/>
      <c r="O6897" s="5"/>
      <c r="P6897" s="5"/>
      <c r="Q6897" s="5"/>
      <c r="R6897" s="5"/>
      <c r="S6897" s="5"/>
      <c r="T6897" s="5"/>
      <c r="U6897" s="5"/>
      <c r="V6897" s="5"/>
      <c r="W6897" s="5"/>
      <c r="X6897" s="5"/>
      <c r="Y6897" s="5"/>
      <c r="Z6897" s="5"/>
    </row>
    <row r="6898" spans="1:26" ht="15" x14ac:dyDescent="0.25">
      <c r="A6898" s="4" t="s">
        <v>6896</v>
      </c>
      <c r="B6898" s="4" t="s">
        <v>4550</v>
      </c>
      <c r="C6898" s="2" t="str">
        <f ca="1">IFERROR(__xludf.DUMMYFUNCTION("GOOGLETRANSLATE(A6898,""bn"",""en"")"),"I told the story of life")</f>
        <v>I told the story of life</v>
      </c>
      <c r="D6898" s="5"/>
      <c r="E6898" s="5"/>
      <c r="F6898" s="5"/>
      <c r="G6898" s="5"/>
      <c r="H6898" s="5"/>
      <c r="I6898" s="5"/>
      <c r="J6898" s="5"/>
      <c r="K6898" s="5"/>
      <c r="L6898" s="5"/>
      <c r="M6898" s="5"/>
      <c r="N6898" s="5"/>
      <c r="O6898" s="5"/>
      <c r="P6898" s="5"/>
      <c r="Q6898" s="5"/>
      <c r="R6898" s="5"/>
      <c r="S6898" s="5"/>
      <c r="T6898" s="5"/>
      <c r="U6898" s="5"/>
      <c r="V6898" s="5"/>
      <c r="W6898" s="5"/>
      <c r="X6898" s="5"/>
      <c r="Y6898" s="5"/>
      <c r="Z6898" s="5"/>
    </row>
    <row r="6899" spans="1:26" ht="15" x14ac:dyDescent="0.25">
      <c r="A6899" s="4" t="s">
        <v>6897</v>
      </c>
      <c r="B6899" s="4" t="s">
        <v>4550</v>
      </c>
      <c r="C6899" s="2" t="str">
        <f ca="1">IFERROR(__xludf.DUMMYFUNCTION("GOOGLETRANSLATE(A6899,""bn"",""en"")"),"Sajeke was a mountain")</f>
        <v>Sajeke was a mountain</v>
      </c>
      <c r="D6899" s="5"/>
      <c r="E6899" s="5"/>
      <c r="F6899" s="5"/>
      <c r="G6899" s="5"/>
      <c r="H6899" s="5"/>
      <c r="I6899" s="5"/>
      <c r="J6899" s="5"/>
      <c r="K6899" s="5"/>
      <c r="L6899" s="5"/>
      <c r="M6899" s="5"/>
      <c r="N6899" s="5"/>
      <c r="O6899" s="5"/>
      <c r="P6899" s="5"/>
      <c r="Q6899" s="5"/>
      <c r="R6899" s="5"/>
      <c r="S6899" s="5"/>
      <c r="T6899" s="5"/>
      <c r="U6899" s="5"/>
      <c r="V6899" s="5"/>
      <c r="W6899" s="5"/>
      <c r="X6899" s="5"/>
      <c r="Y6899" s="5"/>
      <c r="Z6899" s="5"/>
    </row>
    <row r="6900" spans="1:26" ht="15" x14ac:dyDescent="0.25">
      <c r="A6900" s="4" t="s">
        <v>6898</v>
      </c>
      <c r="B6900" s="4" t="s">
        <v>4550</v>
      </c>
      <c r="C6900" s="2" t="str">
        <f ca="1">IFERROR(__xludf.DUMMYFUNCTION("GOOGLETRANSLATE(A6900,""bn"",""en"")"),"Technology was being developed")</f>
        <v>Technology was being developed</v>
      </c>
      <c r="D6900" s="5"/>
      <c r="E6900" s="5"/>
      <c r="F6900" s="5"/>
      <c r="G6900" s="5"/>
      <c r="H6900" s="5"/>
      <c r="I6900" s="5"/>
      <c r="J6900" s="5"/>
      <c r="K6900" s="5"/>
      <c r="L6900" s="5"/>
      <c r="M6900" s="5"/>
      <c r="N6900" s="5"/>
      <c r="O6900" s="5"/>
      <c r="P6900" s="5"/>
      <c r="Q6900" s="5"/>
      <c r="R6900" s="5"/>
      <c r="S6900" s="5"/>
      <c r="T6900" s="5"/>
      <c r="U6900" s="5"/>
      <c r="V6900" s="5"/>
      <c r="W6900" s="5"/>
      <c r="X6900" s="5"/>
      <c r="Y6900" s="5"/>
      <c r="Z6900" s="5"/>
    </row>
    <row r="6901" spans="1:26" ht="15" x14ac:dyDescent="0.25">
      <c r="A6901" s="4" t="s">
        <v>6899</v>
      </c>
      <c r="B6901" s="4" t="s">
        <v>4550</v>
      </c>
      <c r="C6901" s="2" t="str">
        <f ca="1">IFERROR(__xludf.DUMMYFUNCTION("GOOGLETRANSLATE(A6901,""bn"",""en"")"),"I was going to Alaska")</f>
        <v>I was going to Alaska</v>
      </c>
      <c r="D6901" s="5"/>
      <c r="E6901" s="5"/>
      <c r="F6901" s="5"/>
      <c r="G6901" s="5"/>
      <c r="H6901" s="5"/>
      <c r="I6901" s="5"/>
      <c r="J6901" s="5"/>
      <c r="K6901" s="5"/>
      <c r="L6901" s="5"/>
      <c r="M6901" s="5"/>
      <c r="N6901" s="5"/>
      <c r="O6901" s="5"/>
      <c r="P6901" s="5"/>
      <c r="Q6901" s="5"/>
      <c r="R6901" s="5"/>
      <c r="S6901" s="5"/>
      <c r="T6901" s="5"/>
      <c r="U6901" s="5"/>
      <c r="V6901" s="5"/>
      <c r="W6901" s="5"/>
      <c r="X6901" s="5"/>
      <c r="Y6901" s="5"/>
      <c r="Z6901" s="5"/>
    </row>
    <row r="6902" spans="1:26" ht="15" x14ac:dyDescent="0.25">
      <c r="A6902" s="4" t="s">
        <v>6900</v>
      </c>
      <c r="B6902" s="4" t="s">
        <v>4550</v>
      </c>
      <c r="C6902" s="2" t="str">
        <f ca="1">IFERROR(__xludf.DUMMYFUNCTION("GOOGLETRANSLATE(A6902,""bn"",""en"")"),"The sonnet was difficult")</f>
        <v>The sonnet was difficult</v>
      </c>
      <c r="D6902" s="5"/>
      <c r="E6902" s="5"/>
      <c r="F6902" s="5"/>
      <c r="G6902" s="5"/>
      <c r="H6902" s="5"/>
      <c r="I6902" s="5"/>
      <c r="J6902" s="5"/>
      <c r="K6902" s="5"/>
      <c r="L6902" s="5"/>
      <c r="M6902" s="5"/>
      <c r="N6902" s="5"/>
      <c r="O6902" s="5"/>
      <c r="P6902" s="5"/>
      <c r="Q6902" s="5"/>
      <c r="R6902" s="5"/>
      <c r="S6902" s="5"/>
      <c r="T6902" s="5"/>
      <c r="U6902" s="5"/>
      <c r="V6902" s="5"/>
      <c r="W6902" s="5"/>
      <c r="X6902" s="5"/>
      <c r="Y6902" s="5"/>
      <c r="Z6902" s="5"/>
    </row>
    <row r="6903" spans="1:26" ht="15" x14ac:dyDescent="0.25">
      <c r="A6903" s="4" t="s">
        <v>6901</v>
      </c>
      <c r="B6903" s="4" t="s">
        <v>4550</v>
      </c>
      <c r="C6903" s="2" t="str">
        <f ca="1">IFERROR(__xludf.DUMMYFUNCTION("GOOGLETRANSLATE(A6903,""bn"",""en"")"),"Loan was being approved")</f>
        <v>Loan was being approved</v>
      </c>
      <c r="D6903" s="5"/>
      <c r="E6903" s="5"/>
      <c r="F6903" s="5"/>
      <c r="G6903" s="5"/>
      <c r="H6903" s="5"/>
      <c r="I6903" s="5"/>
      <c r="J6903" s="5"/>
      <c r="K6903" s="5"/>
      <c r="L6903" s="5"/>
      <c r="M6903" s="5"/>
      <c r="N6903" s="5"/>
      <c r="O6903" s="5"/>
      <c r="P6903" s="5"/>
      <c r="Q6903" s="5"/>
      <c r="R6903" s="5"/>
      <c r="S6903" s="5"/>
      <c r="T6903" s="5"/>
      <c r="U6903" s="5"/>
      <c r="V6903" s="5"/>
      <c r="W6903" s="5"/>
      <c r="X6903" s="5"/>
      <c r="Y6903" s="5"/>
      <c r="Z6903" s="5"/>
    </row>
    <row r="6904" spans="1:26" ht="15" x14ac:dyDescent="0.25">
      <c r="A6904" s="4" t="s">
        <v>6902</v>
      </c>
      <c r="B6904" s="4" t="s">
        <v>4550</v>
      </c>
      <c r="C6904" s="2" t="str">
        <f ca="1">IFERROR(__xludf.DUMMYFUNCTION("GOOGLETRANSLATE(A6904,""bn"",""en"")"),"I went on an educational trip")</f>
        <v>I went on an educational trip</v>
      </c>
      <c r="D6904" s="5"/>
      <c r="E6904" s="5"/>
      <c r="F6904" s="5"/>
      <c r="G6904" s="5"/>
      <c r="H6904" s="5"/>
      <c r="I6904" s="5"/>
      <c r="J6904" s="5"/>
      <c r="K6904" s="5"/>
      <c r="L6904" s="5"/>
      <c r="M6904" s="5"/>
      <c r="N6904" s="5"/>
      <c r="O6904" s="5"/>
      <c r="P6904" s="5"/>
      <c r="Q6904" s="5"/>
      <c r="R6904" s="5"/>
      <c r="S6904" s="5"/>
      <c r="T6904" s="5"/>
      <c r="U6904" s="5"/>
      <c r="V6904" s="5"/>
      <c r="W6904" s="5"/>
      <c r="X6904" s="5"/>
      <c r="Y6904" s="5"/>
      <c r="Z6904" s="5"/>
    </row>
    <row r="6905" spans="1:26" ht="15" x14ac:dyDescent="0.25">
      <c r="A6905" s="4" t="s">
        <v>6903</v>
      </c>
      <c r="B6905" s="4" t="s">
        <v>4550</v>
      </c>
      <c r="C6905" s="2" t="str">
        <f ca="1">IFERROR(__xludf.DUMMYFUNCTION("GOOGLETRANSLATE(A6905,""bn"",""en"")"),"I was a nature lover")</f>
        <v>I was a nature lover</v>
      </c>
      <c r="D6905" s="5"/>
      <c r="E6905" s="5"/>
      <c r="F6905" s="5"/>
      <c r="G6905" s="5"/>
      <c r="H6905" s="5"/>
      <c r="I6905" s="5"/>
      <c r="J6905" s="5"/>
      <c r="K6905" s="5"/>
      <c r="L6905" s="5"/>
      <c r="M6905" s="5"/>
      <c r="N6905" s="5"/>
      <c r="O6905" s="5"/>
      <c r="P6905" s="5"/>
      <c r="Q6905" s="5"/>
      <c r="R6905" s="5"/>
      <c r="S6905" s="5"/>
      <c r="T6905" s="5"/>
      <c r="U6905" s="5"/>
      <c r="V6905" s="5"/>
      <c r="W6905" s="5"/>
      <c r="X6905" s="5"/>
      <c r="Y6905" s="5"/>
      <c r="Z6905" s="5"/>
    </row>
    <row r="6906" spans="1:26" ht="15" x14ac:dyDescent="0.25">
      <c r="A6906" s="4" t="s">
        <v>6904</v>
      </c>
      <c r="B6906" s="4" t="s">
        <v>4550</v>
      </c>
      <c r="C6906" s="2" t="str">
        <f ca="1">IFERROR(__xludf.DUMMYFUNCTION("GOOGLETRANSLATE(A6906,""bn"",""en"")"),"I sent the money to the account")</f>
        <v>I sent the money to the account</v>
      </c>
      <c r="D6906" s="5"/>
      <c r="E6906" s="5"/>
      <c r="F6906" s="5"/>
      <c r="G6906" s="5"/>
      <c r="H6906" s="5"/>
      <c r="I6906" s="5"/>
      <c r="J6906" s="5"/>
      <c r="K6906" s="5"/>
      <c r="L6906" s="5"/>
      <c r="M6906" s="5"/>
      <c r="N6906" s="5"/>
      <c r="O6906" s="5"/>
      <c r="P6906" s="5"/>
      <c r="Q6906" s="5"/>
      <c r="R6906" s="5"/>
      <c r="S6906" s="5"/>
      <c r="T6906" s="5"/>
      <c r="U6906" s="5"/>
      <c r="V6906" s="5"/>
      <c r="W6906" s="5"/>
      <c r="X6906" s="5"/>
      <c r="Y6906" s="5"/>
      <c r="Z6906" s="5"/>
    </row>
    <row r="6907" spans="1:26" ht="15" x14ac:dyDescent="0.25">
      <c r="A6907" s="4" t="s">
        <v>6905</v>
      </c>
      <c r="B6907" s="4" t="s">
        <v>4550</v>
      </c>
      <c r="C6907" s="2" t="str">
        <f ca="1">IFERROR(__xludf.DUMMYFUNCTION("GOOGLETRANSLATE(A6907,""bn"",""en"")"),"I used Google")</f>
        <v>I used Google</v>
      </c>
      <c r="D6907" s="5"/>
      <c r="E6907" s="5"/>
      <c r="F6907" s="5"/>
      <c r="G6907" s="5"/>
      <c r="H6907" s="5"/>
      <c r="I6907" s="5"/>
      <c r="J6907" s="5"/>
      <c r="K6907" s="5"/>
      <c r="L6907" s="5"/>
      <c r="M6907" s="5"/>
      <c r="N6907" s="5"/>
      <c r="O6907" s="5"/>
      <c r="P6907" s="5"/>
      <c r="Q6907" s="5"/>
      <c r="R6907" s="5"/>
      <c r="S6907" s="5"/>
      <c r="T6907" s="5"/>
      <c r="U6907" s="5"/>
      <c r="V6907" s="5"/>
      <c r="W6907" s="5"/>
      <c r="X6907" s="5"/>
      <c r="Y6907" s="5"/>
      <c r="Z6907" s="5"/>
    </row>
    <row r="6908" spans="1:26" ht="15" x14ac:dyDescent="0.25">
      <c r="A6908" s="4" t="s">
        <v>6906</v>
      </c>
      <c r="B6908" s="4" t="s">
        <v>4550</v>
      </c>
      <c r="C6908" s="2" t="str">
        <f ca="1">IFERROR(__xludf.DUMMYFUNCTION("GOOGLETRANSLATE(A6908,""bn"",""en"")"),"Spent time in media")</f>
        <v>Spent time in media</v>
      </c>
      <c r="D6908" s="5"/>
      <c r="E6908" s="5"/>
      <c r="F6908" s="5"/>
      <c r="G6908" s="5"/>
      <c r="H6908" s="5"/>
      <c r="I6908" s="5"/>
      <c r="J6908" s="5"/>
      <c r="K6908" s="5"/>
      <c r="L6908" s="5"/>
      <c r="M6908" s="5"/>
      <c r="N6908" s="5"/>
      <c r="O6908" s="5"/>
      <c r="P6908" s="5"/>
      <c r="Q6908" s="5"/>
      <c r="R6908" s="5"/>
      <c r="S6908" s="5"/>
      <c r="T6908" s="5"/>
      <c r="U6908" s="5"/>
      <c r="V6908" s="5"/>
      <c r="W6908" s="5"/>
      <c r="X6908" s="5"/>
      <c r="Y6908" s="5"/>
      <c r="Z6908" s="5"/>
    </row>
    <row r="6909" spans="1:26" ht="15" x14ac:dyDescent="0.25">
      <c r="A6909" s="4" t="s">
        <v>6907</v>
      </c>
      <c r="B6909" s="4" t="s">
        <v>4550</v>
      </c>
      <c r="C6909" s="2" t="str">
        <f ca="1">IFERROR(__xludf.DUMMYFUNCTION("GOOGLETRANSLATE(A6909,""bn"",""en"")"),"I bought the website")</f>
        <v>I bought the website</v>
      </c>
      <c r="D6909" s="5"/>
      <c r="E6909" s="5"/>
      <c r="F6909" s="5"/>
      <c r="G6909" s="5"/>
      <c r="H6909" s="5"/>
      <c r="I6909" s="5"/>
      <c r="J6909" s="5"/>
      <c r="K6909" s="5"/>
      <c r="L6909" s="5"/>
      <c r="M6909" s="5"/>
      <c r="N6909" s="5"/>
      <c r="O6909" s="5"/>
      <c r="P6909" s="5"/>
      <c r="Q6909" s="5"/>
      <c r="R6909" s="5"/>
      <c r="S6909" s="5"/>
      <c r="T6909" s="5"/>
      <c r="U6909" s="5"/>
      <c r="V6909" s="5"/>
      <c r="W6909" s="5"/>
      <c r="X6909" s="5"/>
      <c r="Y6909" s="5"/>
      <c r="Z6909" s="5"/>
    </row>
    <row r="6910" spans="1:26" ht="15" x14ac:dyDescent="0.25">
      <c r="A6910" s="4" t="s">
        <v>6908</v>
      </c>
      <c r="B6910" s="4" t="s">
        <v>4550</v>
      </c>
      <c r="C6910" s="2" t="str">
        <f ca="1">IFERROR(__xludf.DUMMYFUNCTION("GOOGLETRANSLATE(A6910,""bn"",""en"")"),"They skied")</f>
        <v>They skied</v>
      </c>
      <c r="D6910" s="5"/>
      <c r="E6910" s="5"/>
      <c r="F6910" s="5"/>
      <c r="G6910" s="5"/>
      <c r="H6910" s="5"/>
      <c r="I6910" s="5"/>
      <c r="J6910" s="5"/>
      <c r="K6910" s="5"/>
      <c r="L6910" s="5"/>
      <c r="M6910" s="5"/>
      <c r="N6910" s="5"/>
      <c r="O6910" s="5"/>
      <c r="P6910" s="5"/>
      <c r="Q6910" s="5"/>
      <c r="R6910" s="5"/>
      <c r="S6910" s="5"/>
      <c r="T6910" s="5"/>
      <c r="U6910" s="5"/>
      <c r="V6910" s="5"/>
      <c r="W6910" s="5"/>
      <c r="X6910" s="5"/>
      <c r="Y6910" s="5"/>
      <c r="Z6910" s="5"/>
    </row>
    <row r="6911" spans="1:26" ht="15" x14ac:dyDescent="0.25">
      <c r="A6911" s="4" t="s">
        <v>6909</v>
      </c>
      <c r="B6911" s="4" t="s">
        <v>4550</v>
      </c>
      <c r="C6911" s="2" t="str">
        <f ca="1">IFERROR(__xludf.DUMMYFUNCTION("GOOGLETRANSLATE(A6911,""bn"",""en"")"),"I enjoyed the trip")</f>
        <v>I enjoyed the trip</v>
      </c>
      <c r="D6911" s="5"/>
      <c r="E6911" s="5"/>
      <c r="F6911" s="5"/>
      <c r="G6911" s="5"/>
      <c r="H6911" s="5"/>
      <c r="I6911" s="5"/>
      <c r="J6911" s="5"/>
      <c r="K6911" s="5"/>
      <c r="L6911" s="5"/>
      <c r="M6911" s="5"/>
      <c r="N6911" s="5"/>
      <c r="O6911" s="5"/>
      <c r="P6911" s="5"/>
      <c r="Q6911" s="5"/>
      <c r="R6911" s="5"/>
      <c r="S6911" s="5"/>
      <c r="T6911" s="5"/>
      <c r="U6911" s="5"/>
      <c r="V6911" s="5"/>
      <c r="W6911" s="5"/>
      <c r="X6911" s="5"/>
      <c r="Y6911" s="5"/>
      <c r="Z6911" s="5"/>
    </row>
    <row r="6912" spans="1:26" ht="15" x14ac:dyDescent="0.25">
      <c r="A6912" s="4" t="s">
        <v>6910</v>
      </c>
      <c r="B6912" s="4" t="s">
        <v>4550</v>
      </c>
      <c r="C6912" s="2" t="str">
        <f ca="1">IFERROR(__xludf.DUMMYFUNCTION("GOOGLETRANSLATE(A6912,""bn"",""en"")"),"I was posting on Twitter")</f>
        <v>I was posting on Twitter</v>
      </c>
      <c r="D6912" s="5"/>
      <c r="E6912" s="5"/>
      <c r="F6912" s="5"/>
      <c r="G6912" s="5"/>
      <c r="H6912" s="5"/>
      <c r="I6912" s="5"/>
      <c r="J6912" s="5"/>
      <c r="K6912" s="5"/>
      <c r="L6912" s="5"/>
      <c r="M6912" s="5"/>
      <c r="N6912" s="5"/>
      <c r="O6912" s="5"/>
      <c r="P6912" s="5"/>
      <c r="Q6912" s="5"/>
      <c r="R6912" s="5"/>
      <c r="S6912" s="5"/>
      <c r="T6912" s="5"/>
      <c r="U6912" s="5"/>
      <c r="V6912" s="5"/>
      <c r="W6912" s="5"/>
      <c r="X6912" s="5"/>
      <c r="Y6912" s="5"/>
      <c r="Z6912" s="5"/>
    </row>
    <row r="6913" spans="1:26" ht="15" x14ac:dyDescent="0.25">
      <c r="A6913" s="4" t="s">
        <v>6911</v>
      </c>
      <c r="B6913" s="4" t="s">
        <v>4550</v>
      </c>
      <c r="C6913" s="2" t="str">
        <f ca="1">IFERROR(__xludf.DUMMYFUNCTION("GOOGLETRANSLATE(A6913,""bn"",""en"")"),"I was entertained")</f>
        <v>I was entertained</v>
      </c>
      <c r="D6913" s="5"/>
      <c r="E6913" s="5"/>
      <c r="F6913" s="5"/>
      <c r="G6913" s="5"/>
      <c r="H6913" s="5"/>
      <c r="I6913" s="5"/>
      <c r="J6913" s="5"/>
      <c r="K6913" s="5"/>
      <c r="L6913" s="5"/>
      <c r="M6913" s="5"/>
      <c r="N6913" s="5"/>
      <c r="O6913" s="5"/>
      <c r="P6913" s="5"/>
      <c r="Q6913" s="5"/>
      <c r="R6913" s="5"/>
      <c r="S6913" s="5"/>
      <c r="T6913" s="5"/>
      <c r="U6913" s="5"/>
      <c r="V6913" s="5"/>
      <c r="W6913" s="5"/>
      <c r="X6913" s="5"/>
      <c r="Y6913" s="5"/>
      <c r="Z6913" s="5"/>
    </row>
    <row r="6914" spans="1:26" ht="15" x14ac:dyDescent="0.25">
      <c r="A6914" s="4" t="s">
        <v>6912</v>
      </c>
      <c r="B6914" s="4" t="s">
        <v>4550</v>
      </c>
      <c r="C6914" s="2" t="str">
        <f ca="1">IFERROR(__xludf.DUMMYFUNCTION("GOOGLETRANSLATE(A6914,""bn"",""en"")"),"Government was formed")</f>
        <v>Government was formed</v>
      </c>
      <c r="D6914" s="5"/>
      <c r="E6914" s="5"/>
      <c r="F6914" s="5"/>
      <c r="G6914" s="5"/>
      <c r="H6914" s="5"/>
      <c r="I6914" s="5"/>
      <c r="J6914" s="5"/>
      <c r="K6914" s="5"/>
      <c r="L6914" s="5"/>
      <c r="M6914" s="5"/>
      <c r="N6914" s="5"/>
      <c r="O6914" s="5"/>
      <c r="P6914" s="5"/>
      <c r="Q6914" s="5"/>
      <c r="R6914" s="5"/>
      <c r="S6914" s="5"/>
      <c r="T6914" s="5"/>
      <c r="U6914" s="5"/>
      <c r="V6914" s="5"/>
      <c r="W6914" s="5"/>
      <c r="X6914" s="5"/>
      <c r="Y6914" s="5"/>
      <c r="Z6914" s="5"/>
    </row>
    <row r="6915" spans="1:26" ht="15" x14ac:dyDescent="0.25">
      <c r="A6915" s="4" t="s">
        <v>6913</v>
      </c>
      <c r="B6915" s="4" t="s">
        <v>4550</v>
      </c>
      <c r="C6915" s="2" t="str">
        <f ca="1">IFERROR(__xludf.DUMMYFUNCTION("GOOGLETRANSLATE(A6915,""bn"",""en"")"),"I was making noise")</f>
        <v>I was making noise</v>
      </c>
      <c r="D6915" s="5"/>
      <c r="E6915" s="5"/>
      <c r="F6915" s="5"/>
      <c r="G6915" s="5"/>
      <c r="H6915" s="5"/>
      <c r="I6915" s="5"/>
      <c r="J6915" s="5"/>
      <c r="K6915" s="5"/>
      <c r="L6915" s="5"/>
      <c r="M6915" s="5"/>
      <c r="N6915" s="5"/>
      <c r="O6915" s="5"/>
      <c r="P6915" s="5"/>
      <c r="Q6915" s="5"/>
      <c r="R6915" s="5"/>
      <c r="S6915" s="5"/>
      <c r="T6915" s="5"/>
      <c r="U6915" s="5"/>
      <c r="V6915" s="5"/>
      <c r="W6915" s="5"/>
      <c r="X6915" s="5"/>
      <c r="Y6915" s="5"/>
      <c r="Z6915" s="5"/>
    </row>
    <row r="6916" spans="1:26" ht="15" x14ac:dyDescent="0.25">
      <c r="A6916" s="4" t="s">
        <v>6914</v>
      </c>
      <c r="B6916" s="4" t="s">
        <v>4550</v>
      </c>
      <c r="C6916" s="2" t="str">
        <f ca="1">IFERROR(__xludf.DUMMYFUNCTION("GOOGLETRANSLATE(A6916,""bn"",""en"")"),"The trip boosted morale")</f>
        <v>The trip boosted morale</v>
      </c>
      <c r="D6916" s="5"/>
      <c r="E6916" s="5"/>
      <c r="F6916" s="5"/>
      <c r="G6916" s="5"/>
      <c r="H6916" s="5"/>
      <c r="I6916" s="5"/>
      <c r="J6916" s="5"/>
      <c r="K6916" s="5"/>
      <c r="L6916" s="5"/>
      <c r="M6916" s="5"/>
      <c r="N6916" s="5"/>
      <c r="O6916" s="5"/>
      <c r="P6916" s="5"/>
      <c r="Q6916" s="5"/>
      <c r="R6916" s="5"/>
      <c r="S6916" s="5"/>
      <c r="T6916" s="5"/>
      <c r="U6916" s="5"/>
      <c r="V6916" s="5"/>
      <c r="W6916" s="5"/>
      <c r="X6916" s="5"/>
      <c r="Y6916" s="5"/>
      <c r="Z6916" s="5"/>
    </row>
    <row r="6917" spans="1:26" ht="15" x14ac:dyDescent="0.25">
      <c r="A6917" s="4" t="s">
        <v>6915</v>
      </c>
      <c r="B6917" s="4" t="s">
        <v>4550</v>
      </c>
      <c r="C6917" s="2" t="str">
        <f ca="1">IFERROR(__xludf.DUMMYFUNCTION("GOOGLETRANSLATE(A6917,""bn"",""en"")"),"I got rid of traveling")</f>
        <v>I got rid of traveling</v>
      </c>
      <c r="D6917" s="5"/>
      <c r="E6917" s="5"/>
      <c r="F6917" s="5"/>
      <c r="G6917" s="5"/>
      <c r="H6917" s="5"/>
      <c r="I6917" s="5"/>
      <c r="J6917" s="5"/>
      <c r="K6917" s="5"/>
      <c r="L6917" s="5"/>
      <c r="M6917" s="5"/>
      <c r="N6917" s="5"/>
      <c r="O6917" s="5"/>
      <c r="P6917" s="5"/>
      <c r="Q6917" s="5"/>
      <c r="R6917" s="5"/>
      <c r="S6917" s="5"/>
      <c r="T6917" s="5"/>
      <c r="U6917" s="5"/>
      <c r="V6917" s="5"/>
      <c r="W6917" s="5"/>
      <c r="X6917" s="5"/>
      <c r="Y6917" s="5"/>
      <c r="Z6917" s="5"/>
    </row>
    <row r="6918" spans="1:26" ht="15" x14ac:dyDescent="0.25">
      <c r="A6918" s="4" t="s">
        <v>6916</v>
      </c>
      <c r="B6918" s="4" t="s">
        <v>4550</v>
      </c>
      <c r="C6918" s="2" t="str">
        <f ca="1">IFERROR(__xludf.DUMMYFUNCTION("GOOGLETRANSLATE(A6918,""bn"",""en"")"),"Account statement")</f>
        <v>Account statement</v>
      </c>
      <c r="D6918" s="5"/>
      <c r="E6918" s="5"/>
      <c r="F6918" s="5"/>
      <c r="G6918" s="5"/>
      <c r="H6918" s="5"/>
      <c r="I6918" s="5"/>
      <c r="J6918" s="5"/>
      <c r="K6918" s="5"/>
      <c r="L6918" s="5"/>
      <c r="M6918" s="5"/>
      <c r="N6918" s="5"/>
      <c r="O6918" s="5"/>
      <c r="P6918" s="5"/>
      <c r="Q6918" s="5"/>
      <c r="R6918" s="5"/>
      <c r="S6918" s="5"/>
      <c r="T6918" s="5"/>
      <c r="U6918" s="5"/>
      <c r="V6918" s="5"/>
      <c r="W6918" s="5"/>
      <c r="X6918" s="5"/>
      <c r="Y6918" s="5"/>
      <c r="Z6918" s="5"/>
    </row>
    <row r="6919" spans="1:26" ht="15" x14ac:dyDescent="0.25">
      <c r="A6919" s="4" t="s">
        <v>6917</v>
      </c>
      <c r="B6919" s="4" t="s">
        <v>4550</v>
      </c>
      <c r="C6919" s="2" t="str">
        <f ca="1">IFERROR(__xludf.DUMMYFUNCTION("GOOGLETRANSLATE(A6919,""bn"",""en"")"),"Football tournament")</f>
        <v>Football tournament</v>
      </c>
      <c r="D6919" s="5"/>
      <c r="E6919" s="5"/>
      <c r="F6919" s="5"/>
      <c r="G6919" s="5"/>
      <c r="H6919" s="5"/>
      <c r="I6919" s="5"/>
      <c r="J6919" s="5"/>
      <c r="K6919" s="5"/>
      <c r="L6919" s="5"/>
      <c r="M6919" s="5"/>
      <c r="N6919" s="5"/>
      <c r="O6919" s="5"/>
      <c r="P6919" s="5"/>
      <c r="Q6919" s="5"/>
      <c r="R6919" s="5"/>
      <c r="S6919" s="5"/>
      <c r="T6919" s="5"/>
      <c r="U6919" s="5"/>
      <c r="V6919" s="5"/>
      <c r="W6919" s="5"/>
      <c r="X6919" s="5"/>
      <c r="Y6919" s="5"/>
      <c r="Z6919" s="5"/>
    </row>
    <row r="6920" spans="1:26" ht="15" x14ac:dyDescent="0.25">
      <c r="A6920" s="4" t="s">
        <v>6918</v>
      </c>
      <c r="B6920" s="4" t="s">
        <v>4550</v>
      </c>
      <c r="C6920" s="2" t="str">
        <f ca="1">IFERROR(__xludf.DUMMYFUNCTION("GOOGLETRANSLATE(A6920,""bn"",""en"")"),"I saved the file")</f>
        <v>I saved the file</v>
      </c>
      <c r="D6920" s="5"/>
      <c r="E6920" s="5"/>
      <c r="F6920" s="5"/>
      <c r="G6920" s="5"/>
      <c r="H6920" s="5"/>
      <c r="I6920" s="5"/>
      <c r="J6920" s="5"/>
      <c r="K6920" s="5"/>
      <c r="L6920" s="5"/>
      <c r="M6920" s="5"/>
      <c r="N6920" s="5"/>
      <c r="O6920" s="5"/>
      <c r="P6920" s="5"/>
      <c r="Q6920" s="5"/>
      <c r="R6920" s="5"/>
      <c r="S6920" s="5"/>
      <c r="T6920" s="5"/>
      <c r="U6920" s="5"/>
      <c r="V6920" s="5"/>
      <c r="W6920" s="5"/>
      <c r="X6920" s="5"/>
      <c r="Y6920" s="5"/>
      <c r="Z6920" s="5"/>
    </row>
    <row r="6921" spans="1:26" ht="15" x14ac:dyDescent="0.25">
      <c r="A6921" s="4" t="s">
        <v>6919</v>
      </c>
      <c r="B6921" s="4" t="s">
        <v>4550</v>
      </c>
      <c r="C6921" s="2" t="str">
        <f ca="1">IFERROR(__xludf.DUMMYFUNCTION("GOOGLETRANSLATE(A6921,""bn"",""en"")"),"They wrote poetry")</f>
        <v>They wrote poetry</v>
      </c>
      <c r="D6921" s="5"/>
      <c r="E6921" s="5"/>
      <c r="F6921" s="5"/>
      <c r="G6921" s="5"/>
      <c r="H6921" s="5"/>
      <c r="I6921" s="5"/>
      <c r="J6921" s="5"/>
      <c r="K6921" s="5"/>
      <c r="L6921" s="5"/>
      <c r="M6921" s="5"/>
      <c r="N6921" s="5"/>
      <c r="O6921" s="5"/>
      <c r="P6921" s="5"/>
      <c r="Q6921" s="5"/>
      <c r="R6921" s="5"/>
      <c r="S6921" s="5"/>
      <c r="T6921" s="5"/>
      <c r="U6921" s="5"/>
      <c r="V6921" s="5"/>
      <c r="W6921" s="5"/>
      <c r="X6921" s="5"/>
      <c r="Y6921" s="5"/>
      <c r="Z6921" s="5"/>
    </row>
    <row r="6922" spans="1:26" ht="15" x14ac:dyDescent="0.25">
      <c r="A6922" s="4" t="s">
        <v>6920</v>
      </c>
      <c r="B6922" s="4" t="s">
        <v>4550</v>
      </c>
      <c r="C6922" s="2" t="str">
        <f ca="1">IFERROR(__xludf.DUMMYFUNCTION("GOOGLETRANSLATE(A6922,""bn"",""en"")"),"I went to the seashore")</f>
        <v>I went to the seashore</v>
      </c>
      <c r="D6922" s="5"/>
      <c r="E6922" s="5"/>
      <c r="F6922" s="5"/>
      <c r="G6922" s="5"/>
      <c r="H6922" s="5"/>
      <c r="I6922" s="5"/>
      <c r="J6922" s="5"/>
      <c r="K6922" s="5"/>
      <c r="L6922" s="5"/>
      <c r="M6922" s="5"/>
      <c r="N6922" s="5"/>
      <c r="O6922" s="5"/>
      <c r="P6922" s="5"/>
      <c r="Q6922" s="5"/>
      <c r="R6922" s="5"/>
      <c r="S6922" s="5"/>
      <c r="T6922" s="5"/>
      <c r="U6922" s="5"/>
      <c r="V6922" s="5"/>
      <c r="W6922" s="5"/>
      <c r="X6922" s="5"/>
      <c r="Y6922" s="5"/>
      <c r="Z6922" s="5"/>
    </row>
    <row r="6923" spans="1:26" ht="15" x14ac:dyDescent="0.25">
      <c r="A6923" s="4" t="s">
        <v>6921</v>
      </c>
      <c r="B6923" s="4" t="s">
        <v>4550</v>
      </c>
      <c r="C6923" s="2" t="str">
        <f ca="1">IFERROR(__xludf.DUMMYFUNCTION("GOOGLETRANSLATE(A6923,""bn"",""en"")"),"I saw the beauty sitting on the seashore")</f>
        <v>I saw the beauty sitting on the seashore</v>
      </c>
      <c r="D6923" s="5"/>
      <c r="E6923" s="5"/>
      <c r="F6923" s="5"/>
      <c r="G6923" s="5"/>
      <c r="H6923" s="5"/>
      <c r="I6923" s="5"/>
      <c r="J6923" s="5"/>
      <c r="K6923" s="5"/>
      <c r="L6923" s="5"/>
      <c r="M6923" s="5"/>
      <c r="N6923" s="5"/>
      <c r="O6923" s="5"/>
      <c r="P6923" s="5"/>
      <c r="Q6923" s="5"/>
      <c r="R6923" s="5"/>
      <c r="S6923" s="5"/>
      <c r="T6923" s="5"/>
      <c r="U6923" s="5"/>
      <c r="V6923" s="5"/>
      <c r="W6923" s="5"/>
      <c r="X6923" s="5"/>
      <c r="Y6923" s="5"/>
      <c r="Z6923" s="5"/>
    </row>
    <row r="6924" spans="1:26" ht="15" x14ac:dyDescent="0.25">
      <c r="A6924" s="4" t="s">
        <v>6922</v>
      </c>
      <c r="B6924" s="4" t="s">
        <v>4550</v>
      </c>
      <c r="C6924" s="2" t="str">
        <f ca="1">IFERROR(__xludf.DUMMYFUNCTION("GOOGLETRANSLATE(A6924,""bn"",""en"")"),"I traveled to the island")</f>
        <v>I traveled to the island</v>
      </c>
      <c r="D6924" s="5"/>
      <c r="E6924" s="5"/>
      <c r="F6924" s="5"/>
      <c r="G6924" s="5"/>
      <c r="H6924" s="5"/>
      <c r="I6924" s="5"/>
      <c r="J6924" s="5"/>
      <c r="K6924" s="5"/>
      <c r="L6924" s="5"/>
      <c r="M6924" s="5"/>
      <c r="N6924" s="5"/>
      <c r="O6924" s="5"/>
      <c r="P6924" s="5"/>
      <c r="Q6924" s="5"/>
      <c r="R6924" s="5"/>
      <c r="S6924" s="5"/>
      <c r="T6924" s="5"/>
      <c r="U6924" s="5"/>
      <c r="V6924" s="5"/>
      <c r="W6924" s="5"/>
      <c r="X6924" s="5"/>
      <c r="Y6924" s="5"/>
      <c r="Z6924" s="5"/>
    </row>
    <row r="6925" spans="1:26" ht="15" x14ac:dyDescent="0.25">
      <c r="A6925" s="4" t="s">
        <v>6923</v>
      </c>
      <c r="B6925" s="4" t="s">
        <v>4550</v>
      </c>
      <c r="C6925" s="2" t="str">
        <f ca="1">IFERROR(__xludf.DUMMYFUNCTION("GOOGLETRANSLATE(A6925,""bn"",""en"")"),"I introduced the initiative")</f>
        <v>I introduced the initiative</v>
      </c>
      <c r="D6925" s="5"/>
      <c r="E6925" s="5"/>
      <c r="F6925" s="5"/>
      <c r="G6925" s="5"/>
      <c r="H6925" s="5"/>
      <c r="I6925" s="5"/>
      <c r="J6925" s="5"/>
      <c r="K6925" s="5"/>
      <c r="L6925" s="5"/>
      <c r="M6925" s="5"/>
      <c r="N6925" s="5"/>
      <c r="O6925" s="5"/>
      <c r="P6925" s="5"/>
      <c r="Q6925" s="5"/>
      <c r="R6925" s="5"/>
      <c r="S6925" s="5"/>
      <c r="T6925" s="5"/>
      <c r="U6925" s="5"/>
      <c r="V6925" s="5"/>
      <c r="W6925" s="5"/>
      <c r="X6925" s="5"/>
      <c r="Y6925" s="5"/>
      <c r="Z6925" s="5"/>
    </row>
    <row r="6926" spans="1:26" ht="15" x14ac:dyDescent="0.25">
      <c r="A6926" s="4" t="s">
        <v>6924</v>
      </c>
      <c r="B6926" s="4" t="s">
        <v>4550</v>
      </c>
      <c r="C6926" s="2" t="str">
        <f ca="1">IFERROR(__xludf.DUMMYFUNCTION("GOOGLETRANSLATE(A6926,""bn"",""en"")"),"Yahoo was popular")</f>
        <v>Yahoo was popular</v>
      </c>
      <c r="D6926" s="5"/>
      <c r="E6926" s="5"/>
      <c r="F6926" s="5"/>
      <c r="G6926" s="5"/>
      <c r="H6926" s="5"/>
      <c r="I6926" s="5"/>
      <c r="J6926" s="5"/>
      <c r="K6926" s="5"/>
      <c r="L6926" s="5"/>
      <c r="M6926" s="5"/>
      <c r="N6926" s="5"/>
      <c r="O6926" s="5"/>
      <c r="P6926" s="5"/>
      <c r="Q6926" s="5"/>
      <c r="R6926" s="5"/>
      <c r="S6926" s="5"/>
      <c r="T6926" s="5"/>
      <c r="U6926" s="5"/>
      <c r="V6926" s="5"/>
      <c r="W6926" s="5"/>
      <c r="X6926" s="5"/>
      <c r="Y6926" s="5"/>
      <c r="Z6926" s="5"/>
    </row>
    <row r="6927" spans="1:26" ht="15" x14ac:dyDescent="0.25">
      <c r="A6927" s="4" t="s">
        <v>6925</v>
      </c>
      <c r="B6927" s="4" t="s">
        <v>4550</v>
      </c>
      <c r="C6927" s="2" t="str">
        <f ca="1">IFERROR(__xludf.DUMMYFUNCTION("GOOGLETRANSLATE(A6927,""bn"",""en"")"),"I applied the technology")</f>
        <v>I applied the technology</v>
      </c>
      <c r="D6927" s="5"/>
      <c r="E6927" s="5"/>
      <c r="F6927" s="5"/>
      <c r="G6927" s="5"/>
      <c r="H6927" s="5"/>
      <c r="I6927" s="5"/>
      <c r="J6927" s="5"/>
      <c r="K6927" s="5"/>
      <c r="L6927" s="5"/>
      <c r="M6927" s="5"/>
      <c r="N6927" s="5"/>
      <c r="O6927" s="5"/>
      <c r="P6927" s="5"/>
      <c r="Q6927" s="5"/>
      <c r="R6927" s="5"/>
      <c r="S6927" s="5"/>
      <c r="T6927" s="5"/>
      <c r="U6927" s="5"/>
      <c r="V6927" s="5"/>
      <c r="W6927" s="5"/>
      <c r="X6927" s="5"/>
      <c r="Y6927" s="5"/>
      <c r="Z6927" s="5"/>
    </row>
    <row r="6928" spans="1:26" ht="15" x14ac:dyDescent="0.25">
      <c r="A6928" s="4" t="s">
        <v>6926</v>
      </c>
      <c r="B6928" s="4" t="s">
        <v>4550</v>
      </c>
      <c r="C6928" s="2" t="str">
        <f ca="1">IFERROR(__xludf.DUMMYFUNCTION("GOOGLETRANSLATE(A6928,""bn"",""en"")"),"I went on vacation")</f>
        <v>I went on vacation</v>
      </c>
      <c r="D6928" s="5"/>
      <c r="E6928" s="5"/>
      <c r="F6928" s="5"/>
      <c r="G6928" s="5"/>
      <c r="H6928" s="5"/>
      <c r="I6928" s="5"/>
      <c r="J6928" s="5"/>
      <c r="K6928" s="5"/>
      <c r="L6928" s="5"/>
      <c r="M6928" s="5"/>
      <c r="N6928" s="5"/>
      <c r="O6928" s="5"/>
      <c r="P6928" s="5"/>
      <c r="Q6928" s="5"/>
      <c r="R6928" s="5"/>
      <c r="S6928" s="5"/>
      <c r="T6928" s="5"/>
      <c r="U6928" s="5"/>
      <c r="V6928" s="5"/>
      <c r="W6928" s="5"/>
      <c r="X6928" s="5"/>
      <c r="Y6928" s="5"/>
      <c r="Z6928" s="5"/>
    </row>
    <row r="6929" spans="1:26" ht="15" x14ac:dyDescent="0.25">
      <c r="A6929" s="4" t="s">
        <v>6927</v>
      </c>
      <c r="B6929" s="4" t="s">
        <v>4550</v>
      </c>
      <c r="C6929" s="2" t="str">
        <f ca="1">IFERROR(__xludf.DUMMYFUNCTION("GOOGLETRANSLATE(A6929,""bn"",""en"")"),"I was programming")</f>
        <v>I was programming</v>
      </c>
      <c r="D6929" s="5"/>
      <c r="E6929" s="5"/>
      <c r="F6929" s="5"/>
      <c r="G6929" s="5"/>
      <c r="H6929" s="5"/>
      <c r="I6929" s="5"/>
      <c r="J6929" s="5"/>
      <c r="K6929" s="5"/>
      <c r="L6929" s="5"/>
      <c r="M6929" s="5"/>
      <c r="N6929" s="5"/>
      <c r="O6929" s="5"/>
      <c r="P6929" s="5"/>
      <c r="Q6929" s="5"/>
      <c r="R6929" s="5"/>
      <c r="S6929" s="5"/>
      <c r="T6929" s="5"/>
      <c r="U6929" s="5"/>
      <c r="V6929" s="5"/>
      <c r="W6929" s="5"/>
      <c r="X6929" s="5"/>
      <c r="Y6929" s="5"/>
      <c r="Z6929" s="5"/>
    </row>
    <row r="6930" spans="1:26" ht="15" x14ac:dyDescent="0.25">
      <c r="A6930" s="4" t="s">
        <v>6928</v>
      </c>
      <c r="B6930" s="4" t="s">
        <v>4550</v>
      </c>
      <c r="C6930" s="2" t="str">
        <f ca="1">IFERROR(__xludf.DUMMYFUNCTION("GOOGLETRANSLATE(A6930,""bn"",""en"")"),"I prayed")</f>
        <v>I prayed</v>
      </c>
      <c r="D6930" s="5"/>
      <c r="E6930" s="5"/>
      <c r="F6930" s="5"/>
      <c r="G6930" s="5"/>
      <c r="H6930" s="5"/>
      <c r="I6930" s="5"/>
      <c r="J6930" s="5"/>
      <c r="K6930" s="5"/>
      <c r="L6930" s="5"/>
      <c r="M6930" s="5"/>
      <c r="N6930" s="5"/>
      <c r="O6930" s="5"/>
      <c r="P6930" s="5"/>
      <c r="Q6930" s="5"/>
      <c r="R6930" s="5"/>
      <c r="S6930" s="5"/>
      <c r="T6930" s="5"/>
      <c r="U6930" s="5"/>
      <c r="V6930" s="5"/>
      <c r="W6930" s="5"/>
      <c r="X6930" s="5"/>
      <c r="Y6930" s="5"/>
      <c r="Z6930" s="5"/>
    </row>
    <row r="6931" spans="1:26" ht="15" x14ac:dyDescent="0.25">
      <c r="A6931" s="4" t="s">
        <v>6929</v>
      </c>
      <c r="B6931" s="4" t="s">
        <v>4550</v>
      </c>
      <c r="C6931" s="2" t="str">
        <f ca="1">IFERROR(__xludf.DUMMYFUNCTION("GOOGLETRANSLATE(A6931,""bn"",""en"")"),"I used to buy at book fairs")</f>
        <v>I used to buy at book fairs</v>
      </c>
      <c r="D6931" s="5"/>
      <c r="E6931" s="5"/>
      <c r="F6931" s="5"/>
      <c r="G6931" s="5"/>
      <c r="H6931" s="5"/>
      <c r="I6931" s="5"/>
      <c r="J6931" s="5"/>
      <c r="K6931" s="5"/>
      <c r="L6931" s="5"/>
      <c r="M6931" s="5"/>
      <c r="N6931" s="5"/>
      <c r="O6931" s="5"/>
      <c r="P6931" s="5"/>
      <c r="Q6931" s="5"/>
      <c r="R6931" s="5"/>
      <c r="S6931" s="5"/>
      <c r="T6931" s="5"/>
      <c r="U6931" s="5"/>
      <c r="V6931" s="5"/>
      <c r="W6931" s="5"/>
      <c r="X6931" s="5"/>
      <c r="Y6931" s="5"/>
      <c r="Z6931" s="5"/>
    </row>
    <row r="6932" spans="1:26" ht="15" x14ac:dyDescent="0.25">
      <c r="A6932" s="4" t="s">
        <v>6930</v>
      </c>
      <c r="B6932" s="4" t="s">
        <v>4550</v>
      </c>
      <c r="C6932" s="2" t="str">
        <f ca="1">IFERROR(__xludf.DUMMYFUNCTION("GOOGLETRANSLATE(A6932,""bn"",""en"")"),"Walked to the mosque")</f>
        <v>Walked to the mosque</v>
      </c>
      <c r="D6932" s="5"/>
      <c r="E6932" s="5"/>
      <c r="F6932" s="5"/>
      <c r="G6932" s="5"/>
      <c r="H6932" s="5"/>
      <c r="I6932" s="5"/>
      <c r="J6932" s="5"/>
      <c r="K6932" s="5"/>
      <c r="L6932" s="5"/>
      <c r="M6932" s="5"/>
      <c r="N6932" s="5"/>
      <c r="O6932" s="5"/>
      <c r="P6932" s="5"/>
      <c r="Q6932" s="5"/>
      <c r="R6932" s="5"/>
      <c r="S6932" s="5"/>
      <c r="T6932" s="5"/>
      <c r="U6932" s="5"/>
      <c r="V6932" s="5"/>
      <c r="W6932" s="5"/>
      <c r="X6932" s="5"/>
      <c r="Y6932" s="5"/>
      <c r="Z6932" s="5"/>
    </row>
    <row r="6933" spans="1:26" ht="15" x14ac:dyDescent="0.25">
      <c r="A6933" s="4" t="s">
        <v>6931</v>
      </c>
      <c r="B6933" s="4" t="s">
        <v>4550</v>
      </c>
      <c r="C6933" s="2" t="str">
        <f ca="1">IFERROR(__xludf.DUMMYFUNCTION("GOOGLETRANSLATE(A6933,""bn"",""en"")"),"Sister was studying")</f>
        <v>Sister was studying</v>
      </c>
      <c r="D6933" s="5"/>
      <c r="E6933" s="5"/>
      <c r="F6933" s="5"/>
      <c r="G6933" s="5"/>
      <c r="H6933" s="5"/>
      <c r="I6933" s="5"/>
      <c r="J6933" s="5"/>
      <c r="K6933" s="5"/>
      <c r="L6933" s="5"/>
      <c r="M6933" s="5"/>
      <c r="N6933" s="5"/>
      <c r="O6933" s="5"/>
      <c r="P6933" s="5"/>
      <c r="Q6933" s="5"/>
      <c r="R6933" s="5"/>
      <c r="S6933" s="5"/>
      <c r="T6933" s="5"/>
      <c r="U6933" s="5"/>
      <c r="V6933" s="5"/>
      <c r="W6933" s="5"/>
      <c r="X6933" s="5"/>
      <c r="Y6933" s="5"/>
      <c r="Z6933" s="5"/>
    </row>
    <row r="6934" spans="1:26" ht="15" x14ac:dyDescent="0.25">
      <c r="A6934" s="4" t="s">
        <v>6932</v>
      </c>
      <c r="B6934" s="4" t="s">
        <v>4550</v>
      </c>
      <c r="C6934" s="2" t="str">
        <f ca="1">IFERROR(__xludf.DUMMYFUNCTION("GOOGLETRANSLATE(A6934,""bn"",""en"")"),"Food replenished")</f>
        <v>Food replenished</v>
      </c>
      <c r="D6934" s="5"/>
      <c r="E6934" s="5"/>
      <c r="F6934" s="5"/>
      <c r="G6934" s="5"/>
      <c r="H6934" s="5"/>
      <c r="I6934" s="5"/>
      <c r="J6934" s="5"/>
      <c r="K6934" s="5"/>
      <c r="L6934" s="5"/>
      <c r="M6934" s="5"/>
      <c r="N6934" s="5"/>
      <c r="O6934" s="5"/>
      <c r="P6934" s="5"/>
      <c r="Q6934" s="5"/>
      <c r="R6934" s="5"/>
      <c r="S6934" s="5"/>
      <c r="T6934" s="5"/>
      <c r="U6934" s="5"/>
      <c r="V6934" s="5"/>
      <c r="W6934" s="5"/>
      <c r="X6934" s="5"/>
      <c r="Y6934" s="5"/>
      <c r="Z6934" s="5"/>
    </row>
    <row r="6935" spans="1:26" ht="15" x14ac:dyDescent="0.25">
      <c r="A6935" s="4" t="s">
        <v>6933</v>
      </c>
      <c r="B6935" s="4" t="s">
        <v>4550</v>
      </c>
      <c r="C6935" s="2" t="str">
        <f ca="1">IFERROR(__xludf.DUMMYFUNCTION("GOOGLETRANSLATE(A6935,""bn"",""en"")"),"He played games")</f>
        <v>He played games</v>
      </c>
      <c r="D6935" s="5"/>
      <c r="E6935" s="5"/>
      <c r="F6935" s="5"/>
      <c r="G6935" s="5"/>
      <c r="H6935" s="5"/>
      <c r="I6935" s="5"/>
      <c r="J6935" s="5"/>
      <c r="K6935" s="5"/>
      <c r="L6935" s="5"/>
      <c r="M6935" s="5"/>
      <c r="N6935" s="5"/>
      <c r="O6935" s="5"/>
      <c r="P6935" s="5"/>
      <c r="Q6935" s="5"/>
      <c r="R6935" s="5"/>
      <c r="S6935" s="5"/>
      <c r="T6935" s="5"/>
      <c r="U6935" s="5"/>
      <c r="V6935" s="5"/>
      <c r="W6935" s="5"/>
      <c r="X6935" s="5"/>
      <c r="Y6935" s="5"/>
      <c r="Z6935" s="5"/>
    </row>
    <row r="6936" spans="1:26" ht="15" x14ac:dyDescent="0.25">
      <c r="A6936" s="4" t="s">
        <v>6934</v>
      </c>
      <c r="B6936" s="4" t="s">
        <v>4550</v>
      </c>
      <c r="C6936" s="2" t="str">
        <f ca="1">IFERROR(__xludf.DUMMYFUNCTION("GOOGLETRANSLATE(A6936,""bn"",""en"")"),"I used a smartwatch")</f>
        <v>I used a smartwatch</v>
      </c>
      <c r="D6936" s="5"/>
      <c r="E6936" s="5"/>
      <c r="F6936" s="5"/>
      <c r="G6936" s="5"/>
      <c r="H6936" s="5"/>
      <c r="I6936" s="5"/>
      <c r="J6936" s="5"/>
      <c r="K6936" s="5"/>
      <c r="L6936" s="5"/>
      <c r="M6936" s="5"/>
      <c r="N6936" s="5"/>
      <c r="O6936" s="5"/>
      <c r="P6936" s="5"/>
      <c r="Q6936" s="5"/>
      <c r="R6936" s="5"/>
      <c r="S6936" s="5"/>
      <c r="T6936" s="5"/>
      <c r="U6936" s="5"/>
      <c r="V6936" s="5"/>
      <c r="W6936" s="5"/>
      <c r="X6936" s="5"/>
      <c r="Y6936" s="5"/>
      <c r="Z6936" s="5"/>
    </row>
    <row r="6937" spans="1:26" ht="15" x14ac:dyDescent="0.25">
      <c r="A6937" s="4" t="s">
        <v>6935</v>
      </c>
      <c r="B6937" s="4" t="s">
        <v>4550</v>
      </c>
      <c r="C6937" s="2" t="str">
        <f ca="1">IFERROR(__xludf.DUMMYFUNCTION("GOOGLETRANSLATE(A6937,""bn"",""en"")"),"I did programming")</f>
        <v>I did programming</v>
      </c>
      <c r="D6937" s="5"/>
      <c r="E6937" s="5"/>
      <c r="F6937" s="5"/>
      <c r="G6937" s="5"/>
      <c r="H6937" s="5"/>
      <c r="I6937" s="5"/>
      <c r="J6937" s="5"/>
      <c r="K6937" s="5"/>
      <c r="L6937" s="5"/>
      <c r="M6937" s="5"/>
      <c r="N6937" s="5"/>
      <c r="O6937" s="5"/>
      <c r="P6937" s="5"/>
      <c r="Q6937" s="5"/>
      <c r="R6937" s="5"/>
      <c r="S6937" s="5"/>
      <c r="T6937" s="5"/>
      <c r="U6937" s="5"/>
      <c r="V6937" s="5"/>
      <c r="W6937" s="5"/>
      <c r="X6937" s="5"/>
      <c r="Y6937" s="5"/>
      <c r="Z6937" s="5"/>
    </row>
    <row r="6938" spans="1:26" ht="15" x14ac:dyDescent="0.25">
      <c r="A6938" s="4" t="s">
        <v>6936</v>
      </c>
      <c r="B6938" s="4" t="s">
        <v>4550</v>
      </c>
      <c r="C6938" s="2" t="str">
        <f ca="1">IFERROR(__xludf.DUMMYFUNCTION("GOOGLETRANSLATE(A6938,""bn"",""en"")"),"I was engaged in human services")</f>
        <v>I was engaged in human services</v>
      </c>
      <c r="D6938" s="5"/>
      <c r="E6938" s="5"/>
      <c r="F6938" s="5"/>
      <c r="G6938" s="5"/>
      <c r="H6938" s="5"/>
      <c r="I6938" s="5"/>
      <c r="J6938" s="5"/>
      <c r="K6938" s="5"/>
      <c r="L6938" s="5"/>
      <c r="M6938" s="5"/>
      <c r="N6938" s="5"/>
      <c r="O6938" s="5"/>
      <c r="P6938" s="5"/>
      <c r="Q6938" s="5"/>
      <c r="R6938" s="5"/>
      <c r="S6938" s="5"/>
      <c r="T6938" s="5"/>
      <c r="U6938" s="5"/>
      <c r="V6938" s="5"/>
      <c r="W6938" s="5"/>
      <c r="X6938" s="5"/>
      <c r="Y6938" s="5"/>
      <c r="Z6938" s="5"/>
    </row>
    <row r="6939" spans="1:26" ht="15" x14ac:dyDescent="0.25">
      <c r="A6939" s="4" t="s">
        <v>6937</v>
      </c>
      <c r="B6939" s="4" t="s">
        <v>4550</v>
      </c>
      <c r="C6939" s="2" t="str">
        <f ca="1">IFERROR(__xludf.DUMMYFUNCTION("GOOGLETRANSLATE(A6939,""bn"",""en"")"),"I used a drone")</f>
        <v>I used a drone</v>
      </c>
      <c r="D6939" s="5"/>
      <c r="E6939" s="5"/>
      <c r="F6939" s="5"/>
      <c r="G6939" s="5"/>
      <c r="H6939" s="5"/>
      <c r="I6939" s="5"/>
      <c r="J6939" s="5"/>
      <c r="K6939" s="5"/>
      <c r="L6939" s="5"/>
      <c r="M6939" s="5"/>
      <c r="N6939" s="5"/>
      <c r="O6939" s="5"/>
      <c r="P6939" s="5"/>
      <c r="Q6939" s="5"/>
      <c r="R6939" s="5"/>
      <c r="S6939" s="5"/>
      <c r="T6939" s="5"/>
      <c r="U6939" s="5"/>
      <c r="V6939" s="5"/>
      <c r="W6939" s="5"/>
      <c r="X6939" s="5"/>
      <c r="Y6939" s="5"/>
      <c r="Z6939" s="5"/>
    </row>
    <row r="6940" spans="1:26" ht="15" x14ac:dyDescent="0.25">
      <c r="A6940" s="4" t="s">
        <v>6938</v>
      </c>
      <c r="B6940" s="4" t="s">
        <v>4550</v>
      </c>
      <c r="C6940" s="2" t="str">
        <f ca="1">IFERROR(__xludf.DUMMYFUNCTION("GOOGLETRANSLATE(A6940,""bn"",""en"")"),"Financial prosperity was happening")</f>
        <v>Financial prosperity was happening</v>
      </c>
      <c r="D6940" s="5"/>
      <c r="E6940" s="5"/>
      <c r="F6940" s="5"/>
      <c r="G6940" s="5"/>
      <c r="H6940" s="5"/>
      <c r="I6940" s="5"/>
      <c r="J6940" s="5"/>
      <c r="K6940" s="5"/>
      <c r="L6940" s="5"/>
      <c r="M6940" s="5"/>
      <c r="N6940" s="5"/>
      <c r="O6940" s="5"/>
      <c r="P6940" s="5"/>
      <c r="Q6940" s="5"/>
      <c r="R6940" s="5"/>
      <c r="S6940" s="5"/>
      <c r="T6940" s="5"/>
      <c r="U6940" s="5"/>
      <c r="V6940" s="5"/>
      <c r="W6940" s="5"/>
      <c r="X6940" s="5"/>
      <c r="Y6940" s="5"/>
      <c r="Z6940" s="5"/>
    </row>
    <row r="6941" spans="1:26" ht="15" x14ac:dyDescent="0.25">
      <c r="A6941" s="4" t="s">
        <v>6939</v>
      </c>
      <c r="B6941" s="4" t="s">
        <v>4550</v>
      </c>
      <c r="C6941" s="2" t="str">
        <f ca="1">IFERROR(__xludf.DUMMYFUNCTION("GOOGLETRANSLATE(A6941,""bn"",""en"")"),"Opened a bank account")</f>
        <v>Opened a bank account</v>
      </c>
      <c r="D6941" s="5"/>
      <c r="E6941" s="5"/>
      <c r="F6941" s="5"/>
      <c r="G6941" s="5"/>
      <c r="H6941" s="5"/>
      <c r="I6941" s="5"/>
      <c r="J6941" s="5"/>
      <c r="K6941" s="5"/>
      <c r="L6941" s="5"/>
      <c r="M6941" s="5"/>
      <c r="N6941" s="5"/>
      <c r="O6941" s="5"/>
      <c r="P6941" s="5"/>
      <c r="Q6941" s="5"/>
      <c r="R6941" s="5"/>
      <c r="S6941" s="5"/>
      <c r="T6941" s="5"/>
      <c r="U6941" s="5"/>
      <c r="V6941" s="5"/>
      <c r="W6941" s="5"/>
      <c r="X6941" s="5"/>
      <c r="Y6941" s="5"/>
      <c r="Z6941" s="5"/>
    </row>
    <row r="6942" spans="1:26" ht="15" x14ac:dyDescent="0.25">
      <c r="A6942" s="4" t="s">
        <v>6940</v>
      </c>
      <c r="B6942" s="4" t="s">
        <v>4550</v>
      </c>
      <c r="C6942" s="2" t="str">
        <f ca="1">IFERROR(__xludf.DUMMYFUNCTION("GOOGLETRANSLATE(A6942,""bn"",""en"")"),"you were doing math")</f>
        <v>you were doing math</v>
      </c>
      <c r="D6942" s="5"/>
      <c r="E6942" s="5"/>
      <c r="F6942" s="5"/>
      <c r="G6942" s="5"/>
      <c r="H6942" s="5"/>
      <c r="I6942" s="5"/>
      <c r="J6942" s="5"/>
      <c r="K6942" s="5"/>
      <c r="L6942" s="5"/>
      <c r="M6942" s="5"/>
      <c r="N6942" s="5"/>
      <c r="O6942" s="5"/>
      <c r="P6942" s="5"/>
      <c r="Q6942" s="5"/>
      <c r="R6942" s="5"/>
      <c r="S6942" s="5"/>
      <c r="T6942" s="5"/>
      <c r="U6942" s="5"/>
      <c r="V6942" s="5"/>
      <c r="W6942" s="5"/>
      <c r="X6942" s="5"/>
      <c r="Y6942" s="5"/>
      <c r="Z6942" s="5"/>
    </row>
    <row r="6943" spans="1:26" ht="15" x14ac:dyDescent="0.25">
      <c r="A6943" s="4" t="s">
        <v>6941</v>
      </c>
      <c r="B6943" s="4" t="s">
        <v>4550</v>
      </c>
      <c r="C6943" s="2" t="str">
        <f ca="1">IFERROR(__xludf.DUMMYFUNCTION("GOOGLETRANSLATE(A6943,""bn"",""en"")"),"I was doing online training")</f>
        <v>I was doing online training</v>
      </c>
      <c r="D6943" s="5"/>
      <c r="E6943" s="5"/>
      <c r="F6943" s="5"/>
      <c r="G6943" s="5"/>
      <c r="H6943" s="5"/>
      <c r="I6943" s="5"/>
      <c r="J6943" s="5"/>
      <c r="K6943" s="5"/>
      <c r="L6943" s="5"/>
      <c r="M6943" s="5"/>
      <c r="N6943" s="5"/>
      <c r="O6943" s="5"/>
      <c r="P6943" s="5"/>
      <c r="Q6943" s="5"/>
      <c r="R6943" s="5"/>
      <c r="S6943" s="5"/>
      <c r="T6943" s="5"/>
      <c r="U6943" s="5"/>
      <c r="V6943" s="5"/>
      <c r="W6943" s="5"/>
      <c r="X6943" s="5"/>
      <c r="Y6943" s="5"/>
      <c r="Z6943" s="5"/>
    </row>
    <row r="6944" spans="1:26" ht="15" x14ac:dyDescent="0.25">
      <c r="A6944" s="4" t="s">
        <v>6942</v>
      </c>
      <c r="B6944" s="4" t="s">
        <v>4550</v>
      </c>
      <c r="C6944" s="2" t="str">
        <f ca="1">IFERROR(__xludf.DUMMYFUNCTION("GOOGLETRANSLATE(A6944,""bn"",""en"")"),"People don't do politics")</f>
        <v>People don't do politics</v>
      </c>
      <c r="D6944" s="5"/>
      <c r="E6944" s="5"/>
      <c r="F6944" s="5"/>
      <c r="G6944" s="5"/>
      <c r="H6944" s="5"/>
      <c r="I6944" s="5"/>
      <c r="J6944" s="5"/>
      <c r="K6944" s="5"/>
      <c r="L6944" s="5"/>
      <c r="M6944" s="5"/>
      <c r="N6944" s="5"/>
      <c r="O6944" s="5"/>
      <c r="P6944" s="5"/>
      <c r="Q6944" s="5"/>
      <c r="R6944" s="5"/>
      <c r="S6944" s="5"/>
      <c r="T6944" s="5"/>
      <c r="U6944" s="5"/>
      <c r="V6944" s="5"/>
      <c r="W6944" s="5"/>
      <c r="X6944" s="5"/>
      <c r="Y6944" s="5"/>
      <c r="Z6944" s="5"/>
    </row>
    <row r="6945" spans="1:26" ht="15" x14ac:dyDescent="0.25">
      <c r="A6945" s="4" t="s">
        <v>6943</v>
      </c>
      <c r="B6945" s="4" t="s">
        <v>4550</v>
      </c>
      <c r="C6945" s="2" t="str">
        <f ca="1">IFERROR(__xludf.DUMMYFUNCTION("GOOGLETRANSLATE(A6945,""bn"",""en"")"),"I used to play sports in college")</f>
        <v>I used to play sports in college</v>
      </c>
      <c r="D6945" s="5"/>
      <c r="E6945" s="5"/>
      <c r="F6945" s="5"/>
      <c r="G6945" s="5"/>
      <c r="H6945" s="5"/>
      <c r="I6945" s="5"/>
      <c r="J6945" s="5"/>
      <c r="K6945" s="5"/>
      <c r="L6945" s="5"/>
      <c r="M6945" s="5"/>
      <c r="N6945" s="5"/>
      <c r="O6945" s="5"/>
      <c r="P6945" s="5"/>
      <c r="Q6945" s="5"/>
      <c r="R6945" s="5"/>
      <c r="S6945" s="5"/>
      <c r="T6945" s="5"/>
      <c r="U6945" s="5"/>
      <c r="V6945" s="5"/>
      <c r="W6945" s="5"/>
      <c r="X6945" s="5"/>
      <c r="Y6945" s="5"/>
      <c r="Z6945" s="5"/>
    </row>
    <row r="6946" spans="1:26" ht="15" x14ac:dyDescent="0.25">
      <c r="A6946" s="4" t="s">
        <v>6944</v>
      </c>
      <c r="B6946" s="4" t="s">
        <v>4550</v>
      </c>
      <c r="C6946" s="2" t="str">
        <f ca="1">IFERROR(__xludf.DUMMYFUNCTION("GOOGLETRANSLATE(A6946,""bn"",""en"")"),"I could email")</f>
        <v>I could email</v>
      </c>
      <c r="D6946" s="5"/>
      <c r="E6946" s="5"/>
      <c r="F6946" s="5"/>
      <c r="G6946" s="5"/>
      <c r="H6946" s="5"/>
      <c r="I6946" s="5"/>
      <c r="J6946" s="5"/>
      <c r="K6946" s="5"/>
      <c r="L6946" s="5"/>
      <c r="M6946" s="5"/>
      <c r="N6946" s="5"/>
      <c r="O6946" s="5"/>
      <c r="P6946" s="5"/>
      <c r="Q6946" s="5"/>
      <c r="R6946" s="5"/>
      <c r="S6946" s="5"/>
      <c r="T6946" s="5"/>
      <c r="U6946" s="5"/>
      <c r="V6946" s="5"/>
      <c r="W6946" s="5"/>
      <c r="X6946" s="5"/>
      <c r="Y6946" s="5"/>
      <c r="Z6946" s="5"/>
    </row>
    <row r="6947" spans="1:26" ht="15" x14ac:dyDescent="0.25">
      <c r="A6947" s="4" t="s">
        <v>6945</v>
      </c>
      <c r="B6947" s="4" t="s">
        <v>4550</v>
      </c>
      <c r="C6947" s="2" t="str">
        <f ca="1">IFERROR(__xludf.DUMMYFUNCTION("GOOGLETRANSLATE(A6947,""bn"",""en"")"),"He used to donate to the poor")</f>
        <v>He used to donate to the poor</v>
      </c>
      <c r="D6947" s="5"/>
      <c r="E6947" s="5"/>
      <c r="F6947" s="5"/>
      <c r="G6947" s="5"/>
      <c r="H6947" s="5"/>
      <c r="I6947" s="5"/>
      <c r="J6947" s="5"/>
      <c r="K6947" s="5"/>
      <c r="L6947" s="5"/>
      <c r="M6947" s="5"/>
      <c r="N6947" s="5"/>
      <c r="O6947" s="5"/>
      <c r="P6947" s="5"/>
      <c r="Q6947" s="5"/>
      <c r="R6947" s="5"/>
      <c r="S6947" s="5"/>
      <c r="T6947" s="5"/>
      <c r="U6947" s="5"/>
      <c r="V6947" s="5"/>
      <c r="W6947" s="5"/>
      <c r="X6947" s="5"/>
      <c r="Y6947" s="5"/>
      <c r="Z6947" s="5"/>
    </row>
    <row r="6948" spans="1:26" ht="15" x14ac:dyDescent="0.25">
      <c r="A6948" s="4" t="s">
        <v>6946</v>
      </c>
      <c r="B6948" s="4" t="s">
        <v>4550</v>
      </c>
      <c r="C6948" s="2" t="str">
        <f ca="1">IFERROR(__xludf.DUMMYFUNCTION("GOOGLETRANSLATE(A6948,""bn"",""en"")"),"I went to Alaska")</f>
        <v>I went to Alaska</v>
      </c>
      <c r="D6948" s="5"/>
      <c r="E6948" s="5"/>
      <c r="F6948" s="5"/>
      <c r="G6948" s="5"/>
      <c r="H6948" s="5"/>
      <c r="I6948" s="5"/>
      <c r="J6948" s="5"/>
      <c r="K6948" s="5"/>
      <c r="L6948" s="5"/>
      <c r="M6948" s="5"/>
      <c r="N6948" s="5"/>
      <c r="O6948" s="5"/>
      <c r="P6948" s="5"/>
      <c r="Q6948" s="5"/>
      <c r="R6948" s="5"/>
      <c r="S6948" s="5"/>
      <c r="T6948" s="5"/>
      <c r="U6948" s="5"/>
      <c r="V6948" s="5"/>
      <c r="W6948" s="5"/>
      <c r="X6948" s="5"/>
      <c r="Y6948" s="5"/>
      <c r="Z6948" s="5"/>
    </row>
    <row r="6949" spans="1:26" ht="15" x14ac:dyDescent="0.25">
      <c r="A6949" s="4" t="s">
        <v>6947</v>
      </c>
      <c r="B6949" s="4" t="s">
        <v>4550</v>
      </c>
      <c r="C6949" s="2" t="str">
        <f ca="1">IFERROR(__xludf.DUMMYFUNCTION("GOOGLETRANSLATE(A6949,""bn"",""en"")"),"I was using the camera")</f>
        <v>I was using the camera</v>
      </c>
      <c r="D6949" s="5"/>
      <c r="E6949" s="5"/>
      <c r="F6949" s="5"/>
      <c r="G6949" s="5"/>
      <c r="H6949" s="5"/>
      <c r="I6949" s="5"/>
      <c r="J6949" s="5"/>
      <c r="K6949" s="5"/>
      <c r="L6949" s="5"/>
      <c r="M6949" s="5"/>
      <c r="N6949" s="5"/>
      <c r="O6949" s="5"/>
      <c r="P6949" s="5"/>
      <c r="Q6949" s="5"/>
      <c r="R6949" s="5"/>
      <c r="S6949" s="5"/>
      <c r="T6949" s="5"/>
      <c r="U6949" s="5"/>
      <c r="V6949" s="5"/>
      <c r="W6949" s="5"/>
      <c r="X6949" s="5"/>
      <c r="Y6949" s="5"/>
      <c r="Z6949" s="5"/>
    </row>
    <row r="6950" spans="1:26" ht="15" x14ac:dyDescent="0.25">
      <c r="A6950" s="4" t="s">
        <v>6948</v>
      </c>
      <c r="B6950" s="4" t="s">
        <v>4550</v>
      </c>
      <c r="C6950" s="2" t="str">
        <f ca="1">IFERROR(__xludf.DUMMYFUNCTION("GOOGLETRANSLATE(A6950,""bn"",""en"")"),"I used to read internet email")</f>
        <v>I used to read internet email</v>
      </c>
      <c r="D6950" s="5"/>
      <c r="E6950" s="5"/>
      <c r="F6950" s="5"/>
      <c r="G6950" s="5"/>
      <c r="H6950" s="5"/>
      <c r="I6950" s="5"/>
      <c r="J6950" s="5"/>
      <c r="K6950" s="5"/>
      <c r="L6950" s="5"/>
      <c r="M6950" s="5"/>
      <c r="N6950" s="5"/>
      <c r="O6950" s="5"/>
      <c r="P6950" s="5"/>
      <c r="Q6950" s="5"/>
      <c r="R6950" s="5"/>
      <c r="S6950" s="5"/>
      <c r="T6950" s="5"/>
      <c r="U6950" s="5"/>
      <c r="V6950" s="5"/>
      <c r="W6950" s="5"/>
      <c r="X6950" s="5"/>
      <c r="Y6950" s="5"/>
      <c r="Z6950" s="5"/>
    </row>
    <row r="6951" spans="1:26" ht="15" x14ac:dyDescent="0.25">
      <c r="A6951" s="4" t="s">
        <v>6949</v>
      </c>
      <c r="B6951" s="4" t="s">
        <v>4550</v>
      </c>
      <c r="C6951" s="2" t="str">
        <f ca="1">IFERROR(__xludf.DUMMYFUNCTION("GOOGLETRANSLATE(A6951,""bn"",""en"")"),"I used to withdraw money")</f>
        <v>I used to withdraw money</v>
      </c>
      <c r="D6951" s="5"/>
      <c r="E6951" s="5"/>
      <c r="F6951" s="5"/>
      <c r="G6951" s="5"/>
      <c r="H6951" s="5"/>
      <c r="I6951" s="5"/>
      <c r="J6951" s="5"/>
      <c r="K6951" s="5"/>
      <c r="L6951" s="5"/>
      <c r="M6951" s="5"/>
      <c r="N6951" s="5"/>
      <c r="O6951" s="5"/>
      <c r="P6951" s="5"/>
      <c r="Q6951" s="5"/>
      <c r="R6951" s="5"/>
      <c r="S6951" s="5"/>
      <c r="T6951" s="5"/>
      <c r="U6951" s="5"/>
      <c r="V6951" s="5"/>
      <c r="W6951" s="5"/>
      <c r="X6951" s="5"/>
      <c r="Y6951" s="5"/>
      <c r="Z6951" s="5"/>
    </row>
    <row r="6952" spans="1:26" ht="15" x14ac:dyDescent="0.25">
      <c r="A6952" s="4" t="s">
        <v>6950</v>
      </c>
      <c r="B6952" s="4" t="s">
        <v>4550</v>
      </c>
      <c r="C6952" s="2" t="str">
        <f ca="1">IFERROR(__xludf.DUMMYFUNCTION("GOOGLETRANSLATE(A6952,""bn"",""en"")"),"Enjoyed the trip")</f>
        <v>Enjoyed the trip</v>
      </c>
      <c r="D6952" s="5"/>
      <c r="E6952" s="5"/>
      <c r="F6952" s="5"/>
      <c r="G6952" s="5"/>
      <c r="H6952" s="5"/>
      <c r="I6952" s="5"/>
      <c r="J6952" s="5"/>
      <c r="K6952" s="5"/>
      <c r="L6952" s="5"/>
      <c r="M6952" s="5"/>
      <c r="N6952" s="5"/>
      <c r="O6952" s="5"/>
      <c r="P6952" s="5"/>
      <c r="Q6952" s="5"/>
      <c r="R6952" s="5"/>
      <c r="S6952" s="5"/>
      <c r="T6952" s="5"/>
      <c r="U6952" s="5"/>
      <c r="V6952" s="5"/>
      <c r="W6952" s="5"/>
      <c r="X6952" s="5"/>
      <c r="Y6952" s="5"/>
      <c r="Z6952" s="5"/>
    </row>
    <row r="6953" spans="1:26" ht="15" x14ac:dyDescent="0.25">
      <c r="A6953" s="4" t="s">
        <v>6951</v>
      </c>
      <c r="B6953" s="4" t="s">
        <v>4550</v>
      </c>
      <c r="C6953" s="2" t="str">
        <f ca="1">IFERROR(__xludf.DUMMYFUNCTION("GOOGLETRANSLATE(A6953,""bn"",""en"")"),"I went to Hajj")</f>
        <v>I went to Hajj</v>
      </c>
      <c r="D6953" s="5"/>
      <c r="E6953" s="5"/>
      <c r="F6953" s="5"/>
      <c r="G6953" s="5"/>
      <c r="H6953" s="5"/>
      <c r="I6953" s="5"/>
      <c r="J6953" s="5"/>
      <c r="K6953" s="5"/>
      <c r="L6953" s="5"/>
      <c r="M6953" s="5"/>
      <c r="N6953" s="5"/>
      <c r="O6953" s="5"/>
      <c r="P6953" s="5"/>
      <c r="Q6953" s="5"/>
      <c r="R6953" s="5"/>
      <c r="S6953" s="5"/>
      <c r="T6953" s="5"/>
      <c r="U6953" s="5"/>
      <c r="V6953" s="5"/>
      <c r="W6953" s="5"/>
      <c r="X6953" s="5"/>
      <c r="Y6953" s="5"/>
      <c r="Z6953" s="5"/>
    </row>
    <row r="6954" spans="1:26" ht="15" x14ac:dyDescent="0.25">
      <c r="A6954" s="4" t="s">
        <v>6952</v>
      </c>
      <c r="B6954" s="4" t="s">
        <v>4550</v>
      </c>
      <c r="C6954" s="2" t="str">
        <f ca="1">IFERROR(__xludf.DUMMYFUNCTION("GOOGLETRANSLATE(A6954,""bn"",""en"")"),"I was looking for sea oysters")</f>
        <v>I was looking for sea oysters</v>
      </c>
      <c r="D6954" s="5"/>
      <c r="E6954" s="5"/>
      <c r="F6954" s="5"/>
      <c r="G6954" s="5"/>
      <c r="H6954" s="5"/>
      <c r="I6954" s="5"/>
      <c r="J6954" s="5"/>
      <c r="K6954" s="5"/>
      <c r="L6954" s="5"/>
      <c r="M6954" s="5"/>
      <c r="N6954" s="5"/>
      <c r="O6954" s="5"/>
      <c r="P6954" s="5"/>
      <c r="Q6954" s="5"/>
      <c r="R6954" s="5"/>
      <c r="S6954" s="5"/>
      <c r="T6954" s="5"/>
      <c r="U6954" s="5"/>
      <c r="V6954" s="5"/>
      <c r="W6954" s="5"/>
      <c r="X6954" s="5"/>
      <c r="Y6954" s="5"/>
      <c r="Z6954" s="5"/>
    </row>
    <row r="6955" spans="1:26" ht="15" x14ac:dyDescent="0.25">
      <c r="A6955" s="4" t="s">
        <v>6953</v>
      </c>
      <c r="B6955" s="4" t="s">
        <v>4550</v>
      </c>
      <c r="C6955" s="2" t="str">
        <f ca="1">IFERROR(__xludf.DUMMYFUNCTION("GOOGLETRANSLATE(A6955,""bn"",""en"")"),"I got lost while looking for sea oysters")</f>
        <v>I got lost while looking for sea oysters</v>
      </c>
      <c r="D6955" s="5"/>
      <c r="E6955" s="5"/>
      <c r="F6955" s="5"/>
      <c r="G6955" s="5"/>
      <c r="H6955" s="5"/>
      <c r="I6955" s="5"/>
      <c r="J6955" s="5"/>
      <c r="K6955" s="5"/>
      <c r="L6955" s="5"/>
      <c r="M6955" s="5"/>
      <c r="N6955" s="5"/>
      <c r="O6955" s="5"/>
      <c r="P6955" s="5"/>
      <c r="Q6955" s="5"/>
      <c r="R6955" s="5"/>
      <c r="S6955" s="5"/>
      <c r="T6955" s="5"/>
      <c r="U6955" s="5"/>
      <c r="V6955" s="5"/>
      <c r="W6955" s="5"/>
      <c r="X6955" s="5"/>
      <c r="Y6955" s="5"/>
      <c r="Z6955" s="5"/>
    </row>
    <row r="6956" spans="1:26" ht="15" x14ac:dyDescent="0.25">
      <c r="A6956" s="4" t="s">
        <v>6954</v>
      </c>
      <c r="B6956" s="4" t="s">
        <v>4550</v>
      </c>
      <c r="C6956" s="2" t="str">
        <f ca="1">IFERROR(__xludf.DUMMYFUNCTION("GOOGLETRANSLATE(A6956,""bn"",""en"")"),"I surfed the internet more")</f>
        <v>I surfed the internet more</v>
      </c>
      <c r="D6956" s="5"/>
      <c r="E6956" s="5"/>
      <c r="F6956" s="5"/>
      <c r="G6956" s="5"/>
      <c r="H6956" s="5"/>
      <c r="I6956" s="5"/>
      <c r="J6956" s="5"/>
      <c r="K6956" s="5"/>
      <c r="L6956" s="5"/>
      <c r="M6956" s="5"/>
      <c r="N6956" s="5"/>
      <c r="O6956" s="5"/>
      <c r="P6956" s="5"/>
      <c r="Q6956" s="5"/>
      <c r="R6956" s="5"/>
      <c r="S6956" s="5"/>
      <c r="T6956" s="5"/>
      <c r="U6956" s="5"/>
      <c r="V6956" s="5"/>
      <c r="W6956" s="5"/>
      <c r="X6956" s="5"/>
      <c r="Y6956" s="5"/>
      <c r="Z6956" s="5"/>
    </row>
    <row r="6957" spans="1:26" ht="15" x14ac:dyDescent="0.25">
      <c r="A6957" s="4" t="s">
        <v>6955</v>
      </c>
      <c r="B6957" s="4" t="s">
        <v>4550</v>
      </c>
      <c r="C6957" s="2" t="str">
        <f ca="1">IFERROR(__xludf.DUMMYFUNCTION("GOOGLETRANSLATE(A6957,""bn"",""en"")"),"I sent the money")</f>
        <v>I sent the money</v>
      </c>
      <c r="D6957" s="5"/>
      <c r="E6957" s="5"/>
      <c r="F6957" s="5"/>
      <c r="G6957" s="5"/>
      <c r="H6957" s="5"/>
      <c r="I6957" s="5"/>
      <c r="J6957" s="5"/>
      <c r="K6957" s="5"/>
      <c r="L6957" s="5"/>
      <c r="M6957" s="5"/>
      <c r="N6957" s="5"/>
      <c r="O6957" s="5"/>
      <c r="P6957" s="5"/>
      <c r="Q6957" s="5"/>
      <c r="R6957" s="5"/>
      <c r="S6957" s="5"/>
      <c r="T6957" s="5"/>
      <c r="U6957" s="5"/>
      <c r="V6957" s="5"/>
      <c r="W6957" s="5"/>
      <c r="X6957" s="5"/>
      <c r="Y6957" s="5"/>
      <c r="Z6957" s="5"/>
    </row>
    <row r="6958" spans="1:26" ht="15" x14ac:dyDescent="0.25">
      <c r="A6958" s="4" t="s">
        <v>6956</v>
      </c>
      <c r="B6958" s="4" t="s">
        <v>4550</v>
      </c>
      <c r="C6958" s="2" t="str">
        <f ca="1">IFERROR(__xludf.DUMMYFUNCTION("GOOGLETRANSLATE(A6958,""bn"",""en"")"),"Infrastructure increased")</f>
        <v>Infrastructure increased</v>
      </c>
      <c r="D6958" s="5"/>
      <c r="E6958" s="5"/>
      <c r="F6958" s="5"/>
      <c r="G6958" s="5"/>
      <c r="H6958" s="5"/>
      <c r="I6958" s="5"/>
      <c r="J6958" s="5"/>
      <c r="K6958" s="5"/>
      <c r="L6958" s="5"/>
      <c r="M6958" s="5"/>
      <c r="N6958" s="5"/>
      <c r="O6958" s="5"/>
      <c r="P6958" s="5"/>
      <c r="Q6958" s="5"/>
      <c r="R6958" s="5"/>
      <c r="S6958" s="5"/>
      <c r="T6958" s="5"/>
      <c r="U6958" s="5"/>
      <c r="V6958" s="5"/>
      <c r="W6958" s="5"/>
      <c r="X6958" s="5"/>
      <c r="Y6958" s="5"/>
      <c r="Z6958" s="5"/>
    </row>
    <row r="6959" spans="1:26" ht="15" x14ac:dyDescent="0.25">
      <c r="A6959" s="4" t="s">
        <v>6957</v>
      </c>
      <c r="B6959" s="4" t="s">
        <v>4550</v>
      </c>
      <c r="C6959" s="2" t="str">
        <f ca="1">IFERROR(__xludf.DUMMYFUNCTION("GOOGLETRANSLATE(A6959,""bn"",""en"")"),"The waves spread softly")</f>
        <v>The waves spread softly</v>
      </c>
      <c r="D6959" s="5"/>
      <c r="E6959" s="5"/>
      <c r="F6959" s="5"/>
      <c r="G6959" s="5"/>
      <c r="H6959" s="5"/>
      <c r="I6959" s="5"/>
      <c r="J6959" s="5"/>
      <c r="K6959" s="5"/>
      <c r="L6959" s="5"/>
      <c r="M6959" s="5"/>
      <c r="N6959" s="5"/>
      <c r="O6959" s="5"/>
      <c r="P6959" s="5"/>
      <c r="Q6959" s="5"/>
      <c r="R6959" s="5"/>
      <c r="S6959" s="5"/>
      <c r="T6959" s="5"/>
      <c r="U6959" s="5"/>
      <c r="V6959" s="5"/>
      <c r="W6959" s="5"/>
      <c r="X6959" s="5"/>
      <c r="Y6959" s="5"/>
      <c r="Z6959" s="5"/>
    </row>
    <row r="6960" spans="1:26" ht="15" x14ac:dyDescent="0.25">
      <c r="A6960" s="4" t="s">
        <v>6958</v>
      </c>
      <c r="B6960" s="4" t="s">
        <v>4550</v>
      </c>
      <c r="C6960" s="2" t="str">
        <f ca="1">IFERROR(__xludf.DUMMYFUNCTION("GOOGLETRANSLATE(A6960,""bn"",""en"")"),"I was using a memory card")</f>
        <v>I was using a memory card</v>
      </c>
      <c r="D6960" s="5"/>
      <c r="E6960" s="5"/>
      <c r="F6960" s="5"/>
      <c r="G6960" s="5"/>
      <c r="H6960" s="5"/>
      <c r="I6960" s="5"/>
      <c r="J6960" s="5"/>
      <c r="K6960" s="5"/>
      <c r="L6960" s="5"/>
      <c r="M6960" s="5"/>
      <c r="N6960" s="5"/>
      <c r="O6960" s="5"/>
      <c r="P6960" s="5"/>
      <c r="Q6960" s="5"/>
      <c r="R6960" s="5"/>
      <c r="S6960" s="5"/>
      <c r="T6960" s="5"/>
      <c r="U6960" s="5"/>
      <c r="V6960" s="5"/>
      <c r="W6960" s="5"/>
      <c r="X6960" s="5"/>
      <c r="Y6960" s="5"/>
      <c r="Z6960" s="5"/>
    </row>
    <row r="6961" spans="1:26" ht="15" x14ac:dyDescent="0.25">
      <c r="A6961" s="4" t="s">
        <v>6959</v>
      </c>
      <c r="B6961" s="4" t="s">
        <v>4550</v>
      </c>
      <c r="C6961" s="2" t="str">
        <f ca="1">IFERROR(__xludf.DUMMYFUNCTION("GOOGLETRANSLATE(A6961,""bn"",""en"")"),"I was using the speaker")</f>
        <v>I was using the speaker</v>
      </c>
      <c r="D6961" s="5"/>
      <c r="E6961" s="5"/>
      <c r="F6961" s="5"/>
      <c r="G6961" s="5"/>
      <c r="H6961" s="5"/>
      <c r="I6961" s="5"/>
      <c r="J6961" s="5"/>
      <c r="K6961" s="5"/>
      <c r="L6961" s="5"/>
      <c r="M6961" s="5"/>
      <c r="N6961" s="5"/>
      <c r="O6961" s="5"/>
      <c r="P6961" s="5"/>
      <c r="Q6961" s="5"/>
      <c r="R6961" s="5"/>
      <c r="S6961" s="5"/>
      <c r="T6961" s="5"/>
      <c r="U6961" s="5"/>
      <c r="V6961" s="5"/>
      <c r="W6961" s="5"/>
      <c r="X6961" s="5"/>
      <c r="Y6961" s="5"/>
      <c r="Z6961" s="5"/>
    </row>
    <row r="6962" spans="1:26" ht="15" x14ac:dyDescent="0.25">
      <c r="A6962" s="4" t="s">
        <v>6960</v>
      </c>
      <c r="B6962" s="4" t="s">
        <v>4550</v>
      </c>
      <c r="C6962" s="2" t="str">
        <f ca="1">IFERROR(__xludf.DUMMYFUNCTION("GOOGLETRANSLATE(A6962,""bn"",""en"")"),"I loved the mountain tops")</f>
        <v>I loved the mountain tops</v>
      </c>
      <c r="D6962" s="5"/>
      <c r="E6962" s="5"/>
      <c r="F6962" s="5"/>
      <c r="G6962" s="5"/>
      <c r="H6962" s="5"/>
      <c r="I6962" s="5"/>
      <c r="J6962" s="5"/>
      <c r="K6962" s="5"/>
      <c r="L6962" s="5"/>
      <c r="M6962" s="5"/>
      <c r="N6962" s="5"/>
      <c r="O6962" s="5"/>
      <c r="P6962" s="5"/>
      <c r="Q6962" s="5"/>
      <c r="R6962" s="5"/>
      <c r="S6962" s="5"/>
      <c r="T6962" s="5"/>
      <c r="U6962" s="5"/>
      <c r="V6962" s="5"/>
      <c r="W6962" s="5"/>
      <c r="X6962" s="5"/>
      <c r="Y6962" s="5"/>
      <c r="Z6962" s="5"/>
    </row>
    <row r="6963" spans="1:26" ht="15" x14ac:dyDescent="0.25">
      <c r="A6963" s="4" t="s">
        <v>6961</v>
      </c>
      <c r="B6963" s="4" t="s">
        <v>4550</v>
      </c>
      <c r="C6963" s="2" t="str">
        <f ca="1">IFERROR(__xludf.DUMMYFUNCTION("GOOGLETRANSLATE(A6963,""bn"",""en"")"),"Searched for success")</f>
        <v>Searched for success</v>
      </c>
      <c r="D6963" s="5"/>
      <c r="E6963" s="5"/>
      <c r="F6963" s="5"/>
      <c r="G6963" s="5"/>
      <c r="H6963" s="5"/>
      <c r="I6963" s="5"/>
      <c r="J6963" s="5"/>
      <c r="K6963" s="5"/>
      <c r="L6963" s="5"/>
      <c r="M6963" s="5"/>
      <c r="N6963" s="5"/>
      <c r="O6963" s="5"/>
      <c r="P6963" s="5"/>
      <c r="Q6963" s="5"/>
      <c r="R6963" s="5"/>
      <c r="S6963" s="5"/>
      <c r="T6963" s="5"/>
      <c r="U6963" s="5"/>
      <c r="V6963" s="5"/>
      <c r="W6963" s="5"/>
      <c r="X6963" s="5"/>
      <c r="Y6963" s="5"/>
      <c r="Z6963" s="5"/>
    </row>
    <row r="6964" spans="1:26" ht="15" x14ac:dyDescent="0.25">
      <c r="A6964" s="4" t="s">
        <v>6962</v>
      </c>
      <c r="B6964" s="4" t="s">
        <v>4550</v>
      </c>
      <c r="C6964" s="2" t="str">
        <f ca="1">IFERROR(__xludf.DUMMYFUNCTION("GOOGLETRANSLATE(A6964,""bn"",""en"")"),"I used to use television")</f>
        <v>I used to use television</v>
      </c>
      <c r="D6964" s="5"/>
      <c r="E6964" s="5"/>
      <c r="F6964" s="5"/>
      <c r="G6964" s="5"/>
      <c r="H6964" s="5"/>
      <c r="I6964" s="5"/>
      <c r="J6964" s="5"/>
      <c r="K6964" s="5"/>
      <c r="L6964" s="5"/>
      <c r="M6964" s="5"/>
      <c r="N6964" s="5"/>
      <c r="O6964" s="5"/>
      <c r="P6964" s="5"/>
      <c r="Q6964" s="5"/>
      <c r="R6964" s="5"/>
      <c r="S6964" s="5"/>
      <c r="T6964" s="5"/>
      <c r="U6964" s="5"/>
      <c r="V6964" s="5"/>
      <c r="W6964" s="5"/>
      <c r="X6964" s="5"/>
      <c r="Y6964" s="5"/>
      <c r="Z6964" s="5"/>
    </row>
    <row r="6965" spans="1:26" ht="15" x14ac:dyDescent="0.25">
      <c r="A6965" s="4" t="s">
        <v>6963</v>
      </c>
      <c r="B6965" s="4" t="s">
        <v>4550</v>
      </c>
      <c r="C6965" s="2" t="str">
        <f ca="1">IFERROR(__xludf.DUMMYFUNCTION("GOOGLETRANSLATE(A6965,""bn"",""en"")"),"I used a smartphone")</f>
        <v>I used a smartphone</v>
      </c>
      <c r="D6965" s="5"/>
      <c r="E6965" s="5"/>
      <c r="F6965" s="5"/>
      <c r="G6965" s="5"/>
      <c r="H6965" s="5"/>
      <c r="I6965" s="5"/>
      <c r="J6965" s="5"/>
      <c r="K6965" s="5"/>
      <c r="L6965" s="5"/>
      <c r="M6965" s="5"/>
      <c r="N6965" s="5"/>
      <c r="O6965" s="5"/>
      <c r="P6965" s="5"/>
      <c r="Q6965" s="5"/>
      <c r="R6965" s="5"/>
      <c r="S6965" s="5"/>
      <c r="T6965" s="5"/>
      <c r="U6965" s="5"/>
      <c r="V6965" s="5"/>
      <c r="W6965" s="5"/>
      <c r="X6965" s="5"/>
      <c r="Y6965" s="5"/>
      <c r="Z6965" s="5"/>
    </row>
    <row r="6966" spans="1:26" ht="15" x14ac:dyDescent="0.25">
      <c r="A6966" s="4" t="s">
        <v>6964</v>
      </c>
      <c r="B6966" s="4" t="s">
        <v>4550</v>
      </c>
      <c r="C6966" s="2" t="str">
        <f ca="1">IFERROR(__xludf.DUMMYFUNCTION("GOOGLETRANSLATE(A6966,""bn"",""en"")"),"I used the camera")</f>
        <v>I used the camera</v>
      </c>
      <c r="D6966" s="5"/>
      <c r="E6966" s="5"/>
      <c r="F6966" s="5"/>
      <c r="G6966" s="5"/>
      <c r="H6966" s="5"/>
      <c r="I6966" s="5"/>
      <c r="J6966" s="5"/>
      <c r="K6966" s="5"/>
      <c r="L6966" s="5"/>
      <c r="M6966" s="5"/>
      <c r="N6966" s="5"/>
      <c r="O6966" s="5"/>
      <c r="P6966" s="5"/>
      <c r="Q6966" s="5"/>
      <c r="R6966" s="5"/>
      <c r="S6966" s="5"/>
      <c r="T6966" s="5"/>
      <c r="U6966" s="5"/>
      <c r="V6966" s="5"/>
      <c r="W6966" s="5"/>
      <c r="X6966" s="5"/>
      <c r="Y6966" s="5"/>
      <c r="Z6966" s="5"/>
    </row>
    <row r="6967" spans="1:26" ht="15" x14ac:dyDescent="0.25">
      <c r="A6967" s="4" t="s">
        <v>6965</v>
      </c>
      <c r="B6967" s="4" t="s">
        <v>4550</v>
      </c>
      <c r="C6967" s="2" t="str">
        <f ca="1">IFERROR(__xludf.DUMMYFUNCTION("GOOGLETRANSLATE(A6967,""bn"",""en"")"),"I was giving time to study")</f>
        <v>I was giving time to study</v>
      </c>
      <c r="D6967" s="5"/>
      <c r="E6967" s="5"/>
      <c r="F6967" s="5"/>
      <c r="G6967" s="5"/>
      <c r="H6967" s="5"/>
      <c r="I6967" s="5"/>
      <c r="J6967" s="5"/>
      <c r="K6967" s="5"/>
      <c r="L6967" s="5"/>
      <c r="M6967" s="5"/>
      <c r="N6967" s="5"/>
      <c r="O6967" s="5"/>
      <c r="P6967" s="5"/>
      <c r="Q6967" s="5"/>
      <c r="R6967" s="5"/>
      <c r="S6967" s="5"/>
      <c r="T6967" s="5"/>
      <c r="U6967" s="5"/>
      <c r="V6967" s="5"/>
      <c r="W6967" s="5"/>
      <c r="X6967" s="5"/>
      <c r="Y6967" s="5"/>
      <c r="Z6967" s="5"/>
    </row>
    <row r="6968" spans="1:26" ht="15" x14ac:dyDescent="0.25">
      <c r="A6968" s="4" t="s">
        <v>6966</v>
      </c>
      <c r="B6968" s="4" t="s">
        <v>4550</v>
      </c>
      <c r="C6968" s="2" t="str">
        <f ca="1">IFERROR(__xludf.DUMMYFUNCTION("GOOGLETRANSLATE(A6968,""bn"",""en"")"),"I opened a new game")</f>
        <v>I opened a new game</v>
      </c>
      <c r="D6968" s="5"/>
      <c r="E6968" s="5"/>
      <c r="F6968" s="5"/>
      <c r="G6968" s="5"/>
      <c r="H6968" s="5"/>
      <c r="I6968" s="5"/>
      <c r="J6968" s="5"/>
      <c r="K6968" s="5"/>
      <c r="L6968" s="5"/>
      <c r="M6968" s="5"/>
      <c r="N6968" s="5"/>
      <c r="O6968" s="5"/>
      <c r="P6968" s="5"/>
      <c r="Q6968" s="5"/>
      <c r="R6968" s="5"/>
      <c r="S6968" s="5"/>
      <c r="T6968" s="5"/>
      <c r="U6968" s="5"/>
      <c r="V6968" s="5"/>
      <c r="W6968" s="5"/>
      <c r="X6968" s="5"/>
      <c r="Y6968" s="5"/>
      <c r="Z6968" s="5"/>
    </row>
    <row r="6969" spans="1:26" ht="15" x14ac:dyDescent="0.25">
      <c r="A6969" s="4" t="s">
        <v>6967</v>
      </c>
      <c r="B6969" s="4" t="s">
        <v>4550</v>
      </c>
      <c r="C6969" s="2" t="str">
        <f ca="1">IFERROR(__xludf.DUMMYFUNCTION("GOOGLETRANSLATE(A6969,""bn"",""en"")"),"Bangladesh was becoming digital")</f>
        <v>Bangladesh was becoming digital</v>
      </c>
      <c r="D6969" s="5"/>
      <c r="E6969" s="5"/>
      <c r="F6969" s="5"/>
      <c r="G6969" s="5"/>
      <c r="H6969" s="5"/>
      <c r="I6969" s="5"/>
      <c r="J6969" s="5"/>
      <c r="K6969" s="5"/>
      <c r="L6969" s="5"/>
      <c r="M6969" s="5"/>
      <c r="N6969" s="5"/>
      <c r="O6969" s="5"/>
      <c r="P6969" s="5"/>
      <c r="Q6969" s="5"/>
      <c r="R6969" s="5"/>
      <c r="S6969" s="5"/>
      <c r="T6969" s="5"/>
      <c r="U6969" s="5"/>
      <c r="V6969" s="5"/>
      <c r="W6969" s="5"/>
      <c r="X6969" s="5"/>
      <c r="Y6969" s="5"/>
      <c r="Z6969" s="5"/>
    </row>
    <row r="6970" spans="1:26" ht="15" x14ac:dyDescent="0.25">
      <c r="A6970" s="4" t="s">
        <v>6968</v>
      </c>
      <c r="B6970" s="4" t="s">
        <v>4550</v>
      </c>
      <c r="C6970" s="2" t="str">
        <f ca="1">IFERROR(__xludf.DUMMYFUNCTION("GOOGLETRANSLATE(A6970,""bn"",""en"")"),"I was bathing in the sea")</f>
        <v>I was bathing in the sea</v>
      </c>
      <c r="D6970" s="5"/>
      <c r="E6970" s="5"/>
      <c r="F6970" s="5"/>
      <c r="G6970" s="5"/>
      <c r="H6970" s="5"/>
      <c r="I6970" s="5"/>
      <c r="J6970" s="5"/>
      <c r="K6970" s="5"/>
      <c r="L6970" s="5"/>
      <c r="M6970" s="5"/>
      <c r="N6970" s="5"/>
      <c r="O6970" s="5"/>
      <c r="P6970" s="5"/>
      <c r="Q6970" s="5"/>
      <c r="R6970" s="5"/>
      <c r="S6970" s="5"/>
      <c r="T6970" s="5"/>
      <c r="U6970" s="5"/>
      <c r="V6970" s="5"/>
      <c r="W6970" s="5"/>
      <c r="X6970" s="5"/>
      <c r="Y6970" s="5"/>
      <c r="Z6970" s="5"/>
    </row>
    <row r="6971" spans="1:26" ht="15" x14ac:dyDescent="0.25">
      <c r="A6971" s="4" t="s">
        <v>6969</v>
      </c>
      <c r="B6971" s="4" t="s">
        <v>4550</v>
      </c>
      <c r="C6971" s="2" t="str">
        <f ca="1">IFERROR(__xludf.DUMMYFUNCTION("GOOGLETRANSLATE(A6971,""bn"",""en"")"),"Lived in Makkah")</f>
        <v>Lived in Makkah</v>
      </c>
      <c r="D6971" s="5"/>
      <c r="E6971" s="5"/>
      <c r="F6971" s="5"/>
      <c r="G6971" s="5"/>
      <c r="H6971" s="5"/>
      <c r="I6971" s="5"/>
      <c r="J6971" s="5"/>
      <c r="K6971" s="5"/>
      <c r="L6971" s="5"/>
      <c r="M6971" s="5"/>
      <c r="N6971" s="5"/>
      <c r="O6971" s="5"/>
      <c r="P6971" s="5"/>
      <c r="Q6971" s="5"/>
      <c r="R6971" s="5"/>
      <c r="S6971" s="5"/>
      <c r="T6971" s="5"/>
      <c r="U6971" s="5"/>
      <c r="V6971" s="5"/>
      <c r="W6971" s="5"/>
      <c r="X6971" s="5"/>
      <c r="Y6971" s="5"/>
      <c r="Z6971" s="5"/>
    </row>
    <row r="6972" spans="1:26" ht="15" x14ac:dyDescent="0.25">
      <c r="A6972" s="4" t="s">
        <v>6970</v>
      </c>
      <c r="B6972" s="4" t="s">
        <v>4550</v>
      </c>
      <c r="C6972" s="2" t="str">
        <f ca="1">IFERROR(__xludf.DUMMYFUNCTION("GOOGLETRANSLATE(A6972,""bn"",""en"")"),"I bought a new camera")</f>
        <v>I bought a new camera</v>
      </c>
      <c r="D6972" s="5"/>
      <c r="E6972" s="5"/>
      <c r="F6972" s="5"/>
      <c r="G6972" s="5"/>
      <c r="H6972" s="5"/>
      <c r="I6972" s="5"/>
      <c r="J6972" s="5"/>
      <c r="K6972" s="5"/>
      <c r="L6972" s="5"/>
      <c r="M6972" s="5"/>
      <c r="N6972" s="5"/>
      <c r="O6972" s="5"/>
      <c r="P6972" s="5"/>
      <c r="Q6972" s="5"/>
      <c r="R6972" s="5"/>
      <c r="S6972" s="5"/>
      <c r="T6972" s="5"/>
      <c r="U6972" s="5"/>
      <c r="V6972" s="5"/>
      <c r="W6972" s="5"/>
      <c r="X6972" s="5"/>
      <c r="Y6972" s="5"/>
      <c r="Z6972" s="5"/>
    </row>
    <row r="6973" spans="1:26" ht="15" x14ac:dyDescent="0.25">
      <c r="A6973" s="4" t="s">
        <v>6971</v>
      </c>
      <c r="B6973" s="4" t="s">
        <v>4550</v>
      </c>
      <c r="C6973" s="2" t="str">
        <f ca="1">IFERROR(__xludf.DUMMYFUNCTION("GOOGLETRANSLATE(A6973,""bn"",""en"")"),"The sea was crossing")</f>
        <v>The sea was crossing</v>
      </c>
      <c r="D6973" s="5"/>
      <c r="E6973" s="5"/>
      <c r="F6973" s="5"/>
      <c r="G6973" s="5"/>
      <c r="H6973" s="5"/>
      <c r="I6973" s="5"/>
      <c r="J6973" s="5"/>
      <c r="K6973" s="5"/>
      <c r="L6973" s="5"/>
      <c r="M6973" s="5"/>
      <c r="N6973" s="5"/>
      <c r="O6973" s="5"/>
      <c r="P6973" s="5"/>
      <c r="Q6973" s="5"/>
      <c r="R6973" s="5"/>
      <c r="S6973" s="5"/>
      <c r="T6973" s="5"/>
      <c r="U6973" s="5"/>
      <c r="V6973" s="5"/>
      <c r="W6973" s="5"/>
      <c r="X6973" s="5"/>
      <c r="Y6973" s="5"/>
      <c r="Z6973" s="5"/>
    </row>
    <row r="6974" spans="1:26" ht="15" x14ac:dyDescent="0.25">
      <c r="A6974" s="4" t="s">
        <v>6972</v>
      </c>
      <c r="B6974" s="4" t="s">
        <v>4550</v>
      </c>
      <c r="C6974" s="2" t="str">
        <f ca="1">IFERROR(__xludf.DUMMYFUNCTION("GOOGLETRANSLATE(A6974,""bn"",""en"")"),"I was investing in the internet")</f>
        <v>I was investing in the internet</v>
      </c>
      <c r="D6974" s="5"/>
      <c r="E6974" s="5"/>
      <c r="F6974" s="5"/>
      <c r="G6974" s="5"/>
      <c r="H6974" s="5"/>
      <c r="I6974" s="5"/>
      <c r="J6974" s="5"/>
      <c r="K6974" s="5"/>
      <c r="L6974" s="5"/>
      <c r="M6974" s="5"/>
      <c r="N6974" s="5"/>
      <c r="O6974" s="5"/>
      <c r="P6974" s="5"/>
      <c r="Q6974" s="5"/>
      <c r="R6974" s="5"/>
      <c r="S6974" s="5"/>
      <c r="T6974" s="5"/>
      <c r="U6974" s="5"/>
      <c r="V6974" s="5"/>
      <c r="W6974" s="5"/>
      <c r="X6974" s="5"/>
      <c r="Y6974" s="5"/>
      <c r="Z6974" s="5"/>
    </row>
    <row r="6975" spans="1:26" ht="15" x14ac:dyDescent="0.25">
      <c r="A6975" s="4" t="s">
        <v>6973</v>
      </c>
      <c r="B6975" s="4" t="s">
        <v>4550</v>
      </c>
      <c r="C6975" s="2" t="str">
        <f ca="1">IFERROR(__xludf.DUMMYFUNCTION("GOOGLETRANSLATE(A6975,""bn"",""en"")"),"Students were playing Hadudu")</f>
        <v>Students were playing Hadudu</v>
      </c>
      <c r="D6975" s="5"/>
      <c r="E6975" s="5"/>
      <c r="F6975" s="5"/>
      <c r="G6975" s="5"/>
      <c r="H6975" s="5"/>
      <c r="I6975" s="5"/>
      <c r="J6975" s="5"/>
      <c r="K6975" s="5"/>
      <c r="L6975" s="5"/>
      <c r="M6975" s="5"/>
      <c r="N6975" s="5"/>
      <c r="O6975" s="5"/>
      <c r="P6975" s="5"/>
      <c r="Q6975" s="5"/>
      <c r="R6975" s="5"/>
      <c r="S6975" s="5"/>
      <c r="T6975" s="5"/>
      <c r="U6975" s="5"/>
      <c r="V6975" s="5"/>
      <c r="W6975" s="5"/>
      <c r="X6975" s="5"/>
      <c r="Y6975" s="5"/>
      <c r="Z6975" s="5"/>
    </row>
    <row r="6976" spans="1:26" ht="15" x14ac:dyDescent="0.25">
      <c r="A6976" s="4" t="s">
        <v>6974</v>
      </c>
      <c r="B6976" s="4" t="s">
        <v>4550</v>
      </c>
      <c r="C6976" s="2" t="str">
        <f ca="1">IFERROR(__xludf.DUMMYFUNCTION("GOOGLETRANSLATE(A6976,""bn"",""en"")"),"Economic loss")</f>
        <v>Economic loss</v>
      </c>
      <c r="D6976" s="5"/>
      <c r="E6976" s="5"/>
      <c r="F6976" s="5"/>
      <c r="G6976" s="5"/>
      <c r="H6976" s="5"/>
      <c r="I6976" s="5"/>
      <c r="J6976" s="5"/>
      <c r="K6976" s="5"/>
      <c r="L6976" s="5"/>
      <c r="M6976" s="5"/>
      <c r="N6976" s="5"/>
      <c r="O6976" s="5"/>
      <c r="P6976" s="5"/>
      <c r="Q6976" s="5"/>
      <c r="R6976" s="5"/>
      <c r="S6976" s="5"/>
      <c r="T6976" s="5"/>
      <c r="U6976" s="5"/>
      <c r="V6976" s="5"/>
      <c r="W6976" s="5"/>
      <c r="X6976" s="5"/>
      <c r="Y6976" s="5"/>
      <c r="Z6976" s="5"/>
    </row>
    <row r="6977" spans="1:26" ht="15" x14ac:dyDescent="0.25">
      <c r="A6977" s="4" t="s">
        <v>6975</v>
      </c>
      <c r="B6977" s="4" t="s">
        <v>4550</v>
      </c>
      <c r="C6977" s="2" t="str">
        <f ca="1">IFERROR(__xludf.DUMMYFUNCTION("GOOGLETRANSLATE(A6977,""bn"",""en"")"),"I went to read the news on the internet")</f>
        <v>I went to read the news on the internet</v>
      </c>
      <c r="D6977" s="5"/>
      <c r="E6977" s="5"/>
      <c r="F6977" s="5"/>
      <c r="G6977" s="5"/>
      <c r="H6977" s="5"/>
      <c r="I6977" s="5"/>
      <c r="J6977" s="5"/>
      <c r="K6977" s="5"/>
      <c r="L6977" s="5"/>
      <c r="M6977" s="5"/>
      <c r="N6977" s="5"/>
      <c r="O6977" s="5"/>
      <c r="P6977" s="5"/>
      <c r="Q6977" s="5"/>
      <c r="R6977" s="5"/>
      <c r="S6977" s="5"/>
      <c r="T6977" s="5"/>
      <c r="U6977" s="5"/>
      <c r="V6977" s="5"/>
      <c r="W6977" s="5"/>
      <c r="X6977" s="5"/>
      <c r="Y6977" s="5"/>
      <c r="Z6977" s="5"/>
    </row>
    <row r="6978" spans="1:26" ht="15" x14ac:dyDescent="0.25">
      <c r="A6978" s="4" t="s">
        <v>6976</v>
      </c>
      <c r="B6978" s="4" t="s">
        <v>4550</v>
      </c>
      <c r="C6978" s="2" t="str">
        <f ca="1">IFERROR(__xludf.DUMMYFUNCTION("GOOGLETRANSLATE(A6978,""bn"",""en"")"),"I was reading this book")</f>
        <v>I was reading this book</v>
      </c>
      <c r="D6978" s="5"/>
      <c r="E6978" s="5"/>
      <c r="F6978" s="5"/>
      <c r="G6978" s="5"/>
      <c r="H6978" s="5"/>
      <c r="I6978" s="5"/>
      <c r="J6978" s="5"/>
      <c r="K6978" s="5"/>
      <c r="L6978" s="5"/>
      <c r="M6978" s="5"/>
      <c r="N6978" s="5"/>
      <c r="O6978" s="5"/>
      <c r="P6978" s="5"/>
      <c r="Q6978" s="5"/>
      <c r="R6978" s="5"/>
      <c r="S6978" s="5"/>
      <c r="T6978" s="5"/>
      <c r="U6978" s="5"/>
      <c r="V6978" s="5"/>
      <c r="W6978" s="5"/>
      <c r="X6978" s="5"/>
      <c r="Y6978" s="5"/>
      <c r="Z6978" s="5"/>
    </row>
    <row r="6979" spans="1:26" ht="15" x14ac:dyDescent="0.25">
      <c r="A6979" s="4" t="s">
        <v>6977</v>
      </c>
      <c r="B6979" s="4" t="s">
        <v>4550</v>
      </c>
      <c r="C6979" s="2" t="str">
        <f ca="1">IFERROR(__xludf.DUMMYFUNCTION("GOOGLETRANSLATE(A6979,""bn"",""en"")"),"Everyone went to the bank")</f>
        <v>Everyone went to the bank</v>
      </c>
      <c r="D6979" s="5"/>
      <c r="E6979" s="5"/>
      <c r="F6979" s="5"/>
      <c r="G6979" s="5"/>
      <c r="H6979" s="5"/>
      <c r="I6979" s="5"/>
      <c r="J6979" s="5"/>
      <c r="K6979" s="5"/>
      <c r="L6979" s="5"/>
      <c r="M6979" s="5"/>
      <c r="N6979" s="5"/>
      <c r="O6979" s="5"/>
      <c r="P6979" s="5"/>
      <c r="Q6979" s="5"/>
      <c r="R6979" s="5"/>
      <c r="S6979" s="5"/>
      <c r="T6979" s="5"/>
      <c r="U6979" s="5"/>
      <c r="V6979" s="5"/>
      <c r="W6979" s="5"/>
      <c r="X6979" s="5"/>
      <c r="Y6979" s="5"/>
      <c r="Z6979" s="5"/>
    </row>
    <row r="6980" spans="1:26" ht="15" x14ac:dyDescent="0.25">
      <c r="A6980" s="4" t="s">
        <v>6978</v>
      </c>
      <c r="B6980" s="4" t="s">
        <v>4550</v>
      </c>
      <c r="C6980" s="2" t="str">
        <f ca="1">IFERROR(__xludf.DUMMYFUNCTION("GOOGLETRANSLATE(A6980,""bn"",""en"")"),"I used smart TV")</f>
        <v>I used smart TV</v>
      </c>
      <c r="D6980" s="5"/>
      <c r="E6980" s="5"/>
      <c r="F6980" s="5"/>
      <c r="G6980" s="5"/>
      <c r="H6980" s="5"/>
      <c r="I6980" s="5"/>
      <c r="J6980" s="5"/>
      <c r="K6980" s="5"/>
      <c r="L6980" s="5"/>
      <c r="M6980" s="5"/>
      <c r="N6980" s="5"/>
      <c r="O6980" s="5"/>
      <c r="P6980" s="5"/>
      <c r="Q6980" s="5"/>
      <c r="R6980" s="5"/>
      <c r="S6980" s="5"/>
      <c r="T6980" s="5"/>
      <c r="U6980" s="5"/>
      <c r="V6980" s="5"/>
      <c r="W6980" s="5"/>
      <c r="X6980" s="5"/>
      <c r="Y6980" s="5"/>
      <c r="Z6980" s="5"/>
    </row>
    <row r="6981" spans="1:26" ht="15" x14ac:dyDescent="0.25">
      <c r="A6981" s="4" t="s">
        <v>6979</v>
      </c>
      <c r="B6981" s="4" t="s">
        <v>4550</v>
      </c>
      <c r="C6981" s="2" t="str">
        <f ca="1">IFERROR(__xludf.DUMMYFUNCTION("GOOGLETRANSLATE(A6981,""bn"",""en"")"),"I traveled")</f>
        <v>I traveled</v>
      </c>
      <c r="D6981" s="5"/>
      <c r="E6981" s="5"/>
      <c r="F6981" s="5"/>
      <c r="G6981" s="5"/>
      <c r="H6981" s="5"/>
      <c r="I6981" s="5"/>
      <c r="J6981" s="5"/>
      <c r="K6981" s="5"/>
      <c r="L6981" s="5"/>
      <c r="M6981" s="5"/>
      <c r="N6981" s="5"/>
      <c r="O6981" s="5"/>
      <c r="P6981" s="5"/>
      <c r="Q6981" s="5"/>
      <c r="R6981" s="5"/>
      <c r="S6981" s="5"/>
      <c r="T6981" s="5"/>
      <c r="U6981" s="5"/>
      <c r="V6981" s="5"/>
      <c r="W6981" s="5"/>
      <c r="X6981" s="5"/>
      <c r="Y6981" s="5"/>
      <c r="Z6981" s="5"/>
    </row>
    <row r="6982" spans="1:26" ht="15" x14ac:dyDescent="0.25">
      <c r="A6982" s="4" t="s">
        <v>6980</v>
      </c>
      <c r="B6982" s="4" t="s">
        <v>4550</v>
      </c>
      <c r="C6982" s="2" t="str">
        <f ca="1">IFERROR(__xludf.DUMMYFUNCTION("GOOGLETRANSLATE(A6982,""bn"",""en"")"),"I read poetry")</f>
        <v>I read poetry</v>
      </c>
      <c r="D6982" s="5"/>
      <c r="E6982" s="5"/>
      <c r="F6982" s="5"/>
      <c r="G6982" s="5"/>
      <c r="H6982" s="5"/>
      <c r="I6982" s="5"/>
      <c r="J6982" s="5"/>
      <c r="K6982" s="5"/>
      <c r="L6982" s="5"/>
      <c r="M6982" s="5"/>
      <c r="N6982" s="5"/>
      <c r="O6982" s="5"/>
      <c r="P6982" s="5"/>
      <c r="Q6982" s="5"/>
      <c r="R6982" s="5"/>
      <c r="S6982" s="5"/>
      <c r="T6982" s="5"/>
      <c r="U6982" s="5"/>
      <c r="V6982" s="5"/>
      <c r="W6982" s="5"/>
      <c r="X6982" s="5"/>
      <c r="Y6982" s="5"/>
      <c r="Z6982" s="5"/>
    </row>
    <row r="6983" spans="1:26" ht="15" x14ac:dyDescent="0.25">
      <c r="A6983" s="4" t="s">
        <v>6981</v>
      </c>
      <c r="B6983" s="4" t="s">
        <v>4550</v>
      </c>
      <c r="C6983" s="2" t="str">
        <f ca="1">IFERROR(__xludf.DUMMYFUNCTION("GOOGLETRANSLATE(A6983,""bn"",""en"")"),"There was economic loss")</f>
        <v>There was economic loss</v>
      </c>
      <c r="D6983" s="5"/>
      <c r="E6983" s="5"/>
      <c r="F6983" s="5"/>
      <c r="G6983" s="5"/>
      <c r="H6983" s="5"/>
      <c r="I6983" s="5"/>
      <c r="J6983" s="5"/>
      <c r="K6983" s="5"/>
      <c r="L6983" s="5"/>
      <c r="M6983" s="5"/>
      <c r="N6983" s="5"/>
      <c r="O6983" s="5"/>
      <c r="P6983" s="5"/>
      <c r="Q6983" s="5"/>
      <c r="R6983" s="5"/>
      <c r="S6983" s="5"/>
      <c r="T6983" s="5"/>
      <c r="U6983" s="5"/>
      <c r="V6983" s="5"/>
      <c r="W6983" s="5"/>
      <c r="X6983" s="5"/>
      <c r="Y6983" s="5"/>
      <c r="Z6983" s="5"/>
    </row>
    <row r="6984" spans="1:26" ht="15" x14ac:dyDescent="0.25">
      <c r="A6984" s="4" t="s">
        <v>6982</v>
      </c>
      <c r="B6984" s="4" t="s">
        <v>4550</v>
      </c>
      <c r="C6984" s="2" t="str">
        <f ca="1">IFERROR(__xludf.DUMMYFUNCTION("GOOGLETRANSLATE(A6984,""bn"",""en"")"),"I did the transaction on PayPal")</f>
        <v>I did the transaction on PayPal</v>
      </c>
      <c r="D6984" s="5"/>
      <c r="E6984" s="5"/>
      <c r="F6984" s="5"/>
      <c r="G6984" s="5"/>
      <c r="H6984" s="5"/>
      <c r="I6984" s="5"/>
      <c r="J6984" s="5"/>
      <c r="K6984" s="5"/>
      <c r="L6984" s="5"/>
      <c r="M6984" s="5"/>
      <c r="N6984" s="5"/>
      <c r="O6984" s="5"/>
      <c r="P6984" s="5"/>
      <c r="Q6984" s="5"/>
      <c r="R6984" s="5"/>
      <c r="S6984" s="5"/>
      <c r="T6984" s="5"/>
      <c r="U6984" s="5"/>
      <c r="V6984" s="5"/>
      <c r="W6984" s="5"/>
      <c r="X6984" s="5"/>
      <c r="Y6984" s="5"/>
      <c r="Z6984" s="5"/>
    </row>
    <row r="6985" spans="1:26" ht="15" x14ac:dyDescent="0.25">
      <c r="A6985" s="4" t="s">
        <v>6983</v>
      </c>
      <c r="B6985" s="4" t="s">
        <v>4550</v>
      </c>
      <c r="C6985" s="2" t="str">
        <f ca="1">IFERROR(__xludf.DUMMYFUNCTION("GOOGLETRANSLATE(A6985,""bn"",""en"")"),"Bananas contain iron")</f>
        <v>Bananas contain iron</v>
      </c>
      <c r="D6985" s="5"/>
      <c r="E6985" s="5"/>
      <c r="F6985" s="5"/>
      <c r="G6985" s="5"/>
      <c r="H6985" s="5"/>
      <c r="I6985" s="5"/>
      <c r="J6985" s="5"/>
      <c r="K6985" s="5"/>
      <c r="L6985" s="5"/>
      <c r="M6985" s="5"/>
      <c r="N6985" s="5"/>
      <c r="O6985" s="5"/>
      <c r="P6985" s="5"/>
      <c r="Q6985" s="5"/>
      <c r="R6985" s="5"/>
      <c r="S6985" s="5"/>
      <c r="T6985" s="5"/>
      <c r="U6985" s="5"/>
      <c r="V6985" s="5"/>
      <c r="W6985" s="5"/>
      <c r="X6985" s="5"/>
      <c r="Y6985" s="5"/>
      <c r="Z6985" s="5"/>
    </row>
    <row r="6986" spans="1:26" ht="15" x14ac:dyDescent="0.25">
      <c r="A6986" s="4" t="s">
        <v>6984</v>
      </c>
      <c r="B6986" s="4" t="s">
        <v>4550</v>
      </c>
      <c r="C6986" s="2" t="str">
        <f ca="1">IFERROR(__xludf.DUMMYFUNCTION("GOOGLETRANSLATE(A6986,""bn"",""en"")"),"Teams were replacing")</f>
        <v>Teams were replacing</v>
      </c>
      <c r="D6986" s="5"/>
      <c r="E6986" s="5"/>
      <c r="F6986" s="5"/>
      <c r="G6986" s="5"/>
      <c r="H6986" s="5"/>
      <c r="I6986" s="5"/>
      <c r="J6986" s="5"/>
      <c r="K6986" s="5"/>
      <c r="L6986" s="5"/>
      <c r="M6986" s="5"/>
      <c r="N6986" s="5"/>
      <c r="O6986" s="5"/>
      <c r="P6986" s="5"/>
      <c r="Q6986" s="5"/>
      <c r="R6986" s="5"/>
      <c r="S6986" s="5"/>
      <c r="T6986" s="5"/>
      <c r="U6986" s="5"/>
      <c r="V6986" s="5"/>
      <c r="W6986" s="5"/>
      <c r="X6986" s="5"/>
      <c r="Y6986" s="5"/>
      <c r="Z6986" s="5"/>
    </row>
    <row r="6987" spans="1:26" ht="15" x14ac:dyDescent="0.25">
      <c r="A6987" s="4" t="s">
        <v>6985</v>
      </c>
      <c r="B6987" s="4" t="s">
        <v>4550</v>
      </c>
      <c r="C6987" s="2" t="str">
        <f ca="1">IFERROR(__xludf.DUMMYFUNCTION("GOOGLETRANSLATE(A6987,""bn"",""en"")"),"Islamic life was built")</f>
        <v>Islamic life was built</v>
      </c>
      <c r="D6987" s="5"/>
      <c r="E6987" s="5"/>
      <c r="F6987" s="5"/>
      <c r="G6987" s="5"/>
      <c r="H6987" s="5"/>
      <c r="I6987" s="5"/>
      <c r="J6987" s="5"/>
      <c r="K6987" s="5"/>
      <c r="L6987" s="5"/>
      <c r="M6987" s="5"/>
      <c r="N6987" s="5"/>
      <c r="O6987" s="5"/>
      <c r="P6987" s="5"/>
      <c r="Q6987" s="5"/>
      <c r="R6987" s="5"/>
      <c r="S6987" s="5"/>
      <c r="T6987" s="5"/>
      <c r="U6987" s="5"/>
      <c r="V6987" s="5"/>
      <c r="W6987" s="5"/>
      <c r="X6987" s="5"/>
      <c r="Y6987" s="5"/>
      <c r="Z6987" s="5"/>
    </row>
    <row r="6988" spans="1:26" ht="15" x14ac:dyDescent="0.25">
      <c r="A6988" s="4" t="s">
        <v>6986</v>
      </c>
      <c r="B6988" s="4" t="s">
        <v>4550</v>
      </c>
      <c r="C6988" s="2" t="str">
        <f ca="1">IFERROR(__xludf.DUMMYFUNCTION("GOOGLETRANSLATE(A6988,""bn"",""en"")"),"Travel has changed")</f>
        <v>Travel has changed</v>
      </c>
      <c r="D6988" s="5"/>
      <c r="E6988" s="5"/>
      <c r="F6988" s="5"/>
      <c r="G6988" s="5"/>
      <c r="H6988" s="5"/>
      <c r="I6988" s="5"/>
      <c r="J6988" s="5"/>
      <c r="K6988" s="5"/>
      <c r="L6988" s="5"/>
      <c r="M6988" s="5"/>
      <c r="N6988" s="5"/>
      <c r="O6988" s="5"/>
      <c r="P6988" s="5"/>
      <c r="Q6988" s="5"/>
      <c r="R6988" s="5"/>
      <c r="S6988" s="5"/>
      <c r="T6988" s="5"/>
      <c r="U6988" s="5"/>
      <c r="V6988" s="5"/>
      <c r="W6988" s="5"/>
      <c r="X6988" s="5"/>
      <c r="Y6988" s="5"/>
      <c r="Z6988" s="5"/>
    </row>
    <row r="6989" spans="1:26" ht="15" x14ac:dyDescent="0.25">
      <c r="A6989" s="4" t="s">
        <v>6987</v>
      </c>
      <c r="B6989" s="4" t="s">
        <v>4550</v>
      </c>
      <c r="C6989" s="2" t="str">
        <f ca="1">IFERROR(__xludf.DUMMYFUNCTION("GOOGLETRANSLATE(A6989,""bn"",""en"")"),"The students read the story")</f>
        <v>The students read the story</v>
      </c>
      <c r="D6989" s="5"/>
      <c r="E6989" s="5"/>
      <c r="F6989" s="5"/>
      <c r="G6989" s="5"/>
      <c r="H6989" s="5"/>
      <c r="I6989" s="5"/>
      <c r="J6989" s="5"/>
      <c r="K6989" s="5"/>
      <c r="L6989" s="5"/>
      <c r="M6989" s="5"/>
      <c r="N6989" s="5"/>
      <c r="O6989" s="5"/>
      <c r="P6989" s="5"/>
      <c r="Q6989" s="5"/>
      <c r="R6989" s="5"/>
      <c r="S6989" s="5"/>
      <c r="T6989" s="5"/>
      <c r="U6989" s="5"/>
      <c r="V6989" s="5"/>
      <c r="W6989" s="5"/>
      <c r="X6989" s="5"/>
      <c r="Y6989" s="5"/>
      <c r="Z6989" s="5"/>
    </row>
    <row r="6990" spans="1:26" ht="15" x14ac:dyDescent="0.25">
      <c r="A6990" s="4" t="s">
        <v>6988</v>
      </c>
      <c r="B6990" s="4" t="s">
        <v>4550</v>
      </c>
      <c r="C6990" s="2" t="str">
        <f ca="1">IFERROR(__xludf.DUMMYFUNCTION("GOOGLETRANSLATE(A6990,""bn"",""en"")"),"The loan was disbursed")</f>
        <v>The loan was disbursed</v>
      </c>
      <c r="D6990" s="5"/>
      <c r="E6990" s="5"/>
      <c r="F6990" s="5"/>
      <c r="G6990" s="5"/>
      <c r="H6990" s="5"/>
      <c r="I6990" s="5"/>
      <c r="J6990" s="5"/>
      <c r="K6990" s="5"/>
      <c r="L6990" s="5"/>
      <c r="M6990" s="5"/>
      <c r="N6990" s="5"/>
      <c r="O6990" s="5"/>
      <c r="P6990" s="5"/>
      <c r="Q6990" s="5"/>
      <c r="R6990" s="5"/>
      <c r="S6990" s="5"/>
      <c r="T6990" s="5"/>
      <c r="U6990" s="5"/>
      <c r="V6990" s="5"/>
      <c r="W6990" s="5"/>
      <c r="X6990" s="5"/>
      <c r="Y6990" s="5"/>
      <c r="Z6990" s="5"/>
    </row>
    <row r="6991" spans="1:26" ht="15" x14ac:dyDescent="0.25">
      <c r="A6991" s="4" t="s">
        <v>6989</v>
      </c>
      <c r="B6991" s="4" t="s">
        <v>4550</v>
      </c>
      <c r="C6991" s="2" t="str">
        <f ca="1">IFERROR(__xludf.DUMMYFUNCTION("GOOGLETRANSLATE(A6991,""bn"",""en"")"),"I bought necessary food")</f>
        <v>I bought necessary food</v>
      </c>
      <c r="D6991" s="5"/>
      <c r="E6991" s="5"/>
      <c r="F6991" s="5"/>
      <c r="G6991" s="5"/>
      <c r="H6991" s="5"/>
      <c r="I6991" s="5"/>
      <c r="J6991" s="5"/>
      <c r="K6991" s="5"/>
      <c r="L6991" s="5"/>
      <c r="M6991" s="5"/>
      <c r="N6991" s="5"/>
      <c r="O6991" s="5"/>
      <c r="P6991" s="5"/>
      <c r="Q6991" s="5"/>
      <c r="R6991" s="5"/>
      <c r="S6991" s="5"/>
      <c r="T6991" s="5"/>
      <c r="U6991" s="5"/>
      <c r="V6991" s="5"/>
      <c r="W6991" s="5"/>
      <c r="X6991" s="5"/>
      <c r="Y6991" s="5"/>
      <c r="Z6991" s="5"/>
    </row>
    <row r="6992" spans="1:26" ht="15" x14ac:dyDescent="0.25">
      <c r="A6992" s="4" t="s">
        <v>6990</v>
      </c>
      <c r="B6992" s="4" t="s">
        <v>4550</v>
      </c>
      <c r="C6992" s="2" t="str">
        <f ca="1">IFERROR(__xludf.DUMMYFUNCTION("GOOGLETRANSLATE(A6992,""bn"",""en"")"),"He used to read the Quran regularly")</f>
        <v>He used to read the Quran regularly</v>
      </c>
      <c r="D6992" s="5"/>
      <c r="E6992" s="5"/>
      <c r="F6992" s="5"/>
      <c r="G6992" s="5"/>
      <c r="H6992" s="5"/>
      <c r="I6992" s="5"/>
      <c r="J6992" s="5"/>
      <c r="K6992" s="5"/>
      <c r="L6992" s="5"/>
      <c r="M6992" s="5"/>
      <c r="N6992" s="5"/>
      <c r="O6992" s="5"/>
      <c r="P6992" s="5"/>
      <c r="Q6992" s="5"/>
      <c r="R6992" s="5"/>
      <c r="S6992" s="5"/>
      <c r="T6992" s="5"/>
      <c r="U6992" s="5"/>
      <c r="V6992" s="5"/>
      <c r="W6992" s="5"/>
      <c r="X6992" s="5"/>
      <c r="Y6992" s="5"/>
      <c r="Z6992" s="5"/>
    </row>
    <row r="6993" spans="1:26" ht="15" x14ac:dyDescent="0.25">
      <c r="A6993" s="4" t="s">
        <v>6991</v>
      </c>
      <c r="B6993" s="4" t="s">
        <v>4550</v>
      </c>
      <c r="C6993" s="2" t="str">
        <f ca="1">IFERROR(__xludf.DUMMYFUNCTION("GOOGLETRANSLATE(A6993,""bn"",""en"")"),"Got IT training")</f>
        <v>Got IT training</v>
      </c>
      <c r="D6993" s="5"/>
      <c r="E6993" s="5"/>
      <c r="F6993" s="5"/>
      <c r="G6993" s="5"/>
      <c r="H6993" s="5"/>
      <c r="I6993" s="5"/>
      <c r="J6993" s="5"/>
      <c r="K6993" s="5"/>
      <c r="L6993" s="5"/>
      <c r="M6993" s="5"/>
      <c r="N6993" s="5"/>
      <c r="O6993" s="5"/>
      <c r="P6993" s="5"/>
      <c r="Q6993" s="5"/>
      <c r="R6993" s="5"/>
      <c r="S6993" s="5"/>
      <c r="T6993" s="5"/>
      <c r="U6993" s="5"/>
      <c r="V6993" s="5"/>
      <c r="W6993" s="5"/>
      <c r="X6993" s="5"/>
      <c r="Y6993" s="5"/>
      <c r="Z6993" s="5"/>
    </row>
    <row r="6994" spans="1:26" ht="15" x14ac:dyDescent="0.25">
      <c r="A6994" s="4" t="s">
        <v>6992</v>
      </c>
      <c r="B6994" s="4" t="s">
        <v>4550</v>
      </c>
      <c r="C6994" s="2" t="str">
        <f ca="1">IFERROR(__xludf.DUMMYFUNCTION("GOOGLETRANSLATE(A6994,""bn"",""en"")"),"I was with the times")</f>
        <v>I was with the times</v>
      </c>
      <c r="D6994" s="5"/>
      <c r="E6994" s="5"/>
      <c r="F6994" s="5"/>
      <c r="G6994" s="5"/>
      <c r="H6994" s="5"/>
      <c r="I6994" s="5"/>
      <c r="J6994" s="5"/>
      <c r="K6994" s="5"/>
      <c r="L6994" s="5"/>
      <c r="M6994" s="5"/>
      <c r="N6994" s="5"/>
      <c r="O6994" s="5"/>
      <c r="P6994" s="5"/>
      <c r="Q6994" s="5"/>
      <c r="R6994" s="5"/>
      <c r="S6994" s="5"/>
      <c r="T6994" s="5"/>
      <c r="U6994" s="5"/>
      <c r="V6994" s="5"/>
      <c r="W6994" s="5"/>
      <c r="X6994" s="5"/>
      <c r="Y6994" s="5"/>
      <c r="Z6994" s="5"/>
    </row>
    <row r="6995" spans="1:26" ht="15" x14ac:dyDescent="0.25">
      <c r="A6995" s="4" t="s">
        <v>6993</v>
      </c>
      <c r="B6995" s="4" t="s">
        <v>4550</v>
      </c>
      <c r="C6995" s="2" t="str">
        <f ca="1">IFERROR(__xludf.DUMMYFUNCTION("GOOGLETRANSLATE(A6995,""bn"",""en"")"),"Physical exercise was done in sports")</f>
        <v>Physical exercise was done in sports</v>
      </c>
      <c r="D6995" s="5"/>
      <c r="E6995" s="5"/>
      <c r="F6995" s="5"/>
      <c r="G6995" s="5"/>
      <c r="H6995" s="5"/>
      <c r="I6995" s="5"/>
      <c r="J6995" s="5"/>
      <c r="K6995" s="5"/>
      <c r="L6995" s="5"/>
      <c r="M6995" s="5"/>
      <c r="N6995" s="5"/>
      <c r="O6995" s="5"/>
      <c r="P6995" s="5"/>
      <c r="Q6995" s="5"/>
      <c r="R6995" s="5"/>
      <c r="S6995" s="5"/>
      <c r="T6995" s="5"/>
      <c r="U6995" s="5"/>
      <c r="V6995" s="5"/>
      <c r="W6995" s="5"/>
      <c r="X6995" s="5"/>
      <c r="Y6995" s="5"/>
      <c r="Z6995" s="5"/>
    </row>
    <row r="6996" spans="1:26" ht="15" x14ac:dyDescent="0.25">
      <c r="A6996" s="4" t="s">
        <v>6994</v>
      </c>
      <c r="B6996" s="4" t="s">
        <v>4550</v>
      </c>
      <c r="C6996" s="2" t="str">
        <f ca="1">IFERROR(__xludf.DUMMYFUNCTION("GOOGLETRANSLATE(A6996,""bn"",""en"")"),"Got good compliments")</f>
        <v>Got good compliments</v>
      </c>
      <c r="D6996" s="5"/>
      <c r="E6996" s="5"/>
      <c r="F6996" s="5"/>
      <c r="G6996" s="5"/>
      <c r="H6996" s="5"/>
      <c r="I6996" s="5"/>
      <c r="J6996" s="5"/>
      <c r="K6996" s="5"/>
      <c r="L6996" s="5"/>
      <c r="M6996" s="5"/>
      <c r="N6996" s="5"/>
      <c r="O6996" s="5"/>
      <c r="P6996" s="5"/>
      <c r="Q6996" s="5"/>
      <c r="R6996" s="5"/>
      <c r="S6996" s="5"/>
      <c r="T6996" s="5"/>
      <c r="U6996" s="5"/>
      <c r="V6996" s="5"/>
      <c r="W6996" s="5"/>
      <c r="X6996" s="5"/>
      <c r="Y6996" s="5"/>
      <c r="Z6996" s="5"/>
    </row>
    <row r="6997" spans="1:26" ht="15" x14ac:dyDescent="0.25">
      <c r="A6997" s="4" t="s">
        <v>6995</v>
      </c>
      <c r="B6997" s="4" t="s">
        <v>4550</v>
      </c>
      <c r="C6997" s="2" t="str">
        <f ca="1">IFERROR(__xludf.DUMMYFUNCTION("GOOGLETRANSLATE(A6997,""bn"",""en"")"),"The news spread")</f>
        <v>The news spread</v>
      </c>
      <c r="D6997" s="5"/>
      <c r="E6997" s="5"/>
      <c r="F6997" s="5"/>
      <c r="G6997" s="5"/>
      <c r="H6997" s="5"/>
      <c r="I6997" s="5"/>
      <c r="J6997" s="5"/>
      <c r="K6997" s="5"/>
      <c r="L6997" s="5"/>
      <c r="M6997" s="5"/>
      <c r="N6997" s="5"/>
      <c r="O6997" s="5"/>
      <c r="P6997" s="5"/>
      <c r="Q6997" s="5"/>
      <c r="R6997" s="5"/>
      <c r="S6997" s="5"/>
      <c r="T6997" s="5"/>
      <c r="U6997" s="5"/>
      <c r="V6997" s="5"/>
      <c r="W6997" s="5"/>
      <c r="X6997" s="5"/>
      <c r="Y6997" s="5"/>
      <c r="Z6997" s="5"/>
    </row>
    <row r="6998" spans="1:26" ht="15" x14ac:dyDescent="0.25">
      <c r="A6998" s="4" t="s">
        <v>6996</v>
      </c>
      <c r="B6998" s="4" t="s">
        <v>4550</v>
      </c>
      <c r="C6998" s="2" t="str">
        <f ca="1">IFERROR(__xludf.DUMMYFUNCTION("GOOGLETRANSLATE(A6998,""bn"",""en"")"),"I did a popular program")</f>
        <v>I did a popular program</v>
      </c>
      <c r="D6998" s="5"/>
      <c r="E6998" s="5"/>
      <c r="F6998" s="5"/>
      <c r="G6998" s="5"/>
      <c r="H6998" s="5"/>
      <c r="I6998" s="5"/>
      <c r="J6998" s="5"/>
      <c r="K6998" s="5"/>
      <c r="L6998" s="5"/>
      <c r="M6998" s="5"/>
      <c r="N6998" s="5"/>
      <c r="O6998" s="5"/>
      <c r="P6998" s="5"/>
      <c r="Q6998" s="5"/>
      <c r="R6998" s="5"/>
      <c r="S6998" s="5"/>
      <c r="T6998" s="5"/>
      <c r="U6998" s="5"/>
      <c r="V6998" s="5"/>
      <c r="W6998" s="5"/>
      <c r="X6998" s="5"/>
      <c r="Y6998" s="5"/>
      <c r="Z6998" s="5"/>
    </row>
    <row r="6999" spans="1:26" ht="15" x14ac:dyDescent="0.25">
      <c r="A6999" s="4" t="s">
        <v>6997</v>
      </c>
      <c r="B6999" s="4" t="s">
        <v>4550</v>
      </c>
      <c r="C6999" s="2" t="str">
        <f ca="1">IFERROR(__xludf.DUMMYFUNCTION("GOOGLETRANSLATE(A6999,""bn"",""en"")"),"I used the ebook")</f>
        <v>I used the ebook</v>
      </c>
      <c r="D6999" s="5"/>
      <c r="E6999" s="5"/>
      <c r="F6999" s="5"/>
      <c r="G6999" s="5"/>
      <c r="H6999" s="5"/>
      <c r="I6999" s="5"/>
      <c r="J6999" s="5"/>
      <c r="K6999" s="5"/>
      <c r="L6999" s="5"/>
      <c r="M6999" s="5"/>
      <c r="N6999" s="5"/>
      <c r="O6999" s="5"/>
      <c r="P6999" s="5"/>
      <c r="Q6999" s="5"/>
      <c r="R6999" s="5"/>
      <c r="S6999" s="5"/>
      <c r="T6999" s="5"/>
      <c r="U6999" s="5"/>
      <c r="V6999" s="5"/>
      <c r="W6999" s="5"/>
      <c r="X6999" s="5"/>
      <c r="Y6999" s="5"/>
      <c r="Z6999" s="5"/>
    </row>
    <row r="7000" spans="1:26" ht="15" x14ac:dyDescent="0.25">
      <c r="A7000" s="4" t="s">
        <v>6998</v>
      </c>
      <c r="B7000" s="4" t="s">
        <v>4550</v>
      </c>
      <c r="C7000" s="2" t="str">
        <f ca="1">IFERROR(__xludf.DUMMYFUNCTION("GOOGLETRANSLATE(A7000,""bn"",""en"")"),"I did a course")</f>
        <v>I did a course</v>
      </c>
      <c r="D7000" s="5"/>
      <c r="E7000" s="5"/>
      <c r="F7000" s="5"/>
      <c r="G7000" s="5"/>
      <c r="H7000" s="5"/>
      <c r="I7000" s="5"/>
      <c r="J7000" s="5"/>
      <c r="K7000" s="5"/>
      <c r="L7000" s="5"/>
      <c r="M7000" s="5"/>
      <c r="N7000" s="5"/>
      <c r="O7000" s="5"/>
      <c r="P7000" s="5"/>
      <c r="Q7000" s="5"/>
      <c r="R7000" s="5"/>
      <c r="S7000" s="5"/>
      <c r="T7000" s="5"/>
      <c r="U7000" s="5"/>
      <c r="V7000" s="5"/>
      <c r="W7000" s="5"/>
      <c r="X7000" s="5"/>
      <c r="Y7000" s="5"/>
      <c r="Z7000" s="5"/>
    </row>
    <row r="7001" spans="1:26" ht="15" x14ac:dyDescent="0.25">
      <c r="A7001" s="4" t="s">
        <v>6999</v>
      </c>
      <c r="B7001" s="4" t="s">
        <v>4550</v>
      </c>
      <c r="C7001" s="2" t="str">
        <f ca="1">IFERROR(__xludf.DUMMYFUNCTION("GOOGLETRANSLATE(A7001,""bn"",""en"")"),"Employee standards were increasing")</f>
        <v>Employee standards were increasing</v>
      </c>
      <c r="D7001" s="5"/>
      <c r="E7001" s="5"/>
      <c r="F7001" s="5"/>
      <c r="G7001" s="5"/>
      <c r="H7001" s="5"/>
      <c r="I7001" s="5"/>
      <c r="J7001" s="5"/>
      <c r="K7001" s="5"/>
      <c r="L7001" s="5"/>
      <c r="M7001" s="5"/>
      <c r="N7001" s="5"/>
      <c r="O7001" s="5"/>
      <c r="P7001" s="5"/>
      <c r="Q7001" s="5"/>
      <c r="R7001" s="5"/>
      <c r="S7001" s="5"/>
      <c r="T7001" s="5"/>
      <c r="U7001" s="5"/>
      <c r="V7001" s="5"/>
      <c r="W7001" s="5"/>
      <c r="X7001" s="5"/>
      <c r="Y7001" s="5"/>
      <c r="Z7001" s="5"/>
    </row>
    <row r="7002" spans="1:26" ht="15" x14ac:dyDescent="0.25">
      <c r="A7002" s="4" t="s">
        <v>7000</v>
      </c>
      <c r="B7002" s="4" t="s">
        <v>4550</v>
      </c>
      <c r="C7002" s="2" t="str">
        <f ca="1">IFERROR(__xludf.DUMMYFUNCTION("GOOGLETRANSLATE(A7002,""bn"",""en"")"),"I used the radio")</f>
        <v>I used the radio</v>
      </c>
      <c r="D7002" s="5"/>
      <c r="E7002" s="5"/>
      <c r="F7002" s="5"/>
      <c r="G7002" s="5"/>
      <c r="H7002" s="5"/>
      <c r="I7002" s="5"/>
      <c r="J7002" s="5"/>
      <c r="K7002" s="5"/>
      <c r="L7002" s="5"/>
      <c r="M7002" s="5"/>
      <c r="N7002" s="5"/>
      <c r="O7002" s="5"/>
      <c r="P7002" s="5"/>
      <c r="Q7002" s="5"/>
      <c r="R7002" s="5"/>
      <c r="S7002" s="5"/>
      <c r="T7002" s="5"/>
      <c r="U7002" s="5"/>
      <c r="V7002" s="5"/>
      <c r="W7002" s="5"/>
      <c r="X7002" s="5"/>
      <c r="Y7002" s="5"/>
      <c r="Z7002" s="5"/>
    </row>
    <row r="7003" spans="1:26" ht="15" x14ac:dyDescent="0.25">
      <c r="A7003" s="4" t="s">
        <v>7001</v>
      </c>
      <c r="B7003" s="4" t="s">
        <v>4550</v>
      </c>
      <c r="C7003" s="2" t="str">
        <f ca="1">IFERROR(__xludf.DUMMYFUNCTION("GOOGLETRANSLATE(A7003,""bn"",""en"")"),"He was a philosopher")</f>
        <v>He was a philosopher</v>
      </c>
      <c r="D7003" s="5"/>
      <c r="E7003" s="5"/>
      <c r="F7003" s="5"/>
      <c r="G7003" s="5"/>
      <c r="H7003" s="5"/>
      <c r="I7003" s="5"/>
      <c r="J7003" s="5"/>
      <c r="K7003" s="5"/>
      <c r="L7003" s="5"/>
      <c r="M7003" s="5"/>
      <c r="N7003" s="5"/>
      <c r="O7003" s="5"/>
      <c r="P7003" s="5"/>
      <c r="Q7003" s="5"/>
      <c r="R7003" s="5"/>
      <c r="S7003" s="5"/>
      <c r="T7003" s="5"/>
      <c r="U7003" s="5"/>
      <c r="V7003" s="5"/>
      <c r="W7003" s="5"/>
      <c r="X7003" s="5"/>
      <c r="Y7003" s="5"/>
      <c r="Z7003" s="5"/>
    </row>
    <row r="7004" spans="1:26" ht="15" x14ac:dyDescent="0.25">
      <c r="A7004" s="4" t="s">
        <v>7002</v>
      </c>
      <c r="B7004" s="4" t="s">
        <v>4550</v>
      </c>
      <c r="C7004" s="2" t="str">
        <f ca="1">IFERROR(__xludf.DUMMYFUNCTION("GOOGLETRANSLATE(A7004,""bn"",""en"")"),"I did the skyride")</f>
        <v>I did the skyride</v>
      </c>
      <c r="D7004" s="5"/>
      <c r="E7004" s="5"/>
      <c r="F7004" s="5"/>
      <c r="G7004" s="5"/>
      <c r="H7004" s="5"/>
      <c r="I7004" s="5"/>
      <c r="J7004" s="5"/>
      <c r="K7004" s="5"/>
      <c r="L7004" s="5"/>
      <c r="M7004" s="5"/>
      <c r="N7004" s="5"/>
      <c r="O7004" s="5"/>
      <c r="P7004" s="5"/>
      <c r="Q7004" s="5"/>
      <c r="R7004" s="5"/>
      <c r="S7004" s="5"/>
      <c r="T7004" s="5"/>
      <c r="U7004" s="5"/>
      <c r="V7004" s="5"/>
      <c r="W7004" s="5"/>
      <c r="X7004" s="5"/>
      <c r="Y7004" s="5"/>
      <c r="Z7004" s="5"/>
    </row>
    <row r="7005" spans="1:26" ht="15" x14ac:dyDescent="0.25">
      <c r="A7005" s="4" t="s">
        <v>7003</v>
      </c>
      <c r="B7005" s="4" t="s">
        <v>4550</v>
      </c>
      <c r="C7005" s="2" t="str">
        <f ca="1">IFERROR(__xludf.DUMMYFUNCTION("GOOGLETRANSLATE(A7005,""bn"",""en"")"),"I used to work in accounts")</f>
        <v>I used to work in accounts</v>
      </c>
      <c r="D7005" s="5"/>
      <c r="E7005" s="5"/>
      <c r="F7005" s="5"/>
      <c r="G7005" s="5"/>
      <c r="H7005" s="5"/>
      <c r="I7005" s="5"/>
      <c r="J7005" s="5"/>
      <c r="K7005" s="5"/>
      <c r="L7005" s="5"/>
      <c r="M7005" s="5"/>
      <c r="N7005" s="5"/>
      <c r="O7005" s="5"/>
      <c r="P7005" s="5"/>
      <c r="Q7005" s="5"/>
      <c r="R7005" s="5"/>
      <c r="S7005" s="5"/>
      <c r="T7005" s="5"/>
      <c r="U7005" s="5"/>
      <c r="V7005" s="5"/>
      <c r="W7005" s="5"/>
      <c r="X7005" s="5"/>
      <c r="Y7005" s="5"/>
      <c r="Z7005" s="5"/>
    </row>
    <row r="7006" spans="1:26" ht="15" x14ac:dyDescent="0.25">
      <c r="A7006" s="4" t="s">
        <v>7004</v>
      </c>
      <c r="B7006" s="4" t="s">
        <v>4550</v>
      </c>
      <c r="C7006" s="2" t="str">
        <f ca="1">IFERROR(__xludf.DUMMYFUNCTION("GOOGLETRANSLATE(A7006,""bn"",""en"")"),"I promised humanity")</f>
        <v>I promised humanity</v>
      </c>
      <c r="D7006" s="5"/>
      <c r="E7006" s="5"/>
      <c r="F7006" s="5"/>
      <c r="G7006" s="5"/>
      <c r="H7006" s="5"/>
      <c r="I7006" s="5"/>
      <c r="J7006" s="5"/>
      <c r="K7006" s="5"/>
      <c r="L7006" s="5"/>
      <c r="M7006" s="5"/>
      <c r="N7006" s="5"/>
      <c r="O7006" s="5"/>
      <c r="P7006" s="5"/>
      <c r="Q7006" s="5"/>
      <c r="R7006" s="5"/>
      <c r="S7006" s="5"/>
      <c r="T7006" s="5"/>
      <c r="U7006" s="5"/>
      <c r="V7006" s="5"/>
      <c r="W7006" s="5"/>
      <c r="X7006" s="5"/>
      <c r="Y7006" s="5"/>
      <c r="Z7006" s="5"/>
    </row>
    <row r="7007" spans="1:26" ht="15" x14ac:dyDescent="0.25">
      <c r="A7007" s="4" t="s">
        <v>7005</v>
      </c>
      <c r="B7007" s="4" t="s">
        <v>4550</v>
      </c>
      <c r="C7007" s="2" t="str">
        <f ca="1">IFERROR(__xludf.DUMMYFUNCTION("GOOGLETRANSLATE(A7007,""bn"",""en"")"),"I used more internet")</f>
        <v>I used more internet</v>
      </c>
      <c r="D7007" s="5"/>
      <c r="E7007" s="5"/>
      <c r="F7007" s="5"/>
      <c r="G7007" s="5"/>
      <c r="H7007" s="5"/>
      <c r="I7007" s="5"/>
      <c r="J7007" s="5"/>
      <c r="K7007" s="5"/>
      <c r="L7007" s="5"/>
      <c r="M7007" s="5"/>
      <c r="N7007" s="5"/>
      <c r="O7007" s="5"/>
      <c r="P7007" s="5"/>
      <c r="Q7007" s="5"/>
      <c r="R7007" s="5"/>
      <c r="S7007" s="5"/>
      <c r="T7007" s="5"/>
      <c r="U7007" s="5"/>
      <c r="V7007" s="5"/>
      <c r="W7007" s="5"/>
      <c r="X7007" s="5"/>
      <c r="Y7007" s="5"/>
      <c r="Z7007" s="5"/>
    </row>
    <row r="7008" spans="1:26" ht="15" x14ac:dyDescent="0.25">
      <c r="A7008" s="4" t="s">
        <v>7006</v>
      </c>
      <c r="B7008" s="4" t="s">
        <v>4550</v>
      </c>
      <c r="C7008" s="2" t="str">
        <f ca="1">IFERROR(__xludf.DUMMYFUNCTION("GOOGLETRANSLATE(A7008,""bn"",""en"")"),"I went to Alaska")</f>
        <v>I went to Alaska</v>
      </c>
      <c r="D7008" s="5"/>
      <c r="E7008" s="5"/>
      <c r="F7008" s="5"/>
      <c r="G7008" s="5"/>
      <c r="H7008" s="5"/>
      <c r="I7008" s="5"/>
      <c r="J7008" s="5"/>
      <c r="K7008" s="5"/>
      <c r="L7008" s="5"/>
      <c r="M7008" s="5"/>
      <c r="N7008" s="5"/>
      <c r="O7008" s="5"/>
      <c r="P7008" s="5"/>
      <c r="Q7008" s="5"/>
      <c r="R7008" s="5"/>
      <c r="S7008" s="5"/>
      <c r="T7008" s="5"/>
      <c r="U7008" s="5"/>
      <c r="V7008" s="5"/>
      <c r="W7008" s="5"/>
      <c r="X7008" s="5"/>
      <c r="Y7008" s="5"/>
      <c r="Z7008" s="5"/>
    </row>
    <row r="7009" spans="1:26" ht="15" x14ac:dyDescent="0.25">
      <c r="A7009" s="4" t="s">
        <v>7007</v>
      </c>
      <c r="B7009" s="4" t="s">
        <v>4550</v>
      </c>
      <c r="C7009" s="2" t="str">
        <f ca="1">IFERROR(__xludf.DUMMYFUNCTION("GOOGLETRANSLATE(A7009,""bn"",""en"")"),"Raised the standard of education")</f>
        <v>Raised the standard of education</v>
      </c>
      <c r="D7009" s="5"/>
      <c r="E7009" s="5"/>
      <c r="F7009" s="5"/>
      <c r="G7009" s="5"/>
      <c r="H7009" s="5"/>
      <c r="I7009" s="5"/>
      <c r="J7009" s="5"/>
      <c r="K7009" s="5"/>
      <c r="L7009" s="5"/>
      <c r="M7009" s="5"/>
      <c r="N7009" s="5"/>
      <c r="O7009" s="5"/>
      <c r="P7009" s="5"/>
      <c r="Q7009" s="5"/>
      <c r="R7009" s="5"/>
      <c r="S7009" s="5"/>
      <c r="T7009" s="5"/>
      <c r="U7009" s="5"/>
      <c r="V7009" s="5"/>
      <c r="W7009" s="5"/>
      <c r="X7009" s="5"/>
      <c r="Y7009" s="5"/>
      <c r="Z7009" s="5"/>
    </row>
    <row r="7010" spans="1:26" ht="15" x14ac:dyDescent="0.25">
      <c r="A7010" s="4" t="s">
        <v>7008</v>
      </c>
      <c r="B7010" s="4" t="s">
        <v>4550</v>
      </c>
      <c r="C7010" s="2" t="str">
        <f ca="1">IFERROR(__xludf.DUMMYFUNCTION("GOOGLETRANSLATE(A7010,""bn"",""en"")"),"He was playing tennis")</f>
        <v>He was playing tennis</v>
      </c>
      <c r="D7010" s="5"/>
      <c r="E7010" s="5"/>
      <c r="F7010" s="5"/>
      <c r="G7010" s="5"/>
      <c r="H7010" s="5"/>
      <c r="I7010" s="5"/>
      <c r="J7010" s="5"/>
      <c r="K7010" s="5"/>
      <c r="L7010" s="5"/>
      <c r="M7010" s="5"/>
      <c r="N7010" s="5"/>
      <c r="O7010" s="5"/>
      <c r="P7010" s="5"/>
      <c r="Q7010" s="5"/>
      <c r="R7010" s="5"/>
      <c r="S7010" s="5"/>
      <c r="T7010" s="5"/>
      <c r="U7010" s="5"/>
      <c r="V7010" s="5"/>
      <c r="W7010" s="5"/>
      <c r="X7010" s="5"/>
      <c r="Y7010" s="5"/>
      <c r="Z7010" s="5"/>
    </row>
    <row r="7011" spans="1:26" ht="15" x14ac:dyDescent="0.25">
      <c r="A7011" s="4" t="s">
        <v>7009</v>
      </c>
      <c r="B7011" s="4" t="s">
        <v>4550</v>
      </c>
      <c r="C7011" s="2" t="str">
        <f ca="1">IFERROR(__xludf.DUMMYFUNCTION("GOOGLETRANSLATE(A7011,""bn"",""en"")"),"Everyone went to the bank")</f>
        <v>Everyone went to the bank</v>
      </c>
      <c r="D7011" s="5"/>
      <c r="E7011" s="5"/>
      <c r="F7011" s="5"/>
      <c r="G7011" s="5"/>
      <c r="H7011" s="5"/>
      <c r="I7011" s="5"/>
      <c r="J7011" s="5"/>
      <c r="K7011" s="5"/>
      <c r="L7011" s="5"/>
      <c r="M7011" s="5"/>
      <c r="N7011" s="5"/>
      <c r="O7011" s="5"/>
      <c r="P7011" s="5"/>
      <c r="Q7011" s="5"/>
      <c r="R7011" s="5"/>
      <c r="S7011" s="5"/>
      <c r="T7011" s="5"/>
      <c r="U7011" s="5"/>
      <c r="V7011" s="5"/>
      <c r="W7011" s="5"/>
      <c r="X7011" s="5"/>
      <c r="Y7011" s="5"/>
      <c r="Z7011" s="5"/>
    </row>
    <row r="7012" spans="1:26" ht="15" x14ac:dyDescent="0.25">
      <c r="A7012" s="4" t="s">
        <v>7010</v>
      </c>
      <c r="B7012" s="4" t="s">
        <v>4550</v>
      </c>
      <c r="C7012" s="2" t="str">
        <f ca="1">IFERROR(__xludf.DUMMYFUNCTION("GOOGLETRANSLATE(A7012,""bn"",""en"")"),"A celebration was held")</f>
        <v>A celebration was held</v>
      </c>
      <c r="D7012" s="5"/>
      <c r="E7012" s="5"/>
      <c r="F7012" s="5"/>
      <c r="G7012" s="5"/>
      <c r="H7012" s="5"/>
      <c r="I7012" s="5"/>
      <c r="J7012" s="5"/>
      <c r="K7012" s="5"/>
      <c r="L7012" s="5"/>
      <c r="M7012" s="5"/>
      <c r="N7012" s="5"/>
      <c r="O7012" s="5"/>
      <c r="P7012" s="5"/>
      <c r="Q7012" s="5"/>
      <c r="R7012" s="5"/>
      <c r="S7012" s="5"/>
      <c r="T7012" s="5"/>
      <c r="U7012" s="5"/>
      <c r="V7012" s="5"/>
      <c r="W7012" s="5"/>
      <c r="X7012" s="5"/>
      <c r="Y7012" s="5"/>
      <c r="Z7012" s="5"/>
    </row>
    <row r="7013" spans="1:26" ht="15" x14ac:dyDescent="0.25">
      <c r="A7013" s="4" t="s">
        <v>7011</v>
      </c>
      <c r="B7013" s="4" t="s">
        <v>4550</v>
      </c>
      <c r="C7013" s="2" t="str">
        <f ca="1">IFERROR(__xludf.DUMMYFUNCTION("GOOGLETRANSLATE(A7013,""bn"",""en"")"),"I was developing software")</f>
        <v>I was developing software</v>
      </c>
      <c r="D7013" s="5"/>
      <c r="E7013" s="5"/>
      <c r="F7013" s="5"/>
      <c r="G7013" s="5"/>
      <c r="H7013" s="5"/>
      <c r="I7013" s="5"/>
      <c r="J7013" s="5"/>
      <c r="K7013" s="5"/>
      <c r="L7013" s="5"/>
      <c r="M7013" s="5"/>
      <c r="N7013" s="5"/>
      <c r="O7013" s="5"/>
      <c r="P7013" s="5"/>
      <c r="Q7013" s="5"/>
      <c r="R7013" s="5"/>
      <c r="S7013" s="5"/>
      <c r="T7013" s="5"/>
      <c r="U7013" s="5"/>
      <c r="V7013" s="5"/>
      <c r="W7013" s="5"/>
      <c r="X7013" s="5"/>
      <c r="Y7013" s="5"/>
      <c r="Z7013" s="5"/>
    </row>
    <row r="7014" spans="1:26" ht="15" x14ac:dyDescent="0.25">
      <c r="A7014" s="4" t="s">
        <v>7012</v>
      </c>
      <c r="B7014" s="4" t="s">
        <v>4550</v>
      </c>
      <c r="C7014" s="2" t="str">
        <f ca="1">IFERROR(__xludf.DUMMYFUNCTION("GOOGLETRANSLATE(A7014,""bn"",""en"")"),"Did mobile banking")</f>
        <v>Did mobile banking</v>
      </c>
      <c r="D7014" s="5"/>
      <c r="E7014" s="5"/>
      <c r="F7014" s="5"/>
      <c r="G7014" s="5"/>
      <c r="H7014" s="5"/>
      <c r="I7014" s="5"/>
      <c r="J7014" s="5"/>
      <c r="K7014" s="5"/>
      <c r="L7014" s="5"/>
      <c r="M7014" s="5"/>
      <c r="N7014" s="5"/>
      <c r="O7014" s="5"/>
      <c r="P7014" s="5"/>
      <c r="Q7014" s="5"/>
      <c r="R7014" s="5"/>
      <c r="S7014" s="5"/>
      <c r="T7014" s="5"/>
      <c r="U7014" s="5"/>
      <c r="V7014" s="5"/>
      <c r="W7014" s="5"/>
      <c r="X7014" s="5"/>
      <c r="Y7014" s="5"/>
      <c r="Z7014" s="5"/>
    </row>
    <row r="7015" spans="1:26" ht="15" x14ac:dyDescent="0.25">
      <c r="A7015" s="4" t="s">
        <v>7013</v>
      </c>
      <c r="B7015" s="4" t="s">
        <v>4550</v>
      </c>
      <c r="C7015" s="2" t="str">
        <f ca="1">IFERROR(__xludf.DUMMYFUNCTION("GOOGLETRANSLATE(A7015,""bn"",""en"")"),"I used the card")</f>
        <v>I used the card</v>
      </c>
      <c r="D7015" s="5"/>
      <c r="E7015" s="5"/>
      <c r="F7015" s="5"/>
      <c r="G7015" s="5"/>
      <c r="H7015" s="5"/>
      <c r="I7015" s="5"/>
      <c r="J7015" s="5"/>
      <c r="K7015" s="5"/>
      <c r="L7015" s="5"/>
      <c r="M7015" s="5"/>
      <c r="N7015" s="5"/>
      <c r="O7015" s="5"/>
      <c r="P7015" s="5"/>
      <c r="Q7015" s="5"/>
      <c r="R7015" s="5"/>
      <c r="S7015" s="5"/>
      <c r="T7015" s="5"/>
      <c r="U7015" s="5"/>
      <c r="V7015" s="5"/>
      <c r="W7015" s="5"/>
      <c r="X7015" s="5"/>
      <c r="Y7015" s="5"/>
      <c r="Z7015" s="5"/>
    </row>
    <row r="7016" spans="1:26" ht="15" x14ac:dyDescent="0.25">
      <c r="A7016" s="4" t="s">
        <v>7014</v>
      </c>
      <c r="B7016" s="4" t="s">
        <v>4550</v>
      </c>
      <c r="C7016" s="2" t="str">
        <f ca="1">IFERROR(__xludf.DUMMYFUNCTION("GOOGLETRANSLATE(A7016,""bn"",""en"")"),"I called him to do mobile banking")</f>
        <v>I called him to do mobile banking</v>
      </c>
      <c r="D7016" s="5"/>
      <c r="E7016" s="5"/>
      <c r="F7016" s="5"/>
      <c r="G7016" s="5"/>
      <c r="H7016" s="5"/>
      <c r="I7016" s="5"/>
      <c r="J7016" s="5"/>
      <c r="K7016" s="5"/>
      <c r="L7016" s="5"/>
      <c r="M7016" s="5"/>
      <c r="N7016" s="5"/>
      <c r="O7016" s="5"/>
      <c r="P7016" s="5"/>
      <c r="Q7016" s="5"/>
      <c r="R7016" s="5"/>
      <c r="S7016" s="5"/>
      <c r="T7016" s="5"/>
      <c r="U7016" s="5"/>
      <c r="V7016" s="5"/>
      <c r="W7016" s="5"/>
      <c r="X7016" s="5"/>
      <c r="Y7016" s="5"/>
      <c r="Z7016" s="5"/>
    </row>
    <row r="7017" spans="1:26" ht="15" x14ac:dyDescent="0.25">
      <c r="A7017" s="4" t="s">
        <v>7015</v>
      </c>
      <c r="B7017" s="4" t="s">
        <v>4550</v>
      </c>
      <c r="C7017" s="2" t="str">
        <f ca="1">IFERROR(__xludf.DUMMYFUNCTION("GOOGLETRANSLATE(A7017,""bn"",""en"")"),"I was taking pictures with the camera")</f>
        <v>I was taking pictures with the camera</v>
      </c>
      <c r="D7017" s="5"/>
      <c r="E7017" s="5"/>
      <c r="F7017" s="5"/>
      <c r="G7017" s="5"/>
      <c r="H7017" s="5"/>
      <c r="I7017" s="5"/>
      <c r="J7017" s="5"/>
      <c r="K7017" s="5"/>
      <c r="L7017" s="5"/>
      <c r="M7017" s="5"/>
      <c r="N7017" s="5"/>
      <c r="O7017" s="5"/>
      <c r="P7017" s="5"/>
      <c r="Q7017" s="5"/>
      <c r="R7017" s="5"/>
      <c r="S7017" s="5"/>
      <c r="T7017" s="5"/>
      <c r="U7017" s="5"/>
      <c r="V7017" s="5"/>
      <c r="W7017" s="5"/>
      <c r="X7017" s="5"/>
      <c r="Y7017" s="5"/>
      <c r="Z7017" s="5"/>
    </row>
    <row r="7018" spans="1:26" ht="15" x14ac:dyDescent="0.25">
      <c r="A7018" s="4" t="s">
        <v>7016</v>
      </c>
      <c r="B7018" s="4" t="s">
        <v>4550</v>
      </c>
      <c r="C7018" s="2" t="str">
        <f ca="1">IFERROR(__xludf.DUMMYFUNCTION("GOOGLETRANSLATE(A7018,""bn"",""en"")"),"The growth process was ongoing")</f>
        <v>The growth process was ongoing</v>
      </c>
      <c r="D7018" s="5"/>
      <c r="E7018" s="5"/>
      <c r="F7018" s="5"/>
      <c r="G7018" s="5"/>
      <c r="H7018" s="5"/>
      <c r="I7018" s="5"/>
      <c r="J7018" s="5"/>
      <c r="K7018" s="5"/>
      <c r="L7018" s="5"/>
      <c r="M7018" s="5"/>
      <c r="N7018" s="5"/>
      <c r="O7018" s="5"/>
      <c r="P7018" s="5"/>
      <c r="Q7018" s="5"/>
      <c r="R7018" s="5"/>
      <c r="S7018" s="5"/>
      <c r="T7018" s="5"/>
      <c r="U7018" s="5"/>
      <c r="V7018" s="5"/>
      <c r="W7018" s="5"/>
      <c r="X7018" s="5"/>
      <c r="Y7018" s="5"/>
      <c r="Z7018" s="5"/>
    </row>
    <row r="7019" spans="1:26" ht="15" x14ac:dyDescent="0.25">
      <c r="A7019" s="4" t="s">
        <v>7017</v>
      </c>
      <c r="B7019" s="4" t="s">
        <v>4550</v>
      </c>
      <c r="C7019" s="2" t="str">
        <f ca="1">IFERROR(__xludf.DUMMYFUNCTION("GOOGLETRANSLATE(A7019,""bn"",""en"")"),"I was enjoying the trip")</f>
        <v>I was enjoying the trip</v>
      </c>
      <c r="D7019" s="5"/>
      <c r="E7019" s="5"/>
      <c r="F7019" s="5"/>
      <c r="G7019" s="5"/>
      <c r="H7019" s="5"/>
      <c r="I7019" s="5"/>
      <c r="J7019" s="5"/>
      <c r="K7019" s="5"/>
      <c r="L7019" s="5"/>
      <c r="M7019" s="5"/>
      <c r="N7019" s="5"/>
      <c r="O7019" s="5"/>
      <c r="P7019" s="5"/>
      <c r="Q7019" s="5"/>
      <c r="R7019" s="5"/>
      <c r="S7019" s="5"/>
      <c r="T7019" s="5"/>
      <c r="U7019" s="5"/>
      <c r="V7019" s="5"/>
      <c r="W7019" s="5"/>
      <c r="X7019" s="5"/>
      <c r="Y7019" s="5"/>
      <c r="Z7019" s="5"/>
    </row>
    <row r="7020" spans="1:26" ht="15" x14ac:dyDescent="0.25">
      <c r="A7020" s="4" t="s">
        <v>7018</v>
      </c>
      <c r="B7020" s="4" t="s">
        <v>4550</v>
      </c>
      <c r="C7020" s="2" t="str">
        <f ca="1">IFERROR(__xludf.DUMMYFUNCTION("GOOGLETRANSLATE(A7020,""bn"",""en"")"),"I took online classes")</f>
        <v>I took online classes</v>
      </c>
      <c r="D7020" s="5"/>
      <c r="E7020" s="5"/>
      <c r="F7020" s="5"/>
      <c r="G7020" s="5"/>
      <c r="H7020" s="5"/>
      <c r="I7020" s="5"/>
      <c r="J7020" s="5"/>
      <c r="K7020" s="5"/>
      <c r="L7020" s="5"/>
      <c r="M7020" s="5"/>
      <c r="N7020" s="5"/>
      <c r="O7020" s="5"/>
      <c r="P7020" s="5"/>
      <c r="Q7020" s="5"/>
      <c r="R7020" s="5"/>
      <c r="S7020" s="5"/>
      <c r="T7020" s="5"/>
      <c r="U7020" s="5"/>
      <c r="V7020" s="5"/>
      <c r="W7020" s="5"/>
      <c r="X7020" s="5"/>
      <c r="Y7020" s="5"/>
      <c r="Z7020" s="5"/>
    </row>
    <row r="7021" spans="1:26" ht="15" x14ac:dyDescent="0.25">
      <c r="A7021" s="4" t="s">
        <v>7019</v>
      </c>
      <c r="B7021" s="4" t="s">
        <v>4550</v>
      </c>
      <c r="C7021" s="2" t="str">
        <f ca="1">IFERROR(__xludf.DUMMYFUNCTION("GOOGLETRANSLATE(A7021,""bn"",""en"")"),"I planned a trip")</f>
        <v>I planned a trip</v>
      </c>
      <c r="D7021" s="5"/>
      <c r="E7021" s="5"/>
      <c r="F7021" s="5"/>
      <c r="G7021" s="5"/>
      <c r="H7021" s="5"/>
      <c r="I7021" s="5"/>
      <c r="J7021" s="5"/>
      <c r="K7021" s="5"/>
      <c r="L7021" s="5"/>
      <c r="M7021" s="5"/>
      <c r="N7021" s="5"/>
      <c r="O7021" s="5"/>
      <c r="P7021" s="5"/>
      <c r="Q7021" s="5"/>
      <c r="R7021" s="5"/>
      <c r="S7021" s="5"/>
      <c r="T7021" s="5"/>
      <c r="U7021" s="5"/>
      <c r="V7021" s="5"/>
      <c r="W7021" s="5"/>
      <c r="X7021" s="5"/>
      <c r="Y7021" s="5"/>
      <c r="Z7021" s="5"/>
    </row>
    <row r="7022" spans="1:26" ht="15" x14ac:dyDescent="0.25">
      <c r="A7022" s="4" t="s">
        <v>7020</v>
      </c>
      <c r="B7022" s="4" t="s">
        <v>4550</v>
      </c>
      <c r="C7022" s="2" t="str">
        <f ca="1">IFERROR(__xludf.DUMMYFUNCTION("GOOGLETRANSLATE(A7022,""bn"",""en"")"),"I used pan")</f>
        <v>I used pan</v>
      </c>
      <c r="D7022" s="5"/>
      <c r="E7022" s="5"/>
      <c r="F7022" s="5"/>
      <c r="G7022" s="5"/>
      <c r="H7022" s="5"/>
      <c r="I7022" s="5"/>
      <c r="J7022" s="5"/>
      <c r="K7022" s="5"/>
      <c r="L7022" s="5"/>
      <c r="M7022" s="5"/>
      <c r="N7022" s="5"/>
      <c r="O7022" s="5"/>
      <c r="P7022" s="5"/>
      <c r="Q7022" s="5"/>
      <c r="R7022" s="5"/>
      <c r="S7022" s="5"/>
      <c r="T7022" s="5"/>
      <c r="U7022" s="5"/>
      <c r="V7022" s="5"/>
      <c r="W7022" s="5"/>
      <c r="X7022" s="5"/>
      <c r="Y7022" s="5"/>
      <c r="Z7022" s="5"/>
    </row>
    <row r="7023" spans="1:26" ht="15" x14ac:dyDescent="0.25">
      <c r="A7023" s="4" t="s">
        <v>7021</v>
      </c>
      <c r="B7023" s="4" t="s">
        <v>4550</v>
      </c>
      <c r="C7023" s="2" t="str">
        <f ca="1">IFERROR(__xludf.DUMMYFUNCTION("GOOGLETRANSLATE(A7023,""bn"",""en"")"),"I was using software")</f>
        <v>I was using software</v>
      </c>
      <c r="D7023" s="5"/>
      <c r="E7023" s="5"/>
      <c r="F7023" s="5"/>
      <c r="G7023" s="5"/>
      <c r="H7023" s="5"/>
      <c r="I7023" s="5"/>
      <c r="J7023" s="5"/>
      <c r="K7023" s="5"/>
      <c r="L7023" s="5"/>
      <c r="M7023" s="5"/>
      <c r="N7023" s="5"/>
      <c r="O7023" s="5"/>
      <c r="P7023" s="5"/>
      <c r="Q7023" s="5"/>
      <c r="R7023" s="5"/>
      <c r="S7023" s="5"/>
      <c r="T7023" s="5"/>
      <c r="U7023" s="5"/>
      <c r="V7023" s="5"/>
      <c r="W7023" s="5"/>
      <c r="X7023" s="5"/>
      <c r="Y7023" s="5"/>
      <c r="Z7023" s="5"/>
    </row>
    <row r="7024" spans="1:26" ht="15" x14ac:dyDescent="0.25">
      <c r="A7024" s="4" t="s">
        <v>7022</v>
      </c>
      <c r="B7024" s="4" t="s">
        <v>4550</v>
      </c>
      <c r="C7024" s="2" t="str">
        <f ca="1">IFERROR(__xludf.DUMMYFUNCTION("GOOGLETRANSLATE(A7024,""bn"",""en"")"),"I did the online course")</f>
        <v>I did the online course</v>
      </c>
      <c r="D7024" s="5"/>
      <c r="E7024" s="5"/>
      <c r="F7024" s="5"/>
      <c r="G7024" s="5"/>
      <c r="H7024" s="5"/>
      <c r="I7024" s="5"/>
      <c r="J7024" s="5"/>
      <c r="K7024" s="5"/>
      <c r="L7024" s="5"/>
      <c r="M7024" s="5"/>
      <c r="N7024" s="5"/>
      <c r="O7024" s="5"/>
      <c r="P7024" s="5"/>
      <c r="Q7024" s="5"/>
      <c r="R7024" s="5"/>
      <c r="S7024" s="5"/>
      <c r="T7024" s="5"/>
      <c r="U7024" s="5"/>
      <c r="V7024" s="5"/>
      <c r="W7024" s="5"/>
      <c r="X7024" s="5"/>
      <c r="Y7024" s="5"/>
      <c r="Z7024" s="5"/>
    </row>
    <row r="7025" spans="1:26" ht="15" x14ac:dyDescent="0.25">
      <c r="A7025" s="4" t="s">
        <v>7023</v>
      </c>
      <c r="B7025" s="4" t="s">
        <v>4550</v>
      </c>
      <c r="C7025" s="2" t="str">
        <f ca="1">IFERROR(__xludf.DUMMYFUNCTION("GOOGLETRANSLATE(A7025,""bn"",""en"")"),"I installed the application")</f>
        <v>I installed the application</v>
      </c>
      <c r="D7025" s="5"/>
      <c r="E7025" s="5"/>
      <c r="F7025" s="5"/>
      <c r="G7025" s="5"/>
      <c r="H7025" s="5"/>
      <c r="I7025" s="5"/>
      <c r="J7025" s="5"/>
      <c r="K7025" s="5"/>
      <c r="L7025" s="5"/>
      <c r="M7025" s="5"/>
      <c r="N7025" s="5"/>
      <c r="O7025" s="5"/>
      <c r="P7025" s="5"/>
      <c r="Q7025" s="5"/>
      <c r="R7025" s="5"/>
      <c r="S7025" s="5"/>
      <c r="T7025" s="5"/>
      <c r="U7025" s="5"/>
      <c r="V7025" s="5"/>
      <c r="W7025" s="5"/>
      <c r="X7025" s="5"/>
      <c r="Y7025" s="5"/>
      <c r="Z7025" s="5"/>
    </row>
    <row r="7026" spans="1:26" ht="15" x14ac:dyDescent="0.25">
      <c r="A7026" s="4" t="s">
        <v>7024</v>
      </c>
      <c r="B7026" s="4" t="s">
        <v>4550</v>
      </c>
      <c r="C7026" s="2" t="str">
        <f ca="1">IFERROR(__xludf.DUMMYFUNCTION("GOOGLETRANSLATE(A7026,""bn"",""en"")"),"I knew Excel well")</f>
        <v>I knew Excel well</v>
      </c>
      <c r="D7026" s="5"/>
      <c r="E7026" s="5"/>
      <c r="F7026" s="5"/>
      <c r="G7026" s="5"/>
      <c r="H7026" s="5"/>
      <c r="I7026" s="5"/>
      <c r="J7026" s="5"/>
      <c r="K7026" s="5"/>
      <c r="L7026" s="5"/>
      <c r="M7026" s="5"/>
      <c r="N7026" s="5"/>
      <c r="O7026" s="5"/>
      <c r="P7026" s="5"/>
      <c r="Q7026" s="5"/>
      <c r="R7026" s="5"/>
      <c r="S7026" s="5"/>
      <c r="T7026" s="5"/>
      <c r="U7026" s="5"/>
      <c r="V7026" s="5"/>
      <c r="W7026" s="5"/>
      <c r="X7026" s="5"/>
      <c r="Y7026" s="5"/>
      <c r="Z7026" s="5"/>
    </row>
    <row r="7027" spans="1:26" ht="15" x14ac:dyDescent="0.25">
      <c r="A7027" s="4" t="s">
        <v>7025</v>
      </c>
      <c r="B7027" s="4" t="s">
        <v>4550</v>
      </c>
      <c r="C7027" s="2" t="str">
        <f ca="1">IFERROR(__xludf.DUMMYFUNCTION("GOOGLETRANSLATE(A7027,""bn"",""en"")"),"Support was pouring in")</f>
        <v>Support was pouring in</v>
      </c>
      <c r="D7027" s="5"/>
      <c r="E7027" s="5"/>
      <c r="F7027" s="5"/>
      <c r="G7027" s="5"/>
      <c r="H7027" s="5"/>
      <c r="I7027" s="5"/>
      <c r="J7027" s="5"/>
      <c r="K7027" s="5"/>
      <c r="L7027" s="5"/>
      <c r="M7027" s="5"/>
      <c r="N7027" s="5"/>
      <c r="O7027" s="5"/>
      <c r="P7027" s="5"/>
      <c r="Q7027" s="5"/>
      <c r="R7027" s="5"/>
      <c r="S7027" s="5"/>
      <c r="T7027" s="5"/>
      <c r="U7027" s="5"/>
      <c r="V7027" s="5"/>
      <c r="W7027" s="5"/>
      <c r="X7027" s="5"/>
      <c r="Y7027" s="5"/>
      <c r="Z7027" s="5"/>
    </row>
    <row r="7028" spans="1:26" ht="15" x14ac:dyDescent="0.25">
      <c r="A7028" s="4" t="s">
        <v>7026</v>
      </c>
      <c r="B7028" s="4" t="s">
        <v>4550</v>
      </c>
      <c r="C7028" s="2" t="str">
        <f ca="1">IFERROR(__xludf.DUMMYFUNCTION("GOOGLETRANSLATE(A7028,""bn"",""en"")"),"I used the printer")</f>
        <v>I used the printer</v>
      </c>
      <c r="D7028" s="5"/>
      <c r="E7028" s="5"/>
      <c r="F7028" s="5"/>
      <c r="G7028" s="5"/>
      <c r="H7028" s="5"/>
      <c r="I7028" s="5"/>
      <c r="J7028" s="5"/>
      <c r="K7028" s="5"/>
      <c r="L7028" s="5"/>
      <c r="M7028" s="5"/>
      <c r="N7028" s="5"/>
      <c r="O7028" s="5"/>
      <c r="P7028" s="5"/>
      <c r="Q7028" s="5"/>
      <c r="R7028" s="5"/>
      <c r="S7028" s="5"/>
      <c r="T7028" s="5"/>
      <c r="U7028" s="5"/>
      <c r="V7028" s="5"/>
      <c r="W7028" s="5"/>
      <c r="X7028" s="5"/>
      <c r="Y7028" s="5"/>
      <c r="Z7028" s="5"/>
    </row>
    <row r="7029" spans="1:26" ht="15" x14ac:dyDescent="0.25">
      <c r="A7029" s="4" t="s">
        <v>7027</v>
      </c>
      <c r="B7029" s="4" t="s">
        <v>4550</v>
      </c>
      <c r="C7029" s="2" t="str">
        <f ca="1">IFERROR(__xludf.DUMMYFUNCTION("GOOGLETRANSLATE(A7029,""bn"",""en"")"),"Various news spread")</f>
        <v>Various news spread</v>
      </c>
      <c r="D7029" s="5"/>
      <c r="E7029" s="5"/>
      <c r="F7029" s="5"/>
      <c r="G7029" s="5"/>
      <c r="H7029" s="5"/>
      <c r="I7029" s="5"/>
      <c r="J7029" s="5"/>
      <c r="K7029" s="5"/>
      <c r="L7029" s="5"/>
      <c r="M7029" s="5"/>
      <c r="N7029" s="5"/>
      <c r="O7029" s="5"/>
      <c r="P7029" s="5"/>
      <c r="Q7029" s="5"/>
      <c r="R7029" s="5"/>
      <c r="S7029" s="5"/>
      <c r="T7029" s="5"/>
      <c r="U7029" s="5"/>
      <c r="V7029" s="5"/>
      <c r="W7029" s="5"/>
      <c r="X7029" s="5"/>
      <c r="Y7029" s="5"/>
      <c r="Z7029" s="5"/>
    </row>
    <row r="7030" spans="1:26" ht="15" x14ac:dyDescent="0.25">
      <c r="A7030" s="4" t="s">
        <v>7028</v>
      </c>
      <c r="B7030" s="4" t="s">
        <v>4550</v>
      </c>
      <c r="C7030" s="2" t="str">
        <f ca="1">IFERROR(__xludf.DUMMYFUNCTION("GOOGLETRANSLATE(A7030,""bn"",""en"")"),"I walked to the mosque")</f>
        <v>I walked to the mosque</v>
      </c>
      <c r="D7030" s="5"/>
      <c r="E7030" s="5"/>
      <c r="F7030" s="5"/>
      <c r="G7030" s="5"/>
      <c r="H7030" s="5"/>
      <c r="I7030" s="5"/>
      <c r="J7030" s="5"/>
      <c r="K7030" s="5"/>
      <c r="L7030" s="5"/>
      <c r="M7030" s="5"/>
      <c r="N7030" s="5"/>
      <c r="O7030" s="5"/>
      <c r="P7030" s="5"/>
      <c r="Q7030" s="5"/>
      <c r="R7030" s="5"/>
      <c r="S7030" s="5"/>
      <c r="T7030" s="5"/>
      <c r="U7030" s="5"/>
      <c r="V7030" s="5"/>
      <c r="W7030" s="5"/>
      <c r="X7030" s="5"/>
      <c r="Y7030" s="5"/>
      <c r="Z7030" s="5"/>
    </row>
    <row r="7031" spans="1:26" ht="15" x14ac:dyDescent="0.25">
      <c r="A7031" s="4" t="s">
        <v>7029</v>
      </c>
      <c r="B7031" s="4" t="s">
        <v>4550</v>
      </c>
      <c r="C7031" s="2" t="str">
        <f ca="1">IFERROR(__xludf.DUMMYFUNCTION("GOOGLETRANSLATE(A7031,""bn"",""en"")"),"I wanted to buy a camera")</f>
        <v>I wanted to buy a camera</v>
      </c>
      <c r="D7031" s="5"/>
      <c r="E7031" s="5"/>
      <c r="F7031" s="5"/>
      <c r="G7031" s="5"/>
      <c r="H7031" s="5"/>
      <c r="I7031" s="5"/>
      <c r="J7031" s="5"/>
      <c r="K7031" s="5"/>
      <c r="L7031" s="5"/>
      <c r="M7031" s="5"/>
      <c r="N7031" s="5"/>
      <c r="O7031" s="5"/>
      <c r="P7031" s="5"/>
      <c r="Q7031" s="5"/>
      <c r="R7031" s="5"/>
      <c r="S7031" s="5"/>
      <c r="T7031" s="5"/>
      <c r="U7031" s="5"/>
      <c r="V7031" s="5"/>
      <c r="W7031" s="5"/>
      <c r="X7031" s="5"/>
      <c r="Y7031" s="5"/>
      <c r="Z7031" s="5"/>
    </row>
    <row r="7032" spans="1:26" ht="15" x14ac:dyDescent="0.25">
      <c r="A7032" s="4" t="s">
        <v>7030</v>
      </c>
      <c r="B7032" s="4" t="s">
        <v>4550</v>
      </c>
      <c r="C7032" s="2" t="str">
        <f ca="1">IFERROR(__xludf.DUMMYFUNCTION("GOOGLETRANSLATE(A7032,""bn"",""en"")"),"Had prayed")</f>
        <v>Had prayed</v>
      </c>
      <c r="D7032" s="5"/>
      <c r="E7032" s="5"/>
      <c r="F7032" s="5"/>
      <c r="G7032" s="5"/>
      <c r="H7032" s="5"/>
      <c r="I7032" s="5"/>
      <c r="J7032" s="5"/>
      <c r="K7032" s="5"/>
      <c r="L7032" s="5"/>
      <c r="M7032" s="5"/>
      <c r="N7032" s="5"/>
      <c r="O7032" s="5"/>
      <c r="P7032" s="5"/>
      <c r="Q7032" s="5"/>
      <c r="R7032" s="5"/>
      <c r="S7032" s="5"/>
      <c r="T7032" s="5"/>
      <c r="U7032" s="5"/>
      <c r="V7032" s="5"/>
      <c r="W7032" s="5"/>
      <c r="X7032" s="5"/>
      <c r="Y7032" s="5"/>
      <c r="Z7032" s="5"/>
    </row>
    <row r="7033" spans="1:26" ht="15" x14ac:dyDescent="0.25">
      <c r="A7033" s="4" t="s">
        <v>7031</v>
      </c>
      <c r="B7033" s="4" t="s">
        <v>4550</v>
      </c>
      <c r="C7033" s="2" t="str">
        <f ca="1">IFERROR(__xludf.DUMMYFUNCTION("GOOGLETRANSLATE(A7033,""bn"",""en"")"),"I was watching different videos")</f>
        <v>I was watching different videos</v>
      </c>
      <c r="D7033" s="5"/>
      <c r="E7033" s="5"/>
      <c r="F7033" s="5"/>
      <c r="G7033" s="5"/>
      <c r="H7033" s="5"/>
      <c r="I7033" s="5"/>
      <c r="J7033" s="5"/>
      <c r="K7033" s="5"/>
      <c r="L7033" s="5"/>
      <c r="M7033" s="5"/>
      <c r="N7033" s="5"/>
      <c r="O7033" s="5"/>
      <c r="P7033" s="5"/>
      <c r="Q7033" s="5"/>
      <c r="R7033" s="5"/>
      <c r="S7033" s="5"/>
      <c r="T7033" s="5"/>
      <c r="U7033" s="5"/>
      <c r="V7033" s="5"/>
      <c r="W7033" s="5"/>
      <c r="X7033" s="5"/>
      <c r="Y7033" s="5"/>
      <c r="Z7033" s="5"/>
    </row>
    <row r="7034" spans="1:26" ht="15" x14ac:dyDescent="0.25">
      <c r="A7034" s="4" t="s">
        <v>7032</v>
      </c>
      <c r="B7034" s="4" t="s">
        <v>4550</v>
      </c>
      <c r="C7034" s="2" t="str">
        <f ca="1">IFERROR(__xludf.DUMMYFUNCTION("GOOGLETRANSLATE(A7034,""bn"",""en"")"),"Finances were improving")</f>
        <v>Finances were improving</v>
      </c>
      <c r="D7034" s="5"/>
      <c r="E7034" s="5"/>
      <c r="F7034" s="5"/>
      <c r="G7034" s="5"/>
      <c r="H7034" s="5"/>
      <c r="I7034" s="5"/>
      <c r="J7034" s="5"/>
      <c r="K7034" s="5"/>
      <c r="L7034" s="5"/>
      <c r="M7034" s="5"/>
      <c r="N7034" s="5"/>
      <c r="O7034" s="5"/>
      <c r="P7034" s="5"/>
      <c r="Q7034" s="5"/>
      <c r="R7034" s="5"/>
      <c r="S7034" s="5"/>
      <c r="T7034" s="5"/>
      <c r="U7034" s="5"/>
      <c r="V7034" s="5"/>
      <c r="W7034" s="5"/>
      <c r="X7034" s="5"/>
      <c r="Y7034" s="5"/>
      <c r="Z7034" s="5"/>
    </row>
    <row r="7035" spans="1:26" ht="15" x14ac:dyDescent="0.25">
      <c r="A7035" s="4" t="s">
        <v>7033</v>
      </c>
      <c r="B7035" s="4" t="s">
        <v>4550</v>
      </c>
      <c r="C7035" s="2" t="str">
        <f ca="1">IFERROR(__xludf.DUMMYFUNCTION("GOOGLETRANSLATE(A7035,""bn"",""en"")"),"Autonomous production increased")</f>
        <v>Autonomous production increased</v>
      </c>
      <c r="D7035" s="5"/>
      <c r="E7035" s="5"/>
      <c r="F7035" s="5"/>
      <c r="G7035" s="5"/>
      <c r="H7035" s="5"/>
      <c r="I7035" s="5"/>
      <c r="J7035" s="5"/>
      <c r="K7035" s="5"/>
      <c r="L7035" s="5"/>
      <c r="M7035" s="5"/>
      <c r="N7035" s="5"/>
      <c r="O7035" s="5"/>
      <c r="P7035" s="5"/>
      <c r="Q7035" s="5"/>
      <c r="R7035" s="5"/>
      <c r="S7035" s="5"/>
      <c r="T7035" s="5"/>
      <c r="U7035" s="5"/>
      <c r="V7035" s="5"/>
      <c r="W7035" s="5"/>
      <c r="X7035" s="5"/>
      <c r="Y7035" s="5"/>
      <c r="Z7035" s="5"/>
    </row>
    <row r="7036" spans="1:26" ht="15" x14ac:dyDescent="0.25">
      <c r="A7036" s="4" t="s">
        <v>7034</v>
      </c>
      <c r="B7036" s="4" t="s">
        <v>4550</v>
      </c>
      <c r="C7036" s="2" t="str">
        <f ca="1">IFERROR(__xludf.DUMMYFUNCTION("GOOGLETRANSLATE(A7036,""bn"",""en"")"),"Islamic life was developing")</f>
        <v>Islamic life was developing</v>
      </c>
      <c r="D7036" s="5"/>
      <c r="E7036" s="5"/>
      <c r="F7036" s="5"/>
      <c r="G7036" s="5"/>
      <c r="H7036" s="5"/>
      <c r="I7036" s="5"/>
      <c r="J7036" s="5"/>
      <c r="K7036" s="5"/>
      <c r="L7036" s="5"/>
      <c r="M7036" s="5"/>
      <c r="N7036" s="5"/>
      <c r="O7036" s="5"/>
      <c r="P7036" s="5"/>
      <c r="Q7036" s="5"/>
      <c r="R7036" s="5"/>
      <c r="S7036" s="5"/>
      <c r="T7036" s="5"/>
      <c r="U7036" s="5"/>
      <c r="V7036" s="5"/>
      <c r="W7036" s="5"/>
      <c r="X7036" s="5"/>
      <c r="Y7036" s="5"/>
      <c r="Z7036" s="5"/>
    </row>
    <row r="7037" spans="1:26" ht="15" x14ac:dyDescent="0.25">
      <c r="A7037" s="4" t="s">
        <v>7035</v>
      </c>
      <c r="B7037" s="4" t="s">
        <v>4550</v>
      </c>
      <c r="C7037" s="2" t="str">
        <f ca="1">IFERROR(__xludf.DUMMYFUNCTION("GOOGLETRANSLATE(A7037,""bn"",""en"")"),"I migrated")</f>
        <v>I migrated</v>
      </c>
      <c r="D7037" s="5"/>
      <c r="E7037" s="5"/>
      <c r="F7037" s="5"/>
      <c r="G7037" s="5"/>
      <c r="H7037" s="5"/>
      <c r="I7037" s="5"/>
      <c r="J7037" s="5"/>
      <c r="K7037" s="5"/>
      <c r="L7037" s="5"/>
      <c r="M7037" s="5"/>
      <c r="N7037" s="5"/>
      <c r="O7037" s="5"/>
      <c r="P7037" s="5"/>
      <c r="Q7037" s="5"/>
      <c r="R7037" s="5"/>
      <c r="S7037" s="5"/>
      <c r="T7037" s="5"/>
      <c r="U7037" s="5"/>
      <c r="V7037" s="5"/>
      <c r="W7037" s="5"/>
      <c r="X7037" s="5"/>
      <c r="Y7037" s="5"/>
      <c r="Z7037" s="5"/>
    </row>
    <row r="7038" spans="1:26" ht="15" x14ac:dyDescent="0.25">
      <c r="A7038" s="4" t="s">
        <v>7036</v>
      </c>
      <c r="B7038" s="4" t="s">
        <v>4550</v>
      </c>
      <c r="C7038" s="2" t="str">
        <f ca="1">IFERROR(__xludf.DUMMYFUNCTION("GOOGLETRANSLATE(A7038,""bn"",""en"")"),"Always loved football")</f>
        <v>Always loved football</v>
      </c>
      <c r="D7038" s="5"/>
      <c r="E7038" s="5"/>
      <c r="F7038" s="5"/>
      <c r="G7038" s="5"/>
      <c r="H7038" s="5"/>
      <c r="I7038" s="5"/>
      <c r="J7038" s="5"/>
      <c r="K7038" s="5"/>
      <c r="L7038" s="5"/>
      <c r="M7038" s="5"/>
      <c r="N7038" s="5"/>
      <c r="O7038" s="5"/>
      <c r="P7038" s="5"/>
      <c r="Q7038" s="5"/>
      <c r="R7038" s="5"/>
      <c r="S7038" s="5"/>
      <c r="T7038" s="5"/>
      <c r="U7038" s="5"/>
      <c r="V7038" s="5"/>
      <c r="W7038" s="5"/>
      <c r="X7038" s="5"/>
      <c r="Y7038" s="5"/>
      <c r="Z7038" s="5"/>
    </row>
    <row r="7039" spans="1:26" ht="15" x14ac:dyDescent="0.25">
      <c r="A7039" s="4" t="s">
        <v>7037</v>
      </c>
      <c r="B7039" s="4" t="s">
        <v>4550</v>
      </c>
      <c r="C7039" s="2" t="str">
        <f ca="1">IFERROR(__xludf.DUMMYFUNCTION("GOOGLETRANSLATE(A7039,""bn"",""en"")"),"I joined politics")</f>
        <v>I joined politics</v>
      </c>
      <c r="D7039" s="5"/>
      <c r="E7039" s="5"/>
      <c r="F7039" s="5"/>
      <c r="G7039" s="5"/>
      <c r="H7039" s="5"/>
      <c r="I7039" s="5"/>
      <c r="J7039" s="5"/>
      <c r="K7039" s="5"/>
      <c r="L7039" s="5"/>
      <c r="M7039" s="5"/>
      <c r="N7039" s="5"/>
      <c r="O7039" s="5"/>
      <c r="P7039" s="5"/>
      <c r="Q7039" s="5"/>
      <c r="R7039" s="5"/>
      <c r="S7039" s="5"/>
      <c r="T7039" s="5"/>
      <c r="U7039" s="5"/>
      <c r="V7039" s="5"/>
      <c r="W7039" s="5"/>
      <c r="X7039" s="5"/>
      <c r="Y7039" s="5"/>
      <c r="Z7039" s="5"/>
    </row>
    <row r="7040" spans="1:26" ht="15" x14ac:dyDescent="0.25">
      <c r="A7040" s="4" t="s">
        <v>7038</v>
      </c>
      <c r="B7040" s="4" t="s">
        <v>4550</v>
      </c>
      <c r="C7040" s="2" t="str">
        <f ca="1">IFERROR(__xludf.DUMMYFUNCTION("GOOGLETRANSLATE(A7040,""bn"",""en"")"),"The law was prepared")</f>
        <v>The law was prepared</v>
      </c>
      <c r="D7040" s="5"/>
      <c r="E7040" s="5"/>
      <c r="F7040" s="5"/>
      <c r="G7040" s="5"/>
      <c r="H7040" s="5"/>
      <c r="I7040" s="5"/>
      <c r="J7040" s="5"/>
      <c r="K7040" s="5"/>
      <c r="L7040" s="5"/>
      <c r="M7040" s="5"/>
      <c r="N7040" s="5"/>
      <c r="O7040" s="5"/>
      <c r="P7040" s="5"/>
      <c r="Q7040" s="5"/>
      <c r="R7040" s="5"/>
      <c r="S7040" s="5"/>
      <c r="T7040" s="5"/>
      <c r="U7040" s="5"/>
      <c r="V7040" s="5"/>
      <c r="W7040" s="5"/>
      <c r="X7040" s="5"/>
      <c r="Y7040" s="5"/>
      <c r="Z7040" s="5"/>
    </row>
    <row r="7041" spans="1:26" ht="15" x14ac:dyDescent="0.25">
      <c r="A7041" s="4" t="s">
        <v>7039</v>
      </c>
      <c r="B7041" s="4" t="s">
        <v>4550</v>
      </c>
      <c r="C7041" s="2" t="str">
        <f ca="1">IFERROR(__xludf.DUMMYFUNCTION("GOOGLETRANSLATE(A7041,""bn"",""en"")"),"I found peace in the journey")</f>
        <v>I found peace in the journey</v>
      </c>
      <c r="D7041" s="5"/>
      <c r="E7041" s="5"/>
      <c r="F7041" s="5"/>
      <c r="G7041" s="5"/>
      <c r="H7041" s="5"/>
      <c r="I7041" s="5"/>
      <c r="J7041" s="5"/>
      <c r="K7041" s="5"/>
      <c r="L7041" s="5"/>
      <c r="M7041" s="5"/>
      <c r="N7041" s="5"/>
      <c r="O7041" s="5"/>
      <c r="P7041" s="5"/>
      <c r="Q7041" s="5"/>
      <c r="R7041" s="5"/>
      <c r="S7041" s="5"/>
      <c r="T7041" s="5"/>
      <c r="U7041" s="5"/>
      <c r="V7041" s="5"/>
      <c r="W7041" s="5"/>
      <c r="X7041" s="5"/>
      <c r="Y7041" s="5"/>
      <c r="Z7041" s="5"/>
    </row>
    <row r="7042" spans="1:26" ht="15" x14ac:dyDescent="0.25">
      <c r="A7042" s="4" t="s">
        <v>7040</v>
      </c>
      <c r="B7042" s="4" t="s">
        <v>4550</v>
      </c>
      <c r="C7042" s="2" t="str">
        <f ca="1">IFERROR(__xludf.DUMMYFUNCTION("GOOGLETRANSLATE(A7042,""bn"",""en"")"),"There were problems with development")</f>
        <v>There were problems with development</v>
      </c>
      <c r="D7042" s="5"/>
      <c r="E7042" s="5"/>
      <c r="F7042" s="5"/>
      <c r="G7042" s="5"/>
      <c r="H7042" s="5"/>
      <c r="I7042" s="5"/>
      <c r="J7042" s="5"/>
      <c r="K7042" s="5"/>
      <c r="L7042" s="5"/>
      <c r="M7042" s="5"/>
      <c r="N7042" s="5"/>
      <c r="O7042" s="5"/>
      <c r="P7042" s="5"/>
      <c r="Q7042" s="5"/>
      <c r="R7042" s="5"/>
      <c r="S7042" s="5"/>
      <c r="T7042" s="5"/>
      <c r="U7042" s="5"/>
      <c r="V7042" s="5"/>
      <c r="W7042" s="5"/>
      <c r="X7042" s="5"/>
      <c r="Y7042" s="5"/>
      <c r="Z7042" s="5"/>
    </row>
    <row r="7043" spans="1:26" ht="15" x14ac:dyDescent="0.25">
      <c r="A7043" s="4" t="s">
        <v>7041</v>
      </c>
      <c r="B7043" s="4" t="s">
        <v>4550</v>
      </c>
      <c r="C7043" s="2" t="str">
        <f ca="1">IFERROR(__xludf.DUMMYFUNCTION("GOOGLETRANSLATE(A7043,""bn"",""en"")"),"The Prime Minister discussed")</f>
        <v>The Prime Minister discussed</v>
      </c>
      <c r="D7043" s="5"/>
      <c r="E7043" s="5"/>
      <c r="F7043" s="5"/>
      <c r="G7043" s="5"/>
      <c r="H7043" s="5"/>
      <c r="I7043" s="5"/>
      <c r="J7043" s="5"/>
      <c r="K7043" s="5"/>
      <c r="L7043" s="5"/>
      <c r="M7043" s="5"/>
      <c r="N7043" s="5"/>
      <c r="O7043" s="5"/>
      <c r="P7043" s="5"/>
      <c r="Q7043" s="5"/>
      <c r="R7043" s="5"/>
      <c r="S7043" s="5"/>
      <c r="T7043" s="5"/>
      <c r="U7043" s="5"/>
      <c r="V7043" s="5"/>
      <c r="W7043" s="5"/>
      <c r="X7043" s="5"/>
      <c r="Y7043" s="5"/>
      <c r="Z7043" s="5"/>
    </row>
    <row r="7044" spans="1:26" ht="15" x14ac:dyDescent="0.25">
      <c r="A7044" s="4" t="s">
        <v>7042</v>
      </c>
      <c r="B7044" s="4" t="s">
        <v>4550</v>
      </c>
      <c r="C7044" s="2" t="str">
        <f ca="1">IFERROR(__xludf.DUMMYFUNCTION("GOOGLETRANSLATE(A7044,""bn"",""en"")"),"I saw the news on the laptop")</f>
        <v>I saw the news on the laptop</v>
      </c>
      <c r="D7044" s="5"/>
      <c r="E7044" s="5"/>
      <c r="F7044" s="5"/>
      <c r="G7044" s="5"/>
      <c r="H7044" s="5"/>
      <c r="I7044" s="5"/>
      <c r="J7044" s="5"/>
      <c r="K7044" s="5"/>
      <c r="L7044" s="5"/>
      <c r="M7044" s="5"/>
      <c r="N7044" s="5"/>
      <c r="O7044" s="5"/>
      <c r="P7044" s="5"/>
      <c r="Q7044" s="5"/>
      <c r="R7044" s="5"/>
      <c r="S7044" s="5"/>
      <c r="T7044" s="5"/>
      <c r="U7044" s="5"/>
      <c r="V7044" s="5"/>
      <c r="W7044" s="5"/>
      <c r="X7044" s="5"/>
      <c r="Y7044" s="5"/>
      <c r="Z7044" s="5"/>
    </row>
    <row r="7045" spans="1:26" ht="15" x14ac:dyDescent="0.25">
      <c r="A7045" s="4" t="s">
        <v>7043</v>
      </c>
      <c r="B7045" s="4" t="s">
        <v>4550</v>
      </c>
      <c r="C7045" s="2" t="str">
        <f ca="1">IFERROR(__xludf.DUMMYFUNCTION("GOOGLETRANSLATE(A7045,""bn"",""en"")"),"I was giving food to the travelers")</f>
        <v>I was giving food to the travelers</v>
      </c>
      <c r="D7045" s="5"/>
      <c r="E7045" s="5"/>
      <c r="F7045" s="5"/>
      <c r="G7045" s="5"/>
      <c r="H7045" s="5"/>
      <c r="I7045" s="5"/>
      <c r="J7045" s="5"/>
      <c r="K7045" s="5"/>
      <c r="L7045" s="5"/>
      <c r="M7045" s="5"/>
      <c r="N7045" s="5"/>
      <c r="O7045" s="5"/>
      <c r="P7045" s="5"/>
      <c r="Q7045" s="5"/>
      <c r="R7045" s="5"/>
      <c r="S7045" s="5"/>
      <c r="T7045" s="5"/>
      <c r="U7045" s="5"/>
      <c r="V7045" s="5"/>
      <c r="W7045" s="5"/>
      <c r="X7045" s="5"/>
      <c r="Y7045" s="5"/>
      <c r="Z7045" s="5"/>
    </row>
    <row r="7046" spans="1:26" ht="15" x14ac:dyDescent="0.25">
      <c r="A7046" s="4" t="s">
        <v>7044</v>
      </c>
      <c r="B7046" s="4" t="s">
        <v>4550</v>
      </c>
      <c r="C7046" s="2" t="str">
        <f ca="1">IFERROR(__xludf.DUMMYFUNCTION("GOOGLETRANSLATE(A7046,""bn"",""en"")"),"Took computer class")</f>
        <v>Took computer class</v>
      </c>
      <c r="D7046" s="5"/>
      <c r="E7046" s="5"/>
      <c r="F7046" s="5"/>
      <c r="G7046" s="5"/>
      <c r="H7046" s="5"/>
      <c r="I7046" s="5"/>
      <c r="J7046" s="5"/>
      <c r="K7046" s="5"/>
      <c r="L7046" s="5"/>
      <c r="M7046" s="5"/>
      <c r="N7046" s="5"/>
      <c r="O7046" s="5"/>
      <c r="P7046" s="5"/>
      <c r="Q7046" s="5"/>
      <c r="R7046" s="5"/>
      <c r="S7046" s="5"/>
      <c r="T7046" s="5"/>
      <c r="U7046" s="5"/>
      <c r="V7046" s="5"/>
      <c r="W7046" s="5"/>
      <c r="X7046" s="5"/>
      <c r="Y7046" s="5"/>
      <c r="Z7046" s="5"/>
    </row>
    <row r="7047" spans="1:26" ht="15" x14ac:dyDescent="0.25">
      <c r="A7047" s="4" t="s">
        <v>7045</v>
      </c>
      <c r="B7047" s="4" t="s">
        <v>4550</v>
      </c>
      <c r="C7047" s="2" t="str">
        <f ca="1">IFERROR(__xludf.DUMMYFUNCTION("GOOGLETRANSLATE(A7047,""bn"",""en"")"),"I got good compliments")</f>
        <v>I got good compliments</v>
      </c>
      <c r="D7047" s="5"/>
      <c r="E7047" s="5"/>
      <c r="F7047" s="5"/>
      <c r="G7047" s="5"/>
      <c r="H7047" s="5"/>
      <c r="I7047" s="5"/>
      <c r="J7047" s="5"/>
      <c r="K7047" s="5"/>
      <c r="L7047" s="5"/>
      <c r="M7047" s="5"/>
      <c r="N7047" s="5"/>
      <c r="O7047" s="5"/>
      <c r="P7047" s="5"/>
      <c r="Q7047" s="5"/>
      <c r="R7047" s="5"/>
      <c r="S7047" s="5"/>
      <c r="T7047" s="5"/>
      <c r="U7047" s="5"/>
      <c r="V7047" s="5"/>
      <c r="W7047" s="5"/>
      <c r="X7047" s="5"/>
      <c r="Y7047" s="5"/>
      <c r="Z7047" s="5"/>
    </row>
    <row r="7048" spans="1:26" ht="15" x14ac:dyDescent="0.25">
      <c r="A7048" s="4" t="s">
        <v>7046</v>
      </c>
      <c r="B7048" s="4" t="s">
        <v>4550</v>
      </c>
      <c r="C7048" s="2" t="str">
        <f ca="1">IFERROR(__xludf.DUMMYFUNCTION("GOOGLETRANSLATE(A7048,""bn"",""en"")"),"Increased efficiency in travel")</f>
        <v>Increased efficiency in travel</v>
      </c>
      <c r="D7048" s="5"/>
      <c r="E7048" s="5"/>
      <c r="F7048" s="5"/>
      <c r="G7048" s="5"/>
      <c r="H7048" s="5"/>
      <c r="I7048" s="5"/>
      <c r="J7048" s="5"/>
      <c r="K7048" s="5"/>
      <c r="L7048" s="5"/>
      <c r="M7048" s="5"/>
      <c r="N7048" s="5"/>
      <c r="O7048" s="5"/>
      <c r="P7048" s="5"/>
      <c r="Q7048" s="5"/>
      <c r="R7048" s="5"/>
      <c r="S7048" s="5"/>
      <c r="T7048" s="5"/>
      <c r="U7048" s="5"/>
      <c r="V7048" s="5"/>
      <c r="W7048" s="5"/>
      <c r="X7048" s="5"/>
      <c r="Y7048" s="5"/>
      <c r="Z7048" s="5"/>
    </row>
    <row r="7049" spans="1:26" ht="15" x14ac:dyDescent="0.25">
      <c r="A7049" s="4" t="s">
        <v>7047</v>
      </c>
      <c r="B7049" s="4" t="s">
        <v>4550</v>
      </c>
      <c r="C7049" s="2" t="str">
        <f ca="1">IFERROR(__xludf.DUMMYFUNCTION("GOOGLETRANSLATE(A7049,""bn"",""en"")"),"There was economic loss")</f>
        <v>There was economic loss</v>
      </c>
      <c r="D7049" s="5"/>
      <c r="E7049" s="5"/>
      <c r="F7049" s="5"/>
      <c r="G7049" s="5"/>
      <c r="H7049" s="5"/>
      <c r="I7049" s="5"/>
      <c r="J7049" s="5"/>
      <c r="K7049" s="5"/>
      <c r="L7049" s="5"/>
      <c r="M7049" s="5"/>
      <c r="N7049" s="5"/>
      <c r="O7049" s="5"/>
      <c r="P7049" s="5"/>
      <c r="Q7049" s="5"/>
      <c r="R7049" s="5"/>
      <c r="S7049" s="5"/>
      <c r="T7049" s="5"/>
      <c r="U7049" s="5"/>
      <c r="V7049" s="5"/>
      <c r="W7049" s="5"/>
      <c r="X7049" s="5"/>
      <c r="Y7049" s="5"/>
      <c r="Z7049" s="5"/>
    </row>
    <row r="7050" spans="1:26" ht="15" x14ac:dyDescent="0.25">
      <c r="A7050" s="4" t="s">
        <v>7048</v>
      </c>
      <c r="B7050" s="4" t="s">
        <v>4550</v>
      </c>
      <c r="C7050" s="2" t="str">
        <f ca="1">IFERROR(__xludf.DUMMYFUNCTION("GOOGLETRANSLATE(A7050,""bn"",""en"")"),"I opened a bank account")</f>
        <v>I opened a bank account</v>
      </c>
      <c r="D7050" s="5"/>
      <c r="E7050" s="5"/>
      <c r="F7050" s="5"/>
      <c r="G7050" s="5"/>
      <c r="H7050" s="5"/>
      <c r="I7050" s="5"/>
      <c r="J7050" s="5"/>
      <c r="K7050" s="5"/>
      <c r="L7050" s="5"/>
      <c r="M7050" s="5"/>
      <c r="N7050" s="5"/>
      <c r="O7050" s="5"/>
      <c r="P7050" s="5"/>
      <c r="Q7050" s="5"/>
      <c r="R7050" s="5"/>
      <c r="S7050" s="5"/>
      <c r="T7050" s="5"/>
      <c r="U7050" s="5"/>
      <c r="V7050" s="5"/>
      <c r="W7050" s="5"/>
      <c r="X7050" s="5"/>
      <c r="Y7050" s="5"/>
      <c r="Z7050" s="5"/>
    </row>
    <row r="7051" spans="1:26" ht="15" x14ac:dyDescent="0.25">
      <c r="A7051" s="4" t="s">
        <v>7049</v>
      </c>
      <c r="B7051" s="4" t="s">
        <v>4550</v>
      </c>
      <c r="C7051" s="2" t="str">
        <f ca="1">IFERROR(__xludf.DUMMYFUNCTION("GOOGLETRANSLATE(A7051,""bn"",""en"")"),"He wrote poetry in his spare time")</f>
        <v>He wrote poetry in his spare time</v>
      </c>
      <c r="D7051" s="5"/>
      <c r="E7051" s="5"/>
      <c r="F7051" s="5"/>
      <c r="G7051" s="5"/>
      <c r="H7051" s="5"/>
      <c r="I7051" s="5"/>
      <c r="J7051" s="5"/>
      <c r="K7051" s="5"/>
      <c r="L7051" s="5"/>
      <c r="M7051" s="5"/>
      <c r="N7051" s="5"/>
      <c r="O7051" s="5"/>
      <c r="P7051" s="5"/>
      <c r="Q7051" s="5"/>
      <c r="R7051" s="5"/>
      <c r="S7051" s="5"/>
      <c r="T7051" s="5"/>
      <c r="U7051" s="5"/>
      <c r="V7051" s="5"/>
      <c r="W7051" s="5"/>
      <c r="X7051" s="5"/>
      <c r="Y7051" s="5"/>
      <c r="Z7051" s="5"/>
    </row>
    <row r="7052" spans="1:26" ht="15" x14ac:dyDescent="0.25">
      <c r="A7052" s="4" t="s">
        <v>7050</v>
      </c>
      <c r="B7052" s="4" t="s">
        <v>4550</v>
      </c>
      <c r="C7052" s="2" t="str">
        <f ca="1">IFERROR(__xludf.DUMMYFUNCTION("GOOGLETRANSLATE(A7052,""bn"",""en"")"),"I went to Kashmir")</f>
        <v>I went to Kashmir</v>
      </c>
      <c r="D7052" s="5"/>
      <c r="E7052" s="5"/>
      <c r="F7052" s="5"/>
      <c r="G7052" s="5"/>
      <c r="H7052" s="5"/>
      <c r="I7052" s="5"/>
      <c r="J7052" s="5"/>
      <c r="K7052" s="5"/>
      <c r="L7052" s="5"/>
      <c r="M7052" s="5"/>
      <c r="N7052" s="5"/>
      <c r="O7052" s="5"/>
      <c r="P7052" s="5"/>
      <c r="Q7052" s="5"/>
      <c r="R7052" s="5"/>
      <c r="S7052" s="5"/>
      <c r="T7052" s="5"/>
      <c r="U7052" s="5"/>
      <c r="V7052" s="5"/>
      <c r="W7052" s="5"/>
      <c r="X7052" s="5"/>
      <c r="Y7052" s="5"/>
      <c r="Z7052" s="5"/>
    </row>
    <row r="7053" spans="1:26" ht="15" x14ac:dyDescent="0.25">
      <c r="A7053" s="4" t="s">
        <v>7051</v>
      </c>
      <c r="B7053" s="4" t="s">
        <v>4550</v>
      </c>
      <c r="C7053" s="2" t="str">
        <f ca="1">IFERROR(__xludf.DUMMYFUNCTION("GOOGLETRANSLATE(A7053,""bn"",""en"")"),"I searched the chest")</f>
        <v>I searched the chest</v>
      </c>
      <c r="D7053" s="5"/>
      <c r="E7053" s="5"/>
      <c r="F7053" s="5"/>
      <c r="G7053" s="5"/>
      <c r="H7053" s="5"/>
      <c r="I7053" s="5"/>
      <c r="J7053" s="5"/>
      <c r="K7053" s="5"/>
      <c r="L7053" s="5"/>
      <c r="M7053" s="5"/>
      <c r="N7053" s="5"/>
      <c r="O7053" s="5"/>
      <c r="P7053" s="5"/>
      <c r="Q7053" s="5"/>
      <c r="R7053" s="5"/>
      <c r="S7053" s="5"/>
      <c r="T7053" s="5"/>
      <c r="U7053" s="5"/>
      <c r="V7053" s="5"/>
      <c r="W7053" s="5"/>
      <c r="X7053" s="5"/>
      <c r="Y7053" s="5"/>
      <c r="Z7053" s="5"/>
    </row>
    <row r="7054" spans="1:26" ht="15" x14ac:dyDescent="0.25">
      <c r="A7054" s="4" t="s">
        <v>7052</v>
      </c>
      <c r="B7054" s="4" t="s">
        <v>4550</v>
      </c>
      <c r="C7054" s="2" t="str">
        <f ca="1">IFERROR(__xludf.DUMMYFUNCTION("GOOGLETRANSLATE(A7054,""bn"",""en"")"),"Send email easily")</f>
        <v>Send email easily</v>
      </c>
      <c r="D7054" s="5"/>
      <c r="E7054" s="5"/>
      <c r="F7054" s="5"/>
      <c r="G7054" s="5"/>
      <c r="H7054" s="5"/>
      <c r="I7054" s="5"/>
      <c r="J7054" s="5"/>
      <c r="K7054" s="5"/>
      <c r="L7054" s="5"/>
      <c r="M7054" s="5"/>
      <c r="N7054" s="5"/>
      <c r="O7054" s="5"/>
      <c r="P7054" s="5"/>
      <c r="Q7054" s="5"/>
      <c r="R7054" s="5"/>
      <c r="S7054" s="5"/>
      <c r="T7054" s="5"/>
      <c r="U7054" s="5"/>
      <c r="V7054" s="5"/>
      <c r="W7054" s="5"/>
      <c r="X7054" s="5"/>
      <c r="Y7054" s="5"/>
      <c r="Z7054" s="5"/>
    </row>
    <row r="7055" spans="1:26" ht="15" x14ac:dyDescent="0.25">
      <c r="A7055" s="4" t="s">
        <v>7053</v>
      </c>
      <c r="B7055" s="4" t="s">
        <v>4550</v>
      </c>
      <c r="C7055" s="2" t="str">
        <f ca="1">IFERROR(__xludf.DUMMYFUNCTION("GOOGLETRANSLATE(A7055,""bn"",""en"")"),"I used a memory card")</f>
        <v>I used a memory card</v>
      </c>
      <c r="D7055" s="5"/>
      <c r="E7055" s="5"/>
      <c r="F7055" s="5"/>
      <c r="G7055" s="5"/>
      <c r="H7055" s="5"/>
      <c r="I7055" s="5"/>
      <c r="J7055" s="5"/>
      <c r="K7055" s="5"/>
      <c r="L7055" s="5"/>
      <c r="M7055" s="5"/>
      <c r="N7055" s="5"/>
      <c r="O7055" s="5"/>
      <c r="P7055" s="5"/>
      <c r="Q7055" s="5"/>
      <c r="R7055" s="5"/>
      <c r="S7055" s="5"/>
      <c r="T7055" s="5"/>
      <c r="U7055" s="5"/>
      <c r="V7055" s="5"/>
      <c r="W7055" s="5"/>
      <c r="X7055" s="5"/>
      <c r="Y7055" s="5"/>
      <c r="Z7055" s="5"/>
    </row>
    <row r="7056" spans="1:26" ht="15" x14ac:dyDescent="0.25">
      <c r="A7056" s="4" t="s">
        <v>7054</v>
      </c>
      <c r="B7056" s="4" t="s">
        <v>4550</v>
      </c>
      <c r="C7056" s="2" t="str">
        <f ca="1">IFERROR(__xludf.DUMMYFUNCTION("GOOGLETRANSLATE(A7056,""bn"",""en"")"),"The tide was coming into the sea")</f>
        <v>The tide was coming into the sea</v>
      </c>
      <c r="D7056" s="5"/>
      <c r="E7056" s="5"/>
      <c r="F7056" s="5"/>
      <c r="G7056" s="5"/>
      <c r="H7056" s="5"/>
      <c r="I7056" s="5"/>
      <c r="J7056" s="5"/>
      <c r="K7056" s="5"/>
      <c r="L7056" s="5"/>
      <c r="M7056" s="5"/>
      <c r="N7056" s="5"/>
      <c r="O7056" s="5"/>
      <c r="P7056" s="5"/>
      <c r="Q7056" s="5"/>
      <c r="R7056" s="5"/>
      <c r="S7056" s="5"/>
      <c r="T7056" s="5"/>
      <c r="U7056" s="5"/>
      <c r="V7056" s="5"/>
      <c r="W7056" s="5"/>
      <c r="X7056" s="5"/>
      <c r="Y7056" s="5"/>
      <c r="Z7056" s="5"/>
    </row>
    <row r="7057" spans="1:26" ht="15" x14ac:dyDescent="0.25">
      <c r="A7057" s="4" t="s">
        <v>7055</v>
      </c>
      <c r="B7057" s="4" t="s">
        <v>4550</v>
      </c>
      <c r="C7057" s="2" t="str">
        <f ca="1">IFERROR(__xludf.DUMMYFUNCTION("GOOGLETRANSLATE(A7057,""bn"",""en"")"),"Read the Quran regularly")</f>
        <v>Read the Quran regularly</v>
      </c>
      <c r="D7057" s="5"/>
      <c r="E7057" s="5"/>
      <c r="F7057" s="5"/>
      <c r="G7057" s="5"/>
      <c r="H7057" s="5"/>
      <c r="I7057" s="5"/>
      <c r="J7057" s="5"/>
      <c r="K7057" s="5"/>
      <c r="L7057" s="5"/>
      <c r="M7057" s="5"/>
      <c r="N7057" s="5"/>
      <c r="O7057" s="5"/>
      <c r="P7057" s="5"/>
      <c r="Q7057" s="5"/>
      <c r="R7057" s="5"/>
      <c r="S7057" s="5"/>
      <c r="T7057" s="5"/>
      <c r="U7057" s="5"/>
      <c r="V7057" s="5"/>
      <c r="W7057" s="5"/>
      <c r="X7057" s="5"/>
      <c r="Y7057" s="5"/>
      <c r="Z7057" s="5"/>
    </row>
    <row r="7058" spans="1:26" ht="15" x14ac:dyDescent="0.25">
      <c r="A7058" s="4" t="s">
        <v>7056</v>
      </c>
      <c r="B7058" s="4" t="s">
        <v>4550</v>
      </c>
      <c r="C7058" s="2" t="str">
        <f ca="1">IFERROR(__xludf.DUMMYFUNCTION("GOOGLETRANSLATE(A7058,""bn"",""en"")"),"I kept money in the account")</f>
        <v>I kept money in the account</v>
      </c>
      <c r="D7058" s="5"/>
      <c r="E7058" s="5"/>
      <c r="F7058" s="5"/>
      <c r="G7058" s="5"/>
      <c r="H7058" s="5"/>
      <c r="I7058" s="5"/>
      <c r="J7058" s="5"/>
      <c r="K7058" s="5"/>
      <c r="L7058" s="5"/>
      <c r="M7058" s="5"/>
      <c r="N7058" s="5"/>
      <c r="O7058" s="5"/>
      <c r="P7058" s="5"/>
      <c r="Q7058" s="5"/>
      <c r="R7058" s="5"/>
      <c r="S7058" s="5"/>
      <c r="T7058" s="5"/>
      <c r="U7058" s="5"/>
      <c r="V7058" s="5"/>
      <c r="W7058" s="5"/>
      <c r="X7058" s="5"/>
      <c r="Y7058" s="5"/>
      <c r="Z7058" s="5"/>
    </row>
    <row r="7059" spans="1:26" ht="15" x14ac:dyDescent="0.25">
      <c r="A7059" s="4" t="s">
        <v>7057</v>
      </c>
      <c r="B7059" s="4" t="s">
        <v>4550</v>
      </c>
      <c r="C7059" s="2" t="str">
        <f ca="1">IFERROR(__xludf.DUMMYFUNCTION("GOOGLETRANSLATE(A7059,""bn"",""en"")"),"I was attending the meeting")</f>
        <v>I was attending the meeting</v>
      </c>
      <c r="D7059" s="5"/>
      <c r="E7059" s="5"/>
      <c r="F7059" s="5"/>
      <c r="G7059" s="5"/>
      <c r="H7059" s="5"/>
      <c r="I7059" s="5"/>
      <c r="J7059" s="5"/>
      <c r="K7059" s="5"/>
      <c r="L7059" s="5"/>
      <c r="M7059" s="5"/>
      <c r="N7059" s="5"/>
      <c r="O7059" s="5"/>
      <c r="P7059" s="5"/>
      <c r="Q7059" s="5"/>
      <c r="R7059" s="5"/>
      <c r="S7059" s="5"/>
      <c r="T7059" s="5"/>
      <c r="U7059" s="5"/>
      <c r="V7059" s="5"/>
      <c r="W7059" s="5"/>
      <c r="X7059" s="5"/>
      <c r="Y7059" s="5"/>
      <c r="Z7059" s="5"/>
    </row>
    <row r="7060" spans="1:26" ht="15" x14ac:dyDescent="0.25">
      <c r="A7060" s="4" t="s">
        <v>7058</v>
      </c>
      <c r="B7060" s="4" t="s">
        <v>4550</v>
      </c>
      <c r="C7060" s="2" t="str">
        <f ca="1">IFERROR(__xludf.DUMMYFUNCTION("GOOGLETRANSLATE(A7060,""bn"",""en"")"),"He was learning computer")</f>
        <v>He was learning computer</v>
      </c>
      <c r="D7060" s="5"/>
      <c r="E7060" s="5"/>
      <c r="F7060" s="5"/>
      <c r="G7060" s="5"/>
      <c r="H7060" s="5"/>
      <c r="I7060" s="5"/>
      <c r="J7060" s="5"/>
      <c r="K7060" s="5"/>
      <c r="L7060" s="5"/>
      <c r="M7060" s="5"/>
      <c r="N7060" s="5"/>
      <c r="O7060" s="5"/>
      <c r="P7060" s="5"/>
      <c r="Q7060" s="5"/>
      <c r="R7060" s="5"/>
      <c r="S7060" s="5"/>
      <c r="T7060" s="5"/>
      <c r="U7060" s="5"/>
      <c r="V7060" s="5"/>
      <c r="W7060" s="5"/>
      <c r="X7060" s="5"/>
      <c r="Y7060" s="5"/>
      <c r="Z7060" s="5"/>
    </row>
    <row r="7061" spans="1:26" ht="15" x14ac:dyDescent="0.25">
      <c r="A7061" s="4" t="s">
        <v>7059</v>
      </c>
      <c r="B7061" s="4" t="s">
        <v>4550</v>
      </c>
      <c r="C7061" s="2" t="str">
        <f ca="1">IFERROR(__xludf.DUMMYFUNCTION("GOOGLETRANSLATE(A7061,""bn"",""en"")"),"I loved traveling")</f>
        <v>I loved traveling</v>
      </c>
      <c r="D7061" s="5"/>
      <c r="E7061" s="5"/>
      <c r="F7061" s="5"/>
      <c r="G7061" s="5"/>
      <c r="H7061" s="5"/>
      <c r="I7061" s="5"/>
      <c r="J7061" s="5"/>
      <c r="K7061" s="5"/>
      <c r="L7061" s="5"/>
      <c r="M7061" s="5"/>
      <c r="N7061" s="5"/>
      <c r="O7061" s="5"/>
      <c r="P7061" s="5"/>
      <c r="Q7061" s="5"/>
      <c r="R7061" s="5"/>
      <c r="S7061" s="5"/>
      <c r="T7061" s="5"/>
      <c r="U7061" s="5"/>
      <c r="V7061" s="5"/>
      <c r="W7061" s="5"/>
      <c r="X7061" s="5"/>
      <c r="Y7061" s="5"/>
      <c r="Z7061" s="5"/>
    </row>
    <row r="7062" spans="1:26" ht="15" x14ac:dyDescent="0.25">
      <c r="A7062" s="4" t="s">
        <v>7060</v>
      </c>
      <c r="B7062" s="4" t="s">
        <v>4550</v>
      </c>
      <c r="C7062" s="2" t="str">
        <f ca="1">IFERROR(__xludf.DUMMYFUNCTION("GOOGLETRANSLATE(A7062,""bn"",""en"")"),"I wanted a new phone")</f>
        <v>I wanted a new phone</v>
      </c>
      <c r="D7062" s="5"/>
      <c r="E7062" s="5"/>
      <c r="F7062" s="5"/>
      <c r="G7062" s="5"/>
      <c r="H7062" s="5"/>
      <c r="I7062" s="5"/>
      <c r="J7062" s="5"/>
      <c r="K7062" s="5"/>
      <c r="L7062" s="5"/>
      <c r="M7062" s="5"/>
      <c r="N7062" s="5"/>
      <c r="O7062" s="5"/>
      <c r="P7062" s="5"/>
      <c r="Q7062" s="5"/>
      <c r="R7062" s="5"/>
      <c r="S7062" s="5"/>
      <c r="T7062" s="5"/>
      <c r="U7062" s="5"/>
      <c r="V7062" s="5"/>
      <c r="W7062" s="5"/>
      <c r="X7062" s="5"/>
      <c r="Y7062" s="5"/>
      <c r="Z7062" s="5"/>
    </row>
    <row r="7063" spans="1:26" ht="15" x14ac:dyDescent="0.25">
      <c r="A7063" s="4" t="s">
        <v>7061</v>
      </c>
      <c r="B7063" s="4" t="s">
        <v>4550</v>
      </c>
      <c r="C7063" s="2" t="str">
        <f ca="1">IFERROR(__xludf.DUMMYFUNCTION("GOOGLETRANSLATE(A7063,""bn"",""en"")"),"I expressed grief")</f>
        <v>I expressed grief</v>
      </c>
      <c r="D7063" s="5"/>
      <c r="E7063" s="5"/>
      <c r="F7063" s="5"/>
      <c r="G7063" s="5"/>
      <c r="H7063" s="5"/>
      <c r="I7063" s="5"/>
      <c r="J7063" s="5"/>
      <c r="K7063" s="5"/>
      <c r="L7063" s="5"/>
      <c r="M7063" s="5"/>
      <c r="N7063" s="5"/>
      <c r="O7063" s="5"/>
      <c r="P7063" s="5"/>
      <c r="Q7063" s="5"/>
      <c r="R7063" s="5"/>
      <c r="S7063" s="5"/>
      <c r="T7063" s="5"/>
      <c r="U7063" s="5"/>
      <c r="V7063" s="5"/>
      <c r="W7063" s="5"/>
      <c r="X7063" s="5"/>
      <c r="Y7063" s="5"/>
      <c r="Z7063" s="5"/>
    </row>
    <row r="7064" spans="1:26" ht="15" x14ac:dyDescent="0.25">
      <c r="A7064" s="4" t="s">
        <v>7062</v>
      </c>
      <c r="B7064" s="4" t="s">
        <v>4550</v>
      </c>
      <c r="C7064" s="2" t="str">
        <f ca="1">IFERROR(__xludf.DUMMYFUNCTION("GOOGLETRANSLATE(A7064,""bn"",""en"")"),"I learned internet business")</f>
        <v>I learned internet business</v>
      </c>
      <c r="D7064" s="5"/>
      <c r="E7064" s="5"/>
      <c r="F7064" s="5"/>
      <c r="G7064" s="5"/>
      <c r="H7064" s="5"/>
      <c r="I7064" s="5"/>
      <c r="J7064" s="5"/>
      <c r="K7064" s="5"/>
      <c r="L7064" s="5"/>
      <c r="M7064" s="5"/>
      <c r="N7064" s="5"/>
      <c r="O7064" s="5"/>
      <c r="P7064" s="5"/>
      <c r="Q7064" s="5"/>
      <c r="R7064" s="5"/>
      <c r="S7064" s="5"/>
      <c r="T7064" s="5"/>
      <c r="U7064" s="5"/>
      <c r="V7064" s="5"/>
      <c r="W7064" s="5"/>
      <c r="X7064" s="5"/>
      <c r="Y7064" s="5"/>
      <c r="Z7064" s="5"/>
    </row>
    <row r="7065" spans="1:26" ht="15" x14ac:dyDescent="0.25">
      <c r="A7065" s="4" t="s">
        <v>7063</v>
      </c>
      <c r="B7065" s="4" t="s">
        <v>4550</v>
      </c>
      <c r="C7065" s="2" t="str">
        <f ca="1">IFERROR(__xludf.DUMMYFUNCTION("GOOGLETRANSLATE(A7065,""bn"",""en"")"),"I formed the government")</f>
        <v>I formed the government</v>
      </c>
      <c r="D7065" s="5"/>
      <c r="E7065" s="5"/>
      <c r="F7065" s="5"/>
      <c r="G7065" s="5"/>
      <c r="H7065" s="5"/>
      <c r="I7065" s="5"/>
      <c r="J7065" s="5"/>
      <c r="K7065" s="5"/>
      <c r="L7065" s="5"/>
      <c r="M7065" s="5"/>
      <c r="N7065" s="5"/>
      <c r="O7065" s="5"/>
      <c r="P7065" s="5"/>
      <c r="Q7065" s="5"/>
      <c r="R7065" s="5"/>
      <c r="S7065" s="5"/>
      <c r="T7065" s="5"/>
      <c r="U7065" s="5"/>
      <c r="V7065" s="5"/>
      <c r="W7065" s="5"/>
      <c r="X7065" s="5"/>
      <c r="Y7065" s="5"/>
      <c r="Z7065" s="5"/>
    </row>
    <row r="7066" spans="1:26" ht="15" x14ac:dyDescent="0.25">
      <c r="A7066" s="4" t="s">
        <v>7064</v>
      </c>
      <c r="B7066" s="4" t="s">
        <v>4550</v>
      </c>
      <c r="C7066" s="2" t="str">
        <f ca="1">IFERROR(__xludf.DUMMYFUNCTION("GOOGLETRANSLATE(A7066,""bn"",""en"")"),"He was going to school")</f>
        <v>He was going to school</v>
      </c>
      <c r="D7066" s="5"/>
      <c r="E7066" s="5"/>
      <c r="F7066" s="5"/>
      <c r="G7066" s="5"/>
      <c r="H7066" s="5"/>
      <c r="I7066" s="5"/>
      <c r="J7066" s="5"/>
      <c r="K7066" s="5"/>
      <c r="L7066" s="5"/>
      <c r="M7066" s="5"/>
      <c r="N7066" s="5"/>
      <c r="O7066" s="5"/>
      <c r="P7066" s="5"/>
      <c r="Q7066" s="5"/>
      <c r="R7066" s="5"/>
      <c r="S7066" s="5"/>
      <c r="T7066" s="5"/>
      <c r="U7066" s="5"/>
      <c r="V7066" s="5"/>
      <c r="W7066" s="5"/>
      <c r="X7066" s="5"/>
      <c r="Y7066" s="5"/>
      <c r="Z7066" s="5"/>
    </row>
    <row r="7067" spans="1:26" ht="15" x14ac:dyDescent="0.25">
      <c r="A7067" s="4" t="s">
        <v>7065</v>
      </c>
      <c r="B7067" s="4" t="s">
        <v>4550</v>
      </c>
      <c r="C7067" s="2" t="str">
        <f ca="1">IFERROR(__xludf.DUMMYFUNCTION("GOOGLETRANSLATE(A7067,""bn"",""en"")"),"I found peace in the journey")</f>
        <v>I found peace in the journey</v>
      </c>
      <c r="D7067" s="5"/>
      <c r="E7067" s="5"/>
      <c r="F7067" s="5"/>
      <c r="G7067" s="5"/>
      <c r="H7067" s="5"/>
      <c r="I7067" s="5"/>
      <c r="J7067" s="5"/>
      <c r="K7067" s="5"/>
      <c r="L7067" s="5"/>
      <c r="M7067" s="5"/>
      <c r="N7067" s="5"/>
      <c r="O7067" s="5"/>
      <c r="P7067" s="5"/>
      <c r="Q7067" s="5"/>
      <c r="R7067" s="5"/>
      <c r="S7067" s="5"/>
      <c r="T7067" s="5"/>
      <c r="U7067" s="5"/>
      <c r="V7067" s="5"/>
      <c r="W7067" s="5"/>
      <c r="X7067" s="5"/>
      <c r="Y7067" s="5"/>
      <c r="Z7067" s="5"/>
    </row>
    <row r="7068" spans="1:26" ht="15" x14ac:dyDescent="0.25">
      <c r="A7068" s="4" t="s">
        <v>7066</v>
      </c>
      <c r="B7068" s="4" t="s">
        <v>4550</v>
      </c>
      <c r="C7068" s="2" t="str">
        <f ca="1">IFERROR(__xludf.DUMMYFUNCTION("GOOGLETRANSLATE(A7068,""bn"",""en"")"),"I distributed winter clothes")</f>
        <v>I distributed winter clothes</v>
      </c>
      <c r="D7068" s="5"/>
      <c r="E7068" s="5"/>
      <c r="F7068" s="5"/>
      <c r="G7068" s="5"/>
      <c r="H7068" s="5"/>
      <c r="I7068" s="5"/>
      <c r="J7068" s="5"/>
      <c r="K7068" s="5"/>
      <c r="L7068" s="5"/>
      <c r="M7068" s="5"/>
      <c r="N7068" s="5"/>
      <c r="O7068" s="5"/>
      <c r="P7068" s="5"/>
      <c r="Q7068" s="5"/>
      <c r="R7068" s="5"/>
      <c r="S7068" s="5"/>
      <c r="T7068" s="5"/>
      <c r="U7068" s="5"/>
      <c r="V7068" s="5"/>
      <c r="W7068" s="5"/>
      <c r="X7068" s="5"/>
      <c r="Y7068" s="5"/>
      <c r="Z7068" s="5"/>
    </row>
    <row r="7069" spans="1:26" ht="15" x14ac:dyDescent="0.25">
      <c r="A7069" s="4" t="s">
        <v>7067</v>
      </c>
      <c r="B7069" s="4" t="s">
        <v>4550</v>
      </c>
      <c r="C7069" s="2" t="str">
        <f ca="1">IFERROR(__xludf.DUMMYFUNCTION("GOOGLETRANSLATE(A7069,""bn"",""en"")"),"I was buying a new smartwatch")</f>
        <v>I was buying a new smartwatch</v>
      </c>
      <c r="D7069" s="5"/>
      <c r="E7069" s="5"/>
      <c r="F7069" s="5"/>
      <c r="G7069" s="5"/>
      <c r="H7069" s="5"/>
      <c r="I7069" s="5"/>
      <c r="J7069" s="5"/>
      <c r="K7069" s="5"/>
      <c r="L7069" s="5"/>
      <c r="M7069" s="5"/>
      <c r="N7069" s="5"/>
      <c r="O7069" s="5"/>
      <c r="P7069" s="5"/>
      <c r="Q7069" s="5"/>
      <c r="R7069" s="5"/>
      <c r="S7069" s="5"/>
      <c r="T7069" s="5"/>
      <c r="U7069" s="5"/>
      <c r="V7069" s="5"/>
      <c r="W7069" s="5"/>
      <c r="X7069" s="5"/>
      <c r="Y7069" s="5"/>
      <c r="Z7069" s="5"/>
    </row>
    <row r="7070" spans="1:26" ht="15" x14ac:dyDescent="0.25">
      <c r="A7070" s="4" t="s">
        <v>7068</v>
      </c>
      <c r="B7070" s="4" t="s">
        <v>4550</v>
      </c>
      <c r="C7070" s="2" t="str">
        <f ca="1">IFERROR(__xludf.DUMMYFUNCTION("GOOGLETRANSLATE(A7070,""bn"",""en"")"),"I used VirtualKeyboard")</f>
        <v>I used VirtualKeyboard</v>
      </c>
      <c r="D7070" s="5"/>
      <c r="E7070" s="5"/>
      <c r="F7070" s="5"/>
      <c r="G7070" s="5"/>
      <c r="H7070" s="5"/>
      <c r="I7070" s="5"/>
      <c r="J7070" s="5"/>
      <c r="K7070" s="5"/>
      <c r="L7070" s="5"/>
      <c r="M7070" s="5"/>
      <c r="N7070" s="5"/>
      <c r="O7070" s="5"/>
      <c r="P7070" s="5"/>
      <c r="Q7070" s="5"/>
      <c r="R7070" s="5"/>
      <c r="S7070" s="5"/>
      <c r="T7070" s="5"/>
      <c r="U7070" s="5"/>
      <c r="V7070" s="5"/>
      <c r="W7070" s="5"/>
      <c r="X7070" s="5"/>
      <c r="Y7070" s="5"/>
      <c r="Z7070" s="5"/>
    </row>
    <row r="7071" spans="1:26" ht="15" x14ac:dyDescent="0.25">
      <c r="A7071" s="4" t="s">
        <v>7069</v>
      </c>
      <c r="B7071" s="4" t="s">
        <v>4550</v>
      </c>
      <c r="C7071" s="2" t="str">
        <f ca="1">IFERROR(__xludf.DUMMYFUNCTION("GOOGLETRANSLATE(A7071,""bn"",""en"")"),"Salary was increased")</f>
        <v>Salary was increased</v>
      </c>
      <c r="D7071" s="5"/>
      <c r="E7071" s="5"/>
      <c r="F7071" s="5"/>
      <c r="G7071" s="5"/>
      <c r="H7071" s="5"/>
      <c r="I7071" s="5"/>
      <c r="J7071" s="5"/>
      <c r="K7071" s="5"/>
      <c r="L7071" s="5"/>
      <c r="M7071" s="5"/>
      <c r="N7071" s="5"/>
      <c r="O7071" s="5"/>
      <c r="P7071" s="5"/>
      <c r="Q7071" s="5"/>
      <c r="R7071" s="5"/>
      <c r="S7071" s="5"/>
      <c r="T7071" s="5"/>
      <c r="U7071" s="5"/>
      <c r="V7071" s="5"/>
      <c r="W7071" s="5"/>
      <c r="X7071" s="5"/>
      <c r="Y7071" s="5"/>
      <c r="Z7071" s="5"/>
    </row>
    <row r="7072" spans="1:26" ht="15" x14ac:dyDescent="0.25">
      <c r="A7072" s="4" t="s">
        <v>7070</v>
      </c>
      <c r="B7072" s="4" t="s">
        <v>4550</v>
      </c>
      <c r="C7072" s="2" t="str">
        <f ca="1">IFERROR(__xludf.DUMMYFUNCTION("GOOGLETRANSLATE(A7072,""bn"",""en"")"),"Batim was not safe")</f>
        <v>Batim was not safe</v>
      </c>
      <c r="D7072" s="5"/>
      <c r="E7072" s="5"/>
      <c r="F7072" s="5"/>
      <c r="G7072" s="5"/>
      <c r="H7072" s="5"/>
      <c r="I7072" s="5"/>
      <c r="J7072" s="5"/>
      <c r="K7072" s="5"/>
      <c r="L7072" s="5"/>
      <c r="M7072" s="5"/>
      <c r="N7072" s="5"/>
      <c r="O7072" s="5"/>
      <c r="P7072" s="5"/>
      <c r="Q7072" s="5"/>
      <c r="R7072" s="5"/>
      <c r="S7072" s="5"/>
      <c r="T7072" s="5"/>
      <c r="U7072" s="5"/>
      <c r="V7072" s="5"/>
      <c r="W7072" s="5"/>
      <c r="X7072" s="5"/>
      <c r="Y7072" s="5"/>
      <c r="Z7072" s="5"/>
    </row>
    <row r="7073" spans="1:26" ht="15" x14ac:dyDescent="0.25">
      <c r="A7073" s="4" t="s">
        <v>7071</v>
      </c>
      <c r="B7073" s="4" t="s">
        <v>4550</v>
      </c>
      <c r="C7073" s="2" t="str">
        <f ca="1">IFERROR(__xludf.DUMMYFUNCTION("GOOGLETRANSLATE(A7073,""bn"",""en"")"),"I took IT training")</f>
        <v>I took IT training</v>
      </c>
      <c r="D7073" s="5"/>
      <c r="E7073" s="5"/>
      <c r="F7073" s="5"/>
      <c r="G7073" s="5"/>
      <c r="H7073" s="5"/>
      <c r="I7073" s="5"/>
      <c r="J7073" s="5"/>
      <c r="K7073" s="5"/>
      <c r="L7073" s="5"/>
      <c r="M7073" s="5"/>
      <c r="N7073" s="5"/>
      <c r="O7073" s="5"/>
      <c r="P7073" s="5"/>
      <c r="Q7073" s="5"/>
      <c r="R7073" s="5"/>
      <c r="S7073" s="5"/>
      <c r="T7073" s="5"/>
      <c r="U7073" s="5"/>
      <c r="V7073" s="5"/>
      <c r="W7073" s="5"/>
      <c r="X7073" s="5"/>
      <c r="Y7073" s="5"/>
      <c r="Z7073" s="5"/>
    </row>
    <row r="7074" spans="1:26" ht="15" x14ac:dyDescent="0.25">
      <c r="A7074" s="4" t="s">
        <v>7072</v>
      </c>
      <c r="B7074" s="4" t="s">
        <v>4550</v>
      </c>
      <c r="C7074" s="2" t="str">
        <f ca="1">IFERROR(__xludf.DUMMYFUNCTION("GOOGLETRANSLATE(A7074,""bn"",""en"")"),"I sent money to Rocket")</f>
        <v>I sent money to Rocket</v>
      </c>
      <c r="D7074" s="5"/>
      <c r="E7074" s="5"/>
      <c r="F7074" s="5"/>
      <c r="G7074" s="5"/>
      <c r="H7074" s="5"/>
      <c r="I7074" s="5"/>
      <c r="J7074" s="5"/>
      <c r="K7074" s="5"/>
      <c r="L7074" s="5"/>
      <c r="M7074" s="5"/>
      <c r="N7074" s="5"/>
      <c r="O7074" s="5"/>
      <c r="P7074" s="5"/>
      <c r="Q7074" s="5"/>
      <c r="R7074" s="5"/>
      <c r="S7074" s="5"/>
      <c r="T7074" s="5"/>
      <c r="U7074" s="5"/>
      <c r="V7074" s="5"/>
      <c r="W7074" s="5"/>
      <c r="X7074" s="5"/>
      <c r="Y7074" s="5"/>
      <c r="Z7074" s="5"/>
    </row>
    <row r="7075" spans="1:26" ht="15" x14ac:dyDescent="0.25">
      <c r="A7075" s="4" t="s">
        <v>7073</v>
      </c>
      <c r="B7075" s="4" t="s">
        <v>4550</v>
      </c>
      <c r="C7075" s="2" t="str">
        <f ca="1">IFERROR(__xludf.DUMMYFUNCTION("GOOGLETRANSLATE(A7075,""bn"",""en"")"),"Education was flourishing")</f>
        <v>Education was flourishing</v>
      </c>
      <c r="D7075" s="5"/>
      <c r="E7075" s="5"/>
      <c r="F7075" s="5"/>
      <c r="G7075" s="5"/>
      <c r="H7075" s="5"/>
      <c r="I7075" s="5"/>
      <c r="J7075" s="5"/>
      <c r="K7075" s="5"/>
      <c r="L7075" s="5"/>
      <c r="M7075" s="5"/>
      <c r="N7075" s="5"/>
      <c r="O7075" s="5"/>
      <c r="P7075" s="5"/>
      <c r="Q7075" s="5"/>
      <c r="R7075" s="5"/>
      <c r="S7075" s="5"/>
      <c r="T7075" s="5"/>
      <c r="U7075" s="5"/>
      <c r="V7075" s="5"/>
      <c r="W7075" s="5"/>
      <c r="X7075" s="5"/>
      <c r="Y7075" s="5"/>
      <c r="Z7075" s="5"/>
    </row>
    <row r="7076" spans="1:26" ht="15" x14ac:dyDescent="0.25">
      <c r="A7076" s="4" t="s">
        <v>7074</v>
      </c>
      <c r="B7076" s="4" t="s">
        <v>4550</v>
      </c>
      <c r="C7076" s="2" t="str">
        <f ca="1">IFERROR(__xludf.DUMMYFUNCTION("GOOGLETRANSLATE(A7076,""bn"",""en"")"),"I got the wikipedia information")</f>
        <v>I got the wikipedia information</v>
      </c>
      <c r="D7076" s="5"/>
      <c r="E7076" s="5"/>
      <c r="F7076" s="5"/>
      <c r="G7076" s="5"/>
      <c r="H7076" s="5"/>
      <c r="I7076" s="5"/>
      <c r="J7076" s="5"/>
      <c r="K7076" s="5"/>
      <c r="L7076" s="5"/>
      <c r="M7076" s="5"/>
      <c r="N7076" s="5"/>
      <c r="O7076" s="5"/>
      <c r="P7076" s="5"/>
      <c r="Q7076" s="5"/>
      <c r="R7076" s="5"/>
      <c r="S7076" s="5"/>
      <c r="T7076" s="5"/>
      <c r="U7076" s="5"/>
      <c r="V7076" s="5"/>
      <c r="W7076" s="5"/>
      <c r="X7076" s="5"/>
      <c r="Y7076" s="5"/>
      <c r="Z7076" s="5"/>
    </row>
    <row r="7077" spans="1:26" ht="15" x14ac:dyDescent="0.25">
      <c r="A7077" s="4" t="s">
        <v>7075</v>
      </c>
      <c r="B7077" s="4" t="s">
        <v>4550</v>
      </c>
      <c r="C7077" s="2" t="str">
        <f ca="1">IFERROR(__xludf.DUMMYFUNCTION("GOOGLETRANSLATE(A7077,""bn"",""en"")"),"He was doing math")</f>
        <v>He was doing math</v>
      </c>
      <c r="D7077" s="5"/>
      <c r="E7077" s="5"/>
      <c r="F7077" s="5"/>
      <c r="G7077" s="5"/>
      <c r="H7077" s="5"/>
      <c r="I7077" s="5"/>
      <c r="J7077" s="5"/>
      <c r="K7077" s="5"/>
      <c r="L7077" s="5"/>
      <c r="M7077" s="5"/>
      <c r="N7077" s="5"/>
      <c r="O7077" s="5"/>
      <c r="P7077" s="5"/>
      <c r="Q7077" s="5"/>
      <c r="R7077" s="5"/>
      <c r="S7077" s="5"/>
      <c r="T7077" s="5"/>
      <c r="U7077" s="5"/>
      <c r="V7077" s="5"/>
      <c r="W7077" s="5"/>
      <c r="X7077" s="5"/>
      <c r="Y7077" s="5"/>
      <c r="Z7077" s="5"/>
    </row>
    <row r="7078" spans="1:26" ht="15" x14ac:dyDescent="0.25">
      <c r="A7078" s="4" t="s">
        <v>7076</v>
      </c>
      <c r="B7078" s="4" t="s">
        <v>4550</v>
      </c>
      <c r="C7078" s="2" t="str">
        <f ca="1">IFERROR(__xludf.DUMMYFUNCTION("GOOGLETRANSLATE(A7078,""bn"",""en"")"),"I used the card")</f>
        <v>I used the card</v>
      </c>
      <c r="D7078" s="5"/>
      <c r="E7078" s="5"/>
      <c r="F7078" s="5"/>
      <c r="G7078" s="5"/>
      <c r="H7078" s="5"/>
      <c r="I7078" s="5"/>
      <c r="J7078" s="5"/>
      <c r="K7078" s="5"/>
      <c r="L7078" s="5"/>
      <c r="M7078" s="5"/>
      <c r="N7078" s="5"/>
      <c r="O7078" s="5"/>
      <c r="P7078" s="5"/>
      <c r="Q7078" s="5"/>
      <c r="R7078" s="5"/>
      <c r="S7078" s="5"/>
      <c r="T7078" s="5"/>
      <c r="U7078" s="5"/>
      <c r="V7078" s="5"/>
      <c r="W7078" s="5"/>
      <c r="X7078" s="5"/>
      <c r="Y7078" s="5"/>
      <c r="Z7078" s="5"/>
    </row>
    <row r="7079" spans="1:26" ht="15" x14ac:dyDescent="0.25">
      <c r="A7079" s="4" t="s">
        <v>7077</v>
      </c>
      <c r="B7079" s="4" t="s">
        <v>4550</v>
      </c>
      <c r="C7079" s="2" t="str">
        <f ca="1">IFERROR(__xludf.DUMMYFUNCTION("GOOGLETRANSLATE(A7079,""bn"",""en"")"),"I was listening to music on the internet")</f>
        <v>I was listening to music on the internet</v>
      </c>
      <c r="D7079" s="5"/>
      <c r="E7079" s="5"/>
      <c r="F7079" s="5"/>
      <c r="G7079" s="5"/>
      <c r="H7079" s="5"/>
      <c r="I7079" s="5"/>
      <c r="J7079" s="5"/>
      <c r="K7079" s="5"/>
      <c r="L7079" s="5"/>
      <c r="M7079" s="5"/>
      <c r="N7079" s="5"/>
      <c r="O7079" s="5"/>
      <c r="P7079" s="5"/>
      <c r="Q7079" s="5"/>
      <c r="R7079" s="5"/>
      <c r="S7079" s="5"/>
      <c r="T7079" s="5"/>
      <c r="U7079" s="5"/>
      <c r="V7079" s="5"/>
      <c r="W7079" s="5"/>
      <c r="X7079" s="5"/>
      <c r="Y7079" s="5"/>
      <c r="Z7079" s="5"/>
    </row>
    <row r="7080" spans="1:26" ht="15" x14ac:dyDescent="0.25">
      <c r="A7080" s="4" t="s">
        <v>7078</v>
      </c>
      <c r="B7080" s="4" t="s">
        <v>4550</v>
      </c>
      <c r="C7080" s="2" t="str">
        <f ca="1">IFERROR(__xludf.DUMMYFUNCTION("GOOGLETRANSLATE(A7080,""bn"",""en"")"),"I participated in sports")</f>
        <v>I participated in sports</v>
      </c>
      <c r="D7080" s="5"/>
      <c r="E7080" s="5"/>
      <c r="F7080" s="5"/>
      <c r="G7080" s="5"/>
      <c r="H7080" s="5"/>
      <c r="I7080" s="5"/>
      <c r="J7080" s="5"/>
      <c r="K7080" s="5"/>
      <c r="L7080" s="5"/>
      <c r="M7080" s="5"/>
      <c r="N7080" s="5"/>
      <c r="O7080" s="5"/>
      <c r="P7080" s="5"/>
      <c r="Q7080" s="5"/>
      <c r="R7080" s="5"/>
      <c r="S7080" s="5"/>
      <c r="T7080" s="5"/>
      <c r="U7080" s="5"/>
      <c r="V7080" s="5"/>
      <c r="W7080" s="5"/>
      <c r="X7080" s="5"/>
      <c r="Y7080" s="5"/>
      <c r="Z7080" s="5"/>
    </row>
    <row r="7081" spans="1:26" ht="15" x14ac:dyDescent="0.25">
      <c r="A7081" s="4" t="s">
        <v>7079</v>
      </c>
      <c r="B7081" s="4" t="s">
        <v>4550</v>
      </c>
      <c r="C7081" s="2" t="str">
        <f ca="1">IFERROR(__xludf.DUMMYFUNCTION("GOOGLETRANSLATE(A7081,""bn"",""en"")"),"Politics developed")</f>
        <v>Politics developed</v>
      </c>
      <c r="D7081" s="5"/>
      <c r="E7081" s="5"/>
      <c r="F7081" s="5"/>
      <c r="G7081" s="5"/>
      <c r="H7081" s="5"/>
      <c r="I7081" s="5"/>
      <c r="J7081" s="5"/>
      <c r="K7081" s="5"/>
      <c r="L7081" s="5"/>
      <c r="M7081" s="5"/>
      <c r="N7081" s="5"/>
      <c r="O7081" s="5"/>
      <c r="P7081" s="5"/>
      <c r="Q7081" s="5"/>
      <c r="R7081" s="5"/>
      <c r="S7081" s="5"/>
      <c r="T7081" s="5"/>
      <c r="U7081" s="5"/>
      <c r="V7081" s="5"/>
      <c r="W7081" s="5"/>
      <c r="X7081" s="5"/>
      <c r="Y7081" s="5"/>
      <c r="Z7081" s="5"/>
    </row>
    <row r="7082" spans="1:26" ht="15" x14ac:dyDescent="0.25">
      <c r="A7082" s="4" t="s">
        <v>7080</v>
      </c>
      <c r="B7082" s="4" t="s">
        <v>4550</v>
      </c>
      <c r="C7082" s="2" t="str">
        <f ca="1">IFERROR(__xludf.DUMMYFUNCTION("GOOGLETRANSLATE(A7082,""bn"",""en"")"),"I used wifi")</f>
        <v>I used wifi</v>
      </c>
      <c r="D7082" s="5"/>
      <c r="E7082" s="5"/>
      <c r="F7082" s="5"/>
      <c r="G7082" s="5"/>
      <c r="H7082" s="5"/>
      <c r="I7082" s="5"/>
      <c r="J7082" s="5"/>
      <c r="K7082" s="5"/>
      <c r="L7082" s="5"/>
      <c r="M7082" s="5"/>
      <c r="N7082" s="5"/>
      <c r="O7082" s="5"/>
      <c r="P7082" s="5"/>
      <c r="Q7082" s="5"/>
      <c r="R7082" s="5"/>
      <c r="S7082" s="5"/>
      <c r="T7082" s="5"/>
      <c r="U7082" s="5"/>
      <c r="V7082" s="5"/>
      <c r="W7082" s="5"/>
      <c r="X7082" s="5"/>
      <c r="Y7082" s="5"/>
      <c r="Z7082" s="5"/>
    </row>
    <row r="7083" spans="1:26" ht="15" x14ac:dyDescent="0.25">
      <c r="A7083" s="4" t="s">
        <v>7081</v>
      </c>
      <c r="B7083" s="4" t="s">
        <v>4550</v>
      </c>
      <c r="C7083" s="2" t="str">
        <f ca="1">IFERROR(__xludf.DUMMYFUNCTION("GOOGLETRANSLATE(A7083,""bn"",""en"")"),"The teachers were doing research")</f>
        <v>The teachers were doing research</v>
      </c>
      <c r="D7083" s="5"/>
      <c r="E7083" s="5"/>
      <c r="F7083" s="5"/>
      <c r="G7083" s="5"/>
      <c r="H7083" s="5"/>
      <c r="I7083" s="5"/>
      <c r="J7083" s="5"/>
      <c r="K7083" s="5"/>
      <c r="L7083" s="5"/>
      <c r="M7083" s="5"/>
      <c r="N7083" s="5"/>
      <c r="O7083" s="5"/>
      <c r="P7083" s="5"/>
      <c r="Q7083" s="5"/>
      <c r="R7083" s="5"/>
      <c r="S7083" s="5"/>
      <c r="T7083" s="5"/>
      <c r="U7083" s="5"/>
      <c r="V7083" s="5"/>
      <c r="W7083" s="5"/>
      <c r="X7083" s="5"/>
      <c r="Y7083" s="5"/>
      <c r="Z7083" s="5"/>
    </row>
    <row r="7084" spans="1:26" ht="15" x14ac:dyDescent="0.25">
      <c r="A7084" s="4" t="s">
        <v>7082</v>
      </c>
      <c r="B7084" s="4" t="s">
        <v>4550</v>
      </c>
      <c r="C7084" s="2" t="str">
        <f ca="1">IFERROR(__xludf.DUMMYFUNCTION("GOOGLETRANSLATE(A7084,""bn"",""en"")"),"The students were working hard")</f>
        <v>The students were working hard</v>
      </c>
      <c r="D7084" s="5"/>
      <c r="E7084" s="5"/>
      <c r="F7084" s="5"/>
      <c r="G7084" s="5"/>
      <c r="H7084" s="5"/>
      <c r="I7084" s="5"/>
      <c r="J7084" s="5"/>
      <c r="K7084" s="5"/>
      <c r="L7084" s="5"/>
      <c r="M7084" s="5"/>
      <c r="N7084" s="5"/>
      <c r="O7084" s="5"/>
      <c r="P7084" s="5"/>
      <c r="Q7084" s="5"/>
      <c r="R7084" s="5"/>
      <c r="S7084" s="5"/>
      <c r="T7084" s="5"/>
      <c r="U7084" s="5"/>
      <c r="V7084" s="5"/>
      <c r="W7084" s="5"/>
      <c r="X7084" s="5"/>
      <c r="Y7084" s="5"/>
      <c r="Z7084" s="5"/>
    </row>
    <row r="7085" spans="1:26" ht="15" x14ac:dyDescent="0.25">
      <c r="A7085" s="4" t="s">
        <v>7083</v>
      </c>
      <c r="B7085" s="4" t="s">
        <v>4550</v>
      </c>
      <c r="C7085" s="2" t="str">
        <f ca="1">IFERROR(__xludf.DUMMYFUNCTION("GOOGLETRANSLATE(A7085,""bn"",""en"")"),"I was using ebooks")</f>
        <v>I was using ebooks</v>
      </c>
      <c r="D7085" s="5"/>
      <c r="E7085" s="5"/>
      <c r="F7085" s="5"/>
      <c r="G7085" s="5"/>
      <c r="H7085" s="5"/>
      <c r="I7085" s="5"/>
      <c r="J7085" s="5"/>
      <c r="K7085" s="5"/>
      <c r="L7085" s="5"/>
      <c r="M7085" s="5"/>
      <c r="N7085" s="5"/>
      <c r="O7085" s="5"/>
      <c r="P7085" s="5"/>
      <c r="Q7085" s="5"/>
      <c r="R7085" s="5"/>
      <c r="S7085" s="5"/>
      <c r="T7085" s="5"/>
      <c r="U7085" s="5"/>
      <c r="V7085" s="5"/>
      <c r="W7085" s="5"/>
      <c r="X7085" s="5"/>
      <c r="Y7085" s="5"/>
      <c r="Z7085" s="5"/>
    </row>
    <row r="7086" spans="1:26" ht="15" x14ac:dyDescent="0.25">
      <c r="A7086" s="4" t="s">
        <v>7084</v>
      </c>
      <c r="B7086" s="4" t="s">
        <v>4550</v>
      </c>
      <c r="C7086" s="2" t="str">
        <f ca="1">IFERROR(__xludf.DUMMYFUNCTION("GOOGLETRANSLATE(A7086,""bn"",""en"")"),"I was sending the video")</f>
        <v>I was sending the video</v>
      </c>
      <c r="D7086" s="5"/>
      <c r="E7086" s="5"/>
      <c r="F7086" s="5"/>
      <c r="G7086" s="5"/>
      <c r="H7086" s="5"/>
      <c r="I7086" s="5"/>
      <c r="J7086" s="5"/>
      <c r="K7086" s="5"/>
      <c r="L7086" s="5"/>
      <c r="M7086" s="5"/>
      <c r="N7086" s="5"/>
      <c r="O7086" s="5"/>
      <c r="P7086" s="5"/>
      <c r="Q7086" s="5"/>
      <c r="R7086" s="5"/>
      <c r="S7086" s="5"/>
      <c r="T7086" s="5"/>
      <c r="U7086" s="5"/>
      <c r="V7086" s="5"/>
      <c r="W7086" s="5"/>
      <c r="X7086" s="5"/>
      <c r="Y7086" s="5"/>
      <c r="Z7086" s="5"/>
    </row>
    <row r="7087" spans="1:26" ht="15" x14ac:dyDescent="0.25">
      <c r="A7087" s="4" t="s">
        <v>7085</v>
      </c>
      <c r="B7087" s="4" t="s">
        <v>4550</v>
      </c>
      <c r="C7087" s="2" t="str">
        <f ca="1">IFERROR(__xludf.DUMMYFUNCTION("GOOGLETRANSLATE(A7087,""bn"",""en"")"),"Politics had changed")</f>
        <v>Politics had changed</v>
      </c>
      <c r="D7087" s="5"/>
      <c r="E7087" s="5"/>
      <c r="F7087" s="5"/>
      <c r="G7087" s="5"/>
      <c r="H7087" s="5"/>
      <c r="I7087" s="5"/>
      <c r="J7087" s="5"/>
      <c r="K7087" s="5"/>
      <c r="L7087" s="5"/>
      <c r="M7087" s="5"/>
      <c r="N7087" s="5"/>
      <c r="O7087" s="5"/>
      <c r="P7087" s="5"/>
      <c r="Q7087" s="5"/>
      <c r="R7087" s="5"/>
      <c r="S7087" s="5"/>
      <c r="T7087" s="5"/>
      <c r="U7087" s="5"/>
      <c r="V7087" s="5"/>
      <c r="W7087" s="5"/>
      <c r="X7087" s="5"/>
      <c r="Y7087" s="5"/>
      <c r="Z7087" s="5"/>
    </row>
    <row r="7088" spans="1:26" ht="15" x14ac:dyDescent="0.25">
      <c r="A7088" s="4" t="s">
        <v>7086</v>
      </c>
      <c r="B7088" s="4" t="s">
        <v>4550</v>
      </c>
      <c r="C7088" s="2" t="str">
        <f ca="1">IFERROR(__xludf.DUMMYFUNCTION("GOOGLETRANSLATE(A7088,""bn"",""en"")"),"I made a sound")</f>
        <v>I made a sound</v>
      </c>
      <c r="D7088" s="5"/>
      <c r="E7088" s="5"/>
      <c r="F7088" s="5"/>
      <c r="G7088" s="5"/>
      <c r="H7088" s="5"/>
      <c r="I7088" s="5"/>
      <c r="J7088" s="5"/>
      <c r="K7088" s="5"/>
      <c r="L7088" s="5"/>
      <c r="M7088" s="5"/>
      <c r="N7088" s="5"/>
      <c r="O7088" s="5"/>
      <c r="P7088" s="5"/>
      <c r="Q7088" s="5"/>
      <c r="R7088" s="5"/>
      <c r="S7088" s="5"/>
      <c r="T7088" s="5"/>
      <c r="U7088" s="5"/>
      <c r="V7088" s="5"/>
      <c r="W7088" s="5"/>
      <c r="X7088" s="5"/>
      <c r="Y7088" s="5"/>
      <c r="Z7088" s="5"/>
    </row>
    <row r="7089" spans="1:26" ht="15" x14ac:dyDescent="0.25">
      <c r="A7089" s="4" t="s">
        <v>7087</v>
      </c>
      <c r="B7089" s="4" t="s">
        <v>4550</v>
      </c>
      <c r="C7089" s="2" t="str">
        <f ca="1">IFERROR(__xludf.DUMMYFUNCTION("GOOGLETRANSLATE(A7089,""bn"",""en"")"),"Everyone went to school")</f>
        <v>Everyone went to school</v>
      </c>
      <c r="D7089" s="5"/>
      <c r="E7089" s="5"/>
      <c r="F7089" s="5"/>
      <c r="G7089" s="5"/>
      <c r="H7089" s="5"/>
      <c r="I7089" s="5"/>
      <c r="J7089" s="5"/>
      <c r="K7089" s="5"/>
      <c r="L7089" s="5"/>
      <c r="M7089" s="5"/>
      <c r="N7089" s="5"/>
      <c r="O7089" s="5"/>
      <c r="P7089" s="5"/>
      <c r="Q7089" s="5"/>
      <c r="R7089" s="5"/>
      <c r="S7089" s="5"/>
      <c r="T7089" s="5"/>
      <c r="U7089" s="5"/>
      <c r="V7089" s="5"/>
      <c r="W7089" s="5"/>
      <c r="X7089" s="5"/>
      <c r="Y7089" s="5"/>
      <c r="Z7089" s="5"/>
    </row>
    <row r="7090" spans="1:26" ht="15" x14ac:dyDescent="0.25">
      <c r="A7090" s="4" t="s">
        <v>7088</v>
      </c>
      <c r="B7090" s="4" t="s">
        <v>4550</v>
      </c>
      <c r="C7090" s="2" t="str">
        <f ca="1">IFERROR(__xludf.DUMMYFUNCTION("GOOGLETRANSLATE(A7090,""bn"",""en"")"),"I sent the money")</f>
        <v>I sent the money</v>
      </c>
      <c r="D7090" s="5"/>
      <c r="E7090" s="5"/>
      <c r="F7090" s="5"/>
      <c r="G7090" s="5"/>
      <c r="H7090" s="5"/>
      <c r="I7090" s="5"/>
      <c r="J7090" s="5"/>
      <c r="K7090" s="5"/>
      <c r="L7090" s="5"/>
      <c r="M7090" s="5"/>
      <c r="N7090" s="5"/>
      <c r="O7090" s="5"/>
      <c r="P7090" s="5"/>
      <c r="Q7090" s="5"/>
      <c r="R7090" s="5"/>
      <c r="S7090" s="5"/>
      <c r="T7090" s="5"/>
      <c r="U7090" s="5"/>
      <c r="V7090" s="5"/>
      <c r="W7090" s="5"/>
      <c r="X7090" s="5"/>
      <c r="Y7090" s="5"/>
      <c r="Z7090" s="5"/>
    </row>
    <row r="7091" spans="1:26" ht="15" x14ac:dyDescent="0.25">
      <c r="A7091" s="4" t="s">
        <v>7089</v>
      </c>
      <c r="B7091" s="4" t="s">
        <v>4550</v>
      </c>
      <c r="C7091" s="2" t="str">
        <f ca="1">IFERROR(__xludf.DUMMYFUNCTION("GOOGLETRANSLATE(A7091,""bn"",""en"")"),"Sania plays badminton")</f>
        <v>Sania plays badminton</v>
      </c>
      <c r="D7091" s="5"/>
      <c r="E7091" s="5"/>
      <c r="F7091" s="5"/>
      <c r="G7091" s="5"/>
      <c r="H7091" s="5"/>
      <c r="I7091" s="5"/>
      <c r="J7091" s="5"/>
      <c r="K7091" s="5"/>
      <c r="L7091" s="5"/>
      <c r="M7091" s="5"/>
      <c r="N7091" s="5"/>
      <c r="O7091" s="5"/>
      <c r="P7091" s="5"/>
      <c r="Q7091" s="5"/>
      <c r="R7091" s="5"/>
      <c r="S7091" s="5"/>
      <c r="T7091" s="5"/>
      <c r="U7091" s="5"/>
      <c r="V7091" s="5"/>
      <c r="W7091" s="5"/>
      <c r="X7091" s="5"/>
      <c r="Y7091" s="5"/>
      <c r="Z7091" s="5"/>
    </row>
    <row r="7092" spans="1:26" ht="15" x14ac:dyDescent="0.25">
      <c r="A7092" s="4" t="s">
        <v>7090</v>
      </c>
      <c r="B7092" s="4" t="s">
        <v>4550</v>
      </c>
      <c r="C7092" s="2" t="str">
        <f ca="1">IFERROR(__xludf.DUMMYFUNCTION("GOOGLETRANSLATE(A7092,""bn"",""en"")"),"Exports were down")</f>
        <v>Exports were down</v>
      </c>
      <c r="D7092" s="5"/>
      <c r="E7092" s="5"/>
      <c r="F7092" s="5"/>
      <c r="G7092" s="5"/>
      <c r="H7092" s="5"/>
      <c r="I7092" s="5"/>
      <c r="J7092" s="5"/>
      <c r="K7092" s="5"/>
      <c r="L7092" s="5"/>
      <c r="M7092" s="5"/>
      <c r="N7092" s="5"/>
      <c r="O7092" s="5"/>
      <c r="P7092" s="5"/>
      <c r="Q7092" s="5"/>
      <c r="R7092" s="5"/>
      <c r="S7092" s="5"/>
      <c r="T7092" s="5"/>
      <c r="U7092" s="5"/>
      <c r="V7092" s="5"/>
      <c r="W7092" s="5"/>
      <c r="X7092" s="5"/>
      <c r="Y7092" s="5"/>
      <c r="Z7092" s="5"/>
    </row>
    <row r="7093" spans="1:26" ht="15" x14ac:dyDescent="0.25">
      <c r="A7093" s="4" t="s">
        <v>7091</v>
      </c>
      <c r="B7093" s="4" t="s">
        <v>4550</v>
      </c>
      <c r="C7093" s="2" t="str">
        <f ca="1">IFERROR(__xludf.DUMMYFUNCTION("GOOGLETRANSLATE(A7093,""bn"",""en"")"),"Voted effectively")</f>
        <v>Voted effectively</v>
      </c>
      <c r="D7093" s="5"/>
      <c r="E7093" s="5"/>
      <c r="F7093" s="5"/>
      <c r="G7093" s="5"/>
      <c r="H7093" s="5"/>
      <c r="I7093" s="5"/>
      <c r="J7093" s="5"/>
      <c r="K7093" s="5"/>
      <c r="L7093" s="5"/>
      <c r="M7093" s="5"/>
      <c r="N7093" s="5"/>
      <c r="O7093" s="5"/>
      <c r="P7093" s="5"/>
      <c r="Q7093" s="5"/>
      <c r="R7093" s="5"/>
      <c r="S7093" s="5"/>
      <c r="T7093" s="5"/>
      <c r="U7093" s="5"/>
      <c r="V7093" s="5"/>
      <c r="W7093" s="5"/>
      <c r="X7093" s="5"/>
      <c r="Y7093" s="5"/>
      <c r="Z7093" s="5"/>
    </row>
    <row r="7094" spans="1:26" ht="15" x14ac:dyDescent="0.25">
      <c r="A7094" s="4" t="s">
        <v>7092</v>
      </c>
      <c r="B7094" s="4" t="s">
        <v>4550</v>
      </c>
      <c r="C7094" s="2" t="str">
        <f ca="1">IFERROR(__xludf.DUMMYFUNCTION("GOOGLETRANSLATE(A7094,""bn"",""en"")"),"I was skyriding")</f>
        <v>I was skyriding</v>
      </c>
      <c r="D7094" s="5"/>
      <c r="E7094" s="5"/>
      <c r="F7094" s="5"/>
      <c r="G7094" s="5"/>
      <c r="H7094" s="5"/>
      <c r="I7094" s="5"/>
      <c r="J7094" s="5"/>
      <c r="K7094" s="5"/>
      <c r="L7094" s="5"/>
      <c r="M7094" s="5"/>
      <c r="N7094" s="5"/>
      <c r="O7094" s="5"/>
      <c r="P7094" s="5"/>
      <c r="Q7094" s="5"/>
      <c r="R7094" s="5"/>
      <c r="S7094" s="5"/>
      <c r="T7094" s="5"/>
      <c r="U7094" s="5"/>
      <c r="V7094" s="5"/>
      <c r="W7094" s="5"/>
      <c r="X7094" s="5"/>
      <c r="Y7094" s="5"/>
      <c r="Z7094" s="5"/>
    </row>
    <row r="7095" spans="1:26" ht="15" x14ac:dyDescent="0.25">
      <c r="A7095" s="4" t="s">
        <v>7093</v>
      </c>
      <c r="B7095" s="4" t="s">
        <v>4550</v>
      </c>
      <c r="C7095" s="2" t="str">
        <f ca="1">IFERROR(__xludf.DUMMYFUNCTION("GOOGLETRANSLATE(A7095,""bn"",""en"")"),"The bank customer is genuine")</f>
        <v>The bank customer is genuine</v>
      </c>
      <c r="D7095" s="5"/>
      <c r="E7095" s="5"/>
      <c r="F7095" s="5"/>
      <c r="G7095" s="5"/>
      <c r="H7095" s="5"/>
      <c r="I7095" s="5"/>
      <c r="J7095" s="5"/>
      <c r="K7095" s="5"/>
      <c r="L7095" s="5"/>
      <c r="M7095" s="5"/>
      <c r="N7095" s="5"/>
      <c r="O7095" s="5"/>
      <c r="P7095" s="5"/>
      <c r="Q7095" s="5"/>
      <c r="R7095" s="5"/>
      <c r="S7095" s="5"/>
      <c r="T7095" s="5"/>
      <c r="U7095" s="5"/>
      <c r="V7095" s="5"/>
      <c r="W7095" s="5"/>
      <c r="X7095" s="5"/>
      <c r="Y7095" s="5"/>
      <c r="Z7095" s="5"/>
    </row>
    <row r="7096" spans="1:26" ht="15" x14ac:dyDescent="0.25">
      <c r="A7096" s="4" t="s">
        <v>7094</v>
      </c>
      <c r="B7096" s="4" t="s">
        <v>4550</v>
      </c>
      <c r="C7096" s="2" t="str">
        <f ca="1">IFERROR(__xludf.DUMMYFUNCTION("GOOGLETRANSLATE(A7096,""bn"",""en"")"),"Gave food to travelers")</f>
        <v>Gave food to travelers</v>
      </c>
      <c r="D7096" s="5"/>
      <c r="E7096" s="5"/>
      <c r="F7096" s="5"/>
      <c r="G7096" s="5"/>
      <c r="H7096" s="5"/>
      <c r="I7096" s="5"/>
      <c r="J7096" s="5"/>
      <c r="K7096" s="5"/>
      <c r="L7096" s="5"/>
      <c r="M7096" s="5"/>
      <c r="N7096" s="5"/>
      <c r="O7096" s="5"/>
      <c r="P7096" s="5"/>
      <c r="Q7096" s="5"/>
      <c r="R7096" s="5"/>
      <c r="S7096" s="5"/>
      <c r="T7096" s="5"/>
      <c r="U7096" s="5"/>
      <c r="V7096" s="5"/>
      <c r="W7096" s="5"/>
      <c r="X7096" s="5"/>
      <c r="Y7096" s="5"/>
      <c r="Z7096" s="5"/>
    </row>
    <row r="7097" spans="1:26" ht="15" x14ac:dyDescent="0.25">
      <c r="A7097" s="4" t="s">
        <v>7095</v>
      </c>
      <c r="B7097" s="4" t="s">
        <v>4550</v>
      </c>
      <c r="C7097" s="2" t="str">
        <f ca="1">IFERROR(__xludf.DUMMYFUNCTION("GOOGLETRANSLATE(A7097,""bn"",""en"")"),"I created an e-passport")</f>
        <v>I created an e-passport</v>
      </c>
      <c r="D7097" s="5"/>
      <c r="E7097" s="5"/>
      <c r="F7097" s="5"/>
      <c r="G7097" s="5"/>
      <c r="H7097" s="5"/>
      <c r="I7097" s="5"/>
      <c r="J7097" s="5"/>
      <c r="K7097" s="5"/>
      <c r="L7097" s="5"/>
      <c r="M7097" s="5"/>
      <c r="N7097" s="5"/>
      <c r="O7097" s="5"/>
      <c r="P7097" s="5"/>
      <c r="Q7097" s="5"/>
      <c r="R7097" s="5"/>
      <c r="S7097" s="5"/>
      <c r="T7097" s="5"/>
      <c r="U7097" s="5"/>
      <c r="V7097" s="5"/>
      <c r="W7097" s="5"/>
      <c r="X7097" s="5"/>
      <c r="Y7097" s="5"/>
      <c r="Z7097" s="5"/>
    </row>
    <row r="7098" spans="1:26" ht="15" x14ac:dyDescent="0.25">
      <c r="A7098" s="4" t="s">
        <v>7096</v>
      </c>
      <c r="B7098" s="4" t="s">
        <v>4550</v>
      </c>
      <c r="C7098" s="2" t="str">
        <f ca="1">IFERROR(__xludf.DUMMYFUNCTION("GOOGLETRANSLATE(A7098,""bn"",""en"")"),"There was snow in Kanchenjunga")</f>
        <v>There was snow in Kanchenjunga</v>
      </c>
      <c r="D7098" s="5"/>
      <c r="E7098" s="5"/>
      <c r="F7098" s="5"/>
      <c r="G7098" s="5"/>
      <c r="H7098" s="5"/>
      <c r="I7098" s="5"/>
      <c r="J7098" s="5"/>
      <c r="K7098" s="5"/>
      <c r="L7098" s="5"/>
      <c r="M7098" s="5"/>
      <c r="N7098" s="5"/>
      <c r="O7098" s="5"/>
      <c r="P7098" s="5"/>
      <c r="Q7098" s="5"/>
      <c r="R7098" s="5"/>
      <c r="S7098" s="5"/>
      <c r="T7098" s="5"/>
      <c r="U7098" s="5"/>
      <c r="V7098" s="5"/>
      <c r="W7098" s="5"/>
      <c r="X7098" s="5"/>
      <c r="Y7098" s="5"/>
      <c r="Z7098" s="5"/>
    </row>
    <row r="7099" spans="1:26" ht="15" x14ac:dyDescent="0.25">
      <c r="A7099" s="4" t="s">
        <v>7097</v>
      </c>
      <c r="B7099" s="4" t="s">
        <v>4550</v>
      </c>
      <c r="C7099" s="2" t="str">
        <f ca="1">IFERROR(__xludf.DUMMYFUNCTION("GOOGLETRANSLATE(A7099,""bn"",""en"")"),"You write notes")</f>
        <v>You write notes</v>
      </c>
      <c r="D7099" s="5"/>
      <c r="E7099" s="5"/>
      <c r="F7099" s="5"/>
      <c r="G7099" s="5"/>
      <c r="H7099" s="5"/>
      <c r="I7099" s="5"/>
      <c r="J7099" s="5"/>
      <c r="K7099" s="5"/>
      <c r="L7099" s="5"/>
      <c r="M7099" s="5"/>
      <c r="N7099" s="5"/>
      <c r="O7099" s="5"/>
      <c r="P7099" s="5"/>
      <c r="Q7099" s="5"/>
      <c r="R7099" s="5"/>
      <c r="S7099" s="5"/>
      <c r="T7099" s="5"/>
      <c r="U7099" s="5"/>
      <c r="V7099" s="5"/>
      <c r="W7099" s="5"/>
      <c r="X7099" s="5"/>
      <c r="Y7099" s="5"/>
      <c r="Z7099" s="5"/>
    </row>
    <row r="7100" spans="1:26" ht="15" x14ac:dyDescent="0.25">
      <c r="A7100" s="4" t="s">
        <v>7098</v>
      </c>
      <c r="B7100" s="4" t="s">
        <v>4550</v>
      </c>
      <c r="C7100" s="2" t="str">
        <f ca="1">IFERROR(__xludf.DUMMYFUNCTION("GOOGLETRANSLATE(A7100,""bn"",""en"")"),"I sent the information on the Internet")</f>
        <v>I sent the information on the Internet</v>
      </c>
      <c r="D7100" s="5"/>
      <c r="E7100" s="5"/>
      <c r="F7100" s="5"/>
      <c r="G7100" s="5"/>
      <c r="H7100" s="5"/>
      <c r="I7100" s="5"/>
      <c r="J7100" s="5"/>
      <c r="K7100" s="5"/>
      <c r="L7100" s="5"/>
      <c r="M7100" s="5"/>
      <c r="N7100" s="5"/>
      <c r="O7100" s="5"/>
      <c r="P7100" s="5"/>
      <c r="Q7100" s="5"/>
      <c r="R7100" s="5"/>
      <c r="S7100" s="5"/>
      <c r="T7100" s="5"/>
      <c r="U7100" s="5"/>
      <c r="V7100" s="5"/>
      <c r="W7100" s="5"/>
      <c r="X7100" s="5"/>
      <c r="Y7100" s="5"/>
      <c r="Z7100" s="5"/>
    </row>
    <row r="7101" spans="1:26" ht="15" x14ac:dyDescent="0.25">
      <c r="A7101" s="4" t="s">
        <v>7099</v>
      </c>
      <c r="B7101" s="4" t="s">
        <v>4550</v>
      </c>
      <c r="C7101" s="2" t="str">
        <f ca="1">IFERROR(__xludf.DUMMYFUNCTION("GOOGLETRANSLATE(A7101,""bn"",""en"")"),"They were succeeding")</f>
        <v>They were succeeding</v>
      </c>
      <c r="D7101" s="5"/>
      <c r="E7101" s="5"/>
      <c r="F7101" s="5"/>
      <c r="G7101" s="5"/>
      <c r="H7101" s="5"/>
      <c r="I7101" s="5"/>
      <c r="J7101" s="5"/>
      <c r="K7101" s="5"/>
      <c r="L7101" s="5"/>
      <c r="M7101" s="5"/>
      <c r="N7101" s="5"/>
      <c r="O7101" s="5"/>
      <c r="P7101" s="5"/>
      <c r="Q7101" s="5"/>
      <c r="R7101" s="5"/>
      <c r="S7101" s="5"/>
      <c r="T7101" s="5"/>
      <c r="U7101" s="5"/>
      <c r="V7101" s="5"/>
      <c r="W7101" s="5"/>
      <c r="X7101" s="5"/>
      <c r="Y7101" s="5"/>
      <c r="Z7101" s="5"/>
    </row>
    <row r="7102" spans="1:26" ht="15" x14ac:dyDescent="0.25">
      <c r="A7102" s="4" t="s">
        <v>7100</v>
      </c>
      <c r="B7102" s="4" t="s">
        <v>4550</v>
      </c>
      <c r="C7102" s="2" t="str">
        <f ca="1">IFERROR(__xludf.DUMMYFUNCTION("GOOGLETRANSLATE(A7102,""bn"",""en"")"),"Waste of time")</f>
        <v>Waste of time</v>
      </c>
      <c r="D7102" s="5"/>
      <c r="E7102" s="5"/>
      <c r="F7102" s="5"/>
      <c r="G7102" s="5"/>
      <c r="H7102" s="5"/>
      <c r="I7102" s="5"/>
      <c r="J7102" s="5"/>
      <c r="K7102" s="5"/>
      <c r="L7102" s="5"/>
      <c r="M7102" s="5"/>
      <c r="N7102" s="5"/>
      <c r="O7102" s="5"/>
      <c r="P7102" s="5"/>
      <c r="Q7102" s="5"/>
      <c r="R7102" s="5"/>
      <c r="S7102" s="5"/>
      <c r="T7102" s="5"/>
      <c r="U7102" s="5"/>
      <c r="V7102" s="5"/>
      <c r="W7102" s="5"/>
      <c r="X7102" s="5"/>
      <c r="Y7102" s="5"/>
      <c r="Z7102" s="5"/>
    </row>
    <row r="7103" spans="1:26" ht="15" x14ac:dyDescent="0.25">
      <c r="A7103" s="4" t="s">
        <v>7101</v>
      </c>
      <c r="B7103" s="4" t="s">
        <v>4550</v>
      </c>
      <c r="C7103" s="2" t="str">
        <f ca="1">IFERROR(__xludf.DUMMYFUNCTION("GOOGLETRANSLATE(A7103,""bn"",""en"")"),"I was living a disciplined life")</f>
        <v>I was living a disciplined life</v>
      </c>
      <c r="D7103" s="5"/>
      <c r="E7103" s="5"/>
      <c r="F7103" s="5"/>
      <c r="G7103" s="5"/>
      <c r="H7103" s="5"/>
      <c r="I7103" s="5"/>
      <c r="J7103" s="5"/>
      <c r="K7103" s="5"/>
      <c r="L7103" s="5"/>
      <c r="M7103" s="5"/>
      <c r="N7103" s="5"/>
      <c r="O7103" s="5"/>
      <c r="P7103" s="5"/>
      <c r="Q7103" s="5"/>
      <c r="R7103" s="5"/>
      <c r="S7103" s="5"/>
      <c r="T7103" s="5"/>
      <c r="U7103" s="5"/>
      <c r="V7103" s="5"/>
      <c r="W7103" s="5"/>
      <c r="X7103" s="5"/>
      <c r="Y7103" s="5"/>
      <c r="Z7103" s="5"/>
    </row>
    <row r="7104" spans="1:26" ht="15" x14ac:dyDescent="0.25">
      <c r="A7104" s="4" t="s">
        <v>7102</v>
      </c>
      <c r="B7104" s="4" t="s">
        <v>4550</v>
      </c>
      <c r="C7104" s="2" t="str">
        <f ca="1">IFERROR(__xludf.DUMMYFUNCTION("GOOGLETRANSLATE(A7104,""bn"",""en"")"),"had traveled by sea")</f>
        <v>had traveled by sea</v>
      </c>
      <c r="D7104" s="5"/>
      <c r="E7104" s="5"/>
      <c r="F7104" s="5"/>
      <c r="G7104" s="5"/>
      <c r="H7104" s="5"/>
      <c r="I7104" s="5"/>
      <c r="J7104" s="5"/>
      <c r="K7104" s="5"/>
      <c r="L7104" s="5"/>
      <c r="M7104" s="5"/>
      <c r="N7104" s="5"/>
      <c r="O7104" s="5"/>
      <c r="P7104" s="5"/>
      <c r="Q7104" s="5"/>
      <c r="R7104" s="5"/>
      <c r="S7104" s="5"/>
      <c r="T7104" s="5"/>
      <c r="U7104" s="5"/>
      <c r="V7104" s="5"/>
      <c r="W7104" s="5"/>
      <c r="X7104" s="5"/>
      <c r="Y7104" s="5"/>
      <c r="Z7104" s="5"/>
    </row>
    <row r="7105" spans="1:26" ht="15" x14ac:dyDescent="0.25">
      <c r="A7105" s="4" t="s">
        <v>7103</v>
      </c>
      <c r="B7105" s="4" t="s">
        <v>4550</v>
      </c>
      <c r="C7105" s="2" t="str">
        <f ca="1">IFERROR(__xludf.DUMMYFUNCTION("GOOGLETRANSLATE(A7105,""bn"",""en"")"),"He wrote books")</f>
        <v>He wrote books</v>
      </c>
      <c r="D7105" s="5"/>
      <c r="E7105" s="5"/>
      <c r="F7105" s="5"/>
      <c r="G7105" s="5"/>
      <c r="H7105" s="5"/>
      <c r="I7105" s="5"/>
      <c r="J7105" s="5"/>
      <c r="K7105" s="5"/>
      <c r="L7105" s="5"/>
      <c r="M7105" s="5"/>
      <c r="N7105" s="5"/>
      <c r="O7105" s="5"/>
      <c r="P7105" s="5"/>
      <c r="Q7105" s="5"/>
      <c r="R7105" s="5"/>
      <c r="S7105" s="5"/>
      <c r="T7105" s="5"/>
      <c r="U7105" s="5"/>
      <c r="V7105" s="5"/>
      <c r="W7105" s="5"/>
      <c r="X7105" s="5"/>
      <c r="Y7105" s="5"/>
      <c r="Z7105" s="5"/>
    </row>
    <row r="7106" spans="1:26" ht="15" x14ac:dyDescent="0.25">
      <c r="A7106" s="4" t="s">
        <v>7104</v>
      </c>
      <c r="B7106" s="4" t="s">
        <v>4550</v>
      </c>
      <c r="C7106" s="2" t="str">
        <f ca="1">IFERROR(__xludf.DUMMYFUNCTION("GOOGLETRANSLATE(A7106,""bn"",""en"")"),"I used headphones")</f>
        <v>I used headphones</v>
      </c>
      <c r="D7106" s="5"/>
      <c r="E7106" s="5"/>
      <c r="F7106" s="5"/>
      <c r="G7106" s="5"/>
      <c r="H7106" s="5"/>
      <c r="I7106" s="5"/>
      <c r="J7106" s="5"/>
      <c r="K7106" s="5"/>
      <c r="L7106" s="5"/>
      <c r="M7106" s="5"/>
      <c r="N7106" s="5"/>
      <c r="O7106" s="5"/>
      <c r="P7106" s="5"/>
      <c r="Q7106" s="5"/>
      <c r="R7106" s="5"/>
      <c r="S7106" s="5"/>
      <c r="T7106" s="5"/>
      <c r="U7106" s="5"/>
      <c r="V7106" s="5"/>
      <c r="W7106" s="5"/>
      <c r="X7106" s="5"/>
      <c r="Y7106" s="5"/>
      <c r="Z7106" s="5"/>
    </row>
    <row r="7107" spans="1:26" ht="15" x14ac:dyDescent="0.25">
      <c r="A7107" s="4" t="s">
        <v>7105</v>
      </c>
      <c r="B7107" s="4" t="s">
        <v>4550</v>
      </c>
      <c r="C7107" s="2" t="str">
        <f ca="1">IFERROR(__xludf.DUMMYFUNCTION("GOOGLETRANSLATE(A7107,""bn"",""en"")"),"Generations prospered")</f>
        <v>Generations prospered</v>
      </c>
      <c r="D7107" s="5"/>
      <c r="E7107" s="5"/>
      <c r="F7107" s="5"/>
      <c r="G7107" s="5"/>
      <c r="H7107" s="5"/>
      <c r="I7107" s="5"/>
      <c r="J7107" s="5"/>
      <c r="K7107" s="5"/>
      <c r="L7107" s="5"/>
      <c r="M7107" s="5"/>
      <c r="N7107" s="5"/>
      <c r="O7107" s="5"/>
      <c r="P7107" s="5"/>
      <c r="Q7107" s="5"/>
      <c r="R7107" s="5"/>
      <c r="S7107" s="5"/>
      <c r="T7107" s="5"/>
      <c r="U7107" s="5"/>
      <c r="V7107" s="5"/>
      <c r="W7107" s="5"/>
      <c r="X7107" s="5"/>
      <c r="Y7107" s="5"/>
      <c r="Z7107" s="5"/>
    </row>
    <row r="7108" spans="1:26" ht="15" x14ac:dyDescent="0.25">
      <c r="A7108" s="4" t="s">
        <v>7106</v>
      </c>
      <c r="B7108" s="4" t="s">
        <v>4550</v>
      </c>
      <c r="C7108" s="2" t="str">
        <f ca="1">IFERROR(__xludf.DUMMYFUNCTION("GOOGLETRANSLATE(A7108,""bn"",""en"")"),"Wanted honest advice")</f>
        <v>Wanted honest advice</v>
      </c>
      <c r="D7108" s="5"/>
      <c r="E7108" s="5"/>
      <c r="F7108" s="5"/>
      <c r="G7108" s="5"/>
      <c r="H7108" s="5"/>
      <c r="I7108" s="5"/>
      <c r="J7108" s="5"/>
      <c r="K7108" s="5"/>
      <c r="L7108" s="5"/>
      <c r="M7108" s="5"/>
      <c r="N7108" s="5"/>
      <c r="O7108" s="5"/>
      <c r="P7108" s="5"/>
      <c r="Q7108" s="5"/>
      <c r="R7108" s="5"/>
      <c r="S7108" s="5"/>
      <c r="T7108" s="5"/>
      <c r="U7108" s="5"/>
      <c r="V7108" s="5"/>
      <c r="W7108" s="5"/>
      <c r="X7108" s="5"/>
      <c r="Y7108" s="5"/>
      <c r="Z7108" s="5"/>
    </row>
    <row r="7109" spans="1:26" ht="15" x14ac:dyDescent="0.25">
      <c r="A7109" s="4" t="s">
        <v>7107</v>
      </c>
      <c r="B7109" s="4" t="s">
        <v>4550</v>
      </c>
      <c r="C7109" s="2" t="str">
        <f ca="1">IFERROR(__xludf.DUMMYFUNCTION("GOOGLETRANSLATE(A7109,""bn"",""en"")"),"I sat down to read this book")</f>
        <v>I sat down to read this book</v>
      </c>
      <c r="D7109" s="5"/>
      <c r="E7109" s="5"/>
      <c r="F7109" s="5"/>
      <c r="G7109" s="5"/>
      <c r="H7109" s="5"/>
      <c r="I7109" s="5"/>
      <c r="J7109" s="5"/>
      <c r="K7109" s="5"/>
      <c r="L7109" s="5"/>
      <c r="M7109" s="5"/>
      <c r="N7109" s="5"/>
      <c r="O7109" s="5"/>
      <c r="P7109" s="5"/>
      <c r="Q7109" s="5"/>
      <c r="R7109" s="5"/>
      <c r="S7109" s="5"/>
      <c r="T7109" s="5"/>
      <c r="U7109" s="5"/>
      <c r="V7109" s="5"/>
      <c r="W7109" s="5"/>
      <c r="X7109" s="5"/>
      <c r="Y7109" s="5"/>
      <c r="Z7109" s="5"/>
    </row>
    <row r="7110" spans="1:26" ht="15" x14ac:dyDescent="0.25">
      <c r="A7110" s="4" t="s">
        <v>7108</v>
      </c>
      <c r="B7110" s="4" t="s">
        <v>4550</v>
      </c>
      <c r="C7110" s="2" t="str">
        <f ca="1">IFERROR(__xludf.DUMMYFUNCTION("GOOGLETRANSLATE(A7110,""bn"",""en"")"),"The bank gave the account")</f>
        <v>The bank gave the account</v>
      </c>
      <c r="D7110" s="5"/>
      <c r="E7110" s="5"/>
      <c r="F7110" s="5"/>
      <c r="G7110" s="5"/>
      <c r="H7110" s="5"/>
      <c r="I7110" s="5"/>
      <c r="J7110" s="5"/>
      <c r="K7110" s="5"/>
      <c r="L7110" s="5"/>
      <c r="M7110" s="5"/>
      <c r="N7110" s="5"/>
      <c r="O7110" s="5"/>
      <c r="P7110" s="5"/>
      <c r="Q7110" s="5"/>
      <c r="R7110" s="5"/>
      <c r="S7110" s="5"/>
      <c r="T7110" s="5"/>
      <c r="U7110" s="5"/>
      <c r="V7110" s="5"/>
      <c r="W7110" s="5"/>
      <c r="X7110" s="5"/>
      <c r="Y7110" s="5"/>
      <c r="Z7110" s="5"/>
    </row>
    <row r="7111" spans="1:26" ht="15" x14ac:dyDescent="0.25">
      <c r="A7111" s="4" t="s">
        <v>7109</v>
      </c>
      <c r="B7111" s="4" t="s">
        <v>4550</v>
      </c>
      <c r="C7111" s="2" t="str">
        <f ca="1">IFERROR(__xludf.DUMMYFUNCTION("GOOGLETRANSLATE(A7111,""bn"",""en"")"),"Glucose was the medium")</f>
        <v>Glucose was the medium</v>
      </c>
      <c r="D7111" s="5"/>
      <c r="E7111" s="5"/>
      <c r="F7111" s="5"/>
      <c r="G7111" s="5"/>
      <c r="H7111" s="5"/>
      <c r="I7111" s="5"/>
      <c r="J7111" s="5"/>
      <c r="K7111" s="5"/>
      <c r="L7111" s="5"/>
      <c r="M7111" s="5"/>
      <c r="N7111" s="5"/>
      <c r="O7111" s="5"/>
      <c r="P7111" s="5"/>
      <c r="Q7111" s="5"/>
      <c r="R7111" s="5"/>
      <c r="S7111" s="5"/>
      <c r="T7111" s="5"/>
      <c r="U7111" s="5"/>
      <c r="V7111" s="5"/>
      <c r="W7111" s="5"/>
      <c r="X7111" s="5"/>
      <c r="Y7111" s="5"/>
      <c r="Z7111" s="5"/>
    </row>
    <row r="7112" spans="1:26" ht="15" x14ac:dyDescent="0.25">
      <c r="A7112" s="4" t="s">
        <v>7110</v>
      </c>
      <c r="B7112" s="4" t="s">
        <v>4550</v>
      </c>
      <c r="C7112" s="2" t="str">
        <f ca="1">IFERROR(__xludf.DUMMYFUNCTION("GOOGLETRANSLATE(A7112,""bn"",""en"")"),"It cost money to use ebooks")</f>
        <v>It cost money to use ebooks</v>
      </c>
      <c r="D7112" s="5"/>
      <c r="E7112" s="5"/>
      <c r="F7112" s="5"/>
      <c r="G7112" s="5"/>
      <c r="H7112" s="5"/>
      <c r="I7112" s="5"/>
      <c r="J7112" s="5"/>
      <c r="K7112" s="5"/>
      <c r="L7112" s="5"/>
      <c r="M7112" s="5"/>
      <c r="N7112" s="5"/>
      <c r="O7112" s="5"/>
      <c r="P7112" s="5"/>
      <c r="Q7112" s="5"/>
      <c r="R7112" s="5"/>
      <c r="S7112" s="5"/>
      <c r="T7112" s="5"/>
      <c r="U7112" s="5"/>
      <c r="V7112" s="5"/>
      <c r="W7112" s="5"/>
      <c r="X7112" s="5"/>
      <c r="Y7112" s="5"/>
      <c r="Z7112" s="5"/>
    </row>
    <row r="7113" spans="1:26" ht="15" x14ac:dyDescent="0.25">
      <c r="A7113" s="4" t="s">
        <v>7111</v>
      </c>
      <c r="B7113" s="4" t="s">
        <v>4550</v>
      </c>
      <c r="C7113" s="2" t="str">
        <f ca="1">IFERROR(__xludf.DUMMYFUNCTION("GOOGLETRANSLATE(A7113,""bn"",""en"")"),"I liked politics")</f>
        <v>I liked politics</v>
      </c>
      <c r="D7113" s="5"/>
      <c r="E7113" s="5"/>
      <c r="F7113" s="5"/>
      <c r="G7113" s="5"/>
      <c r="H7113" s="5"/>
      <c r="I7113" s="5"/>
      <c r="J7113" s="5"/>
      <c r="K7113" s="5"/>
      <c r="L7113" s="5"/>
      <c r="M7113" s="5"/>
      <c r="N7113" s="5"/>
      <c r="O7113" s="5"/>
      <c r="P7113" s="5"/>
      <c r="Q7113" s="5"/>
      <c r="R7113" s="5"/>
      <c r="S7113" s="5"/>
      <c r="T7113" s="5"/>
      <c r="U7113" s="5"/>
      <c r="V7113" s="5"/>
      <c r="W7113" s="5"/>
      <c r="X7113" s="5"/>
      <c r="Y7113" s="5"/>
      <c r="Z7113" s="5"/>
    </row>
    <row r="7114" spans="1:26" ht="15" x14ac:dyDescent="0.25">
      <c r="A7114" s="4" t="s">
        <v>7112</v>
      </c>
      <c r="B7114" s="4" t="s">
        <v>4550</v>
      </c>
      <c r="C7114" s="2" t="str">
        <f ca="1">IFERROR(__xludf.DUMMYFUNCTION("GOOGLETRANSLATE(A7114,""bn"",""en"")"),"I enjoyed the trip")</f>
        <v>I enjoyed the trip</v>
      </c>
      <c r="D7114" s="5"/>
      <c r="E7114" s="5"/>
      <c r="F7114" s="5"/>
      <c r="G7114" s="5"/>
      <c r="H7114" s="5"/>
      <c r="I7114" s="5"/>
      <c r="J7114" s="5"/>
      <c r="K7114" s="5"/>
      <c r="L7114" s="5"/>
      <c r="M7114" s="5"/>
      <c r="N7114" s="5"/>
      <c r="O7114" s="5"/>
      <c r="P7114" s="5"/>
      <c r="Q7114" s="5"/>
      <c r="R7114" s="5"/>
      <c r="S7114" s="5"/>
      <c r="T7114" s="5"/>
      <c r="U7114" s="5"/>
      <c r="V7114" s="5"/>
      <c r="W7114" s="5"/>
      <c r="X7114" s="5"/>
      <c r="Y7114" s="5"/>
      <c r="Z7114" s="5"/>
    </row>
    <row r="7115" spans="1:26" ht="15" x14ac:dyDescent="0.25">
      <c r="A7115" s="4" t="s">
        <v>7113</v>
      </c>
      <c r="B7115" s="4" t="s">
        <v>4550</v>
      </c>
      <c r="C7115" s="2" t="str">
        <f ca="1">IFERROR(__xludf.DUMMYFUNCTION("GOOGLETRANSLATE(A7115,""bn"",""en"")"),"I was doing IT training")</f>
        <v>I was doing IT training</v>
      </c>
      <c r="D7115" s="5"/>
      <c r="E7115" s="5"/>
      <c r="F7115" s="5"/>
      <c r="G7115" s="5"/>
      <c r="H7115" s="5"/>
      <c r="I7115" s="5"/>
      <c r="J7115" s="5"/>
      <c r="K7115" s="5"/>
      <c r="L7115" s="5"/>
      <c r="M7115" s="5"/>
      <c r="N7115" s="5"/>
      <c r="O7115" s="5"/>
      <c r="P7115" s="5"/>
      <c r="Q7115" s="5"/>
      <c r="R7115" s="5"/>
      <c r="S7115" s="5"/>
      <c r="T7115" s="5"/>
      <c r="U7115" s="5"/>
      <c r="V7115" s="5"/>
      <c r="W7115" s="5"/>
      <c r="X7115" s="5"/>
      <c r="Y7115" s="5"/>
      <c r="Z7115" s="5"/>
    </row>
    <row r="7116" spans="1:26" ht="15" x14ac:dyDescent="0.25">
      <c r="A7116" s="4" t="s">
        <v>7114</v>
      </c>
      <c r="B7116" s="4" t="s">
        <v>4550</v>
      </c>
      <c r="C7116" s="2" t="str">
        <f ca="1">IFERROR(__xludf.DUMMYFUNCTION("GOOGLETRANSLATE(A7116,""bn"",""en"")"),"I was doing well in studies")</f>
        <v>I was doing well in studies</v>
      </c>
      <c r="D7116" s="5"/>
      <c r="E7116" s="5"/>
      <c r="F7116" s="5"/>
      <c r="G7116" s="5"/>
      <c r="H7116" s="5"/>
      <c r="I7116" s="5"/>
      <c r="J7116" s="5"/>
      <c r="K7116" s="5"/>
      <c r="L7116" s="5"/>
      <c r="M7116" s="5"/>
      <c r="N7116" s="5"/>
      <c r="O7116" s="5"/>
      <c r="P7116" s="5"/>
      <c r="Q7116" s="5"/>
      <c r="R7116" s="5"/>
      <c r="S7116" s="5"/>
      <c r="T7116" s="5"/>
      <c r="U7116" s="5"/>
      <c r="V7116" s="5"/>
      <c r="W7116" s="5"/>
      <c r="X7116" s="5"/>
      <c r="Y7116" s="5"/>
      <c r="Z7116" s="5"/>
    </row>
    <row r="7117" spans="1:26" ht="15" x14ac:dyDescent="0.25">
      <c r="A7117" s="4" t="s">
        <v>7115</v>
      </c>
      <c r="B7117" s="4" t="s">
        <v>4550</v>
      </c>
      <c r="C7117" s="2" t="str">
        <f ca="1">IFERROR(__xludf.DUMMYFUNCTION("GOOGLETRANSLATE(A7117,""bn"",""en"")"),"I learned numbers")</f>
        <v>I learned numbers</v>
      </c>
      <c r="D7117" s="5"/>
      <c r="E7117" s="5"/>
      <c r="F7117" s="5"/>
      <c r="G7117" s="5"/>
      <c r="H7117" s="5"/>
      <c r="I7117" s="5"/>
      <c r="J7117" s="5"/>
      <c r="K7117" s="5"/>
      <c r="L7117" s="5"/>
      <c r="M7117" s="5"/>
      <c r="N7117" s="5"/>
      <c r="O7117" s="5"/>
      <c r="P7117" s="5"/>
      <c r="Q7117" s="5"/>
      <c r="R7117" s="5"/>
      <c r="S7117" s="5"/>
      <c r="T7117" s="5"/>
      <c r="U7117" s="5"/>
      <c r="V7117" s="5"/>
      <c r="W7117" s="5"/>
      <c r="X7117" s="5"/>
      <c r="Y7117" s="5"/>
      <c r="Z7117" s="5"/>
    </row>
    <row r="7118" spans="1:26" ht="15" x14ac:dyDescent="0.25">
      <c r="A7118" s="4" t="s">
        <v>7116</v>
      </c>
      <c r="B7118" s="4" t="s">
        <v>4550</v>
      </c>
      <c r="C7118" s="2" t="str">
        <f ca="1">IFERROR(__xludf.DUMMYFUNCTION("GOOGLETRANSLATE(A7118,""bn"",""en"")"),"I did complex calculations")</f>
        <v>I did complex calculations</v>
      </c>
      <c r="D7118" s="5"/>
      <c r="E7118" s="5"/>
      <c r="F7118" s="5"/>
      <c r="G7118" s="5"/>
      <c r="H7118" s="5"/>
      <c r="I7118" s="5"/>
      <c r="J7118" s="5"/>
      <c r="K7118" s="5"/>
      <c r="L7118" s="5"/>
      <c r="M7118" s="5"/>
      <c r="N7118" s="5"/>
      <c r="O7118" s="5"/>
      <c r="P7118" s="5"/>
      <c r="Q7118" s="5"/>
      <c r="R7118" s="5"/>
      <c r="S7118" s="5"/>
      <c r="T7118" s="5"/>
      <c r="U7118" s="5"/>
      <c r="V7118" s="5"/>
      <c r="W7118" s="5"/>
      <c r="X7118" s="5"/>
      <c r="Y7118" s="5"/>
      <c r="Z7118" s="5"/>
    </row>
    <row r="7119" spans="1:26" ht="15" x14ac:dyDescent="0.25">
      <c r="A7119" s="4" t="s">
        <v>7117</v>
      </c>
      <c r="B7119" s="4" t="s">
        <v>4550</v>
      </c>
      <c r="C7119" s="2" t="str">
        <f ca="1">IFERROR(__xludf.DUMMYFUNCTION("GOOGLETRANSLATE(A7119,""bn"",""en"")"),"Life was spent in the dormitory")</f>
        <v>Life was spent in the dormitory</v>
      </c>
      <c r="D7119" s="5"/>
      <c r="E7119" s="5"/>
      <c r="F7119" s="5"/>
      <c r="G7119" s="5"/>
      <c r="H7119" s="5"/>
      <c r="I7119" s="5"/>
      <c r="J7119" s="5"/>
      <c r="K7119" s="5"/>
      <c r="L7119" s="5"/>
      <c r="M7119" s="5"/>
      <c r="N7119" s="5"/>
      <c r="O7119" s="5"/>
      <c r="P7119" s="5"/>
      <c r="Q7119" s="5"/>
      <c r="R7119" s="5"/>
      <c r="S7119" s="5"/>
      <c r="T7119" s="5"/>
      <c r="U7119" s="5"/>
      <c r="V7119" s="5"/>
      <c r="W7119" s="5"/>
      <c r="X7119" s="5"/>
      <c r="Y7119" s="5"/>
      <c r="Z7119" s="5"/>
    </row>
    <row r="7120" spans="1:26" ht="15" x14ac:dyDescent="0.25">
      <c r="A7120" s="4" t="s">
        <v>7118</v>
      </c>
      <c r="B7120" s="4" t="s">
        <v>4550</v>
      </c>
      <c r="C7120" s="2" t="str">
        <f ca="1">IFERROR(__xludf.DUMMYFUNCTION("GOOGLETRANSLATE(A7120,""bn"",""en"")"),"Loved cricket")</f>
        <v>Loved cricket</v>
      </c>
      <c r="D7120" s="5"/>
      <c r="E7120" s="5"/>
      <c r="F7120" s="5"/>
      <c r="G7120" s="5"/>
      <c r="H7120" s="5"/>
      <c r="I7120" s="5"/>
      <c r="J7120" s="5"/>
      <c r="K7120" s="5"/>
      <c r="L7120" s="5"/>
      <c r="M7120" s="5"/>
      <c r="N7120" s="5"/>
      <c r="O7120" s="5"/>
      <c r="P7120" s="5"/>
      <c r="Q7120" s="5"/>
      <c r="R7120" s="5"/>
      <c r="S7120" s="5"/>
      <c r="T7120" s="5"/>
      <c r="U7120" s="5"/>
      <c r="V7120" s="5"/>
      <c r="W7120" s="5"/>
      <c r="X7120" s="5"/>
      <c r="Y7120" s="5"/>
      <c r="Z7120" s="5"/>
    </row>
    <row r="7121" spans="1:26" ht="15" x14ac:dyDescent="0.25">
      <c r="A7121" s="4" t="s">
        <v>7119</v>
      </c>
      <c r="B7121" s="4" t="s">
        <v>4550</v>
      </c>
      <c r="C7121" s="2" t="str">
        <f ca="1">IFERROR(__xludf.DUMMYFUNCTION("GOOGLETRANSLATE(A7121,""bn"",""en"")"),"I was spending time using the computer")</f>
        <v>I was spending time using the computer</v>
      </c>
      <c r="D7121" s="5"/>
      <c r="E7121" s="5"/>
      <c r="F7121" s="5"/>
      <c r="G7121" s="5"/>
      <c r="H7121" s="5"/>
      <c r="I7121" s="5"/>
      <c r="J7121" s="5"/>
      <c r="K7121" s="5"/>
      <c r="L7121" s="5"/>
      <c r="M7121" s="5"/>
      <c r="N7121" s="5"/>
      <c r="O7121" s="5"/>
      <c r="P7121" s="5"/>
      <c r="Q7121" s="5"/>
      <c r="R7121" s="5"/>
      <c r="S7121" s="5"/>
      <c r="T7121" s="5"/>
      <c r="U7121" s="5"/>
      <c r="V7121" s="5"/>
      <c r="W7121" s="5"/>
      <c r="X7121" s="5"/>
      <c r="Y7121" s="5"/>
      <c r="Z7121" s="5"/>
    </row>
    <row r="7122" spans="1:26" ht="15" x14ac:dyDescent="0.25">
      <c r="A7122" s="4" t="s">
        <v>7120</v>
      </c>
      <c r="B7122" s="4" t="s">
        <v>4550</v>
      </c>
      <c r="C7122" s="2" t="str">
        <f ca="1">IFERROR(__xludf.DUMMYFUNCTION("GOOGLETRANSLATE(A7122,""bn"",""en"")"),"I was using the computer")</f>
        <v>I was using the computer</v>
      </c>
      <c r="D7122" s="5"/>
      <c r="E7122" s="5"/>
      <c r="F7122" s="5"/>
      <c r="G7122" s="5"/>
      <c r="H7122" s="5"/>
      <c r="I7122" s="5"/>
      <c r="J7122" s="5"/>
      <c r="K7122" s="5"/>
      <c r="L7122" s="5"/>
      <c r="M7122" s="5"/>
      <c r="N7122" s="5"/>
      <c r="O7122" s="5"/>
      <c r="P7122" s="5"/>
      <c r="Q7122" s="5"/>
      <c r="R7122" s="5"/>
      <c r="S7122" s="5"/>
      <c r="T7122" s="5"/>
      <c r="U7122" s="5"/>
      <c r="V7122" s="5"/>
      <c r="W7122" s="5"/>
      <c r="X7122" s="5"/>
      <c r="Y7122" s="5"/>
      <c r="Z7122" s="5"/>
    </row>
    <row r="7123" spans="1:26" ht="15" x14ac:dyDescent="0.25">
      <c r="A7123" s="4" t="s">
        <v>7121</v>
      </c>
      <c r="B7123" s="4" t="s">
        <v>4550</v>
      </c>
      <c r="C7123" s="2" t="str">
        <f ca="1">IFERROR(__xludf.DUMMYFUNCTION("GOOGLETRANSLATE(A7123,""bn"",""en"")"),"I got banking facility")</f>
        <v>I got banking facility</v>
      </c>
      <c r="D7123" s="5"/>
      <c r="E7123" s="5"/>
      <c r="F7123" s="5"/>
      <c r="G7123" s="5"/>
      <c r="H7123" s="5"/>
      <c r="I7123" s="5"/>
      <c r="J7123" s="5"/>
      <c r="K7123" s="5"/>
      <c r="L7123" s="5"/>
      <c r="M7123" s="5"/>
      <c r="N7123" s="5"/>
      <c r="O7123" s="5"/>
      <c r="P7123" s="5"/>
      <c r="Q7123" s="5"/>
      <c r="R7123" s="5"/>
      <c r="S7123" s="5"/>
      <c r="T7123" s="5"/>
      <c r="U7123" s="5"/>
      <c r="V7123" s="5"/>
      <c r="W7123" s="5"/>
      <c r="X7123" s="5"/>
      <c r="Y7123" s="5"/>
      <c r="Z7123" s="5"/>
    </row>
    <row r="7124" spans="1:26" ht="15" x14ac:dyDescent="0.25">
      <c r="A7124" s="4" t="s">
        <v>7122</v>
      </c>
      <c r="B7124" s="4" t="s">
        <v>4550</v>
      </c>
      <c r="C7124" s="2" t="str">
        <f ca="1">IFERROR(__xludf.DUMMYFUNCTION("GOOGLETRANSLATE(A7124,""bn"",""en"")"),"I started traveling")</f>
        <v>I started traveling</v>
      </c>
      <c r="D7124" s="5"/>
      <c r="E7124" s="5"/>
      <c r="F7124" s="5"/>
      <c r="G7124" s="5"/>
      <c r="H7124" s="5"/>
      <c r="I7124" s="5"/>
      <c r="J7124" s="5"/>
      <c r="K7124" s="5"/>
      <c r="L7124" s="5"/>
      <c r="M7124" s="5"/>
      <c r="N7124" s="5"/>
      <c r="O7124" s="5"/>
      <c r="P7124" s="5"/>
      <c r="Q7124" s="5"/>
      <c r="R7124" s="5"/>
      <c r="S7124" s="5"/>
      <c r="T7124" s="5"/>
      <c r="U7124" s="5"/>
      <c r="V7124" s="5"/>
      <c r="W7124" s="5"/>
      <c r="X7124" s="5"/>
      <c r="Y7124" s="5"/>
      <c r="Z7124" s="5"/>
    </row>
    <row r="7125" spans="1:26" ht="15" x14ac:dyDescent="0.25">
      <c r="A7125" s="4" t="s">
        <v>7123</v>
      </c>
      <c r="B7125" s="4" t="s">
        <v>4550</v>
      </c>
      <c r="C7125" s="2" t="str">
        <f ca="1">IFERROR(__xludf.DUMMYFUNCTION("GOOGLETRANSLATE(A7125,""bn"",""en"")"),"Raised the standard of education")</f>
        <v>Raised the standard of education</v>
      </c>
      <c r="D7125" s="5"/>
      <c r="E7125" s="5"/>
      <c r="F7125" s="5"/>
      <c r="G7125" s="5"/>
      <c r="H7125" s="5"/>
      <c r="I7125" s="5"/>
      <c r="J7125" s="5"/>
      <c r="K7125" s="5"/>
      <c r="L7125" s="5"/>
      <c r="M7125" s="5"/>
      <c r="N7125" s="5"/>
      <c r="O7125" s="5"/>
      <c r="P7125" s="5"/>
      <c r="Q7125" s="5"/>
      <c r="R7125" s="5"/>
      <c r="S7125" s="5"/>
      <c r="T7125" s="5"/>
      <c r="U7125" s="5"/>
      <c r="V7125" s="5"/>
      <c r="W7125" s="5"/>
      <c r="X7125" s="5"/>
      <c r="Y7125" s="5"/>
      <c r="Z7125" s="5"/>
    </row>
    <row r="7126" spans="1:26" ht="15" x14ac:dyDescent="0.25">
      <c r="A7126" s="4" t="s">
        <v>7124</v>
      </c>
      <c r="B7126" s="4" t="s">
        <v>4550</v>
      </c>
      <c r="C7126" s="2" t="str">
        <f ca="1">IFERROR(__xludf.DUMMYFUNCTION("GOOGLETRANSLATE(A7126,""bn"",""en"")"),"I read the Quran regularly")</f>
        <v>I read the Quran regularly</v>
      </c>
      <c r="D7126" s="5"/>
      <c r="E7126" s="5"/>
      <c r="F7126" s="5"/>
      <c r="G7126" s="5"/>
      <c r="H7126" s="5"/>
      <c r="I7126" s="5"/>
      <c r="J7126" s="5"/>
      <c r="K7126" s="5"/>
      <c r="L7126" s="5"/>
      <c r="M7126" s="5"/>
      <c r="N7126" s="5"/>
      <c r="O7126" s="5"/>
      <c r="P7126" s="5"/>
      <c r="Q7126" s="5"/>
      <c r="R7126" s="5"/>
      <c r="S7126" s="5"/>
      <c r="T7126" s="5"/>
      <c r="U7126" s="5"/>
      <c r="V7126" s="5"/>
      <c r="W7126" s="5"/>
      <c r="X7126" s="5"/>
      <c r="Y7126" s="5"/>
      <c r="Z7126" s="5"/>
    </row>
    <row r="7127" spans="1:26" ht="15" x14ac:dyDescent="0.25">
      <c r="A7127" s="4" t="s">
        <v>7125</v>
      </c>
      <c r="B7127" s="4" t="s">
        <v>4550</v>
      </c>
      <c r="C7127" s="2" t="str">
        <f ca="1">IFERROR(__xludf.DUMMYFUNCTION("GOOGLETRANSLATE(A7127,""bn"",""en"")"),"I counted the money")</f>
        <v>I counted the money</v>
      </c>
      <c r="D7127" s="5"/>
      <c r="E7127" s="5"/>
      <c r="F7127" s="5"/>
      <c r="G7127" s="5"/>
      <c r="H7127" s="5"/>
      <c r="I7127" s="5"/>
      <c r="J7127" s="5"/>
      <c r="K7127" s="5"/>
      <c r="L7127" s="5"/>
      <c r="M7127" s="5"/>
      <c r="N7127" s="5"/>
      <c r="O7127" s="5"/>
      <c r="P7127" s="5"/>
      <c r="Q7127" s="5"/>
      <c r="R7127" s="5"/>
      <c r="S7127" s="5"/>
      <c r="T7127" s="5"/>
      <c r="U7127" s="5"/>
      <c r="V7127" s="5"/>
      <c r="W7127" s="5"/>
      <c r="X7127" s="5"/>
      <c r="Y7127" s="5"/>
      <c r="Z7127" s="5"/>
    </row>
    <row r="7128" spans="1:26" ht="15" x14ac:dyDescent="0.25">
      <c r="A7128" s="4" t="s">
        <v>7126</v>
      </c>
      <c r="B7128" s="4" t="s">
        <v>4550</v>
      </c>
      <c r="C7128" s="2" t="str">
        <f ca="1">IFERROR(__xludf.DUMMYFUNCTION("GOOGLETRANSLATE(A7128,""bn"",""en"")"),"The bank gave a loan")</f>
        <v>The bank gave a loan</v>
      </c>
      <c r="D7128" s="5"/>
      <c r="E7128" s="5"/>
      <c r="F7128" s="5"/>
      <c r="G7128" s="5"/>
      <c r="H7128" s="5"/>
      <c r="I7128" s="5"/>
      <c r="J7128" s="5"/>
      <c r="K7128" s="5"/>
      <c r="L7128" s="5"/>
      <c r="M7128" s="5"/>
      <c r="N7128" s="5"/>
      <c r="O7128" s="5"/>
      <c r="P7128" s="5"/>
      <c r="Q7128" s="5"/>
      <c r="R7128" s="5"/>
      <c r="S7128" s="5"/>
      <c r="T7128" s="5"/>
      <c r="U7128" s="5"/>
      <c r="V7128" s="5"/>
      <c r="W7128" s="5"/>
      <c r="X7128" s="5"/>
      <c r="Y7128" s="5"/>
      <c r="Z7128" s="5"/>
    </row>
    <row r="7129" spans="1:26" ht="15" x14ac:dyDescent="0.25">
      <c r="A7129" s="4" t="s">
        <v>7127</v>
      </c>
      <c r="B7129" s="4" t="s">
        <v>4550</v>
      </c>
      <c r="C7129" s="2" t="str">
        <f ca="1">IFERROR(__xludf.DUMMYFUNCTION("GOOGLETRANSLATE(A7129,""bn"",""en"")"),"The market price increased")</f>
        <v>The market price increased</v>
      </c>
      <c r="D7129" s="5"/>
      <c r="E7129" s="5"/>
      <c r="F7129" s="5"/>
      <c r="G7129" s="5"/>
      <c r="H7129" s="5"/>
      <c r="I7129" s="5"/>
      <c r="J7129" s="5"/>
      <c r="K7129" s="5"/>
      <c r="L7129" s="5"/>
      <c r="M7129" s="5"/>
      <c r="N7129" s="5"/>
      <c r="O7129" s="5"/>
      <c r="P7129" s="5"/>
      <c r="Q7129" s="5"/>
      <c r="R7129" s="5"/>
      <c r="S7129" s="5"/>
      <c r="T7129" s="5"/>
      <c r="U7129" s="5"/>
      <c r="V7129" s="5"/>
      <c r="W7129" s="5"/>
      <c r="X7129" s="5"/>
      <c r="Y7129" s="5"/>
      <c r="Z7129" s="5"/>
    </row>
    <row r="7130" spans="1:26" ht="15" x14ac:dyDescent="0.25">
      <c r="A7130" s="4" t="s">
        <v>7128</v>
      </c>
      <c r="B7130" s="4" t="s">
        <v>4550</v>
      </c>
      <c r="C7130" s="2" t="str">
        <f ca="1">IFERROR(__xludf.DUMMYFUNCTION("GOOGLETRANSLATE(A7130,""bn"",""en"")"),"I read the news on the website")</f>
        <v>I read the news on the website</v>
      </c>
      <c r="D7130" s="5"/>
      <c r="E7130" s="5"/>
      <c r="F7130" s="5"/>
      <c r="G7130" s="5"/>
      <c r="H7130" s="5"/>
      <c r="I7130" s="5"/>
      <c r="J7130" s="5"/>
      <c r="K7130" s="5"/>
      <c r="L7130" s="5"/>
      <c r="M7130" s="5"/>
      <c r="N7130" s="5"/>
      <c r="O7130" s="5"/>
      <c r="P7130" s="5"/>
      <c r="Q7130" s="5"/>
      <c r="R7130" s="5"/>
      <c r="S7130" s="5"/>
      <c r="T7130" s="5"/>
      <c r="U7130" s="5"/>
      <c r="V7130" s="5"/>
      <c r="W7130" s="5"/>
      <c r="X7130" s="5"/>
      <c r="Y7130" s="5"/>
      <c r="Z7130" s="5"/>
    </row>
    <row r="7131" spans="1:26" ht="15" x14ac:dyDescent="0.25">
      <c r="A7131" s="4" t="s">
        <v>7129</v>
      </c>
      <c r="B7131" s="4" t="s">
        <v>4550</v>
      </c>
      <c r="C7131" s="2" t="str">
        <f ca="1">IFERROR(__xludf.DUMMYFUNCTION("GOOGLETRANSLATE(A7131,""bn"",""en"")"),"I sought the pleasure of entertainment")</f>
        <v>I sought the pleasure of entertainment</v>
      </c>
      <c r="D7131" s="5"/>
      <c r="E7131" s="5"/>
      <c r="F7131" s="5"/>
      <c r="G7131" s="5"/>
      <c r="H7131" s="5"/>
      <c r="I7131" s="5"/>
      <c r="J7131" s="5"/>
      <c r="K7131" s="5"/>
      <c r="L7131" s="5"/>
      <c r="M7131" s="5"/>
      <c r="N7131" s="5"/>
      <c r="O7131" s="5"/>
      <c r="P7131" s="5"/>
      <c r="Q7131" s="5"/>
      <c r="R7131" s="5"/>
      <c r="S7131" s="5"/>
      <c r="T7131" s="5"/>
      <c r="U7131" s="5"/>
      <c r="V7131" s="5"/>
      <c r="W7131" s="5"/>
      <c r="X7131" s="5"/>
      <c r="Y7131" s="5"/>
      <c r="Z7131" s="5"/>
    </row>
    <row r="7132" spans="1:26" ht="15" x14ac:dyDescent="0.25">
      <c r="A7132" s="4" t="s">
        <v>7130</v>
      </c>
      <c r="B7132" s="4" t="s">
        <v>4550</v>
      </c>
      <c r="C7132" s="2" t="str">
        <f ca="1">IFERROR(__xludf.DUMMYFUNCTION("GOOGLETRANSLATE(A7132,""bn"",""en"")"),"The college was located")</f>
        <v>The college was located</v>
      </c>
      <c r="D7132" s="5"/>
      <c r="E7132" s="5"/>
      <c r="F7132" s="5"/>
      <c r="G7132" s="5"/>
      <c r="H7132" s="5"/>
      <c r="I7132" s="5"/>
      <c r="J7132" s="5"/>
      <c r="K7132" s="5"/>
      <c r="L7132" s="5"/>
      <c r="M7132" s="5"/>
      <c r="N7132" s="5"/>
      <c r="O7132" s="5"/>
      <c r="P7132" s="5"/>
      <c r="Q7132" s="5"/>
      <c r="R7132" s="5"/>
      <c r="S7132" s="5"/>
      <c r="T7132" s="5"/>
      <c r="U7132" s="5"/>
      <c r="V7132" s="5"/>
      <c r="W7132" s="5"/>
      <c r="X7132" s="5"/>
      <c r="Y7132" s="5"/>
      <c r="Z7132" s="5"/>
    </row>
    <row r="7133" spans="1:26" ht="15" x14ac:dyDescent="0.25">
      <c r="A7133" s="4" t="s">
        <v>7131</v>
      </c>
      <c r="B7133" s="4" t="s">
        <v>4550</v>
      </c>
      <c r="C7133" s="2" t="str">
        <f ca="1">IFERROR(__xludf.DUMMYFUNCTION("GOOGLETRANSLATE(A7133,""bn"",""en"")"),"I took pictures with the camera")</f>
        <v>I took pictures with the camera</v>
      </c>
      <c r="D7133" s="5"/>
      <c r="E7133" s="5"/>
      <c r="F7133" s="5"/>
      <c r="G7133" s="5"/>
      <c r="H7133" s="5"/>
      <c r="I7133" s="5"/>
      <c r="J7133" s="5"/>
      <c r="K7133" s="5"/>
      <c r="L7133" s="5"/>
      <c r="M7133" s="5"/>
      <c r="N7133" s="5"/>
      <c r="O7133" s="5"/>
      <c r="P7133" s="5"/>
      <c r="Q7133" s="5"/>
      <c r="R7133" s="5"/>
      <c r="S7133" s="5"/>
      <c r="T7133" s="5"/>
      <c r="U7133" s="5"/>
      <c r="V7133" s="5"/>
      <c r="W7133" s="5"/>
      <c r="X7133" s="5"/>
      <c r="Y7133" s="5"/>
      <c r="Z7133" s="5"/>
    </row>
    <row r="7134" spans="1:26" ht="15" x14ac:dyDescent="0.25">
      <c r="A7134" s="4" t="s">
        <v>7132</v>
      </c>
      <c r="B7134" s="4" t="s">
        <v>4550</v>
      </c>
      <c r="C7134" s="2" t="str">
        <f ca="1">IFERROR(__xludf.DUMMYFUNCTION("GOOGLETRANSLATE(A7134,""bn"",""en"")"),"I was reading a book")</f>
        <v>I was reading a book</v>
      </c>
      <c r="D7134" s="5"/>
      <c r="E7134" s="5"/>
      <c r="F7134" s="5"/>
      <c r="G7134" s="5"/>
      <c r="H7134" s="5"/>
      <c r="I7134" s="5"/>
      <c r="J7134" s="5"/>
      <c r="K7134" s="5"/>
      <c r="L7134" s="5"/>
      <c r="M7134" s="5"/>
      <c r="N7134" s="5"/>
      <c r="O7134" s="5"/>
      <c r="P7134" s="5"/>
      <c r="Q7134" s="5"/>
      <c r="R7134" s="5"/>
      <c r="S7134" s="5"/>
      <c r="T7134" s="5"/>
      <c r="U7134" s="5"/>
      <c r="V7134" s="5"/>
      <c r="W7134" s="5"/>
      <c r="X7134" s="5"/>
      <c r="Y7134" s="5"/>
      <c r="Z7134" s="5"/>
    </row>
    <row r="7135" spans="1:26" ht="15" x14ac:dyDescent="0.25">
      <c r="A7135" s="4" t="s">
        <v>7133</v>
      </c>
      <c r="B7135" s="4" t="s">
        <v>4550</v>
      </c>
      <c r="C7135" s="2" t="str">
        <f ca="1">IFERROR(__xludf.DUMMYFUNCTION("GOOGLETRANSLATE(A7135,""bn"",""en"")"),"I gave food to the hungry")</f>
        <v>I gave food to the hungry</v>
      </c>
      <c r="D7135" s="5"/>
      <c r="E7135" s="5"/>
      <c r="F7135" s="5"/>
      <c r="G7135" s="5"/>
      <c r="H7135" s="5"/>
      <c r="I7135" s="5"/>
      <c r="J7135" s="5"/>
      <c r="K7135" s="5"/>
      <c r="L7135" s="5"/>
      <c r="M7135" s="5"/>
      <c r="N7135" s="5"/>
      <c r="O7135" s="5"/>
      <c r="P7135" s="5"/>
      <c r="Q7135" s="5"/>
      <c r="R7135" s="5"/>
      <c r="S7135" s="5"/>
      <c r="T7135" s="5"/>
      <c r="U7135" s="5"/>
      <c r="V7135" s="5"/>
      <c r="W7135" s="5"/>
      <c r="X7135" s="5"/>
      <c r="Y7135" s="5"/>
      <c r="Z7135" s="5"/>
    </row>
    <row r="7136" spans="1:26" ht="15" x14ac:dyDescent="0.25">
      <c r="A7136" s="4" t="s">
        <v>7134</v>
      </c>
      <c r="B7136" s="4" t="s">
        <v>4550</v>
      </c>
      <c r="C7136" s="2" t="str">
        <f ca="1">IFERROR(__xludf.DUMMYFUNCTION("GOOGLETRANSLATE(A7136,""bn"",""en"")"),"I used a floppy disk")</f>
        <v>I used a floppy disk</v>
      </c>
      <c r="D7136" s="5"/>
      <c r="E7136" s="5"/>
      <c r="F7136" s="5"/>
      <c r="G7136" s="5"/>
      <c r="H7136" s="5"/>
      <c r="I7136" s="5"/>
      <c r="J7136" s="5"/>
      <c r="K7136" s="5"/>
      <c r="L7136" s="5"/>
      <c r="M7136" s="5"/>
      <c r="N7136" s="5"/>
      <c r="O7136" s="5"/>
      <c r="P7136" s="5"/>
      <c r="Q7136" s="5"/>
      <c r="R7136" s="5"/>
      <c r="S7136" s="5"/>
      <c r="T7136" s="5"/>
      <c r="U7136" s="5"/>
      <c r="V7136" s="5"/>
      <c r="W7136" s="5"/>
      <c r="X7136" s="5"/>
      <c r="Y7136" s="5"/>
      <c r="Z7136" s="5"/>
    </row>
    <row r="7137" spans="1:26" ht="15" x14ac:dyDescent="0.25">
      <c r="A7137" s="4" t="s">
        <v>7135</v>
      </c>
      <c r="B7137" s="4" t="s">
        <v>4550</v>
      </c>
      <c r="C7137" s="2" t="str">
        <f ca="1">IFERROR(__xludf.DUMMYFUNCTION("GOOGLETRANSLATE(A7137,""bn"",""en"")"),"I was observing the college")</f>
        <v>I was observing the college</v>
      </c>
      <c r="D7137" s="5"/>
      <c r="E7137" s="5"/>
      <c r="F7137" s="5"/>
      <c r="G7137" s="5"/>
      <c r="H7137" s="5"/>
      <c r="I7137" s="5"/>
      <c r="J7137" s="5"/>
      <c r="K7137" s="5"/>
      <c r="L7137" s="5"/>
      <c r="M7137" s="5"/>
      <c r="N7137" s="5"/>
      <c r="O7137" s="5"/>
      <c r="P7137" s="5"/>
      <c r="Q7137" s="5"/>
      <c r="R7137" s="5"/>
      <c r="S7137" s="5"/>
      <c r="T7137" s="5"/>
      <c r="U7137" s="5"/>
      <c r="V7137" s="5"/>
      <c r="W7137" s="5"/>
      <c r="X7137" s="5"/>
      <c r="Y7137" s="5"/>
      <c r="Z7137" s="5"/>
    </row>
    <row r="7138" spans="1:26" ht="15" x14ac:dyDescent="0.25">
      <c r="A7138" s="4" t="s">
        <v>7136</v>
      </c>
      <c r="B7138" s="4" t="s">
        <v>4550</v>
      </c>
      <c r="C7138" s="2" t="str">
        <f ca="1">IFERROR(__xludf.DUMMYFUNCTION("GOOGLETRANSLATE(A7138,""bn"",""en"")"),"I attended the meeting")</f>
        <v>I attended the meeting</v>
      </c>
      <c r="D7138" s="5"/>
      <c r="E7138" s="5"/>
      <c r="F7138" s="5"/>
      <c r="G7138" s="5"/>
      <c r="H7138" s="5"/>
      <c r="I7138" s="5"/>
      <c r="J7138" s="5"/>
      <c r="K7138" s="5"/>
      <c r="L7138" s="5"/>
      <c r="M7138" s="5"/>
      <c r="N7138" s="5"/>
      <c r="O7138" s="5"/>
      <c r="P7138" s="5"/>
      <c r="Q7138" s="5"/>
      <c r="R7138" s="5"/>
      <c r="S7138" s="5"/>
      <c r="T7138" s="5"/>
      <c r="U7138" s="5"/>
      <c r="V7138" s="5"/>
      <c r="W7138" s="5"/>
      <c r="X7138" s="5"/>
      <c r="Y7138" s="5"/>
      <c r="Z7138" s="5"/>
    </row>
    <row r="7139" spans="1:26" ht="15" x14ac:dyDescent="0.25">
      <c r="A7139" s="4" t="s">
        <v>7137</v>
      </c>
      <c r="B7139" s="4" t="s">
        <v>4550</v>
      </c>
      <c r="C7139" s="2" t="str">
        <f ca="1">IFERROR(__xludf.DUMMYFUNCTION("GOOGLETRANSLATE(A7139,""bn"",""en"")"),"The bank was becoming permanent")</f>
        <v>The bank was becoming permanent</v>
      </c>
      <c r="D7139" s="5"/>
      <c r="E7139" s="5"/>
      <c r="F7139" s="5"/>
      <c r="G7139" s="5"/>
      <c r="H7139" s="5"/>
      <c r="I7139" s="5"/>
      <c r="J7139" s="5"/>
      <c r="K7139" s="5"/>
      <c r="L7139" s="5"/>
      <c r="M7139" s="5"/>
      <c r="N7139" s="5"/>
      <c r="O7139" s="5"/>
      <c r="P7139" s="5"/>
      <c r="Q7139" s="5"/>
      <c r="R7139" s="5"/>
      <c r="S7139" s="5"/>
      <c r="T7139" s="5"/>
      <c r="U7139" s="5"/>
      <c r="V7139" s="5"/>
      <c r="W7139" s="5"/>
      <c r="X7139" s="5"/>
      <c r="Y7139" s="5"/>
      <c r="Z7139" s="5"/>
    </row>
    <row r="7140" spans="1:26" ht="15" x14ac:dyDescent="0.25">
      <c r="A7140" s="4" t="s">
        <v>7138</v>
      </c>
      <c r="B7140" s="4" t="s">
        <v>4550</v>
      </c>
      <c r="C7140" s="2" t="str">
        <f ca="1">IFERROR(__xludf.DUMMYFUNCTION("GOOGLETRANSLATE(A7140,""bn"",""en"")"),"I did mobile banking")</f>
        <v>I did mobile banking</v>
      </c>
      <c r="D7140" s="5"/>
      <c r="E7140" s="5"/>
      <c r="F7140" s="5"/>
      <c r="G7140" s="5"/>
      <c r="H7140" s="5"/>
      <c r="I7140" s="5"/>
      <c r="J7140" s="5"/>
      <c r="K7140" s="5"/>
      <c r="L7140" s="5"/>
      <c r="M7140" s="5"/>
      <c r="N7140" s="5"/>
      <c r="O7140" s="5"/>
      <c r="P7140" s="5"/>
      <c r="Q7140" s="5"/>
      <c r="R7140" s="5"/>
      <c r="S7140" s="5"/>
      <c r="T7140" s="5"/>
      <c r="U7140" s="5"/>
      <c r="V7140" s="5"/>
      <c r="W7140" s="5"/>
      <c r="X7140" s="5"/>
      <c r="Y7140" s="5"/>
      <c r="Z7140" s="5"/>
    </row>
    <row r="7141" spans="1:26" ht="15" x14ac:dyDescent="0.25">
      <c r="A7141" s="4" t="s">
        <v>7139</v>
      </c>
      <c r="B7141" s="4" t="s">
        <v>4550</v>
      </c>
      <c r="C7141" s="2" t="str">
        <f ca="1">IFERROR(__xludf.DUMMYFUNCTION("GOOGLETRANSLATE(A7141,""bn"",""en"")"),"Students used to play in college")</f>
        <v>Students used to play in college</v>
      </c>
      <c r="D7141" s="5"/>
      <c r="E7141" s="5"/>
      <c r="F7141" s="5"/>
      <c r="G7141" s="5"/>
      <c r="H7141" s="5"/>
      <c r="I7141" s="5"/>
      <c r="J7141" s="5"/>
      <c r="K7141" s="5"/>
      <c r="L7141" s="5"/>
      <c r="M7141" s="5"/>
      <c r="N7141" s="5"/>
      <c r="O7141" s="5"/>
      <c r="P7141" s="5"/>
      <c r="Q7141" s="5"/>
      <c r="R7141" s="5"/>
      <c r="S7141" s="5"/>
      <c r="T7141" s="5"/>
      <c r="U7141" s="5"/>
      <c r="V7141" s="5"/>
      <c r="W7141" s="5"/>
      <c r="X7141" s="5"/>
      <c r="Y7141" s="5"/>
      <c r="Z7141" s="5"/>
    </row>
    <row r="7142" spans="1:26" ht="15" x14ac:dyDescent="0.25">
      <c r="A7142" s="4" t="s">
        <v>7140</v>
      </c>
      <c r="B7142" s="4" t="s">
        <v>4550</v>
      </c>
      <c r="C7142" s="2" t="str">
        <f ca="1">IFERROR(__xludf.DUMMYFUNCTION("GOOGLETRANSLATE(A7142,""bn"",""en"")"),"Calculated")</f>
        <v>Calculated</v>
      </c>
      <c r="D7142" s="5"/>
      <c r="E7142" s="5"/>
      <c r="F7142" s="5"/>
      <c r="G7142" s="5"/>
      <c r="H7142" s="5"/>
      <c r="I7142" s="5"/>
      <c r="J7142" s="5"/>
      <c r="K7142" s="5"/>
      <c r="L7142" s="5"/>
      <c r="M7142" s="5"/>
      <c r="N7142" s="5"/>
      <c r="O7142" s="5"/>
      <c r="P7142" s="5"/>
      <c r="Q7142" s="5"/>
      <c r="R7142" s="5"/>
      <c r="S7142" s="5"/>
      <c r="T7142" s="5"/>
      <c r="U7142" s="5"/>
      <c r="V7142" s="5"/>
      <c r="W7142" s="5"/>
      <c r="X7142" s="5"/>
      <c r="Y7142" s="5"/>
      <c r="Z7142" s="5"/>
    </row>
    <row r="7143" spans="1:26" ht="15" x14ac:dyDescent="0.25">
      <c r="A7143" s="4" t="s">
        <v>7141</v>
      </c>
      <c r="B7143" s="4" t="s">
        <v>4550</v>
      </c>
      <c r="C7143" s="2" t="str">
        <f ca="1">IFERROR(__xludf.DUMMYFUNCTION("GOOGLETRANSLATE(A7143,""bn"",""en"")"),"The ocean spread softness")</f>
        <v>The ocean spread softness</v>
      </c>
      <c r="D7143" s="5"/>
      <c r="E7143" s="5"/>
      <c r="F7143" s="5"/>
      <c r="G7143" s="5"/>
      <c r="H7143" s="5"/>
      <c r="I7143" s="5"/>
      <c r="J7143" s="5"/>
      <c r="K7143" s="5"/>
      <c r="L7143" s="5"/>
      <c r="M7143" s="5"/>
      <c r="N7143" s="5"/>
      <c r="O7143" s="5"/>
      <c r="P7143" s="5"/>
      <c r="Q7143" s="5"/>
      <c r="R7143" s="5"/>
      <c r="S7143" s="5"/>
      <c r="T7143" s="5"/>
      <c r="U7143" s="5"/>
      <c r="V7143" s="5"/>
      <c r="W7143" s="5"/>
      <c r="X7143" s="5"/>
      <c r="Y7143" s="5"/>
      <c r="Z7143" s="5"/>
    </row>
    <row r="7144" spans="1:26" ht="15" x14ac:dyDescent="0.25">
      <c r="A7144" s="4" t="s">
        <v>7142</v>
      </c>
      <c r="B7144" s="4" t="s">
        <v>4550</v>
      </c>
      <c r="C7144" s="2" t="str">
        <f ca="1">IFERROR(__xludf.DUMMYFUNCTION("GOOGLETRANSLATE(A7144,""bn"",""en"")"),"History was discussed")</f>
        <v>History was discussed</v>
      </c>
      <c r="D7144" s="5"/>
      <c r="E7144" s="5"/>
      <c r="F7144" s="5"/>
      <c r="G7144" s="5"/>
      <c r="H7144" s="5"/>
      <c r="I7144" s="5"/>
      <c r="J7144" s="5"/>
      <c r="K7144" s="5"/>
      <c r="L7144" s="5"/>
      <c r="M7144" s="5"/>
      <c r="N7144" s="5"/>
      <c r="O7144" s="5"/>
      <c r="P7144" s="5"/>
      <c r="Q7144" s="5"/>
      <c r="R7144" s="5"/>
      <c r="S7144" s="5"/>
      <c r="T7144" s="5"/>
      <c r="U7144" s="5"/>
      <c r="V7144" s="5"/>
      <c r="W7144" s="5"/>
      <c r="X7144" s="5"/>
      <c r="Y7144" s="5"/>
      <c r="Z7144" s="5"/>
    </row>
    <row r="7145" spans="1:26" ht="15" x14ac:dyDescent="0.25">
      <c r="A7145" s="4" t="s">
        <v>7143</v>
      </c>
      <c r="B7145" s="4" t="s">
        <v>4550</v>
      </c>
      <c r="C7145" s="2" t="str">
        <f ca="1">IFERROR(__xludf.DUMMYFUNCTION("GOOGLETRANSLATE(A7145,""bn"",""en"")"),"I was doing online course")</f>
        <v>I was doing online course</v>
      </c>
      <c r="D7145" s="5"/>
      <c r="E7145" s="5"/>
      <c r="F7145" s="5"/>
      <c r="G7145" s="5"/>
      <c r="H7145" s="5"/>
      <c r="I7145" s="5"/>
      <c r="J7145" s="5"/>
      <c r="K7145" s="5"/>
      <c r="L7145" s="5"/>
      <c r="M7145" s="5"/>
      <c r="N7145" s="5"/>
      <c r="O7145" s="5"/>
      <c r="P7145" s="5"/>
      <c r="Q7145" s="5"/>
      <c r="R7145" s="5"/>
      <c r="S7145" s="5"/>
      <c r="T7145" s="5"/>
      <c r="U7145" s="5"/>
      <c r="V7145" s="5"/>
      <c r="W7145" s="5"/>
      <c r="X7145" s="5"/>
      <c r="Y7145" s="5"/>
      <c r="Z7145" s="5"/>
    </row>
    <row r="7146" spans="1:26" ht="15" x14ac:dyDescent="0.25">
      <c r="A7146" s="4" t="s">
        <v>7144</v>
      </c>
      <c r="B7146" s="4" t="s">
        <v>4550</v>
      </c>
      <c r="C7146" s="2" t="str">
        <f ca="1">IFERROR(__xludf.DUMMYFUNCTION("GOOGLETRANSLATE(A7146,""bn"",""en"")"),"Had knowledge of technology")</f>
        <v>Had knowledge of technology</v>
      </c>
      <c r="D7146" s="5"/>
      <c r="E7146" s="5"/>
      <c r="F7146" s="5"/>
      <c r="G7146" s="5"/>
      <c r="H7146" s="5"/>
      <c r="I7146" s="5"/>
      <c r="J7146" s="5"/>
      <c r="K7146" s="5"/>
      <c r="L7146" s="5"/>
      <c r="M7146" s="5"/>
      <c r="N7146" s="5"/>
      <c r="O7146" s="5"/>
      <c r="P7146" s="5"/>
      <c r="Q7146" s="5"/>
      <c r="R7146" s="5"/>
      <c r="S7146" s="5"/>
      <c r="T7146" s="5"/>
      <c r="U7146" s="5"/>
      <c r="V7146" s="5"/>
      <c r="W7146" s="5"/>
      <c r="X7146" s="5"/>
      <c r="Y7146" s="5"/>
      <c r="Z7146" s="5"/>
    </row>
    <row r="7147" spans="1:26" ht="15" x14ac:dyDescent="0.25">
      <c r="A7147" s="4" t="s">
        <v>7145</v>
      </c>
      <c r="B7147" s="4" t="s">
        <v>4550</v>
      </c>
      <c r="C7147" s="2" t="str">
        <f ca="1">IFERROR(__xludf.DUMMYFUNCTION("GOOGLETRANSLATE(A7147,""bn"",""en"")"),"He blogged")</f>
        <v>He blogged</v>
      </c>
      <c r="D7147" s="5"/>
      <c r="E7147" s="5"/>
      <c r="F7147" s="5"/>
      <c r="G7147" s="5"/>
      <c r="H7147" s="5"/>
      <c r="I7147" s="5"/>
      <c r="J7147" s="5"/>
      <c r="K7147" s="5"/>
      <c r="L7147" s="5"/>
      <c r="M7147" s="5"/>
      <c r="N7147" s="5"/>
      <c r="O7147" s="5"/>
      <c r="P7147" s="5"/>
      <c r="Q7147" s="5"/>
      <c r="R7147" s="5"/>
      <c r="S7147" s="5"/>
      <c r="T7147" s="5"/>
      <c r="U7147" s="5"/>
      <c r="V7147" s="5"/>
      <c r="W7147" s="5"/>
      <c r="X7147" s="5"/>
      <c r="Y7147" s="5"/>
      <c r="Z7147" s="5"/>
    </row>
    <row r="7148" spans="1:26" ht="15" x14ac:dyDescent="0.25">
      <c r="A7148" s="4" t="s">
        <v>7146</v>
      </c>
      <c r="B7148" s="4" t="s">
        <v>4550</v>
      </c>
      <c r="C7148" s="2" t="str">
        <f ca="1">IFERROR(__xludf.DUMMYFUNCTION("GOOGLETRANSLATE(A7148,""bn"",""en"")"),"Travelers were travelers")</f>
        <v>Travelers were travelers</v>
      </c>
      <c r="D7148" s="5"/>
      <c r="E7148" s="5"/>
      <c r="F7148" s="5"/>
      <c r="G7148" s="5"/>
      <c r="H7148" s="5"/>
      <c r="I7148" s="5"/>
      <c r="J7148" s="5"/>
      <c r="K7148" s="5"/>
      <c r="L7148" s="5"/>
      <c r="M7148" s="5"/>
      <c r="N7148" s="5"/>
      <c r="O7148" s="5"/>
      <c r="P7148" s="5"/>
      <c r="Q7148" s="5"/>
      <c r="R7148" s="5"/>
      <c r="S7148" s="5"/>
      <c r="T7148" s="5"/>
      <c r="U7148" s="5"/>
      <c r="V7148" s="5"/>
      <c r="W7148" s="5"/>
      <c r="X7148" s="5"/>
      <c r="Y7148" s="5"/>
      <c r="Z7148" s="5"/>
    </row>
    <row r="7149" spans="1:26" ht="15" x14ac:dyDescent="0.25">
      <c r="A7149" s="4" t="s">
        <v>7147</v>
      </c>
      <c r="B7149" s="4" t="s">
        <v>4550</v>
      </c>
      <c r="C7149" s="2" t="str">
        <f ca="1">IFERROR(__xludf.DUMMYFUNCTION("GOOGLETRANSLATE(A7149,""bn"",""en"")"),"GPS turned on")</f>
        <v>GPS turned on</v>
      </c>
      <c r="D7149" s="5"/>
      <c r="E7149" s="5"/>
      <c r="F7149" s="5"/>
      <c r="G7149" s="5"/>
      <c r="H7149" s="5"/>
      <c r="I7149" s="5"/>
      <c r="J7149" s="5"/>
      <c r="K7149" s="5"/>
      <c r="L7149" s="5"/>
      <c r="M7149" s="5"/>
      <c r="N7149" s="5"/>
      <c r="O7149" s="5"/>
      <c r="P7149" s="5"/>
      <c r="Q7149" s="5"/>
      <c r="R7149" s="5"/>
      <c r="S7149" s="5"/>
      <c r="T7149" s="5"/>
      <c r="U7149" s="5"/>
      <c r="V7149" s="5"/>
      <c r="W7149" s="5"/>
      <c r="X7149" s="5"/>
      <c r="Y7149" s="5"/>
      <c r="Z7149" s="5"/>
    </row>
    <row r="7150" spans="1:26" ht="15" x14ac:dyDescent="0.25">
      <c r="A7150" s="4" t="s">
        <v>7148</v>
      </c>
      <c r="B7150" s="4" t="s">
        <v>4550</v>
      </c>
      <c r="C7150" s="2" t="str">
        <f ca="1">IFERROR(__xludf.DUMMYFUNCTION("GOOGLETRANSLATE(A7150,""bn"",""en"")"),"He blogged")</f>
        <v>He blogged</v>
      </c>
      <c r="D7150" s="5"/>
      <c r="E7150" s="5"/>
      <c r="F7150" s="5"/>
      <c r="G7150" s="5"/>
      <c r="H7150" s="5"/>
      <c r="I7150" s="5"/>
      <c r="J7150" s="5"/>
      <c r="K7150" s="5"/>
      <c r="L7150" s="5"/>
      <c r="M7150" s="5"/>
      <c r="N7150" s="5"/>
      <c r="O7150" s="5"/>
      <c r="P7150" s="5"/>
      <c r="Q7150" s="5"/>
      <c r="R7150" s="5"/>
      <c r="S7150" s="5"/>
      <c r="T7150" s="5"/>
      <c r="U7150" s="5"/>
      <c r="V7150" s="5"/>
      <c r="W7150" s="5"/>
      <c r="X7150" s="5"/>
      <c r="Y7150" s="5"/>
      <c r="Z7150" s="5"/>
    </row>
    <row r="7151" spans="1:26" ht="15" x14ac:dyDescent="0.25">
      <c r="A7151" s="4" t="s">
        <v>7149</v>
      </c>
      <c r="B7151" s="4" t="s">
        <v>4550</v>
      </c>
      <c r="C7151" s="2" t="str">
        <f ca="1">IFERROR(__xludf.DUMMYFUNCTION("GOOGLETRANSLATE(A7151,""bn"",""en"")"),"I used the camera")</f>
        <v>I used the camera</v>
      </c>
      <c r="D7151" s="5"/>
      <c r="E7151" s="5"/>
      <c r="F7151" s="5"/>
      <c r="G7151" s="5"/>
      <c r="H7151" s="5"/>
      <c r="I7151" s="5"/>
      <c r="J7151" s="5"/>
      <c r="K7151" s="5"/>
      <c r="L7151" s="5"/>
      <c r="M7151" s="5"/>
      <c r="N7151" s="5"/>
      <c r="O7151" s="5"/>
      <c r="P7151" s="5"/>
      <c r="Q7151" s="5"/>
      <c r="R7151" s="5"/>
      <c r="S7151" s="5"/>
      <c r="T7151" s="5"/>
      <c r="U7151" s="5"/>
      <c r="V7151" s="5"/>
      <c r="W7151" s="5"/>
      <c r="X7151" s="5"/>
      <c r="Y7151" s="5"/>
      <c r="Z7151" s="5"/>
    </row>
    <row r="7152" spans="1:26" ht="15" x14ac:dyDescent="0.25">
      <c r="A7152" s="4" t="s">
        <v>7150</v>
      </c>
      <c r="B7152" s="4" t="s">
        <v>4550</v>
      </c>
      <c r="C7152" s="2" t="str">
        <f ca="1">IFERROR(__xludf.DUMMYFUNCTION("GOOGLETRANSLATE(A7152,""bn"",""en"")"),"I sent money to Bikash")</f>
        <v>I sent money to Bikash</v>
      </c>
      <c r="D7152" s="5"/>
      <c r="E7152" s="5"/>
      <c r="F7152" s="5"/>
      <c r="G7152" s="5"/>
      <c r="H7152" s="5"/>
      <c r="I7152" s="5"/>
      <c r="J7152" s="5"/>
      <c r="K7152" s="5"/>
      <c r="L7152" s="5"/>
      <c r="M7152" s="5"/>
      <c r="N7152" s="5"/>
      <c r="O7152" s="5"/>
      <c r="P7152" s="5"/>
      <c r="Q7152" s="5"/>
      <c r="R7152" s="5"/>
      <c r="S7152" s="5"/>
      <c r="T7152" s="5"/>
      <c r="U7152" s="5"/>
      <c r="V7152" s="5"/>
      <c r="W7152" s="5"/>
      <c r="X7152" s="5"/>
      <c r="Y7152" s="5"/>
      <c r="Z7152" s="5"/>
    </row>
    <row r="7153" spans="1:26" ht="15" x14ac:dyDescent="0.25">
      <c r="A7153" s="4" t="s">
        <v>7151</v>
      </c>
      <c r="B7153" s="4" t="s">
        <v>4550</v>
      </c>
      <c r="C7153" s="2" t="str">
        <f ca="1">IFERROR(__xludf.DUMMYFUNCTION("GOOGLETRANSLATE(A7153,""bn"",""en"")"),"I was buying a new laptop")</f>
        <v>I was buying a new laptop</v>
      </c>
      <c r="D7153" s="5"/>
      <c r="E7153" s="5"/>
      <c r="F7153" s="5"/>
      <c r="G7153" s="5"/>
      <c r="H7153" s="5"/>
      <c r="I7153" s="5"/>
      <c r="J7153" s="5"/>
      <c r="K7153" s="5"/>
      <c r="L7153" s="5"/>
      <c r="M7153" s="5"/>
      <c r="N7153" s="5"/>
      <c r="O7153" s="5"/>
      <c r="P7153" s="5"/>
      <c r="Q7153" s="5"/>
      <c r="R7153" s="5"/>
      <c r="S7153" s="5"/>
      <c r="T7153" s="5"/>
      <c r="U7153" s="5"/>
      <c r="V7153" s="5"/>
      <c r="W7153" s="5"/>
      <c r="X7153" s="5"/>
      <c r="Y7153" s="5"/>
      <c r="Z7153" s="5"/>
    </row>
    <row r="7154" spans="1:26" ht="15" x14ac:dyDescent="0.25">
      <c r="A7154" s="4" t="s">
        <v>7152</v>
      </c>
      <c r="B7154" s="4" t="s">
        <v>4550</v>
      </c>
      <c r="C7154" s="2" t="str">
        <f ca="1">IFERROR(__xludf.DUMMYFUNCTION("GOOGLETRANSLATE(A7154,""bn"",""en"")"),"I was looking for wikipedia information")</f>
        <v>I was looking for wikipedia information</v>
      </c>
      <c r="D7154" s="5"/>
      <c r="E7154" s="5"/>
      <c r="F7154" s="5"/>
      <c r="G7154" s="5"/>
      <c r="H7154" s="5"/>
      <c r="I7154" s="5"/>
      <c r="J7154" s="5"/>
      <c r="K7154" s="5"/>
      <c r="L7154" s="5"/>
      <c r="M7154" s="5"/>
      <c r="N7154" s="5"/>
      <c r="O7154" s="5"/>
      <c r="P7154" s="5"/>
      <c r="Q7154" s="5"/>
      <c r="R7154" s="5"/>
      <c r="S7154" s="5"/>
      <c r="T7154" s="5"/>
      <c r="U7154" s="5"/>
      <c r="V7154" s="5"/>
      <c r="W7154" s="5"/>
      <c r="X7154" s="5"/>
      <c r="Y7154" s="5"/>
      <c r="Z7154" s="5"/>
    </row>
    <row r="7155" spans="1:26" ht="15" x14ac:dyDescent="0.25">
      <c r="A7155" s="4" t="s">
        <v>7153</v>
      </c>
      <c r="B7155" s="4" t="s">
        <v>4550</v>
      </c>
      <c r="C7155" s="2" t="str">
        <f ca="1">IFERROR(__xludf.DUMMYFUNCTION("GOOGLETRANSLATE(A7155,""bn"",""en"")"),"Smartphones had apps")</f>
        <v>Smartphones had apps</v>
      </c>
      <c r="D7155" s="5"/>
      <c r="E7155" s="5"/>
      <c r="F7155" s="5"/>
      <c r="G7155" s="5"/>
      <c r="H7155" s="5"/>
      <c r="I7155" s="5"/>
      <c r="J7155" s="5"/>
      <c r="K7155" s="5"/>
      <c r="L7155" s="5"/>
      <c r="M7155" s="5"/>
      <c r="N7155" s="5"/>
      <c r="O7155" s="5"/>
      <c r="P7155" s="5"/>
      <c r="Q7155" s="5"/>
      <c r="R7155" s="5"/>
      <c r="S7155" s="5"/>
      <c r="T7155" s="5"/>
      <c r="U7155" s="5"/>
      <c r="V7155" s="5"/>
      <c r="W7155" s="5"/>
      <c r="X7155" s="5"/>
      <c r="Y7155" s="5"/>
      <c r="Z7155" s="5"/>
    </row>
    <row r="7156" spans="1:26" ht="15" x14ac:dyDescent="0.25">
      <c r="A7156" s="4" t="s">
        <v>7154</v>
      </c>
      <c r="B7156" s="4" t="s">
        <v>4550</v>
      </c>
      <c r="C7156" s="2" t="str">
        <f ca="1">IFERROR(__xludf.DUMMYFUNCTION("GOOGLETRANSLATE(A7156,""bn"",""en"")"),"Looking for the ingredients of happiness")</f>
        <v>Looking for the ingredients of happiness</v>
      </c>
      <c r="D7156" s="5"/>
      <c r="E7156" s="5"/>
      <c r="F7156" s="5"/>
      <c r="G7156" s="5"/>
      <c r="H7156" s="5"/>
      <c r="I7156" s="5"/>
      <c r="J7156" s="5"/>
      <c r="K7156" s="5"/>
      <c r="L7156" s="5"/>
      <c r="M7156" s="5"/>
      <c r="N7156" s="5"/>
      <c r="O7156" s="5"/>
      <c r="P7156" s="5"/>
      <c r="Q7156" s="5"/>
      <c r="R7156" s="5"/>
      <c r="S7156" s="5"/>
      <c r="T7156" s="5"/>
      <c r="U7156" s="5"/>
      <c r="V7156" s="5"/>
      <c r="W7156" s="5"/>
      <c r="X7156" s="5"/>
      <c r="Y7156" s="5"/>
      <c r="Z7156" s="5"/>
    </row>
    <row r="7157" spans="1:26" ht="15" x14ac:dyDescent="0.25">
      <c r="A7157" s="4" t="s">
        <v>7155</v>
      </c>
      <c r="B7157" s="4" t="s">
        <v>4550</v>
      </c>
      <c r="C7157" s="2" t="str">
        <f ca="1">IFERROR(__xludf.DUMMYFUNCTION("GOOGLETRANSLATE(A7157,""bn"",""en"")"),"Enrolled for the semester")</f>
        <v>Enrolled for the semester</v>
      </c>
      <c r="D7157" s="5"/>
      <c r="E7157" s="5"/>
      <c r="F7157" s="5"/>
      <c r="G7157" s="5"/>
      <c r="H7157" s="5"/>
      <c r="I7157" s="5"/>
      <c r="J7157" s="5"/>
      <c r="K7157" s="5"/>
      <c r="L7157" s="5"/>
      <c r="M7157" s="5"/>
      <c r="N7157" s="5"/>
      <c r="O7157" s="5"/>
      <c r="P7157" s="5"/>
      <c r="Q7157" s="5"/>
      <c r="R7157" s="5"/>
      <c r="S7157" s="5"/>
      <c r="T7157" s="5"/>
      <c r="U7157" s="5"/>
      <c r="V7157" s="5"/>
      <c r="W7157" s="5"/>
      <c r="X7157" s="5"/>
      <c r="Y7157" s="5"/>
      <c r="Z7157" s="5"/>
    </row>
    <row r="7158" spans="1:26" ht="15" x14ac:dyDescent="0.25">
      <c r="A7158" s="4" t="s">
        <v>7156</v>
      </c>
      <c r="B7158" s="4" t="s">
        <v>4550</v>
      </c>
      <c r="C7158" s="2" t="str">
        <f ca="1">IFERROR(__xludf.DUMMYFUNCTION("GOOGLETRANSLATE(A7158,""bn"",""en"")"),"I was learning something new")</f>
        <v>I was learning something new</v>
      </c>
      <c r="D7158" s="5"/>
      <c r="E7158" s="5"/>
      <c r="F7158" s="5"/>
      <c r="G7158" s="5"/>
      <c r="H7158" s="5"/>
      <c r="I7158" s="5"/>
      <c r="J7158" s="5"/>
      <c r="K7158" s="5"/>
      <c r="L7158" s="5"/>
      <c r="M7158" s="5"/>
      <c r="N7158" s="5"/>
      <c r="O7158" s="5"/>
      <c r="P7158" s="5"/>
      <c r="Q7158" s="5"/>
      <c r="R7158" s="5"/>
      <c r="S7158" s="5"/>
      <c r="T7158" s="5"/>
      <c r="U7158" s="5"/>
      <c r="V7158" s="5"/>
      <c r="W7158" s="5"/>
      <c r="X7158" s="5"/>
      <c r="Y7158" s="5"/>
      <c r="Z7158" s="5"/>
    </row>
    <row r="7159" spans="1:26" ht="15" x14ac:dyDescent="0.25">
      <c r="A7159" s="4" t="s">
        <v>7157</v>
      </c>
      <c r="B7159" s="4" t="s">
        <v>4550</v>
      </c>
      <c r="C7159" s="2" t="str">
        <f ca="1">IFERROR(__xludf.DUMMYFUNCTION("GOOGLETRANSLATE(A7159,""bn"",""en"")"),"I bought a new laptop and gave it to him")</f>
        <v>I bought a new laptop and gave it to him</v>
      </c>
      <c r="D7159" s="5"/>
      <c r="E7159" s="5"/>
      <c r="F7159" s="5"/>
      <c r="G7159" s="5"/>
      <c r="H7159" s="5"/>
      <c r="I7159" s="5"/>
      <c r="J7159" s="5"/>
      <c r="K7159" s="5"/>
      <c r="L7159" s="5"/>
      <c r="M7159" s="5"/>
      <c r="N7159" s="5"/>
      <c r="O7159" s="5"/>
      <c r="P7159" s="5"/>
      <c r="Q7159" s="5"/>
      <c r="R7159" s="5"/>
      <c r="S7159" s="5"/>
      <c r="T7159" s="5"/>
      <c r="U7159" s="5"/>
      <c r="V7159" s="5"/>
      <c r="W7159" s="5"/>
      <c r="X7159" s="5"/>
      <c r="Y7159" s="5"/>
      <c r="Z7159" s="5"/>
    </row>
    <row r="7160" spans="1:26" ht="15" x14ac:dyDescent="0.25">
      <c r="A7160" s="4" t="s">
        <v>7158</v>
      </c>
      <c r="B7160" s="4" t="s">
        <v>4550</v>
      </c>
      <c r="C7160" s="2" t="str">
        <f ca="1">IFERROR(__xludf.DUMMYFUNCTION("GOOGLETRANSLATE(A7160,""bn"",""en"")"),"I went to school")</f>
        <v>I went to school</v>
      </c>
      <c r="D7160" s="5"/>
      <c r="E7160" s="5"/>
      <c r="F7160" s="5"/>
      <c r="G7160" s="5"/>
      <c r="H7160" s="5"/>
      <c r="I7160" s="5"/>
      <c r="J7160" s="5"/>
      <c r="K7160" s="5"/>
      <c r="L7160" s="5"/>
      <c r="M7160" s="5"/>
      <c r="N7160" s="5"/>
      <c r="O7160" s="5"/>
      <c r="P7160" s="5"/>
      <c r="Q7160" s="5"/>
      <c r="R7160" s="5"/>
      <c r="S7160" s="5"/>
      <c r="T7160" s="5"/>
      <c r="U7160" s="5"/>
      <c r="V7160" s="5"/>
      <c r="W7160" s="5"/>
      <c r="X7160" s="5"/>
      <c r="Y7160" s="5"/>
      <c r="Z7160" s="5"/>
    </row>
    <row r="7161" spans="1:26" ht="15" x14ac:dyDescent="0.25">
      <c r="A7161" s="4" t="s">
        <v>7159</v>
      </c>
      <c r="B7161" s="4" t="s">
        <v>4550</v>
      </c>
      <c r="C7161" s="2" t="str">
        <f ca="1">IFERROR(__xludf.DUMMYFUNCTION("GOOGLETRANSLATE(A7161,""bn"",""en"")"),"I took protective medicine")</f>
        <v>I took protective medicine</v>
      </c>
      <c r="D7161" s="5"/>
      <c r="E7161" s="5"/>
      <c r="F7161" s="5"/>
      <c r="G7161" s="5"/>
      <c r="H7161" s="5"/>
      <c r="I7161" s="5"/>
      <c r="J7161" s="5"/>
      <c r="K7161" s="5"/>
      <c r="L7161" s="5"/>
      <c r="M7161" s="5"/>
      <c r="N7161" s="5"/>
      <c r="O7161" s="5"/>
      <c r="P7161" s="5"/>
      <c r="Q7161" s="5"/>
      <c r="R7161" s="5"/>
      <c r="S7161" s="5"/>
      <c r="T7161" s="5"/>
      <c r="U7161" s="5"/>
      <c r="V7161" s="5"/>
      <c r="W7161" s="5"/>
      <c r="X7161" s="5"/>
      <c r="Y7161" s="5"/>
      <c r="Z7161" s="5"/>
    </row>
    <row r="7162" spans="1:26" ht="15" x14ac:dyDescent="0.25">
      <c r="A7162" s="4" t="s">
        <v>7160</v>
      </c>
      <c r="B7162" s="4" t="s">
        <v>4550</v>
      </c>
      <c r="C7162" s="2" t="str">
        <f ca="1">IFERROR(__xludf.DUMMYFUNCTION("GOOGLETRANSLATE(A7162,""bn"",""en"")"),"I tried the software")</f>
        <v>I tried the software</v>
      </c>
      <c r="D7162" s="5"/>
      <c r="E7162" s="5"/>
      <c r="F7162" s="5"/>
      <c r="G7162" s="5"/>
      <c r="H7162" s="5"/>
      <c r="I7162" s="5"/>
      <c r="J7162" s="5"/>
      <c r="K7162" s="5"/>
      <c r="L7162" s="5"/>
      <c r="M7162" s="5"/>
      <c r="N7162" s="5"/>
      <c r="O7162" s="5"/>
      <c r="P7162" s="5"/>
      <c r="Q7162" s="5"/>
      <c r="R7162" s="5"/>
      <c r="S7162" s="5"/>
      <c r="T7162" s="5"/>
      <c r="U7162" s="5"/>
      <c r="V7162" s="5"/>
      <c r="W7162" s="5"/>
      <c r="X7162" s="5"/>
      <c r="Y7162" s="5"/>
      <c r="Z7162" s="5"/>
    </row>
    <row r="7163" spans="1:26" ht="15" x14ac:dyDescent="0.25">
      <c r="A7163" s="4" t="s">
        <v>7161</v>
      </c>
      <c r="B7163" s="4" t="s">
        <v>4550</v>
      </c>
      <c r="C7163" s="2" t="str">
        <f ca="1">IFERROR(__xludf.DUMMYFUNCTION("GOOGLETRANSLATE(A7163,""bn"",""en"")"),"If you help street children")</f>
        <v>If you help street children</v>
      </c>
      <c r="D7163" s="5"/>
      <c r="E7163" s="5"/>
      <c r="F7163" s="5"/>
      <c r="G7163" s="5"/>
      <c r="H7163" s="5"/>
      <c r="I7163" s="5"/>
      <c r="J7163" s="5"/>
      <c r="K7163" s="5"/>
      <c r="L7163" s="5"/>
      <c r="M7163" s="5"/>
      <c r="N7163" s="5"/>
      <c r="O7163" s="5"/>
      <c r="P7163" s="5"/>
      <c r="Q7163" s="5"/>
      <c r="R7163" s="5"/>
      <c r="S7163" s="5"/>
      <c r="T7163" s="5"/>
      <c r="U7163" s="5"/>
      <c r="V7163" s="5"/>
      <c r="W7163" s="5"/>
      <c r="X7163" s="5"/>
      <c r="Y7163" s="5"/>
      <c r="Z7163" s="5"/>
    </row>
    <row r="7164" spans="1:26" ht="15" x14ac:dyDescent="0.25">
      <c r="A7164" s="4" t="s">
        <v>7162</v>
      </c>
      <c r="B7164" s="4" t="s">
        <v>4550</v>
      </c>
      <c r="C7164" s="2" t="str">
        <f ca="1">IFERROR(__xludf.DUMMYFUNCTION("GOOGLETRANSLATE(A7164,""bn"",""en"")"),"They wrote poetry")</f>
        <v>They wrote poetry</v>
      </c>
      <c r="D7164" s="5"/>
      <c r="E7164" s="5"/>
      <c r="F7164" s="5"/>
      <c r="G7164" s="5"/>
      <c r="H7164" s="5"/>
      <c r="I7164" s="5"/>
      <c r="J7164" s="5"/>
      <c r="K7164" s="5"/>
      <c r="L7164" s="5"/>
      <c r="M7164" s="5"/>
      <c r="N7164" s="5"/>
      <c r="O7164" s="5"/>
      <c r="P7164" s="5"/>
      <c r="Q7164" s="5"/>
      <c r="R7164" s="5"/>
      <c r="S7164" s="5"/>
      <c r="T7164" s="5"/>
      <c r="U7164" s="5"/>
      <c r="V7164" s="5"/>
      <c r="W7164" s="5"/>
      <c r="X7164" s="5"/>
      <c r="Y7164" s="5"/>
      <c r="Z7164" s="5"/>
    </row>
    <row r="7165" spans="1:26" ht="15" x14ac:dyDescent="0.25">
      <c r="A7165" s="4" t="s">
        <v>7163</v>
      </c>
      <c r="B7165" s="4" t="s">
        <v>4550</v>
      </c>
      <c r="C7165" s="2" t="str">
        <f ca="1">IFERROR(__xludf.DUMMYFUNCTION("GOOGLETRANSLATE(A7165,""bn"",""en"")"),"He used to read books")</f>
        <v>He used to read books</v>
      </c>
      <c r="D7165" s="5"/>
      <c r="E7165" s="5"/>
      <c r="F7165" s="5"/>
      <c r="G7165" s="5"/>
      <c r="H7165" s="5"/>
      <c r="I7165" s="5"/>
      <c r="J7165" s="5"/>
      <c r="K7165" s="5"/>
      <c r="L7165" s="5"/>
      <c r="M7165" s="5"/>
      <c r="N7165" s="5"/>
      <c r="O7165" s="5"/>
      <c r="P7165" s="5"/>
      <c r="Q7165" s="5"/>
      <c r="R7165" s="5"/>
      <c r="S7165" s="5"/>
      <c r="T7165" s="5"/>
      <c r="U7165" s="5"/>
      <c r="V7165" s="5"/>
      <c r="W7165" s="5"/>
      <c r="X7165" s="5"/>
      <c r="Y7165" s="5"/>
      <c r="Z7165" s="5"/>
    </row>
    <row r="7166" spans="1:26" ht="15" x14ac:dyDescent="0.25">
      <c r="A7166" s="4" t="s">
        <v>7164</v>
      </c>
      <c r="B7166" s="4" t="s">
        <v>4550</v>
      </c>
      <c r="C7166" s="2" t="str">
        <f ca="1">IFERROR(__xludf.DUMMYFUNCTION("GOOGLETRANSLATE(A7166,""bn"",""en"")"),"He spent his life in the dormitory")</f>
        <v>He spent his life in the dormitory</v>
      </c>
      <c r="D7166" s="5"/>
      <c r="E7166" s="5"/>
      <c r="F7166" s="5"/>
      <c r="G7166" s="5"/>
      <c r="H7166" s="5"/>
      <c r="I7166" s="5"/>
      <c r="J7166" s="5"/>
      <c r="K7166" s="5"/>
      <c r="L7166" s="5"/>
      <c r="M7166" s="5"/>
      <c r="N7166" s="5"/>
      <c r="O7166" s="5"/>
      <c r="P7166" s="5"/>
      <c r="Q7166" s="5"/>
      <c r="R7166" s="5"/>
      <c r="S7166" s="5"/>
      <c r="T7166" s="5"/>
      <c r="U7166" s="5"/>
      <c r="V7166" s="5"/>
      <c r="W7166" s="5"/>
      <c r="X7166" s="5"/>
      <c r="Y7166" s="5"/>
      <c r="Z7166" s="5"/>
    </row>
    <row r="7167" spans="1:26" ht="15" x14ac:dyDescent="0.25">
      <c r="A7167" s="4" t="s">
        <v>7165</v>
      </c>
      <c r="B7167" s="4" t="s">
        <v>4550</v>
      </c>
      <c r="C7167" s="2" t="str">
        <f ca="1">IFERROR(__xludf.DUMMYFUNCTION("GOOGLETRANSLATE(A7167,""bn"",""en"")"),"He wrote notes")</f>
        <v>He wrote notes</v>
      </c>
      <c r="D7167" s="5"/>
      <c r="E7167" s="5"/>
      <c r="F7167" s="5"/>
      <c r="G7167" s="5"/>
      <c r="H7167" s="5"/>
      <c r="I7167" s="5"/>
      <c r="J7167" s="5"/>
      <c r="K7167" s="5"/>
      <c r="L7167" s="5"/>
      <c r="M7167" s="5"/>
      <c r="N7167" s="5"/>
      <c r="O7167" s="5"/>
      <c r="P7167" s="5"/>
      <c r="Q7167" s="5"/>
      <c r="R7167" s="5"/>
      <c r="S7167" s="5"/>
      <c r="T7167" s="5"/>
      <c r="U7167" s="5"/>
      <c r="V7167" s="5"/>
      <c r="W7167" s="5"/>
      <c r="X7167" s="5"/>
      <c r="Y7167" s="5"/>
      <c r="Z7167" s="5"/>
    </row>
    <row r="7168" spans="1:26" ht="15" x14ac:dyDescent="0.25">
      <c r="A7168" s="4" t="s">
        <v>7166</v>
      </c>
      <c r="B7168" s="4" t="s">
        <v>4550</v>
      </c>
      <c r="C7168" s="2" t="str">
        <f ca="1">IFERROR(__xludf.DUMMYFUNCTION("GOOGLETRANSLATE(A7168,""bn"",""en"")"),"you read english")</f>
        <v>you read english</v>
      </c>
      <c r="D7168" s="5"/>
      <c r="E7168" s="5"/>
      <c r="F7168" s="5"/>
      <c r="G7168" s="5"/>
      <c r="H7168" s="5"/>
      <c r="I7168" s="5"/>
      <c r="J7168" s="5"/>
      <c r="K7168" s="5"/>
      <c r="L7168" s="5"/>
      <c r="M7168" s="5"/>
      <c r="N7168" s="5"/>
      <c r="O7168" s="5"/>
      <c r="P7168" s="5"/>
      <c r="Q7168" s="5"/>
      <c r="R7168" s="5"/>
      <c r="S7168" s="5"/>
      <c r="T7168" s="5"/>
      <c r="U7168" s="5"/>
      <c r="V7168" s="5"/>
      <c r="W7168" s="5"/>
      <c r="X7168" s="5"/>
      <c r="Y7168" s="5"/>
      <c r="Z7168" s="5"/>
    </row>
    <row r="7169" spans="1:26" ht="15" x14ac:dyDescent="0.25">
      <c r="A7169" s="4" t="s">
        <v>7167</v>
      </c>
      <c r="B7169" s="4" t="s">
        <v>4550</v>
      </c>
      <c r="C7169" s="2" t="str">
        <f ca="1">IFERROR(__xludf.DUMMYFUNCTION("GOOGLETRANSLATE(A7169,""bn"",""en"")"),"Fishermen were catching fish")</f>
        <v>Fishermen were catching fish</v>
      </c>
      <c r="D7169" s="5"/>
      <c r="E7169" s="5"/>
      <c r="F7169" s="5"/>
      <c r="G7169" s="5"/>
      <c r="H7169" s="5"/>
      <c r="I7169" s="5"/>
      <c r="J7169" s="5"/>
      <c r="K7169" s="5"/>
      <c r="L7169" s="5"/>
      <c r="M7169" s="5"/>
      <c r="N7169" s="5"/>
      <c r="O7169" s="5"/>
      <c r="P7169" s="5"/>
      <c r="Q7169" s="5"/>
      <c r="R7169" s="5"/>
      <c r="S7169" s="5"/>
      <c r="T7169" s="5"/>
      <c r="U7169" s="5"/>
      <c r="V7169" s="5"/>
      <c r="W7169" s="5"/>
      <c r="X7169" s="5"/>
      <c r="Y7169" s="5"/>
      <c r="Z7169" s="5"/>
    </row>
    <row r="7170" spans="1:26" ht="15" x14ac:dyDescent="0.25">
      <c r="A7170" s="4" t="s">
        <v>7168</v>
      </c>
      <c r="B7170" s="4" t="s">
        <v>4550</v>
      </c>
      <c r="C7170" s="2" t="str">
        <f ca="1">IFERROR(__xludf.DUMMYFUNCTION("GOOGLETRANSLATE(A7170,""bn"",""en"")"),"I opened the door of learning")</f>
        <v>I opened the door of learning</v>
      </c>
      <c r="D7170" s="5"/>
      <c r="E7170" s="5"/>
      <c r="F7170" s="5"/>
      <c r="G7170" s="5"/>
      <c r="H7170" s="5"/>
      <c r="I7170" s="5"/>
      <c r="J7170" s="5"/>
      <c r="K7170" s="5"/>
      <c r="L7170" s="5"/>
      <c r="M7170" s="5"/>
      <c r="N7170" s="5"/>
      <c r="O7170" s="5"/>
      <c r="P7170" s="5"/>
      <c r="Q7170" s="5"/>
      <c r="R7170" s="5"/>
      <c r="S7170" s="5"/>
      <c r="T7170" s="5"/>
      <c r="U7170" s="5"/>
      <c r="V7170" s="5"/>
      <c r="W7170" s="5"/>
      <c r="X7170" s="5"/>
      <c r="Y7170" s="5"/>
      <c r="Z7170" s="5"/>
    </row>
    <row r="7171" spans="1:26" ht="15" x14ac:dyDescent="0.25">
      <c r="A7171" s="4" t="s">
        <v>7169</v>
      </c>
      <c r="B7171" s="4" t="s">
        <v>4550</v>
      </c>
      <c r="C7171" s="2" t="str">
        <f ca="1">IFERROR(__xludf.DUMMYFUNCTION("GOOGLETRANSLATE(A7171,""bn"",""en"")"),"I asked for benefits in life")</f>
        <v>I asked for benefits in life</v>
      </c>
      <c r="D7171" s="5"/>
      <c r="E7171" s="5"/>
      <c r="F7171" s="5"/>
      <c r="G7171" s="5"/>
      <c r="H7171" s="5"/>
      <c r="I7171" s="5"/>
      <c r="J7171" s="5"/>
      <c r="K7171" s="5"/>
      <c r="L7171" s="5"/>
      <c r="M7171" s="5"/>
      <c r="N7171" s="5"/>
      <c r="O7171" s="5"/>
      <c r="P7171" s="5"/>
      <c r="Q7171" s="5"/>
      <c r="R7171" s="5"/>
      <c r="S7171" s="5"/>
      <c r="T7171" s="5"/>
      <c r="U7171" s="5"/>
      <c r="V7171" s="5"/>
      <c r="W7171" s="5"/>
      <c r="X7171" s="5"/>
      <c r="Y7171" s="5"/>
      <c r="Z7171" s="5"/>
    </row>
    <row r="7172" spans="1:26" ht="15" x14ac:dyDescent="0.25">
      <c r="A7172" s="4" t="s">
        <v>7170</v>
      </c>
      <c r="B7172" s="4" t="s">
        <v>4550</v>
      </c>
      <c r="C7172" s="2" t="str">
        <f ca="1">IFERROR(__xludf.DUMMYFUNCTION("GOOGLETRANSLATE(A7172,""bn"",""en"")"),"I used drones")</f>
        <v>I used drones</v>
      </c>
      <c r="D7172" s="5"/>
      <c r="E7172" s="5"/>
      <c r="F7172" s="5"/>
      <c r="G7172" s="5"/>
      <c r="H7172" s="5"/>
      <c r="I7172" s="5"/>
      <c r="J7172" s="5"/>
      <c r="K7172" s="5"/>
      <c r="L7172" s="5"/>
      <c r="M7172" s="5"/>
      <c r="N7172" s="5"/>
      <c r="O7172" s="5"/>
      <c r="P7172" s="5"/>
      <c r="Q7172" s="5"/>
      <c r="R7172" s="5"/>
      <c r="S7172" s="5"/>
      <c r="T7172" s="5"/>
      <c r="U7172" s="5"/>
      <c r="V7172" s="5"/>
      <c r="W7172" s="5"/>
      <c r="X7172" s="5"/>
      <c r="Y7172" s="5"/>
      <c r="Z7172" s="5"/>
    </row>
    <row r="7173" spans="1:26" ht="15" x14ac:dyDescent="0.25">
      <c r="A7173" s="4" t="s">
        <v>7171</v>
      </c>
      <c r="B7173" s="4" t="s">
        <v>4550</v>
      </c>
      <c r="C7173" s="2" t="str">
        <f ca="1">IFERROR(__xludf.DUMMYFUNCTION("GOOGLETRANSLATE(A7173,""bn"",""en"")"),"I was using the radio")</f>
        <v>I was using the radio</v>
      </c>
      <c r="D7173" s="5"/>
      <c r="E7173" s="5"/>
      <c r="F7173" s="5"/>
      <c r="G7173" s="5"/>
      <c r="H7173" s="5"/>
      <c r="I7173" s="5"/>
      <c r="J7173" s="5"/>
      <c r="K7173" s="5"/>
      <c r="L7173" s="5"/>
      <c r="M7173" s="5"/>
      <c r="N7173" s="5"/>
      <c r="O7173" s="5"/>
      <c r="P7173" s="5"/>
      <c r="Q7173" s="5"/>
      <c r="R7173" s="5"/>
      <c r="S7173" s="5"/>
      <c r="T7173" s="5"/>
      <c r="U7173" s="5"/>
      <c r="V7173" s="5"/>
      <c r="W7173" s="5"/>
      <c r="X7173" s="5"/>
      <c r="Y7173" s="5"/>
      <c r="Z7173" s="5"/>
    </row>
    <row r="7174" spans="1:26" ht="15" x14ac:dyDescent="0.25">
      <c r="A7174" s="4" t="s">
        <v>7172</v>
      </c>
      <c r="B7174" s="4" t="s">
        <v>4550</v>
      </c>
      <c r="C7174" s="2" t="str">
        <f ca="1">IFERROR(__xludf.DUMMYFUNCTION("GOOGLETRANSLATE(A7174,""bn"",""en"")"),"The students were playing football")</f>
        <v>The students were playing football</v>
      </c>
      <c r="D7174" s="5"/>
      <c r="E7174" s="5"/>
      <c r="F7174" s="5"/>
      <c r="G7174" s="5"/>
      <c r="H7174" s="5"/>
      <c r="I7174" s="5"/>
      <c r="J7174" s="5"/>
      <c r="K7174" s="5"/>
      <c r="L7174" s="5"/>
      <c r="M7174" s="5"/>
      <c r="N7174" s="5"/>
      <c r="O7174" s="5"/>
      <c r="P7174" s="5"/>
      <c r="Q7174" s="5"/>
      <c r="R7174" s="5"/>
      <c r="S7174" s="5"/>
      <c r="T7174" s="5"/>
      <c r="U7174" s="5"/>
      <c r="V7174" s="5"/>
      <c r="W7174" s="5"/>
      <c r="X7174" s="5"/>
      <c r="Y7174" s="5"/>
      <c r="Z7174" s="5"/>
    </row>
    <row r="7175" spans="1:26" ht="15" x14ac:dyDescent="0.25">
      <c r="A7175" s="4" t="s">
        <v>7173</v>
      </c>
      <c r="B7175" s="4" t="s">
        <v>4550</v>
      </c>
      <c r="C7175" s="2" t="str">
        <f ca="1">IFERROR(__xludf.DUMMYFUNCTION("GOOGLETRANSLATE(A7175,""bn"",""en"")"),"I used to use Nexus")</f>
        <v>I used to use Nexus</v>
      </c>
      <c r="D7175" s="5"/>
      <c r="E7175" s="5"/>
      <c r="F7175" s="5"/>
      <c r="G7175" s="5"/>
      <c r="H7175" s="5"/>
      <c r="I7175" s="5"/>
      <c r="J7175" s="5"/>
      <c r="K7175" s="5"/>
      <c r="L7175" s="5"/>
      <c r="M7175" s="5"/>
      <c r="N7175" s="5"/>
      <c r="O7175" s="5"/>
      <c r="P7175" s="5"/>
      <c r="Q7175" s="5"/>
      <c r="R7175" s="5"/>
      <c r="S7175" s="5"/>
      <c r="T7175" s="5"/>
      <c r="U7175" s="5"/>
      <c r="V7175" s="5"/>
      <c r="W7175" s="5"/>
      <c r="X7175" s="5"/>
      <c r="Y7175" s="5"/>
      <c r="Z7175" s="5"/>
    </row>
    <row r="7176" spans="1:26" ht="15" x14ac:dyDescent="0.25">
      <c r="A7176" s="4" t="s">
        <v>7174</v>
      </c>
      <c r="B7176" s="4" t="s">
        <v>4550</v>
      </c>
      <c r="C7176" s="2" t="str">
        <f ca="1">IFERROR(__xludf.DUMMYFUNCTION("GOOGLETRANSLATE(A7176,""bn"",""en"")"),"I withdrew the money")</f>
        <v>I withdrew the money</v>
      </c>
      <c r="D7176" s="5"/>
      <c r="E7176" s="5"/>
      <c r="F7176" s="5"/>
      <c r="G7176" s="5"/>
      <c r="H7176" s="5"/>
      <c r="I7176" s="5"/>
      <c r="J7176" s="5"/>
      <c r="K7176" s="5"/>
      <c r="L7176" s="5"/>
      <c r="M7176" s="5"/>
      <c r="N7176" s="5"/>
      <c r="O7176" s="5"/>
      <c r="P7176" s="5"/>
      <c r="Q7176" s="5"/>
      <c r="R7176" s="5"/>
      <c r="S7176" s="5"/>
      <c r="T7176" s="5"/>
      <c r="U7176" s="5"/>
      <c r="V7176" s="5"/>
      <c r="W7176" s="5"/>
      <c r="X7176" s="5"/>
      <c r="Y7176" s="5"/>
      <c r="Z7176" s="5"/>
    </row>
    <row r="7177" spans="1:26" ht="15" x14ac:dyDescent="0.25">
      <c r="A7177" s="4" t="s">
        <v>7175</v>
      </c>
      <c r="B7177" s="4" t="s">
        <v>4550</v>
      </c>
      <c r="C7177" s="2" t="str">
        <f ca="1">IFERROR(__xludf.DUMMYFUNCTION("GOOGLETRANSLATE(A7177,""bn"",""en"")"),"I was outsourcing")</f>
        <v>I was outsourcing</v>
      </c>
      <c r="D7177" s="5"/>
      <c r="E7177" s="5"/>
      <c r="F7177" s="5"/>
      <c r="G7177" s="5"/>
      <c r="H7177" s="5"/>
      <c r="I7177" s="5"/>
      <c r="J7177" s="5"/>
      <c r="K7177" s="5"/>
      <c r="L7177" s="5"/>
      <c r="M7177" s="5"/>
      <c r="N7177" s="5"/>
      <c r="O7177" s="5"/>
      <c r="P7177" s="5"/>
      <c r="Q7177" s="5"/>
      <c r="R7177" s="5"/>
      <c r="S7177" s="5"/>
      <c r="T7177" s="5"/>
      <c r="U7177" s="5"/>
      <c r="V7177" s="5"/>
      <c r="W7177" s="5"/>
      <c r="X7177" s="5"/>
      <c r="Y7177" s="5"/>
      <c r="Z7177" s="5"/>
    </row>
    <row r="7178" spans="1:26" ht="15" x14ac:dyDescent="0.25">
      <c r="A7178" s="4" t="s">
        <v>7176</v>
      </c>
      <c r="B7178" s="4" t="s">
        <v>4550</v>
      </c>
      <c r="C7178" s="2" t="str">
        <f ca="1">IFERROR(__xludf.DUMMYFUNCTION("GOOGLETRANSLATE(A7178,""bn"",""en"")"),"I traveled")</f>
        <v>I traveled</v>
      </c>
      <c r="D7178" s="5"/>
      <c r="E7178" s="5"/>
      <c r="F7178" s="5"/>
      <c r="G7178" s="5"/>
      <c r="H7178" s="5"/>
      <c r="I7178" s="5"/>
      <c r="J7178" s="5"/>
      <c r="K7178" s="5"/>
      <c r="L7178" s="5"/>
      <c r="M7178" s="5"/>
      <c r="N7178" s="5"/>
      <c r="O7178" s="5"/>
      <c r="P7178" s="5"/>
      <c r="Q7178" s="5"/>
      <c r="R7178" s="5"/>
      <c r="S7178" s="5"/>
      <c r="T7178" s="5"/>
      <c r="U7178" s="5"/>
      <c r="V7178" s="5"/>
      <c r="W7178" s="5"/>
      <c r="X7178" s="5"/>
      <c r="Y7178" s="5"/>
      <c r="Z7178" s="5"/>
    </row>
    <row r="7179" spans="1:26" ht="15" x14ac:dyDescent="0.25">
      <c r="A7179" s="4" t="s">
        <v>7177</v>
      </c>
      <c r="B7179" s="4" t="s">
        <v>4550</v>
      </c>
      <c r="C7179" s="2" t="str">
        <f ca="1">IFERROR(__xludf.DUMMYFUNCTION("GOOGLETRANSLATE(A7179,""bn"",""en"")"),"I wanted to buy a camera")</f>
        <v>I wanted to buy a camera</v>
      </c>
      <c r="D7179" s="5"/>
      <c r="E7179" s="5"/>
      <c r="F7179" s="5"/>
      <c r="G7179" s="5"/>
      <c r="H7179" s="5"/>
      <c r="I7179" s="5"/>
      <c r="J7179" s="5"/>
      <c r="K7179" s="5"/>
      <c r="L7179" s="5"/>
      <c r="M7179" s="5"/>
      <c r="N7179" s="5"/>
      <c r="O7179" s="5"/>
      <c r="P7179" s="5"/>
      <c r="Q7179" s="5"/>
      <c r="R7179" s="5"/>
      <c r="S7179" s="5"/>
      <c r="T7179" s="5"/>
      <c r="U7179" s="5"/>
      <c r="V7179" s="5"/>
      <c r="W7179" s="5"/>
      <c r="X7179" s="5"/>
      <c r="Y7179" s="5"/>
      <c r="Z7179" s="5"/>
    </row>
    <row r="7180" spans="1:26" ht="15" x14ac:dyDescent="0.25">
      <c r="A7180" s="4" t="s">
        <v>7178</v>
      </c>
      <c r="B7180" s="4" t="s">
        <v>4550</v>
      </c>
      <c r="C7180" s="2" t="str">
        <f ca="1">IFERROR(__xludf.DUMMYFUNCTION("GOOGLETRANSLATE(A7180,""bn"",""en"")"),"He was a programmer")</f>
        <v>He was a programmer</v>
      </c>
      <c r="D7180" s="5"/>
      <c r="E7180" s="5"/>
      <c r="F7180" s="5"/>
      <c r="G7180" s="5"/>
      <c r="H7180" s="5"/>
      <c r="I7180" s="5"/>
      <c r="J7180" s="5"/>
      <c r="K7180" s="5"/>
      <c r="L7180" s="5"/>
      <c r="M7180" s="5"/>
      <c r="N7180" s="5"/>
      <c r="O7180" s="5"/>
      <c r="P7180" s="5"/>
      <c r="Q7180" s="5"/>
      <c r="R7180" s="5"/>
      <c r="S7180" s="5"/>
      <c r="T7180" s="5"/>
      <c r="U7180" s="5"/>
      <c r="V7180" s="5"/>
      <c r="W7180" s="5"/>
      <c r="X7180" s="5"/>
      <c r="Y7180" s="5"/>
      <c r="Z7180" s="5"/>
    </row>
    <row r="7181" spans="1:26" ht="15" x14ac:dyDescent="0.25">
      <c r="A7181" s="4" t="s">
        <v>7179</v>
      </c>
      <c r="B7181" s="4" t="s">
        <v>4550</v>
      </c>
      <c r="C7181" s="2" t="str">
        <f ca="1">IFERROR(__xludf.DUMMYFUNCTION("GOOGLETRANSLATE(A7181,""bn"",""en"")"),"The news was broadcast")</f>
        <v>The news was broadcast</v>
      </c>
      <c r="D7181" s="5"/>
      <c r="E7181" s="5"/>
      <c r="F7181" s="5"/>
      <c r="G7181" s="5"/>
      <c r="H7181" s="5"/>
      <c r="I7181" s="5"/>
      <c r="J7181" s="5"/>
      <c r="K7181" s="5"/>
      <c r="L7181" s="5"/>
      <c r="M7181" s="5"/>
      <c r="N7181" s="5"/>
      <c r="O7181" s="5"/>
      <c r="P7181" s="5"/>
      <c r="Q7181" s="5"/>
      <c r="R7181" s="5"/>
      <c r="S7181" s="5"/>
      <c r="T7181" s="5"/>
      <c r="U7181" s="5"/>
      <c r="V7181" s="5"/>
      <c r="W7181" s="5"/>
      <c r="X7181" s="5"/>
      <c r="Y7181" s="5"/>
      <c r="Z7181" s="5"/>
    </row>
    <row r="7182" spans="1:26" ht="15" x14ac:dyDescent="0.25">
      <c r="A7182" s="4" t="s">
        <v>7180</v>
      </c>
      <c r="B7182" s="4" t="s">
        <v>4550</v>
      </c>
      <c r="C7182" s="2" t="str">
        <f ca="1">IFERROR(__xludf.DUMMYFUNCTION("GOOGLETRANSLATE(A7182,""bn"",""en"")"),"The satellite was moved")</f>
        <v>The satellite was moved</v>
      </c>
      <c r="D7182" s="5"/>
      <c r="E7182" s="5"/>
      <c r="F7182" s="5"/>
      <c r="G7182" s="5"/>
      <c r="H7182" s="5"/>
      <c r="I7182" s="5"/>
      <c r="J7182" s="5"/>
      <c r="K7182" s="5"/>
      <c r="L7182" s="5"/>
      <c r="M7182" s="5"/>
      <c r="N7182" s="5"/>
      <c r="O7182" s="5"/>
      <c r="P7182" s="5"/>
      <c r="Q7182" s="5"/>
      <c r="R7182" s="5"/>
      <c r="S7182" s="5"/>
      <c r="T7182" s="5"/>
      <c r="U7182" s="5"/>
      <c r="V7182" s="5"/>
      <c r="W7182" s="5"/>
      <c r="X7182" s="5"/>
      <c r="Y7182" s="5"/>
      <c r="Z7182" s="5"/>
    </row>
    <row r="7183" spans="1:26" ht="15" x14ac:dyDescent="0.25">
      <c r="A7183" s="4" t="s">
        <v>7181</v>
      </c>
      <c r="B7183" s="4" t="s">
        <v>4550</v>
      </c>
      <c r="C7183" s="2" t="str">
        <f ca="1">IFERROR(__xludf.DUMMYFUNCTION("GOOGLETRANSLATE(A7183,""bn"",""en"")"),"I did online course")</f>
        <v>I did online course</v>
      </c>
      <c r="D7183" s="5"/>
      <c r="E7183" s="5"/>
      <c r="F7183" s="5"/>
      <c r="G7183" s="5"/>
      <c r="H7183" s="5"/>
      <c r="I7183" s="5"/>
      <c r="J7183" s="5"/>
      <c r="K7183" s="5"/>
      <c r="L7183" s="5"/>
      <c r="M7183" s="5"/>
      <c r="N7183" s="5"/>
      <c r="O7183" s="5"/>
      <c r="P7183" s="5"/>
      <c r="Q7183" s="5"/>
      <c r="R7183" s="5"/>
      <c r="S7183" s="5"/>
      <c r="T7183" s="5"/>
      <c r="U7183" s="5"/>
      <c r="V7183" s="5"/>
      <c r="W7183" s="5"/>
      <c r="X7183" s="5"/>
      <c r="Y7183" s="5"/>
      <c r="Z7183" s="5"/>
    </row>
    <row r="7184" spans="1:26" ht="15" x14ac:dyDescent="0.25">
      <c r="A7184" s="4" t="s">
        <v>7182</v>
      </c>
      <c r="B7184" s="4" t="s">
        <v>4550</v>
      </c>
      <c r="C7184" s="2" t="str">
        <f ca="1">IFERROR(__xludf.DUMMYFUNCTION("GOOGLETRANSLATE(A7184,""bn"",""en"")"),"A loan was being sought")</f>
        <v>A loan was being sought</v>
      </c>
      <c r="D7184" s="5"/>
      <c r="E7184" s="5"/>
      <c r="F7184" s="5"/>
      <c r="G7184" s="5"/>
      <c r="H7184" s="5"/>
      <c r="I7184" s="5"/>
      <c r="J7184" s="5"/>
      <c r="K7184" s="5"/>
      <c r="L7184" s="5"/>
      <c r="M7184" s="5"/>
      <c r="N7184" s="5"/>
      <c r="O7184" s="5"/>
      <c r="P7184" s="5"/>
      <c r="Q7184" s="5"/>
      <c r="R7184" s="5"/>
      <c r="S7184" s="5"/>
      <c r="T7184" s="5"/>
      <c r="U7184" s="5"/>
      <c r="V7184" s="5"/>
      <c r="W7184" s="5"/>
      <c r="X7184" s="5"/>
      <c r="Y7184" s="5"/>
      <c r="Z7184" s="5"/>
    </row>
    <row r="7185" spans="1:26" ht="15" x14ac:dyDescent="0.25">
      <c r="A7185" s="4" t="s">
        <v>7183</v>
      </c>
      <c r="B7185" s="4" t="s">
        <v>4550</v>
      </c>
      <c r="C7185" s="2" t="str">
        <f ca="1">IFERROR(__xludf.DUMMYFUNCTION("GOOGLETRANSLATE(A7185,""bn"",""en"")"),"Ion was deficient")</f>
        <v>Ion was deficient</v>
      </c>
      <c r="D7185" s="5"/>
      <c r="E7185" s="5"/>
      <c r="F7185" s="5"/>
      <c r="G7185" s="5"/>
      <c r="H7185" s="5"/>
      <c r="I7185" s="5"/>
      <c r="J7185" s="5"/>
      <c r="K7185" s="5"/>
      <c r="L7185" s="5"/>
      <c r="M7185" s="5"/>
      <c r="N7185" s="5"/>
      <c r="O7185" s="5"/>
      <c r="P7185" s="5"/>
      <c r="Q7185" s="5"/>
      <c r="R7185" s="5"/>
      <c r="S7185" s="5"/>
      <c r="T7185" s="5"/>
      <c r="U7185" s="5"/>
      <c r="V7185" s="5"/>
      <c r="W7185" s="5"/>
      <c r="X7185" s="5"/>
      <c r="Y7185" s="5"/>
      <c r="Z7185" s="5"/>
    </row>
    <row r="7186" spans="1:26" ht="15" x14ac:dyDescent="0.25">
      <c r="A7186" s="4" t="s">
        <v>7184</v>
      </c>
      <c r="B7186" s="4" t="s">
        <v>4550</v>
      </c>
      <c r="C7186" s="2" t="str">
        <f ca="1">IFERROR(__xludf.DUMMYFUNCTION("GOOGLETRANSLATE(A7186,""bn"",""en"")"),"I was visiting the bank")</f>
        <v>I was visiting the bank</v>
      </c>
      <c r="D7186" s="5"/>
      <c r="E7186" s="5"/>
      <c r="F7186" s="5"/>
      <c r="G7186" s="5"/>
      <c r="H7186" s="5"/>
      <c r="I7186" s="5"/>
      <c r="J7186" s="5"/>
      <c r="K7186" s="5"/>
      <c r="L7186" s="5"/>
      <c r="M7186" s="5"/>
      <c r="N7186" s="5"/>
      <c r="O7186" s="5"/>
      <c r="P7186" s="5"/>
      <c r="Q7186" s="5"/>
      <c r="R7186" s="5"/>
      <c r="S7186" s="5"/>
      <c r="T7186" s="5"/>
      <c r="U7186" s="5"/>
      <c r="V7186" s="5"/>
      <c r="W7186" s="5"/>
      <c r="X7186" s="5"/>
      <c r="Y7186" s="5"/>
      <c r="Z7186" s="5"/>
    </row>
    <row r="7187" spans="1:26" ht="15" x14ac:dyDescent="0.25">
      <c r="A7187" s="4" t="s">
        <v>7185</v>
      </c>
      <c r="B7187" s="4" t="s">
        <v>4550</v>
      </c>
      <c r="C7187" s="2" t="str">
        <f ca="1">IFERROR(__xludf.DUMMYFUNCTION("GOOGLETRANSLATE(A7187,""bn"",""en"")"),"He used to play tennis")</f>
        <v>He used to play tennis</v>
      </c>
      <c r="D7187" s="5"/>
      <c r="E7187" s="5"/>
      <c r="F7187" s="5"/>
      <c r="G7187" s="5"/>
      <c r="H7187" s="5"/>
      <c r="I7187" s="5"/>
      <c r="J7187" s="5"/>
      <c r="K7187" s="5"/>
      <c r="L7187" s="5"/>
      <c r="M7187" s="5"/>
      <c r="N7187" s="5"/>
      <c r="O7187" s="5"/>
      <c r="P7187" s="5"/>
      <c r="Q7187" s="5"/>
      <c r="R7187" s="5"/>
      <c r="S7187" s="5"/>
      <c r="T7187" s="5"/>
      <c r="U7187" s="5"/>
      <c r="V7187" s="5"/>
      <c r="W7187" s="5"/>
      <c r="X7187" s="5"/>
      <c r="Y7187" s="5"/>
      <c r="Z7187" s="5"/>
    </row>
    <row r="7188" spans="1:26" ht="15" x14ac:dyDescent="0.25">
      <c r="A7188" s="4" t="s">
        <v>7186</v>
      </c>
      <c r="B7188" s="4" t="s">
        <v>4550</v>
      </c>
      <c r="C7188" s="2" t="str">
        <f ca="1">IFERROR(__xludf.DUMMYFUNCTION("GOOGLETRANSLATE(A7188,""bn"",""en"")"),"I was a good student")</f>
        <v>I was a good student</v>
      </c>
      <c r="D7188" s="5"/>
      <c r="E7188" s="5"/>
      <c r="F7188" s="5"/>
      <c r="G7188" s="5"/>
      <c r="H7188" s="5"/>
      <c r="I7188" s="5"/>
      <c r="J7188" s="5"/>
      <c r="K7188" s="5"/>
      <c r="L7188" s="5"/>
      <c r="M7188" s="5"/>
      <c r="N7188" s="5"/>
      <c r="O7188" s="5"/>
      <c r="P7188" s="5"/>
      <c r="Q7188" s="5"/>
      <c r="R7188" s="5"/>
      <c r="S7188" s="5"/>
      <c r="T7188" s="5"/>
      <c r="U7188" s="5"/>
      <c r="V7188" s="5"/>
      <c r="W7188" s="5"/>
      <c r="X7188" s="5"/>
      <c r="Y7188" s="5"/>
      <c r="Z7188" s="5"/>
    </row>
    <row r="7189" spans="1:26" ht="15" x14ac:dyDescent="0.25">
      <c r="A7189" s="4" t="s">
        <v>7187</v>
      </c>
      <c r="B7189" s="4" t="s">
        <v>4550</v>
      </c>
      <c r="C7189" s="2" t="str">
        <f ca="1">IFERROR(__xludf.DUMMYFUNCTION("GOOGLETRANSLATE(A7189,""bn"",""en"")"),"I had a pleasant trip")</f>
        <v>I had a pleasant trip</v>
      </c>
      <c r="D7189" s="5"/>
      <c r="E7189" s="5"/>
      <c r="F7189" s="5"/>
      <c r="G7189" s="5"/>
      <c r="H7189" s="5"/>
      <c r="I7189" s="5"/>
      <c r="J7189" s="5"/>
      <c r="K7189" s="5"/>
      <c r="L7189" s="5"/>
      <c r="M7189" s="5"/>
      <c r="N7189" s="5"/>
      <c r="O7189" s="5"/>
      <c r="P7189" s="5"/>
      <c r="Q7189" s="5"/>
      <c r="R7189" s="5"/>
      <c r="S7189" s="5"/>
      <c r="T7189" s="5"/>
      <c r="U7189" s="5"/>
      <c r="V7189" s="5"/>
      <c r="W7189" s="5"/>
      <c r="X7189" s="5"/>
      <c r="Y7189" s="5"/>
      <c r="Z7189" s="5"/>
    </row>
    <row r="7190" spans="1:26" ht="15" x14ac:dyDescent="0.25">
      <c r="A7190" s="4" t="s">
        <v>7188</v>
      </c>
      <c r="B7190" s="4" t="s">
        <v>4550</v>
      </c>
      <c r="C7190" s="2" t="str">
        <f ca="1">IFERROR(__xludf.DUMMYFUNCTION("GOOGLETRANSLATE(A7190,""bn"",""en"")"),"I took refuge in education")</f>
        <v>I took refuge in education</v>
      </c>
      <c r="D7190" s="5"/>
      <c r="E7190" s="5"/>
      <c r="F7190" s="5"/>
      <c r="G7190" s="5"/>
      <c r="H7190" s="5"/>
      <c r="I7190" s="5"/>
      <c r="J7190" s="5"/>
      <c r="K7190" s="5"/>
      <c r="L7190" s="5"/>
      <c r="M7190" s="5"/>
      <c r="N7190" s="5"/>
      <c r="O7190" s="5"/>
      <c r="P7190" s="5"/>
      <c r="Q7190" s="5"/>
      <c r="R7190" s="5"/>
      <c r="S7190" s="5"/>
      <c r="T7190" s="5"/>
      <c r="U7190" s="5"/>
      <c r="V7190" s="5"/>
      <c r="W7190" s="5"/>
      <c r="X7190" s="5"/>
      <c r="Y7190" s="5"/>
      <c r="Z7190" s="5"/>
    </row>
    <row r="7191" spans="1:26" ht="15" x14ac:dyDescent="0.25">
      <c r="A7191" s="4" t="s">
        <v>7189</v>
      </c>
      <c r="B7191" s="4" t="s">
        <v>4550</v>
      </c>
      <c r="C7191" s="2" t="str">
        <f ca="1">IFERROR(__xludf.DUMMYFUNCTION("GOOGLETRANSLATE(A7191,""bn"",""en"")"),"The product was introduced")</f>
        <v>The product was introduced</v>
      </c>
      <c r="D7191" s="5"/>
      <c r="E7191" s="5"/>
      <c r="F7191" s="5"/>
      <c r="G7191" s="5"/>
      <c r="H7191" s="5"/>
      <c r="I7191" s="5"/>
      <c r="J7191" s="5"/>
      <c r="K7191" s="5"/>
      <c r="L7191" s="5"/>
      <c r="M7191" s="5"/>
      <c r="N7191" s="5"/>
      <c r="O7191" s="5"/>
      <c r="P7191" s="5"/>
      <c r="Q7191" s="5"/>
      <c r="R7191" s="5"/>
      <c r="S7191" s="5"/>
      <c r="T7191" s="5"/>
      <c r="U7191" s="5"/>
      <c r="V7191" s="5"/>
      <c r="W7191" s="5"/>
      <c r="X7191" s="5"/>
      <c r="Y7191" s="5"/>
      <c r="Z7191" s="5"/>
    </row>
    <row r="7192" spans="1:26" ht="15" x14ac:dyDescent="0.25">
      <c r="A7192" s="4" t="s">
        <v>7190</v>
      </c>
      <c r="B7192" s="4" t="s">
        <v>4550</v>
      </c>
      <c r="C7192" s="2" t="str">
        <f ca="1">IFERROR(__xludf.DUMMYFUNCTION("GOOGLETRANSLATE(A7192,""bn"",""en"")"),"I wrote the email easily")</f>
        <v>I wrote the email easily</v>
      </c>
      <c r="D7192" s="5"/>
      <c r="E7192" s="5"/>
      <c r="F7192" s="5"/>
      <c r="G7192" s="5"/>
      <c r="H7192" s="5"/>
      <c r="I7192" s="5"/>
      <c r="J7192" s="5"/>
      <c r="K7192" s="5"/>
      <c r="L7192" s="5"/>
      <c r="M7192" s="5"/>
      <c r="N7192" s="5"/>
      <c r="O7192" s="5"/>
      <c r="P7192" s="5"/>
      <c r="Q7192" s="5"/>
      <c r="R7192" s="5"/>
      <c r="S7192" s="5"/>
      <c r="T7192" s="5"/>
      <c r="U7192" s="5"/>
      <c r="V7192" s="5"/>
      <c r="W7192" s="5"/>
      <c r="X7192" s="5"/>
      <c r="Y7192" s="5"/>
      <c r="Z7192" s="5"/>
    </row>
    <row r="7193" spans="1:26" ht="15" x14ac:dyDescent="0.25">
      <c r="A7193" s="4" t="s">
        <v>7191</v>
      </c>
      <c r="B7193" s="4" t="s">
        <v>4550</v>
      </c>
      <c r="C7193" s="2" t="str">
        <f ca="1">IFERROR(__xludf.DUMMYFUNCTION("GOOGLETRANSLATE(A7193,""bn"",""en"")"),"I was using desktop")</f>
        <v>I was using desktop</v>
      </c>
      <c r="D7193" s="5"/>
      <c r="E7193" s="5"/>
      <c r="F7193" s="5"/>
      <c r="G7193" s="5"/>
      <c r="H7193" s="5"/>
      <c r="I7193" s="5"/>
      <c r="J7193" s="5"/>
      <c r="K7193" s="5"/>
      <c r="L7193" s="5"/>
      <c r="M7193" s="5"/>
      <c r="N7193" s="5"/>
      <c r="O7193" s="5"/>
      <c r="P7193" s="5"/>
      <c r="Q7193" s="5"/>
      <c r="R7193" s="5"/>
      <c r="S7193" s="5"/>
      <c r="T7193" s="5"/>
      <c r="U7193" s="5"/>
      <c r="V7193" s="5"/>
      <c r="W7193" s="5"/>
      <c r="X7193" s="5"/>
      <c r="Y7193" s="5"/>
      <c r="Z7193" s="5"/>
    </row>
    <row r="7194" spans="1:26" ht="15" x14ac:dyDescent="0.25">
      <c r="A7194" s="4" t="s">
        <v>7192</v>
      </c>
      <c r="B7194" s="4" t="s">
        <v>4550</v>
      </c>
      <c r="C7194" s="2" t="str">
        <f ca="1">IFERROR(__xludf.DUMMYFUNCTION("GOOGLETRANSLATE(A7194,""bn"",""en"")"),"I suffered in winter")</f>
        <v>I suffered in winter</v>
      </c>
      <c r="D7194" s="5"/>
      <c r="E7194" s="5"/>
      <c r="F7194" s="5"/>
      <c r="G7194" s="5"/>
      <c r="H7194" s="5"/>
      <c r="I7194" s="5"/>
      <c r="J7194" s="5"/>
      <c r="K7194" s="5"/>
      <c r="L7194" s="5"/>
      <c r="M7194" s="5"/>
      <c r="N7194" s="5"/>
      <c r="O7194" s="5"/>
      <c r="P7194" s="5"/>
      <c r="Q7194" s="5"/>
      <c r="R7194" s="5"/>
      <c r="S7194" s="5"/>
      <c r="T7194" s="5"/>
      <c r="U7194" s="5"/>
      <c r="V7194" s="5"/>
      <c r="W7194" s="5"/>
      <c r="X7194" s="5"/>
      <c r="Y7194" s="5"/>
      <c r="Z7194" s="5"/>
    </row>
    <row r="7195" spans="1:26" ht="15" x14ac:dyDescent="0.25">
      <c r="A7195" s="4" t="s">
        <v>7193</v>
      </c>
      <c r="B7195" s="4" t="s">
        <v>4550</v>
      </c>
      <c r="C7195" s="2" t="str">
        <f ca="1">IFERROR(__xludf.DUMMYFUNCTION("GOOGLETRANSLATE(A7195,""bn"",""en"")"),"I took loan facility")</f>
        <v>I took loan facility</v>
      </c>
      <c r="D7195" s="5"/>
      <c r="E7195" s="5"/>
      <c r="F7195" s="5"/>
      <c r="G7195" s="5"/>
      <c r="H7195" s="5"/>
      <c r="I7195" s="5"/>
      <c r="J7195" s="5"/>
      <c r="K7195" s="5"/>
      <c r="L7195" s="5"/>
      <c r="M7195" s="5"/>
      <c r="N7195" s="5"/>
      <c r="O7195" s="5"/>
      <c r="P7195" s="5"/>
      <c r="Q7195" s="5"/>
      <c r="R7195" s="5"/>
      <c r="S7195" s="5"/>
      <c r="T7195" s="5"/>
      <c r="U7195" s="5"/>
      <c r="V7195" s="5"/>
      <c r="W7195" s="5"/>
      <c r="X7195" s="5"/>
      <c r="Y7195" s="5"/>
      <c r="Z7195" s="5"/>
    </row>
    <row r="7196" spans="1:26" ht="15" x14ac:dyDescent="0.25">
      <c r="A7196" s="4" t="s">
        <v>7194</v>
      </c>
      <c r="B7196" s="4" t="s">
        <v>4550</v>
      </c>
      <c r="C7196" s="2" t="str">
        <f ca="1">IFERROR(__xludf.DUMMYFUNCTION("GOOGLETRANSLATE(A7196,""bn"",""en"")"),"I posted on Twitter")</f>
        <v>I posted on Twitter</v>
      </c>
      <c r="D7196" s="5"/>
      <c r="E7196" s="5"/>
      <c r="F7196" s="5"/>
      <c r="G7196" s="5"/>
      <c r="H7196" s="5"/>
      <c r="I7196" s="5"/>
      <c r="J7196" s="5"/>
      <c r="K7196" s="5"/>
      <c r="L7196" s="5"/>
      <c r="M7196" s="5"/>
      <c r="N7196" s="5"/>
      <c r="O7196" s="5"/>
      <c r="P7196" s="5"/>
      <c r="Q7196" s="5"/>
      <c r="R7196" s="5"/>
      <c r="S7196" s="5"/>
      <c r="T7196" s="5"/>
      <c r="U7196" s="5"/>
      <c r="V7196" s="5"/>
      <c r="W7196" s="5"/>
      <c r="X7196" s="5"/>
      <c r="Y7196" s="5"/>
      <c r="Z7196" s="5"/>
    </row>
    <row r="7197" spans="1:26" ht="15" x14ac:dyDescent="0.25">
      <c r="A7197" s="4" t="s">
        <v>7195</v>
      </c>
      <c r="B7197" s="4" t="s">
        <v>4550</v>
      </c>
      <c r="C7197" s="2" t="str">
        <f ca="1">IFERROR(__xludf.DUMMYFUNCTION("GOOGLETRANSLATE(A7197,""bn"",""en"")"),"I expressed interest")</f>
        <v>I expressed interest</v>
      </c>
      <c r="D7197" s="5"/>
      <c r="E7197" s="5"/>
      <c r="F7197" s="5"/>
      <c r="G7197" s="5"/>
      <c r="H7197" s="5"/>
      <c r="I7197" s="5"/>
      <c r="J7197" s="5"/>
      <c r="K7197" s="5"/>
      <c r="L7197" s="5"/>
      <c r="M7197" s="5"/>
      <c r="N7197" s="5"/>
      <c r="O7197" s="5"/>
      <c r="P7197" s="5"/>
      <c r="Q7197" s="5"/>
      <c r="R7197" s="5"/>
      <c r="S7197" s="5"/>
      <c r="T7197" s="5"/>
      <c r="U7197" s="5"/>
      <c r="V7197" s="5"/>
      <c r="W7197" s="5"/>
      <c r="X7197" s="5"/>
      <c r="Y7197" s="5"/>
      <c r="Z7197" s="5"/>
    </row>
    <row r="7198" spans="1:26" ht="15" x14ac:dyDescent="0.25">
      <c r="A7198" s="4" t="s">
        <v>7196</v>
      </c>
      <c r="B7198" s="4" t="s">
        <v>4550</v>
      </c>
      <c r="C7198" s="2" t="str">
        <f ca="1">IFERROR(__xludf.DUMMYFUNCTION("GOOGLETRANSLATE(A7198,""bn"",""en"")"),"Exports were increasing")</f>
        <v>Exports were increasing</v>
      </c>
      <c r="D7198" s="5"/>
      <c r="E7198" s="5"/>
      <c r="F7198" s="5"/>
      <c r="G7198" s="5"/>
      <c r="H7198" s="5"/>
      <c r="I7198" s="5"/>
      <c r="J7198" s="5"/>
      <c r="K7198" s="5"/>
      <c r="L7198" s="5"/>
      <c r="M7198" s="5"/>
      <c r="N7198" s="5"/>
      <c r="O7198" s="5"/>
      <c r="P7198" s="5"/>
      <c r="Q7198" s="5"/>
      <c r="R7198" s="5"/>
      <c r="S7198" s="5"/>
      <c r="T7198" s="5"/>
      <c r="U7198" s="5"/>
      <c r="V7198" s="5"/>
      <c r="W7198" s="5"/>
      <c r="X7198" s="5"/>
      <c r="Y7198" s="5"/>
      <c r="Z7198" s="5"/>
    </row>
    <row r="7199" spans="1:26" ht="15" x14ac:dyDescent="0.25">
      <c r="A7199" s="4" t="s">
        <v>7197</v>
      </c>
      <c r="B7199" s="4" t="s">
        <v>4550</v>
      </c>
      <c r="C7199" s="2" t="str">
        <f ca="1">IFERROR(__xludf.DUMMYFUNCTION("GOOGLETRANSLATE(A7199,""bn"",""en"")"),"Learned Linux operating")</f>
        <v>Learned Linux operating</v>
      </c>
      <c r="D7199" s="5"/>
      <c r="E7199" s="5"/>
      <c r="F7199" s="5"/>
      <c r="G7199" s="5"/>
      <c r="H7199" s="5"/>
      <c r="I7199" s="5"/>
      <c r="J7199" s="5"/>
      <c r="K7199" s="5"/>
      <c r="L7199" s="5"/>
      <c r="M7199" s="5"/>
      <c r="N7199" s="5"/>
      <c r="O7199" s="5"/>
      <c r="P7199" s="5"/>
      <c r="Q7199" s="5"/>
      <c r="R7199" s="5"/>
      <c r="S7199" s="5"/>
      <c r="T7199" s="5"/>
      <c r="U7199" s="5"/>
      <c r="V7199" s="5"/>
      <c r="W7199" s="5"/>
      <c r="X7199" s="5"/>
      <c r="Y7199" s="5"/>
      <c r="Z7199" s="5"/>
    </row>
    <row r="7200" spans="1:26" ht="15" x14ac:dyDescent="0.25">
      <c r="A7200" s="4" t="s">
        <v>7198</v>
      </c>
      <c r="B7200" s="4" t="s">
        <v>4550</v>
      </c>
      <c r="C7200" s="2" t="str">
        <f ca="1">IFERROR(__xludf.DUMMYFUNCTION("GOOGLETRANSLATE(A7200,""bn"",""en"")"),"You ate sliced ​​pizza")</f>
        <v>You ate sliced ​​pizza</v>
      </c>
      <c r="D7200" s="5"/>
      <c r="E7200" s="5"/>
      <c r="F7200" s="5"/>
      <c r="G7200" s="5"/>
      <c r="H7200" s="5"/>
      <c r="I7200" s="5"/>
      <c r="J7200" s="5"/>
      <c r="K7200" s="5"/>
      <c r="L7200" s="5"/>
      <c r="M7200" s="5"/>
      <c r="N7200" s="5"/>
      <c r="O7200" s="5"/>
      <c r="P7200" s="5"/>
      <c r="Q7200" s="5"/>
      <c r="R7200" s="5"/>
      <c r="S7200" s="5"/>
      <c r="T7200" s="5"/>
      <c r="U7200" s="5"/>
      <c r="V7200" s="5"/>
      <c r="W7200" s="5"/>
      <c r="X7200" s="5"/>
      <c r="Y7200" s="5"/>
      <c r="Z7200" s="5"/>
    </row>
    <row r="7201" spans="1:26" ht="15" x14ac:dyDescent="0.25">
      <c r="A7201" s="4" t="s">
        <v>7199</v>
      </c>
      <c r="B7201" s="4" t="s">
        <v>4550</v>
      </c>
      <c r="C7201" s="2" t="str">
        <f ca="1">IFERROR(__xludf.DUMMYFUNCTION("GOOGLETRANSLATE(A7201,""bn"",""en"")"),"Puishak I loved")</f>
        <v>Puishak I loved</v>
      </c>
      <c r="D7201" s="5"/>
      <c r="E7201" s="5"/>
      <c r="F7201" s="5"/>
      <c r="G7201" s="5"/>
      <c r="H7201" s="5"/>
      <c r="I7201" s="5"/>
      <c r="J7201" s="5"/>
      <c r="K7201" s="5"/>
      <c r="L7201" s="5"/>
      <c r="M7201" s="5"/>
      <c r="N7201" s="5"/>
      <c r="O7201" s="5"/>
      <c r="P7201" s="5"/>
      <c r="Q7201" s="5"/>
      <c r="R7201" s="5"/>
      <c r="S7201" s="5"/>
      <c r="T7201" s="5"/>
      <c r="U7201" s="5"/>
      <c r="V7201" s="5"/>
      <c r="W7201" s="5"/>
      <c r="X7201" s="5"/>
      <c r="Y7201" s="5"/>
      <c r="Z7201" s="5"/>
    </row>
    <row r="7202" spans="1:26" ht="15" x14ac:dyDescent="0.25">
      <c r="A7202" s="4" t="s">
        <v>7200</v>
      </c>
      <c r="B7202" s="4" t="s">
        <v>4550</v>
      </c>
      <c r="C7202" s="2" t="str">
        <f ca="1">IFERROR(__xludf.DUMMYFUNCTION("GOOGLETRANSLATE(A7202,""bn"",""en"")"),"He was in the play")</f>
        <v>He was in the play</v>
      </c>
      <c r="D7202" s="5"/>
      <c r="E7202" s="5"/>
      <c r="F7202" s="5"/>
      <c r="G7202" s="5"/>
      <c r="H7202" s="5"/>
      <c r="I7202" s="5"/>
      <c r="J7202" s="5"/>
      <c r="K7202" s="5"/>
      <c r="L7202" s="5"/>
      <c r="M7202" s="5"/>
      <c r="N7202" s="5"/>
      <c r="O7202" s="5"/>
      <c r="P7202" s="5"/>
      <c r="Q7202" s="5"/>
      <c r="R7202" s="5"/>
      <c r="S7202" s="5"/>
      <c r="T7202" s="5"/>
      <c r="U7202" s="5"/>
      <c r="V7202" s="5"/>
      <c r="W7202" s="5"/>
      <c r="X7202" s="5"/>
      <c r="Y7202" s="5"/>
      <c r="Z7202" s="5"/>
    </row>
    <row r="7203" spans="1:26" ht="15" x14ac:dyDescent="0.25">
      <c r="A7203" s="4" t="s">
        <v>7201</v>
      </c>
      <c r="B7203" s="4" t="s">
        <v>4550</v>
      </c>
      <c r="C7203" s="2" t="str">
        <f ca="1">IFERROR(__xludf.DUMMYFUNCTION("GOOGLETRANSLATE(A7203,""bn"",""en"")"),"Students took the exam in the college")</f>
        <v>Students took the exam in the college</v>
      </c>
      <c r="D7203" s="5"/>
      <c r="E7203" s="5"/>
      <c r="F7203" s="5"/>
      <c r="G7203" s="5"/>
      <c r="H7203" s="5"/>
      <c r="I7203" s="5"/>
      <c r="J7203" s="5"/>
      <c r="K7203" s="5"/>
      <c r="L7203" s="5"/>
      <c r="M7203" s="5"/>
      <c r="N7203" s="5"/>
      <c r="O7203" s="5"/>
      <c r="P7203" s="5"/>
      <c r="Q7203" s="5"/>
      <c r="R7203" s="5"/>
      <c r="S7203" s="5"/>
      <c r="T7203" s="5"/>
      <c r="U7203" s="5"/>
      <c r="V7203" s="5"/>
      <c r="W7203" s="5"/>
      <c r="X7203" s="5"/>
      <c r="Y7203" s="5"/>
      <c r="Z7203" s="5"/>
    </row>
    <row r="7204" spans="1:26" ht="15" x14ac:dyDescent="0.25">
      <c r="A7204" s="4" t="s">
        <v>7202</v>
      </c>
      <c r="B7204" s="4" t="s">
        <v>4550</v>
      </c>
      <c r="C7204" s="2" t="str">
        <f ca="1">IFERROR(__xludf.DUMMYFUNCTION("GOOGLETRANSLATE(A7204,""bn"",""en"")"),"Many games were organized")</f>
        <v>Many games were organized</v>
      </c>
      <c r="D7204" s="5"/>
      <c r="E7204" s="5"/>
      <c r="F7204" s="5"/>
      <c r="G7204" s="5"/>
      <c r="H7204" s="5"/>
      <c r="I7204" s="5"/>
      <c r="J7204" s="5"/>
      <c r="K7204" s="5"/>
      <c r="L7204" s="5"/>
      <c r="M7204" s="5"/>
      <c r="N7204" s="5"/>
      <c r="O7204" s="5"/>
      <c r="P7204" s="5"/>
      <c r="Q7204" s="5"/>
      <c r="R7204" s="5"/>
      <c r="S7204" s="5"/>
      <c r="T7204" s="5"/>
      <c r="U7204" s="5"/>
      <c r="V7204" s="5"/>
      <c r="W7204" s="5"/>
      <c r="X7204" s="5"/>
      <c r="Y7204" s="5"/>
      <c r="Z7204" s="5"/>
    </row>
    <row r="7205" spans="1:26" ht="15" x14ac:dyDescent="0.25">
      <c r="A7205" s="4" t="s">
        <v>7203</v>
      </c>
      <c r="B7205" s="4" t="s">
        <v>4550</v>
      </c>
      <c r="C7205" s="2" t="str">
        <f ca="1">IFERROR(__xludf.DUMMYFUNCTION("GOOGLETRANSLATE(A7205,""bn"",""en"")"),"The bank account was closed")</f>
        <v>The bank account was closed</v>
      </c>
      <c r="D7205" s="5"/>
      <c r="E7205" s="5"/>
      <c r="F7205" s="5"/>
      <c r="G7205" s="5"/>
      <c r="H7205" s="5"/>
      <c r="I7205" s="5"/>
      <c r="J7205" s="5"/>
      <c r="K7205" s="5"/>
      <c r="L7205" s="5"/>
      <c r="M7205" s="5"/>
      <c r="N7205" s="5"/>
      <c r="O7205" s="5"/>
      <c r="P7205" s="5"/>
      <c r="Q7205" s="5"/>
      <c r="R7205" s="5"/>
      <c r="S7205" s="5"/>
      <c r="T7205" s="5"/>
      <c r="U7205" s="5"/>
      <c r="V7205" s="5"/>
      <c r="W7205" s="5"/>
      <c r="X7205" s="5"/>
      <c r="Y7205" s="5"/>
      <c r="Z7205" s="5"/>
    </row>
    <row r="7206" spans="1:26" ht="15" x14ac:dyDescent="0.25">
      <c r="A7206" s="4" t="s">
        <v>7204</v>
      </c>
      <c r="B7206" s="4" t="s">
        <v>4550</v>
      </c>
      <c r="C7206" s="2" t="str">
        <f ca="1">IFERROR(__xludf.DUMMYFUNCTION("GOOGLETRANSLATE(A7206,""bn"",""en"")"),"Used to read books")</f>
        <v>Used to read books</v>
      </c>
      <c r="D7206" s="5"/>
      <c r="E7206" s="5"/>
      <c r="F7206" s="5"/>
      <c r="G7206" s="5"/>
      <c r="H7206" s="5"/>
      <c r="I7206" s="5"/>
      <c r="J7206" s="5"/>
      <c r="K7206" s="5"/>
      <c r="L7206" s="5"/>
      <c r="M7206" s="5"/>
      <c r="N7206" s="5"/>
      <c r="O7206" s="5"/>
      <c r="P7206" s="5"/>
      <c r="Q7206" s="5"/>
      <c r="R7206" s="5"/>
      <c r="S7206" s="5"/>
      <c r="T7206" s="5"/>
      <c r="U7206" s="5"/>
      <c r="V7206" s="5"/>
      <c r="W7206" s="5"/>
      <c r="X7206" s="5"/>
      <c r="Y7206" s="5"/>
      <c r="Z7206" s="5"/>
    </row>
    <row r="7207" spans="1:26" ht="15" x14ac:dyDescent="0.25">
      <c r="A7207" s="4" t="s">
        <v>7205</v>
      </c>
      <c r="B7207" s="4" t="s">
        <v>4550</v>
      </c>
      <c r="C7207" s="2" t="str">
        <f ca="1">IFERROR(__xludf.DUMMYFUNCTION("GOOGLETRANSLATE(A7207,""bn"",""en"")"),"We were looking for success")</f>
        <v>We were looking for success</v>
      </c>
      <c r="D7207" s="5"/>
      <c r="E7207" s="5"/>
      <c r="F7207" s="5"/>
      <c r="G7207" s="5"/>
      <c r="H7207" s="5"/>
      <c r="I7207" s="5"/>
      <c r="J7207" s="5"/>
      <c r="K7207" s="5"/>
      <c r="L7207" s="5"/>
      <c r="M7207" s="5"/>
      <c r="N7207" s="5"/>
      <c r="O7207" s="5"/>
      <c r="P7207" s="5"/>
      <c r="Q7207" s="5"/>
      <c r="R7207" s="5"/>
      <c r="S7207" s="5"/>
      <c r="T7207" s="5"/>
      <c r="U7207" s="5"/>
      <c r="V7207" s="5"/>
      <c r="W7207" s="5"/>
      <c r="X7207" s="5"/>
      <c r="Y7207" s="5"/>
      <c r="Z7207" s="5"/>
    </row>
    <row r="7208" spans="1:26" ht="15" x14ac:dyDescent="0.25">
      <c r="A7208" s="4" t="s">
        <v>7206</v>
      </c>
      <c r="B7208" s="4" t="s">
        <v>4550</v>
      </c>
      <c r="C7208" s="2" t="str">
        <f ca="1">IFERROR(__xludf.DUMMYFUNCTION("GOOGLETRANSLATE(A7208,""bn"",""en"")"),"Sataru crossed the sea")</f>
        <v>Sataru crossed the sea</v>
      </c>
      <c r="D7208" s="5"/>
      <c r="E7208" s="5"/>
      <c r="F7208" s="5"/>
      <c r="G7208" s="5"/>
      <c r="H7208" s="5"/>
      <c r="I7208" s="5"/>
      <c r="J7208" s="5"/>
      <c r="K7208" s="5"/>
      <c r="L7208" s="5"/>
      <c r="M7208" s="5"/>
      <c r="N7208" s="5"/>
      <c r="O7208" s="5"/>
      <c r="P7208" s="5"/>
      <c r="Q7208" s="5"/>
      <c r="R7208" s="5"/>
      <c r="S7208" s="5"/>
      <c r="T7208" s="5"/>
      <c r="U7208" s="5"/>
      <c r="V7208" s="5"/>
      <c r="W7208" s="5"/>
      <c r="X7208" s="5"/>
      <c r="Y7208" s="5"/>
      <c r="Z7208" s="5"/>
    </row>
    <row r="7209" spans="1:26" ht="15" x14ac:dyDescent="0.25">
      <c r="A7209" s="4" t="s">
        <v>7207</v>
      </c>
      <c r="B7209" s="4" t="s">
        <v>4550</v>
      </c>
      <c r="C7209" s="2" t="str">
        <f ca="1">IFERROR(__xludf.DUMMYFUNCTION("GOOGLETRANSLATE(A7209,""bn"",""en"")"),"The cabinet was sitting to discuss")</f>
        <v>The cabinet was sitting to discuss</v>
      </c>
      <c r="D7209" s="5"/>
      <c r="E7209" s="5"/>
      <c r="F7209" s="5"/>
      <c r="G7209" s="5"/>
      <c r="H7209" s="5"/>
      <c r="I7209" s="5"/>
      <c r="J7209" s="5"/>
      <c r="K7209" s="5"/>
      <c r="L7209" s="5"/>
      <c r="M7209" s="5"/>
      <c r="N7209" s="5"/>
      <c r="O7209" s="5"/>
      <c r="P7209" s="5"/>
      <c r="Q7209" s="5"/>
      <c r="R7209" s="5"/>
      <c r="S7209" s="5"/>
      <c r="T7209" s="5"/>
      <c r="U7209" s="5"/>
      <c r="V7209" s="5"/>
      <c r="W7209" s="5"/>
      <c r="X7209" s="5"/>
      <c r="Y7209" s="5"/>
      <c r="Z7209" s="5"/>
    </row>
    <row r="7210" spans="1:26" ht="15" x14ac:dyDescent="0.25">
      <c r="A7210" s="4" t="s">
        <v>7208</v>
      </c>
      <c r="B7210" s="4" t="s">
        <v>4550</v>
      </c>
      <c r="C7210" s="2" t="str">
        <f ca="1">IFERROR(__xludf.DUMMYFUNCTION("GOOGLETRANSLATE(A7210,""bn"",""en"")"),"The cabinet was sitting to discuss")</f>
        <v>The cabinet was sitting to discuss</v>
      </c>
      <c r="D7210" s="5"/>
      <c r="E7210" s="5"/>
      <c r="F7210" s="5"/>
      <c r="G7210" s="5"/>
      <c r="H7210" s="5"/>
      <c r="I7210" s="5"/>
      <c r="J7210" s="5"/>
      <c r="K7210" s="5"/>
      <c r="L7210" s="5"/>
      <c r="M7210" s="5"/>
      <c r="N7210" s="5"/>
      <c r="O7210" s="5"/>
      <c r="P7210" s="5"/>
      <c r="Q7210" s="5"/>
      <c r="R7210" s="5"/>
      <c r="S7210" s="5"/>
      <c r="T7210" s="5"/>
      <c r="U7210" s="5"/>
      <c r="V7210" s="5"/>
      <c r="W7210" s="5"/>
      <c r="X7210" s="5"/>
      <c r="Y7210" s="5"/>
      <c r="Z7210" s="5"/>
    </row>
    <row r="7211" spans="1:26" ht="15" x14ac:dyDescent="0.25">
      <c r="A7211" s="4" t="s">
        <v>7209</v>
      </c>
      <c r="B7211" s="4" t="s">
        <v>4550</v>
      </c>
      <c r="C7211" s="2" t="str">
        <f ca="1">IFERROR(__xludf.DUMMYFUNCTION("GOOGLETRANSLATE(A7211,""bn"",""en"")"),"Shilbabu used to farm fish")</f>
        <v>Shilbabu used to farm fish</v>
      </c>
      <c r="D7211" s="5"/>
      <c r="E7211" s="5"/>
      <c r="F7211" s="5"/>
      <c r="G7211" s="5"/>
      <c r="H7211" s="5"/>
      <c r="I7211" s="5"/>
      <c r="J7211" s="5"/>
      <c r="K7211" s="5"/>
      <c r="L7211" s="5"/>
      <c r="M7211" s="5"/>
      <c r="N7211" s="5"/>
      <c r="O7211" s="5"/>
      <c r="P7211" s="5"/>
      <c r="Q7211" s="5"/>
      <c r="R7211" s="5"/>
      <c r="S7211" s="5"/>
      <c r="T7211" s="5"/>
      <c r="U7211" s="5"/>
      <c r="V7211" s="5"/>
      <c r="W7211" s="5"/>
      <c r="X7211" s="5"/>
      <c r="Y7211" s="5"/>
      <c r="Z7211" s="5"/>
    </row>
    <row r="7212" spans="1:26" ht="15" x14ac:dyDescent="0.25">
      <c r="A7212" s="4" t="s">
        <v>7210</v>
      </c>
      <c r="B7212" s="4" t="s">
        <v>4550</v>
      </c>
      <c r="C7212" s="2" t="str">
        <f ca="1">IFERROR(__xludf.DUMMYFUNCTION("GOOGLETRANSLATE(A7212,""bn"",""en"")"),"I saw the play last week")</f>
        <v>I saw the play last week</v>
      </c>
      <c r="D7212" s="5"/>
      <c r="E7212" s="5"/>
      <c r="F7212" s="5"/>
      <c r="G7212" s="5"/>
      <c r="H7212" s="5"/>
      <c r="I7212" s="5"/>
      <c r="J7212" s="5"/>
      <c r="K7212" s="5"/>
      <c r="L7212" s="5"/>
      <c r="M7212" s="5"/>
      <c r="N7212" s="5"/>
      <c r="O7212" s="5"/>
      <c r="P7212" s="5"/>
      <c r="Q7212" s="5"/>
      <c r="R7212" s="5"/>
      <c r="S7212" s="5"/>
      <c r="T7212" s="5"/>
      <c r="U7212" s="5"/>
      <c r="V7212" s="5"/>
      <c r="W7212" s="5"/>
      <c r="X7212" s="5"/>
      <c r="Y7212" s="5"/>
      <c r="Z7212" s="5"/>
    </row>
    <row r="7213" spans="1:26" ht="15" x14ac:dyDescent="0.25">
      <c r="A7213" s="4" t="s">
        <v>7211</v>
      </c>
      <c r="B7213" s="4" t="s">
        <v>4550</v>
      </c>
      <c r="C7213" s="2" t="str">
        <f ca="1">IFERROR(__xludf.DUMMYFUNCTION("GOOGLETRANSLATE(A7213,""bn"",""en"")"),"The leader recognized public opinion")</f>
        <v>The leader recognized public opinion</v>
      </c>
      <c r="D7213" s="5"/>
      <c r="E7213" s="5"/>
      <c r="F7213" s="5"/>
      <c r="G7213" s="5"/>
      <c r="H7213" s="5"/>
      <c r="I7213" s="5"/>
      <c r="J7213" s="5"/>
      <c r="K7213" s="5"/>
      <c r="L7213" s="5"/>
      <c r="M7213" s="5"/>
      <c r="N7213" s="5"/>
      <c r="O7213" s="5"/>
      <c r="P7213" s="5"/>
      <c r="Q7213" s="5"/>
      <c r="R7213" s="5"/>
      <c r="S7213" s="5"/>
      <c r="T7213" s="5"/>
      <c r="U7213" s="5"/>
      <c r="V7213" s="5"/>
      <c r="W7213" s="5"/>
      <c r="X7213" s="5"/>
      <c r="Y7213" s="5"/>
      <c r="Z7213" s="5"/>
    </row>
    <row r="7214" spans="1:26" ht="15" x14ac:dyDescent="0.25">
      <c r="A7214" s="4" t="s">
        <v>7212</v>
      </c>
      <c r="B7214" s="4" t="s">
        <v>4550</v>
      </c>
      <c r="C7214" s="2" t="str">
        <f ca="1">IFERROR(__xludf.DUMMYFUNCTION("GOOGLETRANSLATE(A7214,""bn"",""en"")"),"He got a raise")</f>
        <v>He got a raise</v>
      </c>
      <c r="D7214" s="5"/>
      <c r="E7214" s="5"/>
      <c r="F7214" s="5"/>
      <c r="G7214" s="5"/>
      <c r="H7214" s="5"/>
      <c r="I7214" s="5"/>
      <c r="J7214" s="5"/>
      <c r="K7214" s="5"/>
      <c r="L7214" s="5"/>
      <c r="M7214" s="5"/>
      <c r="N7214" s="5"/>
      <c r="O7214" s="5"/>
      <c r="P7214" s="5"/>
      <c r="Q7214" s="5"/>
      <c r="R7214" s="5"/>
      <c r="S7214" s="5"/>
      <c r="T7214" s="5"/>
      <c r="U7214" s="5"/>
      <c r="V7214" s="5"/>
      <c r="W7214" s="5"/>
      <c r="X7214" s="5"/>
      <c r="Y7214" s="5"/>
      <c r="Z7214" s="5"/>
    </row>
    <row r="7215" spans="1:26" ht="15" x14ac:dyDescent="0.25">
      <c r="A7215" s="4" t="s">
        <v>7213</v>
      </c>
      <c r="B7215" s="4" t="s">
        <v>4550</v>
      </c>
      <c r="C7215" s="2" t="str">
        <f ca="1">IFERROR(__xludf.DUMMYFUNCTION("GOOGLETRANSLATE(A7215,""bn"",""en"")"),"I visited a court")</f>
        <v>I visited a court</v>
      </c>
      <c r="D7215" s="5"/>
      <c r="E7215" s="5"/>
      <c r="F7215" s="5"/>
      <c r="G7215" s="5"/>
      <c r="H7215" s="5"/>
      <c r="I7215" s="5"/>
      <c r="J7215" s="5"/>
      <c r="K7215" s="5"/>
      <c r="L7215" s="5"/>
      <c r="M7215" s="5"/>
      <c r="N7215" s="5"/>
      <c r="O7215" s="5"/>
      <c r="P7215" s="5"/>
      <c r="Q7215" s="5"/>
      <c r="R7215" s="5"/>
      <c r="S7215" s="5"/>
      <c r="T7215" s="5"/>
      <c r="U7215" s="5"/>
      <c r="V7215" s="5"/>
      <c r="W7215" s="5"/>
      <c r="X7215" s="5"/>
      <c r="Y7215" s="5"/>
      <c r="Z7215" s="5"/>
    </row>
    <row r="7216" spans="1:26" ht="15" x14ac:dyDescent="0.25">
      <c r="A7216" s="4" t="s">
        <v>7214</v>
      </c>
      <c r="B7216" s="4" t="s">
        <v>4550</v>
      </c>
      <c r="C7216" s="2" t="str">
        <f ca="1">IFERROR(__xludf.DUMMYFUNCTION("GOOGLETRANSLATE(A7216,""bn"",""en"")"),"I roasted steak in the festival")</f>
        <v>I roasted steak in the festival</v>
      </c>
      <c r="D7216" s="5"/>
      <c r="E7216" s="5"/>
      <c r="F7216" s="5"/>
      <c r="G7216" s="5"/>
      <c r="H7216" s="5"/>
      <c r="I7216" s="5"/>
      <c r="J7216" s="5"/>
      <c r="K7216" s="5"/>
      <c r="L7216" s="5"/>
      <c r="M7216" s="5"/>
      <c r="N7216" s="5"/>
      <c r="O7216" s="5"/>
      <c r="P7216" s="5"/>
      <c r="Q7216" s="5"/>
      <c r="R7216" s="5"/>
      <c r="S7216" s="5"/>
      <c r="T7216" s="5"/>
      <c r="U7216" s="5"/>
      <c r="V7216" s="5"/>
      <c r="W7216" s="5"/>
      <c r="X7216" s="5"/>
      <c r="Y7216" s="5"/>
      <c r="Z7216" s="5"/>
    </row>
    <row r="7217" spans="1:26" ht="15" x14ac:dyDescent="0.25">
      <c r="A7217" s="4" t="s">
        <v>7215</v>
      </c>
      <c r="B7217" s="4" t="s">
        <v>4550</v>
      </c>
      <c r="C7217" s="2" t="str">
        <f ca="1">IFERROR(__xludf.DUMMYFUNCTION("GOOGLETRANSLATE(A7217,""bn"",""en"")"),"Played football last year")</f>
        <v>Played football last year</v>
      </c>
      <c r="D7217" s="5"/>
      <c r="E7217" s="5"/>
      <c r="F7217" s="5"/>
      <c r="G7217" s="5"/>
      <c r="H7217" s="5"/>
      <c r="I7217" s="5"/>
      <c r="J7217" s="5"/>
      <c r="K7217" s="5"/>
      <c r="L7217" s="5"/>
      <c r="M7217" s="5"/>
      <c r="N7217" s="5"/>
      <c r="O7217" s="5"/>
      <c r="P7217" s="5"/>
      <c r="Q7217" s="5"/>
      <c r="R7217" s="5"/>
      <c r="S7217" s="5"/>
      <c r="T7217" s="5"/>
      <c r="U7217" s="5"/>
      <c r="V7217" s="5"/>
      <c r="W7217" s="5"/>
      <c r="X7217" s="5"/>
      <c r="Y7217" s="5"/>
      <c r="Z7217" s="5"/>
    </row>
    <row r="7218" spans="1:26" ht="15" x14ac:dyDescent="0.25">
      <c r="A7218" s="4" t="s">
        <v>7216</v>
      </c>
      <c r="B7218" s="4" t="s">
        <v>4550</v>
      </c>
      <c r="C7218" s="2" t="str">
        <f ca="1">IFERROR(__xludf.DUMMYFUNCTION("GOOGLETRANSLATE(A7218,""bn"",""en"")"),"Shrimp was caught in the river")</f>
        <v>Shrimp was caught in the river</v>
      </c>
      <c r="D7218" s="5"/>
      <c r="E7218" s="5"/>
      <c r="F7218" s="5"/>
      <c r="G7218" s="5"/>
      <c r="H7218" s="5"/>
      <c r="I7218" s="5"/>
      <c r="J7218" s="5"/>
      <c r="K7218" s="5"/>
      <c r="L7218" s="5"/>
      <c r="M7218" s="5"/>
      <c r="N7218" s="5"/>
      <c r="O7218" s="5"/>
      <c r="P7218" s="5"/>
      <c r="Q7218" s="5"/>
      <c r="R7218" s="5"/>
      <c r="S7218" s="5"/>
      <c r="T7218" s="5"/>
      <c r="U7218" s="5"/>
      <c r="V7218" s="5"/>
      <c r="W7218" s="5"/>
      <c r="X7218" s="5"/>
      <c r="Y7218" s="5"/>
      <c r="Z7218" s="5"/>
    </row>
    <row r="7219" spans="1:26" ht="15" x14ac:dyDescent="0.25">
      <c r="A7219" s="4" t="s">
        <v>7217</v>
      </c>
      <c r="B7219" s="4" t="s">
        <v>4550</v>
      </c>
      <c r="C7219" s="2" t="str">
        <f ca="1">IFERROR(__xludf.DUMMYFUNCTION("GOOGLETRANSLATE(A7219,""bn"",""en"")"),"He was creating new works")</f>
        <v>He was creating new works</v>
      </c>
      <c r="D7219" s="5"/>
      <c r="E7219" s="5"/>
      <c r="F7219" s="5"/>
      <c r="G7219" s="5"/>
      <c r="H7219" s="5"/>
      <c r="I7219" s="5"/>
      <c r="J7219" s="5"/>
      <c r="K7219" s="5"/>
      <c r="L7219" s="5"/>
      <c r="M7219" s="5"/>
      <c r="N7219" s="5"/>
      <c r="O7219" s="5"/>
      <c r="P7219" s="5"/>
      <c r="Q7219" s="5"/>
      <c r="R7219" s="5"/>
      <c r="S7219" s="5"/>
      <c r="T7219" s="5"/>
      <c r="U7219" s="5"/>
      <c r="V7219" s="5"/>
      <c r="W7219" s="5"/>
      <c r="X7219" s="5"/>
      <c r="Y7219" s="5"/>
      <c r="Z7219" s="5"/>
    </row>
    <row r="7220" spans="1:26" ht="15" x14ac:dyDescent="0.25">
      <c r="A7220" s="4" t="s">
        <v>7218</v>
      </c>
      <c r="B7220" s="4" t="s">
        <v>4550</v>
      </c>
      <c r="C7220" s="2" t="str">
        <f ca="1">IFERROR(__xludf.DUMMYFUNCTION("GOOGLETRANSLATE(A7220,""bn"",""en"")"),"Students organized football")</f>
        <v>Students organized football</v>
      </c>
      <c r="D7220" s="5"/>
      <c r="E7220" s="5"/>
      <c r="F7220" s="5"/>
      <c r="G7220" s="5"/>
      <c r="H7220" s="5"/>
      <c r="I7220" s="5"/>
      <c r="J7220" s="5"/>
      <c r="K7220" s="5"/>
      <c r="L7220" s="5"/>
      <c r="M7220" s="5"/>
      <c r="N7220" s="5"/>
      <c r="O7220" s="5"/>
      <c r="P7220" s="5"/>
      <c r="Q7220" s="5"/>
      <c r="R7220" s="5"/>
      <c r="S7220" s="5"/>
      <c r="T7220" s="5"/>
      <c r="U7220" s="5"/>
      <c r="V7220" s="5"/>
      <c r="W7220" s="5"/>
      <c r="X7220" s="5"/>
      <c r="Y7220" s="5"/>
      <c r="Z7220" s="5"/>
    </row>
    <row r="7221" spans="1:26" ht="15" x14ac:dyDescent="0.25">
      <c r="A7221" s="4" t="s">
        <v>7219</v>
      </c>
      <c r="B7221" s="4" t="s">
        <v>4550</v>
      </c>
      <c r="C7221" s="2" t="str">
        <f ca="1">IFERROR(__xludf.DUMMYFUNCTION("GOOGLETRANSLATE(A7221,""bn"",""en"")"),"We ate different at the wedding")</f>
        <v>We ate different at the wedding</v>
      </c>
      <c r="D7221" s="5"/>
      <c r="E7221" s="5"/>
      <c r="F7221" s="5"/>
      <c r="G7221" s="5"/>
      <c r="H7221" s="5"/>
      <c r="I7221" s="5"/>
      <c r="J7221" s="5"/>
      <c r="K7221" s="5"/>
      <c r="L7221" s="5"/>
      <c r="M7221" s="5"/>
      <c r="N7221" s="5"/>
      <c r="O7221" s="5"/>
      <c r="P7221" s="5"/>
      <c r="Q7221" s="5"/>
      <c r="R7221" s="5"/>
      <c r="S7221" s="5"/>
      <c r="T7221" s="5"/>
      <c r="U7221" s="5"/>
      <c r="V7221" s="5"/>
      <c r="W7221" s="5"/>
      <c r="X7221" s="5"/>
      <c r="Y7221" s="5"/>
      <c r="Z7221" s="5"/>
    </row>
    <row r="7222" spans="1:26" ht="15" x14ac:dyDescent="0.25">
      <c r="A7222" s="4" t="s">
        <v>7220</v>
      </c>
      <c r="B7222" s="4" t="s">
        <v>4550</v>
      </c>
      <c r="C7222" s="2" t="str">
        <f ca="1">IFERROR(__xludf.DUMMYFUNCTION("GOOGLETRANSLATE(A7222,""bn"",""en"")"),"They ate water sandwiches")</f>
        <v>They ate water sandwiches</v>
      </c>
      <c r="D7222" s="5"/>
      <c r="E7222" s="5"/>
      <c r="F7222" s="5"/>
      <c r="G7222" s="5"/>
      <c r="H7222" s="5"/>
      <c r="I7222" s="5"/>
      <c r="J7222" s="5"/>
      <c r="K7222" s="5"/>
      <c r="L7222" s="5"/>
      <c r="M7222" s="5"/>
      <c r="N7222" s="5"/>
      <c r="O7222" s="5"/>
      <c r="P7222" s="5"/>
      <c r="Q7222" s="5"/>
      <c r="R7222" s="5"/>
      <c r="S7222" s="5"/>
      <c r="T7222" s="5"/>
      <c r="U7222" s="5"/>
      <c r="V7222" s="5"/>
      <c r="W7222" s="5"/>
      <c r="X7222" s="5"/>
      <c r="Y7222" s="5"/>
      <c r="Z7222" s="5"/>
    </row>
    <row r="7223" spans="1:26" ht="15" x14ac:dyDescent="0.25">
      <c r="A7223" s="4" t="s">
        <v>7221</v>
      </c>
      <c r="B7223" s="4" t="s">
        <v>4550</v>
      </c>
      <c r="C7223" s="2" t="str">
        <f ca="1">IFERROR(__xludf.DUMMYFUNCTION("GOOGLETRANSLATE(A7223,""bn"",""en"")"),"The organization committee was formed")</f>
        <v>The organization committee was formed</v>
      </c>
      <c r="D7223" s="5"/>
      <c r="E7223" s="5"/>
      <c r="F7223" s="5"/>
      <c r="G7223" s="5"/>
      <c r="H7223" s="5"/>
      <c r="I7223" s="5"/>
      <c r="J7223" s="5"/>
      <c r="K7223" s="5"/>
      <c r="L7223" s="5"/>
      <c r="M7223" s="5"/>
      <c r="N7223" s="5"/>
      <c r="O7223" s="5"/>
      <c r="P7223" s="5"/>
      <c r="Q7223" s="5"/>
      <c r="R7223" s="5"/>
      <c r="S7223" s="5"/>
      <c r="T7223" s="5"/>
      <c r="U7223" s="5"/>
      <c r="V7223" s="5"/>
      <c r="W7223" s="5"/>
      <c r="X7223" s="5"/>
      <c r="Y7223" s="5"/>
      <c r="Z7223" s="5"/>
    </row>
    <row r="7224" spans="1:26" ht="15" x14ac:dyDescent="0.25">
      <c r="A7224" s="4" t="s">
        <v>7222</v>
      </c>
      <c r="B7224" s="4" t="s">
        <v>4550</v>
      </c>
      <c r="C7224" s="2" t="str">
        <f ca="1">IFERROR(__xludf.DUMMYFUNCTION("GOOGLETRANSLATE(A7224,""bn"",""en"")"),"We had fish")</f>
        <v>We had fish</v>
      </c>
      <c r="D7224" s="5"/>
      <c r="E7224" s="5"/>
      <c r="F7224" s="5"/>
      <c r="G7224" s="5"/>
      <c r="H7224" s="5"/>
      <c r="I7224" s="5"/>
      <c r="J7224" s="5"/>
      <c r="K7224" s="5"/>
      <c r="L7224" s="5"/>
      <c r="M7224" s="5"/>
      <c r="N7224" s="5"/>
      <c r="O7224" s="5"/>
      <c r="P7224" s="5"/>
      <c r="Q7224" s="5"/>
      <c r="R7224" s="5"/>
      <c r="S7224" s="5"/>
      <c r="T7224" s="5"/>
      <c r="U7224" s="5"/>
      <c r="V7224" s="5"/>
      <c r="W7224" s="5"/>
      <c r="X7224" s="5"/>
      <c r="Y7224" s="5"/>
      <c r="Z7224" s="5"/>
    </row>
    <row r="7225" spans="1:26" ht="15" x14ac:dyDescent="0.25">
      <c r="A7225" s="4" t="s">
        <v>7223</v>
      </c>
      <c r="B7225" s="4" t="s">
        <v>4550</v>
      </c>
      <c r="C7225" s="2" t="str">
        <f ca="1">IFERROR(__xludf.DUMMYFUNCTION("GOOGLETRANSLATE(A7225,""bn"",""en"")"),"We organized a competition")</f>
        <v>We organized a competition</v>
      </c>
      <c r="D7225" s="5"/>
      <c r="E7225" s="5"/>
      <c r="F7225" s="5"/>
      <c r="G7225" s="5"/>
      <c r="H7225" s="5"/>
      <c r="I7225" s="5"/>
      <c r="J7225" s="5"/>
      <c r="K7225" s="5"/>
      <c r="L7225" s="5"/>
      <c r="M7225" s="5"/>
      <c r="N7225" s="5"/>
      <c r="O7225" s="5"/>
      <c r="P7225" s="5"/>
      <c r="Q7225" s="5"/>
      <c r="R7225" s="5"/>
      <c r="S7225" s="5"/>
      <c r="T7225" s="5"/>
      <c r="U7225" s="5"/>
      <c r="V7225" s="5"/>
      <c r="W7225" s="5"/>
      <c r="X7225" s="5"/>
      <c r="Y7225" s="5"/>
      <c r="Z7225" s="5"/>
    </row>
    <row r="7226" spans="1:26" ht="15" x14ac:dyDescent="0.25">
      <c r="A7226" s="4" t="s">
        <v>7224</v>
      </c>
      <c r="B7226" s="4" t="s">
        <v>4550</v>
      </c>
      <c r="C7226" s="2" t="str">
        <f ca="1">IFERROR(__xludf.DUMMYFUNCTION("GOOGLETRANSLATE(A7226,""bn"",""en"")"),"I was making sandwiches")</f>
        <v>I was making sandwiches</v>
      </c>
      <c r="D7226" s="5"/>
      <c r="E7226" s="5"/>
      <c r="F7226" s="5"/>
      <c r="G7226" s="5"/>
      <c r="H7226" s="5"/>
      <c r="I7226" s="5"/>
      <c r="J7226" s="5"/>
      <c r="K7226" s="5"/>
      <c r="L7226" s="5"/>
      <c r="M7226" s="5"/>
      <c r="N7226" s="5"/>
      <c r="O7226" s="5"/>
      <c r="P7226" s="5"/>
      <c r="Q7226" s="5"/>
      <c r="R7226" s="5"/>
      <c r="S7226" s="5"/>
      <c r="T7226" s="5"/>
      <c r="U7226" s="5"/>
      <c r="V7226" s="5"/>
      <c r="W7226" s="5"/>
      <c r="X7226" s="5"/>
      <c r="Y7226" s="5"/>
      <c r="Z7226" s="5"/>
    </row>
    <row r="7227" spans="1:26" ht="15" x14ac:dyDescent="0.25">
      <c r="A7227" s="4" t="s">
        <v>7225</v>
      </c>
      <c r="B7227" s="4" t="s">
        <v>4550</v>
      </c>
      <c r="C7227" s="2" t="str">
        <f ca="1">IFERROR(__xludf.DUMMYFUNCTION("GOOGLETRANSLATE(A7227,""bn"",""en"")"),"Music added to the excitement of the film")</f>
        <v>Music added to the excitement of the film</v>
      </c>
      <c r="D7227" s="5"/>
      <c r="E7227" s="5"/>
      <c r="F7227" s="5"/>
      <c r="G7227" s="5"/>
      <c r="H7227" s="5"/>
      <c r="I7227" s="5"/>
      <c r="J7227" s="5"/>
      <c r="K7227" s="5"/>
      <c r="L7227" s="5"/>
      <c r="M7227" s="5"/>
      <c r="N7227" s="5"/>
      <c r="O7227" s="5"/>
      <c r="P7227" s="5"/>
      <c r="Q7227" s="5"/>
      <c r="R7227" s="5"/>
      <c r="S7227" s="5"/>
      <c r="T7227" s="5"/>
      <c r="U7227" s="5"/>
      <c r="V7227" s="5"/>
      <c r="W7227" s="5"/>
      <c r="X7227" s="5"/>
      <c r="Y7227" s="5"/>
      <c r="Z7227" s="5"/>
    </row>
    <row r="7228" spans="1:26" ht="15" x14ac:dyDescent="0.25">
      <c r="A7228" s="4" t="s">
        <v>7226</v>
      </c>
      <c r="B7228" s="4" t="s">
        <v>4550</v>
      </c>
      <c r="C7228" s="2" t="str">
        <f ca="1">IFERROR(__xludf.DUMMYFUNCTION("GOOGLETRANSLATE(A7228,""bn"",""en"")"),"I corrected the testing error")</f>
        <v>I corrected the testing error</v>
      </c>
      <c r="D7228" s="5"/>
      <c r="E7228" s="5"/>
      <c r="F7228" s="5"/>
      <c r="G7228" s="5"/>
      <c r="H7228" s="5"/>
      <c r="I7228" s="5"/>
      <c r="J7228" s="5"/>
      <c r="K7228" s="5"/>
      <c r="L7228" s="5"/>
      <c r="M7228" s="5"/>
      <c r="N7228" s="5"/>
      <c r="O7228" s="5"/>
      <c r="P7228" s="5"/>
      <c r="Q7228" s="5"/>
      <c r="R7228" s="5"/>
      <c r="S7228" s="5"/>
      <c r="T7228" s="5"/>
      <c r="U7228" s="5"/>
      <c r="V7228" s="5"/>
      <c r="W7228" s="5"/>
      <c r="X7228" s="5"/>
      <c r="Y7228" s="5"/>
      <c r="Z7228" s="5"/>
    </row>
    <row r="7229" spans="1:26" ht="15" x14ac:dyDescent="0.25">
      <c r="A7229" s="4" t="s">
        <v>7227</v>
      </c>
      <c r="B7229" s="4" t="s">
        <v>4550</v>
      </c>
      <c r="C7229" s="2" t="str">
        <f ca="1">IFERROR(__xludf.DUMMYFUNCTION("GOOGLETRANSLATE(A7229,""bn"",""en"")"),"The game lasted for two hours")</f>
        <v>The game lasted for two hours</v>
      </c>
      <c r="D7229" s="5"/>
      <c r="E7229" s="5"/>
      <c r="F7229" s="5"/>
      <c r="G7229" s="5"/>
      <c r="H7229" s="5"/>
      <c r="I7229" s="5"/>
      <c r="J7229" s="5"/>
      <c r="K7229" s="5"/>
      <c r="L7229" s="5"/>
      <c r="M7229" s="5"/>
      <c r="N7229" s="5"/>
      <c r="O7229" s="5"/>
      <c r="P7229" s="5"/>
      <c r="Q7229" s="5"/>
      <c r="R7229" s="5"/>
      <c r="S7229" s="5"/>
      <c r="T7229" s="5"/>
      <c r="U7229" s="5"/>
      <c r="V7229" s="5"/>
      <c r="W7229" s="5"/>
      <c r="X7229" s="5"/>
      <c r="Y7229" s="5"/>
      <c r="Z7229" s="5"/>
    </row>
    <row r="7230" spans="1:26" ht="15" x14ac:dyDescent="0.25">
      <c r="A7230" s="4" t="s">
        <v>7228</v>
      </c>
      <c r="B7230" s="4" t="s">
        <v>4550</v>
      </c>
      <c r="C7230" s="2" t="str">
        <f ca="1">IFERROR(__xludf.DUMMYFUNCTION("GOOGLETRANSLATE(A7230,""bn"",""en"")"),"This application was installed")</f>
        <v>This application was installed</v>
      </c>
      <c r="D7230" s="5"/>
      <c r="E7230" s="5"/>
      <c r="F7230" s="5"/>
      <c r="G7230" s="5"/>
      <c r="H7230" s="5"/>
      <c r="I7230" s="5"/>
      <c r="J7230" s="5"/>
      <c r="K7230" s="5"/>
      <c r="L7230" s="5"/>
      <c r="M7230" s="5"/>
      <c r="N7230" s="5"/>
      <c r="O7230" s="5"/>
      <c r="P7230" s="5"/>
      <c r="Q7230" s="5"/>
      <c r="R7230" s="5"/>
      <c r="S7230" s="5"/>
      <c r="T7230" s="5"/>
      <c r="U7230" s="5"/>
      <c r="V7230" s="5"/>
      <c r="W7230" s="5"/>
      <c r="X7230" s="5"/>
      <c r="Y7230" s="5"/>
      <c r="Z7230" s="5"/>
    </row>
    <row r="7231" spans="1:26" ht="15" x14ac:dyDescent="0.25">
      <c r="A7231" s="4" t="s">
        <v>7229</v>
      </c>
      <c r="B7231" s="4" t="s">
        <v>4550</v>
      </c>
      <c r="C7231" s="2" t="str">
        <f ca="1">IFERROR(__xludf.DUMMYFUNCTION("GOOGLETRANSLATE(A7231,""bn"",""en"")"),"Practiced last month")</f>
        <v>Practiced last month</v>
      </c>
      <c r="D7231" s="5"/>
      <c r="E7231" s="5"/>
      <c r="F7231" s="5"/>
      <c r="G7231" s="5"/>
      <c r="H7231" s="5"/>
      <c r="I7231" s="5"/>
      <c r="J7231" s="5"/>
      <c r="K7231" s="5"/>
      <c r="L7231" s="5"/>
      <c r="M7231" s="5"/>
      <c r="N7231" s="5"/>
      <c r="O7231" s="5"/>
      <c r="P7231" s="5"/>
      <c r="Q7231" s="5"/>
      <c r="R7231" s="5"/>
      <c r="S7231" s="5"/>
      <c r="T7231" s="5"/>
      <c r="U7231" s="5"/>
      <c r="V7231" s="5"/>
      <c r="W7231" s="5"/>
      <c r="X7231" s="5"/>
      <c r="Y7231" s="5"/>
      <c r="Z7231" s="5"/>
    </row>
    <row r="7232" spans="1:26" ht="15" x14ac:dyDescent="0.25">
      <c r="A7232" s="4" t="s">
        <v>7230</v>
      </c>
      <c r="B7232" s="4" t="s">
        <v>4550</v>
      </c>
      <c r="C7232" s="2" t="str">
        <f ca="1">IFERROR(__xludf.DUMMYFUNCTION("GOOGLETRANSLATE(A7232,""bn"",""en"")"),"Attended for a month")</f>
        <v>Attended for a month</v>
      </c>
      <c r="D7232" s="5"/>
      <c r="E7232" s="5"/>
      <c r="F7232" s="5"/>
      <c r="G7232" s="5"/>
      <c r="H7232" s="5"/>
      <c r="I7232" s="5"/>
      <c r="J7232" s="5"/>
      <c r="K7232" s="5"/>
      <c r="L7232" s="5"/>
      <c r="M7232" s="5"/>
      <c r="N7232" s="5"/>
      <c r="O7232" s="5"/>
      <c r="P7232" s="5"/>
      <c r="Q7232" s="5"/>
      <c r="R7232" s="5"/>
      <c r="S7232" s="5"/>
      <c r="T7232" s="5"/>
      <c r="U7232" s="5"/>
      <c r="V7232" s="5"/>
      <c r="W7232" s="5"/>
      <c r="X7232" s="5"/>
      <c r="Y7232" s="5"/>
      <c r="Z7232" s="5"/>
    </row>
    <row r="7233" spans="1:26" ht="15" x14ac:dyDescent="0.25">
      <c r="A7233" s="4" t="s">
        <v>7231</v>
      </c>
      <c r="B7233" s="4" t="s">
        <v>4550</v>
      </c>
      <c r="C7233" s="2" t="str">
        <f ca="1">IFERROR(__xludf.DUMMYFUNCTION("GOOGLETRANSLATE(A7233,""bn"",""en"")"),"I used to write stories for months")</f>
        <v>I used to write stories for months</v>
      </c>
      <c r="D7233" s="5"/>
      <c r="E7233" s="5"/>
      <c r="F7233" s="5"/>
      <c r="G7233" s="5"/>
      <c r="H7233" s="5"/>
      <c r="I7233" s="5"/>
      <c r="J7233" s="5"/>
      <c r="K7233" s="5"/>
      <c r="L7233" s="5"/>
      <c r="M7233" s="5"/>
      <c r="N7233" s="5"/>
      <c r="O7233" s="5"/>
      <c r="P7233" s="5"/>
      <c r="Q7233" s="5"/>
      <c r="R7233" s="5"/>
      <c r="S7233" s="5"/>
      <c r="T7233" s="5"/>
      <c r="U7233" s="5"/>
      <c r="V7233" s="5"/>
      <c r="W7233" s="5"/>
      <c r="X7233" s="5"/>
      <c r="Y7233" s="5"/>
      <c r="Z7233" s="5"/>
    </row>
    <row r="7234" spans="1:26" ht="15" x14ac:dyDescent="0.25">
      <c r="A7234" s="4" t="s">
        <v>7232</v>
      </c>
      <c r="B7234" s="4" t="s">
        <v>4550</v>
      </c>
      <c r="C7234" s="2" t="str">
        <f ca="1">IFERROR(__xludf.DUMMYFUNCTION("GOOGLETRANSLATE(A7234,""bn"",""en"")"),"The batsman used the ball correctly")</f>
        <v>The batsman used the ball correctly</v>
      </c>
      <c r="D7234" s="5"/>
      <c r="E7234" s="5"/>
      <c r="F7234" s="5"/>
      <c r="G7234" s="5"/>
      <c r="H7234" s="5"/>
      <c r="I7234" s="5"/>
      <c r="J7234" s="5"/>
      <c r="K7234" s="5"/>
      <c r="L7234" s="5"/>
      <c r="M7234" s="5"/>
      <c r="N7234" s="5"/>
      <c r="O7234" s="5"/>
      <c r="P7234" s="5"/>
      <c r="Q7234" s="5"/>
      <c r="R7234" s="5"/>
      <c r="S7234" s="5"/>
      <c r="T7234" s="5"/>
      <c r="U7234" s="5"/>
      <c r="V7234" s="5"/>
      <c r="W7234" s="5"/>
      <c r="X7234" s="5"/>
      <c r="Y7234" s="5"/>
      <c r="Z7234" s="5"/>
    </row>
    <row r="7235" spans="1:26" ht="15" x14ac:dyDescent="0.25">
      <c r="A7235" s="4" t="s">
        <v>7233</v>
      </c>
      <c r="B7235" s="4" t="s">
        <v>4550</v>
      </c>
      <c r="C7235" s="2" t="str">
        <f ca="1">IFERROR(__xludf.DUMMYFUNCTION("GOOGLETRANSLATE(A7235,""bn"",""en"")"),"If you watch a horror movie")</f>
        <v>If you watch a horror movie</v>
      </c>
      <c r="D7235" s="5"/>
      <c r="E7235" s="5"/>
      <c r="F7235" s="5"/>
      <c r="G7235" s="5"/>
      <c r="H7235" s="5"/>
      <c r="I7235" s="5"/>
      <c r="J7235" s="5"/>
      <c r="K7235" s="5"/>
      <c r="L7235" s="5"/>
      <c r="M7235" s="5"/>
      <c r="N7235" s="5"/>
      <c r="O7235" s="5"/>
      <c r="P7235" s="5"/>
      <c r="Q7235" s="5"/>
      <c r="R7235" s="5"/>
      <c r="S7235" s="5"/>
      <c r="T7235" s="5"/>
      <c r="U7235" s="5"/>
      <c r="V7235" s="5"/>
      <c r="W7235" s="5"/>
      <c r="X7235" s="5"/>
      <c r="Y7235" s="5"/>
      <c r="Z7235" s="5"/>
    </row>
    <row r="7236" spans="1:26" ht="15" x14ac:dyDescent="0.25">
      <c r="A7236" s="4" t="s">
        <v>7234</v>
      </c>
      <c r="B7236" s="4" t="s">
        <v>4550</v>
      </c>
      <c r="C7236" s="2" t="str">
        <f ca="1">IFERROR(__xludf.DUMMYFUNCTION("GOOGLETRANSLATE(A7236,""bn"",""en"")"),"Rates fell in the illegal market")</f>
        <v>Rates fell in the illegal market</v>
      </c>
      <c r="D7236" s="5"/>
      <c r="E7236" s="5"/>
      <c r="F7236" s="5"/>
      <c r="G7236" s="5"/>
      <c r="H7236" s="5"/>
      <c r="I7236" s="5"/>
      <c r="J7236" s="5"/>
      <c r="K7236" s="5"/>
      <c r="L7236" s="5"/>
      <c r="M7236" s="5"/>
      <c r="N7236" s="5"/>
      <c r="O7236" s="5"/>
      <c r="P7236" s="5"/>
      <c r="Q7236" s="5"/>
      <c r="R7236" s="5"/>
      <c r="S7236" s="5"/>
      <c r="T7236" s="5"/>
      <c r="U7236" s="5"/>
      <c r="V7236" s="5"/>
      <c r="W7236" s="5"/>
      <c r="X7236" s="5"/>
      <c r="Y7236" s="5"/>
      <c r="Z7236" s="5"/>
    </row>
    <row r="7237" spans="1:26" ht="15" x14ac:dyDescent="0.25">
      <c r="A7237" s="4" t="s">
        <v>7235</v>
      </c>
      <c r="B7237" s="4" t="s">
        <v>4550</v>
      </c>
      <c r="C7237" s="2" t="str">
        <f ca="1">IFERROR(__xludf.DUMMYFUNCTION("GOOGLETRANSLATE(A7237,""bn"",""en"")"),"The Prime Minister declared the Republic")</f>
        <v>The Prime Minister declared the Republic</v>
      </c>
      <c r="D7237" s="5"/>
      <c r="E7237" s="5"/>
      <c r="F7237" s="5"/>
      <c r="G7237" s="5"/>
      <c r="H7237" s="5"/>
      <c r="I7237" s="5"/>
      <c r="J7237" s="5"/>
      <c r="K7237" s="5"/>
      <c r="L7237" s="5"/>
      <c r="M7237" s="5"/>
      <c r="N7237" s="5"/>
      <c r="O7237" s="5"/>
      <c r="P7237" s="5"/>
      <c r="Q7237" s="5"/>
      <c r="R7237" s="5"/>
      <c r="S7237" s="5"/>
      <c r="T7237" s="5"/>
      <c r="U7237" s="5"/>
      <c r="V7237" s="5"/>
      <c r="W7237" s="5"/>
      <c r="X7237" s="5"/>
      <c r="Y7237" s="5"/>
      <c r="Z7237" s="5"/>
    </row>
    <row r="7238" spans="1:26" ht="15" x14ac:dyDescent="0.25">
      <c r="A7238" s="4" t="s">
        <v>7236</v>
      </c>
      <c r="B7238" s="4" t="s">
        <v>4550</v>
      </c>
      <c r="C7238" s="2" t="str">
        <f ca="1">IFERROR(__xludf.DUMMYFUNCTION("GOOGLETRANSLATE(A7238,""bn"",""en"")"),"It was a patient match")</f>
        <v>It was a patient match</v>
      </c>
      <c r="D7238" s="5"/>
      <c r="E7238" s="5"/>
      <c r="F7238" s="5"/>
      <c r="G7238" s="5"/>
      <c r="H7238" s="5"/>
      <c r="I7238" s="5"/>
      <c r="J7238" s="5"/>
      <c r="K7238" s="5"/>
      <c r="L7238" s="5"/>
      <c r="M7238" s="5"/>
      <c r="N7238" s="5"/>
      <c r="O7238" s="5"/>
      <c r="P7238" s="5"/>
      <c r="Q7238" s="5"/>
      <c r="R7238" s="5"/>
      <c r="S7238" s="5"/>
      <c r="T7238" s="5"/>
      <c r="U7238" s="5"/>
      <c r="V7238" s="5"/>
      <c r="W7238" s="5"/>
      <c r="X7238" s="5"/>
      <c r="Y7238" s="5"/>
      <c r="Z7238" s="5"/>
    </row>
    <row r="7239" spans="1:26" ht="15" x14ac:dyDescent="0.25">
      <c r="A7239" s="4" t="s">
        <v>7237</v>
      </c>
      <c r="B7239" s="4" t="s">
        <v>4550</v>
      </c>
      <c r="C7239" s="2" t="str">
        <f ca="1">IFERROR(__xludf.DUMMYFUNCTION("GOOGLETRANSLATE(A7239,""bn"",""en"")"),"The leader lost his rivals in the election")</f>
        <v>The leader lost his rivals in the election</v>
      </c>
      <c r="D7239" s="5"/>
      <c r="E7239" s="5"/>
      <c r="F7239" s="5"/>
      <c r="G7239" s="5"/>
      <c r="H7239" s="5"/>
      <c r="I7239" s="5"/>
      <c r="J7239" s="5"/>
      <c r="K7239" s="5"/>
      <c r="L7239" s="5"/>
      <c r="M7239" s="5"/>
      <c r="N7239" s="5"/>
      <c r="O7239" s="5"/>
      <c r="P7239" s="5"/>
      <c r="Q7239" s="5"/>
      <c r="R7239" s="5"/>
      <c r="S7239" s="5"/>
      <c r="T7239" s="5"/>
      <c r="U7239" s="5"/>
      <c r="V7239" s="5"/>
      <c r="W7239" s="5"/>
      <c r="X7239" s="5"/>
      <c r="Y7239" s="5"/>
      <c r="Z7239" s="5"/>
    </row>
    <row r="7240" spans="1:26" ht="15" x14ac:dyDescent="0.25">
      <c r="A7240" s="4" t="s">
        <v>7238</v>
      </c>
      <c r="B7240" s="4" t="s">
        <v>4550</v>
      </c>
      <c r="C7240" s="2" t="str">
        <f ca="1">IFERROR(__xludf.DUMMYFUNCTION("GOOGLETRANSLATE(A7240,""bn"",""en"")"),"The waterfall was beautiful to see")</f>
        <v>The waterfall was beautiful to see</v>
      </c>
      <c r="D7240" s="5"/>
      <c r="E7240" s="5"/>
      <c r="F7240" s="5"/>
      <c r="G7240" s="5"/>
      <c r="H7240" s="5"/>
      <c r="I7240" s="5"/>
      <c r="J7240" s="5"/>
      <c r="K7240" s="5"/>
      <c r="L7240" s="5"/>
      <c r="M7240" s="5"/>
      <c r="N7240" s="5"/>
      <c r="O7240" s="5"/>
      <c r="P7240" s="5"/>
      <c r="Q7240" s="5"/>
      <c r="R7240" s="5"/>
      <c r="S7240" s="5"/>
      <c r="T7240" s="5"/>
      <c r="U7240" s="5"/>
      <c r="V7240" s="5"/>
      <c r="W7240" s="5"/>
      <c r="X7240" s="5"/>
      <c r="Y7240" s="5"/>
      <c r="Z7240" s="5"/>
    </row>
    <row r="7241" spans="1:26" ht="15" x14ac:dyDescent="0.25">
      <c r="A7241" s="4" t="s">
        <v>7239</v>
      </c>
      <c r="B7241" s="4" t="s">
        <v>4550</v>
      </c>
      <c r="C7241" s="2" t="str">
        <f ca="1">IFERROR(__xludf.DUMMYFUNCTION("GOOGLETRANSLATE(A7241,""bn"",""en"")"),"I went for a drive")</f>
        <v>I went for a drive</v>
      </c>
      <c r="D7241" s="5"/>
      <c r="E7241" s="5"/>
      <c r="F7241" s="5"/>
      <c r="G7241" s="5"/>
      <c r="H7241" s="5"/>
      <c r="I7241" s="5"/>
      <c r="J7241" s="5"/>
      <c r="K7241" s="5"/>
      <c r="L7241" s="5"/>
      <c r="M7241" s="5"/>
      <c r="N7241" s="5"/>
      <c r="O7241" s="5"/>
      <c r="P7241" s="5"/>
      <c r="Q7241" s="5"/>
      <c r="R7241" s="5"/>
      <c r="S7241" s="5"/>
      <c r="T7241" s="5"/>
      <c r="U7241" s="5"/>
      <c r="V7241" s="5"/>
      <c r="W7241" s="5"/>
      <c r="X7241" s="5"/>
      <c r="Y7241" s="5"/>
      <c r="Z7241" s="5"/>
    </row>
    <row r="7242" spans="1:26" ht="15" x14ac:dyDescent="0.25">
      <c r="A7242" s="4" t="s">
        <v>7240</v>
      </c>
      <c r="B7242" s="4" t="s">
        <v>4550</v>
      </c>
      <c r="C7242" s="2" t="str">
        <f ca="1">IFERROR(__xludf.DUMMYFUNCTION("GOOGLETRANSLATE(A7242,""bn"",""en"")"),"Worked on the new framework")</f>
        <v>Worked on the new framework</v>
      </c>
      <c r="D7242" s="5"/>
      <c r="E7242" s="5"/>
      <c r="F7242" s="5"/>
      <c r="G7242" s="5"/>
      <c r="H7242" s="5"/>
      <c r="I7242" s="5"/>
      <c r="J7242" s="5"/>
      <c r="K7242" s="5"/>
      <c r="L7242" s="5"/>
      <c r="M7242" s="5"/>
      <c r="N7242" s="5"/>
      <c r="O7242" s="5"/>
      <c r="P7242" s="5"/>
      <c r="Q7242" s="5"/>
      <c r="R7242" s="5"/>
      <c r="S7242" s="5"/>
      <c r="T7242" s="5"/>
      <c r="U7242" s="5"/>
      <c r="V7242" s="5"/>
      <c r="W7242" s="5"/>
      <c r="X7242" s="5"/>
      <c r="Y7242" s="5"/>
      <c r="Z7242" s="5"/>
    </row>
    <row r="7243" spans="1:26" ht="15" x14ac:dyDescent="0.25">
      <c r="A7243" s="4" t="s">
        <v>7241</v>
      </c>
      <c r="B7243" s="4" t="s">
        <v>4550</v>
      </c>
      <c r="C7243" s="2" t="str">
        <f ca="1">IFERROR(__xludf.DUMMYFUNCTION("GOOGLETRANSLATE(A7243,""bn"",""en"")"),"We were roasting raw meat")</f>
        <v>We were roasting raw meat</v>
      </c>
      <c r="D7243" s="5"/>
      <c r="E7243" s="5"/>
      <c r="F7243" s="5"/>
      <c r="G7243" s="5"/>
      <c r="H7243" s="5"/>
      <c r="I7243" s="5"/>
      <c r="J7243" s="5"/>
      <c r="K7243" s="5"/>
      <c r="L7243" s="5"/>
      <c r="M7243" s="5"/>
      <c r="N7243" s="5"/>
      <c r="O7243" s="5"/>
      <c r="P7243" s="5"/>
      <c r="Q7243" s="5"/>
      <c r="R7243" s="5"/>
      <c r="S7243" s="5"/>
      <c r="T7243" s="5"/>
      <c r="U7243" s="5"/>
      <c r="V7243" s="5"/>
      <c r="W7243" s="5"/>
      <c r="X7243" s="5"/>
      <c r="Y7243" s="5"/>
      <c r="Z7243" s="5"/>
    </row>
    <row r="7244" spans="1:26" ht="15" x14ac:dyDescent="0.25">
      <c r="A7244" s="4" t="s">
        <v>7242</v>
      </c>
      <c r="B7244" s="4" t="s">
        <v>4550</v>
      </c>
      <c r="C7244" s="2" t="str">
        <f ca="1">IFERROR(__xludf.DUMMYFUNCTION("GOOGLETRANSLATE(A7244,""bn"",""en"")"),"Businessmen were planning seamlessly")</f>
        <v>Businessmen were planning seamlessly</v>
      </c>
      <c r="D7244" s="5"/>
      <c r="E7244" s="5"/>
      <c r="F7244" s="5"/>
      <c r="G7244" s="5"/>
      <c r="H7244" s="5"/>
      <c r="I7244" s="5"/>
      <c r="J7244" s="5"/>
      <c r="K7244" s="5"/>
      <c r="L7244" s="5"/>
      <c r="M7244" s="5"/>
      <c r="N7244" s="5"/>
      <c r="O7244" s="5"/>
      <c r="P7244" s="5"/>
      <c r="Q7244" s="5"/>
      <c r="R7244" s="5"/>
      <c r="S7244" s="5"/>
      <c r="T7244" s="5"/>
      <c r="U7244" s="5"/>
      <c r="V7244" s="5"/>
      <c r="W7244" s="5"/>
      <c r="X7244" s="5"/>
      <c r="Y7244" s="5"/>
      <c r="Z7244" s="5"/>
    </row>
    <row r="7245" spans="1:26" ht="15" x14ac:dyDescent="0.25">
      <c r="A7245" s="4" t="s">
        <v>7243</v>
      </c>
      <c r="B7245" s="4" t="s">
        <v>4550</v>
      </c>
      <c r="C7245" s="2" t="str">
        <f ca="1">IFERROR(__xludf.DUMMYFUNCTION("GOOGLETRANSLATE(A7245,""bn"",""en"")"),"I used to sit in the park and talk")</f>
        <v>I used to sit in the park and talk</v>
      </c>
      <c r="D7245" s="5"/>
      <c r="E7245" s="5"/>
      <c r="F7245" s="5"/>
      <c r="G7245" s="5"/>
      <c r="H7245" s="5"/>
      <c r="I7245" s="5"/>
      <c r="J7245" s="5"/>
      <c r="K7245" s="5"/>
      <c r="L7245" s="5"/>
      <c r="M7245" s="5"/>
      <c r="N7245" s="5"/>
      <c r="O7245" s="5"/>
      <c r="P7245" s="5"/>
      <c r="Q7245" s="5"/>
      <c r="R7245" s="5"/>
      <c r="S7245" s="5"/>
      <c r="T7245" s="5"/>
      <c r="U7245" s="5"/>
      <c r="V7245" s="5"/>
      <c r="W7245" s="5"/>
      <c r="X7245" s="5"/>
      <c r="Y7245" s="5"/>
      <c r="Z7245" s="5"/>
    </row>
    <row r="7246" spans="1:26" ht="15" x14ac:dyDescent="0.25">
      <c r="A7246" s="4" t="s">
        <v>7244</v>
      </c>
      <c r="B7246" s="4" t="s">
        <v>4550</v>
      </c>
      <c r="C7246" s="2" t="str">
        <f ca="1">IFERROR(__xludf.DUMMYFUNCTION("GOOGLETRANSLATE(A7246,""bn"",""en"")"),"He went to the bird fair")</f>
        <v>He went to the bird fair</v>
      </c>
      <c r="D7246" s="5"/>
      <c r="E7246" s="5"/>
      <c r="F7246" s="5"/>
      <c r="G7246" s="5"/>
      <c r="H7246" s="5"/>
      <c r="I7246" s="5"/>
      <c r="J7246" s="5"/>
      <c r="K7246" s="5"/>
      <c r="L7246" s="5"/>
      <c r="M7246" s="5"/>
      <c r="N7246" s="5"/>
      <c r="O7246" s="5"/>
      <c r="P7246" s="5"/>
      <c r="Q7246" s="5"/>
      <c r="R7246" s="5"/>
      <c r="S7246" s="5"/>
      <c r="T7246" s="5"/>
      <c r="U7246" s="5"/>
      <c r="V7246" s="5"/>
      <c r="W7246" s="5"/>
      <c r="X7246" s="5"/>
      <c r="Y7246" s="5"/>
      <c r="Z7246" s="5"/>
    </row>
    <row r="7247" spans="1:26" ht="15" x14ac:dyDescent="0.25">
      <c r="A7247" s="4" t="s">
        <v>7245</v>
      </c>
      <c r="B7247" s="4" t="s">
        <v>4550</v>
      </c>
      <c r="C7247" s="2" t="str">
        <f ca="1">IFERROR(__xludf.DUMMYFUNCTION("GOOGLETRANSLATE(A7247,""bn"",""en"")"),"Regular exercise was a habit")</f>
        <v>Regular exercise was a habit</v>
      </c>
      <c r="D7247" s="5"/>
      <c r="E7247" s="5"/>
      <c r="F7247" s="5"/>
      <c r="G7247" s="5"/>
      <c r="H7247" s="5"/>
      <c r="I7247" s="5"/>
      <c r="J7247" s="5"/>
      <c r="K7247" s="5"/>
      <c r="L7247" s="5"/>
      <c r="M7247" s="5"/>
      <c r="N7247" s="5"/>
      <c r="O7247" s="5"/>
      <c r="P7247" s="5"/>
      <c r="Q7247" s="5"/>
      <c r="R7247" s="5"/>
      <c r="S7247" s="5"/>
      <c r="T7247" s="5"/>
      <c r="U7247" s="5"/>
      <c r="V7247" s="5"/>
      <c r="W7247" s="5"/>
      <c r="X7247" s="5"/>
      <c r="Y7247" s="5"/>
      <c r="Z7247" s="5"/>
    </row>
    <row r="7248" spans="1:26" ht="15" x14ac:dyDescent="0.25">
      <c r="A7248" s="4" t="s">
        <v>7246</v>
      </c>
      <c r="B7248" s="4" t="s">
        <v>4550</v>
      </c>
      <c r="C7248" s="2" t="str">
        <f ca="1">IFERROR(__xludf.DUMMYFUNCTION("GOOGLETRANSLATE(A7248,""bn"",""en"")"),"I tried to make sweets")</f>
        <v>I tried to make sweets</v>
      </c>
      <c r="D7248" s="5"/>
      <c r="E7248" s="5"/>
      <c r="F7248" s="5"/>
      <c r="G7248" s="5"/>
      <c r="H7248" s="5"/>
      <c r="I7248" s="5"/>
      <c r="J7248" s="5"/>
      <c r="K7248" s="5"/>
      <c r="L7248" s="5"/>
      <c r="M7248" s="5"/>
      <c r="N7248" s="5"/>
      <c r="O7248" s="5"/>
      <c r="P7248" s="5"/>
      <c r="Q7248" s="5"/>
      <c r="R7248" s="5"/>
      <c r="S7248" s="5"/>
      <c r="T7248" s="5"/>
      <c r="U7248" s="5"/>
      <c r="V7248" s="5"/>
      <c r="W7248" s="5"/>
      <c r="X7248" s="5"/>
      <c r="Y7248" s="5"/>
      <c r="Z7248" s="5"/>
    </row>
    <row r="7249" spans="1:26" ht="15" x14ac:dyDescent="0.25">
      <c r="A7249" s="4" t="s">
        <v>7247</v>
      </c>
      <c r="B7249" s="4" t="s">
        <v>4550</v>
      </c>
      <c r="C7249" s="2" t="str">
        <f ca="1">IFERROR(__xludf.DUMMYFUNCTION("GOOGLETRANSLATE(A7249,""bn"",""en"")"),"There was intense discussion in the Parliament")</f>
        <v>There was intense discussion in the Parliament</v>
      </c>
      <c r="D7249" s="5"/>
      <c r="E7249" s="5"/>
      <c r="F7249" s="5"/>
      <c r="G7249" s="5"/>
      <c r="H7249" s="5"/>
      <c r="I7249" s="5"/>
      <c r="J7249" s="5"/>
      <c r="K7249" s="5"/>
      <c r="L7249" s="5"/>
      <c r="M7249" s="5"/>
      <c r="N7249" s="5"/>
      <c r="O7249" s="5"/>
      <c r="P7249" s="5"/>
      <c r="Q7249" s="5"/>
      <c r="R7249" s="5"/>
      <c r="S7249" s="5"/>
      <c r="T7249" s="5"/>
      <c r="U7249" s="5"/>
      <c r="V7249" s="5"/>
      <c r="W7249" s="5"/>
      <c r="X7249" s="5"/>
      <c r="Y7249" s="5"/>
      <c r="Z7249" s="5"/>
    </row>
    <row r="7250" spans="1:26" ht="15" x14ac:dyDescent="0.25">
      <c r="A7250" s="4" t="s">
        <v>7248</v>
      </c>
      <c r="B7250" s="4" t="s">
        <v>4550</v>
      </c>
      <c r="C7250" s="2" t="str">
        <f ca="1">IFERROR(__xludf.DUMMYFUNCTION("GOOGLETRANSLATE(A7250,""bn"",""en"")"),"Attacked by enemy forces")</f>
        <v>Attacked by enemy forces</v>
      </c>
      <c r="D7250" s="5"/>
      <c r="E7250" s="5"/>
      <c r="F7250" s="5"/>
      <c r="G7250" s="5"/>
      <c r="H7250" s="5"/>
      <c r="I7250" s="5"/>
      <c r="J7250" s="5"/>
      <c r="K7250" s="5"/>
      <c r="L7250" s="5"/>
      <c r="M7250" s="5"/>
      <c r="N7250" s="5"/>
      <c r="O7250" s="5"/>
      <c r="P7250" s="5"/>
      <c r="Q7250" s="5"/>
      <c r="R7250" s="5"/>
      <c r="S7250" s="5"/>
      <c r="T7250" s="5"/>
      <c r="U7250" s="5"/>
      <c r="V7250" s="5"/>
      <c r="W7250" s="5"/>
      <c r="X7250" s="5"/>
      <c r="Y7250" s="5"/>
      <c r="Z7250" s="5"/>
    </row>
    <row r="7251" spans="1:26" ht="15" x14ac:dyDescent="0.25">
      <c r="A7251" s="4" t="s">
        <v>7249</v>
      </c>
      <c r="B7251" s="4" t="s">
        <v>4550</v>
      </c>
      <c r="C7251" s="2" t="str">
        <f ca="1">IFERROR(__xludf.DUMMYFUNCTION("GOOGLETRANSLATE(A7251,""bn"",""en"")"),"The soil was very exciting")</f>
        <v>The soil was very exciting</v>
      </c>
      <c r="D7251" s="5"/>
      <c r="E7251" s="5"/>
      <c r="F7251" s="5"/>
      <c r="G7251" s="5"/>
      <c r="H7251" s="5"/>
      <c r="I7251" s="5"/>
      <c r="J7251" s="5"/>
      <c r="K7251" s="5"/>
      <c r="L7251" s="5"/>
      <c r="M7251" s="5"/>
      <c r="N7251" s="5"/>
      <c r="O7251" s="5"/>
      <c r="P7251" s="5"/>
      <c r="Q7251" s="5"/>
      <c r="R7251" s="5"/>
      <c r="S7251" s="5"/>
      <c r="T7251" s="5"/>
      <c r="U7251" s="5"/>
      <c r="V7251" s="5"/>
      <c r="W7251" s="5"/>
      <c r="X7251" s="5"/>
      <c r="Y7251" s="5"/>
      <c r="Z7251" s="5"/>
    </row>
    <row r="7252" spans="1:26" ht="15" x14ac:dyDescent="0.25">
      <c r="A7252" s="4" t="s">
        <v>7250</v>
      </c>
      <c r="B7252" s="4" t="s">
        <v>4550</v>
      </c>
      <c r="C7252" s="2" t="str">
        <f ca="1">IFERROR(__xludf.DUMMYFUNCTION("GOOGLETRANSLATE(A7252,""bn"",""en"")"),"Difficult discussions were taking place in the organization")</f>
        <v>Difficult discussions were taking place in the organization</v>
      </c>
      <c r="D7252" s="5"/>
      <c r="E7252" s="5"/>
      <c r="F7252" s="5"/>
      <c r="G7252" s="5"/>
      <c r="H7252" s="5"/>
      <c r="I7252" s="5"/>
      <c r="J7252" s="5"/>
      <c r="K7252" s="5"/>
      <c r="L7252" s="5"/>
      <c r="M7252" s="5"/>
      <c r="N7252" s="5"/>
      <c r="O7252" s="5"/>
      <c r="P7252" s="5"/>
      <c r="Q7252" s="5"/>
      <c r="R7252" s="5"/>
      <c r="S7252" s="5"/>
      <c r="T7252" s="5"/>
      <c r="U7252" s="5"/>
      <c r="V7252" s="5"/>
      <c r="W7252" s="5"/>
      <c r="X7252" s="5"/>
      <c r="Y7252" s="5"/>
      <c r="Z7252" s="5"/>
    </row>
    <row r="7253" spans="1:26" ht="15" x14ac:dyDescent="0.25">
      <c r="A7253" s="4" t="s">
        <v>7251</v>
      </c>
      <c r="B7253" s="4" t="s">
        <v>4550</v>
      </c>
      <c r="C7253" s="2" t="str">
        <f ca="1">IFERROR(__xludf.DUMMYFUNCTION("GOOGLETRANSLATE(A7253,""bn"",""en"")"),"A discussion meeting was held in the institution")</f>
        <v>A discussion meeting was held in the institution</v>
      </c>
      <c r="D7253" s="5"/>
      <c r="E7253" s="5"/>
      <c r="F7253" s="5"/>
      <c r="G7253" s="5"/>
      <c r="H7253" s="5"/>
      <c r="I7253" s="5"/>
      <c r="J7253" s="5"/>
      <c r="K7253" s="5"/>
      <c r="L7253" s="5"/>
      <c r="M7253" s="5"/>
      <c r="N7253" s="5"/>
      <c r="O7253" s="5"/>
      <c r="P7253" s="5"/>
      <c r="Q7253" s="5"/>
      <c r="R7253" s="5"/>
      <c r="S7253" s="5"/>
      <c r="T7253" s="5"/>
      <c r="U7253" s="5"/>
      <c r="V7253" s="5"/>
      <c r="W7253" s="5"/>
      <c r="X7253" s="5"/>
      <c r="Y7253" s="5"/>
      <c r="Z7253" s="5"/>
    </row>
    <row r="7254" spans="1:26" ht="15" x14ac:dyDescent="0.25">
      <c r="A7254" s="4" t="s">
        <v>7252</v>
      </c>
      <c r="B7254" s="4" t="s">
        <v>4550</v>
      </c>
      <c r="C7254" s="2" t="str">
        <f ca="1">IFERROR(__xludf.DUMMYFUNCTION("GOOGLETRANSLATE(A7254,""bn"",""en"")"),"I had the water shot at the restaurant")</f>
        <v>I had the water shot at the restaurant</v>
      </c>
      <c r="D7254" s="5"/>
      <c r="E7254" s="5"/>
      <c r="F7254" s="5"/>
      <c r="G7254" s="5"/>
      <c r="H7254" s="5"/>
      <c r="I7254" s="5"/>
      <c r="J7254" s="5"/>
      <c r="K7254" s="5"/>
      <c r="L7254" s="5"/>
      <c r="M7254" s="5"/>
      <c r="N7254" s="5"/>
      <c r="O7254" s="5"/>
      <c r="P7254" s="5"/>
      <c r="Q7254" s="5"/>
      <c r="R7254" s="5"/>
      <c r="S7254" s="5"/>
      <c r="T7254" s="5"/>
      <c r="U7254" s="5"/>
      <c r="V7254" s="5"/>
      <c r="W7254" s="5"/>
      <c r="X7254" s="5"/>
      <c r="Y7254" s="5"/>
      <c r="Z7254" s="5"/>
    </row>
    <row r="7255" spans="1:26" ht="15" x14ac:dyDescent="0.25">
      <c r="A7255" s="4" t="s">
        <v>7253</v>
      </c>
      <c r="B7255" s="4" t="s">
        <v>4550</v>
      </c>
      <c r="C7255" s="2" t="str">
        <f ca="1">IFERROR(__xludf.DUMMYFUNCTION("GOOGLETRANSLATE(A7255,""bn"",""en"")"),"The company's profit was declining during the season")</f>
        <v>The company's profit was declining during the season</v>
      </c>
      <c r="D7255" s="5"/>
      <c r="E7255" s="5"/>
      <c r="F7255" s="5"/>
      <c r="G7255" s="5"/>
      <c r="H7255" s="5"/>
      <c r="I7255" s="5"/>
      <c r="J7255" s="5"/>
      <c r="K7255" s="5"/>
      <c r="L7255" s="5"/>
      <c r="M7255" s="5"/>
      <c r="N7255" s="5"/>
      <c r="O7255" s="5"/>
      <c r="P7255" s="5"/>
      <c r="Q7255" s="5"/>
      <c r="R7255" s="5"/>
      <c r="S7255" s="5"/>
      <c r="T7255" s="5"/>
      <c r="U7255" s="5"/>
      <c r="V7255" s="5"/>
      <c r="W7255" s="5"/>
      <c r="X7255" s="5"/>
      <c r="Y7255" s="5"/>
      <c r="Z7255" s="5"/>
    </row>
    <row r="7256" spans="1:26" ht="15" x14ac:dyDescent="0.25">
      <c r="A7256" s="4" t="s">
        <v>7254</v>
      </c>
      <c r="B7256" s="4" t="s">
        <v>4550</v>
      </c>
      <c r="C7256" s="2" t="str">
        <f ca="1">IFERROR(__xludf.DUMMYFUNCTION("GOOGLETRANSLATE(A7256,""bn"",""en"")"),"You used to fry Bengali fish")</f>
        <v>You used to fry Bengali fish</v>
      </c>
      <c r="D7256" s="5"/>
      <c r="E7256" s="5"/>
      <c r="F7256" s="5"/>
      <c r="G7256" s="5"/>
      <c r="H7256" s="5"/>
      <c r="I7256" s="5"/>
      <c r="J7256" s="5"/>
      <c r="K7256" s="5"/>
      <c r="L7256" s="5"/>
      <c r="M7256" s="5"/>
      <c r="N7256" s="5"/>
      <c r="O7256" s="5"/>
      <c r="P7256" s="5"/>
      <c r="Q7256" s="5"/>
      <c r="R7256" s="5"/>
      <c r="S7256" s="5"/>
      <c r="T7256" s="5"/>
      <c r="U7256" s="5"/>
      <c r="V7256" s="5"/>
      <c r="W7256" s="5"/>
      <c r="X7256" s="5"/>
      <c r="Y7256" s="5"/>
      <c r="Z7256" s="5"/>
    </row>
    <row r="7257" spans="1:26" ht="15" x14ac:dyDescent="0.25">
      <c r="A7257" s="4" t="s">
        <v>7255</v>
      </c>
      <c r="B7257" s="4" t="s">
        <v>4550</v>
      </c>
      <c r="C7257" s="2" t="str">
        <f ca="1">IFERROR(__xludf.DUMMYFUNCTION("GOOGLETRANSLATE(A7257,""bn"",""en"")"),"I was with a tour guide")</f>
        <v>I was with a tour guide</v>
      </c>
      <c r="D7257" s="5"/>
      <c r="E7257" s="5"/>
      <c r="F7257" s="5"/>
      <c r="G7257" s="5"/>
      <c r="H7257" s="5"/>
      <c r="I7257" s="5"/>
      <c r="J7257" s="5"/>
      <c r="K7257" s="5"/>
      <c r="L7257" s="5"/>
      <c r="M7257" s="5"/>
      <c r="N7257" s="5"/>
      <c r="O7257" s="5"/>
      <c r="P7257" s="5"/>
      <c r="Q7257" s="5"/>
      <c r="R7257" s="5"/>
      <c r="S7257" s="5"/>
      <c r="T7257" s="5"/>
      <c r="U7257" s="5"/>
      <c r="V7257" s="5"/>
      <c r="W7257" s="5"/>
      <c r="X7257" s="5"/>
      <c r="Y7257" s="5"/>
      <c r="Z7257" s="5"/>
    </row>
    <row r="7258" spans="1:26" ht="15" x14ac:dyDescent="0.25">
      <c r="A7258" s="4" t="s">
        <v>7256</v>
      </c>
      <c r="B7258" s="4" t="s">
        <v>4550</v>
      </c>
      <c r="C7258" s="2" t="str">
        <f ca="1">IFERROR(__xludf.DUMMYFUNCTION("GOOGLETRANSLATE(A7258,""bn"",""en"")"),"They were at the circus on Monday")</f>
        <v>They were at the circus on Monday</v>
      </c>
      <c r="D7258" s="5"/>
      <c r="E7258" s="5"/>
      <c r="F7258" s="5"/>
      <c r="G7258" s="5"/>
      <c r="H7258" s="5"/>
      <c r="I7258" s="5"/>
      <c r="J7258" s="5"/>
      <c r="K7258" s="5"/>
      <c r="L7258" s="5"/>
      <c r="M7258" s="5"/>
      <c r="N7258" s="5"/>
      <c r="O7258" s="5"/>
      <c r="P7258" s="5"/>
      <c r="Q7258" s="5"/>
      <c r="R7258" s="5"/>
      <c r="S7258" s="5"/>
      <c r="T7258" s="5"/>
      <c r="U7258" s="5"/>
      <c r="V7258" s="5"/>
      <c r="W7258" s="5"/>
      <c r="X7258" s="5"/>
      <c r="Y7258" s="5"/>
      <c r="Z7258" s="5"/>
    </row>
    <row r="7259" spans="1:26" ht="15" x14ac:dyDescent="0.25">
      <c r="A7259" s="4" t="s">
        <v>7257</v>
      </c>
      <c r="B7259" s="4" t="s">
        <v>4550</v>
      </c>
      <c r="C7259" s="2" t="str">
        <f ca="1">IFERROR(__xludf.DUMMYFUNCTION("GOOGLETRANSLATE(A7259,""bn"",""en"")"),"He watched the movie quickly")</f>
        <v>He watched the movie quickly</v>
      </c>
      <c r="D7259" s="5"/>
      <c r="E7259" s="5"/>
      <c r="F7259" s="5"/>
      <c r="G7259" s="5"/>
      <c r="H7259" s="5"/>
      <c r="I7259" s="5"/>
      <c r="J7259" s="5"/>
      <c r="K7259" s="5"/>
      <c r="L7259" s="5"/>
      <c r="M7259" s="5"/>
      <c r="N7259" s="5"/>
      <c r="O7259" s="5"/>
      <c r="P7259" s="5"/>
      <c r="Q7259" s="5"/>
      <c r="R7259" s="5"/>
      <c r="S7259" s="5"/>
      <c r="T7259" s="5"/>
      <c r="U7259" s="5"/>
      <c r="V7259" s="5"/>
      <c r="W7259" s="5"/>
      <c r="X7259" s="5"/>
      <c r="Y7259" s="5"/>
      <c r="Z7259" s="5"/>
    </row>
    <row r="7260" spans="1:26" ht="15" x14ac:dyDescent="0.25">
      <c r="A7260" s="4" t="s">
        <v>7258</v>
      </c>
      <c r="B7260" s="4" t="s">
        <v>4550</v>
      </c>
      <c r="C7260" s="2" t="str">
        <f ca="1">IFERROR(__xludf.DUMMYFUNCTION("GOOGLETRANSLATE(A7260,""bn"",""en"")"),"Republic was founded by public opinion")</f>
        <v>Republic was founded by public opinion</v>
      </c>
      <c r="D7260" s="5"/>
      <c r="E7260" s="5"/>
      <c r="F7260" s="5"/>
      <c r="G7260" s="5"/>
      <c r="H7260" s="5"/>
      <c r="I7260" s="5"/>
      <c r="J7260" s="5"/>
      <c r="K7260" s="5"/>
      <c r="L7260" s="5"/>
      <c r="M7260" s="5"/>
      <c r="N7260" s="5"/>
      <c r="O7260" s="5"/>
      <c r="P7260" s="5"/>
      <c r="Q7260" s="5"/>
      <c r="R7260" s="5"/>
      <c r="S7260" s="5"/>
      <c r="T7260" s="5"/>
      <c r="U7260" s="5"/>
      <c r="V7260" s="5"/>
      <c r="W7260" s="5"/>
      <c r="X7260" s="5"/>
      <c r="Y7260" s="5"/>
      <c r="Z7260" s="5"/>
    </row>
    <row r="7261" spans="1:26" ht="15" x14ac:dyDescent="0.25">
      <c r="A7261" s="4" t="s">
        <v>7259</v>
      </c>
      <c r="B7261" s="4" t="s">
        <v>4550</v>
      </c>
      <c r="C7261" s="2" t="str">
        <f ca="1">IFERROR(__xludf.DUMMYFUNCTION("GOOGLETRANSLATE(A7261,""bn"",""en"")"),"The players played leisurely sports")</f>
        <v>The players played leisurely sports</v>
      </c>
      <c r="D7261" s="5"/>
      <c r="E7261" s="5"/>
      <c r="F7261" s="5"/>
      <c r="G7261" s="5"/>
      <c r="H7261" s="5"/>
      <c r="I7261" s="5"/>
      <c r="J7261" s="5"/>
      <c r="K7261" s="5"/>
      <c r="L7261" s="5"/>
      <c r="M7261" s="5"/>
      <c r="N7261" s="5"/>
      <c r="O7261" s="5"/>
      <c r="P7261" s="5"/>
      <c r="Q7261" s="5"/>
      <c r="R7261" s="5"/>
      <c r="S7261" s="5"/>
      <c r="T7261" s="5"/>
      <c r="U7261" s="5"/>
      <c r="V7261" s="5"/>
      <c r="W7261" s="5"/>
      <c r="X7261" s="5"/>
      <c r="Y7261" s="5"/>
      <c r="Z7261" s="5"/>
    </row>
    <row r="7262" spans="1:26" ht="15" x14ac:dyDescent="0.25">
      <c r="A7262" s="4" t="s">
        <v>7260</v>
      </c>
      <c r="B7262" s="4" t="s">
        <v>4550</v>
      </c>
      <c r="C7262" s="2" t="str">
        <f ca="1">IFERROR(__xludf.DUMMYFUNCTION("GOOGLETRANSLATE(A7262,""bn"",""en"")"),"I used to read Quran regularly in my childhood")</f>
        <v>I used to read Quran regularly in my childhood</v>
      </c>
      <c r="D7262" s="5"/>
      <c r="E7262" s="5"/>
      <c r="F7262" s="5"/>
      <c r="G7262" s="5"/>
      <c r="H7262" s="5"/>
      <c r="I7262" s="5"/>
      <c r="J7262" s="5"/>
      <c r="K7262" s="5"/>
      <c r="L7262" s="5"/>
      <c r="M7262" s="5"/>
      <c r="N7262" s="5"/>
      <c r="O7262" s="5"/>
      <c r="P7262" s="5"/>
      <c r="Q7262" s="5"/>
      <c r="R7262" s="5"/>
      <c r="S7262" s="5"/>
      <c r="T7262" s="5"/>
      <c r="U7262" s="5"/>
      <c r="V7262" s="5"/>
      <c r="W7262" s="5"/>
      <c r="X7262" s="5"/>
      <c r="Y7262" s="5"/>
      <c r="Z7262" s="5"/>
    </row>
    <row r="7263" spans="1:26" ht="15" x14ac:dyDescent="0.25">
      <c r="A7263" s="4" t="s">
        <v>7261</v>
      </c>
      <c r="B7263" s="4" t="s">
        <v>4550</v>
      </c>
      <c r="C7263" s="2" t="str">
        <f ca="1">IFERROR(__xludf.DUMMYFUNCTION("GOOGLETRANSLATE(A7263,""bn"",""en"")"),"Played with a gaming laptop")</f>
        <v>Played with a gaming laptop</v>
      </c>
      <c r="D7263" s="5"/>
      <c r="E7263" s="5"/>
      <c r="F7263" s="5"/>
      <c r="G7263" s="5"/>
      <c r="H7263" s="5"/>
      <c r="I7263" s="5"/>
      <c r="J7263" s="5"/>
      <c r="K7263" s="5"/>
      <c r="L7263" s="5"/>
      <c r="M7263" s="5"/>
      <c r="N7263" s="5"/>
      <c r="O7263" s="5"/>
      <c r="P7263" s="5"/>
      <c r="Q7263" s="5"/>
      <c r="R7263" s="5"/>
      <c r="S7263" s="5"/>
      <c r="T7263" s="5"/>
      <c r="U7263" s="5"/>
      <c r="V7263" s="5"/>
      <c r="W7263" s="5"/>
      <c r="X7263" s="5"/>
      <c r="Y7263" s="5"/>
      <c r="Z7263" s="5"/>
    </row>
    <row r="7264" spans="1:26" ht="15" x14ac:dyDescent="0.25">
      <c r="A7264" s="4" t="s">
        <v>7262</v>
      </c>
      <c r="B7264" s="4" t="s">
        <v>4550</v>
      </c>
      <c r="C7264" s="2" t="str">
        <f ca="1">IFERROR(__xludf.DUMMYFUNCTION("GOOGLETRANSLATE(A7264,""bn"",""en"")"),"The budget was approved in the parliament")</f>
        <v>The budget was approved in the parliament</v>
      </c>
      <c r="D7264" s="5"/>
      <c r="E7264" s="5"/>
      <c r="F7264" s="5"/>
      <c r="G7264" s="5"/>
      <c r="H7264" s="5"/>
      <c r="I7264" s="5"/>
      <c r="J7264" s="5"/>
      <c r="K7264" s="5"/>
      <c r="L7264" s="5"/>
      <c r="M7264" s="5"/>
      <c r="N7264" s="5"/>
      <c r="O7264" s="5"/>
      <c r="P7264" s="5"/>
      <c r="Q7264" s="5"/>
      <c r="R7264" s="5"/>
      <c r="S7264" s="5"/>
      <c r="T7264" s="5"/>
      <c r="U7264" s="5"/>
      <c r="V7264" s="5"/>
      <c r="W7264" s="5"/>
      <c r="X7264" s="5"/>
      <c r="Y7264" s="5"/>
      <c r="Z7264" s="5"/>
    </row>
    <row r="7265" spans="1:26" ht="15" x14ac:dyDescent="0.25">
      <c r="A7265" s="4" t="s">
        <v>7263</v>
      </c>
      <c r="B7265" s="4" t="s">
        <v>4550</v>
      </c>
      <c r="C7265" s="2" t="str">
        <f ca="1">IFERROR(__xludf.DUMMYFUNCTION("GOOGLETRANSLATE(A7265,""bn"",""en"")"),"The tennis match was exciting")</f>
        <v>The tennis match was exciting</v>
      </c>
      <c r="D7265" s="5"/>
      <c r="E7265" s="5"/>
      <c r="F7265" s="5"/>
      <c r="G7265" s="5"/>
      <c r="H7265" s="5"/>
      <c r="I7265" s="5"/>
      <c r="J7265" s="5"/>
      <c r="K7265" s="5"/>
      <c r="L7265" s="5"/>
      <c r="M7265" s="5"/>
      <c r="N7265" s="5"/>
      <c r="O7265" s="5"/>
      <c r="P7265" s="5"/>
      <c r="Q7265" s="5"/>
      <c r="R7265" s="5"/>
      <c r="S7265" s="5"/>
      <c r="T7265" s="5"/>
      <c r="U7265" s="5"/>
      <c r="V7265" s="5"/>
      <c r="W7265" s="5"/>
      <c r="X7265" s="5"/>
      <c r="Y7265" s="5"/>
      <c r="Z7265" s="5"/>
    </row>
    <row r="7266" spans="1:26" ht="15" x14ac:dyDescent="0.25">
      <c r="A7266" s="4" t="s">
        <v>7264</v>
      </c>
      <c r="B7266" s="4" t="s">
        <v>4550</v>
      </c>
      <c r="C7266" s="2" t="str">
        <f ca="1">IFERROR(__xludf.DUMMYFUNCTION("GOOGLETRANSLATE(A7266,""bn"",""en"")"),"Preparations were completed in the garden")</f>
        <v>Preparations were completed in the garden</v>
      </c>
      <c r="D7266" s="5"/>
      <c r="E7266" s="5"/>
      <c r="F7266" s="5"/>
      <c r="G7266" s="5"/>
      <c r="H7266" s="5"/>
      <c r="I7266" s="5"/>
      <c r="J7266" s="5"/>
      <c r="K7266" s="5"/>
      <c r="L7266" s="5"/>
      <c r="M7266" s="5"/>
      <c r="N7266" s="5"/>
      <c r="O7266" s="5"/>
      <c r="P7266" s="5"/>
      <c r="Q7266" s="5"/>
      <c r="R7266" s="5"/>
      <c r="S7266" s="5"/>
      <c r="T7266" s="5"/>
      <c r="U7266" s="5"/>
      <c r="V7266" s="5"/>
      <c r="W7266" s="5"/>
      <c r="X7266" s="5"/>
      <c r="Y7266" s="5"/>
      <c r="Z7266" s="5"/>
    </row>
    <row r="7267" spans="1:26" ht="15" x14ac:dyDescent="0.25">
      <c r="A7267" s="4" t="s">
        <v>7265</v>
      </c>
      <c r="B7267" s="4" t="s">
        <v>4550</v>
      </c>
      <c r="C7267" s="2" t="str">
        <f ca="1">IFERROR(__xludf.DUMMYFUNCTION("GOOGLETRANSLATE(A7267,""bn"",""en"")"),"Production was halted last month")</f>
        <v>Production was halted last month</v>
      </c>
      <c r="D7267" s="5"/>
      <c r="E7267" s="5"/>
      <c r="F7267" s="5"/>
      <c r="G7267" s="5"/>
      <c r="H7267" s="5"/>
      <c r="I7267" s="5"/>
      <c r="J7267" s="5"/>
      <c r="K7267" s="5"/>
      <c r="L7267" s="5"/>
      <c r="M7267" s="5"/>
      <c r="N7267" s="5"/>
      <c r="O7267" s="5"/>
      <c r="P7267" s="5"/>
      <c r="Q7267" s="5"/>
      <c r="R7267" s="5"/>
      <c r="S7267" s="5"/>
      <c r="T7267" s="5"/>
      <c r="U7267" s="5"/>
      <c r="V7267" s="5"/>
      <c r="W7267" s="5"/>
      <c r="X7267" s="5"/>
      <c r="Y7267" s="5"/>
      <c r="Z7267" s="5"/>
    </row>
    <row r="7268" spans="1:26" ht="15" x14ac:dyDescent="0.25">
      <c r="A7268" s="4" t="s">
        <v>7266</v>
      </c>
      <c r="B7268" s="4" t="s">
        <v>4550</v>
      </c>
      <c r="C7268" s="2" t="str">
        <f ca="1">IFERROR(__xludf.DUMMYFUNCTION("GOOGLETRANSLATE(A7268,""bn"",""en"")"),"Mountain trekking was done in July")</f>
        <v>Mountain trekking was done in July</v>
      </c>
      <c r="D7268" s="5"/>
      <c r="E7268" s="5"/>
      <c r="F7268" s="5"/>
      <c r="G7268" s="5"/>
      <c r="H7268" s="5"/>
      <c r="I7268" s="5"/>
      <c r="J7268" s="5"/>
      <c r="K7268" s="5"/>
      <c r="L7268" s="5"/>
      <c r="M7268" s="5"/>
      <c r="N7268" s="5"/>
      <c r="O7268" s="5"/>
      <c r="P7268" s="5"/>
      <c r="Q7268" s="5"/>
      <c r="R7268" s="5"/>
      <c r="S7268" s="5"/>
      <c r="T7268" s="5"/>
      <c r="U7268" s="5"/>
      <c r="V7268" s="5"/>
      <c r="W7268" s="5"/>
      <c r="X7268" s="5"/>
      <c r="Y7268" s="5"/>
      <c r="Z7268" s="5"/>
    </row>
    <row r="7269" spans="1:26" ht="15" x14ac:dyDescent="0.25">
      <c r="A7269" s="4" t="s">
        <v>7267</v>
      </c>
      <c r="B7269" s="4" t="s">
        <v>4550</v>
      </c>
      <c r="C7269" s="2" t="str">
        <f ca="1">IFERROR(__xludf.DUMMYFUNCTION("GOOGLETRANSLATE(A7269,""bn"",""en"")"),"Football was played with passion and precision")</f>
        <v>Football was played with passion and precision</v>
      </c>
      <c r="D7269" s="5"/>
      <c r="E7269" s="5"/>
      <c r="F7269" s="5"/>
      <c r="G7269" s="5"/>
      <c r="H7269" s="5"/>
      <c r="I7269" s="5"/>
      <c r="J7269" s="5"/>
      <c r="K7269" s="5"/>
      <c r="L7269" s="5"/>
      <c r="M7269" s="5"/>
      <c r="N7269" s="5"/>
      <c r="O7269" s="5"/>
      <c r="P7269" s="5"/>
      <c r="Q7269" s="5"/>
      <c r="R7269" s="5"/>
      <c r="S7269" s="5"/>
      <c r="T7269" s="5"/>
      <c r="U7269" s="5"/>
      <c r="V7269" s="5"/>
      <c r="W7269" s="5"/>
      <c r="X7269" s="5"/>
      <c r="Y7269" s="5"/>
      <c r="Z7269" s="5"/>
    </row>
    <row r="7270" spans="1:26" ht="15" x14ac:dyDescent="0.25">
      <c r="A7270" s="4" t="s">
        <v>7268</v>
      </c>
      <c r="B7270" s="4" t="s">
        <v>4550</v>
      </c>
      <c r="C7270" s="2" t="str">
        <f ca="1">IFERROR(__xludf.DUMMYFUNCTION("GOOGLETRANSLATE(A7270,""bn"",""en"")"),"He became a judge from BNP")</f>
        <v>He became a judge from BNP</v>
      </c>
      <c r="D7270" s="5"/>
      <c r="E7270" s="5"/>
      <c r="F7270" s="5"/>
      <c r="G7270" s="5"/>
      <c r="H7270" s="5"/>
      <c r="I7270" s="5"/>
      <c r="J7270" s="5"/>
      <c r="K7270" s="5"/>
      <c r="L7270" s="5"/>
      <c r="M7270" s="5"/>
      <c r="N7270" s="5"/>
      <c r="O7270" s="5"/>
      <c r="P7270" s="5"/>
      <c r="Q7270" s="5"/>
      <c r="R7270" s="5"/>
      <c r="S7270" s="5"/>
      <c r="T7270" s="5"/>
      <c r="U7270" s="5"/>
      <c r="V7270" s="5"/>
      <c r="W7270" s="5"/>
      <c r="X7270" s="5"/>
      <c r="Y7270" s="5"/>
      <c r="Z7270" s="5"/>
    </row>
    <row r="7271" spans="1:26" ht="15" x14ac:dyDescent="0.25">
      <c r="A7271" s="4" t="s">
        <v>7269</v>
      </c>
      <c r="B7271" s="4" t="s">
        <v>4550</v>
      </c>
      <c r="C7271" s="2" t="str">
        <f ca="1">IFERROR(__xludf.DUMMYFUNCTION("GOOGLETRANSLATE(A7271,""bn"",""en"")"),"A hockey match was organized")</f>
        <v>A hockey match was organized</v>
      </c>
      <c r="D7271" s="5"/>
      <c r="E7271" s="5"/>
      <c r="F7271" s="5"/>
      <c r="G7271" s="5"/>
      <c r="H7271" s="5"/>
      <c r="I7271" s="5"/>
      <c r="J7271" s="5"/>
      <c r="K7271" s="5"/>
      <c r="L7271" s="5"/>
      <c r="M7271" s="5"/>
      <c r="N7271" s="5"/>
      <c r="O7271" s="5"/>
      <c r="P7271" s="5"/>
      <c r="Q7271" s="5"/>
      <c r="R7271" s="5"/>
      <c r="S7271" s="5"/>
      <c r="T7271" s="5"/>
      <c r="U7271" s="5"/>
      <c r="V7271" s="5"/>
      <c r="W7271" s="5"/>
      <c r="X7271" s="5"/>
      <c r="Y7271" s="5"/>
      <c r="Z7271" s="5"/>
    </row>
    <row r="7272" spans="1:26" ht="15" x14ac:dyDescent="0.25">
      <c r="A7272" s="4" t="s">
        <v>7270</v>
      </c>
      <c r="B7272" s="4" t="s">
        <v>4550</v>
      </c>
      <c r="C7272" s="2" t="str">
        <f ca="1">IFERROR(__xludf.DUMMYFUNCTION("GOOGLETRANSLATE(A7272,""bn"",""en"")"),"Bought fish from the market")</f>
        <v>Bought fish from the market</v>
      </c>
      <c r="D7272" s="5"/>
      <c r="E7272" s="5"/>
      <c r="F7272" s="5"/>
      <c r="G7272" s="5"/>
      <c r="H7272" s="5"/>
      <c r="I7272" s="5"/>
      <c r="J7272" s="5"/>
      <c r="K7272" s="5"/>
      <c r="L7272" s="5"/>
      <c r="M7272" s="5"/>
      <c r="N7272" s="5"/>
      <c r="O7272" s="5"/>
      <c r="P7272" s="5"/>
      <c r="Q7272" s="5"/>
      <c r="R7272" s="5"/>
      <c r="S7272" s="5"/>
      <c r="T7272" s="5"/>
      <c r="U7272" s="5"/>
      <c r="V7272" s="5"/>
      <c r="W7272" s="5"/>
      <c r="X7272" s="5"/>
      <c r="Y7272" s="5"/>
      <c r="Z7272" s="5"/>
    </row>
    <row r="7273" spans="1:26" ht="15" x14ac:dyDescent="0.25">
      <c r="A7273" s="4" t="s">
        <v>7271</v>
      </c>
      <c r="B7273" s="4" t="s">
        <v>4550</v>
      </c>
      <c r="C7273" s="2" t="str">
        <f ca="1">IFERROR(__xludf.DUMMYFUNCTION("GOOGLETRANSLATE(A7273,""bn"",""en"")"),"We were in the forest last year")</f>
        <v>We were in the forest last year</v>
      </c>
      <c r="D7273" s="5"/>
      <c r="E7273" s="5"/>
      <c r="F7273" s="5"/>
      <c r="G7273" s="5"/>
      <c r="H7273" s="5"/>
      <c r="I7273" s="5"/>
      <c r="J7273" s="5"/>
      <c r="K7273" s="5"/>
      <c r="L7273" s="5"/>
      <c r="M7273" s="5"/>
      <c r="N7273" s="5"/>
      <c r="O7273" s="5"/>
      <c r="P7273" s="5"/>
      <c r="Q7273" s="5"/>
      <c r="R7273" s="5"/>
      <c r="S7273" s="5"/>
      <c r="T7273" s="5"/>
      <c r="U7273" s="5"/>
      <c r="V7273" s="5"/>
      <c r="W7273" s="5"/>
      <c r="X7273" s="5"/>
      <c r="Y7273" s="5"/>
      <c r="Z7273" s="5"/>
    </row>
    <row r="7274" spans="1:26" ht="15" x14ac:dyDescent="0.25">
      <c r="A7274" s="4" t="s">
        <v>7272</v>
      </c>
      <c r="B7274" s="4" t="s">
        <v>4550</v>
      </c>
      <c r="C7274" s="2" t="str">
        <f ca="1">IFERROR(__xludf.DUMMYFUNCTION("GOOGLETRANSLATE(A7274,""bn"",""en"")"),"I made curd for breakfast")</f>
        <v>I made curd for breakfast</v>
      </c>
      <c r="D7274" s="5"/>
      <c r="E7274" s="5"/>
      <c r="F7274" s="5"/>
      <c r="G7274" s="5"/>
      <c r="H7274" s="5"/>
      <c r="I7274" s="5"/>
      <c r="J7274" s="5"/>
      <c r="K7274" s="5"/>
      <c r="L7274" s="5"/>
      <c r="M7274" s="5"/>
      <c r="N7274" s="5"/>
      <c r="O7274" s="5"/>
      <c r="P7274" s="5"/>
      <c r="Q7274" s="5"/>
      <c r="R7274" s="5"/>
      <c r="S7274" s="5"/>
      <c r="T7274" s="5"/>
      <c r="U7274" s="5"/>
      <c r="V7274" s="5"/>
      <c r="W7274" s="5"/>
      <c r="X7274" s="5"/>
      <c r="Y7274" s="5"/>
      <c r="Z7274" s="5"/>
    </row>
    <row r="7275" spans="1:26" ht="15" x14ac:dyDescent="0.25">
      <c r="A7275" s="4" t="s">
        <v>7273</v>
      </c>
      <c r="B7275" s="4" t="s">
        <v>4550</v>
      </c>
      <c r="C7275" s="2" t="str">
        <f ca="1">IFERROR(__xludf.DUMMYFUNCTION("GOOGLETRANSLATE(A7275,""bn"",""en"")"),"You were making chicken soup")</f>
        <v>You were making chicken soup</v>
      </c>
      <c r="D7275" s="5"/>
      <c r="E7275" s="5"/>
      <c r="F7275" s="5"/>
      <c r="G7275" s="5"/>
      <c r="H7275" s="5"/>
      <c r="I7275" s="5"/>
      <c r="J7275" s="5"/>
      <c r="K7275" s="5"/>
      <c r="L7275" s="5"/>
      <c r="M7275" s="5"/>
      <c r="N7275" s="5"/>
      <c r="O7275" s="5"/>
      <c r="P7275" s="5"/>
      <c r="Q7275" s="5"/>
      <c r="R7275" s="5"/>
      <c r="S7275" s="5"/>
      <c r="T7275" s="5"/>
      <c r="U7275" s="5"/>
      <c r="V7275" s="5"/>
      <c r="W7275" s="5"/>
      <c r="X7275" s="5"/>
      <c r="Y7275" s="5"/>
      <c r="Z7275" s="5"/>
    </row>
    <row r="7276" spans="1:26" ht="15" x14ac:dyDescent="0.25">
      <c r="A7276" s="4" t="s">
        <v>7274</v>
      </c>
      <c r="B7276" s="4" t="s">
        <v>4550</v>
      </c>
      <c r="C7276" s="2" t="str">
        <f ca="1">IFERROR(__xludf.DUMMYFUNCTION("GOOGLETRANSLATE(A7276,""bn"",""en"")"),"The leaders organized the meeting")</f>
        <v>The leaders organized the meeting</v>
      </c>
      <c r="D7276" s="5"/>
      <c r="E7276" s="5"/>
      <c r="F7276" s="5"/>
      <c r="G7276" s="5"/>
      <c r="H7276" s="5"/>
      <c r="I7276" s="5"/>
      <c r="J7276" s="5"/>
      <c r="K7276" s="5"/>
      <c r="L7276" s="5"/>
      <c r="M7276" s="5"/>
      <c r="N7276" s="5"/>
      <c r="O7276" s="5"/>
      <c r="P7276" s="5"/>
      <c r="Q7276" s="5"/>
      <c r="R7276" s="5"/>
      <c r="S7276" s="5"/>
      <c r="T7276" s="5"/>
      <c r="U7276" s="5"/>
      <c r="V7276" s="5"/>
      <c r="W7276" s="5"/>
      <c r="X7276" s="5"/>
      <c r="Y7276" s="5"/>
      <c r="Z7276" s="5"/>
    </row>
    <row r="7277" spans="1:26" ht="15" x14ac:dyDescent="0.25">
      <c r="A7277" s="4" t="s">
        <v>7275</v>
      </c>
      <c r="B7277" s="4" t="s">
        <v>4550</v>
      </c>
      <c r="C7277" s="2" t="str">
        <f ca="1">IFERROR(__xludf.DUMMYFUNCTION("GOOGLETRANSLATE(A7277,""bn"",""en"")"),"The farmer was working in the garden")</f>
        <v>The farmer was working in the garden</v>
      </c>
      <c r="D7277" s="5"/>
      <c r="E7277" s="5"/>
      <c r="F7277" s="5"/>
      <c r="G7277" s="5"/>
      <c r="H7277" s="5"/>
      <c r="I7277" s="5"/>
      <c r="J7277" s="5"/>
      <c r="K7277" s="5"/>
      <c r="L7277" s="5"/>
      <c r="M7277" s="5"/>
      <c r="N7277" s="5"/>
      <c r="O7277" s="5"/>
      <c r="P7277" s="5"/>
      <c r="Q7277" s="5"/>
      <c r="R7277" s="5"/>
      <c r="S7277" s="5"/>
      <c r="T7277" s="5"/>
      <c r="U7277" s="5"/>
      <c r="V7277" s="5"/>
      <c r="W7277" s="5"/>
      <c r="X7277" s="5"/>
      <c r="Y7277" s="5"/>
      <c r="Z7277" s="5"/>
    </row>
    <row r="7278" spans="1:26" ht="15" x14ac:dyDescent="0.25">
      <c r="A7278" s="4" t="s">
        <v>7276</v>
      </c>
      <c r="B7278" s="4" t="s">
        <v>4550</v>
      </c>
      <c r="C7278" s="2" t="str">
        <f ca="1">IFERROR(__xludf.DUMMYFUNCTION("GOOGLETRANSLATE(A7278,""bn"",""en"")"),"Paddy was cultivated first")</f>
        <v>Paddy was cultivated first</v>
      </c>
      <c r="D7278" s="5"/>
      <c r="E7278" s="5"/>
      <c r="F7278" s="5"/>
      <c r="G7278" s="5"/>
      <c r="H7278" s="5"/>
      <c r="I7278" s="5"/>
      <c r="J7278" s="5"/>
      <c r="K7278" s="5"/>
      <c r="L7278" s="5"/>
      <c r="M7278" s="5"/>
      <c r="N7278" s="5"/>
      <c r="O7278" s="5"/>
      <c r="P7278" s="5"/>
      <c r="Q7278" s="5"/>
      <c r="R7278" s="5"/>
      <c r="S7278" s="5"/>
      <c r="T7278" s="5"/>
      <c r="U7278" s="5"/>
      <c r="V7278" s="5"/>
      <c r="W7278" s="5"/>
      <c r="X7278" s="5"/>
      <c r="Y7278" s="5"/>
      <c r="Z7278" s="5"/>
    </row>
    <row r="7279" spans="1:26" ht="15" x14ac:dyDescent="0.25">
      <c r="A7279" s="4" t="s">
        <v>7277</v>
      </c>
      <c r="B7279" s="4" t="s">
        <v>4550</v>
      </c>
      <c r="C7279" s="2" t="str">
        <f ca="1">IFERROR(__xludf.DUMMYFUNCTION("GOOGLETRANSLATE(A7279,""bn"",""en"")"),"It was on for two weeks")</f>
        <v>It was on for two weeks</v>
      </c>
      <c r="D7279" s="5"/>
      <c r="E7279" s="5"/>
      <c r="F7279" s="5"/>
      <c r="G7279" s="5"/>
      <c r="H7279" s="5"/>
      <c r="I7279" s="5"/>
      <c r="J7279" s="5"/>
      <c r="K7279" s="5"/>
      <c r="L7279" s="5"/>
      <c r="M7279" s="5"/>
      <c r="N7279" s="5"/>
      <c r="O7279" s="5"/>
      <c r="P7279" s="5"/>
      <c r="Q7279" s="5"/>
      <c r="R7279" s="5"/>
      <c r="S7279" s="5"/>
      <c r="T7279" s="5"/>
      <c r="U7279" s="5"/>
      <c r="V7279" s="5"/>
      <c r="W7279" s="5"/>
      <c r="X7279" s="5"/>
      <c r="Y7279" s="5"/>
      <c r="Z7279" s="5"/>
    </row>
    <row r="7280" spans="1:26" ht="15" x14ac:dyDescent="0.25">
      <c r="A7280" s="4" t="s">
        <v>7278</v>
      </c>
      <c r="B7280" s="4" t="s">
        <v>4550</v>
      </c>
      <c r="C7280" s="2" t="str">
        <f ca="1">IFERROR(__xludf.DUMMYFUNCTION("GOOGLETRANSLATE(A7280,""bn"",""en"")"),"Irrigation was provided as needed")</f>
        <v>Irrigation was provided as needed</v>
      </c>
      <c r="D7280" s="5"/>
      <c r="E7280" s="5"/>
      <c r="F7280" s="5"/>
      <c r="G7280" s="5"/>
      <c r="H7280" s="5"/>
      <c r="I7280" s="5"/>
      <c r="J7280" s="5"/>
      <c r="K7280" s="5"/>
      <c r="L7280" s="5"/>
      <c r="M7280" s="5"/>
      <c r="N7280" s="5"/>
      <c r="O7280" s="5"/>
      <c r="P7280" s="5"/>
      <c r="Q7280" s="5"/>
      <c r="R7280" s="5"/>
      <c r="S7280" s="5"/>
      <c r="T7280" s="5"/>
      <c r="U7280" s="5"/>
      <c r="V7280" s="5"/>
      <c r="W7280" s="5"/>
      <c r="X7280" s="5"/>
      <c r="Y7280" s="5"/>
      <c r="Z7280" s="5"/>
    </row>
    <row r="7281" spans="1:26" ht="15" x14ac:dyDescent="0.25">
      <c r="A7281" s="4" t="s">
        <v>7279</v>
      </c>
      <c r="B7281" s="4" t="s">
        <v>4550</v>
      </c>
      <c r="C7281" s="2" t="str">
        <f ca="1">IFERROR(__xludf.DUMMYFUNCTION("GOOGLETRANSLATE(A7281,""bn"",""en"")"),"Government policies were creating resistance")</f>
        <v>Government policies were creating resistance</v>
      </c>
      <c r="D7281" s="5"/>
      <c r="E7281" s="5"/>
      <c r="F7281" s="5"/>
      <c r="G7281" s="5"/>
      <c r="H7281" s="5"/>
      <c r="I7281" s="5"/>
      <c r="J7281" s="5"/>
      <c r="K7281" s="5"/>
      <c r="L7281" s="5"/>
      <c r="M7281" s="5"/>
      <c r="N7281" s="5"/>
      <c r="O7281" s="5"/>
      <c r="P7281" s="5"/>
      <c r="Q7281" s="5"/>
      <c r="R7281" s="5"/>
      <c r="S7281" s="5"/>
      <c r="T7281" s="5"/>
      <c r="U7281" s="5"/>
      <c r="V7281" s="5"/>
      <c r="W7281" s="5"/>
      <c r="X7281" s="5"/>
      <c r="Y7281" s="5"/>
      <c r="Z7281" s="5"/>
    </row>
    <row r="7282" spans="1:26" ht="15" x14ac:dyDescent="0.25">
      <c r="A7282" s="4" t="s">
        <v>7280</v>
      </c>
      <c r="B7282" s="4" t="s">
        <v>4550</v>
      </c>
      <c r="C7282" s="2" t="str">
        <f ca="1">IFERROR(__xludf.DUMMYFUNCTION("GOOGLETRANSLATE(A7282,""bn"",""en"")"),"Fish was a national institution")</f>
        <v>Fish was a national institution</v>
      </c>
      <c r="D7282" s="5"/>
      <c r="E7282" s="5"/>
      <c r="F7282" s="5"/>
      <c r="G7282" s="5"/>
      <c r="H7282" s="5"/>
      <c r="I7282" s="5"/>
      <c r="J7282" s="5"/>
      <c r="K7282" s="5"/>
      <c r="L7282" s="5"/>
      <c r="M7282" s="5"/>
      <c r="N7282" s="5"/>
      <c r="O7282" s="5"/>
      <c r="P7282" s="5"/>
      <c r="Q7282" s="5"/>
      <c r="R7282" s="5"/>
      <c r="S7282" s="5"/>
      <c r="T7282" s="5"/>
      <c r="U7282" s="5"/>
      <c r="V7282" s="5"/>
      <c r="W7282" s="5"/>
      <c r="X7282" s="5"/>
      <c r="Y7282" s="5"/>
      <c r="Z7282" s="5"/>
    </row>
    <row r="7283" spans="1:26" ht="15" x14ac:dyDescent="0.25">
      <c r="A7283" s="4" t="s">
        <v>7281</v>
      </c>
      <c r="B7283" s="4" t="s">
        <v>4550</v>
      </c>
      <c r="C7283" s="2" t="str">
        <f ca="1">IFERROR(__xludf.DUMMYFUNCTION("GOOGLETRANSLATE(A7283,""bn"",""en"")"),"The share price gained")</f>
        <v>The share price gained</v>
      </c>
      <c r="D7283" s="5"/>
      <c r="E7283" s="5"/>
      <c r="F7283" s="5"/>
      <c r="G7283" s="5"/>
      <c r="H7283" s="5"/>
      <c r="I7283" s="5"/>
      <c r="J7283" s="5"/>
      <c r="K7283" s="5"/>
      <c r="L7283" s="5"/>
      <c r="M7283" s="5"/>
      <c r="N7283" s="5"/>
      <c r="O7283" s="5"/>
      <c r="P7283" s="5"/>
      <c r="Q7283" s="5"/>
      <c r="R7283" s="5"/>
      <c r="S7283" s="5"/>
      <c r="T7283" s="5"/>
      <c r="U7283" s="5"/>
      <c r="V7283" s="5"/>
      <c r="W7283" s="5"/>
      <c r="X7283" s="5"/>
      <c r="Y7283" s="5"/>
      <c r="Z7283" s="5"/>
    </row>
    <row r="7284" spans="1:26" ht="15" x14ac:dyDescent="0.25">
      <c r="A7284" s="4" t="s">
        <v>7282</v>
      </c>
      <c r="B7284" s="4" t="s">
        <v>4550</v>
      </c>
      <c r="C7284" s="2" t="str">
        <f ca="1">IFERROR(__xludf.DUMMYFUNCTION("GOOGLETRANSLATE(A7284,""bn"",""en"")"),"Golf was played in a calm atmosphere")</f>
        <v>Golf was played in a calm atmosphere</v>
      </c>
      <c r="D7284" s="5"/>
      <c r="E7284" s="5"/>
      <c r="F7284" s="5"/>
      <c r="G7284" s="5"/>
      <c r="H7284" s="5"/>
      <c r="I7284" s="5"/>
      <c r="J7284" s="5"/>
      <c r="K7284" s="5"/>
      <c r="L7284" s="5"/>
      <c r="M7284" s="5"/>
      <c r="N7284" s="5"/>
      <c r="O7284" s="5"/>
      <c r="P7284" s="5"/>
      <c r="Q7284" s="5"/>
      <c r="R7284" s="5"/>
      <c r="S7284" s="5"/>
      <c r="T7284" s="5"/>
      <c r="U7284" s="5"/>
      <c r="V7284" s="5"/>
      <c r="W7284" s="5"/>
      <c r="X7284" s="5"/>
      <c r="Y7284" s="5"/>
      <c r="Z7284" s="5"/>
    </row>
    <row r="7285" spans="1:26" ht="15" x14ac:dyDescent="0.25">
      <c r="A7285" s="4" t="s">
        <v>7283</v>
      </c>
      <c r="B7285" s="4" t="s">
        <v>4550</v>
      </c>
      <c r="C7285" s="2" t="str">
        <f ca="1">IFERROR(__xludf.DUMMYFUNCTION("GOOGLETRANSLATE(A7285,""bn"",""en"")"),"You were reading the file")</f>
        <v>You were reading the file</v>
      </c>
      <c r="D7285" s="5"/>
      <c r="E7285" s="5"/>
      <c r="F7285" s="5"/>
      <c r="G7285" s="5"/>
      <c r="H7285" s="5"/>
      <c r="I7285" s="5"/>
      <c r="J7285" s="5"/>
      <c r="K7285" s="5"/>
      <c r="L7285" s="5"/>
      <c r="M7285" s="5"/>
      <c r="N7285" s="5"/>
      <c r="O7285" s="5"/>
      <c r="P7285" s="5"/>
      <c r="Q7285" s="5"/>
      <c r="R7285" s="5"/>
      <c r="S7285" s="5"/>
      <c r="T7285" s="5"/>
      <c r="U7285" s="5"/>
      <c r="V7285" s="5"/>
      <c r="W7285" s="5"/>
      <c r="X7285" s="5"/>
      <c r="Y7285" s="5"/>
      <c r="Z7285" s="5"/>
    </row>
    <row r="7286" spans="1:26" ht="15" x14ac:dyDescent="0.25">
      <c r="A7286" s="4" t="s">
        <v>7284</v>
      </c>
      <c r="B7286" s="4" t="s">
        <v>4550</v>
      </c>
      <c r="C7286" s="2" t="str">
        <f ca="1">IFERROR(__xludf.DUMMYFUNCTION("GOOGLETRANSLATE(A7286,""bn"",""en"")"),"scripting language used")</f>
        <v>scripting language used</v>
      </c>
      <c r="D7286" s="5"/>
      <c r="E7286" s="5"/>
      <c r="F7286" s="5"/>
      <c r="G7286" s="5"/>
      <c r="H7286" s="5"/>
      <c r="I7286" s="5"/>
      <c r="J7286" s="5"/>
      <c r="K7286" s="5"/>
      <c r="L7286" s="5"/>
      <c r="M7286" s="5"/>
      <c r="N7286" s="5"/>
      <c r="O7286" s="5"/>
      <c r="P7286" s="5"/>
      <c r="Q7286" s="5"/>
      <c r="R7286" s="5"/>
      <c r="S7286" s="5"/>
      <c r="T7286" s="5"/>
      <c r="U7286" s="5"/>
      <c r="V7286" s="5"/>
      <c r="W7286" s="5"/>
      <c r="X7286" s="5"/>
      <c r="Y7286" s="5"/>
      <c r="Z7286" s="5"/>
    </row>
    <row r="7287" spans="1:26" ht="15" x14ac:dyDescent="0.25">
      <c r="A7287" s="4" t="s">
        <v>7285</v>
      </c>
      <c r="B7287" s="4" t="s">
        <v>4550</v>
      </c>
      <c r="C7287" s="2" t="str">
        <f ca="1">IFERROR(__xludf.DUMMYFUNCTION("GOOGLETRANSLATE(A7287,""bn"",""en"")"),"The players gave a good performance")</f>
        <v>The players gave a good performance</v>
      </c>
      <c r="D7287" s="5"/>
      <c r="E7287" s="5"/>
      <c r="F7287" s="5"/>
      <c r="G7287" s="5"/>
      <c r="H7287" s="5"/>
      <c r="I7287" s="5"/>
      <c r="J7287" s="5"/>
      <c r="K7287" s="5"/>
      <c r="L7287" s="5"/>
      <c r="M7287" s="5"/>
      <c r="N7287" s="5"/>
      <c r="O7287" s="5"/>
      <c r="P7287" s="5"/>
      <c r="Q7287" s="5"/>
      <c r="R7287" s="5"/>
      <c r="S7287" s="5"/>
      <c r="T7287" s="5"/>
      <c r="U7287" s="5"/>
      <c r="V7287" s="5"/>
      <c r="W7287" s="5"/>
      <c r="X7287" s="5"/>
      <c r="Y7287" s="5"/>
      <c r="Z7287" s="5"/>
    </row>
    <row r="7288" spans="1:26" ht="15" x14ac:dyDescent="0.25">
      <c r="A7288" s="4" t="s">
        <v>7286</v>
      </c>
      <c r="B7288" s="4" t="s">
        <v>4550</v>
      </c>
      <c r="C7288" s="2" t="str">
        <f ca="1">IFERROR(__xludf.DUMMYFUNCTION("GOOGLETRANSLATE(A7288,""bn"",""en"")"),"won the competition")</f>
        <v>won the competition</v>
      </c>
      <c r="D7288" s="5"/>
      <c r="E7288" s="5"/>
      <c r="F7288" s="5"/>
      <c r="G7288" s="5"/>
      <c r="H7288" s="5"/>
      <c r="I7288" s="5"/>
      <c r="J7288" s="5"/>
      <c r="K7288" s="5"/>
      <c r="L7288" s="5"/>
      <c r="M7288" s="5"/>
      <c r="N7288" s="5"/>
      <c r="O7288" s="5"/>
      <c r="P7288" s="5"/>
      <c r="Q7288" s="5"/>
      <c r="R7288" s="5"/>
      <c r="S7288" s="5"/>
      <c r="T7288" s="5"/>
      <c r="U7288" s="5"/>
      <c r="V7288" s="5"/>
      <c r="W7288" s="5"/>
      <c r="X7288" s="5"/>
      <c r="Y7288" s="5"/>
      <c r="Z7288" s="5"/>
    </row>
    <row r="7289" spans="1:26" ht="15" x14ac:dyDescent="0.25">
      <c r="A7289" s="4" t="s">
        <v>7287</v>
      </c>
      <c r="B7289" s="4" t="s">
        <v>4550</v>
      </c>
      <c r="C7289" s="2" t="str">
        <f ca="1">IFERROR(__xludf.DUMMYFUNCTION("GOOGLETRANSLATE(A7289,""bn"",""en"")"),"The increase was due to price changes")</f>
        <v>The increase was due to price changes</v>
      </c>
      <c r="D7289" s="5"/>
      <c r="E7289" s="5"/>
      <c r="F7289" s="5"/>
      <c r="G7289" s="5"/>
      <c r="H7289" s="5"/>
      <c r="I7289" s="5"/>
      <c r="J7289" s="5"/>
      <c r="K7289" s="5"/>
      <c r="L7289" s="5"/>
      <c r="M7289" s="5"/>
      <c r="N7289" s="5"/>
      <c r="O7289" s="5"/>
      <c r="P7289" s="5"/>
      <c r="Q7289" s="5"/>
      <c r="R7289" s="5"/>
      <c r="S7289" s="5"/>
      <c r="T7289" s="5"/>
      <c r="U7289" s="5"/>
      <c r="V7289" s="5"/>
      <c r="W7289" s="5"/>
      <c r="X7289" s="5"/>
      <c r="Y7289" s="5"/>
      <c r="Z7289" s="5"/>
    </row>
    <row r="7290" spans="1:26" ht="15" x14ac:dyDescent="0.25">
      <c r="A7290" s="4" t="s">
        <v>7288</v>
      </c>
      <c r="B7290" s="4" t="s">
        <v>4550</v>
      </c>
      <c r="C7290" s="2" t="str">
        <f ca="1">IFERROR(__xludf.DUMMYFUNCTION("GOOGLETRANSLATE(A7290,""bn"",""en"")"),"It was formed according to the party")</f>
        <v>It was formed according to the party</v>
      </c>
      <c r="D7290" s="5"/>
      <c r="E7290" s="5"/>
      <c r="F7290" s="5"/>
      <c r="G7290" s="5"/>
      <c r="H7290" s="5"/>
      <c r="I7290" s="5"/>
      <c r="J7290" s="5"/>
      <c r="K7290" s="5"/>
      <c r="L7290" s="5"/>
      <c r="M7290" s="5"/>
      <c r="N7290" s="5"/>
      <c r="O7290" s="5"/>
      <c r="P7290" s="5"/>
      <c r="Q7290" s="5"/>
      <c r="R7290" s="5"/>
      <c r="S7290" s="5"/>
      <c r="T7290" s="5"/>
      <c r="U7290" s="5"/>
      <c r="V7290" s="5"/>
      <c r="W7290" s="5"/>
      <c r="X7290" s="5"/>
      <c r="Y7290" s="5"/>
      <c r="Z7290" s="5"/>
    </row>
    <row r="7291" spans="1:26" ht="15" x14ac:dyDescent="0.25">
      <c r="A7291" s="4" t="s">
        <v>7289</v>
      </c>
      <c r="B7291" s="4" t="s">
        <v>4550</v>
      </c>
      <c r="C7291" s="2" t="str">
        <f ca="1">IFERROR(__xludf.DUMMYFUNCTION("GOOGLETRANSLATE(A7291,""bn"",""en"")"),"The election has been completed in the institution")</f>
        <v>The election has been completed in the institution</v>
      </c>
      <c r="D7291" s="5"/>
      <c r="E7291" s="5"/>
      <c r="F7291" s="5"/>
      <c r="G7291" s="5"/>
      <c r="H7291" s="5"/>
      <c r="I7291" s="5"/>
      <c r="J7291" s="5"/>
      <c r="K7291" s="5"/>
      <c r="L7291" s="5"/>
      <c r="M7291" s="5"/>
      <c r="N7291" s="5"/>
      <c r="O7291" s="5"/>
      <c r="P7291" s="5"/>
      <c r="Q7291" s="5"/>
      <c r="R7291" s="5"/>
      <c r="S7291" s="5"/>
      <c r="T7291" s="5"/>
      <c r="U7291" s="5"/>
      <c r="V7291" s="5"/>
      <c r="W7291" s="5"/>
      <c r="X7291" s="5"/>
      <c r="Y7291" s="5"/>
      <c r="Z7291" s="5"/>
    </row>
    <row r="7292" spans="1:26" ht="15" x14ac:dyDescent="0.25">
      <c r="A7292" s="4" t="s">
        <v>7290</v>
      </c>
      <c r="B7292" s="4" t="s">
        <v>4550</v>
      </c>
      <c r="C7292" s="2" t="str">
        <f ca="1">IFERROR(__xludf.DUMMYFUNCTION("GOOGLETRANSLATE(A7292,""bn"",""en"")"),"I made fish kebab specially")</f>
        <v>I made fish kebab specially</v>
      </c>
      <c r="D7292" s="5"/>
      <c r="E7292" s="5"/>
      <c r="F7292" s="5"/>
      <c r="G7292" s="5"/>
      <c r="H7292" s="5"/>
      <c r="I7292" s="5"/>
      <c r="J7292" s="5"/>
      <c r="K7292" s="5"/>
      <c r="L7292" s="5"/>
      <c r="M7292" s="5"/>
      <c r="N7292" s="5"/>
      <c r="O7292" s="5"/>
      <c r="P7292" s="5"/>
      <c r="Q7292" s="5"/>
      <c r="R7292" s="5"/>
      <c r="S7292" s="5"/>
      <c r="T7292" s="5"/>
      <c r="U7292" s="5"/>
      <c r="V7292" s="5"/>
      <c r="W7292" s="5"/>
      <c r="X7292" s="5"/>
      <c r="Y7292" s="5"/>
      <c r="Z7292" s="5"/>
    </row>
    <row r="7293" spans="1:26" ht="15" x14ac:dyDescent="0.25">
      <c r="A7293" s="4" t="s">
        <v>7291</v>
      </c>
      <c r="B7293" s="4" t="s">
        <v>4550</v>
      </c>
      <c r="C7293" s="2" t="str">
        <f ca="1">IFERROR(__xludf.DUMMYFUNCTION("GOOGLETRANSLATE(A7293,""bn"",""en"")"),"I saw the picture in the morning")</f>
        <v>I saw the picture in the morning</v>
      </c>
      <c r="D7293" s="5"/>
      <c r="E7293" s="5"/>
      <c r="F7293" s="5"/>
      <c r="G7293" s="5"/>
      <c r="H7293" s="5"/>
      <c r="I7293" s="5"/>
      <c r="J7293" s="5"/>
      <c r="K7293" s="5"/>
      <c r="L7293" s="5"/>
      <c r="M7293" s="5"/>
      <c r="N7293" s="5"/>
      <c r="O7293" s="5"/>
      <c r="P7293" s="5"/>
      <c r="Q7293" s="5"/>
      <c r="R7293" s="5"/>
      <c r="S7293" s="5"/>
      <c r="T7293" s="5"/>
      <c r="U7293" s="5"/>
      <c r="V7293" s="5"/>
      <c r="W7293" s="5"/>
      <c r="X7293" s="5"/>
      <c r="Y7293" s="5"/>
      <c r="Z7293" s="5"/>
    </row>
    <row r="7294" spans="1:26" ht="15" x14ac:dyDescent="0.25">
      <c r="A7294" s="4" t="s">
        <v>7292</v>
      </c>
      <c r="B7294" s="4" t="s">
        <v>4550</v>
      </c>
      <c r="C7294" s="2" t="str">
        <f ca="1">IFERROR(__xludf.DUMMYFUNCTION("GOOGLETRANSLATE(A7294,""bn"",""en"")"),"Newspapers were published regularly")</f>
        <v>Newspapers were published regularly</v>
      </c>
      <c r="D7294" s="5"/>
      <c r="E7294" s="5"/>
      <c r="F7294" s="5"/>
      <c r="G7294" s="5"/>
      <c r="H7294" s="5"/>
      <c r="I7294" s="5"/>
      <c r="J7294" s="5"/>
      <c r="K7294" s="5"/>
      <c r="L7294" s="5"/>
      <c r="M7294" s="5"/>
      <c r="N7294" s="5"/>
      <c r="O7294" s="5"/>
      <c r="P7294" s="5"/>
      <c r="Q7294" s="5"/>
      <c r="R7294" s="5"/>
      <c r="S7294" s="5"/>
      <c r="T7294" s="5"/>
      <c r="U7294" s="5"/>
      <c r="V7294" s="5"/>
      <c r="W7294" s="5"/>
      <c r="X7294" s="5"/>
      <c r="Y7294" s="5"/>
      <c r="Z7294" s="5"/>
    </row>
    <row r="7295" spans="1:26" ht="15" x14ac:dyDescent="0.25">
      <c r="A7295" s="4" t="s">
        <v>7293</v>
      </c>
      <c r="B7295" s="4" t="s">
        <v>4550</v>
      </c>
      <c r="C7295" s="2" t="str">
        <f ca="1">IFERROR(__xludf.DUMMYFUNCTION("GOOGLETRANSLATE(A7295,""bn"",""en"")"),"Played with great enthusiasm")</f>
        <v>Played with great enthusiasm</v>
      </c>
      <c r="D7295" s="5"/>
      <c r="E7295" s="5"/>
      <c r="F7295" s="5"/>
      <c r="G7295" s="5"/>
      <c r="H7295" s="5"/>
      <c r="I7295" s="5"/>
      <c r="J7295" s="5"/>
      <c r="K7295" s="5"/>
      <c r="L7295" s="5"/>
      <c r="M7295" s="5"/>
      <c r="N7295" s="5"/>
      <c r="O7295" s="5"/>
      <c r="P7295" s="5"/>
      <c r="Q7295" s="5"/>
      <c r="R7295" s="5"/>
      <c r="S7295" s="5"/>
      <c r="T7295" s="5"/>
      <c r="U7295" s="5"/>
      <c r="V7295" s="5"/>
      <c r="W7295" s="5"/>
      <c r="X7295" s="5"/>
      <c r="Y7295" s="5"/>
      <c r="Z7295" s="5"/>
    </row>
    <row r="7296" spans="1:26" ht="15" x14ac:dyDescent="0.25">
      <c r="A7296" s="4" t="s">
        <v>7294</v>
      </c>
      <c r="B7296" s="4" t="s">
        <v>4550</v>
      </c>
      <c r="C7296" s="2" t="str">
        <f ca="1">IFERROR(__xludf.DUMMYFUNCTION("GOOGLETRANSLATE(A7296,""bn"",""en"")"),"Featured software was improved")</f>
        <v>Featured software was improved</v>
      </c>
      <c r="D7296" s="5"/>
      <c r="E7296" s="5"/>
      <c r="F7296" s="5"/>
      <c r="G7296" s="5"/>
      <c r="H7296" s="5"/>
      <c r="I7296" s="5"/>
      <c r="J7296" s="5"/>
      <c r="K7296" s="5"/>
      <c r="L7296" s="5"/>
      <c r="M7296" s="5"/>
      <c r="N7296" s="5"/>
      <c r="O7296" s="5"/>
      <c r="P7296" s="5"/>
      <c r="Q7296" s="5"/>
      <c r="R7296" s="5"/>
      <c r="S7296" s="5"/>
      <c r="T7296" s="5"/>
      <c r="U7296" s="5"/>
      <c r="V7296" s="5"/>
      <c r="W7296" s="5"/>
      <c r="X7296" s="5"/>
      <c r="Y7296" s="5"/>
      <c r="Z7296" s="5"/>
    </row>
    <row r="7297" spans="1:26" ht="15" x14ac:dyDescent="0.25">
      <c r="A7297" s="4" t="s">
        <v>7295</v>
      </c>
      <c r="B7297" s="4" t="s">
        <v>4550</v>
      </c>
      <c r="C7297" s="2" t="str">
        <f ca="1">IFERROR(__xludf.DUMMYFUNCTION("GOOGLETRANSLATE(A7297,""bn"",""en"")"),"He was by the sea")</f>
        <v>He was by the sea</v>
      </c>
      <c r="D7297" s="5"/>
      <c r="E7297" s="5"/>
      <c r="F7297" s="5"/>
      <c r="G7297" s="5"/>
      <c r="H7297" s="5"/>
      <c r="I7297" s="5"/>
      <c r="J7297" s="5"/>
      <c r="K7297" s="5"/>
      <c r="L7297" s="5"/>
      <c r="M7297" s="5"/>
      <c r="N7297" s="5"/>
      <c r="O7297" s="5"/>
      <c r="P7297" s="5"/>
      <c r="Q7297" s="5"/>
      <c r="R7297" s="5"/>
      <c r="S7297" s="5"/>
      <c r="T7297" s="5"/>
      <c r="U7297" s="5"/>
      <c r="V7297" s="5"/>
      <c r="W7297" s="5"/>
      <c r="X7297" s="5"/>
      <c r="Y7297" s="5"/>
      <c r="Z7297" s="5"/>
    </row>
    <row r="7298" spans="1:26" ht="15" x14ac:dyDescent="0.25">
      <c r="A7298" s="4" t="s">
        <v>7296</v>
      </c>
      <c r="B7298" s="4" t="s">
        <v>4550</v>
      </c>
      <c r="C7298" s="2" t="str">
        <f ca="1">IFERROR(__xludf.DUMMYFUNCTION("GOOGLETRANSLATE(A7298,""bn"",""en"")"),"Watched a movie at noon")</f>
        <v>Watched a movie at noon</v>
      </c>
      <c r="D7298" s="5"/>
      <c r="E7298" s="5"/>
      <c r="F7298" s="5"/>
      <c r="G7298" s="5"/>
      <c r="H7298" s="5"/>
      <c r="I7298" s="5"/>
      <c r="J7298" s="5"/>
      <c r="K7298" s="5"/>
      <c r="L7298" s="5"/>
      <c r="M7298" s="5"/>
      <c r="N7298" s="5"/>
      <c r="O7298" s="5"/>
      <c r="P7298" s="5"/>
      <c r="Q7298" s="5"/>
      <c r="R7298" s="5"/>
      <c r="S7298" s="5"/>
      <c r="T7298" s="5"/>
      <c r="U7298" s="5"/>
      <c r="V7298" s="5"/>
      <c r="W7298" s="5"/>
      <c r="X7298" s="5"/>
      <c r="Y7298" s="5"/>
      <c r="Z7298" s="5"/>
    </row>
    <row r="7299" spans="1:26" ht="15" x14ac:dyDescent="0.25">
      <c r="A7299" s="4" t="s">
        <v>7297</v>
      </c>
      <c r="B7299" s="4" t="s">
        <v>4550</v>
      </c>
      <c r="C7299" s="2" t="str">
        <f ca="1">IFERROR(__xludf.DUMMYFUNCTION("GOOGLETRANSLATE(A7299,""bn"",""en"")"),"The game of cricket was defeated")</f>
        <v>The game of cricket was defeated</v>
      </c>
      <c r="D7299" s="5"/>
      <c r="E7299" s="5"/>
      <c r="F7299" s="5"/>
      <c r="G7299" s="5"/>
      <c r="H7299" s="5"/>
      <c r="I7299" s="5"/>
      <c r="J7299" s="5"/>
      <c r="K7299" s="5"/>
      <c r="L7299" s="5"/>
      <c r="M7299" s="5"/>
      <c r="N7299" s="5"/>
      <c r="O7299" s="5"/>
      <c r="P7299" s="5"/>
      <c r="Q7299" s="5"/>
      <c r="R7299" s="5"/>
      <c r="S7299" s="5"/>
      <c r="T7299" s="5"/>
      <c r="U7299" s="5"/>
      <c r="V7299" s="5"/>
      <c r="W7299" s="5"/>
      <c r="X7299" s="5"/>
      <c r="Y7299" s="5"/>
      <c r="Z7299" s="5"/>
    </row>
    <row r="7300" spans="1:26" ht="15" x14ac:dyDescent="0.25">
      <c r="A7300" s="4" t="s">
        <v>7298</v>
      </c>
      <c r="B7300" s="4" t="s">
        <v>4550</v>
      </c>
      <c r="C7300" s="2" t="str">
        <f ca="1">IFERROR(__xludf.DUMMYFUNCTION("GOOGLETRANSLATE(A7300,""bn"",""en"")"),"We did the survey earlier")</f>
        <v>We did the survey earlier</v>
      </c>
      <c r="D7300" s="5"/>
      <c r="E7300" s="5"/>
      <c r="F7300" s="5"/>
      <c r="G7300" s="5"/>
      <c r="H7300" s="5"/>
      <c r="I7300" s="5"/>
      <c r="J7300" s="5"/>
      <c r="K7300" s="5"/>
      <c r="L7300" s="5"/>
      <c r="M7300" s="5"/>
      <c r="N7300" s="5"/>
      <c r="O7300" s="5"/>
      <c r="P7300" s="5"/>
      <c r="Q7300" s="5"/>
      <c r="R7300" s="5"/>
      <c r="S7300" s="5"/>
      <c r="T7300" s="5"/>
      <c r="U7300" s="5"/>
      <c r="V7300" s="5"/>
      <c r="W7300" s="5"/>
      <c r="X7300" s="5"/>
      <c r="Y7300" s="5"/>
      <c r="Z7300" s="5"/>
    </row>
    <row r="7301" spans="1:26" ht="15" x14ac:dyDescent="0.25">
      <c r="A7301" s="4" t="s">
        <v>7299</v>
      </c>
      <c r="B7301" s="4" t="s">
        <v>4550</v>
      </c>
      <c r="C7301" s="2" t="str">
        <f ca="1">IFERROR(__xludf.DUMMYFUNCTION("GOOGLETRANSLATE(A7301,""bn"",""en"")"),"They saw bank transactions")</f>
        <v>They saw bank transactions</v>
      </c>
      <c r="D7301" s="5"/>
      <c r="E7301" s="5"/>
      <c r="F7301" s="5"/>
      <c r="G7301" s="5"/>
      <c r="H7301" s="5"/>
      <c r="I7301" s="5"/>
      <c r="J7301" s="5"/>
      <c r="K7301" s="5"/>
      <c r="L7301" s="5"/>
      <c r="M7301" s="5"/>
      <c r="N7301" s="5"/>
      <c r="O7301" s="5"/>
      <c r="P7301" s="5"/>
      <c r="Q7301" s="5"/>
      <c r="R7301" s="5"/>
      <c r="S7301" s="5"/>
      <c r="T7301" s="5"/>
      <c r="U7301" s="5"/>
      <c r="V7301" s="5"/>
      <c r="W7301" s="5"/>
      <c r="X7301" s="5"/>
      <c r="Y7301" s="5"/>
      <c r="Z7301" s="5"/>
    </row>
    <row r="7302" spans="1:26" ht="15" x14ac:dyDescent="0.25">
      <c r="A7302" s="4" t="s">
        <v>7300</v>
      </c>
      <c r="B7302" s="4" t="s">
        <v>4550</v>
      </c>
      <c r="C7302" s="2" t="str">
        <f ca="1">IFERROR(__xludf.DUMMYFUNCTION("GOOGLETRANSLATE(A7302,""bn"",""en"")"),"You ate ice cream at the party")</f>
        <v>You ate ice cream at the party</v>
      </c>
      <c r="D7302" s="5"/>
      <c r="E7302" s="5"/>
      <c r="F7302" s="5"/>
      <c r="G7302" s="5"/>
      <c r="H7302" s="5"/>
      <c r="I7302" s="5"/>
      <c r="J7302" s="5"/>
      <c r="K7302" s="5"/>
      <c r="L7302" s="5"/>
      <c r="M7302" s="5"/>
      <c r="N7302" s="5"/>
      <c r="O7302" s="5"/>
      <c r="P7302" s="5"/>
      <c r="Q7302" s="5"/>
      <c r="R7302" s="5"/>
      <c r="S7302" s="5"/>
      <c r="T7302" s="5"/>
      <c r="U7302" s="5"/>
      <c r="V7302" s="5"/>
      <c r="W7302" s="5"/>
      <c r="X7302" s="5"/>
      <c r="Y7302" s="5"/>
      <c r="Z7302" s="5"/>
    </row>
    <row r="7303" spans="1:26" ht="15" x14ac:dyDescent="0.25">
      <c r="A7303" s="4" t="s">
        <v>7301</v>
      </c>
      <c r="B7303" s="4" t="s">
        <v>4550</v>
      </c>
      <c r="C7303" s="2" t="str">
        <f ca="1">IFERROR(__xludf.DUMMYFUNCTION("GOOGLETRANSLATE(A7303,""bn"",""en"")"),"Television announcements were made")</f>
        <v>Television announcements were made</v>
      </c>
      <c r="D7303" s="5"/>
      <c r="E7303" s="5"/>
      <c r="F7303" s="5"/>
      <c r="G7303" s="5"/>
      <c r="H7303" s="5"/>
      <c r="I7303" s="5"/>
      <c r="J7303" s="5"/>
      <c r="K7303" s="5"/>
      <c r="L7303" s="5"/>
      <c r="M7303" s="5"/>
      <c r="N7303" s="5"/>
      <c r="O7303" s="5"/>
      <c r="P7303" s="5"/>
      <c r="Q7303" s="5"/>
      <c r="R7303" s="5"/>
      <c r="S7303" s="5"/>
      <c r="T7303" s="5"/>
      <c r="U7303" s="5"/>
      <c r="V7303" s="5"/>
      <c r="W7303" s="5"/>
      <c r="X7303" s="5"/>
      <c r="Y7303" s="5"/>
      <c r="Z7303" s="5"/>
    </row>
    <row r="7304" spans="1:26" ht="15" x14ac:dyDescent="0.25">
      <c r="A7304" s="4" t="s">
        <v>7302</v>
      </c>
      <c r="B7304" s="4" t="s">
        <v>4550</v>
      </c>
      <c r="C7304" s="2" t="str">
        <f ca="1">IFERROR(__xludf.DUMMYFUNCTION("GOOGLETRANSLATE(A7304,""bn"",""en"")"),"The match was in the rain")</f>
        <v>The match was in the rain</v>
      </c>
      <c r="D7304" s="5"/>
      <c r="E7304" s="5"/>
      <c r="F7304" s="5"/>
      <c r="G7304" s="5"/>
      <c r="H7304" s="5"/>
      <c r="I7304" s="5"/>
      <c r="J7304" s="5"/>
      <c r="K7304" s="5"/>
      <c r="L7304" s="5"/>
      <c r="M7304" s="5"/>
      <c r="N7304" s="5"/>
      <c r="O7304" s="5"/>
      <c r="P7304" s="5"/>
      <c r="Q7304" s="5"/>
      <c r="R7304" s="5"/>
      <c r="S7304" s="5"/>
      <c r="T7304" s="5"/>
      <c r="U7304" s="5"/>
      <c r="V7304" s="5"/>
      <c r="W7304" s="5"/>
      <c r="X7304" s="5"/>
      <c r="Y7304" s="5"/>
      <c r="Z7304" s="5"/>
    </row>
    <row r="7305" spans="1:26" ht="15" x14ac:dyDescent="0.25">
      <c r="A7305" s="4" t="s">
        <v>7303</v>
      </c>
      <c r="B7305" s="4" t="s">
        <v>4550</v>
      </c>
      <c r="C7305" s="2" t="str">
        <f ca="1">IFERROR(__xludf.DUMMYFUNCTION("GOOGLETRANSLATE(A7305,""bn"",""en"")"),"The traveler traveled by sea")</f>
        <v>The traveler traveled by sea</v>
      </c>
      <c r="D7305" s="5"/>
      <c r="E7305" s="5"/>
      <c r="F7305" s="5"/>
      <c r="G7305" s="5"/>
      <c r="H7305" s="5"/>
      <c r="I7305" s="5"/>
      <c r="J7305" s="5"/>
      <c r="K7305" s="5"/>
      <c r="L7305" s="5"/>
      <c r="M7305" s="5"/>
      <c r="N7305" s="5"/>
      <c r="O7305" s="5"/>
      <c r="P7305" s="5"/>
      <c r="Q7305" s="5"/>
      <c r="R7305" s="5"/>
      <c r="S7305" s="5"/>
      <c r="T7305" s="5"/>
      <c r="U7305" s="5"/>
      <c r="V7305" s="5"/>
      <c r="W7305" s="5"/>
      <c r="X7305" s="5"/>
      <c r="Y7305" s="5"/>
      <c r="Z7305" s="5"/>
    </row>
    <row r="7306" spans="1:26" ht="15" x14ac:dyDescent="0.25">
      <c r="A7306" s="4" t="s">
        <v>7304</v>
      </c>
      <c r="B7306" s="4" t="s">
        <v>4550</v>
      </c>
      <c r="C7306" s="2" t="str">
        <f ca="1">IFERROR(__xludf.DUMMYFUNCTION("GOOGLETRANSLATE(A7306,""bn"",""en"")"),"He needed a check")</f>
        <v>He needed a check</v>
      </c>
      <c r="D7306" s="5"/>
      <c r="E7306" s="5"/>
      <c r="F7306" s="5"/>
      <c r="G7306" s="5"/>
      <c r="H7306" s="5"/>
      <c r="I7306" s="5"/>
      <c r="J7306" s="5"/>
      <c r="K7306" s="5"/>
      <c r="L7306" s="5"/>
      <c r="M7306" s="5"/>
      <c r="N7306" s="5"/>
      <c r="O7306" s="5"/>
      <c r="P7306" s="5"/>
      <c r="Q7306" s="5"/>
      <c r="R7306" s="5"/>
      <c r="S7306" s="5"/>
      <c r="T7306" s="5"/>
      <c r="U7306" s="5"/>
      <c r="V7306" s="5"/>
      <c r="W7306" s="5"/>
      <c r="X7306" s="5"/>
      <c r="Y7306" s="5"/>
      <c r="Z7306" s="5"/>
    </row>
    <row r="7307" spans="1:26" ht="15" x14ac:dyDescent="0.25">
      <c r="A7307" s="4" t="s">
        <v>7305</v>
      </c>
      <c r="B7307" s="4" t="s">
        <v>4550</v>
      </c>
      <c r="C7307" s="2" t="str">
        <f ca="1">IFERROR(__xludf.DUMMYFUNCTION("GOOGLETRANSLATE(A7307,""bn"",""en"")"),"He was hiking in the forest once")</f>
        <v>He was hiking in the forest once</v>
      </c>
      <c r="D7307" s="5"/>
      <c r="E7307" s="5"/>
      <c r="F7307" s="5"/>
      <c r="G7307" s="5"/>
      <c r="H7307" s="5"/>
      <c r="I7307" s="5"/>
      <c r="J7307" s="5"/>
      <c r="K7307" s="5"/>
      <c r="L7307" s="5"/>
      <c r="M7307" s="5"/>
      <c r="N7307" s="5"/>
      <c r="O7307" s="5"/>
      <c r="P7307" s="5"/>
      <c r="Q7307" s="5"/>
      <c r="R7307" s="5"/>
      <c r="S7307" s="5"/>
      <c r="T7307" s="5"/>
      <c r="U7307" s="5"/>
      <c r="V7307" s="5"/>
      <c r="W7307" s="5"/>
      <c r="X7307" s="5"/>
      <c r="Y7307" s="5"/>
      <c r="Z7307" s="5"/>
    </row>
    <row r="7308" spans="1:26" ht="15" x14ac:dyDescent="0.25">
      <c r="A7308" s="4" t="s">
        <v>7306</v>
      </c>
      <c r="B7308" s="4" t="s">
        <v>4550</v>
      </c>
      <c r="C7308" s="2" t="str">
        <f ca="1">IFERROR(__xludf.DUMMYFUNCTION("GOOGLETRANSLATE(A7308,""bn"",""en"")"),"The first set was won easily")</f>
        <v>The first set was won easily</v>
      </c>
      <c r="D7308" s="5"/>
      <c r="E7308" s="5"/>
      <c r="F7308" s="5"/>
      <c r="G7308" s="5"/>
      <c r="H7308" s="5"/>
      <c r="I7308" s="5"/>
      <c r="J7308" s="5"/>
      <c r="K7308" s="5"/>
      <c r="L7308" s="5"/>
      <c r="M7308" s="5"/>
      <c r="N7308" s="5"/>
      <c r="O7308" s="5"/>
      <c r="P7308" s="5"/>
      <c r="Q7308" s="5"/>
      <c r="R7308" s="5"/>
      <c r="S7308" s="5"/>
      <c r="T7308" s="5"/>
      <c r="U7308" s="5"/>
      <c r="V7308" s="5"/>
      <c r="W7308" s="5"/>
      <c r="X7308" s="5"/>
      <c r="Y7308" s="5"/>
      <c r="Z7308" s="5"/>
    </row>
    <row r="7309" spans="1:26" ht="15" x14ac:dyDescent="0.25">
      <c r="A7309" s="4" t="s">
        <v>7307</v>
      </c>
      <c r="B7309" s="4" t="s">
        <v>4550</v>
      </c>
      <c r="C7309" s="2" t="str">
        <f ca="1">IFERROR(__xludf.DUMMYFUNCTION("GOOGLETRANSLATE(A7309,""bn"",""en"")"),"They read books in the morning")</f>
        <v>They read books in the morning</v>
      </c>
      <c r="D7309" s="5"/>
      <c r="E7309" s="5"/>
      <c r="F7309" s="5"/>
      <c r="G7309" s="5"/>
      <c r="H7309" s="5"/>
      <c r="I7309" s="5"/>
      <c r="J7309" s="5"/>
      <c r="K7309" s="5"/>
      <c r="L7309" s="5"/>
      <c r="M7309" s="5"/>
      <c r="N7309" s="5"/>
      <c r="O7309" s="5"/>
      <c r="P7309" s="5"/>
      <c r="Q7309" s="5"/>
      <c r="R7309" s="5"/>
      <c r="S7309" s="5"/>
      <c r="T7309" s="5"/>
      <c r="U7309" s="5"/>
      <c r="V7309" s="5"/>
      <c r="W7309" s="5"/>
      <c r="X7309" s="5"/>
      <c r="Y7309" s="5"/>
      <c r="Z7309" s="5"/>
    </row>
    <row r="7310" spans="1:26" ht="15" x14ac:dyDescent="0.25">
      <c r="A7310" s="4" t="s">
        <v>7308</v>
      </c>
      <c r="B7310" s="4" t="s">
        <v>4550</v>
      </c>
      <c r="C7310" s="2" t="str">
        <f ca="1">IFERROR(__xludf.DUMMYFUNCTION("GOOGLETRANSLATE(A7310,""bn"",""en"")"),"I eat fish")</f>
        <v>I eat fish</v>
      </c>
      <c r="D7310" s="5"/>
      <c r="E7310" s="5"/>
      <c r="F7310" s="5"/>
      <c r="G7310" s="5"/>
      <c r="H7310" s="5"/>
      <c r="I7310" s="5"/>
      <c r="J7310" s="5"/>
      <c r="K7310" s="5"/>
      <c r="L7310" s="5"/>
      <c r="M7310" s="5"/>
      <c r="N7310" s="5"/>
      <c r="O7310" s="5"/>
      <c r="P7310" s="5"/>
      <c r="Q7310" s="5"/>
      <c r="R7310" s="5"/>
      <c r="S7310" s="5"/>
      <c r="T7310" s="5"/>
      <c r="U7310" s="5"/>
      <c r="V7310" s="5"/>
      <c r="W7310" s="5"/>
      <c r="X7310" s="5"/>
      <c r="Y7310" s="5"/>
      <c r="Z7310" s="5"/>
    </row>
    <row r="7311" spans="1:26" ht="15" x14ac:dyDescent="0.25">
      <c r="A7311" s="4" t="s">
        <v>7309</v>
      </c>
      <c r="B7311" s="4" t="s">
        <v>4550</v>
      </c>
      <c r="C7311" s="2" t="str">
        <f ca="1">IFERROR(__xludf.DUMMYFUNCTION("GOOGLETRANSLATE(A7311,""bn"",""en"")"),"Bigdata was projected")</f>
        <v>Bigdata was projected</v>
      </c>
      <c r="D7311" s="5"/>
      <c r="E7311" s="5"/>
      <c r="F7311" s="5"/>
      <c r="G7311" s="5"/>
      <c r="H7311" s="5"/>
      <c r="I7311" s="5"/>
      <c r="J7311" s="5"/>
      <c r="K7311" s="5"/>
      <c r="L7311" s="5"/>
      <c r="M7311" s="5"/>
      <c r="N7311" s="5"/>
      <c r="O7311" s="5"/>
      <c r="P7311" s="5"/>
      <c r="Q7311" s="5"/>
      <c r="R7311" s="5"/>
      <c r="S7311" s="5"/>
      <c r="T7311" s="5"/>
      <c r="U7311" s="5"/>
      <c r="V7311" s="5"/>
      <c r="W7311" s="5"/>
      <c r="X7311" s="5"/>
      <c r="Y7311" s="5"/>
      <c r="Z7311" s="5"/>
    </row>
    <row r="7312" spans="1:26" ht="15" x14ac:dyDescent="0.25">
      <c r="A7312" s="4" t="s">
        <v>7310</v>
      </c>
      <c r="B7312" s="4" t="s">
        <v>4550</v>
      </c>
      <c r="C7312" s="2" t="str">
        <f ca="1">IFERROR(__xludf.DUMMYFUNCTION("GOOGLETRANSLATE(A7312,""bn"",""en"")"),"I became interested in coding")</f>
        <v>I became interested in coding</v>
      </c>
      <c r="D7312" s="5"/>
      <c r="E7312" s="5"/>
      <c r="F7312" s="5"/>
      <c r="G7312" s="5"/>
      <c r="H7312" s="5"/>
      <c r="I7312" s="5"/>
      <c r="J7312" s="5"/>
      <c r="K7312" s="5"/>
      <c r="L7312" s="5"/>
      <c r="M7312" s="5"/>
      <c r="N7312" s="5"/>
      <c r="O7312" s="5"/>
      <c r="P7312" s="5"/>
      <c r="Q7312" s="5"/>
      <c r="R7312" s="5"/>
      <c r="S7312" s="5"/>
      <c r="T7312" s="5"/>
      <c r="U7312" s="5"/>
      <c r="V7312" s="5"/>
      <c r="W7312" s="5"/>
      <c r="X7312" s="5"/>
      <c r="Y7312" s="5"/>
      <c r="Z7312" s="5"/>
    </row>
    <row r="7313" spans="1:26" ht="15" x14ac:dyDescent="0.25">
      <c r="A7313" s="4" t="s">
        <v>7311</v>
      </c>
      <c r="B7313" s="4" t="s">
        <v>4550</v>
      </c>
      <c r="C7313" s="2" t="str">
        <f ca="1">IFERROR(__xludf.DUMMYFUNCTION("GOOGLETRANSLATE(A7313,""bn"",""en"")"),"Victory was won with skill")</f>
        <v>Victory was won with skill</v>
      </c>
      <c r="D7313" s="5"/>
      <c r="E7313" s="5"/>
      <c r="F7313" s="5"/>
      <c r="G7313" s="5"/>
      <c r="H7313" s="5"/>
      <c r="I7313" s="5"/>
      <c r="J7313" s="5"/>
      <c r="K7313" s="5"/>
      <c r="L7313" s="5"/>
      <c r="M7313" s="5"/>
      <c r="N7313" s="5"/>
      <c r="O7313" s="5"/>
      <c r="P7313" s="5"/>
      <c r="Q7313" s="5"/>
      <c r="R7313" s="5"/>
      <c r="S7313" s="5"/>
      <c r="T7313" s="5"/>
      <c r="U7313" s="5"/>
      <c r="V7313" s="5"/>
      <c r="W7313" s="5"/>
      <c r="X7313" s="5"/>
      <c r="Y7313" s="5"/>
      <c r="Z7313" s="5"/>
    </row>
    <row r="7314" spans="1:26" ht="15" x14ac:dyDescent="0.25">
      <c r="A7314" s="4" t="s">
        <v>7312</v>
      </c>
      <c r="B7314" s="4" t="s">
        <v>4550</v>
      </c>
      <c r="C7314" s="2" t="str">
        <f ca="1">IFERROR(__xludf.DUMMYFUNCTION("GOOGLETRANSLATE(A7314,""bn"",""en"")"),"I ate out today")</f>
        <v>I ate out today</v>
      </c>
      <c r="D7314" s="5"/>
      <c r="E7314" s="5"/>
      <c r="F7314" s="5"/>
      <c r="G7314" s="5"/>
      <c r="H7314" s="5"/>
      <c r="I7314" s="5"/>
      <c r="J7314" s="5"/>
      <c r="K7314" s="5"/>
      <c r="L7314" s="5"/>
      <c r="M7314" s="5"/>
      <c r="N7314" s="5"/>
      <c r="O7314" s="5"/>
      <c r="P7314" s="5"/>
      <c r="Q7314" s="5"/>
      <c r="R7314" s="5"/>
      <c r="S7314" s="5"/>
      <c r="T7314" s="5"/>
      <c r="U7314" s="5"/>
      <c r="V7314" s="5"/>
      <c r="W7314" s="5"/>
      <c r="X7314" s="5"/>
      <c r="Y7314" s="5"/>
      <c r="Z7314" s="5"/>
    </row>
    <row r="7315" spans="1:26" ht="15" x14ac:dyDescent="0.25">
      <c r="A7315" s="4" t="s">
        <v>7313</v>
      </c>
      <c r="B7315" s="4" t="s">
        <v>4550</v>
      </c>
      <c r="C7315" s="2" t="str">
        <f ca="1">IFERROR(__xludf.DUMMYFUNCTION("GOOGLETRANSLATE(A7315,""bn"",""en"")"),"There was an ancient court")</f>
        <v>There was an ancient court</v>
      </c>
      <c r="D7315" s="5"/>
      <c r="E7315" s="5"/>
      <c r="F7315" s="5"/>
      <c r="G7315" s="5"/>
      <c r="H7315" s="5"/>
      <c r="I7315" s="5"/>
      <c r="J7315" s="5"/>
      <c r="K7315" s="5"/>
      <c r="L7315" s="5"/>
      <c r="M7315" s="5"/>
      <c r="N7315" s="5"/>
      <c r="O7315" s="5"/>
      <c r="P7315" s="5"/>
      <c r="Q7315" s="5"/>
      <c r="R7315" s="5"/>
      <c r="S7315" s="5"/>
      <c r="T7315" s="5"/>
      <c r="U7315" s="5"/>
      <c r="V7315" s="5"/>
      <c r="W7315" s="5"/>
      <c r="X7315" s="5"/>
      <c r="Y7315" s="5"/>
      <c r="Z7315" s="5"/>
    </row>
    <row r="7316" spans="1:26" ht="15" x14ac:dyDescent="0.25">
      <c r="A7316" s="4" t="s">
        <v>7314</v>
      </c>
      <c r="B7316" s="4" t="s">
        <v>4550</v>
      </c>
      <c r="C7316" s="2" t="str">
        <f ca="1">IFERROR(__xludf.DUMMYFUNCTION("GOOGLETRANSLATE(A7316,""bn"",""en"")"),"Crop care was needed")</f>
        <v>Crop care was needed</v>
      </c>
      <c r="D7316" s="5"/>
      <c r="E7316" s="5"/>
      <c r="F7316" s="5"/>
      <c r="G7316" s="5"/>
      <c r="H7316" s="5"/>
      <c r="I7316" s="5"/>
      <c r="J7316" s="5"/>
      <c r="K7316" s="5"/>
      <c r="L7316" s="5"/>
      <c r="M7316" s="5"/>
      <c r="N7316" s="5"/>
      <c r="O7316" s="5"/>
      <c r="P7316" s="5"/>
      <c r="Q7316" s="5"/>
      <c r="R7316" s="5"/>
      <c r="S7316" s="5"/>
      <c r="T7316" s="5"/>
      <c r="U7316" s="5"/>
      <c r="V7316" s="5"/>
      <c r="W7316" s="5"/>
      <c r="X7316" s="5"/>
      <c r="Y7316" s="5"/>
      <c r="Z7316" s="5"/>
    </row>
    <row r="7317" spans="1:26" ht="15" x14ac:dyDescent="0.25">
      <c r="A7317" s="4" t="s">
        <v>7315</v>
      </c>
      <c r="B7317" s="4" t="s">
        <v>4550</v>
      </c>
      <c r="C7317" s="2" t="str">
        <f ca="1">IFERROR(__xludf.DUMMYFUNCTION("GOOGLETRANSLATE(A7317,""bn"",""en"")"),"I was reading Quran for a month")</f>
        <v>I was reading Quran for a month</v>
      </c>
      <c r="D7317" s="5"/>
      <c r="E7317" s="5"/>
      <c r="F7317" s="5"/>
      <c r="G7317" s="5"/>
      <c r="H7317" s="5"/>
      <c r="I7317" s="5"/>
      <c r="J7317" s="5"/>
      <c r="K7317" s="5"/>
      <c r="L7317" s="5"/>
      <c r="M7317" s="5"/>
      <c r="N7317" s="5"/>
      <c r="O7317" s="5"/>
      <c r="P7317" s="5"/>
      <c r="Q7317" s="5"/>
      <c r="R7317" s="5"/>
      <c r="S7317" s="5"/>
      <c r="T7317" s="5"/>
      <c r="U7317" s="5"/>
      <c r="V7317" s="5"/>
      <c r="W7317" s="5"/>
      <c r="X7317" s="5"/>
      <c r="Y7317" s="5"/>
      <c r="Z7317" s="5"/>
    </row>
    <row r="7318" spans="1:26" ht="15" x14ac:dyDescent="0.25">
      <c r="A7318" s="4" t="s">
        <v>7316</v>
      </c>
      <c r="B7318" s="4" t="s">
        <v>4550</v>
      </c>
      <c r="C7318" s="2" t="str">
        <f ca="1">IFERROR(__xludf.DUMMYFUNCTION("GOOGLETRANSLATE(A7318,""bn"",""en"")"),"You were frying potatoes")</f>
        <v>You were frying potatoes</v>
      </c>
      <c r="D7318" s="5"/>
      <c r="E7318" s="5"/>
      <c r="F7318" s="5"/>
      <c r="G7318" s="5"/>
      <c r="H7318" s="5"/>
      <c r="I7318" s="5"/>
      <c r="J7318" s="5"/>
      <c r="K7318" s="5"/>
      <c r="L7318" s="5"/>
      <c r="M7318" s="5"/>
      <c r="N7318" s="5"/>
      <c r="O7318" s="5"/>
      <c r="P7318" s="5"/>
      <c r="Q7318" s="5"/>
      <c r="R7318" s="5"/>
      <c r="S7318" s="5"/>
      <c r="T7318" s="5"/>
      <c r="U7318" s="5"/>
      <c r="V7318" s="5"/>
      <c r="W7318" s="5"/>
      <c r="X7318" s="5"/>
      <c r="Y7318" s="5"/>
      <c r="Z7318" s="5"/>
    </row>
    <row r="7319" spans="1:26" ht="15" x14ac:dyDescent="0.25">
      <c r="A7319" s="4" t="s">
        <v>7317</v>
      </c>
      <c r="B7319" s="4" t="s">
        <v>4550</v>
      </c>
      <c r="C7319" s="2" t="str">
        <f ca="1">IFERROR(__xludf.DUMMYFUNCTION("GOOGLETRANSLATE(A7319,""bn"",""en"")"),"Tea had to be prepared")</f>
        <v>Tea had to be prepared</v>
      </c>
      <c r="D7319" s="5"/>
      <c r="E7319" s="5"/>
      <c r="F7319" s="5"/>
      <c r="G7319" s="5"/>
      <c r="H7319" s="5"/>
      <c r="I7319" s="5"/>
      <c r="J7319" s="5"/>
      <c r="K7319" s="5"/>
      <c r="L7319" s="5"/>
      <c r="M7319" s="5"/>
      <c r="N7319" s="5"/>
      <c r="O7319" s="5"/>
      <c r="P7319" s="5"/>
      <c r="Q7319" s="5"/>
      <c r="R7319" s="5"/>
      <c r="S7319" s="5"/>
      <c r="T7319" s="5"/>
      <c r="U7319" s="5"/>
      <c r="V7319" s="5"/>
      <c r="W7319" s="5"/>
      <c r="X7319" s="5"/>
      <c r="Y7319" s="5"/>
      <c r="Z7319" s="5"/>
    </row>
    <row r="7320" spans="1:26" ht="15" x14ac:dyDescent="0.25">
      <c r="A7320" s="4" t="s">
        <v>7318</v>
      </c>
      <c r="B7320" s="4" t="s">
        <v>4550</v>
      </c>
      <c r="C7320" s="2" t="str">
        <f ca="1">IFERROR(__xludf.DUMMYFUNCTION("GOOGLETRANSLATE(A7320,""bn"",""en"")"),"You bowled spaghetti")</f>
        <v>You bowled spaghetti</v>
      </c>
      <c r="D7320" s="5"/>
      <c r="E7320" s="5"/>
      <c r="F7320" s="5"/>
      <c r="G7320" s="5"/>
      <c r="H7320" s="5"/>
      <c r="I7320" s="5"/>
      <c r="J7320" s="5"/>
      <c r="K7320" s="5"/>
      <c r="L7320" s="5"/>
      <c r="M7320" s="5"/>
      <c r="N7320" s="5"/>
      <c r="O7320" s="5"/>
      <c r="P7320" s="5"/>
      <c r="Q7320" s="5"/>
      <c r="R7320" s="5"/>
      <c r="S7320" s="5"/>
      <c r="T7320" s="5"/>
      <c r="U7320" s="5"/>
      <c r="V7320" s="5"/>
      <c r="W7320" s="5"/>
      <c r="X7320" s="5"/>
      <c r="Y7320" s="5"/>
      <c r="Z7320" s="5"/>
    </row>
    <row r="7321" spans="1:26" ht="15" x14ac:dyDescent="0.25">
      <c r="A7321" s="4" t="s">
        <v>7319</v>
      </c>
      <c r="B7321" s="4" t="s">
        <v>4550</v>
      </c>
      <c r="C7321" s="2" t="str">
        <f ca="1">IFERROR(__xludf.DUMMYFUNCTION("GOOGLETRANSLATE(A7321,""bn"",""en"")"),"I was studying drama then")</f>
        <v>I was studying drama then</v>
      </c>
      <c r="D7321" s="5"/>
      <c r="E7321" s="5"/>
      <c r="F7321" s="5"/>
      <c r="G7321" s="5"/>
      <c r="H7321" s="5"/>
      <c r="I7321" s="5"/>
      <c r="J7321" s="5"/>
      <c r="K7321" s="5"/>
      <c r="L7321" s="5"/>
      <c r="M7321" s="5"/>
      <c r="N7321" s="5"/>
      <c r="O7321" s="5"/>
      <c r="P7321" s="5"/>
      <c r="Q7321" s="5"/>
      <c r="R7321" s="5"/>
      <c r="S7321" s="5"/>
      <c r="T7321" s="5"/>
      <c r="U7321" s="5"/>
      <c r="V7321" s="5"/>
      <c r="W7321" s="5"/>
      <c r="X7321" s="5"/>
      <c r="Y7321" s="5"/>
      <c r="Z7321" s="5"/>
    </row>
    <row r="7322" spans="1:26" ht="15" x14ac:dyDescent="0.25">
      <c r="A7322" s="4" t="s">
        <v>7320</v>
      </c>
      <c r="B7322" s="4" t="s">
        <v>4550</v>
      </c>
      <c r="C7322" s="2" t="str">
        <f ca="1">IFERROR(__xludf.DUMMYFUNCTION("GOOGLETRANSLATE(A7322,""bn"",""en"")"),"You were swimming in the pool")</f>
        <v>You were swimming in the pool</v>
      </c>
      <c r="D7322" s="5"/>
      <c r="E7322" s="5"/>
      <c r="F7322" s="5"/>
      <c r="G7322" s="5"/>
      <c r="H7322" s="5"/>
      <c r="I7322" s="5"/>
      <c r="J7322" s="5"/>
      <c r="K7322" s="5"/>
      <c r="L7322" s="5"/>
      <c r="M7322" s="5"/>
      <c r="N7322" s="5"/>
      <c r="O7322" s="5"/>
      <c r="P7322" s="5"/>
      <c r="Q7322" s="5"/>
      <c r="R7322" s="5"/>
      <c r="S7322" s="5"/>
      <c r="T7322" s="5"/>
      <c r="U7322" s="5"/>
      <c r="V7322" s="5"/>
      <c r="W7322" s="5"/>
      <c r="X7322" s="5"/>
      <c r="Y7322" s="5"/>
      <c r="Z7322" s="5"/>
    </row>
    <row r="7323" spans="1:26" ht="15" x14ac:dyDescent="0.25">
      <c r="A7323" s="4" t="s">
        <v>7321</v>
      </c>
      <c r="B7323" s="4" t="s">
        <v>4550</v>
      </c>
      <c r="C7323" s="2" t="str">
        <f ca="1">IFERROR(__xludf.DUMMYFUNCTION("GOOGLETRANSLATE(A7323,""bn"",""en"")"),"They were cooking dinner at home")</f>
        <v>They were cooking dinner at home</v>
      </c>
      <c r="D7323" s="5"/>
      <c r="E7323" s="5"/>
      <c r="F7323" s="5"/>
      <c r="G7323" s="5"/>
      <c r="H7323" s="5"/>
      <c r="I7323" s="5"/>
      <c r="J7323" s="5"/>
      <c r="K7323" s="5"/>
      <c r="L7323" s="5"/>
      <c r="M7323" s="5"/>
      <c r="N7323" s="5"/>
      <c r="O7323" s="5"/>
      <c r="P7323" s="5"/>
      <c r="Q7323" s="5"/>
      <c r="R7323" s="5"/>
      <c r="S7323" s="5"/>
      <c r="T7323" s="5"/>
      <c r="U7323" s="5"/>
      <c r="V7323" s="5"/>
      <c r="W7323" s="5"/>
      <c r="X7323" s="5"/>
      <c r="Y7323" s="5"/>
      <c r="Z7323" s="5"/>
    </row>
    <row r="7324" spans="1:26" ht="15" x14ac:dyDescent="0.25">
      <c r="A7324" s="4" t="s">
        <v>7322</v>
      </c>
      <c r="B7324" s="4" t="s">
        <v>4550</v>
      </c>
      <c r="C7324" s="2" t="str">
        <f ca="1">IFERROR(__xludf.DUMMYFUNCTION("GOOGLETRANSLATE(A7324,""bn"",""en"")"),"He watched the drama in the morning")</f>
        <v>He watched the drama in the morning</v>
      </c>
      <c r="D7324" s="5"/>
      <c r="E7324" s="5"/>
      <c r="F7324" s="5"/>
      <c r="G7324" s="5"/>
      <c r="H7324" s="5"/>
      <c r="I7324" s="5"/>
      <c r="J7324" s="5"/>
      <c r="K7324" s="5"/>
      <c r="L7324" s="5"/>
      <c r="M7324" s="5"/>
      <c r="N7324" s="5"/>
      <c r="O7324" s="5"/>
      <c r="P7324" s="5"/>
      <c r="Q7324" s="5"/>
      <c r="R7324" s="5"/>
      <c r="S7324" s="5"/>
      <c r="T7324" s="5"/>
      <c r="U7324" s="5"/>
      <c r="V7324" s="5"/>
      <c r="W7324" s="5"/>
      <c r="X7324" s="5"/>
      <c r="Y7324" s="5"/>
      <c r="Z7324" s="5"/>
    </row>
    <row r="7325" spans="1:26" ht="15" x14ac:dyDescent="0.25">
      <c r="A7325" s="4" t="s">
        <v>7323</v>
      </c>
      <c r="B7325" s="4" t="s">
        <v>4550</v>
      </c>
      <c r="C7325" s="2" t="str">
        <f ca="1">IFERROR(__xludf.DUMMYFUNCTION("GOOGLETRANSLATE(A7325,""bn"",""en"")"),"Special cooking was done")</f>
        <v>Special cooking was done</v>
      </c>
      <c r="D7325" s="5"/>
      <c r="E7325" s="5"/>
      <c r="F7325" s="5"/>
      <c r="G7325" s="5"/>
      <c r="H7325" s="5"/>
      <c r="I7325" s="5"/>
      <c r="J7325" s="5"/>
      <c r="K7325" s="5"/>
      <c r="L7325" s="5"/>
      <c r="M7325" s="5"/>
      <c r="N7325" s="5"/>
      <c r="O7325" s="5"/>
      <c r="P7325" s="5"/>
      <c r="Q7325" s="5"/>
      <c r="R7325" s="5"/>
      <c r="S7325" s="5"/>
      <c r="T7325" s="5"/>
      <c r="U7325" s="5"/>
      <c r="V7325" s="5"/>
      <c r="W7325" s="5"/>
      <c r="X7325" s="5"/>
      <c r="Y7325" s="5"/>
      <c r="Z7325" s="5"/>
    </row>
    <row r="7326" spans="1:26" ht="15" x14ac:dyDescent="0.25">
      <c r="A7326" s="4" t="s">
        <v>7324</v>
      </c>
      <c r="B7326" s="4" t="s">
        <v>4550</v>
      </c>
      <c r="C7326" s="2" t="str">
        <f ca="1">IFERROR(__xludf.DUMMYFUNCTION("GOOGLETRANSLATE(A7326,""bn"",""en"")"),"Television broadcast was being watched")</f>
        <v>Television broadcast was being watched</v>
      </c>
      <c r="D7326" s="5"/>
      <c r="E7326" s="5"/>
      <c r="F7326" s="5"/>
      <c r="G7326" s="5"/>
      <c r="H7326" s="5"/>
      <c r="I7326" s="5"/>
      <c r="J7326" s="5"/>
      <c r="K7326" s="5"/>
      <c r="L7326" s="5"/>
      <c r="M7326" s="5"/>
      <c r="N7326" s="5"/>
      <c r="O7326" s="5"/>
      <c r="P7326" s="5"/>
      <c r="Q7326" s="5"/>
      <c r="R7326" s="5"/>
      <c r="S7326" s="5"/>
      <c r="T7326" s="5"/>
      <c r="U7326" s="5"/>
      <c r="V7326" s="5"/>
      <c r="W7326" s="5"/>
      <c r="X7326" s="5"/>
      <c r="Y7326" s="5"/>
      <c r="Z7326" s="5"/>
    </row>
    <row r="7327" spans="1:26" ht="15" x14ac:dyDescent="0.25">
      <c r="A7327" s="4" t="s">
        <v>7325</v>
      </c>
      <c r="B7327" s="4" t="s">
        <v>4550</v>
      </c>
      <c r="C7327" s="2" t="str">
        <f ca="1">IFERROR(__xludf.DUMMYFUNCTION("GOOGLETRANSLATE(A7327,""bn"",""en"")"),"Production increased this month")</f>
        <v>Production increased this month</v>
      </c>
      <c r="D7327" s="5"/>
      <c r="E7327" s="5"/>
      <c r="F7327" s="5"/>
      <c r="G7327" s="5"/>
      <c r="H7327" s="5"/>
      <c r="I7327" s="5"/>
      <c r="J7327" s="5"/>
      <c r="K7327" s="5"/>
      <c r="L7327" s="5"/>
      <c r="M7327" s="5"/>
      <c r="N7327" s="5"/>
      <c r="O7327" s="5"/>
      <c r="P7327" s="5"/>
      <c r="Q7327" s="5"/>
      <c r="R7327" s="5"/>
      <c r="S7327" s="5"/>
      <c r="T7327" s="5"/>
      <c r="U7327" s="5"/>
      <c r="V7327" s="5"/>
      <c r="W7327" s="5"/>
      <c r="X7327" s="5"/>
      <c r="Y7327" s="5"/>
      <c r="Z7327" s="5"/>
    </row>
    <row r="7328" spans="1:26" ht="15" x14ac:dyDescent="0.25">
      <c r="A7328" s="4" t="s">
        <v>7326</v>
      </c>
      <c r="B7328" s="4" t="s">
        <v>4550</v>
      </c>
      <c r="C7328" s="2" t="str">
        <f ca="1">IFERROR(__xludf.DUMMYFUNCTION("GOOGLETRANSLATE(A7328,""bn"",""en"")"),"Stir-fried mixed vegetables for breakfast")</f>
        <v>Stir-fried mixed vegetables for breakfast</v>
      </c>
      <c r="D7328" s="5"/>
      <c r="E7328" s="5"/>
      <c r="F7328" s="5"/>
      <c r="G7328" s="5"/>
      <c r="H7328" s="5"/>
      <c r="I7328" s="5"/>
      <c r="J7328" s="5"/>
      <c r="K7328" s="5"/>
      <c r="L7328" s="5"/>
      <c r="M7328" s="5"/>
      <c r="N7328" s="5"/>
      <c r="O7328" s="5"/>
      <c r="P7328" s="5"/>
      <c r="Q7328" s="5"/>
      <c r="R7328" s="5"/>
      <c r="S7328" s="5"/>
      <c r="T7328" s="5"/>
      <c r="U7328" s="5"/>
      <c r="V7328" s="5"/>
      <c r="W7328" s="5"/>
      <c r="X7328" s="5"/>
      <c r="Y7328" s="5"/>
      <c r="Z7328" s="5"/>
    </row>
    <row r="7329" spans="1:26" ht="15" x14ac:dyDescent="0.25">
      <c r="A7329" s="4" t="s">
        <v>7327</v>
      </c>
      <c r="B7329" s="4" t="s">
        <v>4550</v>
      </c>
      <c r="C7329" s="2" t="str">
        <f ca="1">IFERROR(__xludf.DUMMYFUNCTION("GOOGLETRANSLATE(A7329,""bn"",""en"")"),"The news of the organization was being circulated")</f>
        <v>The news of the organization was being circulated</v>
      </c>
      <c r="D7329" s="5"/>
      <c r="E7329" s="5"/>
      <c r="F7329" s="5"/>
      <c r="G7329" s="5"/>
      <c r="H7329" s="5"/>
      <c r="I7329" s="5"/>
      <c r="J7329" s="5"/>
      <c r="K7329" s="5"/>
      <c r="L7329" s="5"/>
      <c r="M7329" s="5"/>
      <c r="N7329" s="5"/>
      <c r="O7329" s="5"/>
      <c r="P7329" s="5"/>
      <c r="Q7329" s="5"/>
      <c r="R7329" s="5"/>
      <c r="S7329" s="5"/>
      <c r="T7329" s="5"/>
      <c r="U7329" s="5"/>
      <c r="V7329" s="5"/>
      <c r="W7329" s="5"/>
      <c r="X7329" s="5"/>
      <c r="Y7329" s="5"/>
      <c r="Z7329" s="5"/>
    </row>
    <row r="7330" spans="1:26" ht="15" x14ac:dyDescent="0.25">
      <c r="A7330" s="4" t="s">
        <v>7328</v>
      </c>
      <c r="B7330" s="4" t="s">
        <v>4550</v>
      </c>
      <c r="C7330" s="2" t="str">
        <f ca="1">IFERROR(__xludf.DUMMYFUNCTION("GOOGLETRANSLATE(A7330,""bn"",""en"")"),"We all spread the news of the organization")</f>
        <v>We all spread the news of the organization</v>
      </c>
      <c r="D7330" s="5"/>
      <c r="E7330" s="5"/>
      <c r="F7330" s="5"/>
      <c r="G7330" s="5"/>
      <c r="H7330" s="5"/>
      <c r="I7330" s="5"/>
      <c r="J7330" s="5"/>
      <c r="K7330" s="5"/>
      <c r="L7330" s="5"/>
      <c r="M7330" s="5"/>
      <c r="N7330" s="5"/>
      <c r="O7330" s="5"/>
      <c r="P7330" s="5"/>
      <c r="Q7330" s="5"/>
      <c r="R7330" s="5"/>
      <c r="S7330" s="5"/>
      <c r="T7330" s="5"/>
      <c r="U7330" s="5"/>
      <c r="V7330" s="5"/>
      <c r="W7330" s="5"/>
      <c r="X7330" s="5"/>
      <c r="Y7330" s="5"/>
      <c r="Z7330" s="5"/>
    </row>
    <row r="7331" spans="1:26" ht="15" x14ac:dyDescent="0.25">
      <c r="A7331" s="4" t="s">
        <v>7329</v>
      </c>
      <c r="B7331" s="4" t="s">
        <v>4550</v>
      </c>
      <c r="C7331" s="2" t="str">
        <f ca="1">IFERROR(__xludf.DUMMYFUNCTION("GOOGLETRANSLATE(A7331,""bn"",""en"")"),"Errors were corrected in the program")</f>
        <v>Errors were corrected in the program</v>
      </c>
      <c r="D7331" s="5"/>
      <c r="E7331" s="5"/>
      <c r="F7331" s="5"/>
      <c r="G7331" s="5"/>
      <c r="H7331" s="5"/>
      <c r="I7331" s="5"/>
      <c r="J7331" s="5"/>
      <c r="K7331" s="5"/>
      <c r="L7331" s="5"/>
      <c r="M7331" s="5"/>
      <c r="N7331" s="5"/>
      <c r="O7331" s="5"/>
      <c r="P7331" s="5"/>
      <c r="Q7331" s="5"/>
      <c r="R7331" s="5"/>
      <c r="S7331" s="5"/>
      <c r="T7331" s="5"/>
      <c r="U7331" s="5"/>
      <c r="V7331" s="5"/>
      <c r="W7331" s="5"/>
      <c r="X7331" s="5"/>
      <c r="Y7331" s="5"/>
      <c r="Z7331" s="5"/>
    </row>
    <row r="7332" spans="1:26" ht="15" x14ac:dyDescent="0.25">
      <c r="A7332" s="4" t="s">
        <v>7330</v>
      </c>
      <c r="B7332" s="4" t="s">
        <v>4550</v>
      </c>
      <c r="C7332" s="2" t="str">
        <f ca="1">IFERROR(__xludf.DUMMYFUNCTION("GOOGLETRANSLATE(A7332,""bn"",""en"")"),"I ate pasta at the wedding")</f>
        <v>I ate pasta at the wedding</v>
      </c>
      <c r="D7332" s="5"/>
      <c r="E7332" s="5"/>
      <c r="F7332" s="5"/>
      <c r="G7332" s="5"/>
      <c r="H7332" s="5"/>
      <c r="I7332" s="5"/>
      <c r="J7332" s="5"/>
      <c r="K7332" s="5"/>
      <c r="L7332" s="5"/>
      <c r="M7332" s="5"/>
      <c r="N7332" s="5"/>
      <c r="O7332" s="5"/>
      <c r="P7332" s="5"/>
      <c r="Q7332" s="5"/>
      <c r="R7332" s="5"/>
      <c r="S7332" s="5"/>
      <c r="T7332" s="5"/>
      <c r="U7332" s="5"/>
      <c r="V7332" s="5"/>
      <c r="W7332" s="5"/>
      <c r="X7332" s="5"/>
      <c r="Y7332" s="5"/>
      <c r="Z7332" s="5"/>
    </row>
    <row r="7333" spans="1:26" ht="15" x14ac:dyDescent="0.25">
      <c r="A7333" s="4" t="s">
        <v>7331</v>
      </c>
      <c r="B7333" s="4" t="s">
        <v>4550</v>
      </c>
      <c r="C7333" s="2" t="str">
        <f ca="1">IFERROR(__xludf.DUMMYFUNCTION("GOOGLETRANSLATE(A7333,""bn"",""en"")"),"The election was held this month")</f>
        <v>The election was held this month</v>
      </c>
      <c r="D7333" s="5"/>
      <c r="E7333" s="5"/>
      <c r="F7333" s="5"/>
      <c r="G7333" s="5"/>
      <c r="H7333" s="5"/>
      <c r="I7333" s="5"/>
      <c r="J7333" s="5"/>
      <c r="K7333" s="5"/>
      <c r="L7333" s="5"/>
      <c r="M7333" s="5"/>
      <c r="N7333" s="5"/>
      <c r="O7333" s="5"/>
      <c r="P7333" s="5"/>
      <c r="Q7333" s="5"/>
      <c r="R7333" s="5"/>
      <c r="S7333" s="5"/>
      <c r="T7333" s="5"/>
      <c r="U7333" s="5"/>
      <c r="V7333" s="5"/>
      <c r="W7333" s="5"/>
      <c r="X7333" s="5"/>
      <c r="Y7333" s="5"/>
      <c r="Z7333" s="5"/>
    </row>
    <row r="7334" spans="1:26" ht="15" x14ac:dyDescent="0.25">
      <c r="A7334" s="4" t="s">
        <v>7332</v>
      </c>
      <c r="B7334" s="4" t="s">
        <v>4550</v>
      </c>
      <c r="C7334" s="2" t="str">
        <f ca="1">IFERROR(__xludf.DUMMYFUNCTION("GOOGLETRANSLATE(A7334,""bn"",""en"")"),"The players trained in September")</f>
        <v>The players trained in September</v>
      </c>
      <c r="D7334" s="5"/>
      <c r="E7334" s="5"/>
      <c r="F7334" s="5"/>
      <c r="G7334" s="5"/>
      <c r="H7334" s="5"/>
      <c r="I7334" s="5"/>
      <c r="J7334" s="5"/>
      <c r="K7334" s="5"/>
      <c r="L7334" s="5"/>
      <c r="M7334" s="5"/>
      <c r="N7334" s="5"/>
      <c r="O7334" s="5"/>
      <c r="P7334" s="5"/>
      <c r="Q7334" s="5"/>
      <c r="R7334" s="5"/>
      <c r="S7334" s="5"/>
      <c r="T7334" s="5"/>
      <c r="U7334" s="5"/>
      <c r="V7334" s="5"/>
      <c r="W7334" s="5"/>
      <c r="X7334" s="5"/>
      <c r="Y7334" s="5"/>
      <c r="Z7334" s="5"/>
    </row>
    <row r="7335" spans="1:26" ht="15" x14ac:dyDescent="0.25">
      <c r="A7335" s="4" t="s">
        <v>7333</v>
      </c>
      <c r="B7335" s="4" t="s">
        <v>4550</v>
      </c>
      <c r="C7335" s="2" t="str">
        <f ca="1">IFERROR(__xludf.DUMMYFUNCTION("GOOGLETRANSLATE(A7335,""bn"",""en"")"),"The players won")</f>
        <v>The players won</v>
      </c>
      <c r="D7335" s="5"/>
      <c r="E7335" s="5"/>
      <c r="F7335" s="5"/>
      <c r="G7335" s="5"/>
      <c r="H7335" s="5"/>
      <c r="I7335" s="5"/>
      <c r="J7335" s="5"/>
      <c r="K7335" s="5"/>
      <c r="L7335" s="5"/>
      <c r="M7335" s="5"/>
      <c r="N7335" s="5"/>
      <c r="O7335" s="5"/>
      <c r="P7335" s="5"/>
      <c r="Q7335" s="5"/>
      <c r="R7335" s="5"/>
      <c r="S7335" s="5"/>
      <c r="T7335" s="5"/>
      <c r="U7335" s="5"/>
      <c r="V7335" s="5"/>
      <c r="W7335" s="5"/>
      <c r="X7335" s="5"/>
      <c r="Y7335" s="5"/>
      <c r="Z7335" s="5"/>
    </row>
    <row r="7336" spans="1:26" ht="15" x14ac:dyDescent="0.25">
      <c r="A7336" s="4" t="s">
        <v>7334</v>
      </c>
      <c r="B7336" s="4" t="s">
        <v>4550</v>
      </c>
      <c r="C7336" s="2" t="str">
        <f ca="1">IFERROR(__xludf.DUMMYFUNCTION("GOOGLETRANSLATE(A7336,""bn"",""en"")"),"New curriculum was introduced")</f>
        <v>New curriculum was introduced</v>
      </c>
      <c r="D7336" s="5"/>
      <c r="E7336" s="5"/>
      <c r="F7336" s="5"/>
      <c r="G7336" s="5"/>
      <c r="H7336" s="5"/>
      <c r="I7336" s="5"/>
      <c r="J7336" s="5"/>
      <c r="K7336" s="5"/>
      <c r="L7336" s="5"/>
      <c r="M7336" s="5"/>
      <c r="N7336" s="5"/>
      <c r="O7336" s="5"/>
      <c r="P7336" s="5"/>
      <c r="Q7336" s="5"/>
      <c r="R7336" s="5"/>
      <c r="S7336" s="5"/>
      <c r="T7336" s="5"/>
      <c r="U7336" s="5"/>
      <c r="V7336" s="5"/>
      <c r="W7336" s="5"/>
      <c r="X7336" s="5"/>
      <c r="Y7336" s="5"/>
      <c r="Z7336" s="5"/>
    </row>
    <row r="7337" spans="1:26" ht="15" x14ac:dyDescent="0.25">
      <c r="A7337" s="4" t="s">
        <v>7335</v>
      </c>
      <c r="B7337" s="4" t="s">
        <v>4550</v>
      </c>
      <c r="C7337" s="2" t="str">
        <f ca="1">IFERROR(__xludf.DUMMYFUNCTION("GOOGLETRANSLATE(A7337,""bn"",""en"")"),"I was on safari in the jungle")</f>
        <v>I was on safari in the jungle</v>
      </c>
      <c r="D7337" s="5"/>
      <c r="E7337" s="5"/>
      <c r="F7337" s="5"/>
      <c r="G7337" s="5"/>
      <c r="H7337" s="5"/>
      <c r="I7337" s="5"/>
      <c r="J7337" s="5"/>
      <c r="K7337" s="5"/>
      <c r="L7337" s="5"/>
      <c r="M7337" s="5"/>
      <c r="N7337" s="5"/>
      <c r="O7337" s="5"/>
      <c r="P7337" s="5"/>
      <c r="Q7337" s="5"/>
      <c r="R7337" s="5"/>
      <c r="S7337" s="5"/>
      <c r="T7337" s="5"/>
      <c r="U7337" s="5"/>
      <c r="V7337" s="5"/>
      <c r="W7337" s="5"/>
      <c r="X7337" s="5"/>
      <c r="Y7337" s="5"/>
      <c r="Z7337" s="5"/>
    </row>
    <row r="7338" spans="1:26" ht="15" x14ac:dyDescent="0.25">
      <c r="A7338" s="4" t="s">
        <v>7336</v>
      </c>
      <c r="B7338" s="4" t="s">
        <v>4550</v>
      </c>
      <c r="C7338" s="2" t="str">
        <f ca="1">IFERROR(__xludf.DUMMYFUNCTION("GOOGLETRANSLATE(A7338,""bn"",""en"")"),"Crops were harvested last month")</f>
        <v>Crops were harvested last month</v>
      </c>
      <c r="D7338" s="5"/>
      <c r="E7338" s="5"/>
      <c r="F7338" s="5"/>
      <c r="G7338" s="5"/>
      <c r="H7338" s="5"/>
      <c r="I7338" s="5"/>
      <c r="J7338" s="5"/>
      <c r="K7338" s="5"/>
      <c r="L7338" s="5"/>
      <c r="M7338" s="5"/>
      <c r="N7338" s="5"/>
      <c r="O7338" s="5"/>
      <c r="P7338" s="5"/>
      <c r="Q7338" s="5"/>
      <c r="R7338" s="5"/>
      <c r="S7338" s="5"/>
      <c r="T7338" s="5"/>
      <c r="U7338" s="5"/>
      <c r="V7338" s="5"/>
      <c r="W7338" s="5"/>
      <c r="X7338" s="5"/>
      <c r="Y7338" s="5"/>
      <c r="Z7338" s="5"/>
    </row>
    <row r="7339" spans="1:26" ht="15" x14ac:dyDescent="0.25">
      <c r="A7339" s="4" t="s">
        <v>7337</v>
      </c>
      <c r="B7339" s="4" t="s">
        <v>4550</v>
      </c>
      <c r="C7339" s="2" t="str">
        <f ca="1">IFERROR(__xludf.DUMMYFUNCTION("GOOGLETRANSLATE(A7339,""bn"",""en"")"),"The cost of transportation increased")</f>
        <v>The cost of transportation increased</v>
      </c>
      <c r="D7339" s="5"/>
      <c r="E7339" s="5"/>
      <c r="F7339" s="5"/>
      <c r="G7339" s="5"/>
      <c r="H7339" s="5"/>
      <c r="I7339" s="5"/>
      <c r="J7339" s="5"/>
      <c r="K7339" s="5"/>
      <c r="L7339" s="5"/>
      <c r="M7339" s="5"/>
      <c r="N7339" s="5"/>
      <c r="O7339" s="5"/>
      <c r="P7339" s="5"/>
      <c r="Q7339" s="5"/>
      <c r="R7339" s="5"/>
      <c r="S7339" s="5"/>
      <c r="T7339" s="5"/>
      <c r="U7339" s="5"/>
      <c r="V7339" s="5"/>
      <c r="W7339" s="5"/>
      <c r="X7339" s="5"/>
      <c r="Y7339" s="5"/>
      <c r="Z7339" s="5"/>
    </row>
    <row r="7340" spans="1:26" ht="15" x14ac:dyDescent="0.25">
      <c r="A7340" s="4" t="s">
        <v>7338</v>
      </c>
      <c r="B7340" s="4" t="s">
        <v>4550</v>
      </c>
      <c r="C7340" s="2" t="str">
        <f ca="1">IFERROR(__xludf.DUMMYFUNCTION("GOOGLETRANSLATE(A7340,""bn"",""en"")"),"Enthusiasm was playing properly in the competition")</f>
        <v>Enthusiasm was playing properly in the competition</v>
      </c>
      <c r="D7340" s="5"/>
      <c r="E7340" s="5"/>
      <c r="F7340" s="5"/>
      <c r="G7340" s="5"/>
      <c r="H7340" s="5"/>
      <c r="I7340" s="5"/>
      <c r="J7340" s="5"/>
      <c r="K7340" s="5"/>
      <c r="L7340" s="5"/>
      <c r="M7340" s="5"/>
      <c r="N7340" s="5"/>
      <c r="O7340" s="5"/>
      <c r="P7340" s="5"/>
      <c r="Q7340" s="5"/>
      <c r="R7340" s="5"/>
      <c r="S7340" s="5"/>
      <c r="T7340" s="5"/>
      <c r="U7340" s="5"/>
      <c r="V7340" s="5"/>
      <c r="W7340" s="5"/>
      <c r="X7340" s="5"/>
      <c r="Y7340" s="5"/>
      <c r="Z7340" s="5"/>
    </row>
    <row r="7341" spans="1:26" ht="15" x14ac:dyDescent="0.25">
      <c r="A7341" s="4" t="s">
        <v>7339</v>
      </c>
      <c r="B7341" s="4" t="s">
        <v>4550</v>
      </c>
      <c r="C7341" s="2" t="str">
        <f ca="1">IFERROR(__xludf.DUMMYFUNCTION("GOOGLETRANSLATE(A7341,""bn"",""en"")"),"The code base was designed")</f>
        <v>The code base was designed</v>
      </c>
      <c r="D7341" s="5"/>
      <c r="E7341" s="5"/>
      <c r="F7341" s="5"/>
      <c r="G7341" s="5"/>
      <c r="H7341" s="5"/>
      <c r="I7341" s="5"/>
      <c r="J7341" s="5"/>
      <c r="K7341" s="5"/>
      <c r="L7341" s="5"/>
      <c r="M7341" s="5"/>
      <c r="N7341" s="5"/>
      <c r="O7341" s="5"/>
      <c r="P7341" s="5"/>
      <c r="Q7341" s="5"/>
      <c r="R7341" s="5"/>
      <c r="S7341" s="5"/>
      <c r="T7341" s="5"/>
      <c r="U7341" s="5"/>
      <c r="V7341" s="5"/>
      <c r="W7341" s="5"/>
      <c r="X7341" s="5"/>
      <c r="Y7341" s="5"/>
      <c r="Z7341" s="5"/>
    </row>
    <row r="7342" spans="1:26" ht="15" x14ac:dyDescent="0.25">
      <c r="A7342" s="4" t="s">
        <v>7340</v>
      </c>
      <c r="B7342" s="4" t="s">
        <v>4550</v>
      </c>
      <c r="C7342" s="2" t="str">
        <f ca="1">IFERROR(__xludf.DUMMYFUNCTION("GOOGLETRANSLATE(A7342,""bn"",""en"")"),"Rented a mountain bike")</f>
        <v>Rented a mountain bike</v>
      </c>
      <c r="D7342" s="5"/>
      <c r="E7342" s="5"/>
      <c r="F7342" s="5"/>
      <c r="G7342" s="5"/>
      <c r="H7342" s="5"/>
      <c r="I7342" s="5"/>
      <c r="J7342" s="5"/>
      <c r="K7342" s="5"/>
      <c r="L7342" s="5"/>
      <c r="M7342" s="5"/>
      <c r="N7342" s="5"/>
      <c r="O7342" s="5"/>
      <c r="P7342" s="5"/>
      <c r="Q7342" s="5"/>
      <c r="R7342" s="5"/>
      <c r="S7342" s="5"/>
      <c r="T7342" s="5"/>
      <c r="U7342" s="5"/>
      <c r="V7342" s="5"/>
      <c r="W7342" s="5"/>
      <c r="X7342" s="5"/>
      <c r="Y7342" s="5"/>
      <c r="Z7342" s="5"/>
    </row>
    <row r="7343" spans="1:26" ht="15" x14ac:dyDescent="0.25">
      <c r="A7343" s="4" t="s">
        <v>7341</v>
      </c>
      <c r="B7343" s="4" t="s">
        <v>4550</v>
      </c>
      <c r="C7343" s="2" t="str">
        <f ca="1">IFERROR(__xludf.DUMMYFUNCTION("GOOGLETRANSLATE(A7343,""bn"",""en"")"),"The umpire was giving instructions on the field")</f>
        <v>The umpire was giving instructions on the field</v>
      </c>
      <c r="D7343" s="5"/>
      <c r="E7343" s="5"/>
      <c r="F7343" s="5"/>
      <c r="G7343" s="5"/>
      <c r="H7343" s="5"/>
      <c r="I7343" s="5"/>
      <c r="J7343" s="5"/>
      <c r="K7343" s="5"/>
      <c r="L7343" s="5"/>
      <c r="M7343" s="5"/>
      <c r="N7343" s="5"/>
      <c r="O7343" s="5"/>
      <c r="P7343" s="5"/>
      <c r="Q7343" s="5"/>
      <c r="R7343" s="5"/>
      <c r="S7343" s="5"/>
      <c r="T7343" s="5"/>
      <c r="U7343" s="5"/>
      <c r="V7343" s="5"/>
      <c r="W7343" s="5"/>
      <c r="X7343" s="5"/>
      <c r="Y7343" s="5"/>
      <c r="Z7343" s="5"/>
    </row>
    <row r="7344" spans="1:26" ht="15" x14ac:dyDescent="0.25">
      <c r="A7344" s="4" t="s">
        <v>7342</v>
      </c>
      <c r="B7344" s="4" t="s">
        <v>4550</v>
      </c>
      <c r="C7344" s="2" t="str">
        <f ca="1">IFERROR(__xludf.DUMMYFUNCTION("GOOGLETRANSLATE(A7344,""bn"",""en"")"),"The party president was speaking")</f>
        <v>The party president was speaking</v>
      </c>
      <c r="D7344" s="5"/>
      <c r="E7344" s="5"/>
      <c r="F7344" s="5"/>
      <c r="G7344" s="5"/>
      <c r="H7344" s="5"/>
      <c r="I7344" s="5"/>
      <c r="J7344" s="5"/>
      <c r="K7344" s="5"/>
      <c r="L7344" s="5"/>
      <c r="M7344" s="5"/>
      <c r="N7344" s="5"/>
      <c r="O7344" s="5"/>
      <c r="P7344" s="5"/>
      <c r="Q7344" s="5"/>
      <c r="R7344" s="5"/>
      <c r="S7344" s="5"/>
      <c r="T7344" s="5"/>
      <c r="U7344" s="5"/>
      <c r="V7344" s="5"/>
      <c r="W7344" s="5"/>
      <c r="X7344" s="5"/>
      <c r="Y7344" s="5"/>
      <c r="Z7344" s="5"/>
    </row>
    <row r="7345" spans="1:26" ht="15" x14ac:dyDescent="0.25">
      <c r="A7345" s="4" t="s">
        <v>7343</v>
      </c>
      <c r="B7345" s="4" t="s">
        <v>4550</v>
      </c>
      <c r="C7345" s="2" t="str">
        <f ca="1">IFERROR(__xludf.DUMMYFUNCTION("GOOGLETRANSLATE(A7345,""bn"",""en"")"),"The party president was on call to speak")</f>
        <v>The party president was on call to speak</v>
      </c>
      <c r="D7345" s="5"/>
      <c r="E7345" s="5"/>
      <c r="F7345" s="5"/>
      <c r="G7345" s="5"/>
      <c r="H7345" s="5"/>
      <c r="I7345" s="5"/>
      <c r="J7345" s="5"/>
      <c r="K7345" s="5"/>
      <c r="L7345" s="5"/>
      <c r="M7345" s="5"/>
      <c r="N7345" s="5"/>
      <c r="O7345" s="5"/>
      <c r="P7345" s="5"/>
      <c r="Q7345" s="5"/>
      <c r="R7345" s="5"/>
      <c r="S7345" s="5"/>
      <c r="T7345" s="5"/>
      <c r="U7345" s="5"/>
      <c r="V7345" s="5"/>
      <c r="W7345" s="5"/>
      <c r="X7345" s="5"/>
      <c r="Y7345" s="5"/>
      <c r="Z7345" s="5"/>
    </row>
    <row r="7346" spans="1:26" ht="15" x14ac:dyDescent="0.25">
      <c r="A7346" s="4" t="s">
        <v>7344</v>
      </c>
      <c r="B7346" s="4" t="s">
        <v>4550</v>
      </c>
      <c r="C7346" s="2" t="str">
        <f ca="1">IFERROR(__xludf.DUMMYFUNCTION("GOOGLETRANSLATE(A7346,""bn"",""en"")"),"We added new functions")</f>
        <v>We added new functions</v>
      </c>
      <c r="D7346" s="5"/>
      <c r="E7346" s="5"/>
      <c r="F7346" s="5"/>
      <c r="G7346" s="5"/>
      <c r="H7346" s="5"/>
      <c r="I7346" s="5"/>
      <c r="J7346" s="5"/>
      <c r="K7346" s="5"/>
      <c r="L7346" s="5"/>
      <c r="M7346" s="5"/>
      <c r="N7346" s="5"/>
      <c r="O7346" s="5"/>
      <c r="P7346" s="5"/>
      <c r="Q7346" s="5"/>
      <c r="R7346" s="5"/>
      <c r="S7346" s="5"/>
      <c r="T7346" s="5"/>
      <c r="U7346" s="5"/>
      <c r="V7346" s="5"/>
      <c r="W7346" s="5"/>
      <c r="X7346" s="5"/>
      <c r="Y7346" s="5"/>
      <c r="Z7346" s="5"/>
    </row>
    <row r="7347" spans="1:26" ht="15" x14ac:dyDescent="0.25">
      <c r="A7347" s="4" t="s">
        <v>7345</v>
      </c>
      <c r="B7347" s="4" t="s">
        <v>4550</v>
      </c>
      <c r="C7347" s="2" t="str">
        <f ca="1">IFERROR(__xludf.DUMMYFUNCTION("GOOGLETRANSLATE(A7347,""bn"",""en"")"),"He paid off his debt")</f>
        <v>He paid off his debt</v>
      </c>
      <c r="D7347" s="5"/>
      <c r="E7347" s="5"/>
      <c r="F7347" s="5"/>
      <c r="G7347" s="5"/>
      <c r="H7347" s="5"/>
      <c r="I7347" s="5"/>
      <c r="J7347" s="5"/>
      <c r="K7347" s="5"/>
      <c r="L7347" s="5"/>
      <c r="M7347" s="5"/>
      <c r="N7347" s="5"/>
      <c r="O7347" s="5"/>
      <c r="P7347" s="5"/>
      <c r="Q7347" s="5"/>
      <c r="R7347" s="5"/>
      <c r="S7347" s="5"/>
      <c r="T7347" s="5"/>
      <c r="U7347" s="5"/>
      <c r="V7347" s="5"/>
      <c r="W7347" s="5"/>
      <c r="X7347" s="5"/>
      <c r="Y7347" s="5"/>
      <c r="Z7347" s="5"/>
    </row>
    <row r="7348" spans="1:26" ht="15" x14ac:dyDescent="0.25">
      <c r="A7348" s="4" t="s">
        <v>7346</v>
      </c>
      <c r="B7348" s="4" t="s">
        <v>4550</v>
      </c>
      <c r="C7348" s="2" t="str">
        <f ca="1">IFERROR(__xludf.DUMMYFUNCTION("GOOGLETRANSLATE(A7348,""bn"",""en"")"),"Everyone went to see the Sundarbans")</f>
        <v>Everyone went to see the Sundarbans</v>
      </c>
      <c r="D7348" s="5"/>
      <c r="E7348" s="5"/>
      <c r="F7348" s="5"/>
      <c r="G7348" s="5"/>
      <c r="H7348" s="5"/>
      <c r="I7348" s="5"/>
      <c r="J7348" s="5"/>
      <c r="K7348" s="5"/>
      <c r="L7348" s="5"/>
      <c r="M7348" s="5"/>
      <c r="N7348" s="5"/>
      <c r="O7348" s="5"/>
      <c r="P7348" s="5"/>
      <c r="Q7348" s="5"/>
      <c r="R7348" s="5"/>
      <c r="S7348" s="5"/>
      <c r="T7348" s="5"/>
      <c r="U7348" s="5"/>
      <c r="V7348" s="5"/>
      <c r="W7348" s="5"/>
      <c r="X7348" s="5"/>
      <c r="Y7348" s="5"/>
      <c r="Z7348" s="5"/>
    </row>
    <row r="7349" spans="1:26" ht="15" x14ac:dyDescent="0.25">
      <c r="A7349" s="4" t="s">
        <v>7347</v>
      </c>
      <c r="B7349" s="4" t="s">
        <v>4550</v>
      </c>
      <c r="C7349" s="2" t="str">
        <f ca="1">IFERROR(__xludf.DUMMYFUNCTION("GOOGLETRANSLATE(A7349,""bn"",""en"")"),"Watched a classic movie")</f>
        <v>Watched a classic movie</v>
      </c>
      <c r="D7349" s="5"/>
      <c r="E7349" s="5"/>
      <c r="F7349" s="5"/>
      <c r="G7349" s="5"/>
      <c r="H7349" s="5"/>
      <c r="I7349" s="5"/>
      <c r="J7349" s="5"/>
      <c r="K7349" s="5"/>
      <c r="L7349" s="5"/>
      <c r="M7349" s="5"/>
      <c r="N7349" s="5"/>
      <c r="O7349" s="5"/>
      <c r="P7349" s="5"/>
      <c r="Q7349" s="5"/>
      <c r="R7349" s="5"/>
      <c r="S7349" s="5"/>
      <c r="T7349" s="5"/>
      <c r="U7349" s="5"/>
      <c r="V7349" s="5"/>
      <c r="W7349" s="5"/>
      <c r="X7349" s="5"/>
      <c r="Y7349" s="5"/>
      <c r="Z7349" s="5"/>
    </row>
    <row r="7350" spans="1:26" ht="15" x14ac:dyDescent="0.25">
      <c r="A7350" s="4" t="s">
        <v>7348</v>
      </c>
      <c r="B7350" s="4" t="s">
        <v>4550</v>
      </c>
      <c r="C7350" s="2" t="str">
        <f ca="1">IFERROR(__xludf.DUMMYFUNCTION("GOOGLETRANSLATE(A7350,""bn"",""en"")"),"Smelled sweet pickled")</f>
        <v>Smelled sweet pickled</v>
      </c>
      <c r="D7350" s="5"/>
      <c r="E7350" s="5"/>
      <c r="F7350" s="5"/>
      <c r="G7350" s="5"/>
      <c r="H7350" s="5"/>
      <c r="I7350" s="5"/>
      <c r="J7350" s="5"/>
      <c r="K7350" s="5"/>
      <c r="L7350" s="5"/>
      <c r="M7350" s="5"/>
      <c r="N7350" s="5"/>
      <c r="O7350" s="5"/>
      <c r="P7350" s="5"/>
      <c r="Q7350" s="5"/>
      <c r="R7350" s="5"/>
      <c r="S7350" s="5"/>
      <c r="T7350" s="5"/>
      <c r="U7350" s="5"/>
      <c r="V7350" s="5"/>
      <c r="W7350" s="5"/>
      <c r="X7350" s="5"/>
      <c r="Y7350" s="5"/>
      <c r="Z7350" s="5"/>
    </row>
    <row r="7351" spans="1:26" ht="15" x14ac:dyDescent="0.25">
      <c r="A7351" s="4" t="s">
        <v>7349</v>
      </c>
      <c r="B7351" s="4" t="s">
        <v>4550</v>
      </c>
      <c r="C7351" s="2" t="str">
        <f ca="1">IFERROR(__xludf.DUMMYFUNCTION("GOOGLETRANSLATE(A7351,""bn"",""en"")"),"He reported the bug")</f>
        <v>He reported the bug</v>
      </c>
      <c r="D7351" s="5"/>
      <c r="E7351" s="5"/>
      <c r="F7351" s="5"/>
      <c r="G7351" s="5"/>
      <c r="H7351" s="5"/>
      <c r="I7351" s="5"/>
      <c r="J7351" s="5"/>
      <c r="K7351" s="5"/>
      <c r="L7351" s="5"/>
      <c r="M7351" s="5"/>
      <c r="N7351" s="5"/>
      <c r="O7351" s="5"/>
      <c r="P7351" s="5"/>
      <c r="Q7351" s="5"/>
      <c r="R7351" s="5"/>
      <c r="S7351" s="5"/>
      <c r="T7351" s="5"/>
      <c r="U7351" s="5"/>
      <c r="V7351" s="5"/>
      <c r="W7351" s="5"/>
      <c r="X7351" s="5"/>
      <c r="Y7351" s="5"/>
      <c r="Z7351" s="5"/>
    </row>
    <row r="7352" spans="1:26" ht="15" x14ac:dyDescent="0.25">
      <c r="A7352" s="4" t="s">
        <v>7350</v>
      </c>
      <c r="B7352" s="4" t="s">
        <v>4550</v>
      </c>
      <c r="C7352" s="2" t="str">
        <f ca="1">IFERROR(__xludf.DUMMYFUNCTION("GOOGLETRANSLATE(A7352,""bn"",""en"")"),"Parliament was running between heirs")</f>
        <v>Parliament was running between heirs</v>
      </c>
      <c r="D7352" s="5"/>
      <c r="E7352" s="5"/>
      <c r="F7352" s="5"/>
      <c r="G7352" s="5"/>
      <c r="H7352" s="5"/>
      <c r="I7352" s="5"/>
      <c r="J7352" s="5"/>
      <c r="K7352" s="5"/>
      <c r="L7352" s="5"/>
      <c r="M7352" s="5"/>
      <c r="N7352" s="5"/>
      <c r="O7352" s="5"/>
      <c r="P7352" s="5"/>
      <c r="Q7352" s="5"/>
      <c r="R7352" s="5"/>
      <c r="S7352" s="5"/>
      <c r="T7352" s="5"/>
      <c r="U7352" s="5"/>
      <c r="V7352" s="5"/>
      <c r="W7352" s="5"/>
      <c r="X7352" s="5"/>
      <c r="Y7352" s="5"/>
      <c r="Z7352" s="5"/>
    </row>
    <row r="7353" spans="1:26" ht="15" x14ac:dyDescent="0.25">
      <c r="A7353" s="4" t="s">
        <v>7351</v>
      </c>
      <c r="B7353" s="4" t="s">
        <v>4550</v>
      </c>
      <c r="C7353" s="2" t="str">
        <f ca="1">IFERROR(__xludf.DUMMYFUNCTION("GOOGLETRANSLATE(A7353,""bn"",""en"")"),"We traveled to different countries")</f>
        <v>We traveled to different countries</v>
      </c>
      <c r="D7353" s="5"/>
      <c r="E7353" s="5"/>
      <c r="F7353" s="5"/>
      <c r="G7353" s="5"/>
      <c r="H7353" s="5"/>
      <c r="I7353" s="5"/>
      <c r="J7353" s="5"/>
      <c r="K7353" s="5"/>
      <c r="L7353" s="5"/>
      <c r="M7353" s="5"/>
      <c r="N7353" s="5"/>
      <c r="O7353" s="5"/>
      <c r="P7353" s="5"/>
      <c r="Q7353" s="5"/>
      <c r="R7353" s="5"/>
      <c r="S7353" s="5"/>
      <c r="T7353" s="5"/>
      <c r="U7353" s="5"/>
      <c r="V7353" s="5"/>
      <c r="W7353" s="5"/>
      <c r="X7353" s="5"/>
      <c r="Y7353" s="5"/>
      <c r="Z7353" s="5"/>
    </row>
    <row r="7354" spans="1:26" ht="15" x14ac:dyDescent="0.25">
      <c r="A7354" s="4" t="s">
        <v>7352</v>
      </c>
      <c r="B7354" s="4" t="s">
        <v>4550</v>
      </c>
      <c r="C7354" s="2" t="str">
        <f ca="1">IFERROR(__xludf.DUMMYFUNCTION("GOOGLETRANSLATE(A7354,""bn"",""en"")"),"I was making chicken biryani")</f>
        <v>I was making chicken biryani</v>
      </c>
      <c r="D7354" s="5"/>
      <c r="E7354" s="5"/>
      <c r="F7354" s="5"/>
      <c r="G7354" s="5"/>
      <c r="H7354" s="5"/>
      <c r="I7354" s="5"/>
      <c r="J7354" s="5"/>
      <c r="K7354" s="5"/>
      <c r="L7354" s="5"/>
      <c r="M7354" s="5"/>
      <c r="N7354" s="5"/>
      <c r="O7354" s="5"/>
      <c r="P7354" s="5"/>
      <c r="Q7354" s="5"/>
      <c r="R7354" s="5"/>
      <c r="S7354" s="5"/>
      <c r="T7354" s="5"/>
      <c r="U7354" s="5"/>
      <c r="V7354" s="5"/>
      <c r="W7354" s="5"/>
      <c r="X7354" s="5"/>
      <c r="Y7354" s="5"/>
      <c r="Z7354" s="5"/>
    </row>
    <row r="7355" spans="1:26" ht="15" x14ac:dyDescent="0.25">
      <c r="A7355" s="4" t="s">
        <v>7353</v>
      </c>
      <c r="B7355" s="4" t="s">
        <v>4550</v>
      </c>
      <c r="C7355" s="2" t="str">
        <f ca="1">IFERROR(__xludf.DUMMYFUNCTION("GOOGLETRANSLATE(A7355,""bn"",""en"")"),"Loved the fish filling")</f>
        <v>Loved the fish filling</v>
      </c>
      <c r="D7355" s="5"/>
      <c r="E7355" s="5"/>
      <c r="F7355" s="5"/>
      <c r="G7355" s="5"/>
      <c r="H7355" s="5"/>
      <c r="I7355" s="5"/>
      <c r="J7355" s="5"/>
      <c r="K7355" s="5"/>
      <c r="L7355" s="5"/>
      <c r="M7355" s="5"/>
      <c r="N7355" s="5"/>
      <c r="O7355" s="5"/>
      <c r="P7355" s="5"/>
      <c r="Q7355" s="5"/>
      <c r="R7355" s="5"/>
      <c r="S7355" s="5"/>
      <c r="T7355" s="5"/>
      <c r="U7355" s="5"/>
      <c r="V7355" s="5"/>
      <c r="W7355" s="5"/>
      <c r="X7355" s="5"/>
      <c r="Y7355" s="5"/>
      <c r="Z7355" s="5"/>
    </row>
    <row r="7356" spans="1:26" ht="15" x14ac:dyDescent="0.25">
      <c r="A7356" s="4" t="s">
        <v>7354</v>
      </c>
      <c r="B7356" s="4" t="s">
        <v>4550</v>
      </c>
      <c r="C7356" s="2" t="str">
        <f ca="1">IFERROR(__xludf.DUMMYFUNCTION("GOOGLETRANSLATE(A7356,""bn"",""en"")"),"Programmers learned new languages")</f>
        <v>Programmers learned new languages</v>
      </c>
      <c r="D7356" s="5"/>
      <c r="E7356" s="5"/>
      <c r="F7356" s="5"/>
      <c r="G7356" s="5"/>
      <c r="H7356" s="5"/>
      <c r="I7356" s="5"/>
      <c r="J7356" s="5"/>
      <c r="K7356" s="5"/>
      <c r="L7356" s="5"/>
      <c r="M7356" s="5"/>
      <c r="N7356" s="5"/>
      <c r="O7356" s="5"/>
      <c r="P7356" s="5"/>
      <c r="Q7356" s="5"/>
      <c r="R7356" s="5"/>
      <c r="S7356" s="5"/>
      <c r="T7356" s="5"/>
      <c r="U7356" s="5"/>
      <c r="V7356" s="5"/>
      <c r="W7356" s="5"/>
      <c r="X7356" s="5"/>
      <c r="Y7356" s="5"/>
      <c r="Z7356" s="5"/>
    </row>
    <row r="7357" spans="1:26" ht="15" x14ac:dyDescent="0.25">
      <c r="A7357" s="4" t="s">
        <v>7355</v>
      </c>
      <c r="B7357" s="4" t="s">
        <v>4550</v>
      </c>
      <c r="C7357" s="2" t="str">
        <f ca="1">IFERROR(__xludf.DUMMYFUNCTION("GOOGLETRANSLATE(A7357,""bn"",""en"")"),"Formerly played Badminton enthusiastically")</f>
        <v>Formerly played Badminton enthusiastically</v>
      </c>
      <c r="D7357" s="5"/>
      <c r="E7357" s="5"/>
      <c r="F7357" s="5"/>
      <c r="G7357" s="5"/>
      <c r="H7357" s="5"/>
      <c r="I7357" s="5"/>
      <c r="J7357" s="5"/>
      <c r="K7357" s="5"/>
      <c r="L7357" s="5"/>
      <c r="M7357" s="5"/>
      <c r="N7357" s="5"/>
      <c r="O7357" s="5"/>
      <c r="P7357" s="5"/>
      <c r="Q7357" s="5"/>
      <c r="R7357" s="5"/>
      <c r="S7357" s="5"/>
      <c r="T7357" s="5"/>
      <c r="U7357" s="5"/>
      <c r="V7357" s="5"/>
      <c r="W7357" s="5"/>
      <c r="X7357" s="5"/>
      <c r="Y7357" s="5"/>
      <c r="Z7357" s="5"/>
    </row>
    <row r="7358" spans="1:26" ht="15" x14ac:dyDescent="0.25">
      <c r="A7358" s="4" t="s">
        <v>7356</v>
      </c>
      <c r="B7358" s="4" t="s">
        <v>4550</v>
      </c>
      <c r="C7358" s="2" t="str">
        <f ca="1">IFERROR(__xludf.DUMMYFUNCTION("GOOGLETRANSLATE(A7358,""bn"",""en"")"),"Mobile software was updated")</f>
        <v>Mobile software was updated</v>
      </c>
      <c r="D7358" s="5"/>
      <c r="E7358" s="5"/>
      <c r="F7358" s="5"/>
      <c r="G7358" s="5"/>
      <c r="H7358" s="5"/>
      <c r="I7358" s="5"/>
      <c r="J7358" s="5"/>
      <c r="K7358" s="5"/>
      <c r="L7358" s="5"/>
      <c r="M7358" s="5"/>
      <c r="N7358" s="5"/>
      <c r="O7358" s="5"/>
      <c r="P7358" s="5"/>
      <c r="Q7358" s="5"/>
      <c r="R7358" s="5"/>
      <c r="S7358" s="5"/>
      <c r="T7358" s="5"/>
      <c r="U7358" s="5"/>
      <c r="V7358" s="5"/>
      <c r="W7358" s="5"/>
      <c r="X7358" s="5"/>
      <c r="Y7358" s="5"/>
      <c r="Z7358" s="5"/>
    </row>
    <row r="7359" spans="1:26" ht="15" x14ac:dyDescent="0.25">
      <c r="A7359" s="4" t="s">
        <v>7357</v>
      </c>
      <c r="B7359" s="4" t="s">
        <v>4550</v>
      </c>
      <c r="C7359" s="2" t="str">
        <f ca="1">IFERROR(__xludf.DUMMYFUNCTION("GOOGLETRANSLATE(A7359,""bn"",""en"")"),"The capital was raised in three days")</f>
        <v>The capital was raised in three days</v>
      </c>
      <c r="D7359" s="5"/>
      <c r="E7359" s="5"/>
      <c r="F7359" s="5"/>
      <c r="G7359" s="5"/>
      <c r="H7359" s="5"/>
      <c r="I7359" s="5"/>
      <c r="J7359" s="5"/>
      <c r="K7359" s="5"/>
      <c r="L7359" s="5"/>
      <c r="M7359" s="5"/>
      <c r="N7359" s="5"/>
      <c r="O7359" s="5"/>
      <c r="P7359" s="5"/>
      <c r="Q7359" s="5"/>
      <c r="R7359" s="5"/>
      <c r="S7359" s="5"/>
      <c r="T7359" s="5"/>
      <c r="U7359" s="5"/>
      <c r="V7359" s="5"/>
      <c r="W7359" s="5"/>
      <c r="X7359" s="5"/>
      <c r="Y7359" s="5"/>
      <c r="Z7359" s="5"/>
    </row>
    <row r="7360" spans="1:26" ht="15" x14ac:dyDescent="0.25">
      <c r="A7360" s="4" t="s">
        <v>7358</v>
      </c>
      <c r="B7360" s="4" t="s">
        <v>4550</v>
      </c>
      <c r="C7360" s="2" t="str">
        <f ca="1">IFERROR(__xludf.DUMMYFUNCTION("GOOGLETRANSLATE(A7360,""bn"",""en"")"),"Unnecessary expenditure was incurred in the construction sector")</f>
        <v>Unnecessary expenditure was incurred in the construction sector</v>
      </c>
      <c r="D7360" s="5"/>
      <c r="E7360" s="5"/>
      <c r="F7360" s="5"/>
      <c r="G7360" s="5"/>
      <c r="H7360" s="5"/>
      <c r="I7360" s="5"/>
      <c r="J7360" s="5"/>
      <c r="K7360" s="5"/>
      <c r="L7360" s="5"/>
      <c r="M7360" s="5"/>
      <c r="N7360" s="5"/>
      <c r="O7360" s="5"/>
      <c r="P7360" s="5"/>
      <c r="Q7360" s="5"/>
      <c r="R7360" s="5"/>
      <c r="S7360" s="5"/>
      <c r="T7360" s="5"/>
      <c r="U7360" s="5"/>
      <c r="V7360" s="5"/>
      <c r="W7360" s="5"/>
      <c r="X7360" s="5"/>
      <c r="Y7360" s="5"/>
      <c r="Z7360" s="5"/>
    </row>
    <row r="7361" spans="1:26" ht="15" x14ac:dyDescent="0.25">
      <c r="A7361" s="4" t="s">
        <v>7359</v>
      </c>
      <c r="B7361" s="4" t="s">
        <v>4550</v>
      </c>
      <c r="C7361" s="2" t="str">
        <f ca="1">IFERROR(__xludf.DUMMYFUNCTION("GOOGLETRANSLATE(A7361,""bn"",""en"")"),"We batted more")</f>
        <v>We batted more</v>
      </c>
      <c r="D7361" s="5"/>
      <c r="E7361" s="5"/>
      <c r="F7361" s="5"/>
      <c r="G7361" s="5"/>
      <c r="H7361" s="5"/>
      <c r="I7361" s="5"/>
      <c r="J7361" s="5"/>
      <c r="K7361" s="5"/>
      <c r="L7361" s="5"/>
      <c r="M7361" s="5"/>
      <c r="N7361" s="5"/>
      <c r="O7361" s="5"/>
      <c r="P7361" s="5"/>
      <c r="Q7361" s="5"/>
      <c r="R7361" s="5"/>
      <c r="S7361" s="5"/>
      <c r="T7361" s="5"/>
      <c r="U7361" s="5"/>
      <c r="V7361" s="5"/>
      <c r="W7361" s="5"/>
      <c r="X7361" s="5"/>
      <c r="Y7361" s="5"/>
      <c r="Z7361" s="5"/>
    </row>
    <row r="7362" spans="1:26" ht="15" x14ac:dyDescent="0.25">
      <c r="A7362" s="4" t="s">
        <v>7360</v>
      </c>
      <c r="B7362" s="4" t="s">
        <v>4550</v>
      </c>
      <c r="C7362" s="2" t="str">
        <f ca="1">IFERROR(__xludf.DUMMYFUNCTION("GOOGLETRANSLATE(A7362,""bn"",""en"")"),"I bought flowers for you")</f>
        <v>I bought flowers for you</v>
      </c>
      <c r="D7362" s="5"/>
      <c r="E7362" s="5"/>
      <c r="F7362" s="5"/>
      <c r="G7362" s="5"/>
      <c r="H7362" s="5"/>
      <c r="I7362" s="5"/>
      <c r="J7362" s="5"/>
      <c r="K7362" s="5"/>
      <c r="L7362" s="5"/>
      <c r="M7362" s="5"/>
      <c r="N7362" s="5"/>
      <c r="O7362" s="5"/>
      <c r="P7362" s="5"/>
      <c r="Q7362" s="5"/>
      <c r="R7362" s="5"/>
      <c r="S7362" s="5"/>
      <c r="T7362" s="5"/>
      <c r="U7362" s="5"/>
      <c r="V7362" s="5"/>
      <c r="W7362" s="5"/>
      <c r="X7362" s="5"/>
      <c r="Y7362" s="5"/>
      <c r="Z7362" s="5"/>
    </row>
    <row r="7363" spans="1:26" ht="15" x14ac:dyDescent="0.25">
      <c r="A7363" s="4" t="s">
        <v>7361</v>
      </c>
      <c r="B7363" s="4" t="s">
        <v>4550</v>
      </c>
      <c r="C7363" s="2" t="str">
        <f ca="1">IFERROR(__xludf.DUMMYFUNCTION("GOOGLETRANSLATE(A7363,""bn"",""en"")"),"The teacher taught the students")</f>
        <v>The teacher taught the students</v>
      </c>
      <c r="D7363" s="5"/>
      <c r="E7363" s="5"/>
      <c r="F7363" s="5"/>
      <c r="G7363" s="5"/>
      <c r="H7363" s="5"/>
      <c r="I7363" s="5"/>
      <c r="J7363" s="5"/>
      <c r="K7363" s="5"/>
      <c r="L7363" s="5"/>
      <c r="M7363" s="5"/>
      <c r="N7363" s="5"/>
      <c r="O7363" s="5"/>
      <c r="P7363" s="5"/>
      <c r="Q7363" s="5"/>
      <c r="R7363" s="5"/>
      <c r="S7363" s="5"/>
      <c r="T7363" s="5"/>
      <c r="U7363" s="5"/>
      <c r="V7363" s="5"/>
      <c r="W7363" s="5"/>
      <c r="X7363" s="5"/>
      <c r="Y7363" s="5"/>
      <c r="Z7363" s="5"/>
    </row>
    <row r="7364" spans="1:26" ht="15" x14ac:dyDescent="0.25">
      <c r="A7364" s="4" t="s">
        <v>7362</v>
      </c>
      <c r="B7364" s="4" t="s">
        <v>4550</v>
      </c>
      <c r="C7364" s="2" t="str">
        <f ca="1">IFERROR(__xludf.DUMMYFUNCTION("GOOGLETRANSLATE(A7364,""bn"",""en"")"),"They ate chocolate at home")</f>
        <v>They ate chocolate at home</v>
      </c>
      <c r="D7364" s="5"/>
      <c r="E7364" s="5"/>
      <c r="F7364" s="5"/>
      <c r="G7364" s="5"/>
      <c r="H7364" s="5"/>
      <c r="I7364" s="5"/>
      <c r="J7364" s="5"/>
      <c r="K7364" s="5"/>
      <c r="L7364" s="5"/>
      <c r="M7364" s="5"/>
      <c r="N7364" s="5"/>
      <c r="O7364" s="5"/>
      <c r="P7364" s="5"/>
      <c r="Q7364" s="5"/>
      <c r="R7364" s="5"/>
      <c r="S7364" s="5"/>
      <c r="T7364" s="5"/>
      <c r="U7364" s="5"/>
      <c r="V7364" s="5"/>
      <c r="W7364" s="5"/>
      <c r="X7364" s="5"/>
      <c r="Y7364" s="5"/>
      <c r="Z7364" s="5"/>
    </row>
    <row r="7365" spans="1:26" ht="15" x14ac:dyDescent="0.25">
      <c r="A7365" s="4" t="s">
        <v>7363</v>
      </c>
      <c r="B7365" s="4" t="s">
        <v>4550</v>
      </c>
      <c r="C7365" s="2" t="str">
        <f ca="1">IFERROR(__xludf.DUMMYFUNCTION("GOOGLETRANSLATE(A7365,""bn"",""en"")"),"Initially won")</f>
        <v>Initially won</v>
      </c>
      <c r="D7365" s="5"/>
      <c r="E7365" s="5"/>
      <c r="F7365" s="5"/>
      <c r="G7365" s="5"/>
      <c r="H7365" s="5"/>
      <c r="I7365" s="5"/>
      <c r="J7365" s="5"/>
      <c r="K7365" s="5"/>
      <c r="L7365" s="5"/>
      <c r="M7365" s="5"/>
      <c r="N7365" s="5"/>
      <c r="O7365" s="5"/>
      <c r="P7365" s="5"/>
      <c r="Q7365" s="5"/>
      <c r="R7365" s="5"/>
      <c r="S7365" s="5"/>
      <c r="T7365" s="5"/>
      <c r="U7365" s="5"/>
      <c r="V7365" s="5"/>
      <c r="W7365" s="5"/>
      <c r="X7365" s="5"/>
      <c r="Y7365" s="5"/>
      <c r="Z7365" s="5"/>
    </row>
    <row r="7366" spans="1:26" ht="15" x14ac:dyDescent="0.25">
      <c r="A7366" s="4" t="s">
        <v>7364</v>
      </c>
      <c r="B7366" s="4" t="s">
        <v>4550</v>
      </c>
      <c r="C7366" s="2" t="str">
        <f ca="1">IFERROR(__xludf.DUMMYFUNCTION("GOOGLETRANSLATE(A7366,""bn"",""en"")"),"I made breakfast of different flavors")</f>
        <v>I made breakfast of different flavors</v>
      </c>
      <c r="D7366" s="5"/>
      <c r="E7366" s="5"/>
      <c r="F7366" s="5"/>
      <c r="G7366" s="5"/>
      <c r="H7366" s="5"/>
      <c r="I7366" s="5"/>
      <c r="J7366" s="5"/>
      <c r="K7366" s="5"/>
      <c r="L7366" s="5"/>
      <c r="M7366" s="5"/>
      <c r="N7366" s="5"/>
      <c r="O7366" s="5"/>
      <c r="P7366" s="5"/>
      <c r="Q7366" s="5"/>
      <c r="R7366" s="5"/>
      <c r="S7366" s="5"/>
      <c r="T7366" s="5"/>
      <c r="U7366" s="5"/>
      <c r="V7366" s="5"/>
      <c r="W7366" s="5"/>
      <c r="X7366" s="5"/>
      <c r="Y7366" s="5"/>
      <c r="Z7366" s="5"/>
    </row>
    <row r="7367" spans="1:26" ht="15" x14ac:dyDescent="0.25">
      <c r="A7367" s="4" t="s">
        <v>7365</v>
      </c>
      <c r="B7367" s="4" t="s">
        <v>4550</v>
      </c>
      <c r="C7367" s="2" t="str">
        <f ca="1">IFERROR(__xludf.DUMMYFUNCTION("GOOGLETRANSLATE(A7367,""bn"",""en"")"),"Popular leader joined")</f>
        <v>Popular leader joined</v>
      </c>
      <c r="D7367" s="5"/>
      <c r="E7367" s="5"/>
      <c r="F7367" s="5"/>
      <c r="G7367" s="5"/>
      <c r="H7367" s="5"/>
      <c r="I7367" s="5"/>
      <c r="J7367" s="5"/>
      <c r="K7367" s="5"/>
      <c r="L7367" s="5"/>
      <c r="M7367" s="5"/>
      <c r="N7367" s="5"/>
      <c r="O7367" s="5"/>
      <c r="P7367" s="5"/>
      <c r="Q7367" s="5"/>
      <c r="R7367" s="5"/>
      <c r="S7367" s="5"/>
      <c r="T7367" s="5"/>
      <c r="U7367" s="5"/>
      <c r="V7367" s="5"/>
      <c r="W7367" s="5"/>
      <c r="X7367" s="5"/>
      <c r="Y7367" s="5"/>
      <c r="Z7367" s="5"/>
    </row>
    <row r="7368" spans="1:26" ht="15" x14ac:dyDescent="0.25">
      <c r="A7368" s="4" t="s">
        <v>7366</v>
      </c>
      <c r="B7368" s="4" t="s">
        <v>4550</v>
      </c>
      <c r="C7368" s="2" t="str">
        <f ca="1">IFERROR(__xludf.DUMMYFUNCTION("GOOGLETRANSLATE(A7368,""bn"",""en"")"),"Bought computer accessories online")</f>
        <v>Bought computer accessories online</v>
      </c>
      <c r="D7368" s="5"/>
      <c r="E7368" s="5"/>
      <c r="F7368" s="5"/>
      <c r="G7368" s="5"/>
      <c r="H7368" s="5"/>
      <c r="I7368" s="5"/>
      <c r="J7368" s="5"/>
      <c r="K7368" s="5"/>
      <c r="L7368" s="5"/>
      <c r="M7368" s="5"/>
      <c r="N7368" s="5"/>
      <c r="O7368" s="5"/>
      <c r="P7368" s="5"/>
      <c r="Q7368" s="5"/>
      <c r="R7368" s="5"/>
      <c r="S7368" s="5"/>
      <c r="T7368" s="5"/>
      <c r="U7368" s="5"/>
      <c r="V7368" s="5"/>
      <c r="W7368" s="5"/>
      <c r="X7368" s="5"/>
      <c r="Y7368" s="5"/>
      <c r="Z7368" s="5"/>
    </row>
    <row r="7369" spans="1:26" ht="15" x14ac:dyDescent="0.25">
      <c r="A7369" s="4" t="s">
        <v>7367</v>
      </c>
      <c r="B7369" s="4" t="s">
        <v>4550</v>
      </c>
      <c r="C7369" s="2" t="str">
        <f ca="1">IFERROR(__xludf.DUMMYFUNCTION("GOOGLETRANSLATE(A7369,""bn"",""en"")"),"He was buying sweets from the market")</f>
        <v>He was buying sweets from the market</v>
      </c>
      <c r="D7369" s="5"/>
      <c r="E7369" s="5"/>
      <c r="F7369" s="5"/>
      <c r="G7369" s="5"/>
      <c r="H7369" s="5"/>
      <c r="I7369" s="5"/>
      <c r="J7369" s="5"/>
      <c r="K7369" s="5"/>
      <c r="L7369" s="5"/>
      <c r="M7369" s="5"/>
      <c r="N7369" s="5"/>
      <c r="O7369" s="5"/>
      <c r="P7369" s="5"/>
      <c r="Q7369" s="5"/>
      <c r="R7369" s="5"/>
      <c r="S7369" s="5"/>
      <c r="T7369" s="5"/>
      <c r="U7369" s="5"/>
      <c r="V7369" s="5"/>
      <c r="W7369" s="5"/>
      <c r="X7369" s="5"/>
      <c r="Y7369" s="5"/>
      <c r="Z7369" s="5"/>
    </row>
    <row r="7370" spans="1:26" ht="15" x14ac:dyDescent="0.25">
      <c r="A7370" s="4" t="s">
        <v>7368</v>
      </c>
      <c r="B7370" s="4" t="s">
        <v>4550</v>
      </c>
      <c r="C7370" s="2" t="str">
        <f ca="1">IFERROR(__xludf.DUMMYFUNCTION("GOOGLETRANSLATE(A7370,""bn"",""en"")"),"The Prime Minister resigned in the meeting")</f>
        <v>The Prime Minister resigned in the meeting</v>
      </c>
      <c r="D7370" s="5"/>
      <c r="E7370" s="5"/>
      <c r="F7370" s="5"/>
      <c r="G7370" s="5"/>
      <c r="H7370" s="5"/>
      <c r="I7370" s="5"/>
      <c r="J7370" s="5"/>
      <c r="K7370" s="5"/>
      <c r="L7370" s="5"/>
      <c r="M7370" s="5"/>
      <c r="N7370" s="5"/>
      <c r="O7370" s="5"/>
      <c r="P7370" s="5"/>
      <c r="Q7370" s="5"/>
      <c r="R7370" s="5"/>
      <c r="S7370" s="5"/>
      <c r="T7370" s="5"/>
      <c r="U7370" s="5"/>
      <c r="V7370" s="5"/>
      <c r="W7370" s="5"/>
      <c r="X7370" s="5"/>
      <c r="Y7370" s="5"/>
      <c r="Z7370" s="5"/>
    </row>
    <row r="7371" spans="1:26" ht="15" x14ac:dyDescent="0.25">
      <c r="A7371" s="4" t="s">
        <v>7369</v>
      </c>
      <c r="B7371" s="4" t="s">
        <v>4550</v>
      </c>
      <c r="C7371" s="2" t="str">
        <f ca="1">IFERROR(__xludf.DUMMYFUNCTION("GOOGLETRANSLATE(A7371,""bn"",""en"")"),"Everyone started singing")</f>
        <v>Everyone started singing</v>
      </c>
      <c r="D7371" s="5"/>
      <c r="E7371" s="5"/>
      <c r="F7371" s="5"/>
      <c r="G7371" s="5"/>
      <c r="H7371" s="5"/>
      <c r="I7371" s="5"/>
      <c r="J7371" s="5"/>
      <c r="K7371" s="5"/>
      <c r="L7371" s="5"/>
      <c r="M7371" s="5"/>
      <c r="N7371" s="5"/>
      <c r="O7371" s="5"/>
      <c r="P7371" s="5"/>
      <c r="Q7371" s="5"/>
      <c r="R7371" s="5"/>
      <c r="S7371" s="5"/>
      <c r="T7371" s="5"/>
      <c r="U7371" s="5"/>
      <c r="V7371" s="5"/>
      <c r="W7371" s="5"/>
      <c r="X7371" s="5"/>
      <c r="Y7371" s="5"/>
      <c r="Z7371" s="5"/>
    </row>
    <row r="7372" spans="1:26" ht="15" x14ac:dyDescent="0.25">
      <c r="A7372" s="4" t="s">
        <v>7370</v>
      </c>
      <c r="B7372" s="4" t="s">
        <v>4550</v>
      </c>
      <c r="C7372" s="2" t="str">
        <f ca="1">IFERROR(__xludf.DUMMYFUNCTION("GOOGLETRANSLATE(A7372,""bn"",""en"")"),"The running race was held last month")</f>
        <v>The running race was held last month</v>
      </c>
      <c r="D7372" s="5"/>
      <c r="E7372" s="5"/>
      <c r="F7372" s="5"/>
      <c r="G7372" s="5"/>
      <c r="H7372" s="5"/>
      <c r="I7372" s="5"/>
      <c r="J7372" s="5"/>
      <c r="K7372" s="5"/>
      <c r="L7372" s="5"/>
      <c r="M7372" s="5"/>
      <c r="N7372" s="5"/>
      <c r="O7372" s="5"/>
      <c r="P7372" s="5"/>
      <c r="Q7372" s="5"/>
      <c r="R7372" s="5"/>
      <c r="S7372" s="5"/>
      <c r="T7372" s="5"/>
      <c r="U7372" s="5"/>
      <c r="V7372" s="5"/>
      <c r="W7372" s="5"/>
      <c r="X7372" s="5"/>
      <c r="Y7372" s="5"/>
      <c r="Z7372" s="5"/>
    </row>
    <row r="7373" spans="1:26" ht="15" x14ac:dyDescent="0.25">
      <c r="A7373" s="4" t="s">
        <v>7371</v>
      </c>
      <c r="B7373" s="4" t="s">
        <v>4550</v>
      </c>
      <c r="C7373" s="2" t="str">
        <f ca="1">IFERROR(__xludf.DUMMYFUNCTION("GOOGLETRANSLATE(A7373,""bn"",""en"")"),"Wrote a technical document")</f>
        <v>Wrote a technical document</v>
      </c>
      <c r="D7373" s="5"/>
      <c r="E7373" s="5"/>
      <c r="F7373" s="5"/>
      <c r="G7373" s="5"/>
      <c r="H7373" s="5"/>
      <c r="I7373" s="5"/>
      <c r="J7373" s="5"/>
      <c r="K7373" s="5"/>
      <c r="L7373" s="5"/>
      <c r="M7373" s="5"/>
      <c r="N7373" s="5"/>
      <c r="O7373" s="5"/>
      <c r="P7373" s="5"/>
      <c r="Q7373" s="5"/>
      <c r="R7373" s="5"/>
      <c r="S7373" s="5"/>
      <c r="T7373" s="5"/>
      <c r="U7373" s="5"/>
      <c r="V7373" s="5"/>
      <c r="W7373" s="5"/>
      <c r="X7373" s="5"/>
      <c r="Y7373" s="5"/>
      <c r="Z7373" s="5"/>
    </row>
    <row r="7374" spans="1:26" ht="15" x14ac:dyDescent="0.25">
      <c r="A7374" s="4" t="s">
        <v>7372</v>
      </c>
      <c r="B7374" s="4" t="s">
        <v>4550</v>
      </c>
      <c r="C7374" s="2" t="str">
        <f ca="1">IFERROR(__xludf.DUMMYFUNCTION("GOOGLETRANSLATE(A7374,""bn"",""en"")"),"Was in winter station in January")</f>
        <v>Was in winter station in January</v>
      </c>
      <c r="D7374" s="5"/>
      <c r="E7374" s="5"/>
      <c r="F7374" s="5"/>
      <c r="G7374" s="5"/>
      <c r="H7374" s="5"/>
      <c r="I7374" s="5"/>
      <c r="J7374" s="5"/>
      <c r="K7374" s="5"/>
      <c r="L7374" s="5"/>
      <c r="M7374" s="5"/>
      <c r="N7374" s="5"/>
      <c r="O7374" s="5"/>
      <c r="P7374" s="5"/>
      <c r="Q7374" s="5"/>
      <c r="R7374" s="5"/>
      <c r="S7374" s="5"/>
      <c r="T7374" s="5"/>
      <c r="U7374" s="5"/>
      <c r="V7374" s="5"/>
      <c r="W7374" s="5"/>
      <c r="X7374" s="5"/>
      <c r="Y7374" s="5"/>
      <c r="Z7374" s="5"/>
    </row>
    <row r="7375" spans="1:26" ht="15" x14ac:dyDescent="0.25">
      <c r="A7375" s="4" t="s">
        <v>7373</v>
      </c>
      <c r="B7375" s="4" t="s">
        <v>4550</v>
      </c>
      <c r="C7375" s="2" t="str">
        <f ca="1">IFERROR(__xludf.DUMMYFUNCTION("GOOGLETRANSLATE(A7375,""bn"",""en"")"),"We used to read English articles")</f>
        <v>We used to read English articles</v>
      </c>
      <c r="D7375" s="5"/>
      <c r="E7375" s="5"/>
      <c r="F7375" s="5"/>
      <c r="G7375" s="5"/>
      <c r="H7375" s="5"/>
      <c r="I7375" s="5"/>
      <c r="J7375" s="5"/>
      <c r="K7375" s="5"/>
      <c r="L7375" s="5"/>
      <c r="M7375" s="5"/>
      <c r="N7375" s="5"/>
      <c r="O7375" s="5"/>
      <c r="P7375" s="5"/>
      <c r="Q7375" s="5"/>
      <c r="R7375" s="5"/>
      <c r="S7375" s="5"/>
      <c r="T7375" s="5"/>
      <c r="U7375" s="5"/>
      <c r="V7375" s="5"/>
      <c r="W7375" s="5"/>
      <c r="X7375" s="5"/>
      <c r="Y7375" s="5"/>
      <c r="Z7375" s="5"/>
    </row>
    <row r="7376" spans="1:26" ht="15" x14ac:dyDescent="0.25">
      <c r="A7376" s="4" t="s">
        <v>7374</v>
      </c>
      <c r="B7376" s="4" t="s">
        <v>4550</v>
      </c>
      <c r="C7376" s="2" t="str">
        <f ca="1">IFERROR(__xludf.DUMMYFUNCTION("GOOGLETRANSLATE(A7376,""bn"",""en"")"),"I used to pay the debt")</f>
        <v>I used to pay the debt</v>
      </c>
      <c r="D7376" s="5"/>
      <c r="E7376" s="5"/>
      <c r="F7376" s="5"/>
      <c r="G7376" s="5"/>
      <c r="H7376" s="5"/>
      <c r="I7376" s="5"/>
      <c r="J7376" s="5"/>
      <c r="K7376" s="5"/>
      <c r="L7376" s="5"/>
      <c r="M7376" s="5"/>
      <c r="N7376" s="5"/>
      <c r="O7376" s="5"/>
      <c r="P7376" s="5"/>
      <c r="Q7376" s="5"/>
      <c r="R7376" s="5"/>
      <c r="S7376" s="5"/>
      <c r="T7376" s="5"/>
      <c r="U7376" s="5"/>
      <c r="V7376" s="5"/>
      <c r="W7376" s="5"/>
      <c r="X7376" s="5"/>
      <c r="Y7376" s="5"/>
      <c r="Z7376" s="5"/>
    </row>
    <row r="7377" spans="1:26" ht="15" x14ac:dyDescent="0.25">
      <c r="A7377" s="4" t="s">
        <v>7375</v>
      </c>
      <c r="B7377" s="4" t="s">
        <v>4550</v>
      </c>
      <c r="C7377" s="2" t="str">
        <f ca="1">IFERROR(__xludf.DUMMYFUNCTION("GOOGLETRANSLATE(A7377,""bn"",""en"")"),"Enjoyed peace in retirement")</f>
        <v>Enjoyed peace in retirement</v>
      </c>
      <c r="D7377" s="5"/>
      <c r="E7377" s="5"/>
      <c r="F7377" s="5"/>
      <c r="G7377" s="5"/>
      <c r="H7377" s="5"/>
      <c r="I7377" s="5"/>
      <c r="J7377" s="5"/>
      <c r="K7377" s="5"/>
      <c r="L7377" s="5"/>
      <c r="M7377" s="5"/>
      <c r="N7377" s="5"/>
      <c r="O7377" s="5"/>
      <c r="P7377" s="5"/>
      <c r="Q7377" s="5"/>
      <c r="R7377" s="5"/>
      <c r="S7377" s="5"/>
      <c r="T7377" s="5"/>
      <c r="U7377" s="5"/>
      <c r="V7377" s="5"/>
      <c r="W7377" s="5"/>
      <c r="X7377" s="5"/>
      <c r="Y7377" s="5"/>
      <c r="Z7377" s="5"/>
    </row>
    <row r="7378" spans="1:26" ht="15" x14ac:dyDescent="0.25">
      <c r="A7378" s="4" t="s">
        <v>7376</v>
      </c>
      <c r="B7378" s="4" t="s">
        <v>4550</v>
      </c>
      <c r="C7378" s="2" t="str">
        <f ca="1">IFERROR(__xludf.DUMMYFUNCTION("GOOGLETRANSLATE(A7378,""bn"",""en"")"),"I was making a meat roast")</f>
        <v>I was making a meat roast</v>
      </c>
      <c r="D7378" s="5"/>
      <c r="E7378" s="5"/>
      <c r="F7378" s="5"/>
      <c r="G7378" s="5"/>
      <c r="H7378" s="5"/>
      <c r="I7378" s="5"/>
      <c r="J7378" s="5"/>
      <c r="K7378" s="5"/>
      <c r="L7378" s="5"/>
      <c r="M7378" s="5"/>
      <c r="N7378" s="5"/>
      <c r="O7378" s="5"/>
      <c r="P7378" s="5"/>
      <c r="Q7378" s="5"/>
      <c r="R7378" s="5"/>
      <c r="S7378" s="5"/>
      <c r="T7378" s="5"/>
      <c r="U7378" s="5"/>
      <c r="V7378" s="5"/>
      <c r="W7378" s="5"/>
      <c r="X7378" s="5"/>
      <c r="Y7378" s="5"/>
      <c r="Z7378" s="5"/>
    </row>
    <row r="7379" spans="1:26" ht="15" x14ac:dyDescent="0.25">
      <c r="A7379" s="4" t="s">
        <v>7377</v>
      </c>
      <c r="B7379" s="4" t="s">
        <v>4550</v>
      </c>
      <c r="C7379" s="2" t="str">
        <f ca="1">IFERROR(__xludf.DUMMYFUNCTION("GOOGLETRANSLATE(A7379,""bn"",""en"")"),"Municipal elections were held earlier")</f>
        <v>Municipal elections were held earlier</v>
      </c>
      <c r="D7379" s="5"/>
      <c r="E7379" s="5"/>
      <c r="F7379" s="5"/>
      <c r="G7379" s="5"/>
      <c r="H7379" s="5"/>
      <c r="I7379" s="5"/>
      <c r="J7379" s="5"/>
      <c r="K7379" s="5"/>
      <c r="L7379" s="5"/>
      <c r="M7379" s="5"/>
      <c r="N7379" s="5"/>
      <c r="O7379" s="5"/>
      <c r="P7379" s="5"/>
      <c r="Q7379" s="5"/>
      <c r="R7379" s="5"/>
      <c r="S7379" s="5"/>
      <c r="T7379" s="5"/>
      <c r="U7379" s="5"/>
      <c r="V7379" s="5"/>
      <c r="W7379" s="5"/>
      <c r="X7379" s="5"/>
      <c r="Y7379" s="5"/>
      <c r="Z7379" s="5"/>
    </row>
    <row r="7380" spans="1:26" ht="15" x14ac:dyDescent="0.25">
      <c r="A7380" s="4" t="s">
        <v>7378</v>
      </c>
      <c r="B7380" s="4" t="s">
        <v>4550</v>
      </c>
      <c r="C7380" s="2" t="str">
        <f ca="1">IFERROR(__xludf.DUMMYFUNCTION("GOOGLETRANSLATE(A7380,""bn"",""en"")"),"Was alert for rain")</f>
        <v>Was alert for rain</v>
      </c>
      <c r="D7380" s="5"/>
      <c r="E7380" s="5"/>
      <c r="F7380" s="5"/>
      <c r="G7380" s="5"/>
      <c r="H7380" s="5"/>
      <c r="I7380" s="5"/>
      <c r="J7380" s="5"/>
      <c r="K7380" s="5"/>
      <c r="L7380" s="5"/>
      <c r="M7380" s="5"/>
      <c r="N7380" s="5"/>
      <c r="O7380" s="5"/>
      <c r="P7380" s="5"/>
      <c r="Q7380" s="5"/>
      <c r="R7380" s="5"/>
      <c r="S7380" s="5"/>
      <c r="T7380" s="5"/>
      <c r="U7380" s="5"/>
      <c r="V7380" s="5"/>
      <c r="W7380" s="5"/>
      <c r="X7380" s="5"/>
      <c r="Y7380" s="5"/>
      <c r="Z7380" s="5"/>
    </row>
    <row r="7381" spans="1:26" ht="15" x14ac:dyDescent="0.25">
      <c r="A7381" s="4" t="s">
        <v>7379</v>
      </c>
      <c r="B7381" s="4" t="s">
        <v>4550</v>
      </c>
      <c r="C7381" s="2" t="str">
        <f ca="1">IFERROR(__xludf.DUMMYFUNCTION("GOOGLETRANSLATE(A7381,""bn"",""en"")"),"He was drawing a picture")</f>
        <v>He was drawing a picture</v>
      </c>
      <c r="D7381" s="5"/>
      <c r="E7381" s="5"/>
      <c r="F7381" s="5"/>
      <c r="G7381" s="5"/>
      <c r="H7381" s="5"/>
      <c r="I7381" s="5"/>
      <c r="J7381" s="5"/>
      <c r="K7381" s="5"/>
      <c r="L7381" s="5"/>
      <c r="M7381" s="5"/>
      <c r="N7381" s="5"/>
      <c r="O7381" s="5"/>
      <c r="P7381" s="5"/>
      <c r="Q7381" s="5"/>
      <c r="R7381" s="5"/>
      <c r="S7381" s="5"/>
      <c r="T7381" s="5"/>
      <c r="U7381" s="5"/>
      <c r="V7381" s="5"/>
      <c r="W7381" s="5"/>
      <c r="X7381" s="5"/>
      <c r="Y7381" s="5"/>
      <c r="Z7381" s="5"/>
    </row>
    <row r="7382" spans="1:26" ht="15" x14ac:dyDescent="0.25">
      <c r="A7382" s="4" t="s">
        <v>7380</v>
      </c>
      <c r="B7382" s="4" t="s">
        <v>4550</v>
      </c>
      <c r="C7382" s="2" t="str">
        <f ca="1">IFERROR(__xludf.DUMMYFUNCTION("GOOGLETRANSLATE(A7382,""bn"",""en"")"),"Loved the fish fry")</f>
        <v>Loved the fish fry</v>
      </c>
      <c r="D7382" s="5"/>
      <c r="E7382" s="5"/>
      <c r="F7382" s="5"/>
      <c r="G7382" s="5"/>
      <c r="H7382" s="5"/>
      <c r="I7382" s="5"/>
      <c r="J7382" s="5"/>
      <c r="K7382" s="5"/>
      <c r="L7382" s="5"/>
      <c r="M7382" s="5"/>
      <c r="N7382" s="5"/>
      <c r="O7382" s="5"/>
      <c r="P7382" s="5"/>
      <c r="Q7382" s="5"/>
      <c r="R7382" s="5"/>
      <c r="S7382" s="5"/>
      <c r="T7382" s="5"/>
      <c r="U7382" s="5"/>
      <c r="V7382" s="5"/>
      <c r="W7382" s="5"/>
      <c r="X7382" s="5"/>
      <c r="Y7382" s="5"/>
      <c r="Z7382" s="5"/>
    </row>
    <row r="7383" spans="1:26" ht="15" x14ac:dyDescent="0.25">
      <c r="A7383" s="4" t="s">
        <v>7381</v>
      </c>
      <c r="B7383" s="4" t="s">
        <v>4550</v>
      </c>
      <c r="C7383" s="2" t="str">
        <f ca="1">IFERROR(__xludf.DUMMYFUNCTION("GOOGLETRANSLATE(A7383,""bn"",""en"")"),"Programming language is invented")</f>
        <v>Programming language is invented</v>
      </c>
      <c r="D7383" s="5"/>
      <c r="E7383" s="5"/>
      <c r="F7383" s="5"/>
      <c r="G7383" s="5"/>
      <c r="H7383" s="5"/>
      <c r="I7383" s="5"/>
      <c r="J7383" s="5"/>
      <c r="K7383" s="5"/>
      <c r="L7383" s="5"/>
      <c r="M7383" s="5"/>
      <c r="N7383" s="5"/>
      <c r="O7383" s="5"/>
      <c r="P7383" s="5"/>
      <c r="Q7383" s="5"/>
      <c r="R7383" s="5"/>
      <c r="S7383" s="5"/>
      <c r="T7383" s="5"/>
      <c r="U7383" s="5"/>
      <c r="V7383" s="5"/>
      <c r="W7383" s="5"/>
      <c r="X7383" s="5"/>
      <c r="Y7383" s="5"/>
      <c r="Z7383" s="5"/>
    </row>
    <row r="7384" spans="1:26" ht="15" x14ac:dyDescent="0.25">
      <c r="A7384" s="4" t="s">
        <v>7382</v>
      </c>
      <c r="B7384" s="4" t="s">
        <v>4550</v>
      </c>
      <c r="C7384" s="2" t="str">
        <f ca="1">IFERROR(__xludf.DUMMYFUNCTION("GOOGLETRANSLATE(A7384,""bn"",""en"")"),"War resolution was organized")</f>
        <v>War resolution was organized</v>
      </c>
      <c r="D7384" s="5"/>
      <c r="E7384" s="5"/>
      <c r="F7384" s="5"/>
      <c r="G7384" s="5"/>
      <c r="H7384" s="5"/>
      <c r="I7384" s="5"/>
      <c r="J7384" s="5"/>
      <c r="K7384" s="5"/>
      <c r="L7384" s="5"/>
      <c r="M7384" s="5"/>
      <c r="N7384" s="5"/>
      <c r="O7384" s="5"/>
      <c r="P7384" s="5"/>
      <c r="Q7384" s="5"/>
      <c r="R7384" s="5"/>
      <c r="S7384" s="5"/>
      <c r="T7384" s="5"/>
      <c r="U7384" s="5"/>
      <c r="V7384" s="5"/>
      <c r="W7384" s="5"/>
      <c r="X7384" s="5"/>
      <c r="Y7384" s="5"/>
      <c r="Z7384" s="5"/>
    </row>
    <row r="7385" spans="1:26" ht="15" x14ac:dyDescent="0.25">
      <c r="A7385" s="4" t="s">
        <v>7383</v>
      </c>
      <c r="B7385" s="4" t="s">
        <v>4550</v>
      </c>
      <c r="C7385" s="2" t="str">
        <f ca="1">IFERROR(__xludf.DUMMYFUNCTION("GOOGLETRANSLATE(A7385,""bn"",""en"")"),"New technological advances were made")</f>
        <v>New technological advances were made</v>
      </c>
      <c r="D7385" s="5"/>
      <c r="E7385" s="5"/>
      <c r="F7385" s="5"/>
      <c r="G7385" s="5"/>
      <c r="H7385" s="5"/>
      <c r="I7385" s="5"/>
      <c r="J7385" s="5"/>
      <c r="K7385" s="5"/>
      <c r="L7385" s="5"/>
      <c r="M7385" s="5"/>
      <c r="N7385" s="5"/>
      <c r="O7385" s="5"/>
      <c r="P7385" s="5"/>
      <c r="Q7385" s="5"/>
      <c r="R7385" s="5"/>
      <c r="S7385" s="5"/>
      <c r="T7385" s="5"/>
      <c r="U7385" s="5"/>
      <c r="V7385" s="5"/>
      <c r="W7385" s="5"/>
      <c r="X7385" s="5"/>
      <c r="Y7385" s="5"/>
      <c r="Z7385" s="5"/>
    </row>
    <row r="7386" spans="1:26" ht="15" x14ac:dyDescent="0.25">
      <c r="A7386" s="4" t="s">
        <v>7384</v>
      </c>
      <c r="B7386" s="4" t="s">
        <v>4550</v>
      </c>
      <c r="C7386" s="2" t="str">
        <f ca="1">IFERROR(__xludf.DUMMYFUNCTION("GOOGLETRANSLATE(A7386,""bn"",""en"")"),"Managed the garden with assistance")</f>
        <v>Managed the garden with assistance</v>
      </c>
      <c r="D7386" s="5"/>
      <c r="E7386" s="5"/>
      <c r="F7386" s="5"/>
      <c r="G7386" s="5"/>
      <c r="H7386" s="5"/>
      <c r="I7386" s="5"/>
      <c r="J7386" s="5"/>
      <c r="K7386" s="5"/>
      <c r="L7386" s="5"/>
      <c r="M7386" s="5"/>
      <c r="N7386" s="5"/>
      <c r="O7386" s="5"/>
      <c r="P7386" s="5"/>
      <c r="Q7386" s="5"/>
      <c r="R7386" s="5"/>
      <c r="S7386" s="5"/>
      <c r="T7386" s="5"/>
      <c r="U7386" s="5"/>
      <c r="V7386" s="5"/>
      <c r="W7386" s="5"/>
      <c r="X7386" s="5"/>
      <c r="Y7386" s="5"/>
      <c r="Z7386" s="5"/>
    </row>
    <row r="7387" spans="1:26" ht="15" x14ac:dyDescent="0.25">
      <c r="A7387" s="4" t="s">
        <v>7385</v>
      </c>
      <c r="B7387" s="4" t="s">
        <v>4550</v>
      </c>
      <c r="C7387" s="2" t="str">
        <f ca="1">IFERROR(__xludf.DUMMYFUNCTION("GOOGLETRANSLATE(A7387,""bn"",""en"")"),"You were preparing sweets")</f>
        <v>You were preparing sweets</v>
      </c>
      <c r="D7387" s="5"/>
      <c r="E7387" s="5"/>
      <c r="F7387" s="5"/>
      <c r="G7387" s="5"/>
      <c r="H7387" s="5"/>
      <c r="I7387" s="5"/>
      <c r="J7387" s="5"/>
      <c r="K7387" s="5"/>
      <c r="L7387" s="5"/>
      <c r="M7387" s="5"/>
      <c r="N7387" s="5"/>
      <c r="O7387" s="5"/>
      <c r="P7387" s="5"/>
      <c r="Q7387" s="5"/>
      <c r="R7387" s="5"/>
      <c r="S7387" s="5"/>
      <c r="T7387" s="5"/>
      <c r="U7387" s="5"/>
      <c r="V7387" s="5"/>
      <c r="W7387" s="5"/>
      <c r="X7387" s="5"/>
      <c r="Y7387" s="5"/>
      <c r="Z7387" s="5"/>
    </row>
    <row r="7388" spans="1:26" ht="15" x14ac:dyDescent="0.25">
      <c r="A7388" s="4" t="s">
        <v>7386</v>
      </c>
      <c r="B7388" s="4" t="s">
        <v>4550</v>
      </c>
      <c r="C7388" s="2" t="str">
        <f ca="1">IFERROR(__xludf.DUMMYFUNCTION("GOOGLETRANSLATE(A7388,""bn"",""en"")"),"Went there for advice")</f>
        <v>Went there for advice</v>
      </c>
      <c r="D7388" s="5"/>
      <c r="E7388" s="5"/>
      <c r="F7388" s="5"/>
      <c r="G7388" s="5"/>
      <c r="H7388" s="5"/>
      <c r="I7388" s="5"/>
      <c r="J7388" s="5"/>
      <c r="K7388" s="5"/>
      <c r="L7388" s="5"/>
      <c r="M7388" s="5"/>
      <c r="N7388" s="5"/>
      <c r="O7388" s="5"/>
      <c r="P7388" s="5"/>
      <c r="Q7388" s="5"/>
      <c r="R7388" s="5"/>
      <c r="S7388" s="5"/>
      <c r="T7388" s="5"/>
      <c r="U7388" s="5"/>
      <c r="V7388" s="5"/>
      <c r="W7388" s="5"/>
      <c r="X7388" s="5"/>
      <c r="Y7388" s="5"/>
      <c r="Z7388" s="5"/>
    </row>
    <row r="7389" spans="1:26" ht="15" x14ac:dyDescent="0.25">
      <c r="A7389" s="4" t="s">
        <v>7387</v>
      </c>
      <c r="B7389" s="4" t="s">
        <v>4550</v>
      </c>
      <c r="C7389" s="2" t="str">
        <f ca="1">IFERROR(__xludf.DUMMYFUNCTION("GOOGLETRANSLATE(A7389,""bn"",""en"")"),"Improvements were made in the service segment")</f>
        <v>Improvements were made in the service segment</v>
      </c>
      <c r="D7389" s="5"/>
      <c r="E7389" s="5"/>
      <c r="F7389" s="5"/>
      <c r="G7389" s="5"/>
      <c r="H7389" s="5"/>
      <c r="I7389" s="5"/>
      <c r="J7389" s="5"/>
      <c r="K7389" s="5"/>
      <c r="L7389" s="5"/>
      <c r="M7389" s="5"/>
      <c r="N7389" s="5"/>
      <c r="O7389" s="5"/>
      <c r="P7389" s="5"/>
      <c r="Q7389" s="5"/>
      <c r="R7389" s="5"/>
      <c r="S7389" s="5"/>
      <c r="T7389" s="5"/>
      <c r="U7389" s="5"/>
      <c r="V7389" s="5"/>
      <c r="W7389" s="5"/>
      <c r="X7389" s="5"/>
      <c r="Y7389" s="5"/>
      <c r="Z7389" s="5"/>
    </row>
    <row r="7390" spans="1:26" ht="15" x14ac:dyDescent="0.25">
      <c r="A7390" s="4" t="s">
        <v>7388</v>
      </c>
      <c r="B7390" s="4" t="s">
        <v>4550</v>
      </c>
      <c r="C7390" s="2" t="str">
        <f ca="1">IFERROR(__xludf.DUMMYFUNCTION("GOOGLETRANSLATE(A7390,""bn"",""en"")"),"I was spending my life in the hostel")</f>
        <v>I was spending my life in the hostel</v>
      </c>
      <c r="D7390" s="5"/>
      <c r="E7390" s="5"/>
      <c r="F7390" s="5"/>
      <c r="G7390" s="5"/>
      <c r="H7390" s="5"/>
      <c r="I7390" s="5"/>
      <c r="J7390" s="5"/>
      <c r="K7390" s="5"/>
      <c r="L7390" s="5"/>
      <c r="M7390" s="5"/>
      <c r="N7390" s="5"/>
      <c r="O7390" s="5"/>
      <c r="P7390" s="5"/>
      <c r="Q7390" s="5"/>
      <c r="R7390" s="5"/>
      <c r="S7390" s="5"/>
      <c r="T7390" s="5"/>
      <c r="U7390" s="5"/>
      <c r="V7390" s="5"/>
      <c r="W7390" s="5"/>
      <c r="X7390" s="5"/>
      <c r="Y7390" s="5"/>
      <c r="Z7390" s="5"/>
    </row>
    <row r="7391" spans="1:26" ht="15" x14ac:dyDescent="0.25">
      <c r="A7391" s="4" t="s">
        <v>7389</v>
      </c>
      <c r="B7391" s="4" t="s">
        <v>4550</v>
      </c>
      <c r="C7391" s="2" t="str">
        <f ca="1">IFERROR(__xludf.DUMMYFUNCTION("GOOGLETRANSLATE(A7391,""bn"",""en"")"),"There was talk of resignation")</f>
        <v>There was talk of resignation</v>
      </c>
      <c r="D7391" s="5"/>
      <c r="E7391" s="5"/>
      <c r="F7391" s="5"/>
      <c r="G7391" s="5"/>
      <c r="H7391" s="5"/>
      <c r="I7391" s="5"/>
      <c r="J7391" s="5"/>
      <c r="K7391" s="5"/>
      <c r="L7391" s="5"/>
      <c r="M7391" s="5"/>
      <c r="N7391" s="5"/>
      <c r="O7391" s="5"/>
      <c r="P7391" s="5"/>
      <c r="Q7391" s="5"/>
      <c r="R7391" s="5"/>
      <c r="S7391" s="5"/>
      <c r="T7391" s="5"/>
      <c r="U7391" s="5"/>
      <c r="V7391" s="5"/>
      <c r="W7391" s="5"/>
      <c r="X7391" s="5"/>
      <c r="Y7391" s="5"/>
      <c r="Z7391" s="5"/>
    </row>
    <row r="7392" spans="1:26" ht="15" x14ac:dyDescent="0.25">
      <c r="A7392" s="4" t="s">
        <v>7390</v>
      </c>
      <c r="B7392" s="4" t="s">
        <v>4550</v>
      </c>
      <c r="C7392" s="2" t="str">
        <f ca="1">IFERROR(__xludf.DUMMYFUNCTION("GOOGLETRANSLATE(A7392,""bn"",""en"")"),"They saw the exhibition in the city")</f>
        <v>They saw the exhibition in the city</v>
      </c>
      <c r="D7392" s="5"/>
      <c r="E7392" s="5"/>
      <c r="F7392" s="5"/>
      <c r="G7392" s="5"/>
      <c r="H7392" s="5"/>
      <c r="I7392" s="5"/>
      <c r="J7392" s="5"/>
      <c r="K7392" s="5"/>
      <c r="L7392" s="5"/>
      <c r="M7392" s="5"/>
      <c r="N7392" s="5"/>
      <c r="O7392" s="5"/>
      <c r="P7392" s="5"/>
      <c r="Q7392" s="5"/>
      <c r="R7392" s="5"/>
      <c r="S7392" s="5"/>
      <c r="T7392" s="5"/>
      <c r="U7392" s="5"/>
      <c r="V7392" s="5"/>
      <c r="W7392" s="5"/>
      <c r="X7392" s="5"/>
      <c r="Y7392" s="5"/>
      <c r="Z7392" s="5"/>
    </row>
    <row r="7393" spans="1:26" ht="15" x14ac:dyDescent="0.25">
      <c r="A7393" s="4" t="s">
        <v>7391</v>
      </c>
      <c r="B7393" s="4" t="s">
        <v>4550</v>
      </c>
      <c r="C7393" s="2" t="str">
        <f ca="1">IFERROR(__xludf.DUMMYFUNCTION("GOOGLETRANSLATE(A7393,""bn"",""en"")"),"There were different flavors of breakfast")</f>
        <v>There were different flavors of breakfast</v>
      </c>
      <c r="D7393" s="5"/>
      <c r="E7393" s="5"/>
      <c r="F7393" s="5"/>
      <c r="G7393" s="5"/>
      <c r="H7393" s="5"/>
      <c r="I7393" s="5"/>
      <c r="J7393" s="5"/>
      <c r="K7393" s="5"/>
      <c r="L7393" s="5"/>
      <c r="M7393" s="5"/>
      <c r="N7393" s="5"/>
      <c r="O7393" s="5"/>
      <c r="P7393" s="5"/>
      <c r="Q7393" s="5"/>
      <c r="R7393" s="5"/>
      <c r="S7393" s="5"/>
      <c r="T7393" s="5"/>
      <c r="U7393" s="5"/>
      <c r="V7393" s="5"/>
      <c r="W7393" s="5"/>
      <c r="X7393" s="5"/>
      <c r="Y7393" s="5"/>
      <c r="Z7393" s="5"/>
    </row>
    <row r="7394" spans="1:26" ht="15" x14ac:dyDescent="0.25">
      <c r="A7394" s="4" t="s">
        <v>7392</v>
      </c>
      <c r="B7394" s="4" t="s">
        <v>4550</v>
      </c>
      <c r="C7394" s="2" t="str">
        <f ca="1">IFERROR(__xludf.DUMMYFUNCTION("GOOGLETRANSLATE(A7394,""bn"",""en"")"),"We reached the mosque by walking")</f>
        <v>We reached the mosque by walking</v>
      </c>
      <c r="D7394" s="5"/>
      <c r="E7394" s="5"/>
      <c r="F7394" s="5"/>
      <c r="G7394" s="5"/>
      <c r="H7394" s="5"/>
      <c r="I7394" s="5"/>
      <c r="J7394" s="5"/>
      <c r="K7394" s="5"/>
      <c r="L7394" s="5"/>
      <c r="M7394" s="5"/>
      <c r="N7394" s="5"/>
      <c r="O7394" s="5"/>
      <c r="P7394" s="5"/>
      <c r="Q7394" s="5"/>
      <c r="R7394" s="5"/>
      <c r="S7394" s="5"/>
      <c r="T7394" s="5"/>
      <c r="U7394" s="5"/>
      <c r="V7394" s="5"/>
      <c r="W7394" s="5"/>
      <c r="X7394" s="5"/>
      <c r="Y7394" s="5"/>
      <c r="Z7394" s="5"/>
    </row>
    <row r="7395" spans="1:26" ht="15" x14ac:dyDescent="0.25">
      <c r="A7395" s="4" t="s">
        <v>7393</v>
      </c>
      <c r="B7395" s="4" t="s">
        <v>4550</v>
      </c>
      <c r="C7395" s="2" t="str">
        <f ca="1">IFERROR(__xludf.DUMMYFUNCTION("GOOGLETRANSLATE(A7395,""bn"",""en"")"),"Conflicting discussions of the Republic were underway")</f>
        <v>Conflicting discussions of the Republic were underway</v>
      </c>
      <c r="D7395" s="5"/>
      <c r="E7395" s="5"/>
      <c r="F7395" s="5"/>
      <c r="G7395" s="5"/>
      <c r="H7395" s="5"/>
      <c r="I7395" s="5"/>
      <c r="J7395" s="5"/>
      <c r="K7395" s="5"/>
      <c r="L7395" s="5"/>
      <c r="M7395" s="5"/>
      <c r="N7395" s="5"/>
      <c r="O7395" s="5"/>
      <c r="P7395" s="5"/>
      <c r="Q7395" s="5"/>
      <c r="R7395" s="5"/>
      <c r="S7395" s="5"/>
      <c r="T7395" s="5"/>
      <c r="U7395" s="5"/>
      <c r="V7395" s="5"/>
      <c r="W7395" s="5"/>
      <c r="X7395" s="5"/>
      <c r="Y7395" s="5"/>
      <c r="Z7395" s="5"/>
    </row>
    <row r="7396" spans="1:26" ht="15" x14ac:dyDescent="0.25">
      <c r="A7396" s="4" t="s">
        <v>7394</v>
      </c>
      <c r="B7396" s="4" t="s">
        <v>4550</v>
      </c>
      <c r="C7396" s="2" t="str">
        <f ca="1">IFERROR(__xludf.DUMMYFUNCTION("GOOGLETRANSLATE(A7396,""bn"",""en"")"),"You were doing higher education last year")</f>
        <v>You were doing higher education last year</v>
      </c>
      <c r="D7396" s="5"/>
      <c r="E7396" s="5"/>
      <c r="F7396" s="5"/>
      <c r="G7396" s="5"/>
      <c r="H7396" s="5"/>
      <c r="I7396" s="5"/>
      <c r="J7396" s="5"/>
      <c r="K7396" s="5"/>
      <c r="L7396" s="5"/>
      <c r="M7396" s="5"/>
      <c r="N7396" s="5"/>
      <c r="O7396" s="5"/>
      <c r="P7396" s="5"/>
      <c r="Q7396" s="5"/>
      <c r="R7396" s="5"/>
      <c r="S7396" s="5"/>
      <c r="T7396" s="5"/>
      <c r="U7396" s="5"/>
      <c r="V7396" s="5"/>
      <c r="W7396" s="5"/>
      <c r="X7396" s="5"/>
      <c r="Y7396" s="5"/>
      <c r="Z7396" s="5"/>
    </row>
    <row r="7397" spans="1:26" ht="15" x14ac:dyDescent="0.25">
      <c r="A7397" s="4" t="s">
        <v>7395</v>
      </c>
      <c r="B7397" s="4" t="s">
        <v>4550</v>
      </c>
      <c r="C7397" s="2" t="str">
        <f ca="1">IFERROR(__xludf.DUMMYFUNCTION("GOOGLETRANSLATE(A7397,""bn"",""en"")"),"Your project was successful")</f>
        <v>Your project was successful</v>
      </c>
      <c r="D7397" s="5"/>
      <c r="E7397" s="5"/>
      <c r="F7397" s="5"/>
      <c r="G7397" s="5"/>
      <c r="H7397" s="5"/>
      <c r="I7397" s="5"/>
      <c r="J7397" s="5"/>
      <c r="K7397" s="5"/>
      <c r="L7397" s="5"/>
      <c r="M7397" s="5"/>
      <c r="N7397" s="5"/>
      <c r="O7397" s="5"/>
      <c r="P7397" s="5"/>
      <c r="Q7397" s="5"/>
      <c r="R7397" s="5"/>
      <c r="S7397" s="5"/>
      <c r="T7397" s="5"/>
      <c r="U7397" s="5"/>
      <c r="V7397" s="5"/>
      <c r="W7397" s="5"/>
      <c r="X7397" s="5"/>
      <c r="Y7397" s="5"/>
      <c r="Z7397" s="5"/>
    </row>
    <row r="7398" spans="1:26" ht="15" x14ac:dyDescent="0.25">
      <c r="A7398" s="4" t="s">
        <v>7396</v>
      </c>
      <c r="B7398" s="4" t="s">
        <v>4550</v>
      </c>
      <c r="C7398" s="2" t="str">
        <f ca="1">IFERROR(__xludf.DUMMYFUNCTION("GOOGLETRANSLATE(A7398,""bn"",""en"")"),"I was eating potatoes")</f>
        <v>I was eating potatoes</v>
      </c>
      <c r="D7398" s="5"/>
      <c r="E7398" s="5"/>
      <c r="F7398" s="5"/>
      <c r="G7398" s="5"/>
      <c r="H7398" s="5"/>
      <c r="I7398" s="5"/>
      <c r="J7398" s="5"/>
      <c r="K7398" s="5"/>
      <c r="L7398" s="5"/>
      <c r="M7398" s="5"/>
      <c r="N7398" s="5"/>
      <c r="O7398" s="5"/>
      <c r="P7398" s="5"/>
      <c r="Q7398" s="5"/>
      <c r="R7398" s="5"/>
      <c r="S7398" s="5"/>
      <c r="T7398" s="5"/>
      <c r="U7398" s="5"/>
      <c r="V7398" s="5"/>
      <c r="W7398" s="5"/>
      <c r="X7398" s="5"/>
      <c r="Y7398" s="5"/>
      <c r="Z7398" s="5"/>
    </row>
    <row r="7399" spans="1:26" ht="15" x14ac:dyDescent="0.25">
      <c r="A7399" s="4" t="s">
        <v>7397</v>
      </c>
      <c r="B7399" s="4" t="s">
        <v>4550</v>
      </c>
      <c r="C7399" s="2" t="str">
        <f ca="1">IFERROR(__xludf.DUMMYFUNCTION("GOOGLETRANSLATE(A7399,""bn"",""en"")"),"I watched a thriller last night")</f>
        <v>I watched a thriller last night</v>
      </c>
      <c r="D7399" s="5"/>
      <c r="E7399" s="5"/>
      <c r="F7399" s="5"/>
      <c r="G7399" s="5"/>
      <c r="H7399" s="5"/>
      <c r="I7399" s="5"/>
      <c r="J7399" s="5"/>
      <c r="K7399" s="5"/>
      <c r="L7399" s="5"/>
      <c r="M7399" s="5"/>
      <c r="N7399" s="5"/>
      <c r="O7399" s="5"/>
      <c r="P7399" s="5"/>
      <c r="Q7399" s="5"/>
      <c r="R7399" s="5"/>
      <c r="S7399" s="5"/>
      <c r="T7399" s="5"/>
      <c r="U7399" s="5"/>
      <c r="V7399" s="5"/>
      <c r="W7399" s="5"/>
      <c r="X7399" s="5"/>
      <c r="Y7399" s="5"/>
      <c r="Z7399" s="5"/>
    </row>
    <row r="7400" spans="1:26" ht="15" x14ac:dyDescent="0.25">
      <c r="A7400" s="4" t="s">
        <v>7398</v>
      </c>
      <c r="B7400" s="4" t="s">
        <v>4550</v>
      </c>
      <c r="C7400" s="2" t="str">
        <f ca="1">IFERROR(__xludf.DUMMYFUNCTION("GOOGLETRANSLATE(A7400,""bn"",""en"")"),"You were making fish kebabs")</f>
        <v>You were making fish kebabs</v>
      </c>
      <c r="D7400" s="5"/>
      <c r="E7400" s="5"/>
      <c r="F7400" s="5"/>
      <c r="G7400" s="5"/>
      <c r="H7400" s="5"/>
      <c r="I7400" s="5"/>
      <c r="J7400" s="5"/>
      <c r="K7400" s="5"/>
      <c r="L7400" s="5"/>
      <c r="M7400" s="5"/>
      <c r="N7400" s="5"/>
      <c r="O7400" s="5"/>
      <c r="P7400" s="5"/>
      <c r="Q7400" s="5"/>
      <c r="R7400" s="5"/>
      <c r="S7400" s="5"/>
      <c r="T7400" s="5"/>
      <c r="U7400" s="5"/>
      <c r="V7400" s="5"/>
      <c r="W7400" s="5"/>
      <c r="X7400" s="5"/>
      <c r="Y7400" s="5"/>
      <c r="Z7400" s="5"/>
    </row>
    <row r="7401" spans="1:26" ht="15" x14ac:dyDescent="0.25">
      <c r="A7401" s="4" t="s">
        <v>7399</v>
      </c>
      <c r="B7401" s="4" t="s">
        <v>4550</v>
      </c>
      <c r="C7401" s="2" t="str">
        <f ca="1">IFERROR(__xludf.DUMMYFUNCTION("GOOGLETRANSLATE(A7401,""bn"",""en"")"),"The developer did the software testing")</f>
        <v>The developer did the software testing</v>
      </c>
      <c r="D7401" s="5"/>
      <c r="E7401" s="5"/>
      <c r="F7401" s="5"/>
      <c r="G7401" s="5"/>
      <c r="H7401" s="5"/>
      <c r="I7401" s="5"/>
      <c r="J7401" s="5"/>
      <c r="K7401" s="5"/>
      <c r="L7401" s="5"/>
      <c r="M7401" s="5"/>
      <c r="N7401" s="5"/>
      <c r="O7401" s="5"/>
      <c r="P7401" s="5"/>
      <c r="Q7401" s="5"/>
      <c r="R7401" s="5"/>
      <c r="S7401" s="5"/>
      <c r="T7401" s="5"/>
      <c r="U7401" s="5"/>
      <c r="V7401" s="5"/>
      <c r="W7401" s="5"/>
      <c r="X7401" s="5"/>
      <c r="Y7401" s="5"/>
      <c r="Z7401" s="5"/>
    </row>
    <row r="7402" spans="1:26" ht="15" x14ac:dyDescent="0.25">
      <c r="A7402" s="4" t="s">
        <v>7400</v>
      </c>
      <c r="B7402" s="4" t="s">
        <v>4550</v>
      </c>
      <c r="C7402" s="2" t="str">
        <f ca="1">IFERROR(__xludf.DUMMYFUNCTION("GOOGLETRANSLATE(A7402,""bn"",""en"")"),"Computer software improved")</f>
        <v>Computer software improved</v>
      </c>
      <c r="D7402" s="5"/>
      <c r="E7402" s="5"/>
      <c r="F7402" s="5"/>
      <c r="G7402" s="5"/>
      <c r="H7402" s="5"/>
      <c r="I7402" s="5"/>
      <c r="J7402" s="5"/>
      <c r="K7402" s="5"/>
      <c r="L7402" s="5"/>
      <c r="M7402" s="5"/>
      <c r="N7402" s="5"/>
      <c r="O7402" s="5"/>
      <c r="P7402" s="5"/>
      <c r="Q7402" s="5"/>
      <c r="R7402" s="5"/>
      <c r="S7402" s="5"/>
      <c r="T7402" s="5"/>
      <c r="U7402" s="5"/>
      <c r="V7402" s="5"/>
      <c r="W7402" s="5"/>
      <c r="X7402" s="5"/>
      <c r="Y7402" s="5"/>
      <c r="Z7402" s="5"/>
    </row>
    <row r="7403" spans="1:26" ht="15" x14ac:dyDescent="0.25">
      <c r="A7403" s="4" t="s">
        <v>7401</v>
      </c>
      <c r="B7403" s="4" t="s">
        <v>4550</v>
      </c>
      <c r="C7403" s="2" t="str">
        <f ca="1">IFERROR(__xludf.DUMMYFUNCTION("GOOGLETRANSLATE(A7403,""bn"",""en"")"),"Previously the feature was upgraded")</f>
        <v>Previously the feature was upgraded</v>
      </c>
      <c r="D7403" s="5"/>
      <c r="E7403" s="5"/>
      <c r="F7403" s="5"/>
      <c r="G7403" s="5"/>
      <c r="H7403" s="5"/>
      <c r="I7403" s="5"/>
      <c r="J7403" s="5"/>
      <c r="K7403" s="5"/>
      <c r="L7403" s="5"/>
      <c r="M7403" s="5"/>
      <c r="N7403" s="5"/>
      <c r="O7403" s="5"/>
      <c r="P7403" s="5"/>
      <c r="Q7403" s="5"/>
      <c r="R7403" s="5"/>
      <c r="S7403" s="5"/>
      <c r="T7403" s="5"/>
      <c r="U7403" s="5"/>
      <c r="V7403" s="5"/>
      <c r="W7403" s="5"/>
      <c r="X7403" s="5"/>
      <c r="Y7403" s="5"/>
      <c r="Z7403" s="5"/>
    </row>
    <row r="7404" spans="1:26" ht="15" x14ac:dyDescent="0.25">
      <c r="A7404" s="4" t="s">
        <v>7402</v>
      </c>
      <c r="B7404" s="4" t="s">
        <v>4550</v>
      </c>
      <c r="C7404" s="2" t="str">
        <f ca="1">IFERROR(__xludf.DUMMYFUNCTION("GOOGLETRANSLATE(A7404,""bn"",""en"")"),"Mangoes were collected")</f>
        <v>Mangoes were collected</v>
      </c>
      <c r="D7404" s="5"/>
      <c r="E7404" s="5"/>
      <c r="F7404" s="5"/>
      <c r="G7404" s="5"/>
      <c r="H7404" s="5"/>
      <c r="I7404" s="5"/>
      <c r="J7404" s="5"/>
      <c r="K7404" s="5"/>
      <c r="L7404" s="5"/>
      <c r="M7404" s="5"/>
      <c r="N7404" s="5"/>
      <c r="O7404" s="5"/>
      <c r="P7404" s="5"/>
      <c r="Q7404" s="5"/>
      <c r="R7404" s="5"/>
      <c r="S7404" s="5"/>
      <c r="T7404" s="5"/>
      <c r="U7404" s="5"/>
      <c r="V7404" s="5"/>
      <c r="W7404" s="5"/>
      <c r="X7404" s="5"/>
      <c r="Y7404" s="5"/>
      <c r="Z7404" s="5"/>
    </row>
    <row r="7405" spans="1:26" ht="15" x14ac:dyDescent="0.25">
      <c r="A7405" s="4" t="s">
        <v>7403</v>
      </c>
      <c r="B7405" s="4" t="s">
        <v>4550</v>
      </c>
      <c r="C7405" s="2" t="str">
        <f ca="1">IFERROR(__xludf.DUMMYFUNCTION("GOOGLETRANSLATE(A7405,""bn"",""en"")"),"Mangoes were collected and sent abroad")</f>
        <v>Mangoes were collected and sent abroad</v>
      </c>
      <c r="D7405" s="5"/>
      <c r="E7405" s="5"/>
      <c r="F7405" s="5"/>
      <c r="G7405" s="5"/>
      <c r="H7405" s="5"/>
      <c r="I7405" s="5"/>
      <c r="J7405" s="5"/>
      <c r="K7405" s="5"/>
      <c r="L7405" s="5"/>
      <c r="M7405" s="5"/>
      <c r="N7405" s="5"/>
      <c r="O7405" s="5"/>
      <c r="P7405" s="5"/>
      <c r="Q7405" s="5"/>
      <c r="R7405" s="5"/>
      <c r="S7405" s="5"/>
      <c r="T7405" s="5"/>
      <c r="U7405" s="5"/>
      <c r="V7405" s="5"/>
      <c r="W7405" s="5"/>
      <c r="X7405" s="5"/>
      <c r="Y7405" s="5"/>
      <c r="Z7405" s="5"/>
    </row>
    <row r="7406" spans="1:26" ht="15" x14ac:dyDescent="0.25">
      <c r="A7406" s="4" t="s">
        <v>7404</v>
      </c>
      <c r="B7406" s="4" t="s">
        <v>4550</v>
      </c>
      <c r="C7406" s="2" t="str">
        <f ca="1">IFERROR(__xludf.DUMMYFUNCTION("GOOGLETRANSLATE(A7406,""bn"",""en"")"),"I ate bread with butter")</f>
        <v>I ate bread with butter</v>
      </c>
      <c r="D7406" s="5"/>
      <c r="E7406" s="5"/>
      <c r="F7406" s="5"/>
      <c r="G7406" s="5"/>
      <c r="H7406" s="5"/>
      <c r="I7406" s="5"/>
      <c r="J7406" s="5"/>
      <c r="K7406" s="5"/>
      <c r="L7406" s="5"/>
      <c r="M7406" s="5"/>
      <c r="N7406" s="5"/>
      <c r="O7406" s="5"/>
      <c r="P7406" s="5"/>
      <c r="Q7406" s="5"/>
      <c r="R7406" s="5"/>
      <c r="S7406" s="5"/>
      <c r="T7406" s="5"/>
      <c r="U7406" s="5"/>
      <c r="V7406" s="5"/>
      <c r="W7406" s="5"/>
      <c r="X7406" s="5"/>
      <c r="Y7406" s="5"/>
      <c r="Z7406" s="5"/>
    </row>
    <row r="7407" spans="1:26" ht="15" x14ac:dyDescent="0.25">
      <c r="A7407" s="4" t="s">
        <v>7405</v>
      </c>
      <c r="B7407" s="4" t="s">
        <v>4550</v>
      </c>
      <c r="C7407" s="2" t="str">
        <f ca="1">IFERROR(__xludf.DUMMYFUNCTION("GOOGLETRANSLATE(A7407,""bn"",""en"")"),"Played in the previous month at the stadium")</f>
        <v>Played in the previous month at the stadium</v>
      </c>
      <c r="D7407" s="5"/>
      <c r="E7407" s="5"/>
      <c r="F7407" s="5"/>
      <c r="G7407" s="5"/>
      <c r="H7407" s="5"/>
      <c r="I7407" s="5"/>
      <c r="J7407" s="5"/>
      <c r="K7407" s="5"/>
      <c r="L7407" s="5"/>
      <c r="M7407" s="5"/>
      <c r="N7407" s="5"/>
      <c r="O7407" s="5"/>
      <c r="P7407" s="5"/>
      <c r="Q7407" s="5"/>
      <c r="R7407" s="5"/>
      <c r="S7407" s="5"/>
      <c r="T7407" s="5"/>
      <c r="U7407" s="5"/>
      <c r="V7407" s="5"/>
      <c r="W7407" s="5"/>
      <c r="X7407" s="5"/>
      <c r="Y7407" s="5"/>
      <c r="Z7407" s="5"/>
    </row>
    <row r="7408" spans="1:26" ht="15" x14ac:dyDescent="0.25">
      <c r="A7408" s="4" t="s">
        <v>7406</v>
      </c>
      <c r="B7408" s="4" t="s">
        <v>4550</v>
      </c>
      <c r="C7408" s="2" t="str">
        <f ca="1">IFERROR(__xludf.DUMMYFUNCTION("GOOGLETRANSLATE(A7408,""bn"",""en"")"),"The game was played on the tennis court")</f>
        <v>The game was played on the tennis court</v>
      </c>
      <c r="D7408" s="5"/>
      <c r="E7408" s="5"/>
      <c r="F7408" s="5"/>
      <c r="G7408" s="5"/>
      <c r="H7408" s="5"/>
      <c r="I7408" s="5"/>
      <c r="J7408" s="5"/>
      <c r="K7408" s="5"/>
      <c r="L7408" s="5"/>
      <c r="M7408" s="5"/>
      <c r="N7408" s="5"/>
      <c r="O7408" s="5"/>
      <c r="P7408" s="5"/>
      <c r="Q7408" s="5"/>
      <c r="R7408" s="5"/>
      <c r="S7408" s="5"/>
      <c r="T7408" s="5"/>
      <c r="U7408" s="5"/>
      <c r="V7408" s="5"/>
      <c r="W7408" s="5"/>
      <c r="X7408" s="5"/>
      <c r="Y7408" s="5"/>
      <c r="Z7408" s="5"/>
    </row>
    <row r="7409" spans="1:26" ht="15" x14ac:dyDescent="0.25">
      <c r="A7409" s="4" t="s">
        <v>7407</v>
      </c>
      <c r="B7409" s="4" t="s">
        <v>4550</v>
      </c>
      <c r="C7409" s="2" t="str">
        <f ca="1">IFERROR(__xludf.DUMMYFUNCTION("GOOGLETRANSLATE(A7409,""bn"",""en"")"),"Ate fish at home today")</f>
        <v>Ate fish at home today</v>
      </c>
      <c r="D7409" s="5"/>
      <c r="E7409" s="5"/>
      <c r="F7409" s="5"/>
      <c r="G7409" s="5"/>
      <c r="H7409" s="5"/>
      <c r="I7409" s="5"/>
      <c r="J7409" s="5"/>
      <c r="K7409" s="5"/>
      <c r="L7409" s="5"/>
      <c r="M7409" s="5"/>
      <c r="N7409" s="5"/>
      <c r="O7409" s="5"/>
      <c r="P7409" s="5"/>
      <c r="Q7409" s="5"/>
      <c r="R7409" s="5"/>
      <c r="S7409" s="5"/>
      <c r="T7409" s="5"/>
      <c r="U7409" s="5"/>
      <c r="V7409" s="5"/>
      <c r="W7409" s="5"/>
      <c r="X7409" s="5"/>
      <c r="Y7409" s="5"/>
      <c r="Z7409" s="5"/>
    </row>
    <row r="7410" spans="1:26" ht="15" x14ac:dyDescent="0.25">
      <c r="A7410" s="4" t="s">
        <v>7408</v>
      </c>
      <c r="B7410" s="4" t="s">
        <v>4550</v>
      </c>
      <c r="C7410" s="2" t="str">
        <f ca="1">IFERROR(__xludf.DUMMYFUNCTION("GOOGLETRANSLATE(A7410,""bn"",""en"")"),"The batsman scored a century first")</f>
        <v>The batsman scored a century first</v>
      </c>
      <c r="D7410" s="5"/>
      <c r="E7410" s="5"/>
      <c r="F7410" s="5"/>
      <c r="G7410" s="5"/>
      <c r="H7410" s="5"/>
      <c r="I7410" s="5"/>
      <c r="J7410" s="5"/>
      <c r="K7410" s="5"/>
      <c r="L7410" s="5"/>
      <c r="M7410" s="5"/>
      <c r="N7410" s="5"/>
      <c r="O7410" s="5"/>
      <c r="P7410" s="5"/>
      <c r="Q7410" s="5"/>
      <c r="R7410" s="5"/>
      <c r="S7410" s="5"/>
      <c r="T7410" s="5"/>
      <c r="U7410" s="5"/>
      <c r="V7410" s="5"/>
      <c r="W7410" s="5"/>
      <c r="X7410" s="5"/>
      <c r="Y7410" s="5"/>
      <c r="Z7410" s="5"/>
    </row>
    <row r="7411" spans="1:26" ht="15" x14ac:dyDescent="0.25">
      <c r="A7411" s="4" t="s">
        <v>7409</v>
      </c>
      <c r="B7411" s="4" t="s">
        <v>4550</v>
      </c>
      <c r="C7411" s="2" t="str">
        <f ca="1">IFERROR(__xludf.DUMMYFUNCTION("GOOGLETRANSLATE(A7411,""bn"",""en"")"),"We used to watch plays during the week")</f>
        <v>We used to watch plays during the week</v>
      </c>
      <c r="D7411" s="5"/>
      <c r="E7411" s="5"/>
      <c r="F7411" s="5"/>
      <c r="G7411" s="5"/>
      <c r="H7411" s="5"/>
      <c r="I7411" s="5"/>
      <c r="J7411" s="5"/>
      <c r="K7411" s="5"/>
      <c r="L7411" s="5"/>
      <c r="M7411" s="5"/>
      <c r="N7411" s="5"/>
      <c r="O7411" s="5"/>
      <c r="P7411" s="5"/>
      <c r="Q7411" s="5"/>
      <c r="R7411" s="5"/>
      <c r="S7411" s="5"/>
      <c r="T7411" s="5"/>
      <c r="U7411" s="5"/>
      <c r="V7411" s="5"/>
      <c r="W7411" s="5"/>
      <c r="X7411" s="5"/>
      <c r="Y7411" s="5"/>
      <c r="Z7411" s="5"/>
    </row>
    <row r="7412" spans="1:26" ht="15" x14ac:dyDescent="0.25">
      <c r="A7412" s="4" t="s">
        <v>7410</v>
      </c>
      <c r="B7412" s="4" t="s">
        <v>4550</v>
      </c>
      <c r="C7412" s="2" t="str">
        <f ca="1">IFERROR(__xludf.DUMMYFUNCTION("GOOGLETRANSLATE(A7412,""bn"",""en"")"),"The bereaved workers were furious")</f>
        <v>The bereaved workers were furious</v>
      </c>
      <c r="D7412" s="5"/>
      <c r="E7412" s="5"/>
      <c r="F7412" s="5"/>
      <c r="G7412" s="5"/>
      <c r="H7412" s="5"/>
      <c r="I7412" s="5"/>
      <c r="J7412" s="5"/>
      <c r="K7412" s="5"/>
      <c r="L7412" s="5"/>
      <c r="M7412" s="5"/>
      <c r="N7412" s="5"/>
      <c r="O7412" s="5"/>
      <c r="P7412" s="5"/>
      <c r="Q7412" s="5"/>
      <c r="R7412" s="5"/>
      <c r="S7412" s="5"/>
      <c r="T7412" s="5"/>
      <c r="U7412" s="5"/>
      <c r="V7412" s="5"/>
      <c r="W7412" s="5"/>
      <c r="X7412" s="5"/>
      <c r="Y7412" s="5"/>
      <c r="Z7412" s="5"/>
    </row>
    <row r="7413" spans="1:26" ht="15" x14ac:dyDescent="0.25">
      <c r="A7413" s="4" t="s">
        <v>7411</v>
      </c>
      <c r="B7413" s="4" t="s">
        <v>4550</v>
      </c>
      <c r="C7413" s="2" t="str">
        <f ca="1">IFERROR(__xludf.DUMMYFUNCTION("GOOGLETRANSLATE(A7413,""bn"",""en"")"),"Testing software quality increased")</f>
        <v>Testing software quality increased</v>
      </c>
      <c r="D7413" s="5"/>
      <c r="E7413" s="5"/>
      <c r="F7413" s="5"/>
      <c r="G7413" s="5"/>
      <c r="H7413" s="5"/>
      <c r="I7413" s="5"/>
      <c r="J7413" s="5"/>
      <c r="K7413" s="5"/>
      <c r="L7413" s="5"/>
      <c r="M7413" s="5"/>
      <c r="N7413" s="5"/>
      <c r="O7413" s="5"/>
      <c r="P7413" s="5"/>
      <c r="Q7413" s="5"/>
      <c r="R7413" s="5"/>
      <c r="S7413" s="5"/>
      <c r="T7413" s="5"/>
      <c r="U7413" s="5"/>
      <c r="V7413" s="5"/>
      <c r="W7413" s="5"/>
      <c r="X7413" s="5"/>
      <c r="Y7413" s="5"/>
      <c r="Z7413" s="5"/>
    </row>
    <row r="7414" spans="1:26" ht="15" x14ac:dyDescent="0.25">
      <c r="A7414" s="4" t="s">
        <v>7412</v>
      </c>
      <c r="B7414" s="4" t="s">
        <v>4550</v>
      </c>
      <c r="C7414" s="2" t="str">
        <f ca="1">IFERROR(__xludf.DUMMYFUNCTION("GOOGLETRANSLATE(A7414,""bn"",""en"")"),"You ate potatoes")</f>
        <v>You ate potatoes</v>
      </c>
      <c r="D7414" s="5"/>
      <c r="E7414" s="5"/>
      <c r="F7414" s="5"/>
      <c r="G7414" s="5"/>
      <c r="H7414" s="5"/>
      <c r="I7414" s="5"/>
      <c r="J7414" s="5"/>
      <c r="K7414" s="5"/>
      <c r="L7414" s="5"/>
      <c r="M7414" s="5"/>
      <c r="N7414" s="5"/>
      <c r="O7414" s="5"/>
      <c r="P7414" s="5"/>
      <c r="Q7414" s="5"/>
      <c r="R7414" s="5"/>
      <c r="S7414" s="5"/>
      <c r="T7414" s="5"/>
      <c r="U7414" s="5"/>
      <c r="V7414" s="5"/>
      <c r="W7414" s="5"/>
      <c r="X7414" s="5"/>
      <c r="Y7414" s="5"/>
      <c r="Z7414" s="5"/>
    </row>
    <row r="7415" spans="1:26" ht="15" x14ac:dyDescent="0.25">
      <c r="A7415" s="4" t="s">
        <v>7413</v>
      </c>
      <c r="B7415" s="4" t="s">
        <v>4550</v>
      </c>
      <c r="C7415" s="2" t="str">
        <f ca="1">IFERROR(__xludf.DUMMYFUNCTION("GOOGLETRANSLATE(A7415,""bn"",""en"")"),"You wanted to eat potatoes")</f>
        <v>You wanted to eat potatoes</v>
      </c>
      <c r="D7415" s="5"/>
      <c r="E7415" s="5"/>
      <c r="F7415" s="5"/>
      <c r="G7415" s="5"/>
      <c r="H7415" s="5"/>
      <c r="I7415" s="5"/>
      <c r="J7415" s="5"/>
      <c r="K7415" s="5"/>
      <c r="L7415" s="5"/>
      <c r="M7415" s="5"/>
      <c r="N7415" s="5"/>
      <c r="O7415" s="5"/>
      <c r="P7415" s="5"/>
      <c r="Q7415" s="5"/>
      <c r="R7415" s="5"/>
      <c r="S7415" s="5"/>
      <c r="T7415" s="5"/>
      <c r="U7415" s="5"/>
      <c r="V7415" s="5"/>
      <c r="W7415" s="5"/>
      <c r="X7415" s="5"/>
      <c r="Y7415" s="5"/>
      <c r="Z7415" s="5"/>
    </row>
    <row r="7416" spans="1:26" ht="15" x14ac:dyDescent="0.25">
      <c r="A7416" s="4" t="s">
        <v>7414</v>
      </c>
      <c r="B7416" s="4" t="s">
        <v>4550</v>
      </c>
      <c r="C7416" s="2" t="str">
        <f ca="1">IFERROR(__xludf.DUMMYFUNCTION("GOOGLETRANSLATE(A7416,""bn"",""en"")"),"I attended the premiere exhibition")</f>
        <v>I attended the premiere exhibition</v>
      </c>
      <c r="D7416" s="5"/>
      <c r="E7416" s="5"/>
      <c r="F7416" s="5"/>
      <c r="G7416" s="5"/>
      <c r="H7416" s="5"/>
      <c r="I7416" s="5"/>
      <c r="J7416" s="5"/>
      <c r="K7416" s="5"/>
      <c r="L7416" s="5"/>
      <c r="M7416" s="5"/>
      <c r="N7416" s="5"/>
      <c r="O7416" s="5"/>
      <c r="P7416" s="5"/>
      <c r="Q7416" s="5"/>
      <c r="R7416" s="5"/>
      <c r="S7416" s="5"/>
      <c r="T7416" s="5"/>
      <c r="U7416" s="5"/>
      <c r="V7416" s="5"/>
      <c r="W7416" s="5"/>
      <c r="X7416" s="5"/>
      <c r="Y7416" s="5"/>
      <c r="Z7416" s="5"/>
    </row>
    <row r="7417" spans="1:26" ht="15" x14ac:dyDescent="0.25">
      <c r="A7417" s="4" t="s">
        <v>7415</v>
      </c>
      <c r="B7417" s="4" t="s">
        <v>4550</v>
      </c>
      <c r="C7417" s="2" t="str">
        <f ca="1">IFERROR(__xludf.DUMMYFUNCTION("GOOGLETRANSLATE(A7417,""bn"",""en"")"),"Commercial progress was seen")</f>
        <v>Commercial progress was seen</v>
      </c>
      <c r="D7417" s="5"/>
      <c r="E7417" s="5"/>
      <c r="F7417" s="5"/>
      <c r="G7417" s="5"/>
      <c r="H7417" s="5"/>
      <c r="I7417" s="5"/>
      <c r="J7417" s="5"/>
      <c r="K7417" s="5"/>
      <c r="L7417" s="5"/>
      <c r="M7417" s="5"/>
      <c r="N7417" s="5"/>
      <c r="O7417" s="5"/>
      <c r="P7417" s="5"/>
      <c r="Q7417" s="5"/>
      <c r="R7417" s="5"/>
      <c r="S7417" s="5"/>
      <c r="T7417" s="5"/>
      <c r="U7417" s="5"/>
      <c r="V7417" s="5"/>
      <c r="W7417" s="5"/>
      <c r="X7417" s="5"/>
      <c r="Y7417" s="5"/>
      <c r="Z7417" s="5"/>
    </row>
    <row r="7418" spans="1:26" ht="15" x14ac:dyDescent="0.25">
      <c r="A7418" s="4" t="s">
        <v>7416</v>
      </c>
      <c r="B7418" s="4" t="s">
        <v>4550</v>
      </c>
      <c r="C7418" s="2" t="str">
        <f ca="1">IFERROR(__xludf.DUMMYFUNCTION("GOOGLETRANSLATE(A7418,""bn"",""en"")"),"Previously completed projects")</f>
        <v>Previously completed projects</v>
      </c>
      <c r="D7418" s="5"/>
      <c r="E7418" s="5"/>
      <c r="F7418" s="5"/>
      <c r="G7418" s="5"/>
      <c r="H7418" s="5"/>
      <c r="I7418" s="5"/>
      <c r="J7418" s="5"/>
      <c r="K7418" s="5"/>
      <c r="L7418" s="5"/>
      <c r="M7418" s="5"/>
      <c r="N7418" s="5"/>
      <c r="O7418" s="5"/>
      <c r="P7418" s="5"/>
      <c r="Q7418" s="5"/>
      <c r="R7418" s="5"/>
      <c r="S7418" s="5"/>
      <c r="T7418" s="5"/>
      <c r="U7418" s="5"/>
      <c r="V7418" s="5"/>
      <c r="W7418" s="5"/>
      <c r="X7418" s="5"/>
      <c r="Y7418" s="5"/>
      <c r="Z7418" s="5"/>
    </row>
    <row r="7419" spans="1:26" ht="15" x14ac:dyDescent="0.25">
      <c r="A7419" s="4" t="s">
        <v>7417</v>
      </c>
      <c r="B7419" s="4" t="s">
        <v>4550</v>
      </c>
      <c r="C7419" s="2" t="str">
        <f ca="1">IFERROR(__xludf.DUMMYFUNCTION("GOOGLETRANSLATE(A7419,""bn"",""en"")"),"Bigdata project presentation")</f>
        <v>Bigdata project presentation</v>
      </c>
      <c r="D7419" s="5"/>
      <c r="E7419" s="5"/>
      <c r="F7419" s="5"/>
      <c r="G7419" s="5"/>
      <c r="H7419" s="5"/>
      <c r="I7419" s="5"/>
      <c r="J7419" s="5"/>
      <c r="K7419" s="5"/>
      <c r="L7419" s="5"/>
      <c r="M7419" s="5"/>
      <c r="N7419" s="5"/>
      <c r="O7419" s="5"/>
      <c r="P7419" s="5"/>
      <c r="Q7419" s="5"/>
      <c r="R7419" s="5"/>
      <c r="S7419" s="5"/>
      <c r="T7419" s="5"/>
      <c r="U7419" s="5"/>
      <c r="V7419" s="5"/>
      <c r="W7419" s="5"/>
      <c r="X7419" s="5"/>
      <c r="Y7419" s="5"/>
      <c r="Z7419" s="5"/>
    </row>
    <row r="7420" spans="1:26" ht="15" x14ac:dyDescent="0.25">
      <c r="A7420" s="4" t="s">
        <v>7418</v>
      </c>
      <c r="B7420" s="4" t="s">
        <v>4550</v>
      </c>
      <c r="C7420" s="2" t="str">
        <f ca="1">IFERROR(__xludf.DUMMYFUNCTION("GOOGLETRANSLATE(A7420,""bn"",""en"")"),"The leaves were attacked by insects")</f>
        <v>The leaves were attacked by insects</v>
      </c>
      <c r="D7420" s="5"/>
      <c r="E7420" s="5"/>
      <c r="F7420" s="5"/>
      <c r="G7420" s="5"/>
      <c r="H7420" s="5"/>
      <c r="I7420" s="5"/>
      <c r="J7420" s="5"/>
      <c r="K7420" s="5"/>
      <c r="L7420" s="5"/>
      <c r="M7420" s="5"/>
      <c r="N7420" s="5"/>
      <c r="O7420" s="5"/>
      <c r="P7420" s="5"/>
      <c r="Q7420" s="5"/>
      <c r="R7420" s="5"/>
      <c r="S7420" s="5"/>
      <c r="T7420" s="5"/>
      <c r="U7420" s="5"/>
      <c r="V7420" s="5"/>
      <c r="W7420" s="5"/>
      <c r="X7420" s="5"/>
      <c r="Y7420" s="5"/>
      <c r="Z7420" s="5"/>
    </row>
    <row r="7421" spans="1:26" ht="15" x14ac:dyDescent="0.25">
      <c r="A7421" s="4" t="s">
        <v>7419</v>
      </c>
      <c r="B7421" s="4" t="s">
        <v>4550</v>
      </c>
      <c r="C7421" s="2" t="str">
        <f ca="1">IFERROR(__xludf.DUMMYFUNCTION("GOOGLETRANSLATE(A7421,""bn"",""en"")"),"Been coding all day")</f>
        <v>Been coding all day</v>
      </c>
      <c r="D7421" s="5"/>
      <c r="E7421" s="5"/>
      <c r="F7421" s="5"/>
      <c r="G7421" s="5"/>
      <c r="H7421" s="5"/>
      <c r="I7421" s="5"/>
      <c r="J7421" s="5"/>
      <c r="K7421" s="5"/>
      <c r="L7421" s="5"/>
      <c r="M7421" s="5"/>
      <c r="N7421" s="5"/>
      <c r="O7421" s="5"/>
      <c r="P7421" s="5"/>
      <c r="Q7421" s="5"/>
      <c r="R7421" s="5"/>
      <c r="S7421" s="5"/>
      <c r="T7421" s="5"/>
      <c r="U7421" s="5"/>
      <c r="V7421" s="5"/>
      <c r="W7421" s="5"/>
      <c r="X7421" s="5"/>
      <c r="Y7421" s="5"/>
      <c r="Z7421" s="5"/>
    </row>
    <row r="7422" spans="1:26" ht="15" x14ac:dyDescent="0.25">
      <c r="A7422" s="4" t="s">
        <v>7420</v>
      </c>
      <c r="B7422" s="4" t="s">
        <v>4550</v>
      </c>
      <c r="C7422" s="2" t="str">
        <f ca="1">IFERROR(__xludf.DUMMYFUNCTION("GOOGLETRANSLATE(A7422,""bn"",""en"")"),"They opened a savings account")</f>
        <v>They opened a savings account</v>
      </c>
      <c r="D7422" s="5"/>
      <c r="E7422" s="5"/>
      <c r="F7422" s="5"/>
      <c r="G7422" s="5"/>
      <c r="H7422" s="5"/>
      <c r="I7422" s="5"/>
      <c r="J7422" s="5"/>
      <c r="K7422" s="5"/>
      <c r="L7422" s="5"/>
      <c r="M7422" s="5"/>
      <c r="N7422" s="5"/>
      <c r="O7422" s="5"/>
      <c r="P7422" s="5"/>
      <c r="Q7422" s="5"/>
      <c r="R7422" s="5"/>
      <c r="S7422" s="5"/>
      <c r="T7422" s="5"/>
      <c r="U7422" s="5"/>
      <c r="V7422" s="5"/>
      <c r="W7422" s="5"/>
      <c r="X7422" s="5"/>
      <c r="Y7422" s="5"/>
      <c r="Z7422" s="5"/>
    </row>
    <row r="7423" spans="1:26" ht="15" x14ac:dyDescent="0.25">
      <c r="A7423" s="4" t="s">
        <v>7421</v>
      </c>
      <c r="B7423" s="4" t="s">
        <v>4550</v>
      </c>
      <c r="C7423" s="2" t="str">
        <f ca="1">IFERROR(__xludf.DUMMYFUNCTION("GOOGLETRANSLATE(A7423,""bn"",""en"")"),"We got permission to open the bank")</f>
        <v>We got permission to open the bank</v>
      </c>
      <c r="D7423" s="5"/>
      <c r="E7423" s="5"/>
      <c r="F7423" s="5"/>
      <c r="G7423" s="5"/>
      <c r="H7423" s="5"/>
      <c r="I7423" s="5"/>
      <c r="J7423" s="5"/>
      <c r="K7423" s="5"/>
      <c r="L7423" s="5"/>
      <c r="M7423" s="5"/>
      <c r="N7423" s="5"/>
      <c r="O7423" s="5"/>
      <c r="P7423" s="5"/>
      <c r="Q7423" s="5"/>
      <c r="R7423" s="5"/>
      <c r="S7423" s="5"/>
      <c r="T7423" s="5"/>
      <c r="U7423" s="5"/>
      <c r="V7423" s="5"/>
      <c r="W7423" s="5"/>
      <c r="X7423" s="5"/>
      <c r="Y7423" s="5"/>
      <c r="Z7423" s="5"/>
    </row>
    <row r="7424" spans="1:26" ht="15" x14ac:dyDescent="0.25">
      <c r="A7424" s="4" t="s">
        <v>7422</v>
      </c>
      <c r="B7424" s="4" t="s">
        <v>4550</v>
      </c>
      <c r="C7424" s="2" t="str">
        <f ca="1">IFERROR(__xludf.DUMMYFUNCTION("GOOGLETRANSLATE(A7424,""bn"",""en"")"),"They watched the new play")</f>
        <v>They watched the new play</v>
      </c>
      <c r="D7424" s="5"/>
      <c r="E7424" s="5"/>
      <c r="F7424" s="5"/>
      <c r="G7424" s="5"/>
      <c r="H7424" s="5"/>
      <c r="I7424" s="5"/>
      <c r="J7424" s="5"/>
      <c r="K7424" s="5"/>
      <c r="L7424" s="5"/>
      <c r="M7424" s="5"/>
      <c r="N7424" s="5"/>
      <c r="O7424" s="5"/>
      <c r="P7424" s="5"/>
      <c r="Q7424" s="5"/>
      <c r="R7424" s="5"/>
      <c r="S7424" s="5"/>
      <c r="T7424" s="5"/>
      <c r="U7424" s="5"/>
      <c r="V7424" s="5"/>
      <c r="W7424" s="5"/>
      <c r="X7424" s="5"/>
      <c r="Y7424" s="5"/>
      <c r="Z7424" s="5"/>
    </row>
    <row r="7425" spans="1:26" ht="15" x14ac:dyDescent="0.25">
      <c r="A7425" s="4" t="s">
        <v>7423</v>
      </c>
      <c r="B7425" s="4" t="s">
        <v>4550</v>
      </c>
      <c r="C7425" s="2" t="str">
        <f ca="1">IFERROR(__xludf.DUMMYFUNCTION("GOOGLETRANSLATE(A7425,""bn"",""en"")"),"We were boiling Polao")</f>
        <v>We were boiling Polao</v>
      </c>
      <c r="D7425" s="5"/>
      <c r="E7425" s="5"/>
      <c r="F7425" s="5"/>
      <c r="G7425" s="5"/>
      <c r="H7425" s="5"/>
      <c r="I7425" s="5"/>
      <c r="J7425" s="5"/>
      <c r="K7425" s="5"/>
      <c r="L7425" s="5"/>
      <c r="M7425" s="5"/>
      <c r="N7425" s="5"/>
      <c r="O7425" s="5"/>
      <c r="P7425" s="5"/>
      <c r="Q7425" s="5"/>
      <c r="R7425" s="5"/>
      <c r="S7425" s="5"/>
      <c r="T7425" s="5"/>
      <c r="U7425" s="5"/>
      <c r="V7425" s="5"/>
      <c r="W7425" s="5"/>
      <c r="X7425" s="5"/>
      <c r="Y7425" s="5"/>
      <c r="Z7425" s="5"/>
    </row>
    <row r="7426" spans="1:26" ht="15" x14ac:dyDescent="0.25">
      <c r="A7426" s="4" t="s">
        <v>7424</v>
      </c>
      <c r="B7426" s="4" t="s">
        <v>4550</v>
      </c>
      <c r="C7426" s="2" t="str">
        <f ca="1">IFERROR(__xludf.DUMMYFUNCTION("GOOGLETRANSLATE(A7426,""bn"",""en"")"),"Football was played in the stadium")</f>
        <v>Football was played in the stadium</v>
      </c>
      <c r="D7426" s="5"/>
      <c r="E7426" s="5"/>
      <c r="F7426" s="5"/>
      <c r="G7426" s="5"/>
      <c r="H7426" s="5"/>
      <c r="I7426" s="5"/>
      <c r="J7426" s="5"/>
      <c r="K7426" s="5"/>
      <c r="L7426" s="5"/>
      <c r="M7426" s="5"/>
      <c r="N7426" s="5"/>
      <c r="O7426" s="5"/>
      <c r="P7426" s="5"/>
      <c r="Q7426" s="5"/>
      <c r="R7426" s="5"/>
      <c r="S7426" s="5"/>
      <c r="T7426" s="5"/>
      <c r="U7426" s="5"/>
      <c r="V7426" s="5"/>
      <c r="W7426" s="5"/>
      <c r="X7426" s="5"/>
      <c r="Y7426" s="5"/>
      <c r="Z7426" s="5"/>
    </row>
    <row r="7427" spans="1:26" ht="15" x14ac:dyDescent="0.25">
      <c r="A7427" s="4" t="s">
        <v>7425</v>
      </c>
      <c r="B7427" s="4" t="s">
        <v>4550</v>
      </c>
      <c r="C7427" s="2" t="str">
        <f ca="1">IFERROR(__xludf.DUMMYFUNCTION("GOOGLETRANSLATE(A7427,""bn"",""en"")"),"Cooked with Puishak")</f>
        <v>Cooked with Puishak</v>
      </c>
      <c r="D7427" s="5"/>
      <c r="E7427" s="5"/>
      <c r="F7427" s="5"/>
      <c r="G7427" s="5"/>
      <c r="H7427" s="5"/>
      <c r="I7427" s="5"/>
      <c r="J7427" s="5"/>
      <c r="K7427" s="5"/>
      <c r="L7427" s="5"/>
      <c r="M7427" s="5"/>
      <c r="N7427" s="5"/>
      <c r="O7427" s="5"/>
      <c r="P7427" s="5"/>
      <c r="Q7427" s="5"/>
      <c r="R7427" s="5"/>
      <c r="S7427" s="5"/>
      <c r="T7427" s="5"/>
      <c r="U7427" s="5"/>
      <c r="V7427" s="5"/>
      <c r="W7427" s="5"/>
      <c r="X7427" s="5"/>
      <c r="Y7427" s="5"/>
      <c r="Z7427" s="5"/>
    </row>
    <row r="7428" spans="1:26" ht="15" x14ac:dyDescent="0.25">
      <c r="A7428" s="4" t="s">
        <v>7426</v>
      </c>
      <c r="B7428" s="4" t="s">
        <v>4550</v>
      </c>
      <c r="C7428" s="2" t="str">
        <f ca="1">IFERROR(__xludf.DUMMYFUNCTION("GOOGLETRANSLATE(A7428,""bn"",""en"")"),"Football was being played on the ground")</f>
        <v>Football was being played on the ground</v>
      </c>
      <c r="D7428" s="5"/>
      <c r="E7428" s="5"/>
      <c r="F7428" s="5"/>
      <c r="G7428" s="5"/>
      <c r="H7428" s="5"/>
      <c r="I7428" s="5"/>
      <c r="J7428" s="5"/>
      <c r="K7428" s="5"/>
      <c r="L7428" s="5"/>
      <c r="M7428" s="5"/>
      <c r="N7428" s="5"/>
      <c r="O7428" s="5"/>
      <c r="P7428" s="5"/>
      <c r="Q7428" s="5"/>
      <c r="R7428" s="5"/>
      <c r="S7428" s="5"/>
      <c r="T7428" s="5"/>
      <c r="U7428" s="5"/>
      <c r="V7428" s="5"/>
      <c r="W7428" s="5"/>
      <c r="X7428" s="5"/>
      <c r="Y7428" s="5"/>
      <c r="Z7428" s="5"/>
    </row>
    <row r="7429" spans="1:26" ht="15" x14ac:dyDescent="0.25">
      <c r="A7429" s="4" t="s">
        <v>7427</v>
      </c>
      <c r="B7429" s="4" t="s">
        <v>4550</v>
      </c>
      <c r="C7429" s="2" t="str">
        <f ca="1">IFERROR(__xludf.DUMMYFUNCTION("GOOGLETRANSLATE(A7429,""bn"",""en"")"),"I saw many flowers in spring")</f>
        <v>I saw many flowers in spring</v>
      </c>
      <c r="D7429" s="5"/>
      <c r="E7429" s="5"/>
      <c r="F7429" s="5"/>
      <c r="G7429" s="5"/>
      <c r="H7429" s="5"/>
      <c r="I7429" s="5"/>
      <c r="J7429" s="5"/>
      <c r="K7429" s="5"/>
      <c r="L7429" s="5"/>
      <c r="M7429" s="5"/>
      <c r="N7429" s="5"/>
      <c r="O7429" s="5"/>
      <c r="P7429" s="5"/>
      <c r="Q7429" s="5"/>
      <c r="R7429" s="5"/>
      <c r="S7429" s="5"/>
      <c r="T7429" s="5"/>
      <c r="U7429" s="5"/>
      <c r="V7429" s="5"/>
      <c r="W7429" s="5"/>
      <c r="X7429" s="5"/>
      <c r="Y7429" s="5"/>
      <c r="Z7429" s="5"/>
    </row>
    <row r="7430" spans="1:26" ht="15" x14ac:dyDescent="0.25">
      <c r="A7430" s="4" t="s">
        <v>7428</v>
      </c>
      <c r="B7430" s="4" t="s">
        <v>4550</v>
      </c>
      <c r="C7430" s="2" t="str">
        <f ca="1">IFERROR(__xludf.DUMMYFUNCTION("GOOGLETRANSLATE(A7430,""bn"",""en"")"),"He painted the picture")</f>
        <v>He painted the picture</v>
      </c>
      <c r="D7430" s="5"/>
      <c r="E7430" s="5"/>
      <c r="F7430" s="5"/>
      <c r="G7430" s="5"/>
      <c r="H7430" s="5"/>
      <c r="I7430" s="5"/>
      <c r="J7430" s="5"/>
      <c r="K7430" s="5"/>
      <c r="L7430" s="5"/>
      <c r="M7430" s="5"/>
      <c r="N7430" s="5"/>
      <c r="O7430" s="5"/>
      <c r="P7430" s="5"/>
      <c r="Q7430" s="5"/>
      <c r="R7430" s="5"/>
      <c r="S7430" s="5"/>
      <c r="T7430" s="5"/>
      <c r="U7430" s="5"/>
      <c r="V7430" s="5"/>
      <c r="W7430" s="5"/>
      <c r="X7430" s="5"/>
      <c r="Y7430" s="5"/>
      <c r="Z7430" s="5"/>
    </row>
    <row r="7431" spans="1:26" ht="15" x14ac:dyDescent="0.25">
      <c r="A7431" s="4" t="s">
        <v>7429</v>
      </c>
      <c r="B7431" s="4" t="s">
        <v>4550</v>
      </c>
      <c r="C7431" s="2" t="str">
        <f ca="1">IFERROR(__xludf.DUMMYFUNCTION("GOOGLETRANSLATE(A7431,""bn"",""en"")"),"Business losses were decreasing in the century")</f>
        <v>Business losses were decreasing in the century</v>
      </c>
      <c r="D7431" s="5"/>
      <c r="E7431" s="5"/>
      <c r="F7431" s="5"/>
      <c r="G7431" s="5"/>
      <c r="H7431" s="5"/>
      <c r="I7431" s="5"/>
      <c r="J7431" s="5"/>
      <c r="K7431" s="5"/>
      <c r="L7431" s="5"/>
      <c r="M7431" s="5"/>
      <c r="N7431" s="5"/>
      <c r="O7431" s="5"/>
      <c r="P7431" s="5"/>
      <c r="Q7431" s="5"/>
      <c r="R7431" s="5"/>
      <c r="S7431" s="5"/>
      <c r="T7431" s="5"/>
      <c r="U7431" s="5"/>
      <c r="V7431" s="5"/>
      <c r="W7431" s="5"/>
      <c r="X7431" s="5"/>
      <c r="Y7431" s="5"/>
      <c r="Z7431" s="5"/>
    </row>
    <row r="7432" spans="1:26" ht="15" x14ac:dyDescent="0.25">
      <c r="A7432" s="4" t="s">
        <v>7430</v>
      </c>
      <c r="B7432" s="4" t="s">
        <v>4550</v>
      </c>
      <c r="C7432" s="2" t="str">
        <f ca="1">IFERROR(__xludf.DUMMYFUNCTION("GOOGLETRANSLATE(A7432,""bn"",""en"")"),"They were sitting on the train")</f>
        <v>They were sitting on the train</v>
      </c>
      <c r="D7432" s="5"/>
      <c r="E7432" s="5"/>
      <c r="F7432" s="5"/>
      <c r="G7432" s="5"/>
      <c r="H7432" s="5"/>
      <c r="I7432" s="5"/>
      <c r="J7432" s="5"/>
      <c r="K7432" s="5"/>
      <c r="L7432" s="5"/>
      <c r="M7432" s="5"/>
      <c r="N7432" s="5"/>
      <c r="O7432" s="5"/>
      <c r="P7432" s="5"/>
      <c r="Q7432" s="5"/>
      <c r="R7432" s="5"/>
      <c r="S7432" s="5"/>
      <c r="T7432" s="5"/>
      <c r="U7432" s="5"/>
      <c r="V7432" s="5"/>
      <c r="W7432" s="5"/>
      <c r="X7432" s="5"/>
      <c r="Y7432" s="5"/>
      <c r="Z7432" s="5"/>
    </row>
    <row r="7433" spans="1:26" ht="15" x14ac:dyDescent="0.25">
      <c r="A7433" s="4" t="s">
        <v>7431</v>
      </c>
      <c r="B7433" s="4" t="s">
        <v>4550</v>
      </c>
      <c r="C7433" s="2" t="str">
        <f ca="1">IFERROR(__xludf.DUMMYFUNCTION("GOOGLETRANSLATE(A7433,""bn"",""en"")"),"The displeasure of the government was expressed")</f>
        <v>The displeasure of the government was expressed</v>
      </c>
      <c r="D7433" s="5"/>
      <c r="E7433" s="5"/>
      <c r="F7433" s="5"/>
      <c r="G7433" s="5"/>
      <c r="H7433" s="5"/>
      <c r="I7433" s="5"/>
      <c r="J7433" s="5"/>
      <c r="K7433" s="5"/>
      <c r="L7433" s="5"/>
      <c r="M7433" s="5"/>
      <c r="N7433" s="5"/>
      <c r="O7433" s="5"/>
      <c r="P7433" s="5"/>
      <c r="Q7433" s="5"/>
      <c r="R7433" s="5"/>
      <c r="S7433" s="5"/>
      <c r="T7433" s="5"/>
      <c r="U7433" s="5"/>
      <c r="V7433" s="5"/>
      <c r="W7433" s="5"/>
      <c r="X7433" s="5"/>
      <c r="Y7433" s="5"/>
      <c r="Z7433" s="5"/>
    </row>
    <row r="7434" spans="1:26" ht="15" x14ac:dyDescent="0.25">
      <c r="A7434" s="4" t="s">
        <v>7432</v>
      </c>
      <c r="B7434" s="4" t="s">
        <v>4550</v>
      </c>
      <c r="C7434" s="2" t="str">
        <f ca="1">IFERROR(__xludf.DUMMYFUNCTION("GOOGLETRANSLATE(A7434,""bn"",""en"")"),"Fried potatoes with beef")</f>
        <v>Fried potatoes with beef</v>
      </c>
      <c r="D7434" s="5"/>
      <c r="E7434" s="5"/>
      <c r="F7434" s="5"/>
      <c r="G7434" s="5"/>
      <c r="H7434" s="5"/>
      <c r="I7434" s="5"/>
      <c r="J7434" s="5"/>
      <c r="K7434" s="5"/>
      <c r="L7434" s="5"/>
      <c r="M7434" s="5"/>
      <c r="N7434" s="5"/>
      <c r="O7434" s="5"/>
      <c r="P7434" s="5"/>
      <c r="Q7434" s="5"/>
      <c r="R7434" s="5"/>
      <c r="S7434" s="5"/>
      <c r="T7434" s="5"/>
      <c r="U7434" s="5"/>
      <c r="V7434" s="5"/>
      <c r="W7434" s="5"/>
      <c r="X7434" s="5"/>
      <c r="Y7434" s="5"/>
      <c r="Z7434" s="5"/>
    </row>
    <row r="7435" spans="1:26" ht="15" x14ac:dyDescent="0.25">
      <c r="A7435" s="4" t="s">
        <v>7433</v>
      </c>
      <c r="B7435" s="4" t="s">
        <v>4550</v>
      </c>
      <c r="C7435" s="2" t="str">
        <f ca="1">IFERROR(__xludf.DUMMYFUNCTION("GOOGLETRANSLATE(A7435,""bn"",""en"")"),"He ate vegetables at home")</f>
        <v>He ate vegetables at home</v>
      </c>
      <c r="D7435" s="5"/>
      <c r="E7435" s="5"/>
      <c r="F7435" s="5"/>
      <c r="G7435" s="5"/>
      <c r="H7435" s="5"/>
      <c r="I7435" s="5"/>
      <c r="J7435" s="5"/>
      <c r="K7435" s="5"/>
      <c r="L7435" s="5"/>
      <c r="M7435" s="5"/>
      <c r="N7435" s="5"/>
      <c r="O7435" s="5"/>
      <c r="P7435" s="5"/>
      <c r="Q7435" s="5"/>
      <c r="R7435" s="5"/>
      <c r="S7435" s="5"/>
      <c r="T7435" s="5"/>
      <c r="U7435" s="5"/>
      <c r="V7435" s="5"/>
      <c r="W7435" s="5"/>
      <c r="X7435" s="5"/>
      <c r="Y7435" s="5"/>
      <c r="Z7435" s="5"/>
    </row>
    <row r="7436" spans="1:26" ht="15" x14ac:dyDescent="0.25">
      <c r="A7436" s="4" t="s">
        <v>7434</v>
      </c>
      <c r="B7436" s="4" t="s">
        <v>4550</v>
      </c>
      <c r="C7436" s="2" t="str">
        <f ca="1">IFERROR(__xludf.DUMMYFUNCTION("GOOGLETRANSLATE(A7436,""bn"",""en"")"),"The team that won")</f>
        <v>The team that won</v>
      </c>
      <c r="D7436" s="5"/>
      <c r="E7436" s="5"/>
      <c r="F7436" s="5"/>
      <c r="G7436" s="5"/>
      <c r="H7436" s="5"/>
      <c r="I7436" s="5"/>
      <c r="J7436" s="5"/>
      <c r="K7436" s="5"/>
      <c r="L7436" s="5"/>
      <c r="M7436" s="5"/>
      <c r="N7436" s="5"/>
      <c r="O7436" s="5"/>
      <c r="P7436" s="5"/>
      <c r="Q7436" s="5"/>
      <c r="R7436" s="5"/>
      <c r="S7436" s="5"/>
      <c r="T7436" s="5"/>
      <c r="U7436" s="5"/>
      <c r="V7436" s="5"/>
      <c r="W7436" s="5"/>
      <c r="X7436" s="5"/>
      <c r="Y7436" s="5"/>
      <c r="Z7436" s="5"/>
    </row>
    <row r="7437" spans="1:26" ht="15" x14ac:dyDescent="0.25">
      <c r="A7437" s="4" t="s">
        <v>7435</v>
      </c>
      <c r="B7437" s="4" t="s">
        <v>4550</v>
      </c>
      <c r="C7437" s="2" t="str">
        <f ca="1">IFERROR(__xludf.DUMMYFUNCTION("GOOGLETRANSLATE(A7437,""bn"",""en"")"),"I formed the government after the meeting")</f>
        <v>I formed the government after the meeting</v>
      </c>
      <c r="D7437" s="5"/>
      <c r="E7437" s="5"/>
      <c r="F7437" s="5"/>
      <c r="G7437" s="5"/>
      <c r="H7437" s="5"/>
      <c r="I7437" s="5"/>
      <c r="J7437" s="5"/>
      <c r="K7437" s="5"/>
      <c r="L7437" s="5"/>
      <c r="M7437" s="5"/>
      <c r="N7437" s="5"/>
      <c r="O7437" s="5"/>
      <c r="P7437" s="5"/>
      <c r="Q7437" s="5"/>
      <c r="R7437" s="5"/>
      <c r="S7437" s="5"/>
      <c r="T7437" s="5"/>
      <c r="U7437" s="5"/>
      <c r="V7437" s="5"/>
      <c r="W7437" s="5"/>
      <c r="X7437" s="5"/>
      <c r="Y7437" s="5"/>
      <c r="Z7437" s="5"/>
    </row>
    <row r="7438" spans="1:26" ht="15" x14ac:dyDescent="0.25">
      <c r="A7438" s="4" t="s">
        <v>7436</v>
      </c>
      <c r="B7438" s="4" t="s">
        <v>4550</v>
      </c>
      <c r="C7438" s="2" t="str">
        <f ca="1">IFERROR(__xludf.DUMMYFUNCTION("GOOGLETRANSLATE(A7438,""bn"",""en"")"),"The share price rose last year")</f>
        <v>The share price rose last year</v>
      </c>
      <c r="D7438" s="5"/>
      <c r="E7438" s="5"/>
      <c r="F7438" s="5"/>
      <c r="G7438" s="5"/>
      <c r="H7438" s="5"/>
      <c r="I7438" s="5"/>
      <c r="J7438" s="5"/>
      <c r="K7438" s="5"/>
      <c r="L7438" s="5"/>
      <c r="M7438" s="5"/>
      <c r="N7438" s="5"/>
      <c r="O7438" s="5"/>
      <c r="P7438" s="5"/>
      <c r="Q7438" s="5"/>
      <c r="R7438" s="5"/>
      <c r="S7438" s="5"/>
      <c r="T7438" s="5"/>
      <c r="U7438" s="5"/>
      <c r="V7438" s="5"/>
      <c r="W7438" s="5"/>
      <c r="X7438" s="5"/>
      <c r="Y7438" s="5"/>
      <c r="Z7438" s="5"/>
    </row>
    <row r="7439" spans="1:26" ht="15" x14ac:dyDescent="0.25">
      <c r="A7439" s="4" t="s">
        <v>7437</v>
      </c>
      <c r="B7439" s="4" t="s">
        <v>4550</v>
      </c>
      <c r="C7439" s="2" t="str">
        <f ca="1">IFERROR(__xludf.DUMMYFUNCTION("GOOGLETRANSLATE(A7439,""bn"",""en"")"),"He went to the children's fair")</f>
        <v>He went to the children's fair</v>
      </c>
      <c r="D7439" s="5"/>
      <c r="E7439" s="5"/>
      <c r="F7439" s="5"/>
      <c r="G7439" s="5"/>
      <c r="H7439" s="5"/>
      <c r="I7439" s="5"/>
      <c r="J7439" s="5"/>
      <c r="K7439" s="5"/>
      <c r="L7439" s="5"/>
      <c r="M7439" s="5"/>
      <c r="N7439" s="5"/>
      <c r="O7439" s="5"/>
      <c r="P7439" s="5"/>
      <c r="Q7439" s="5"/>
      <c r="R7439" s="5"/>
      <c r="S7439" s="5"/>
      <c r="T7439" s="5"/>
      <c r="U7439" s="5"/>
      <c r="V7439" s="5"/>
      <c r="W7439" s="5"/>
      <c r="X7439" s="5"/>
      <c r="Y7439" s="5"/>
      <c r="Z7439" s="5"/>
    </row>
    <row r="7440" spans="1:26" ht="15" x14ac:dyDescent="0.25">
      <c r="A7440" s="4" t="s">
        <v>7438</v>
      </c>
      <c r="B7440" s="4" t="s">
        <v>4550</v>
      </c>
      <c r="C7440" s="2" t="str">
        <f ca="1">IFERROR(__xludf.DUMMYFUNCTION("GOOGLETRANSLATE(A7440,""bn"",""en"")"),"He taught swimming at the university")</f>
        <v>He taught swimming at the university</v>
      </c>
      <c r="D7440" s="5"/>
      <c r="E7440" s="5"/>
      <c r="F7440" s="5"/>
      <c r="G7440" s="5"/>
      <c r="H7440" s="5"/>
      <c r="I7440" s="5"/>
      <c r="J7440" s="5"/>
      <c r="K7440" s="5"/>
      <c r="L7440" s="5"/>
      <c r="M7440" s="5"/>
      <c r="N7440" s="5"/>
      <c r="O7440" s="5"/>
      <c r="P7440" s="5"/>
      <c r="Q7440" s="5"/>
      <c r="R7440" s="5"/>
      <c r="S7440" s="5"/>
      <c r="T7440" s="5"/>
      <c r="U7440" s="5"/>
      <c r="V7440" s="5"/>
      <c r="W7440" s="5"/>
      <c r="X7440" s="5"/>
      <c r="Y7440" s="5"/>
      <c r="Z7440" s="5"/>
    </row>
    <row r="7441" spans="1:26" ht="15" x14ac:dyDescent="0.25">
      <c r="A7441" s="4" t="s">
        <v>7439</v>
      </c>
      <c r="B7441" s="4" t="s">
        <v>4550</v>
      </c>
      <c r="C7441" s="2" t="str">
        <f ca="1">IFERROR(__xludf.DUMMYFUNCTION("GOOGLETRANSLATE(A7441,""bn"",""en"")"),"Saw hero's movie in the morning")</f>
        <v>Saw hero's movie in the morning</v>
      </c>
      <c r="D7441" s="5"/>
      <c r="E7441" s="5"/>
      <c r="F7441" s="5"/>
      <c r="G7441" s="5"/>
      <c r="H7441" s="5"/>
      <c r="I7441" s="5"/>
      <c r="J7441" s="5"/>
      <c r="K7441" s="5"/>
      <c r="L7441" s="5"/>
      <c r="M7441" s="5"/>
      <c r="N7441" s="5"/>
      <c r="O7441" s="5"/>
      <c r="P7441" s="5"/>
      <c r="Q7441" s="5"/>
      <c r="R7441" s="5"/>
      <c r="S7441" s="5"/>
      <c r="T7441" s="5"/>
      <c r="U7441" s="5"/>
      <c r="V7441" s="5"/>
      <c r="W7441" s="5"/>
      <c r="X7441" s="5"/>
      <c r="Y7441" s="5"/>
      <c r="Z7441" s="5"/>
    </row>
    <row r="7442" spans="1:26" ht="15" x14ac:dyDescent="0.25">
      <c r="A7442" s="4" t="s">
        <v>7440</v>
      </c>
      <c r="B7442" s="4" t="s">
        <v>4550</v>
      </c>
      <c r="C7442" s="2" t="str">
        <f ca="1">IFERROR(__xludf.DUMMYFUNCTION("GOOGLETRANSLATE(A7442,""bn"",""en"")"),"School students played Hadudu")</f>
        <v>School students played Hadudu</v>
      </c>
      <c r="D7442" s="5"/>
      <c r="E7442" s="5"/>
      <c r="F7442" s="5"/>
      <c r="G7442" s="5"/>
      <c r="H7442" s="5"/>
      <c r="I7442" s="5"/>
      <c r="J7442" s="5"/>
      <c r="K7442" s="5"/>
      <c r="L7442" s="5"/>
      <c r="M7442" s="5"/>
      <c r="N7442" s="5"/>
      <c r="O7442" s="5"/>
      <c r="P7442" s="5"/>
      <c r="Q7442" s="5"/>
      <c r="R7442" s="5"/>
      <c r="S7442" s="5"/>
      <c r="T7442" s="5"/>
      <c r="U7442" s="5"/>
      <c r="V7442" s="5"/>
      <c r="W7442" s="5"/>
      <c r="X7442" s="5"/>
      <c r="Y7442" s="5"/>
      <c r="Z7442" s="5"/>
    </row>
    <row r="7443" spans="1:26" ht="15" x14ac:dyDescent="0.25">
      <c r="A7443" s="4" t="s">
        <v>7441</v>
      </c>
      <c r="B7443" s="4" t="s">
        <v>4550</v>
      </c>
      <c r="C7443" s="2" t="str">
        <f ca="1">IFERROR(__xludf.DUMMYFUNCTION("GOOGLETRANSLATE(A7443,""bn"",""en"")"),"Crops were planted")</f>
        <v>Crops were planted</v>
      </c>
      <c r="D7443" s="5"/>
      <c r="E7443" s="5"/>
      <c r="F7443" s="5"/>
      <c r="G7443" s="5"/>
      <c r="H7443" s="5"/>
      <c r="I7443" s="5"/>
      <c r="J7443" s="5"/>
      <c r="K7443" s="5"/>
      <c r="L7443" s="5"/>
      <c r="M7443" s="5"/>
      <c r="N7443" s="5"/>
      <c r="O7443" s="5"/>
      <c r="P7443" s="5"/>
      <c r="Q7443" s="5"/>
      <c r="R7443" s="5"/>
      <c r="S7443" s="5"/>
      <c r="T7443" s="5"/>
      <c r="U7443" s="5"/>
      <c r="V7443" s="5"/>
      <c r="W7443" s="5"/>
      <c r="X7443" s="5"/>
      <c r="Y7443" s="5"/>
      <c r="Z7443" s="5"/>
    </row>
    <row r="7444" spans="1:26" ht="15" x14ac:dyDescent="0.25">
      <c r="A7444" s="4" t="s">
        <v>7442</v>
      </c>
      <c r="B7444" s="4" t="s">
        <v>4550</v>
      </c>
      <c r="C7444" s="2" t="str">
        <f ca="1">IFERROR(__xludf.DUMMYFUNCTION("GOOGLETRANSLATE(A7444,""bn"",""en"")"),"We were on the beach at sunset")</f>
        <v>We were on the beach at sunset</v>
      </c>
      <c r="D7444" s="5"/>
      <c r="E7444" s="5"/>
      <c r="F7444" s="5"/>
      <c r="G7444" s="5"/>
      <c r="H7444" s="5"/>
      <c r="I7444" s="5"/>
      <c r="J7444" s="5"/>
      <c r="K7444" s="5"/>
      <c r="L7444" s="5"/>
      <c r="M7444" s="5"/>
      <c r="N7444" s="5"/>
      <c r="O7444" s="5"/>
      <c r="P7444" s="5"/>
      <c r="Q7444" s="5"/>
      <c r="R7444" s="5"/>
      <c r="S7444" s="5"/>
      <c r="T7444" s="5"/>
      <c r="U7444" s="5"/>
      <c r="V7444" s="5"/>
      <c r="W7444" s="5"/>
      <c r="X7444" s="5"/>
      <c r="Y7444" s="5"/>
      <c r="Z7444" s="5"/>
    </row>
    <row r="7445" spans="1:26" ht="15" x14ac:dyDescent="0.25">
      <c r="A7445" s="4" t="s">
        <v>7443</v>
      </c>
      <c r="B7445" s="4" t="s">
        <v>4550</v>
      </c>
      <c r="C7445" s="2" t="str">
        <f ca="1">IFERROR(__xludf.DUMMYFUNCTION("GOOGLETRANSLATE(A7445,""bn"",""en"")"),"The players practiced earlier")</f>
        <v>The players practiced earlier</v>
      </c>
      <c r="D7445" s="5"/>
      <c r="E7445" s="5"/>
      <c r="F7445" s="5"/>
      <c r="G7445" s="5"/>
      <c r="H7445" s="5"/>
      <c r="I7445" s="5"/>
      <c r="J7445" s="5"/>
      <c r="K7445" s="5"/>
      <c r="L7445" s="5"/>
      <c r="M7445" s="5"/>
      <c r="N7445" s="5"/>
      <c r="O7445" s="5"/>
      <c r="P7445" s="5"/>
      <c r="Q7445" s="5"/>
      <c r="R7445" s="5"/>
      <c r="S7445" s="5"/>
      <c r="T7445" s="5"/>
      <c r="U7445" s="5"/>
      <c r="V7445" s="5"/>
      <c r="W7445" s="5"/>
      <c r="X7445" s="5"/>
      <c r="Y7445" s="5"/>
      <c r="Z7445" s="5"/>
    </row>
    <row r="7446" spans="1:26" ht="15" x14ac:dyDescent="0.25">
      <c r="A7446" s="4" t="s">
        <v>7444</v>
      </c>
      <c r="B7446" s="4" t="s">
        <v>4550</v>
      </c>
      <c r="C7446" s="2" t="str">
        <f ca="1">IFERROR(__xludf.DUMMYFUNCTION("GOOGLETRANSLATE(A7446,""bn"",""en"")"),"I made breakfast with butter")</f>
        <v>I made breakfast with butter</v>
      </c>
      <c r="D7446" s="5"/>
      <c r="E7446" s="5"/>
      <c r="F7446" s="5"/>
      <c r="G7446" s="5"/>
      <c r="H7446" s="5"/>
      <c r="I7446" s="5"/>
      <c r="J7446" s="5"/>
      <c r="K7446" s="5"/>
      <c r="L7446" s="5"/>
      <c r="M7446" s="5"/>
      <c r="N7446" s="5"/>
      <c r="O7446" s="5"/>
      <c r="P7446" s="5"/>
      <c r="Q7446" s="5"/>
      <c r="R7446" s="5"/>
      <c r="S7446" s="5"/>
      <c r="T7446" s="5"/>
      <c r="U7446" s="5"/>
      <c r="V7446" s="5"/>
      <c r="W7446" s="5"/>
      <c r="X7446" s="5"/>
      <c r="Y7446" s="5"/>
      <c r="Z7446" s="5"/>
    </row>
    <row r="7447" spans="1:26" ht="15" x14ac:dyDescent="0.25">
      <c r="A7447" s="4" t="s">
        <v>7445</v>
      </c>
      <c r="B7447" s="4" t="s">
        <v>4550</v>
      </c>
      <c r="C7447" s="2" t="str">
        <f ca="1">IFERROR(__xludf.DUMMYFUNCTION("GOOGLETRANSLATE(A7447,""bn"",""en"")"),"Won the institutional election")</f>
        <v>Won the institutional election</v>
      </c>
      <c r="D7447" s="5"/>
      <c r="E7447" s="5"/>
      <c r="F7447" s="5"/>
      <c r="G7447" s="5"/>
      <c r="H7447" s="5"/>
      <c r="I7447" s="5"/>
      <c r="J7447" s="5"/>
      <c r="K7447" s="5"/>
      <c r="L7447" s="5"/>
      <c r="M7447" s="5"/>
      <c r="N7447" s="5"/>
      <c r="O7447" s="5"/>
      <c r="P7447" s="5"/>
      <c r="Q7447" s="5"/>
      <c r="R7447" s="5"/>
      <c r="S7447" s="5"/>
      <c r="T7447" s="5"/>
      <c r="U7447" s="5"/>
      <c r="V7447" s="5"/>
      <c r="W7447" s="5"/>
      <c r="X7447" s="5"/>
      <c r="Y7447" s="5"/>
      <c r="Z7447" s="5"/>
    </row>
    <row r="7448" spans="1:26" ht="15" x14ac:dyDescent="0.25">
      <c r="A7448" s="4" t="s">
        <v>7446</v>
      </c>
      <c r="B7448" s="4" t="s">
        <v>4550</v>
      </c>
      <c r="C7448" s="2" t="str">
        <f ca="1">IFERROR(__xludf.DUMMYFUNCTION("GOOGLETRANSLATE(A7448,""bn"",""en"")"),"won the tennis match")</f>
        <v>won the tennis match</v>
      </c>
      <c r="D7448" s="5"/>
      <c r="E7448" s="5"/>
      <c r="F7448" s="5"/>
      <c r="G7448" s="5"/>
      <c r="H7448" s="5"/>
      <c r="I7448" s="5"/>
      <c r="J7448" s="5"/>
      <c r="K7448" s="5"/>
      <c r="L7448" s="5"/>
      <c r="M7448" s="5"/>
      <c r="N7448" s="5"/>
      <c r="O7448" s="5"/>
      <c r="P7448" s="5"/>
      <c r="Q7448" s="5"/>
      <c r="R7448" s="5"/>
      <c r="S7448" s="5"/>
      <c r="T7448" s="5"/>
      <c r="U7448" s="5"/>
      <c r="V7448" s="5"/>
      <c r="W7448" s="5"/>
      <c r="X7448" s="5"/>
      <c r="Y7448" s="5"/>
      <c r="Z7448" s="5"/>
    </row>
    <row r="7449" spans="1:26" ht="15" x14ac:dyDescent="0.25">
      <c r="A7449" s="4" t="s">
        <v>7447</v>
      </c>
      <c r="B7449" s="4" t="s">
        <v>4550</v>
      </c>
      <c r="C7449" s="2" t="str">
        <f ca="1">IFERROR(__xludf.DUMMYFUNCTION("GOOGLETRANSLATE(A7449,""bn"",""en"")"),"We paid the loan")</f>
        <v>We paid the loan</v>
      </c>
      <c r="D7449" s="5"/>
      <c r="E7449" s="5"/>
      <c r="F7449" s="5"/>
      <c r="G7449" s="5"/>
      <c r="H7449" s="5"/>
      <c r="I7449" s="5"/>
      <c r="J7449" s="5"/>
      <c r="K7449" s="5"/>
      <c r="L7449" s="5"/>
      <c r="M7449" s="5"/>
      <c r="N7449" s="5"/>
      <c r="O7449" s="5"/>
      <c r="P7449" s="5"/>
      <c r="Q7449" s="5"/>
      <c r="R7449" s="5"/>
      <c r="S7449" s="5"/>
      <c r="T7449" s="5"/>
      <c r="U7449" s="5"/>
      <c r="V7449" s="5"/>
      <c r="W7449" s="5"/>
      <c r="X7449" s="5"/>
      <c r="Y7449" s="5"/>
      <c r="Z7449" s="5"/>
    </row>
    <row r="7450" spans="1:26" ht="15" x14ac:dyDescent="0.25">
      <c r="A7450" s="4" t="s">
        <v>7448</v>
      </c>
      <c r="B7450" s="4" t="s">
        <v>4550</v>
      </c>
      <c r="C7450" s="2" t="str">
        <f ca="1">IFERROR(__xludf.DUMMYFUNCTION("GOOGLETRANSLATE(A7450,""bn"",""en"")"),"I was on the train last week")</f>
        <v>I was on the train last week</v>
      </c>
      <c r="D7450" s="5"/>
      <c r="E7450" s="5"/>
      <c r="F7450" s="5"/>
      <c r="G7450" s="5"/>
      <c r="H7450" s="5"/>
      <c r="I7450" s="5"/>
      <c r="J7450" s="5"/>
      <c r="K7450" s="5"/>
      <c r="L7450" s="5"/>
      <c r="M7450" s="5"/>
      <c r="N7450" s="5"/>
      <c r="O7450" s="5"/>
      <c r="P7450" s="5"/>
      <c r="Q7450" s="5"/>
      <c r="R7450" s="5"/>
      <c r="S7450" s="5"/>
      <c r="T7450" s="5"/>
      <c r="U7450" s="5"/>
      <c r="V7450" s="5"/>
      <c r="W7450" s="5"/>
      <c r="X7450" s="5"/>
      <c r="Y7450" s="5"/>
      <c r="Z7450" s="5"/>
    </row>
    <row r="7451" spans="1:26" ht="15" x14ac:dyDescent="0.25">
      <c r="A7451" s="4" t="s">
        <v>7449</v>
      </c>
      <c r="B7451" s="4" t="s">
        <v>4550</v>
      </c>
      <c r="C7451" s="2" t="str">
        <f ca="1">IFERROR(__xludf.DUMMYFUNCTION("GOOGLETRANSLATE(A7451,""bn"",""en"")"),"If you watch sci-fi movies")</f>
        <v>If you watch sci-fi movies</v>
      </c>
      <c r="D7451" s="5"/>
      <c r="E7451" s="5"/>
      <c r="F7451" s="5"/>
      <c r="G7451" s="5"/>
      <c r="H7451" s="5"/>
      <c r="I7451" s="5"/>
      <c r="J7451" s="5"/>
      <c r="K7451" s="5"/>
      <c r="L7451" s="5"/>
      <c r="M7451" s="5"/>
      <c r="N7451" s="5"/>
      <c r="O7451" s="5"/>
      <c r="P7451" s="5"/>
      <c r="Q7451" s="5"/>
      <c r="R7451" s="5"/>
      <c r="S7451" s="5"/>
      <c r="T7451" s="5"/>
      <c r="U7451" s="5"/>
      <c r="V7451" s="5"/>
      <c r="W7451" s="5"/>
      <c r="X7451" s="5"/>
      <c r="Y7451" s="5"/>
      <c r="Z7451" s="5"/>
    </row>
    <row r="7452" spans="1:26" ht="15" x14ac:dyDescent="0.25">
      <c r="A7452" s="4" t="s">
        <v>7450</v>
      </c>
      <c r="B7452" s="4" t="s">
        <v>4550</v>
      </c>
      <c r="C7452" s="2" t="str">
        <f ca="1">IFERROR(__xludf.DUMMYFUNCTION("GOOGLETRANSLATE(A7452,""bn"",""en"")"),"The party's candidate was the successor")</f>
        <v>The party's candidate was the successor</v>
      </c>
      <c r="D7452" s="5"/>
      <c r="E7452" s="5"/>
      <c r="F7452" s="5"/>
      <c r="G7452" s="5"/>
      <c r="H7452" s="5"/>
      <c r="I7452" s="5"/>
      <c r="J7452" s="5"/>
      <c r="K7452" s="5"/>
      <c r="L7452" s="5"/>
      <c r="M7452" s="5"/>
      <c r="N7452" s="5"/>
      <c r="O7452" s="5"/>
      <c r="P7452" s="5"/>
      <c r="Q7452" s="5"/>
      <c r="R7452" s="5"/>
      <c r="S7452" s="5"/>
      <c r="T7452" s="5"/>
      <c r="U7452" s="5"/>
      <c r="V7452" s="5"/>
      <c r="W7452" s="5"/>
      <c r="X7452" s="5"/>
      <c r="Y7452" s="5"/>
      <c r="Z7452" s="5"/>
    </row>
    <row r="7453" spans="1:26" ht="15" x14ac:dyDescent="0.25">
      <c r="A7453" s="4" t="s">
        <v>7451</v>
      </c>
      <c r="B7453" s="4" t="s">
        <v>4550</v>
      </c>
      <c r="C7453" s="2" t="str">
        <f ca="1">IFERROR(__xludf.DUMMYFUNCTION("GOOGLETRANSLATE(A7453,""bn"",""en"")"),"Fruit salad was made at night")</f>
        <v>Fruit salad was made at night</v>
      </c>
      <c r="D7453" s="5"/>
      <c r="E7453" s="5"/>
      <c r="F7453" s="5"/>
      <c r="G7453" s="5"/>
      <c r="H7453" s="5"/>
      <c r="I7453" s="5"/>
      <c r="J7453" s="5"/>
      <c r="K7453" s="5"/>
      <c r="L7453" s="5"/>
      <c r="M7453" s="5"/>
      <c r="N7453" s="5"/>
      <c r="O7453" s="5"/>
      <c r="P7453" s="5"/>
      <c r="Q7453" s="5"/>
      <c r="R7453" s="5"/>
      <c r="S7453" s="5"/>
      <c r="T7453" s="5"/>
      <c r="U7453" s="5"/>
      <c r="V7453" s="5"/>
      <c r="W7453" s="5"/>
      <c r="X7453" s="5"/>
      <c r="Y7453" s="5"/>
      <c r="Z7453" s="5"/>
    </row>
    <row r="7454" spans="1:26" ht="15" x14ac:dyDescent="0.25">
      <c r="A7454" s="4" t="s">
        <v>7452</v>
      </c>
      <c r="B7454" s="4" t="s">
        <v>4550</v>
      </c>
      <c r="C7454" s="2" t="str">
        <f ca="1">IFERROR(__xludf.DUMMYFUNCTION("GOOGLETRANSLATE(A7454,""bn"",""en"")"),"The chief was being discussed")</f>
        <v>The chief was being discussed</v>
      </c>
      <c r="D7454" s="5"/>
      <c r="E7454" s="5"/>
      <c r="F7454" s="5"/>
      <c r="G7454" s="5"/>
      <c r="H7454" s="5"/>
      <c r="I7454" s="5"/>
      <c r="J7454" s="5"/>
      <c r="K7454" s="5"/>
      <c r="L7454" s="5"/>
      <c r="M7454" s="5"/>
      <c r="N7454" s="5"/>
      <c r="O7454" s="5"/>
      <c r="P7454" s="5"/>
      <c r="Q7454" s="5"/>
      <c r="R7454" s="5"/>
      <c r="S7454" s="5"/>
      <c r="T7454" s="5"/>
      <c r="U7454" s="5"/>
      <c r="V7454" s="5"/>
      <c r="W7454" s="5"/>
      <c r="X7454" s="5"/>
      <c r="Y7454" s="5"/>
      <c r="Z7454" s="5"/>
    </row>
    <row r="7455" spans="1:26" ht="15" x14ac:dyDescent="0.25">
      <c r="A7455" s="4" t="s">
        <v>7453</v>
      </c>
      <c r="B7455" s="4" t="s">
        <v>4550</v>
      </c>
      <c r="C7455" s="2" t="str">
        <f ca="1">IFERROR(__xludf.DUMMYFUNCTION("GOOGLETRANSLATE(A7455,""bn"",""en"")"),"I fried eggs")</f>
        <v>I fried eggs</v>
      </c>
      <c r="D7455" s="5"/>
      <c r="E7455" s="5"/>
      <c r="F7455" s="5"/>
      <c r="G7455" s="5"/>
      <c r="H7455" s="5"/>
      <c r="I7455" s="5"/>
      <c r="J7455" s="5"/>
      <c r="K7455" s="5"/>
      <c r="L7455" s="5"/>
      <c r="M7455" s="5"/>
      <c r="N7455" s="5"/>
      <c r="O7455" s="5"/>
      <c r="P7455" s="5"/>
      <c r="Q7455" s="5"/>
      <c r="R7455" s="5"/>
      <c r="S7455" s="5"/>
      <c r="T7455" s="5"/>
      <c r="U7455" s="5"/>
      <c r="V7455" s="5"/>
      <c r="W7455" s="5"/>
      <c r="X7455" s="5"/>
      <c r="Y7455" s="5"/>
      <c r="Z7455" s="5"/>
    </row>
    <row r="7456" spans="1:26" ht="15" x14ac:dyDescent="0.25">
      <c r="A7456" s="4" t="s">
        <v>7454</v>
      </c>
      <c r="B7456" s="4" t="s">
        <v>4550</v>
      </c>
      <c r="C7456" s="2" t="str">
        <f ca="1">IFERROR(__xludf.DUMMYFUNCTION("GOOGLETRANSLATE(A7456,""bn"",""en"")"),"The government built new institutions")</f>
        <v>The government built new institutions</v>
      </c>
      <c r="D7456" s="5"/>
      <c r="E7456" s="5"/>
      <c r="F7456" s="5"/>
      <c r="G7456" s="5"/>
      <c r="H7456" s="5"/>
      <c r="I7456" s="5"/>
      <c r="J7456" s="5"/>
      <c r="K7456" s="5"/>
      <c r="L7456" s="5"/>
      <c r="M7456" s="5"/>
      <c r="N7456" s="5"/>
      <c r="O7456" s="5"/>
      <c r="P7456" s="5"/>
      <c r="Q7456" s="5"/>
      <c r="R7456" s="5"/>
      <c r="S7456" s="5"/>
      <c r="T7456" s="5"/>
      <c r="U7456" s="5"/>
      <c r="V7456" s="5"/>
      <c r="W7456" s="5"/>
      <c r="X7456" s="5"/>
      <c r="Y7456" s="5"/>
      <c r="Z7456" s="5"/>
    </row>
    <row r="7457" spans="1:26" ht="15" x14ac:dyDescent="0.25">
      <c r="A7457" s="4" t="s">
        <v>7455</v>
      </c>
      <c r="B7457" s="4" t="s">
        <v>4550</v>
      </c>
      <c r="C7457" s="2" t="str">
        <f ca="1">IFERROR(__xludf.DUMMYFUNCTION("GOOGLETRANSLATE(A7457,""bn"",""en"")"),"Social media became popular")</f>
        <v>Social media became popular</v>
      </c>
      <c r="D7457" s="5"/>
      <c r="E7457" s="5"/>
      <c r="F7457" s="5"/>
      <c r="G7457" s="5"/>
      <c r="H7457" s="5"/>
      <c r="I7457" s="5"/>
      <c r="J7457" s="5"/>
      <c r="K7457" s="5"/>
      <c r="L7457" s="5"/>
      <c r="M7457" s="5"/>
      <c r="N7457" s="5"/>
      <c r="O7457" s="5"/>
      <c r="P7457" s="5"/>
      <c r="Q7457" s="5"/>
      <c r="R7457" s="5"/>
      <c r="S7457" s="5"/>
      <c r="T7457" s="5"/>
      <c r="U7457" s="5"/>
      <c r="V7457" s="5"/>
      <c r="W7457" s="5"/>
      <c r="X7457" s="5"/>
      <c r="Y7457" s="5"/>
      <c r="Z7457" s="5"/>
    </row>
    <row r="7458" spans="1:26" ht="15" x14ac:dyDescent="0.25">
      <c r="A7458" s="4" t="s">
        <v>7456</v>
      </c>
      <c r="B7458" s="4" t="s">
        <v>4550</v>
      </c>
      <c r="C7458" s="2" t="str">
        <f ca="1">IFERROR(__xludf.DUMMYFUNCTION("GOOGLETRANSLATE(A7458,""bn"",""en"")"),"Previously played in the rain")</f>
        <v>Previously played in the rain</v>
      </c>
      <c r="D7458" s="5"/>
      <c r="E7458" s="5"/>
      <c r="F7458" s="5"/>
      <c r="G7458" s="5"/>
      <c r="H7458" s="5"/>
      <c r="I7458" s="5"/>
      <c r="J7458" s="5"/>
      <c r="K7458" s="5"/>
      <c r="L7458" s="5"/>
      <c r="M7458" s="5"/>
      <c r="N7458" s="5"/>
      <c r="O7458" s="5"/>
      <c r="P7458" s="5"/>
      <c r="Q7458" s="5"/>
      <c r="R7458" s="5"/>
      <c r="S7458" s="5"/>
      <c r="T7458" s="5"/>
      <c r="U7458" s="5"/>
      <c r="V7458" s="5"/>
      <c r="W7458" s="5"/>
      <c r="X7458" s="5"/>
      <c r="Y7458" s="5"/>
      <c r="Z7458" s="5"/>
    </row>
    <row r="7459" spans="1:26" ht="15" x14ac:dyDescent="0.25">
      <c r="A7459" s="4" t="s">
        <v>7457</v>
      </c>
      <c r="B7459" s="4" t="s">
        <v>4550</v>
      </c>
      <c r="C7459" s="2" t="str">
        <f ca="1">IFERROR(__xludf.DUMMYFUNCTION("GOOGLETRANSLATE(A7459,""bn"",""en"")"),"I used the new brush")</f>
        <v>I used the new brush</v>
      </c>
      <c r="D7459" s="5"/>
      <c r="E7459" s="5"/>
      <c r="F7459" s="5"/>
      <c r="G7459" s="5"/>
      <c r="H7459" s="5"/>
      <c r="I7459" s="5"/>
      <c r="J7459" s="5"/>
      <c r="K7459" s="5"/>
      <c r="L7459" s="5"/>
      <c r="M7459" s="5"/>
      <c r="N7459" s="5"/>
      <c r="O7459" s="5"/>
      <c r="P7459" s="5"/>
      <c r="Q7459" s="5"/>
      <c r="R7459" s="5"/>
      <c r="S7459" s="5"/>
      <c r="T7459" s="5"/>
      <c r="U7459" s="5"/>
      <c r="V7459" s="5"/>
      <c r="W7459" s="5"/>
      <c r="X7459" s="5"/>
      <c r="Y7459" s="5"/>
      <c r="Z7459" s="5"/>
    </row>
    <row r="7460" spans="1:26" ht="15" x14ac:dyDescent="0.25">
      <c r="A7460" s="4" t="s">
        <v>7458</v>
      </c>
      <c r="B7460" s="4" t="s">
        <v>4550</v>
      </c>
      <c r="C7460" s="2" t="str">
        <f ca="1">IFERROR(__xludf.DUMMYFUNCTION("GOOGLETRANSLATE(A7460,""bn"",""en"")"),"The smartwatch was launched earlier")</f>
        <v>The smartwatch was launched earlier</v>
      </c>
      <c r="D7460" s="5"/>
      <c r="E7460" s="5"/>
      <c r="F7460" s="5"/>
      <c r="G7460" s="5"/>
      <c r="H7460" s="5"/>
      <c r="I7460" s="5"/>
      <c r="J7460" s="5"/>
      <c r="K7460" s="5"/>
      <c r="L7460" s="5"/>
      <c r="M7460" s="5"/>
      <c r="N7460" s="5"/>
      <c r="O7460" s="5"/>
      <c r="P7460" s="5"/>
      <c r="Q7460" s="5"/>
      <c r="R7460" s="5"/>
      <c r="S7460" s="5"/>
      <c r="T7460" s="5"/>
      <c r="U7460" s="5"/>
      <c r="V7460" s="5"/>
      <c r="W7460" s="5"/>
      <c r="X7460" s="5"/>
      <c r="Y7460" s="5"/>
      <c r="Z7460" s="5"/>
    </row>
    <row r="7461" spans="1:26" ht="15" x14ac:dyDescent="0.25">
      <c r="A7461" s="4" t="s">
        <v>7459</v>
      </c>
      <c r="B7461" s="4" t="s">
        <v>4550</v>
      </c>
      <c r="C7461" s="2" t="str">
        <f ca="1">IFERROR(__xludf.DUMMYFUNCTION("GOOGLETRANSLATE(A7461,""bn"",""en"")"),"Increased investment in property")</f>
        <v>Increased investment in property</v>
      </c>
      <c r="D7461" s="5"/>
      <c r="E7461" s="5"/>
      <c r="F7461" s="5"/>
      <c r="G7461" s="5"/>
      <c r="H7461" s="5"/>
      <c r="I7461" s="5"/>
      <c r="J7461" s="5"/>
      <c r="K7461" s="5"/>
      <c r="L7461" s="5"/>
      <c r="M7461" s="5"/>
      <c r="N7461" s="5"/>
      <c r="O7461" s="5"/>
      <c r="P7461" s="5"/>
      <c r="Q7461" s="5"/>
      <c r="R7461" s="5"/>
      <c r="S7461" s="5"/>
      <c r="T7461" s="5"/>
      <c r="U7461" s="5"/>
      <c r="V7461" s="5"/>
      <c r="W7461" s="5"/>
      <c r="X7461" s="5"/>
      <c r="Y7461" s="5"/>
      <c r="Z7461" s="5"/>
    </row>
    <row r="7462" spans="1:26" ht="15" x14ac:dyDescent="0.25">
      <c r="A7462" s="4" t="s">
        <v>7460</v>
      </c>
      <c r="B7462" s="4" t="s">
        <v>4550</v>
      </c>
      <c r="C7462" s="2" t="str">
        <f ca="1">IFERROR(__xludf.DUMMYFUNCTION("GOOGLETRANSLATE(A7462,""bn"",""en"")"),"There was an increase in investment in property")</f>
        <v>There was an increase in investment in property</v>
      </c>
      <c r="D7462" s="5"/>
      <c r="E7462" s="5"/>
      <c r="F7462" s="5"/>
      <c r="G7462" s="5"/>
      <c r="H7462" s="5"/>
      <c r="I7462" s="5"/>
      <c r="J7462" s="5"/>
      <c r="K7462" s="5"/>
      <c r="L7462" s="5"/>
      <c r="M7462" s="5"/>
      <c r="N7462" s="5"/>
      <c r="O7462" s="5"/>
      <c r="P7462" s="5"/>
      <c r="Q7462" s="5"/>
      <c r="R7462" s="5"/>
      <c r="S7462" s="5"/>
      <c r="T7462" s="5"/>
      <c r="U7462" s="5"/>
      <c r="V7462" s="5"/>
      <c r="W7462" s="5"/>
      <c r="X7462" s="5"/>
      <c r="Y7462" s="5"/>
      <c r="Z7462" s="5"/>
    </row>
    <row r="7463" spans="1:26" ht="15" x14ac:dyDescent="0.25">
      <c r="A7463" s="4" t="s">
        <v>7461</v>
      </c>
      <c r="B7463" s="4" t="s">
        <v>4550</v>
      </c>
      <c r="C7463" s="2" t="str">
        <f ca="1">IFERROR(__xludf.DUMMYFUNCTION("GOOGLETRANSLATE(A7463,""bn"",""en"")"),"He watched the movie on Saturday")</f>
        <v>He watched the movie on Saturday</v>
      </c>
      <c r="D7463" s="5"/>
      <c r="E7463" s="5"/>
      <c r="F7463" s="5"/>
      <c r="G7463" s="5"/>
      <c r="H7463" s="5"/>
      <c r="I7463" s="5"/>
      <c r="J7463" s="5"/>
      <c r="K7463" s="5"/>
      <c r="L7463" s="5"/>
      <c r="M7463" s="5"/>
      <c r="N7463" s="5"/>
      <c r="O7463" s="5"/>
      <c r="P7463" s="5"/>
      <c r="Q7463" s="5"/>
      <c r="R7463" s="5"/>
      <c r="S7463" s="5"/>
      <c r="T7463" s="5"/>
      <c r="U7463" s="5"/>
      <c r="V7463" s="5"/>
      <c r="W7463" s="5"/>
      <c r="X7463" s="5"/>
      <c r="Y7463" s="5"/>
      <c r="Z7463" s="5"/>
    </row>
    <row r="7464" spans="1:26" ht="15" x14ac:dyDescent="0.25">
      <c r="A7464" s="4" t="s">
        <v>7462</v>
      </c>
      <c r="B7464" s="4" t="s">
        <v>4550</v>
      </c>
      <c r="C7464" s="2" t="str">
        <f ca="1">IFERROR(__xludf.DUMMYFUNCTION("GOOGLETRANSLATE(A7464,""bn"",""en"")"),"The fish was caught in the river")</f>
        <v>The fish was caught in the river</v>
      </c>
      <c r="D7464" s="5"/>
      <c r="E7464" s="5"/>
      <c r="F7464" s="5"/>
      <c r="G7464" s="5"/>
      <c r="H7464" s="5"/>
      <c r="I7464" s="5"/>
      <c r="J7464" s="5"/>
      <c r="K7464" s="5"/>
      <c r="L7464" s="5"/>
      <c r="M7464" s="5"/>
      <c r="N7464" s="5"/>
      <c r="O7464" s="5"/>
      <c r="P7464" s="5"/>
      <c r="Q7464" s="5"/>
      <c r="R7464" s="5"/>
      <c r="S7464" s="5"/>
      <c r="T7464" s="5"/>
      <c r="U7464" s="5"/>
      <c r="V7464" s="5"/>
      <c r="W7464" s="5"/>
      <c r="X7464" s="5"/>
      <c r="Y7464" s="5"/>
      <c r="Z7464" s="5"/>
    </row>
    <row r="7465" spans="1:26" ht="15" x14ac:dyDescent="0.25">
      <c r="A7465" s="4" t="s">
        <v>7463</v>
      </c>
      <c r="B7465" s="4" t="s">
        <v>4550</v>
      </c>
      <c r="C7465" s="2" t="str">
        <f ca="1">IFERROR(__xludf.DUMMYFUNCTION("GOOGLETRANSLATE(A7465,""bn"",""en"")"),"The code is saved in the file")</f>
        <v>The code is saved in the file</v>
      </c>
      <c r="D7465" s="5"/>
      <c r="E7465" s="5"/>
      <c r="F7465" s="5"/>
      <c r="G7465" s="5"/>
      <c r="H7465" s="5"/>
      <c r="I7465" s="5"/>
      <c r="J7465" s="5"/>
      <c r="K7465" s="5"/>
      <c r="L7465" s="5"/>
      <c r="M7465" s="5"/>
      <c r="N7465" s="5"/>
      <c r="O7465" s="5"/>
      <c r="P7465" s="5"/>
      <c r="Q7465" s="5"/>
      <c r="R7465" s="5"/>
      <c r="S7465" s="5"/>
      <c r="T7465" s="5"/>
      <c r="U7465" s="5"/>
      <c r="V7465" s="5"/>
      <c r="W7465" s="5"/>
      <c r="X7465" s="5"/>
      <c r="Y7465" s="5"/>
      <c r="Z7465" s="5"/>
    </row>
    <row r="7466" spans="1:26" ht="15" x14ac:dyDescent="0.25">
      <c r="A7466" s="4" t="s">
        <v>7464</v>
      </c>
      <c r="B7466" s="4" t="s">
        <v>4550</v>
      </c>
      <c r="C7466" s="2" t="str">
        <f ca="1">IFERROR(__xludf.DUMMYFUNCTION("GOOGLETRANSLATE(A7466,""bn"",""en"")"),"I was on a trip to Japan in September")</f>
        <v>I was on a trip to Japan in September</v>
      </c>
      <c r="D7466" s="5"/>
      <c r="E7466" s="5"/>
      <c r="F7466" s="5"/>
      <c r="G7466" s="5"/>
      <c r="H7466" s="5"/>
      <c r="I7466" s="5"/>
      <c r="J7466" s="5"/>
      <c r="K7466" s="5"/>
      <c r="L7466" s="5"/>
      <c r="M7466" s="5"/>
      <c r="N7466" s="5"/>
      <c r="O7466" s="5"/>
      <c r="P7466" s="5"/>
      <c r="Q7466" s="5"/>
      <c r="R7466" s="5"/>
      <c r="S7466" s="5"/>
      <c r="T7466" s="5"/>
      <c r="U7466" s="5"/>
      <c r="V7466" s="5"/>
      <c r="W7466" s="5"/>
      <c r="X7466" s="5"/>
      <c r="Y7466" s="5"/>
      <c r="Z7466" s="5"/>
    </row>
    <row r="7467" spans="1:26" ht="15" x14ac:dyDescent="0.25">
      <c r="A7467" s="4" t="s">
        <v>7465</v>
      </c>
      <c r="B7467" s="4" t="s">
        <v>4550</v>
      </c>
      <c r="C7467" s="2" t="str">
        <f ca="1">IFERROR(__xludf.DUMMYFUNCTION("GOOGLETRANSLATE(A7467,""bn"",""en"")"),"It was broadcast at regular intervals")</f>
        <v>It was broadcast at regular intervals</v>
      </c>
      <c r="D7467" s="5"/>
      <c r="E7467" s="5"/>
      <c r="F7467" s="5"/>
      <c r="G7467" s="5"/>
      <c r="H7467" s="5"/>
      <c r="I7467" s="5"/>
      <c r="J7467" s="5"/>
      <c r="K7467" s="5"/>
      <c r="L7467" s="5"/>
      <c r="M7467" s="5"/>
      <c r="N7467" s="5"/>
      <c r="O7467" s="5"/>
      <c r="P7467" s="5"/>
      <c r="Q7467" s="5"/>
      <c r="R7467" s="5"/>
      <c r="S7467" s="5"/>
      <c r="T7467" s="5"/>
      <c r="U7467" s="5"/>
      <c r="V7467" s="5"/>
      <c r="W7467" s="5"/>
      <c r="X7467" s="5"/>
      <c r="Y7467" s="5"/>
      <c r="Z7467" s="5"/>
    </row>
    <row r="7468" spans="1:26" ht="15" x14ac:dyDescent="0.25">
      <c r="A7468" s="4" t="s">
        <v>7466</v>
      </c>
      <c r="B7468" s="4" t="s">
        <v>4550</v>
      </c>
      <c r="C7468" s="2" t="str">
        <f ca="1">IFERROR(__xludf.DUMMYFUNCTION("GOOGLETRANSLATE(A7468,""bn"",""en"")"),"Cricket World Cup was organized")</f>
        <v>Cricket World Cup was organized</v>
      </c>
      <c r="D7468" s="5"/>
      <c r="E7468" s="5"/>
      <c r="F7468" s="5"/>
      <c r="G7468" s="5"/>
      <c r="H7468" s="5"/>
      <c r="I7468" s="5"/>
      <c r="J7468" s="5"/>
      <c r="K7468" s="5"/>
      <c r="L7468" s="5"/>
      <c r="M7468" s="5"/>
      <c r="N7468" s="5"/>
      <c r="O7468" s="5"/>
      <c r="P7468" s="5"/>
      <c r="Q7468" s="5"/>
      <c r="R7468" s="5"/>
      <c r="S7468" s="5"/>
      <c r="T7468" s="5"/>
      <c r="U7468" s="5"/>
      <c r="V7468" s="5"/>
      <c r="W7468" s="5"/>
      <c r="X7468" s="5"/>
      <c r="Y7468" s="5"/>
      <c r="Z7468" s="5"/>
    </row>
    <row r="7469" spans="1:26" ht="15" x14ac:dyDescent="0.25">
      <c r="A7469" s="4" t="s">
        <v>7467</v>
      </c>
      <c r="B7469" s="4" t="s">
        <v>4550</v>
      </c>
      <c r="C7469" s="2" t="str">
        <f ca="1">IFERROR(__xludf.DUMMYFUNCTION("GOOGLETRANSLATE(A7469,""bn"",""en"")"),"The discussion was formed out of necessity")</f>
        <v>The discussion was formed out of necessity</v>
      </c>
      <c r="D7469" s="5"/>
      <c r="E7469" s="5"/>
      <c r="F7469" s="5"/>
      <c r="G7469" s="5"/>
      <c r="H7469" s="5"/>
      <c r="I7469" s="5"/>
      <c r="J7469" s="5"/>
      <c r="K7469" s="5"/>
      <c r="L7469" s="5"/>
      <c r="M7469" s="5"/>
      <c r="N7469" s="5"/>
      <c r="O7469" s="5"/>
      <c r="P7469" s="5"/>
      <c r="Q7469" s="5"/>
      <c r="R7469" s="5"/>
      <c r="S7469" s="5"/>
      <c r="T7469" s="5"/>
      <c r="U7469" s="5"/>
      <c r="V7469" s="5"/>
      <c r="W7469" s="5"/>
      <c r="X7469" s="5"/>
      <c r="Y7469" s="5"/>
      <c r="Z7469" s="5"/>
    </row>
    <row r="7470" spans="1:26" ht="15" x14ac:dyDescent="0.25">
      <c r="A7470" s="4" t="s">
        <v>7468</v>
      </c>
      <c r="B7470" s="4" t="s">
        <v>4550</v>
      </c>
      <c r="C7470" s="2" t="str">
        <f ca="1">IFERROR(__xludf.DUMMYFUNCTION("GOOGLETRANSLATE(A7470,""bn"",""en"")"),"I went for a walk with my children")</f>
        <v>I went for a walk with my children</v>
      </c>
      <c r="D7470" s="5"/>
      <c r="E7470" s="5"/>
      <c r="F7470" s="5"/>
      <c r="G7470" s="5"/>
      <c r="H7470" s="5"/>
      <c r="I7470" s="5"/>
      <c r="J7470" s="5"/>
      <c r="K7470" s="5"/>
      <c r="L7470" s="5"/>
      <c r="M7470" s="5"/>
      <c r="N7470" s="5"/>
      <c r="O7470" s="5"/>
      <c r="P7470" s="5"/>
      <c r="Q7470" s="5"/>
      <c r="R7470" s="5"/>
      <c r="S7470" s="5"/>
      <c r="T7470" s="5"/>
      <c r="U7470" s="5"/>
      <c r="V7470" s="5"/>
      <c r="W7470" s="5"/>
      <c r="X7470" s="5"/>
      <c r="Y7470" s="5"/>
      <c r="Z7470" s="5"/>
    </row>
    <row r="7471" spans="1:26" ht="15" x14ac:dyDescent="0.25">
      <c r="A7471" s="4" t="s">
        <v>7469</v>
      </c>
      <c r="B7471" s="4" t="s">
        <v>4550</v>
      </c>
      <c r="C7471" s="2" t="str">
        <f ca="1">IFERROR(__xludf.DUMMYFUNCTION("GOOGLETRANSLATE(A7471,""bn"",""en"")"),"Played the gaming console at night")</f>
        <v>Played the gaming console at night</v>
      </c>
      <c r="D7471" s="5"/>
      <c r="E7471" s="5"/>
      <c r="F7471" s="5"/>
      <c r="G7471" s="5"/>
      <c r="H7471" s="5"/>
      <c r="I7471" s="5"/>
      <c r="J7471" s="5"/>
      <c r="K7471" s="5"/>
      <c r="L7471" s="5"/>
      <c r="M7471" s="5"/>
      <c r="N7471" s="5"/>
      <c r="O7471" s="5"/>
      <c r="P7471" s="5"/>
      <c r="Q7471" s="5"/>
      <c r="R7471" s="5"/>
      <c r="S7471" s="5"/>
      <c r="T7471" s="5"/>
      <c r="U7471" s="5"/>
      <c r="V7471" s="5"/>
      <c r="W7471" s="5"/>
      <c r="X7471" s="5"/>
      <c r="Y7471" s="5"/>
      <c r="Z7471" s="5"/>
    </row>
    <row r="7472" spans="1:26" ht="15" x14ac:dyDescent="0.25">
      <c r="A7472" s="4" t="s">
        <v>7470</v>
      </c>
      <c r="B7472" s="4" t="s">
        <v>4550</v>
      </c>
      <c r="C7472" s="2" t="str">
        <f ca="1">IFERROR(__xludf.DUMMYFUNCTION("GOOGLETRANSLATE(A7472,""bn"",""en"")"),"He was preparing before doing")</f>
        <v>He was preparing before doing</v>
      </c>
      <c r="D7472" s="5"/>
      <c r="E7472" s="5"/>
      <c r="F7472" s="5"/>
      <c r="G7472" s="5"/>
      <c r="H7472" s="5"/>
      <c r="I7472" s="5"/>
      <c r="J7472" s="5"/>
      <c r="K7472" s="5"/>
      <c r="L7472" s="5"/>
      <c r="M7472" s="5"/>
      <c r="N7472" s="5"/>
      <c r="O7472" s="5"/>
      <c r="P7472" s="5"/>
      <c r="Q7472" s="5"/>
      <c r="R7472" s="5"/>
      <c r="S7472" s="5"/>
      <c r="T7472" s="5"/>
      <c r="U7472" s="5"/>
      <c r="V7472" s="5"/>
      <c r="W7472" s="5"/>
      <c r="X7472" s="5"/>
      <c r="Y7472" s="5"/>
      <c r="Z7472" s="5"/>
    </row>
    <row r="7473" spans="1:26" ht="15" x14ac:dyDescent="0.25">
      <c r="A7473" s="4" t="s">
        <v>7471</v>
      </c>
      <c r="B7473" s="4" t="s">
        <v>4550</v>
      </c>
      <c r="C7473" s="2" t="str">
        <f ca="1">IFERROR(__xludf.DUMMYFUNCTION("GOOGLETRANSLATE(A7473,""bn"",""en"")"),"I watched the drama movie on Saturday")</f>
        <v>I watched the drama movie on Saturday</v>
      </c>
      <c r="D7473" s="5"/>
      <c r="E7473" s="5"/>
      <c r="F7473" s="5"/>
      <c r="G7473" s="5"/>
      <c r="H7473" s="5"/>
      <c r="I7473" s="5"/>
      <c r="J7473" s="5"/>
      <c r="K7473" s="5"/>
      <c r="L7473" s="5"/>
      <c r="M7473" s="5"/>
      <c r="N7473" s="5"/>
      <c r="O7473" s="5"/>
      <c r="P7473" s="5"/>
      <c r="Q7473" s="5"/>
      <c r="R7473" s="5"/>
      <c r="S7473" s="5"/>
      <c r="T7473" s="5"/>
      <c r="U7473" s="5"/>
      <c r="V7473" s="5"/>
      <c r="W7473" s="5"/>
      <c r="X7473" s="5"/>
      <c r="Y7473" s="5"/>
      <c r="Z7473" s="5"/>
    </row>
    <row r="7474" spans="1:26" ht="15" x14ac:dyDescent="0.25">
      <c r="A7474" s="4" t="s">
        <v>7472</v>
      </c>
      <c r="B7474" s="4" t="s">
        <v>4550</v>
      </c>
      <c r="C7474" s="2" t="str">
        <f ca="1">IFERROR(__xludf.DUMMYFUNCTION("GOOGLETRANSLATE(A7474,""bn"",""en"")"),"The capital was raised in three days")</f>
        <v>The capital was raised in three days</v>
      </c>
      <c r="D7474" s="5"/>
      <c r="E7474" s="5"/>
      <c r="F7474" s="5"/>
      <c r="G7474" s="5"/>
      <c r="H7474" s="5"/>
      <c r="I7474" s="5"/>
      <c r="J7474" s="5"/>
      <c r="K7474" s="5"/>
      <c r="L7474" s="5"/>
      <c r="M7474" s="5"/>
      <c r="N7474" s="5"/>
      <c r="O7474" s="5"/>
      <c r="P7474" s="5"/>
      <c r="Q7474" s="5"/>
      <c r="R7474" s="5"/>
      <c r="S7474" s="5"/>
      <c r="T7474" s="5"/>
      <c r="U7474" s="5"/>
      <c r="V7474" s="5"/>
      <c r="W7474" s="5"/>
      <c r="X7474" s="5"/>
      <c r="Y7474" s="5"/>
      <c r="Z7474" s="5"/>
    </row>
    <row r="7475" spans="1:26" ht="15" x14ac:dyDescent="0.25">
      <c r="A7475" s="4" t="s">
        <v>7473</v>
      </c>
      <c r="B7475" s="4" t="s">
        <v>4550</v>
      </c>
      <c r="C7475" s="2" t="str">
        <f ca="1">IFERROR(__xludf.DUMMYFUNCTION("GOOGLETRANSLATE(A7475,""bn"",""en"")"),"They ate spicy chow mein")</f>
        <v>They ate spicy chow mein</v>
      </c>
      <c r="D7475" s="5"/>
      <c r="E7475" s="5"/>
      <c r="F7475" s="5"/>
      <c r="G7475" s="5"/>
      <c r="H7475" s="5"/>
      <c r="I7475" s="5"/>
      <c r="J7475" s="5"/>
      <c r="K7475" s="5"/>
      <c r="L7475" s="5"/>
      <c r="M7475" s="5"/>
      <c r="N7475" s="5"/>
      <c r="O7475" s="5"/>
      <c r="P7475" s="5"/>
      <c r="Q7475" s="5"/>
      <c r="R7475" s="5"/>
      <c r="S7475" s="5"/>
      <c r="T7475" s="5"/>
      <c r="U7475" s="5"/>
      <c r="V7475" s="5"/>
      <c r="W7475" s="5"/>
      <c r="X7475" s="5"/>
      <c r="Y7475" s="5"/>
      <c r="Z7475" s="5"/>
    </row>
    <row r="7476" spans="1:26" ht="15" x14ac:dyDescent="0.25">
      <c r="A7476" s="4" t="s">
        <v>7474</v>
      </c>
      <c r="B7476" s="4" t="s">
        <v>4550</v>
      </c>
      <c r="C7476" s="2" t="str">
        <f ca="1">IFERROR(__xludf.DUMMYFUNCTION("GOOGLETRANSLATE(A7476,""bn"",""en"")"),"Students were studying regularly")</f>
        <v>Students were studying regularly</v>
      </c>
      <c r="D7476" s="5"/>
      <c r="E7476" s="5"/>
      <c r="F7476" s="5"/>
      <c r="G7476" s="5"/>
      <c r="H7476" s="5"/>
      <c r="I7476" s="5"/>
      <c r="J7476" s="5"/>
      <c r="K7476" s="5"/>
      <c r="L7476" s="5"/>
      <c r="M7476" s="5"/>
      <c r="N7476" s="5"/>
      <c r="O7476" s="5"/>
      <c r="P7476" s="5"/>
      <c r="Q7476" s="5"/>
      <c r="R7476" s="5"/>
      <c r="S7476" s="5"/>
      <c r="T7476" s="5"/>
      <c r="U7476" s="5"/>
      <c r="V7476" s="5"/>
      <c r="W7476" s="5"/>
      <c r="X7476" s="5"/>
      <c r="Y7476" s="5"/>
      <c r="Z7476" s="5"/>
    </row>
    <row r="7477" spans="1:26" ht="15" x14ac:dyDescent="0.25">
      <c r="A7477" s="4" t="s">
        <v>7475</v>
      </c>
      <c r="B7477" s="4" t="s">
        <v>4550</v>
      </c>
      <c r="C7477" s="2" t="str">
        <f ca="1">IFERROR(__xludf.DUMMYFUNCTION("GOOGLETRANSLATE(A7477,""bn"",""en"")"),"The camera turned off again")</f>
        <v>The camera turned off again</v>
      </c>
      <c r="D7477" s="5"/>
      <c r="E7477" s="5"/>
      <c r="F7477" s="5"/>
      <c r="G7477" s="5"/>
      <c r="H7477" s="5"/>
      <c r="I7477" s="5"/>
      <c r="J7477" s="5"/>
      <c r="K7477" s="5"/>
      <c r="L7477" s="5"/>
      <c r="M7477" s="5"/>
      <c r="N7477" s="5"/>
      <c r="O7477" s="5"/>
      <c r="P7477" s="5"/>
      <c r="Q7477" s="5"/>
      <c r="R7477" s="5"/>
      <c r="S7477" s="5"/>
      <c r="T7477" s="5"/>
      <c r="U7477" s="5"/>
      <c r="V7477" s="5"/>
      <c r="W7477" s="5"/>
      <c r="X7477" s="5"/>
      <c r="Y7477" s="5"/>
      <c r="Z7477" s="5"/>
    </row>
    <row r="7478" spans="1:26" ht="15" x14ac:dyDescent="0.25">
      <c r="A7478" s="4" t="s">
        <v>7476</v>
      </c>
      <c r="B7478" s="4" t="s">
        <v>4550</v>
      </c>
      <c r="C7478" s="2" t="str">
        <f ca="1">IFERROR(__xludf.DUMMYFUNCTION("GOOGLETRANSLATE(A7478,""bn"",""en"")"),"You were studying at night for preparation")</f>
        <v>You were studying at night for preparation</v>
      </c>
      <c r="D7478" s="5"/>
      <c r="E7478" s="5"/>
      <c r="F7478" s="5"/>
      <c r="G7478" s="5"/>
      <c r="H7478" s="5"/>
      <c r="I7478" s="5"/>
      <c r="J7478" s="5"/>
      <c r="K7478" s="5"/>
      <c r="L7478" s="5"/>
      <c r="M7478" s="5"/>
      <c r="N7478" s="5"/>
      <c r="O7478" s="5"/>
      <c r="P7478" s="5"/>
      <c r="Q7478" s="5"/>
      <c r="R7478" s="5"/>
      <c r="S7478" s="5"/>
      <c r="T7478" s="5"/>
      <c r="U7478" s="5"/>
      <c r="V7478" s="5"/>
      <c r="W7478" s="5"/>
      <c r="X7478" s="5"/>
      <c r="Y7478" s="5"/>
      <c r="Z7478" s="5"/>
    </row>
    <row r="7479" spans="1:26" ht="15" x14ac:dyDescent="0.25">
      <c r="A7479" s="4" t="s">
        <v>7477</v>
      </c>
      <c r="B7479" s="4" t="s">
        <v>4550</v>
      </c>
      <c r="C7479" s="2" t="str">
        <f ca="1">IFERROR(__xludf.DUMMYFUNCTION("GOOGLETRANSLATE(A7479,""bn"",""en"")"),"The rich paid zakat")</f>
        <v>The rich paid zakat</v>
      </c>
      <c r="D7479" s="5"/>
      <c r="E7479" s="5"/>
      <c r="F7479" s="5"/>
      <c r="G7479" s="5"/>
      <c r="H7479" s="5"/>
      <c r="I7479" s="5"/>
      <c r="J7479" s="5"/>
      <c r="K7479" s="5"/>
      <c r="L7479" s="5"/>
      <c r="M7479" s="5"/>
      <c r="N7479" s="5"/>
      <c r="O7479" s="5"/>
      <c r="P7479" s="5"/>
      <c r="Q7479" s="5"/>
      <c r="R7479" s="5"/>
      <c r="S7479" s="5"/>
      <c r="T7479" s="5"/>
      <c r="U7479" s="5"/>
      <c r="V7479" s="5"/>
      <c r="W7479" s="5"/>
      <c r="X7479" s="5"/>
      <c r="Y7479" s="5"/>
      <c r="Z7479" s="5"/>
    </row>
    <row r="7480" spans="1:26" ht="15" x14ac:dyDescent="0.25">
      <c r="A7480" s="4" t="s">
        <v>7478</v>
      </c>
      <c r="B7480" s="4" t="s">
        <v>4550</v>
      </c>
      <c r="C7480" s="2" t="str">
        <f ca="1">IFERROR(__xludf.DUMMYFUNCTION("GOOGLETRANSLATE(A7480,""bn"",""en"")"),"Parliament announced in the meeting")</f>
        <v>Parliament announced in the meeting</v>
      </c>
      <c r="D7480" s="5"/>
      <c r="E7480" s="5"/>
      <c r="F7480" s="5"/>
      <c r="G7480" s="5"/>
      <c r="H7480" s="5"/>
      <c r="I7480" s="5"/>
      <c r="J7480" s="5"/>
      <c r="K7480" s="5"/>
      <c r="L7480" s="5"/>
      <c r="M7480" s="5"/>
      <c r="N7480" s="5"/>
      <c r="O7480" s="5"/>
      <c r="P7480" s="5"/>
      <c r="Q7480" s="5"/>
      <c r="R7480" s="5"/>
      <c r="S7480" s="5"/>
      <c r="T7480" s="5"/>
      <c r="U7480" s="5"/>
      <c r="V7480" s="5"/>
      <c r="W7480" s="5"/>
      <c r="X7480" s="5"/>
      <c r="Y7480" s="5"/>
      <c r="Z7480" s="5"/>
    </row>
    <row r="7481" spans="1:26" ht="15" x14ac:dyDescent="0.25">
      <c r="A7481" s="4" t="s">
        <v>7479</v>
      </c>
      <c r="B7481" s="4" t="s">
        <v>4550</v>
      </c>
      <c r="C7481" s="2" t="str">
        <f ca="1">IFERROR(__xludf.DUMMYFUNCTION("GOOGLETRANSLATE(A7481,""bn"",""en"")"),"We had sweets at the party")</f>
        <v>We had sweets at the party</v>
      </c>
      <c r="D7481" s="5"/>
      <c r="E7481" s="5"/>
      <c r="F7481" s="5"/>
      <c r="G7481" s="5"/>
      <c r="H7481" s="5"/>
      <c r="I7481" s="5"/>
      <c r="J7481" s="5"/>
      <c r="K7481" s="5"/>
      <c r="L7481" s="5"/>
      <c r="M7481" s="5"/>
      <c r="N7481" s="5"/>
      <c r="O7481" s="5"/>
      <c r="P7481" s="5"/>
      <c r="Q7481" s="5"/>
      <c r="R7481" s="5"/>
      <c r="S7481" s="5"/>
      <c r="T7481" s="5"/>
      <c r="U7481" s="5"/>
      <c r="V7481" s="5"/>
      <c r="W7481" s="5"/>
      <c r="X7481" s="5"/>
      <c r="Y7481" s="5"/>
      <c r="Z7481" s="5"/>
    </row>
    <row r="7482" spans="1:26" ht="15" x14ac:dyDescent="0.25">
      <c r="A7482" s="4" t="s">
        <v>7480</v>
      </c>
      <c r="B7482" s="4" t="s">
        <v>4550</v>
      </c>
      <c r="C7482" s="2" t="str">
        <f ca="1">IFERROR(__xludf.DUMMYFUNCTION("GOOGLETRANSLATE(A7482,""bn"",""en"")"),"We all watched the game together")</f>
        <v>We all watched the game together</v>
      </c>
      <c r="D7482" s="5"/>
      <c r="E7482" s="5"/>
      <c r="F7482" s="5"/>
      <c r="G7482" s="5"/>
      <c r="H7482" s="5"/>
      <c r="I7482" s="5"/>
      <c r="J7482" s="5"/>
      <c r="K7482" s="5"/>
      <c r="L7482" s="5"/>
      <c r="M7482" s="5"/>
      <c r="N7482" s="5"/>
      <c r="O7482" s="5"/>
      <c r="P7482" s="5"/>
      <c r="Q7482" s="5"/>
      <c r="R7482" s="5"/>
      <c r="S7482" s="5"/>
      <c r="T7482" s="5"/>
      <c r="U7482" s="5"/>
      <c r="V7482" s="5"/>
      <c r="W7482" s="5"/>
      <c r="X7482" s="5"/>
      <c r="Y7482" s="5"/>
      <c r="Z7482" s="5"/>
    </row>
    <row r="7483" spans="1:26" ht="15" x14ac:dyDescent="0.25">
      <c r="A7483" s="4" t="s">
        <v>7481</v>
      </c>
      <c r="B7483" s="4" t="s">
        <v>4550</v>
      </c>
      <c r="C7483" s="2" t="str">
        <f ca="1">IFERROR(__xludf.DUMMYFUNCTION("GOOGLETRANSLATE(A7483,""bn"",""en"")"),"He ate belti fish")</f>
        <v>He ate belti fish</v>
      </c>
      <c r="D7483" s="5"/>
      <c r="E7483" s="5"/>
      <c r="F7483" s="5"/>
      <c r="G7483" s="5"/>
      <c r="H7483" s="5"/>
      <c r="I7483" s="5"/>
      <c r="J7483" s="5"/>
      <c r="K7483" s="5"/>
      <c r="L7483" s="5"/>
      <c r="M7483" s="5"/>
      <c r="N7483" s="5"/>
      <c r="O7483" s="5"/>
      <c r="P7483" s="5"/>
      <c r="Q7483" s="5"/>
      <c r="R7483" s="5"/>
      <c r="S7483" s="5"/>
      <c r="T7483" s="5"/>
      <c r="U7483" s="5"/>
      <c r="V7483" s="5"/>
      <c r="W7483" s="5"/>
      <c r="X7483" s="5"/>
      <c r="Y7483" s="5"/>
      <c r="Z7483" s="5"/>
    </row>
    <row r="7484" spans="1:26" ht="15" x14ac:dyDescent="0.25">
      <c r="A7484" s="4" t="s">
        <v>7482</v>
      </c>
      <c r="B7484" s="4" t="s">
        <v>4550</v>
      </c>
      <c r="C7484" s="2" t="str">
        <f ca="1">IFERROR(__xludf.DUMMYFUNCTION("GOOGLETRANSLATE(A7484,""bn"",""en"")"),"I went to see the movie with them")</f>
        <v>I went to see the movie with them</v>
      </c>
      <c r="D7484" s="5"/>
      <c r="E7484" s="5"/>
      <c r="F7484" s="5"/>
      <c r="G7484" s="5"/>
      <c r="H7484" s="5"/>
      <c r="I7484" s="5"/>
      <c r="J7484" s="5"/>
      <c r="K7484" s="5"/>
      <c r="L7484" s="5"/>
      <c r="M7484" s="5"/>
      <c r="N7484" s="5"/>
      <c r="O7484" s="5"/>
      <c r="P7484" s="5"/>
      <c r="Q7484" s="5"/>
      <c r="R7484" s="5"/>
      <c r="S7484" s="5"/>
      <c r="T7484" s="5"/>
      <c r="U7484" s="5"/>
      <c r="V7484" s="5"/>
      <c r="W7484" s="5"/>
      <c r="X7484" s="5"/>
      <c r="Y7484" s="5"/>
      <c r="Z7484" s="5"/>
    </row>
    <row r="7485" spans="1:26" ht="15" x14ac:dyDescent="0.25">
      <c r="A7485" s="4" t="s">
        <v>7483</v>
      </c>
      <c r="B7485" s="4" t="s">
        <v>4550</v>
      </c>
      <c r="C7485" s="2" t="str">
        <f ca="1">IFERROR(__xludf.DUMMYFUNCTION("GOOGLETRANSLATE(A7485,""bn"",""en"")"),"The game was played with calmness")</f>
        <v>The game was played with calmness</v>
      </c>
      <c r="D7485" s="5"/>
      <c r="E7485" s="5"/>
      <c r="F7485" s="5"/>
      <c r="G7485" s="5"/>
      <c r="H7485" s="5"/>
      <c r="I7485" s="5"/>
      <c r="J7485" s="5"/>
      <c r="K7485" s="5"/>
      <c r="L7485" s="5"/>
      <c r="M7485" s="5"/>
      <c r="N7485" s="5"/>
      <c r="O7485" s="5"/>
      <c r="P7485" s="5"/>
      <c r="Q7485" s="5"/>
      <c r="R7485" s="5"/>
      <c r="S7485" s="5"/>
      <c r="T7485" s="5"/>
      <c r="U7485" s="5"/>
      <c r="V7485" s="5"/>
      <c r="W7485" s="5"/>
      <c r="X7485" s="5"/>
      <c r="Y7485" s="5"/>
      <c r="Z7485" s="5"/>
    </row>
    <row r="7486" spans="1:26" ht="15" x14ac:dyDescent="0.25">
      <c r="A7486" s="4" t="s">
        <v>7484</v>
      </c>
      <c r="B7486" s="4" t="s">
        <v>4550</v>
      </c>
      <c r="C7486" s="2" t="str">
        <f ca="1">IFERROR(__xludf.DUMMYFUNCTION("GOOGLETRANSLATE(A7486,""bn"",""en"")"),"We ate soup at home")</f>
        <v>We ate soup at home</v>
      </c>
      <c r="D7486" s="5"/>
      <c r="E7486" s="5"/>
      <c r="F7486" s="5"/>
      <c r="G7486" s="5"/>
      <c r="H7486" s="5"/>
      <c r="I7486" s="5"/>
      <c r="J7486" s="5"/>
      <c r="K7486" s="5"/>
      <c r="L7486" s="5"/>
      <c r="M7486" s="5"/>
      <c r="N7486" s="5"/>
      <c r="O7486" s="5"/>
      <c r="P7486" s="5"/>
      <c r="Q7486" s="5"/>
      <c r="R7486" s="5"/>
      <c r="S7486" s="5"/>
      <c r="T7486" s="5"/>
      <c r="U7486" s="5"/>
      <c r="V7486" s="5"/>
      <c r="W7486" s="5"/>
      <c r="X7486" s="5"/>
      <c r="Y7486" s="5"/>
      <c r="Z7486" s="5"/>
    </row>
    <row r="7487" spans="1:26" ht="15" x14ac:dyDescent="0.25">
      <c r="A7487" s="4" t="s">
        <v>7485</v>
      </c>
      <c r="B7487" s="4" t="s">
        <v>4550</v>
      </c>
      <c r="C7487" s="2" t="str">
        <f ca="1">IFERROR(__xludf.DUMMYFUNCTION("GOOGLETRANSLATE(A7487,""bn"",""en"")"),"The land was rich in water")</f>
        <v>The land was rich in water</v>
      </c>
      <c r="D7487" s="5"/>
      <c r="E7487" s="5"/>
      <c r="F7487" s="5"/>
      <c r="G7487" s="5"/>
      <c r="H7487" s="5"/>
      <c r="I7487" s="5"/>
      <c r="J7487" s="5"/>
      <c r="K7487" s="5"/>
      <c r="L7487" s="5"/>
      <c r="M7487" s="5"/>
      <c r="N7487" s="5"/>
      <c r="O7487" s="5"/>
      <c r="P7487" s="5"/>
      <c r="Q7487" s="5"/>
      <c r="R7487" s="5"/>
      <c r="S7487" s="5"/>
      <c r="T7487" s="5"/>
      <c r="U7487" s="5"/>
      <c r="V7487" s="5"/>
      <c r="W7487" s="5"/>
      <c r="X7487" s="5"/>
      <c r="Y7487" s="5"/>
      <c r="Z7487" s="5"/>
    </row>
    <row r="7488" spans="1:26" ht="15" x14ac:dyDescent="0.25">
      <c r="A7488" s="4" t="s">
        <v>7486</v>
      </c>
      <c r="B7488" s="4" t="s">
        <v>4550</v>
      </c>
      <c r="C7488" s="2" t="str">
        <f ca="1">IFERROR(__xludf.DUMMYFUNCTION("GOOGLETRANSLATE(A7488,""bn"",""en"")"),"Military power was weakened")</f>
        <v>Military power was weakened</v>
      </c>
      <c r="D7488" s="5"/>
      <c r="E7488" s="5"/>
      <c r="F7488" s="5"/>
      <c r="G7488" s="5"/>
      <c r="H7488" s="5"/>
      <c r="I7488" s="5"/>
      <c r="J7488" s="5"/>
      <c r="K7488" s="5"/>
      <c r="L7488" s="5"/>
      <c r="M7488" s="5"/>
      <c r="N7488" s="5"/>
      <c r="O7488" s="5"/>
      <c r="P7488" s="5"/>
      <c r="Q7488" s="5"/>
      <c r="R7488" s="5"/>
      <c r="S7488" s="5"/>
      <c r="T7488" s="5"/>
      <c r="U7488" s="5"/>
      <c r="V7488" s="5"/>
      <c r="W7488" s="5"/>
      <c r="X7488" s="5"/>
      <c r="Y7488" s="5"/>
      <c r="Z7488" s="5"/>
    </row>
    <row r="7489" spans="1:26" ht="15" x14ac:dyDescent="0.25">
      <c r="A7489" s="4" t="s">
        <v>7487</v>
      </c>
      <c r="B7489" s="4" t="s">
        <v>4550</v>
      </c>
      <c r="C7489" s="2" t="str">
        <f ca="1">IFERROR(__xludf.DUMMYFUNCTION("GOOGLETRANSLATE(A7489,""bn"",""en"")"),"We ate fish in salt")</f>
        <v>We ate fish in salt</v>
      </c>
      <c r="D7489" s="5"/>
      <c r="E7489" s="5"/>
      <c r="F7489" s="5"/>
      <c r="G7489" s="5"/>
      <c r="H7489" s="5"/>
      <c r="I7489" s="5"/>
      <c r="J7489" s="5"/>
      <c r="K7489" s="5"/>
      <c r="L7489" s="5"/>
      <c r="M7489" s="5"/>
      <c r="N7489" s="5"/>
      <c r="O7489" s="5"/>
      <c r="P7489" s="5"/>
      <c r="Q7489" s="5"/>
      <c r="R7489" s="5"/>
      <c r="S7489" s="5"/>
      <c r="T7489" s="5"/>
      <c r="U7489" s="5"/>
      <c r="V7489" s="5"/>
      <c r="W7489" s="5"/>
      <c r="X7489" s="5"/>
      <c r="Y7489" s="5"/>
      <c r="Z7489" s="5"/>
    </row>
    <row r="7490" spans="1:26" ht="15" x14ac:dyDescent="0.25">
      <c r="A7490" s="4" t="s">
        <v>7488</v>
      </c>
      <c r="B7490" s="4" t="s">
        <v>4550</v>
      </c>
      <c r="C7490" s="2" t="str">
        <f ca="1">IFERROR(__xludf.DUMMYFUNCTION("GOOGLETRANSLATE(A7490,""bn"",""en"")"),"I regularly taught hadith to the students")</f>
        <v>I regularly taught hadith to the students</v>
      </c>
      <c r="D7490" s="5"/>
      <c r="E7490" s="5"/>
      <c r="F7490" s="5"/>
      <c r="G7490" s="5"/>
      <c r="H7490" s="5"/>
      <c r="I7490" s="5"/>
      <c r="J7490" s="5"/>
      <c r="K7490" s="5"/>
      <c r="L7490" s="5"/>
      <c r="M7490" s="5"/>
      <c r="N7490" s="5"/>
      <c r="O7490" s="5"/>
      <c r="P7490" s="5"/>
      <c r="Q7490" s="5"/>
      <c r="R7490" s="5"/>
      <c r="S7490" s="5"/>
      <c r="T7490" s="5"/>
      <c r="U7490" s="5"/>
      <c r="V7490" s="5"/>
      <c r="W7490" s="5"/>
      <c r="X7490" s="5"/>
      <c r="Y7490" s="5"/>
      <c r="Z7490" s="5"/>
    </row>
    <row r="7491" spans="1:26" ht="15" x14ac:dyDescent="0.25">
      <c r="A7491" s="4" t="s">
        <v>7489</v>
      </c>
      <c r="B7491" s="4" t="s">
        <v>4550</v>
      </c>
      <c r="C7491" s="2" t="str">
        <f ca="1">IFERROR(__xludf.DUMMYFUNCTION("GOOGLETRANSLATE(A7491,""bn"",""en"")"),"The tablet was opened earlier")</f>
        <v>The tablet was opened earlier</v>
      </c>
      <c r="D7491" s="5"/>
      <c r="E7491" s="5"/>
      <c r="F7491" s="5"/>
      <c r="G7491" s="5"/>
      <c r="H7491" s="5"/>
      <c r="I7491" s="5"/>
      <c r="J7491" s="5"/>
      <c r="K7491" s="5"/>
      <c r="L7491" s="5"/>
      <c r="M7491" s="5"/>
      <c r="N7491" s="5"/>
      <c r="O7491" s="5"/>
      <c r="P7491" s="5"/>
      <c r="Q7491" s="5"/>
      <c r="R7491" s="5"/>
      <c r="S7491" s="5"/>
      <c r="T7491" s="5"/>
      <c r="U7491" s="5"/>
      <c r="V7491" s="5"/>
      <c r="W7491" s="5"/>
      <c r="X7491" s="5"/>
      <c r="Y7491" s="5"/>
      <c r="Z7491" s="5"/>
    </row>
    <row r="7492" spans="1:26" ht="15" x14ac:dyDescent="0.25">
      <c r="A7492" s="4" t="s">
        <v>7490</v>
      </c>
      <c r="B7492" s="4" t="s">
        <v>4550</v>
      </c>
      <c r="C7492" s="2" t="str">
        <f ca="1">IFERROR(__xludf.DUMMYFUNCTION("GOOGLETRANSLATE(A7492,""bn"",""en"")"),"He broadcasted the news all day")</f>
        <v>He broadcasted the news all day</v>
      </c>
      <c r="D7492" s="5"/>
      <c r="E7492" s="5"/>
      <c r="F7492" s="5"/>
      <c r="G7492" s="5"/>
      <c r="H7492" s="5"/>
      <c r="I7492" s="5"/>
      <c r="J7492" s="5"/>
      <c r="K7492" s="5"/>
      <c r="L7492" s="5"/>
      <c r="M7492" s="5"/>
      <c r="N7492" s="5"/>
      <c r="O7492" s="5"/>
      <c r="P7492" s="5"/>
      <c r="Q7492" s="5"/>
      <c r="R7492" s="5"/>
      <c r="S7492" s="5"/>
      <c r="T7492" s="5"/>
      <c r="U7492" s="5"/>
      <c r="V7492" s="5"/>
      <c r="W7492" s="5"/>
      <c r="X7492" s="5"/>
      <c r="Y7492" s="5"/>
      <c r="Z7492" s="5"/>
    </row>
    <row r="7493" spans="1:26" ht="15" x14ac:dyDescent="0.25">
      <c r="A7493" s="4" t="s">
        <v>7491</v>
      </c>
      <c r="B7493" s="4" t="s">
        <v>4550</v>
      </c>
      <c r="C7493" s="2" t="str">
        <f ca="1">IFERROR(__xludf.DUMMYFUNCTION("GOOGLETRANSLATE(A7493,""bn"",""en"")"),"The Prime Minister's resignation was demanded")</f>
        <v>The Prime Minister's resignation was demanded</v>
      </c>
      <c r="D7493" s="5"/>
      <c r="E7493" s="5"/>
      <c r="F7493" s="5"/>
      <c r="G7493" s="5"/>
      <c r="H7493" s="5"/>
      <c r="I7493" s="5"/>
      <c r="J7493" s="5"/>
      <c r="K7493" s="5"/>
      <c r="L7493" s="5"/>
      <c r="M7493" s="5"/>
      <c r="N7493" s="5"/>
      <c r="O7493" s="5"/>
      <c r="P7493" s="5"/>
      <c r="Q7493" s="5"/>
      <c r="R7493" s="5"/>
      <c r="S7493" s="5"/>
      <c r="T7493" s="5"/>
      <c r="U7493" s="5"/>
      <c r="V7493" s="5"/>
      <c r="W7493" s="5"/>
      <c r="X7493" s="5"/>
      <c r="Y7493" s="5"/>
      <c r="Z7493" s="5"/>
    </row>
    <row r="7494" spans="1:26" ht="15" x14ac:dyDescent="0.25">
      <c r="A7494" s="4" t="s">
        <v>7492</v>
      </c>
      <c r="B7494" s="4" t="s">
        <v>4550</v>
      </c>
      <c r="C7494" s="2" t="str">
        <f ca="1">IFERROR(__xludf.DUMMYFUNCTION("GOOGLETRANSLATE(A7494,""bn"",""en"")"),"The company prospered")</f>
        <v>The company prospered</v>
      </c>
      <c r="D7494" s="5"/>
      <c r="E7494" s="5"/>
      <c r="F7494" s="5"/>
      <c r="G7494" s="5"/>
      <c r="H7494" s="5"/>
      <c r="I7494" s="5"/>
      <c r="J7494" s="5"/>
      <c r="K7494" s="5"/>
      <c r="L7494" s="5"/>
      <c r="M7494" s="5"/>
      <c r="N7494" s="5"/>
      <c r="O7494" s="5"/>
      <c r="P7494" s="5"/>
      <c r="Q7494" s="5"/>
      <c r="R7494" s="5"/>
      <c r="S7494" s="5"/>
      <c r="T7494" s="5"/>
      <c r="U7494" s="5"/>
      <c r="V7494" s="5"/>
      <c r="W7494" s="5"/>
      <c r="X7494" s="5"/>
      <c r="Y7494" s="5"/>
      <c r="Z7494" s="5"/>
    </row>
    <row r="7495" spans="1:26" ht="15" x14ac:dyDescent="0.25">
      <c r="A7495" s="4" t="s">
        <v>7493</v>
      </c>
      <c r="B7495" s="4" t="s">
        <v>4550</v>
      </c>
      <c r="C7495" s="2" t="str">
        <f ca="1">IFERROR(__xludf.DUMMYFUNCTION("GOOGLETRANSLATE(A7495,""bn"",""en"")"),"I organized a tour")</f>
        <v>I organized a tour</v>
      </c>
      <c r="D7495" s="5"/>
      <c r="E7495" s="5"/>
      <c r="F7495" s="5"/>
      <c r="G7495" s="5"/>
      <c r="H7495" s="5"/>
      <c r="I7495" s="5"/>
      <c r="J7495" s="5"/>
      <c r="K7495" s="5"/>
      <c r="L7495" s="5"/>
      <c r="M7495" s="5"/>
      <c r="N7495" s="5"/>
      <c r="O7495" s="5"/>
      <c r="P7495" s="5"/>
      <c r="Q7495" s="5"/>
      <c r="R7495" s="5"/>
      <c r="S7495" s="5"/>
      <c r="T7495" s="5"/>
      <c r="U7495" s="5"/>
      <c r="V7495" s="5"/>
      <c r="W7495" s="5"/>
      <c r="X7495" s="5"/>
      <c r="Y7495" s="5"/>
      <c r="Z7495" s="5"/>
    </row>
    <row r="7496" spans="1:26" ht="15" x14ac:dyDescent="0.25">
      <c r="A7496" s="4" t="s">
        <v>7494</v>
      </c>
      <c r="B7496" s="4" t="s">
        <v>4550</v>
      </c>
      <c r="C7496" s="2" t="str">
        <f ca="1">IFERROR(__xludf.DUMMYFUNCTION("GOOGLETRANSLATE(A7496,""bn"",""en"")"),"He watched special movies")</f>
        <v>He watched special movies</v>
      </c>
      <c r="D7496" s="5"/>
      <c r="E7496" s="5"/>
      <c r="F7496" s="5"/>
      <c r="G7496" s="5"/>
      <c r="H7496" s="5"/>
      <c r="I7496" s="5"/>
      <c r="J7496" s="5"/>
      <c r="K7496" s="5"/>
      <c r="L7496" s="5"/>
      <c r="M7496" s="5"/>
      <c r="N7496" s="5"/>
      <c r="O7496" s="5"/>
      <c r="P7496" s="5"/>
      <c r="Q7496" s="5"/>
      <c r="R7496" s="5"/>
      <c r="S7496" s="5"/>
      <c r="T7496" s="5"/>
      <c r="U7496" s="5"/>
      <c r="V7496" s="5"/>
      <c r="W7496" s="5"/>
      <c r="X7496" s="5"/>
      <c r="Y7496" s="5"/>
      <c r="Z7496" s="5"/>
    </row>
    <row r="7497" spans="1:26" ht="15" x14ac:dyDescent="0.25">
      <c r="A7497" s="4" t="s">
        <v>7495</v>
      </c>
      <c r="B7497" s="4" t="s">
        <v>4550</v>
      </c>
      <c r="C7497" s="2" t="str">
        <f ca="1">IFERROR(__xludf.DUMMYFUNCTION("GOOGLETRANSLATE(A7497,""bn"",""en"")"),"I saw sweet movie")</f>
        <v>I saw sweet movie</v>
      </c>
      <c r="D7497" s="5"/>
      <c r="E7497" s="5"/>
      <c r="F7497" s="5"/>
      <c r="G7497" s="5"/>
      <c r="H7497" s="5"/>
      <c r="I7497" s="5"/>
      <c r="J7497" s="5"/>
      <c r="K7497" s="5"/>
      <c r="L7497" s="5"/>
      <c r="M7497" s="5"/>
      <c r="N7497" s="5"/>
      <c r="O7497" s="5"/>
      <c r="P7497" s="5"/>
      <c r="Q7497" s="5"/>
      <c r="R7497" s="5"/>
      <c r="S7497" s="5"/>
      <c r="T7497" s="5"/>
      <c r="U7497" s="5"/>
      <c r="V7497" s="5"/>
      <c r="W7497" s="5"/>
      <c r="X7497" s="5"/>
      <c r="Y7497" s="5"/>
      <c r="Z7497" s="5"/>
    </row>
    <row r="7498" spans="1:26" ht="15" x14ac:dyDescent="0.25">
      <c r="A7498" s="4" t="s">
        <v>7496</v>
      </c>
      <c r="B7498" s="4" t="s">
        <v>4550</v>
      </c>
      <c r="C7498" s="2" t="str">
        <f ca="1">IFERROR(__xludf.DUMMYFUNCTION("GOOGLETRANSLATE(A7498,""bn"",""en"")"),"Learned technology from morning")</f>
        <v>Learned technology from morning</v>
      </c>
      <c r="D7498" s="5"/>
      <c r="E7498" s="5"/>
      <c r="F7498" s="5"/>
      <c r="G7498" s="5"/>
      <c r="H7498" s="5"/>
      <c r="I7498" s="5"/>
      <c r="J7498" s="5"/>
      <c r="K7498" s="5"/>
      <c r="L7498" s="5"/>
      <c r="M7498" s="5"/>
      <c r="N7498" s="5"/>
      <c r="O7498" s="5"/>
      <c r="P7498" s="5"/>
      <c r="Q7498" s="5"/>
      <c r="R7498" s="5"/>
      <c r="S7498" s="5"/>
      <c r="T7498" s="5"/>
      <c r="U7498" s="5"/>
      <c r="V7498" s="5"/>
      <c r="W7498" s="5"/>
      <c r="X7498" s="5"/>
      <c r="Y7498" s="5"/>
      <c r="Z7498" s="5"/>
    </row>
    <row r="7499" spans="1:26" ht="15" x14ac:dyDescent="0.25">
      <c r="A7499" s="4" t="s">
        <v>7497</v>
      </c>
      <c r="B7499" s="4" t="s">
        <v>4550</v>
      </c>
      <c r="C7499" s="2" t="str">
        <f ca="1">IFERROR(__xludf.DUMMYFUNCTION("GOOGLETRANSLATE(A7499,""bn"",""en"")"),"Water was abundant in the wall")</f>
        <v>Water was abundant in the wall</v>
      </c>
      <c r="D7499" s="5"/>
      <c r="E7499" s="5"/>
      <c r="F7499" s="5"/>
      <c r="G7499" s="5"/>
      <c r="H7499" s="5"/>
      <c r="I7499" s="5"/>
      <c r="J7499" s="5"/>
      <c r="K7499" s="5"/>
      <c r="L7499" s="5"/>
      <c r="M7499" s="5"/>
      <c r="N7499" s="5"/>
      <c r="O7499" s="5"/>
      <c r="P7499" s="5"/>
      <c r="Q7499" s="5"/>
      <c r="R7499" s="5"/>
      <c r="S7499" s="5"/>
      <c r="T7499" s="5"/>
      <c r="U7499" s="5"/>
      <c r="V7499" s="5"/>
      <c r="W7499" s="5"/>
      <c r="X7499" s="5"/>
      <c r="Y7499" s="5"/>
      <c r="Z7499" s="5"/>
    </row>
    <row r="7500" spans="1:26" ht="15" x14ac:dyDescent="0.25">
      <c r="A7500" s="4" t="s">
        <v>7498</v>
      </c>
      <c r="B7500" s="4" t="s">
        <v>4550</v>
      </c>
      <c r="C7500" s="2" t="str">
        <f ca="1">IFERROR(__xludf.DUMMYFUNCTION("GOOGLETRANSLATE(A7500,""bn"",""en"")"),"I bought bluetooth headphones online")</f>
        <v>I bought bluetooth headphones online</v>
      </c>
      <c r="D7500" s="5"/>
      <c r="E7500" s="5"/>
      <c r="F7500" s="5"/>
      <c r="G7500" s="5"/>
      <c r="H7500" s="5"/>
      <c r="I7500" s="5"/>
      <c r="J7500" s="5"/>
      <c r="K7500" s="5"/>
      <c r="L7500" s="5"/>
      <c r="M7500" s="5"/>
      <c r="N7500" s="5"/>
      <c r="O7500" s="5"/>
      <c r="P7500" s="5"/>
      <c r="Q7500" s="5"/>
      <c r="R7500" s="5"/>
      <c r="S7500" s="5"/>
      <c r="T7500" s="5"/>
      <c r="U7500" s="5"/>
      <c r="V7500" s="5"/>
      <c r="W7500" s="5"/>
      <c r="X7500" s="5"/>
      <c r="Y7500" s="5"/>
      <c r="Z7500" s="5"/>
    </row>
    <row r="7501" spans="1:26" ht="15" x14ac:dyDescent="0.25">
      <c r="A7501" s="4" t="s">
        <v>7499</v>
      </c>
      <c r="B7501" s="4" t="s">
        <v>4550</v>
      </c>
      <c r="C7501" s="2" t="str">
        <f ca="1">IFERROR(__xludf.DUMMYFUNCTION("GOOGLETRANSLATE(A7501,""bn"",""en"")"),"Life in the hostel was difficult")</f>
        <v>Life in the hostel was difficult</v>
      </c>
      <c r="D7501" s="5"/>
      <c r="E7501" s="5"/>
      <c r="F7501" s="5"/>
      <c r="G7501" s="5"/>
      <c r="H7501" s="5"/>
      <c r="I7501" s="5"/>
      <c r="J7501" s="5"/>
      <c r="K7501" s="5"/>
      <c r="L7501" s="5"/>
      <c r="M7501" s="5"/>
      <c r="N7501" s="5"/>
      <c r="O7501" s="5"/>
      <c r="P7501" s="5"/>
      <c r="Q7501" s="5"/>
      <c r="R7501" s="5"/>
      <c r="S7501" s="5"/>
      <c r="T7501" s="5"/>
      <c r="U7501" s="5"/>
      <c r="V7501" s="5"/>
      <c r="W7501" s="5"/>
      <c r="X7501" s="5"/>
      <c r="Y7501" s="5"/>
      <c r="Z7501" s="5"/>
    </row>
    <row r="7502" spans="1:26" ht="15" x14ac:dyDescent="0.25">
      <c r="A7502" s="4" t="s">
        <v>7500</v>
      </c>
      <c r="B7502" s="4" t="s">
        <v>4550</v>
      </c>
      <c r="C7502" s="2" t="str">
        <f ca="1">IFERROR(__xludf.DUMMYFUNCTION("GOOGLETRANSLATE(A7502,""bn"",""en"")"),"They ate sweets at the wedding")</f>
        <v>They ate sweets at the wedding</v>
      </c>
      <c r="D7502" s="5"/>
      <c r="E7502" s="5"/>
      <c r="F7502" s="5"/>
      <c r="G7502" s="5"/>
      <c r="H7502" s="5"/>
      <c r="I7502" s="5"/>
      <c r="J7502" s="5"/>
      <c r="K7502" s="5"/>
      <c r="L7502" s="5"/>
      <c r="M7502" s="5"/>
      <c r="N7502" s="5"/>
      <c r="O7502" s="5"/>
      <c r="P7502" s="5"/>
      <c r="Q7502" s="5"/>
      <c r="R7502" s="5"/>
      <c r="S7502" s="5"/>
      <c r="T7502" s="5"/>
      <c r="U7502" s="5"/>
      <c r="V7502" s="5"/>
      <c r="W7502" s="5"/>
      <c r="X7502" s="5"/>
      <c r="Y7502" s="5"/>
      <c r="Z7502" s="5"/>
    </row>
    <row r="7503" spans="1:26" ht="15" x14ac:dyDescent="0.25">
      <c r="A7503" s="4" t="s">
        <v>7501</v>
      </c>
      <c r="B7503" s="4" t="s">
        <v>4550</v>
      </c>
      <c r="C7503" s="2" t="str">
        <f ca="1">IFERROR(__xludf.DUMMYFUNCTION("GOOGLETRANSLATE(A7503,""bn"",""en"")"),"Crops were tended")</f>
        <v>Crops were tended</v>
      </c>
      <c r="D7503" s="5"/>
      <c r="E7503" s="5"/>
      <c r="F7503" s="5"/>
      <c r="G7503" s="5"/>
      <c r="H7503" s="5"/>
      <c r="I7503" s="5"/>
      <c r="J7503" s="5"/>
      <c r="K7503" s="5"/>
      <c r="L7503" s="5"/>
      <c r="M7503" s="5"/>
      <c r="N7503" s="5"/>
      <c r="O7503" s="5"/>
      <c r="P7503" s="5"/>
      <c r="Q7503" s="5"/>
      <c r="R7503" s="5"/>
      <c r="S7503" s="5"/>
      <c r="T7503" s="5"/>
      <c r="U7503" s="5"/>
      <c r="V7503" s="5"/>
      <c r="W7503" s="5"/>
      <c r="X7503" s="5"/>
      <c r="Y7503" s="5"/>
      <c r="Z7503" s="5"/>
    </row>
    <row r="7504" spans="1:26" ht="15" x14ac:dyDescent="0.25">
      <c r="A7504" s="4" t="s">
        <v>7502</v>
      </c>
      <c r="B7504" s="4" t="s">
        <v>4550</v>
      </c>
      <c r="C7504" s="2" t="str">
        <f ca="1">IFERROR(__xludf.DUMMYFUNCTION("GOOGLETRANSLATE(A7504,""bn"",""en"")"),"Gradually the trend of hacking was increasing")</f>
        <v>Gradually the trend of hacking was increasing</v>
      </c>
      <c r="D7504" s="5"/>
      <c r="E7504" s="5"/>
      <c r="F7504" s="5"/>
      <c r="G7504" s="5"/>
      <c r="H7504" s="5"/>
      <c r="I7504" s="5"/>
      <c r="J7504" s="5"/>
      <c r="K7504" s="5"/>
      <c r="L7504" s="5"/>
      <c r="M7504" s="5"/>
      <c r="N7504" s="5"/>
      <c r="O7504" s="5"/>
      <c r="P7504" s="5"/>
      <c r="Q7504" s="5"/>
      <c r="R7504" s="5"/>
      <c r="S7504" s="5"/>
      <c r="T7504" s="5"/>
      <c r="U7504" s="5"/>
      <c r="V7504" s="5"/>
      <c r="W7504" s="5"/>
      <c r="X7504" s="5"/>
      <c r="Y7504" s="5"/>
      <c r="Z7504" s="5"/>
    </row>
    <row r="7505" spans="1:26" ht="15" x14ac:dyDescent="0.25">
      <c r="A7505" s="4" t="s">
        <v>7503</v>
      </c>
      <c r="B7505" s="4" t="s">
        <v>4550</v>
      </c>
      <c r="C7505" s="2" t="str">
        <f ca="1">IFERROR(__xludf.DUMMYFUNCTION("GOOGLETRANSLATE(A7505,""bn"",""en"")"),"I saw the picture last year")</f>
        <v>I saw the picture last year</v>
      </c>
      <c r="D7505" s="5"/>
      <c r="E7505" s="5"/>
      <c r="F7505" s="5"/>
      <c r="G7505" s="5"/>
      <c r="H7505" s="5"/>
      <c r="I7505" s="5"/>
      <c r="J7505" s="5"/>
      <c r="K7505" s="5"/>
      <c r="L7505" s="5"/>
      <c r="M7505" s="5"/>
      <c r="N7505" s="5"/>
      <c r="O7505" s="5"/>
      <c r="P7505" s="5"/>
      <c r="Q7505" s="5"/>
      <c r="R7505" s="5"/>
      <c r="S7505" s="5"/>
      <c r="T7505" s="5"/>
      <c r="U7505" s="5"/>
      <c r="V7505" s="5"/>
      <c r="W7505" s="5"/>
      <c r="X7505" s="5"/>
      <c r="Y7505" s="5"/>
      <c r="Z7505" s="5"/>
    </row>
    <row r="7506" spans="1:26" ht="15" x14ac:dyDescent="0.25">
      <c r="A7506" s="4" t="s">
        <v>7504</v>
      </c>
      <c r="B7506" s="4" t="s">
        <v>4550</v>
      </c>
      <c r="C7506" s="2" t="str">
        <f ca="1">IFERROR(__xludf.DUMMYFUNCTION("GOOGLETRANSLATE(A7506,""bn"",""en"")"),"We used to swim in the afternoon")</f>
        <v>We used to swim in the afternoon</v>
      </c>
      <c r="D7506" s="5"/>
      <c r="E7506" s="5"/>
      <c r="F7506" s="5"/>
      <c r="G7506" s="5"/>
      <c r="H7506" s="5"/>
      <c r="I7506" s="5"/>
      <c r="J7506" s="5"/>
      <c r="K7506" s="5"/>
      <c r="L7506" s="5"/>
      <c r="M7506" s="5"/>
      <c r="N7506" s="5"/>
      <c r="O7506" s="5"/>
      <c r="P7506" s="5"/>
      <c r="Q7506" s="5"/>
      <c r="R7506" s="5"/>
      <c r="S7506" s="5"/>
      <c r="T7506" s="5"/>
      <c r="U7506" s="5"/>
      <c r="V7506" s="5"/>
      <c r="W7506" s="5"/>
      <c r="X7506" s="5"/>
      <c r="Y7506" s="5"/>
      <c r="Z7506" s="5"/>
    </row>
    <row r="7507" spans="1:26" ht="15" x14ac:dyDescent="0.25">
      <c r="A7507" s="4" t="s">
        <v>7505</v>
      </c>
      <c r="B7507" s="4" t="s">
        <v>4550</v>
      </c>
      <c r="C7507" s="2" t="str">
        <f ca="1">IFERROR(__xludf.DUMMYFUNCTION("GOOGLETRANSLATE(A7507,""bn"",""en"")"),"Just watched the new movie")</f>
        <v>Just watched the new movie</v>
      </c>
      <c r="D7507" s="5"/>
      <c r="E7507" s="5"/>
      <c r="F7507" s="5"/>
      <c r="G7507" s="5"/>
      <c r="H7507" s="5"/>
      <c r="I7507" s="5"/>
      <c r="J7507" s="5"/>
      <c r="K7507" s="5"/>
      <c r="L7507" s="5"/>
      <c r="M7507" s="5"/>
      <c r="N7507" s="5"/>
      <c r="O7507" s="5"/>
      <c r="P7507" s="5"/>
      <c r="Q7507" s="5"/>
      <c r="R7507" s="5"/>
      <c r="S7507" s="5"/>
      <c r="T7507" s="5"/>
      <c r="U7507" s="5"/>
      <c r="V7507" s="5"/>
      <c r="W7507" s="5"/>
      <c r="X7507" s="5"/>
      <c r="Y7507" s="5"/>
      <c r="Z7507" s="5"/>
    </row>
    <row r="7508" spans="1:26" ht="15" x14ac:dyDescent="0.25">
      <c r="A7508" s="4" t="s">
        <v>7506</v>
      </c>
      <c r="B7508" s="4" t="s">
        <v>4550</v>
      </c>
      <c r="C7508" s="2" t="str">
        <f ca="1">IFERROR(__xludf.DUMMYFUNCTION("GOOGLETRANSLATE(A7508,""bn"",""en"")"),"I was making lyrical pictures")</f>
        <v>I was making lyrical pictures</v>
      </c>
      <c r="D7508" s="5"/>
      <c r="E7508" s="5"/>
      <c r="F7508" s="5"/>
      <c r="G7508" s="5"/>
      <c r="H7508" s="5"/>
      <c r="I7508" s="5"/>
      <c r="J7508" s="5"/>
      <c r="K7508" s="5"/>
      <c r="L7508" s="5"/>
      <c r="M7508" s="5"/>
      <c r="N7508" s="5"/>
      <c r="O7508" s="5"/>
      <c r="P7508" s="5"/>
      <c r="Q7508" s="5"/>
      <c r="R7508" s="5"/>
      <c r="S7508" s="5"/>
      <c r="T7508" s="5"/>
      <c r="U7508" s="5"/>
      <c r="V7508" s="5"/>
      <c r="W7508" s="5"/>
      <c r="X7508" s="5"/>
      <c r="Y7508" s="5"/>
      <c r="Z7508" s="5"/>
    </row>
    <row r="7509" spans="1:26" ht="15" x14ac:dyDescent="0.25">
      <c r="A7509" s="4" t="s">
        <v>7507</v>
      </c>
      <c r="B7509" s="4" t="s">
        <v>4550</v>
      </c>
      <c r="C7509" s="2" t="str">
        <f ca="1">IFERROR(__xludf.DUMMYFUNCTION("GOOGLETRANSLATE(A7509,""bn"",""en"")"),"Laptop screen seen in car")</f>
        <v>Laptop screen seen in car</v>
      </c>
      <c r="D7509" s="5"/>
      <c r="E7509" s="5"/>
      <c r="F7509" s="5"/>
      <c r="G7509" s="5"/>
      <c r="H7509" s="5"/>
      <c r="I7509" s="5"/>
      <c r="J7509" s="5"/>
      <c r="K7509" s="5"/>
      <c r="L7509" s="5"/>
      <c r="M7509" s="5"/>
      <c r="N7509" s="5"/>
      <c r="O7509" s="5"/>
      <c r="P7509" s="5"/>
      <c r="Q7509" s="5"/>
      <c r="R7509" s="5"/>
      <c r="S7509" s="5"/>
      <c r="T7509" s="5"/>
      <c r="U7509" s="5"/>
      <c r="V7509" s="5"/>
      <c r="W7509" s="5"/>
      <c r="X7509" s="5"/>
      <c r="Y7509" s="5"/>
      <c r="Z7509" s="5"/>
    </row>
    <row r="7510" spans="1:26" ht="15" x14ac:dyDescent="0.25">
      <c r="A7510" s="4" t="s">
        <v>7508</v>
      </c>
      <c r="B7510" s="4" t="s">
        <v>4550</v>
      </c>
      <c r="C7510" s="2" t="str">
        <f ca="1">IFERROR(__xludf.DUMMYFUNCTION("GOOGLETRANSLATE(A7510,""bn"",""en"")"),"Gaming consoles were understood")</f>
        <v>Gaming consoles were understood</v>
      </c>
      <c r="D7510" s="5"/>
      <c r="E7510" s="5"/>
      <c r="F7510" s="5"/>
      <c r="G7510" s="5"/>
      <c r="H7510" s="5"/>
      <c r="I7510" s="5"/>
      <c r="J7510" s="5"/>
      <c r="K7510" s="5"/>
      <c r="L7510" s="5"/>
      <c r="M7510" s="5"/>
      <c r="N7510" s="5"/>
      <c r="O7510" s="5"/>
      <c r="P7510" s="5"/>
      <c r="Q7510" s="5"/>
      <c r="R7510" s="5"/>
      <c r="S7510" s="5"/>
      <c r="T7510" s="5"/>
      <c r="U7510" s="5"/>
      <c r="V7510" s="5"/>
      <c r="W7510" s="5"/>
      <c r="X7510" s="5"/>
      <c r="Y7510" s="5"/>
      <c r="Z7510" s="5"/>
    </row>
    <row r="7511" spans="1:26" ht="15" x14ac:dyDescent="0.25">
      <c r="A7511" s="4" t="s">
        <v>7509</v>
      </c>
      <c r="B7511" s="4" t="s">
        <v>4550</v>
      </c>
      <c r="C7511" s="2" t="str">
        <f ca="1">IFERROR(__xludf.DUMMYFUNCTION("GOOGLETRANSLATE(A7511,""bn"",""en"")"),"I saw a new movie last week")</f>
        <v>I saw a new movie last week</v>
      </c>
      <c r="D7511" s="5"/>
      <c r="E7511" s="5"/>
      <c r="F7511" s="5"/>
      <c r="G7511" s="5"/>
      <c r="H7511" s="5"/>
      <c r="I7511" s="5"/>
      <c r="J7511" s="5"/>
      <c r="K7511" s="5"/>
      <c r="L7511" s="5"/>
      <c r="M7511" s="5"/>
      <c r="N7511" s="5"/>
      <c r="O7511" s="5"/>
      <c r="P7511" s="5"/>
      <c r="Q7511" s="5"/>
      <c r="R7511" s="5"/>
      <c r="S7511" s="5"/>
      <c r="T7511" s="5"/>
      <c r="U7511" s="5"/>
      <c r="V7511" s="5"/>
      <c r="W7511" s="5"/>
      <c r="X7511" s="5"/>
      <c r="Y7511" s="5"/>
      <c r="Z7511" s="5"/>
    </row>
    <row r="7512" spans="1:26" ht="15" x14ac:dyDescent="0.25">
      <c r="A7512" s="4" t="s">
        <v>7510</v>
      </c>
      <c r="B7512" s="4" t="s">
        <v>4550</v>
      </c>
      <c r="C7512" s="2" t="str">
        <f ca="1">IFERROR(__xludf.DUMMYFUNCTION("GOOGLETRANSLATE(A7512,""bn"",""en"")"),"A special committee had to be formed")</f>
        <v>A special committee had to be formed</v>
      </c>
      <c r="D7512" s="5"/>
      <c r="E7512" s="5"/>
      <c r="F7512" s="5"/>
      <c r="G7512" s="5"/>
      <c r="H7512" s="5"/>
      <c r="I7512" s="5"/>
      <c r="J7512" s="5"/>
      <c r="K7512" s="5"/>
      <c r="L7512" s="5"/>
      <c r="M7512" s="5"/>
      <c r="N7512" s="5"/>
      <c r="O7512" s="5"/>
      <c r="P7512" s="5"/>
      <c r="Q7512" s="5"/>
      <c r="R7512" s="5"/>
      <c r="S7512" s="5"/>
      <c r="T7512" s="5"/>
      <c r="U7512" s="5"/>
      <c r="V7512" s="5"/>
      <c r="W7512" s="5"/>
      <c r="X7512" s="5"/>
      <c r="Y7512" s="5"/>
      <c r="Z7512" s="5"/>
    </row>
    <row r="7513" spans="1:26" ht="15" x14ac:dyDescent="0.25">
      <c r="A7513" s="4" t="s">
        <v>7511</v>
      </c>
      <c r="B7513" s="4" t="s">
        <v>4550</v>
      </c>
      <c r="C7513" s="2" t="str">
        <f ca="1">IFERROR(__xludf.DUMMYFUNCTION("GOOGLETRANSLATE(A7513,""bn"",""en"")"),"I cooked the soup on a cold day")</f>
        <v>I cooked the soup on a cold day</v>
      </c>
      <c r="D7513" s="5"/>
      <c r="E7513" s="5"/>
      <c r="F7513" s="5"/>
      <c r="G7513" s="5"/>
      <c r="H7513" s="5"/>
      <c r="I7513" s="5"/>
      <c r="J7513" s="5"/>
      <c r="K7513" s="5"/>
      <c r="L7513" s="5"/>
      <c r="M7513" s="5"/>
      <c r="N7513" s="5"/>
      <c r="O7513" s="5"/>
      <c r="P7513" s="5"/>
      <c r="Q7513" s="5"/>
      <c r="R7513" s="5"/>
      <c r="S7513" s="5"/>
      <c r="T7513" s="5"/>
      <c r="U7513" s="5"/>
      <c r="V7513" s="5"/>
      <c r="W7513" s="5"/>
      <c r="X7513" s="5"/>
      <c r="Y7513" s="5"/>
      <c r="Z7513" s="5"/>
    </row>
    <row r="7514" spans="1:26" ht="15" x14ac:dyDescent="0.25">
      <c r="A7514" s="4" t="s">
        <v>7512</v>
      </c>
      <c r="B7514" s="4" t="s">
        <v>4550</v>
      </c>
      <c r="C7514" s="2" t="str">
        <f ca="1">IFERROR(__xludf.DUMMYFUNCTION("GOOGLETRANSLATE(A7514,""bn"",""en"")"),"Was testing new styles")</f>
        <v>Was testing new styles</v>
      </c>
      <c r="D7514" s="5"/>
      <c r="E7514" s="5"/>
      <c r="F7514" s="5"/>
      <c r="G7514" s="5"/>
      <c r="H7514" s="5"/>
      <c r="I7514" s="5"/>
      <c r="J7514" s="5"/>
      <c r="K7514" s="5"/>
      <c r="L7514" s="5"/>
      <c r="M7514" s="5"/>
      <c r="N7514" s="5"/>
      <c r="O7514" s="5"/>
      <c r="P7514" s="5"/>
      <c r="Q7514" s="5"/>
      <c r="R7514" s="5"/>
      <c r="S7514" s="5"/>
      <c r="T7514" s="5"/>
      <c r="U7514" s="5"/>
      <c r="V7514" s="5"/>
      <c r="W7514" s="5"/>
      <c r="X7514" s="5"/>
      <c r="Y7514" s="5"/>
      <c r="Z7514" s="5"/>
    </row>
    <row r="7515" spans="1:26" ht="15" x14ac:dyDescent="0.25">
      <c r="A7515" s="4" t="s">
        <v>7513</v>
      </c>
      <c r="B7515" s="4" t="s">
        <v>4550</v>
      </c>
      <c r="C7515" s="2" t="str">
        <f ca="1">IFERROR(__xludf.DUMMYFUNCTION("GOOGLETRANSLATE(A7515,""bn"",""en"")"),"I saw the picture last month")</f>
        <v>I saw the picture last month</v>
      </c>
      <c r="D7515" s="5"/>
      <c r="E7515" s="5"/>
      <c r="F7515" s="5"/>
      <c r="G7515" s="5"/>
      <c r="H7515" s="5"/>
      <c r="I7515" s="5"/>
      <c r="J7515" s="5"/>
      <c r="K7515" s="5"/>
      <c r="L7515" s="5"/>
      <c r="M7515" s="5"/>
      <c r="N7515" s="5"/>
      <c r="O7515" s="5"/>
      <c r="P7515" s="5"/>
      <c r="Q7515" s="5"/>
      <c r="R7515" s="5"/>
      <c r="S7515" s="5"/>
      <c r="T7515" s="5"/>
      <c r="U7515" s="5"/>
      <c r="V7515" s="5"/>
      <c r="W7515" s="5"/>
      <c r="X7515" s="5"/>
      <c r="Y7515" s="5"/>
      <c r="Z7515" s="5"/>
    </row>
    <row r="7516" spans="1:26" ht="15" x14ac:dyDescent="0.25">
      <c r="A7516" s="4" t="s">
        <v>7514</v>
      </c>
      <c r="B7516" s="4" t="s">
        <v>4550</v>
      </c>
      <c r="C7516" s="2" t="str">
        <f ca="1">IFERROR(__xludf.DUMMYFUNCTION("GOOGLETRANSLATE(A7516,""bn"",""en"")"),"Potatoes were produced")</f>
        <v>Potatoes were produced</v>
      </c>
      <c r="D7516" s="5"/>
      <c r="E7516" s="5"/>
      <c r="F7516" s="5"/>
      <c r="G7516" s="5"/>
      <c r="H7516" s="5"/>
      <c r="I7516" s="5"/>
      <c r="J7516" s="5"/>
      <c r="K7516" s="5"/>
      <c r="L7516" s="5"/>
      <c r="M7516" s="5"/>
      <c r="N7516" s="5"/>
      <c r="O7516" s="5"/>
      <c r="P7516" s="5"/>
      <c r="Q7516" s="5"/>
      <c r="R7516" s="5"/>
      <c r="S7516" s="5"/>
      <c r="T7516" s="5"/>
      <c r="U7516" s="5"/>
      <c r="V7516" s="5"/>
      <c r="W7516" s="5"/>
      <c r="X7516" s="5"/>
      <c r="Y7516" s="5"/>
      <c r="Z7516" s="5"/>
    </row>
    <row r="7517" spans="1:26" ht="15" x14ac:dyDescent="0.25">
      <c r="A7517" s="4" t="s">
        <v>7515</v>
      </c>
      <c r="B7517" s="4" t="s">
        <v>4550</v>
      </c>
      <c r="C7517" s="2" t="str">
        <f ca="1">IFERROR(__xludf.DUMMYFUNCTION("GOOGLETRANSLATE(A7517,""bn"",""en"")"),"Parliament attended the meeting")</f>
        <v>Parliament attended the meeting</v>
      </c>
      <c r="D7517" s="5"/>
      <c r="E7517" s="5"/>
      <c r="F7517" s="5"/>
      <c r="G7517" s="5"/>
      <c r="H7517" s="5"/>
      <c r="I7517" s="5"/>
      <c r="J7517" s="5"/>
      <c r="K7517" s="5"/>
      <c r="L7517" s="5"/>
      <c r="M7517" s="5"/>
      <c r="N7517" s="5"/>
      <c r="O7517" s="5"/>
      <c r="P7517" s="5"/>
      <c r="Q7517" s="5"/>
      <c r="R7517" s="5"/>
      <c r="S7517" s="5"/>
      <c r="T7517" s="5"/>
      <c r="U7517" s="5"/>
      <c r="V7517" s="5"/>
      <c r="W7517" s="5"/>
      <c r="X7517" s="5"/>
      <c r="Y7517" s="5"/>
      <c r="Z7517" s="5"/>
    </row>
    <row r="7518" spans="1:26" ht="15" x14ac:dyDescent="0.25">
      <c r="A7518" s="4" t="s">
        <v>7516</v>
      </c>
      <c r="B7518" s="4" t="s">
        <v>4550</v>
      </c>
      <c r="C7518" s="2" t="str">
        <f ca="1">IFERROR(__xludf.DUMMYFUNCTION("GOOGLETRANSLATE(A7518,""bn"",""en"")"),"I did a lot of shopping online")</f>
        <v>I did a lot of shopping online</v>
      </c>
      <c r="D7518" s="5"/>
      <c r="E7518" s="5"/>
      <c r="F7518" s="5"/>
      <c r="G7518" s="5"/>
      <c r="H7518" s="5"/>
      <c r="I7518" s="5"/>
      <c r="J7518" s="5"/>
      <c r="K7518" s="5"/>
      <c r="L7518" s="5"/>
      <c r="M7518" s="5"/>
      <c r="N7518" s="5"/>
      <c r="O7518" s="5"/>
      <c r="P7518" s="5"/>
      <c r="Q7518" s="5"/>
      <c r="R7518" s="5"/>
      <c r="S7518" s="5"/>
      <c r="T7518" s="5"/>
      <c r="U7518" s="5"/>
      <c r="V7518" s="5"/>
      <c r="W7518" s="5"/>
      <c r="X7518" s="5"/>
      <c r="Y7518" s="5"/>
      <c r="Z7518" s="5"/>
    </row>
    <row r="7519" spans="1:26" ht="15" x14ac:dyDescent="0.25">
      <c r="A7519" s="4" t="s">
        <v>7517</v>
      </c>
      <c r="B7519" s="4" t="s">
        <v>4550</v>
      </c>
      <c r="C7519" s="2" t="str">
        <f ca="1">IFERROR(__xludf.DUMMYFUNCTION("GOOGLETRANSLATE(A7519,""bn"",""en"")"),"He lost his rivals in the institutional elections")</f>
        <v>He lost his rivals in the institutional elections</v>
      </c>
      <c r="D7519" s="5"/>
      <c r="E7519" s="5"/>
      <c r="F7519" s="5"/>
      <c r="G7519" s="5"/>
      <c r="H7519" s="5"/>
      <c r="I7519" s="5"/>
      <c r="J7519" s="5"/>
      <c r="K7519" s="5"/>
      <c r="L7519" s="5"/>
      <c r="M7519" s="5"/>
      <c r="N7519" s="5"/>
      <c r="O7519" s="5"/>
      <c r="P7519" s="5"/>
      <c r="Q7519" s="5"/>
      <c r="R7519" s="5"/>
      <c r="S7519" s="5"/>
      <c r="T7519" s="5"/>
      <c r="U7519" s="5"/>
      <c r="V7519" s="5"/>
      <c r="W7519" s="5"/>
      <c r="X7519" s="5"/>
      <c r="Y7519" s="5"/>
      <c r="Z7519" s="5"/>
    </row>
    <row r="7520" spans="1:26" ht="15" x14ac:dyDescent="0.25">
      <c r="A7520" s="4" t="s">
        <v>7518</v>
      </c>
      <c r="B7520" s="4" t="s">
        <v>4550</v>
      </c>
      <c r="C7520" s="2" t="str">
        <f ca="1">IFERROR(__xludf.DUMMYFUNCTION("GOOGLETRANSLATE(A7520,""bn"",""en"")"),"There was a protest against the change in policy")</f>
        <v>There was a protest against the change in policy</v>
      </c>
      <c r="D7520" s="5"/>
      <c r="E7520" s="5"/>
      <c r="F7520" s="5"/>
      <c r="G7520" s="5"/>
      <c r="H7520" s="5"/>
      <c r="I7520" s="5"/>
      <c r="J7520" s="5"/>
      <c r="K7520" s="5"/>
      <c r="L7520" s="5"/>
      <c r="M7520" s="5"/>
      <c r="N7520" s="5"/>
      <c r="O7520" s="5"/>
      <c r="P7520" s="5"/>
      <c r="Q7520" s="5"/>
      <c r="R7520" s="5"/>
      <c r="S7520" s="5"/>
      <c r="T7520" s="5"/>
      <c r="U7520" s="5"/>
      <c r="V7520" s="5"/>
      <c r="W7520" s="5"/>
      <c r="X7520" s="5"/>
      <c r="Y7520" s="5"/>
      <c r="Z7520" s="5"/>
    </row>
    <row r="7521" spans="1:26" ht="15" x14ac:dyDescent="0.25">
      <c r="A7521" s="4" t="s">
        <v>7519</v>
      </c>
      <c r="B7521" s="4" t="s">
        <v>4550</v>
      </c>
      <c r="C7521" s="2" t="str">
        <f ca="1">IFERROR(__xludf.DUMMYFUNCTION("GOOGLETRANSLATE(A7521,""bn"",""en"")"),"A radio channel was being heard")</f>
        <v>A radio channel was being heard</v>
      </c>
      <c r="D7521" s="5"/>
      <c r="E7521" s="5"/>
      <c r="F7521" s="5"/>
      <c r="G7521" s="5"/>
      <c r="H7521" s="5"/>
      <c r="I7521" s="5"/>
      <c r="J7521" s="5"/>
      <c r="K7521" s="5"/>
      <c r="L7521" s="5"/>
      <c r="M7521" s="5"/>
      <c r="N7521" s="5"/>
      <c r="O7521" s="5"/>
      <c r="P7521" s="5"/>
      <c r="Q7521" s="5"/>
      <c r="R7521" s="5"/>
      <c r="S7521" s="5"/>
      <c r="T7521" s="5"/>
      <c r="U7521" s="5"/>
      <c r="V7521" s="5"/>
      <c r="W7521" s="5"/>
      <c r="X7521" s="5"/>
      <c r="Y7521" s="5"/>
      <c r="Z7521" s="5"/>
    </row>
    <row r="7522" spans="1:26" ht="15" x14ac:dyDescent="0.25">
      <c r="A7522" s="4" t="s">
        <v>7520</v>
      </c>
      <c r="B7522" s="4" t="s">
        <v>4550</v>
      </c>
      <c r="C7522" s="2" t="str">
        <f ca="1">IFERROR(__xludf.DUMMYFUNCTION("GOOGLETRANSLATE(A7522,""bn"",""en"")"),"Saw his picture last month")</f>
        <v>Saw his picture last month</v>
      </c>
      <c r="D7522" s="5"/>
      <c r="E7522" s="5"/>
      <c r="F7522" s="5"/>
      <c r="G7522" s="5"/>
      <c r="H7522" s="5"/>
      <c r="I7522" s="5"/>
      <c r="J7522" s="5"/>
      <c r="K7522" s="5"/>
      <c r="L7522" s="5"/>
      <c r="M7522" s="5"/>
      <c r="N7522" s="5"/>
      <c r="O7522" s="5"/>
      <c r="P7522" s="5"/>
      <c r="Q7522" s="5"/>
      <c r="R7522" s="5"/>
      <c r="S7522" s="5"/>
      <c r="T7522" s="5"/>
      <c r="U7522" s="5"/>
      <c r="V7522" s="5"/>
      <c r="W7522" s="5"/>
      <c r="X7522" s="5"/>
      <c r="Y7522" s="5"/>
      <c r="Z7522" s="5"/>
    </row>
    <row r="7523" spans="1:26" ht="15" x14ac:dyDescent="0.25">
      <c r="A7523" s="4" t="s">
        <v>7521</v>
      </c>
      <c r="B7523" s="4" t="s">
        <v>4550</v>
      </c>
      <c r="C7523" s="2" t="str">
        <f ca="1">IFERROR(__xludf.DUMMYFUNCTION("GOOGLETRANSLATE(A7523,""bn"",""en"")"),"I ate a lot of shrimp fries")</f>
        <v>I ate a lot of shrimp fries</v>
      </c>
      <c r="D7523" s="5"/>
      <c r="E7523" s="5"/>
      <c r="F7523" s="5"/>
      <c r="G7523" s="5"/>
      <c r="H7523" s="5"/>
      <c r="I7523" s="5"/>
      <c r="J7523" s="5"/>
      <c r="K7523" s="5"/>
      <c r="L7523" s="5"/>
      <c r="M7523" s="5"/>
      <c r="N7523" s="5"/>
      <c r="O7523" s="5"/>
      <c r="P7523" s="5"/>
      <c r="Q7523" s="5"/>
      <c r="R7523" s="5"/>
      <c r="S7523" s="5"/>
      <c r="T7523" s="5"/>
      <c r="U7523" s="5"/>
      <c r="V7523" s="5"/>
      <c r="W7523" s="5"/>
      <c r="X7523" s="5"/>
      <c r="Y7523" s="5"/>
      <c r="Z7523" s="5"/>
    </row>
    <row r="7524" spans="1:26" ht="15" x14ac:dyDescent="0.25">
      <c r="A7524" s="4" t="s">
        <v>7522</v>
      </c>
      <c r="B7524" s="4" t="s">
        <v>4550</v>
      </c>
      <c r="C7524" s="2" t="str">
        <f ca="1">IFERROR(__xludf.DUMMYFUNCTION("GOOGLETRANSLATE(A7524,""bn"",""en"")"),"The teacher taught the students")</f>
        <v>The teacher taught the students</v>
      </c>
      <c r="D7524" s="5"/>
      <c r="E7524" s="5"/>
      <c r="F7524" s="5"/>
      <c r="G7524" s="5"/>
      <c r="H7524" s="5"/>
      <c r="I7524" s="5"/>
      <c r="J7524" s="5"/>
      <c r="K7524" s="5"/>
      <c r="L7524" s="5"/>
      <c r="M7524" s="5"/>
      <c r="N7524" s="5"/>
      <c r="O7524" s="5"/>
      <c r="P7524" s="5"/>
      <c r="Q7524" s="5"/>
      <c r="R7524" s="5"/>
      <c r="S7524" s="5"/>
      <c r="T7524" s="5"/>
      <c r="U7524" s="5"/>
      <c r="V7524" s="5"/>
      <c r="W7524" s="5"/>
      <c r="X7524" s="5"/>
      <c r="Y7524" s="5"/>
      <c r="Z7524" s="5"/>
    </row>
    <row r="7525" spans="1:26" ht="15" x14ac:dyDescent="0.25">
      <c r="A7525" s="4" t="s">
        <v>7523</v>
      </c>
      <c r="B7525" s="4" t="s">
        <v>4550</v>
      </c>
      <c r="C7525" s="2" t="str">
        <f ca="1">IFERROR(__xludf.DUMMYFUNCTION("GOOGLETRANSLATE(A7525,""bn"",""en"")"),"Elected in the national elections")</f>
        <v>Elected in the national elections</v>
      </c>
      <c r="D7525" s="5"/>
      <c r="E7525" s="5"/>
      <c r="F7525" s="5"/>
      <c r="G7525" s="5"/>
      <c r="H7525" s="5"/>
      <c r="I7525" s="5"/>
      <c r="J7525" s="5"/>
      <c r="K7525" s="5"/>
      <c r="L7525" s="5"/>
      <c r="M7525" s="5"/>
      <c r="N7525" s="5"/>
      <c r="O7525" s="5"/>
      <c r="P7525" s="5"/>
      <c r="Q7525" s="5"/>
      <c r="R7525" s="5"/>
      <c r="S7525" s="5"/>
      <c r="T7525" s="5"/>
      <c r="U7525" s="5"/>
      <c r="V7525" s="5"/>
      <c r="W7525" s="5"/>
      <c r="X7525" s="5"/>
      <c r="Y7525" s="5"/>
      <c r="Z7525" s="5"/>
    </row>
    <row r="7526" spans="1:26" ht="15" x14ac:dyDescent="0.25">
      <c r="A7526" s="4" t="s">
        <v>7524</v>
      </c>
      <c r="B7526" s="4" t="s">
        <v>4550</v>
      </c>
      <c r="C7526" s="2" t="str">
        <f ca="1">IFERROR(__xludf.DUMMYFUNCTION("GOOGLETRANSLATE(A7526,""bn"",""en"")"),"We went to the movie hall")</f>
        <v>We went to the movie hall</v>
      </c>
      <c r="D7526" s="5"/>
      <c r="E7526" s="5"/>
      <c r="F7526" s="5"/>
      <c r="G7526" s="5"/>
      <c r="H7526" s="5"/>
      <c r="I7526" s="5"/>
      <c r="J7526" s="5"/>
      <c r="K7526" s="5"/>
      <c r="L7526" s="5"/>
      <c r="M7526" s="5"/>
      <c r="N7526" s="5"/>
      <c r="O7526" s="5"/>
      <c r="P7526" s="5"/>
      <c r="Q7526" s="5"/>
      <c r="R7526" s="5"/>
      <c r="S7526" s="5"/>
      <c r="T7526" s="5"/>
      <c r="U7526" s="5"/>
      <c r="V7526" s="5"/>
      <c r="W7526" s="5"/>
      <c r="X7526" s="5"/>
      <c r="Y7526" s="5"/>
      <c r="Z7526" s="5"/>
    </row>
    <row r="7527" spans="1:26" ht="15" x14ac:dyDescent="0.25">
      <c r="A7527" s="4" t="s">
        <v>7525</v>
      </c>
      <c r="B7527" s="4" t="s">
        <v>4550</v>
      </c>
      <c r="C7527" s="2" t="str">
        <f ca="1">IFERROR(__xludf.DUMMYFUNCTION("GOOGLETRANSLATE(A7527,""bn"",""en"")"),"The batsman scored a run in the match")</f>
        <v>The batsman scored a run in the match</v>
      </c>
      <c r="D7527" s="5"/>
      <c r="E7527" s="5"/>
      <c r="F7527" s="5"/>
      <c r="G7527" s="5"/>
      <c r="H7527" s="5"/>
      <c r="I7527" s="5"/>
      <c r="J7527" s="5"/>
      <c r="K7527" s="5"/>
      <c r="L7527" s="5"/>
      <c r="M7527" s="5"/>
      <c r="N7527" s="5"/>
      <c r="O7527" s="5"/>
      <c r="P7527" s="5"/>
      <c r="Q7527" s="5"/>
      <c r="R7527" s="5"/>
      <c r="S7527" s="5"/>
      <c r="T7527" s="5"/>
      <c r="U7527" s="5"/>
      <c r="V7527" s="5"/>
      <c r="W7527" s="5"/>
      <c r="X7527" s="5"/>
      <c r="Y7527" s="5"/>
      <c r="Z7527" s="5"/>
    </row>
    <row r="7528" spans="1:26" ht="15" x14ac:dyDescent="0.25">
      <c r="A7528" s="4" t="s">
        <v>7526</v>
      </c>
      <c r="B7528" s="4" t="s">
        <v>4550</v>
      </c>
      <c r="C7528" s="2" t="str">
        <f ca="1">IFERROR(__xludf.DUMMYFUNCTION("GOOGLETRANSLATE(A7528,""bn"",""en"")"),"He was happy to see the picture")</f>
        <v>He was happy to see the picture</v>
      </c>
      <c r="D7528" s="5"/>
      <c r="E7528" s="5"/>
      <c r="F7528" s="5"/>
      <c r="G7528" s="5"/>
      <c r="H7528" s="5"/>
      <c r="I7528" s="5"/>
      <c r="J7528" s="5"/>
      <c r="K7528" s="5"/>
      <c r="L7528" s="5"/>
      <c r="M7528" s="5"/>
      <c r="N7528" s="5"/>
      <c r="O7528" s="5"/>
      <c r="P7528" s="5"/>
      <c r="Q7528" s="5"/>
      <c r="R7528" s="5"/>
      <c r="S7528" s="5"/>
      <c r="T7528" s="5"/>
      <c r="U7528" s="5"/>
      <c r="V7528" s="5"/>
      <c r="W7528" s="5"/>
      <c r="X7528" s="5"/>
      <c r="Y7528" s="5"/>
      <c r="Z7528" s="5"/>
    </row>
    <row r="7529" spans="1:26" ht="15" x14ac:dyDescent="0.25">
      <c r="A7529" s="4" t="s">
        <v>7527</v>
      </c>
      <c r="B7529" s="4" t="s">
        <v>4550</v>
      </c>
      <c r="C7529" s="2" t="str">
        <f ca="1">IFERROR(__xludf.DUMMYFUNCTION("GOOGLETRANSLATE(A7529,""bn"",""en"")"),"The ceremony was held in the college cafeteria")</f>
        <v>The ceremony was held in the college cafeteria</v>
      </c>
      <c r="D7529" s="5"/>
      <c r="E7529" s="5"/>
      <c r="F7529" s="5"/>
      <c r="G7529" s="5"/>
      <c r="H7529" s="5"/>
      <c r="I7529" s="5"/>
      <c r="J7529" s="5"/>
      <c r="K7529" s="5"/>
      <c r="L7529" s="5"/>
      <c r="M7529" s="5"/>
      <c r="N7529" s="5"/>
      <c r="O7529" s="5"/>
      <c r="P7529" s="5"/>
      <c r="Q7529" s="5"/>
      <c r="R7529" s="5"/>
      <c r="S7529" s="5"/>
      <c r="T7529" s="5"/>
      <c r="U7529" s="5"/>
      <c r="V7529" s="5"/>
      <c r="W7529" s="5"/>
      <c r="X7529" s="5"/>
      <c r="Y7529" s="5"/>
      <c r="Z7529" s="5"/>
    </row>
    <row r="7530" spans="1:26" ht="15" x14ac:dyDescent="0.25">
      <c r="A7530" s="4" t="s">
        <v>7528</v>
      </c>
      <c r="B7530" s="4" t="s">
        <v>4550</v>
      </c>
      <c r="C7530" s="2" t="str">
        <f ca="1">IFERROR(__xludf.DUMMYFUNCTION("GOOGLETRANSLATE(A7530,""bn"",""en"")"),"I learned to use the camera")</f>
        <v>I learned to use the camera</v>
      </c>
      <c r="D7530" s="5"/>
      <c r="E7530" s="5"/>
      <c r="F7530" s="5"/>
      <c r="G7530" s="5"/>
      <c r="H7530" s="5"/>
      <c r="I7530" s="5"/>
      <c r="J7530" s="5"/>
      <c r="K7530" s="5"/>
      <c r="L7530" s="5"/>
      <c r="M7530" s="5"/>
      <c r="N7530" s="5"/>
      <c r="O7530" s="5"/>
      <c r="P7530" s="5"/>
      <c r="Q7530" s="5"/>
      <c r="R7530" s="5"/>
      <c r="S7530" s="5"/>
      <c r="T7530" s="5"/>
      <c r="U7530" s="5"/>
      <c r="V7530" s="5"/>
      <c r="W7530" s="5"/>
      <c r="X7530" s="5"/>
      <c r="Y7530" s="5"/>
      <c r="Z7530" s="5"/>
    </row>
    <row r="7531" spans="1:26" ht="15" x14ac:dyDescent="0.25">
      <c r="A7531" s="4" t="s">
        <v>7529</v>
      </c>
      <c r="B7531" s="4" t="s">
        <v>4550</v>
      </c>
      <c r="C7531" s="2" t="str">
        <f ca="1">IFERROR(__xludf.DUMMYFUNCTION("GOOGLETRANSLATE(A7531,""bn"",""en"")"),"Camera was used")</f>
        <v>Camera was used</v>
      </c>
      <c r="D7531" s="5"/>
      <c r="E7531" s="5"/>
      <c r="F7531" s="5"/>
      <c r="G7531" s="5"/>
      <c r="H7531" s="5"/>
      <c r="I7531" s="5"/>
      <c r="J7531" s="5"/>
      <c r="K7531" s="5"/>
      <c r="L7531" s="5"/>
      <c r="M7531" s="5"/>
      <c r="N7531" s="5"/>
      <c r="O7531" s="5"/>
      <c r="P7531" s="5"/>
      <c r="Q7531" s="5"/>
      <c r="R7531" s="5"/>
      <c r="S7531" s="5"/>
      <c r="T7531" s="5"/>
      <c r="U7531" s="5"/>
      <c r="V7531" s="5"/>
      <c r="W7531" s="5"/>
      <c r="X7531" s="5"/>
      <c r="Y7531" s="5"/>
      <c r="Z7531" s="5"/>
    </row>
    <row r="7532" spans="1:26" ht="15" x14ac:dyDescent="0.25">
      <c r="A7532" s="4" t="s">
        <v>7530</v>
      </c>
      <c r="B7532" s="4" t="s">
        <v>4550</v>
      </c>
      <c r="C7532" s="2" t="str">
        <f ca="1">IFERROR(__xludf.DUMMYFUNCTION("GOOGLETRANSLATE(A7532,""bn"",""en"")"),"Business growth slowed last year")</f>
        <v>Business growth slowed last year</v>
      </c>
      <c r="D7532" s="5"/>
      <c r="E7532" s="5"/>
      <c r="F7532" s="5"/>
      <c r="G7532" s="5"/>
      <c r="H7532" s="5"/>
      <c r="I7532" s="5"/>
      <c r="J7532" s="5"/>
      <c r="K7532" s="5"/>
      <c r="L7532" s="5"/>
      <c r="M7532" s="5"/>
      <c r="N7532" s="5"/>
      <c r="O7532" s="5"/>
      <c r="P7532" s="5"/>
      <c r="Q7532" s="5"/>
      <c r="R7532" s="5"/>
      <c r="S7532" s="5"/>
      <c r="T7532" s="5"/>
      <c r="U7532" s="5"/>
      <c r="V7532" s="5"/>
      <c r="W7532" s="5"/>
      <c r="X7532" s="5"/>
      <c r="Y7532" s="5"/>
      <c r="Z7532" s="5"/>
    </row>
    <row r="7533" spans="1:26" ht="15" x14ac:dyDescent="0.25">
      <c r="A7533" s="4" t="s">
        <v>7531</v>
      </c>
      <c r="B7533" s="4" t="s">
        <v>4550</v>
      </c>
      <c r="C7533" s="2" t="str">
        <f ca="1">IFERROR(__xludf.DUMMYFUNCTION("GOOGLETRANSLATE(A7533,""bn"",""en"")"),"Social media was posting")</f>
        <v>Social media was posting</v>
      </c>
      <c r="D7533" s="5"/>
      <c r="E7533" s="5"/>
      <c r="F7533" s="5"/>
      <c r="G7533" s="5"/>
      <c r="H7533" s="5"/>
      <c r="I7533" s="5"/>
      <c r="J7533" s="5"/>
      <c r="K7533" s="5"/>
      <c r="L7533" s="5"/>
      <c r="M7533" s="5"/>
      <c r="N7533" s="5"/>
      <c r="O7533" s="5"/>
      <c r="P7533" s="5"/>
      <c r="Q7533" s="5"/>
      <c r="R7533" s="5"/>
      <c r="S7533" s="5"/>
      <c r="T7533" s="5"/>
      <c r="U7533" s="5"/>
      <c r="V7533" s="5"/>
      <c r="W7533" s="5"/>
      <c r="X7533" s="5"/>
      <c r="Y7533" s="5"/>
      <c r="Z7533" s="5"/>
    </row>
    <row r="7534" spans="1:26" ht="15" x14ac:dyDescent="0.25">
      <c r="A7534" s="4" t="s">
        <v>7532</v>
      </c>
      <c r="B7534" s="4" t="s">
        <v>4550</v>
      </c>
      <c r="C7534" s="2" t="str">
        <f ca="1">IFERROR(__xludf.DUMMYFUNCTION("GOOGLETRANSLATE(A7534,""bn"",""en"")"),"A tennis match was going on in the court")</f>
        <v>A tennis match was going on in the court</v>
      </c>
      <c r="D7534" s="5"/>
      <c r="E7534" s="5"/>
      <c r="F7534" s="5"/>
      <c r="G7534" s="5"/>
      <c r="H7534" s="5"/>
      <c r="I7534" s="5"/>
      <c r="J7534" s="5"/>
      <c r="K7534" s="5"/>
      <c r="L7534" s="5"/>
      <c r="M7534" s="5"/>
      <c r="N7534" s="5"/>
      <c r="O7534" s="5"/>
      <c r="P7534" s="5"/>
      <c r="Q7534" s="5"/>
      <c r="R7534" s="5"/>
      <c r="S7534" s="5"/>
      <c r="T7534" s="5"/>
      <c r="U7534" s="5"/>
      <c r="V7534" s="5"/>
      <c r="W7534" s="5"/>
      <c r="X7534" s="5"/>
      <c r="Y7534" s="5"/>
      <c r="Z7534" s="5"/>
    </row>
    <row r="7535" spans="1:26" ht="15" x14ac:dyDescent="0.25">
      <c r="A7535" s="4" t="s">
        <v>7533</v>
      </c>
      <c r="B7535" s="4" t="s">
        <v>4550</v>
      </c>
      <c r="C7535" s="2" t="str">
        <f ca="1">IFERROR(__xludf.DUMMYFUNCTION("GOOGLETRANSLATE(A7535,""bn"",""en"")"),"Bioinformatics had to expand")</f>
        <v>Bioinformatics had to expand</v>
      </c>
      <c r="D7535" s="5"/>
      <c r="E7535" s="5"/>
      <c r="F7535" s="5"/>
      <c r="G7535" s="5"/>
      <c r="H7535" s="5"/>
      <c r="I7535" s="5"/>
      <c r="J7535" s="5"/>
      <c r="K7535" s="5"/>
      <c r="L7535" s="5"/>
      <c r="M7535" s="5"/>
      <c r="N7535" s="5"/>
      <c r="O7535" s="5"/>
      <c r="P7535" s="5"/>
      <c r="Q7535" s="5"/>
      <c r="R7535" s="5"/>
      <c r="S7535" s="5"/>
      <c r="T7535" s="5"/>
      <c r="U7535" s="5"/>
      <c r="V7535" s="5"/>
      <c r="W7535" s="5"/>
      <c r="X7535" s="5"/>
      <c r="Y7535" s="5"/>
      <c r="Z7535" s="5"/>
    </row>
    <row r="7536" spans="1:26" ht="15" x14ac:dyDescent="0.25">
      <c r="A7536" s="4" t="s">
        <v>7534</v>
      </c>
      <c r="B7536" s="4" t="s">
        <v>4550</v>
      </c>
      <c r="C7536" s="2" t="str">
        <f ca="1">IFERROR(__xludf.DUMMYFUNCTION("GOOGLETRANSLATE(A7536,""bn"",""en"")"),"His check was accepted")</f>
        <v>His check was accepted</v>
      </c>
      <c r="D7536" s="5"/>
      <c r="E7536" s="5"/>
      <c r="F7536" s="5"/>
      <c r="G7536" s="5"/>
      <c r="H7536" s="5"/>
      <c r="I7536" s="5"/>
      <c r="J7536" s="5"/>
      <c r="K7536" s="5"/>
      <c r="L7536" s="5"/>
      <c r="M7536" s="5"/>
      <c r="N7536" s="5"/>
      <c r="O7536" s="5"/>
      <c r="P7536" s="5"/>
      <c r="Q7536" s="5"/>
      <c r="R7536" s="5"/>
      <c r="S7536" s="5"/>
      <c r="T7536" s="5"/>
      <c r="U7536" s="5"/>
      <c r="V7536" s="5"/>
      <c r="W7536" s="5"/>
      <c r="X7536" s="5"/>
      <c r="Y7536" s="5"/>
      <c r="Z7536" s="5"/>
    </row>
    <row r="7537" spans="1:26" ht="15" x14ac:dyDescent="0.25">
      <c r="A7537" s="4" t="s">
        <v>7535</v>
      </c>
      <c r="B7537" s="4" t="s">
        <v>4550</v>
      </c>
      <c r="C7537" s="2" t="str">
        <f ca="1">IFERROR(__xludf.DUMMYFUNCTION("GOOGLETRANSLATE(A7537,""bn"",""en"")"),"Boarded the bus last month")</f>
        <v>Boarded the bus last month</v>
      </c>
      <c r="D7537" s="5"/>
      <c r="E7537" s="5"/>
      <c r="F7537" s="5"/>
      <c r="G7537" s="5"/>
      <c r="H7537" s="5"/>
      <c r="I7537" s="5"/>
      <c r="J7537" s="5"/>
      <c r="K7537" s="5"/>
      <c r="L7537" s="5"/>
      <c r="M7537" s="5"/>
      <c r="N7537" s="5"/>
      <c r="O7537" s="5"/>
      <c r="P7537" s="5"/>
      <c r="Q7537" s="5"/>
      <c r="R7537" s="5"/>
      <c r="S7537" s="5"/>
      <c r="T7537" s="5"/>
      <c r="U7537" s="5"/>
      <c r="V7537" s="5"/>
      <c r="W7537" s="5"/>
      <c r="X7537" s="5"/>
      <c r="Y7537" s="5"/>
      <c r="Z7537" s="5"/>
    </row>
    <row r="7538" spans="1:26" ht="15" x14ac:dyDescent="0.25">
      <c r="A7538" s="4" t="s">
        <v>7536</v>
      </c>
      <c r="B7538" s="4" t="s">
        <v>4550</v>
      </c>
      <c r="C7538" s="2" t="str">
        <f ca="1">IFERROR(__xludf.DUMMYFUNCTION("GOOGLETRANSLATE(A7538,""bn"",""en"")"),"Technology was used in education")</f>
        <v>Technology was used in education</v>
      </c>
      <c r="D7538" s="5"/>
      <c r="E7538" s="5"/>
      <c r="F7538" s="5"/>
      <c r="G7538" s="5"/>
      <c r="H7538" s="5"/>
      <c r="I7538" s="5"/>
      <c r="J7538" s="5"/>
      <c r="K7538" s="5"/>
      <c r="L7538" s="5"/>
      <c r="M7538" s="5"/>
      <c r="N7538" s="5"/>
      <c r="O7538" s="5"/>
      <c r="P7538" s="5"/>
      <c r="Q7538" s="5"/>
      <c r="R7538" s="5"/>
      <c r="S7538" s="5"/>
      <c r="T7538" s="5"/>
      <c r="U7538" s="5"/>
      <c r="V7538" s="5"/>
      <c r="W7538" s="5"/>
      <c r="X7538" s="5"/>
      <c r="Y7538" s="5"/>
      <c r="Z7538" s="5"/>
    </row>
    <row r="7539" spans="1:26" ht="15" x14ac:dyDescent="0.25">
      <c r="A7539" s="4" t="s">
        <v>7537</v>
      </c>
      <c r="B7539" s="4" t="s">
        <v>4550</v>
      </c>
      <c r="C7539" s="2" t="str">
        <f ca="1">IFERROR(__xludf.DUMMYFUNCTION("GOOGLETRANSLATE(A7539,""bn"",""en"")"),"A special meeting was held")</f>
        <v>A special meeting was held</v>
      </c>
      <c r="D7539" s="5"/>
      <c r="E7539" s="5"/>
      <c r="F7539" s="5"/>
      <c r="G7539" s="5"/>
      <c r="H7539" s="5"/>
      <c r="I7539" s="5"/>
      <c r="J7539" s="5"/>
      <c r="K7539" s="5"/>
      <c r="L7539" s="5"/>
      <c r="M7539" s="5"/>
      <c r="N7539" s="5"/>
      <c r="O7539" s="5"/>
      <c r="P7539" s="5"/>
      <c r="Q7539" s="5"/>
      <c r="R7539" s="5"/>
      <c r="S7539" s="5"/>
      <c r="T7539" s="5"/>
      <c r="U7539" s="5"/>
      <c r="V7539" s="5"/>
      <c r="W7539" s="5"/>
      <c r="X7539" s="5"/>
      <c r="Y7539" s="5"/>
      <c r="Z7539" s="5"/>
    </row>
    <row r="7540" spans="1:26" ht="15" x14ac:dyDescent="0.25">
      <c r="A7540" s="4" t="s">
        <v>7538</v>
      </c>
      <c r="B7540" s="4" t="s">
        <v>4550</v>
      </c>
      <c r="C7540" s="2" t="str">
        <f ca="1">IFERROR(__xludf.DUMMYFUNCTION("GOOGLETRANSLATE(A7540,""bn"",""en"")"),"A separate committee was formed")</f>
        <v>A separate committee was formed</v>
      </c>
      <c r="D7540" s="5"/>
      <c r="E7540" s="5"/>
      <c r="F7540" s="5"/>
      <c r="G7540" s="5"/>
      <c r="H7540" s="5"/>
      <c r="I7540" s="5"/>
      <c r="J7540" s="5"/>
      <c r="K7540" s="5"/>
      <c r="L7540" s="5"/>
      <c r="M7540" s="5"/>
      <c r="N7540" s="5"/>
      <c r="O7540" s="5"/>
      <c r="P7540" s="5"/>
      <c r="Q7540" s="5"/>
      <c r="R7540" s="5"/>
      <c r="S7540" s="5"/>
      <c r="T7540" s="5"/>
      <c r="U7540" s="5"/>
      <c r="V7540" s="5"/>
      <c r="W7540" s="5"/>
      <c r="X7540" s="5"/>
      <c r="Y7540" s="5"/>
      <c r="Z7540" s="5"/>
    </row>
    <row r="7541" spans="1:26" ht="15" x14ac:dyDescent="0.25">
      <c r="A7541" s="4" t="s">
        <v>7539</v>
      </c>
      <c r="B7541" s="4" t="s">
        <v>4550</v>
      </c>
      <c r="C7541" s="2" t="str">
        <f ca="1">IFERROR(__xludf.DUMMYFUNCTION("GOOGLETRANSLATE(A7541,""bn"",""en"")"),"MPs were elected to the Lok Sabha")</f>
        <v>MPs were elected to the Lok Sabha</v>
      </c>
      <c r="D7541" s="5"/>
      <c r="E7541" s="5"/>
      <c r="F7541" s="5"/>
      <c r="G7541" s="5"/>
      <c r="H7541" s="5"/>
      <c r="I7541" s="5"/>
      <c r="J7541" s="5"/>
      <c r="K7541" s="5"/>
      <c r="L7541" s="5"/>
      <c r="M7541" s="5"/>
      <c r="N7541" s="5"/>
      <c r="O7541" s="5"/>
      <c r="P7541" s="5"/>
      <c r="Q7541" s="5"/>
      <c r="R7541" s="5"/>
      <c r="S7541" s="5"/>
      <c r="T7541" s="5"/>
      <c r="U7541" s="5"/>
      <c r="V7541" s="5"/>
      <c r="W7541" s="5"/>
      <c r="X7541" s="5"/>
      <c r="Y7541" s="5"/>
      <c r="Z7541" s="5"/>
    </row>
    <row r="7542" spans="1:26" ht="15" x14ac:dyDescent="0.25">
      <c r="A7542" s="4" t="s">
        <v>7540</v>
      </c>
      <c r="B7542" s="4" t="s">
        <v>4550</v>
      </c>
      <c r="C7542" s="2" t="str">
        <f ca="1">IFERROR(__xludf.DUMMYFUNCTION("GOOGLETRANSLATE(A7542,""bn"",""en"")"),"The war was saved recently")</f>
        <v>The war was saved recently</v>
      </c>
      <c r="D7542" s="5"/>
      <c r="E7542" s="5"/>
      <c r="F7542" s="5"/>
      <c r="G7542" s="5"/>
      <c r="H7542" s="5"/>
      <c r="I7542" s="5"/>
      <c r="J7542" s="5"/>
      <c r="K7542" s="5"/>
      <c r="L7542" s="5"/>
      <c r="M7542" s="5"/>
      <c r="N7542" s="5"/>
      <c r="O7542" s="5"/>
      <c r="P7542" s="5"/>
      <c r="Q7542" s="5"/>
      <c r="R7542" s="5"/>
      <c r="S7542" s="5"/>
      <c r="T7542" s="5"/>
      <c r="U7542" s="5"/>
      <c r="V7542" s="5"/>
      <c r="W7542" s="5"/>
      <c r="X7542" s="5"/>
      <c r="Y7542" s="5"/>
      <c r="Z7542" s="5"/>
    </row>
    <row r="7543" spans="1:26" ht="15" x14ac:dyDescent="0.25">
      <c r="A7543" s="4" t="s">
        <v>7541</v>
      </c>
      <c r="B7543" s="4" t="s">
        <v>4550</v>
      </c>
      <c r="C7543" s="2" t="str">
        <f ca="1">IFERROR(__xludf.DUMMYFUNCTION("GOOGLETRANSLATE(A7543,""bn"",""en"")"),"She was serving bread")</f>
        <v>She was serving bread</v>
      </c>
      <c r="D7543" s="5"/>
      <c r="E7543" s="5"/>
      <c r="F7543" s="5"/>
      <c r="G7543" s="5"/>
      <c r="H7543" s="5"/>
      <c r="I7543" s="5"/>
      <c r="J7543" s="5"/>
      <c r="K7543" s="5"/>
      <c r="L7543" s="5"/>
      <c r="M7543" s="5"/>
      <c r="N7543" s="5"/>
      <c r="O7543" s="5"/>
      <c r="P7543" s="5"/>
      <c r="Q7543" s="5"/>
      <c r="R7543" s="5"/>
      <c r="S7543" s="5"/>
      <c r="T7543" s="5"/>
      <c r="U7543" s="5"/>
      <c r="V7543" s="5"/>
      <c r="W7543" s="5"/>
      <c r="X7543" s="5"/>
      <c r="Y7543" s="5"/>
      <c r="Z7543" s="5"/>
    </row>
    <row r="7544" spans="1:26" ht="15" x14ac:dyDescent="0.25">
      <c r="A7544" s="4" t="s">
        <v>7542</v>
      </c>
      <c r="B7544" s="4" t="s">
        <v>4550</v>
      </c>
      <c r="C7544" s="2" t="str">
        <f ca="1">IFERROR(__xludf.DUMMYFUNCTION("GOOGLETRANSLATE(A7544,""bn"",""en"")"),"I actively participated in the match")</f>
        <v>I actively participated in the match</v>
      </c>
      <c r="D7544" s="5"/>
      <c r="E7544" s="5"/>
      <c r="F7544" s="5"/>
      <c r="G7544" s="5"/>
      <c r="H7544" s="5"/>
      <c r="I7544" s="5"/>
      <c r="J7544" s="5"/>
      <c r="K7544" s="5"/>
      <c r="L7544" s="5"/>
      <c r="M7544" s="5"/>
      <c r="N7544" s="5"/>
      <c r="O7544" s="5"/>
      <c r="P7544" s="5"/>
      <c r="Q7544" s="5"/>
      <c r="R7544" s="5"/>
      <c r="S7544" s="5"/>
      <c r="T7544" s="5"/>
      <c r="U7544" s="5"/>
      <c r="V7544" s="5"/>
      <c r="W7544" s="5"/>
      <c r="X7544" s="5"/>
      <c r="Y7544" s="5"/>
      <c r="Z7544" s="5"/>
    </row>
    <row r="7545" spans="1:26" ht="15" x14ac:dyDescent="0.25">
      <c r="A7545" s="4" t="s">
        <v>7543</v>
      </c>
      <c r="B7545" s="4" t="s">
        <v>4550</v>
      </c>
      <c r="C7545" s="2" t="str">
        <f ca="1">IFERROR(__xludf.DUMMYFUNCTION("GOOGLETRANSLATE(A7545,""bn"",""en"")"),"The enemy's military preparations were going on")</f>
        <v>The enemy's military preparations were going on</v>
      </c>
      <c r="D7545" s="5"/>
      <c r="E7545" s="5"/>
      <c r="F7545" s="5"/>
      <c r="G7545" s="5"/>
      <c r="H7545" s="5"/>
      <c r="I7545" s="5"/>
      <c r="J7545" s="5"/>
      <c r="K7545" s="5"/>
      <c r="L7545" s="5"/>
      <c r="M7545" s="5"/>
      <c r="N7545" s="5"/>
      <c r="O7545" s="5"/>
      <c r="P7545" s="5"/>
      <c r="Q7545" s="5"/>
      <c r="R7545" s="5"/>
      <c r="S7545" s="5"/>
      <c r="T7545" s="5"/>
      <c r="U7545" s="5"/>
      <c r="V7545" s="5"/>
      <c r="W7545" s="5"/>
      <c r="X7545" s="5"/>
      <c r="Y7545" s="5"/>
      <c r="Z7545" s="5"/>
    </row>
    <row r="7546" spans="1:26" ht="15" x14ac:dyDescent="0.25">
      <c r="A7546" s="4" t="s">
        <v>7544</v>
      </c>
      <c r="B7546" s="4" t="s">
        <v>4550</v>
      </c>
      <c r="C7546" s="2" t="str">
        <f ca="1">IFERROR(__xludf.DUMMYFUNCTION("GOOGLETRANSLATE(A7546,""bn"",""en"")"),"Checked his account")</f>
        <v>Checked his account</v>
      </c>
      <c r="D7546" s="5"/>
      <c r="E7546" s="5"/>
      <c r="F7546" s="5"/>
      <c r="G7546" s="5"/>
      <c r="H7546" s="5"/>
      <c r="I7546" s="5"/>
      <c r="J7546" s="5"/>
      <c r="K7546" s="5"/>
      <c r="L7546" s="5"/>
      <c r="M7546" s="5"/>
      <c r="N7546" s="5"/>
      <c r="O7546" s="5"/>
      <c r="P7546" s="5"/>
      <c r="Q7546" s="5"/>
      <c r="R7546" s="5"/>
      <c r="S7546" s="5"/>
      <c r="T7546" s="5"/>
      <c r="U7546" s="5"/>
      <c r="V7546" s="5"/>
      <c r="W7546" s="5"/>
      <c r="X7546" s="5"/>
      <c r="Y7546" s="5"/>
      <c r="Z7546" s="5"/>
    </row>
    <row r="7547" spans="1:26" ht="15" x14ac:dyDescent="0.25">
      <c r="A7547" s="4" t="s">
        <v>7545</v>
      </c>
      <c r="B7547" s="4" t="s">
        <v>4550</v>
      </c>
      <c r="C7547" s="2" t="str">
        <f ca="1">IFERROR(__xludf.DUMMYFUNCTION("GOOGLETRANSLATE(A7547,""bn"",""en"")"),"Disruption of public complaints")</f>
        <v>Disruption of public complaints</v>
      </c>
      <c r="D7547" s="5"/>
      <c r="E7547" s="5"/>
      <c r="F7547" s="5"/>
      <c r="G7547" s="5"/>
      <c r="H7547" s="5"/>
      <c r="I7547" s="5"/>
      <c r="J7547" s="5"/>
      <c r="K7547" s="5"/>
      <c r="L7547" s="5"/>
      <c r="M7547" s="5"/>
      <c r="N7547" s="5"/>
      <c r="O7547" s="5"/>
      <c r="P7547" s="5"/>
      <c r="Q7547" s="5"/>
      <c r="R7547" s="5"/>
      <c r="S7547" s="5"/>
      <c r="T7547" s="5"/>
      <c r="U7547" s="5"/>
      <c r="V7547" s="5"/>
      <c r="W7547" s="5"/>
      <c r="X7547" s="5"/>
      <c r="Y7547" s="5"/>
      <c r="Z7547" s="5"/>
    </row>
    <row r="7548" spans="1:26" ht="15" x14ac:dyDescent="0.25">
      <c r="A7548" s="4" t="s">
        <v>7546</v>
      </c>
      <c r="B7548" s="4" t="s">
        <v>4550</v>
      </c>
      <c r="C7548" s="2" t="str">
        <f ca="1">IFERROR(__xludf.DUMMYFUNCTION("GOOGLETRANSLATE(A7548,""bn"",""en"")"),"We all saw the picture at night")</f>
        <v>We all saw the picture at night</v>
      </c>
      <c r="D7548" s="5"/>
      <c r="E7548" s="5"/>
      <c r="F7548" s="5"/>
      <c r="G7548" s="5"/>
      <c r="H7548" s="5"/>
      <c r="I7548" s="5"/>
      <c r="J7548" s="5"/>
      <c r="K7548" s="5"/>
      <c r="L7548" s="5"/>
      <c r="M7548" s="5"/>
      <c r="N7548" s="5"/>
      <c r="O7548" s="5"/>
      <c r="P7548" s="5"/>
      <c r="Q7548" s="5"/>
      <c r="R7548" s="5"/>
      <c r="S7548" s="5"/>
      <c r="T7548" s="5"/>
      <c r="U7548" s="5"/>
      <c r="V7548" s="5"/>
      <c r="W7548" s="5"/>
      <c r="X7548" s="5"/>
      <c r="Y7548" s="5"/>
      <c r="Z7548" s="5"/>
    </row>
    <row r="7549" spans="1:26" ht="15" x14ac:dyDescent="0.25">
      <c r="A7549" s="4" t="s">
        <v>7547</v>
      </c>
      <c r="B7549" s="4" t="s">
        <v>4550</v>
      </c>
      <c r="C7549" s="2" t="str">
        <f ca="1">IFERROR(__xludf.DUMMYFUNCTION("GOOGLETRANSLATE(A7549,""bn"",""en"")"),"Enemy's military campaign")</f>
        <v>Enemy's military campaign</v>
      </c>
      <c r="D7549" s="5"/>
      <c r="E7549" s="5"/>
      <c r="F7549" s="5"/>
      <c r="G7549" s="5"/>
      <c r="H7549" s="5"/>
      <c r="I7549" s="5"/>
      <c r="J7549" s="5"/>
      <c r="K7549" s="5"/>
      <c r="L7549" s="5"/>
      <c r="M7549" s="5"/>
      <c r="N7549" s="5"/>
      <c r="O7549" s="5"/>
      <c r="P7549" s="5"/>
      <c r="Q7549" s="5"/>
      <c r="R7549" s="5"/>
      <c r="S7549" s="5"/>
      <c r="T7549" s="5"/>
      <c r="U7549" s="5"/>
      <c r="V7549" s="5"/>
      <c r="W7549" s="5"/>
      <c r="X7549" s="5"/>
      <c r="Y7549" s="5"/>
      <c r="Z7549" s="5"/>
    </row>
    <row r="7550" spans="1:26" ht="15" x14ac:dyDescent="0.25">
      <c r="A7550" s="4" t="s">
        <v>7548</v>
      </c>
      <c r="B7550" s="4" t="s">
        <v>4550</v>
      </c>
      <c r="C7550" s="2" t="str">
        <f ca="1">IFERROR(__xludf.DUMMYFUNCTION("GOOGLETRANSLATE(A7550,""bn"",""en"")"),"We exercised in sports")</f>
        <v>We exercised in sports</v>
      </c>
      <c r="D7550" s="5"/>
      <c r="E7550" s="5"/>
      <c r="F7550" s="5"/>
      <c r="G7550" s="5"/>
      <c r="H7550" s="5"/>
      <c r="I7550" s="5"/>
      <c r="J7550" s="5"/>
      <c r="K7550" s="5"/>
      <c r="L7550" s="5"/>
      <c r="M7550" s="5"/>
      <c r="N7550" s="5"/>
      <c r="O7550" s="5"/>
      <c r="P7550" s="5"/>
      <c r="Q7550" s="5"/>
      <c r="R7550" s="5"/>
      <c r="S7550" s="5"/>
      <c r="T7550" s="5"/>
      <c r="U7550" s="5"/>
      <c r="V7550" s="5"/>
      <c r="W7550" s="5"/>
      <c r="X7550" s="5"/>
      <c r="Y7550" s="5"/>
      <c r="Z7550" s="5"/>
    </row>
    <row r="7551" spans="1:26" ht="15" x14ac:dyDescent="0.25">
      <c r="A7551" s="4" t="s">
        <v>7549</v>
      </c>
      <c r="B7551" s="4" t="s">
        <v>4550</v>
      </c>
      <c r="C7551" s="2" t="str">
        <f ca="1">IFERROR(__xludf.DUMMYFUNCTION("GOOGLETRANSLATE(A7551,""bn"",""en"")"),"Was watching a romantic movie")</f>
        <v>Was watching a romantic movie</v>
      </c>
      <c r="D7551" s="5"/>
      <c r="E7551" s="5"/>
      <c r="F7551" s="5"/>
      <c r="G7551" s="5"/>
      <c r="H7551" s="5"/>
      <c r="I7551" s="5"/>
      <c r="J7551" s="5"/>
      <c r="K7551" s="5"/>
      <c r="L7551" s="5"/>
      <c r="M7551" s="5"/>
      <c r="N7551" s="5"/>
      <c r="O7551" s="5"/>
      <c r="P7551" s="5"/>
      <c r="Q7551" s="5"/>
      <c r="R7551" s="5"/>
      <c r="S7551" s="5"/>
      <c r="T7551" s="5"/>
      <c r="U7551" s="5"/>
      <c r="V7551" s="5"/>
      <c r="W7551" s="5"/>
      <c r="X7551" s="5"/>
      <c r="Y7551" s="5"/>
      <c r="Z7551" s="5"/>
    </row>
    <row r="7552" spans="1:26" ht="15" x14ac:dyDescent="0.25">
      <c r="A7552" s="4" t="s">
        <v>7550</v>
      </c>
      <c r="B7552" s="4" t="s">
        <v>4550</v>
      </c>
      <c r="C7552" s="2" t="str">
        <f ca="1">IFERROR(__xludf.DUMMYFUNCTION("GOOGLETRANSLATE(A7552,""bn"",""en"")"),"The potato curry was fun")</f>
        <v>The potato curry was fun</v>
      </c>
      <c r="D7552" s="5"/>
      <c r="E7552" s="5"/>
      <c r="F7552" s="5"/>
      <c r="G7552" s="5"/>
      <c r="H7552" s="5"/>
      <c r="I7552" s="5"/>
      <c r="J7552" s="5"/>
      <c r="K7552" s="5"/>
      <c r="L7552" s="5"/>
      <c r="M7552" s="5"/>
      <c r="N7552" s="5"/>
      <c r="O7552" s="5"/>
      <c r="P7552" s="5"/>
      <c r="Q7552" s="5"/>
      <c r="R7552" s="5"/>
      <c r="S7552" s="5"/>
      <c r="T7552" s="5"/>
      <c r="U7552" s="5"/>
      <c r="V7552" s="5"/>
      <c r="W7552" s="5"/>
      <c r="X7552" s="5"/>
      <c r="Y7552" s="5"/>
      <c r="Z7552" s="5"/>
    </row>
    <row r="7553" spans="1:26" ht="15" x14ac:dyDescent="0.25">
      <c r="A7553" s="4" t="s">
        <v>7551</v>
      </c>
      <c r="B7553" s="4" t="s">
        <v>4550</v>
      </c>
      <c r="C7553" s="2" t="str">
        <f ca="1">IFERROR(__xludf.DUMMYFUNCTION("GOOGLETRANSLATE(A7553,""bn"",""en"")"),"I watched the movie last night")</f>
        <v>I watched the movie last night</v>
      </c>
      <c r="D7553" s="5"/>
      <c r="E7553" s="5"/>
      <c r="F7553" s="5"/>
      <c r="G7553" s="5"/>
      <c r="H7553" s="5"/>
      <c r="I7553" s="5"/>
      <c r="J7553" s="5"/>
      <c r="K7553" s="5"/>
      <c r="L7553" s="5"/>
      <c r="M7553" s="5"/>
      <c r="N7553" s="5"/>
      <c r="O7553" s="5"/>
      <c r="P7553" s="5"/>
      <c r="Q7553" s="5"/>
      <c r="R7553" s="5"/>
      <c r="S7553" s="5"/>
      <c r="T7553" s="5"/>
      <c r="U7553" s="5"/>
      <c r="V7553" s="5"/>
      <c r="W7553" s="5"/>
      <c r="X7553" s="5"/>
      <c r="Y7553" s="5"/>
      <c r="Z7553" s="5"/>
    </row>
    <row r="7554" spans="1:26" ht="15" x14ac:dyDescent="0.25">
      <c r="A7554" s="4" t="s">
        <v>7552</v>
      </c>
      <c r="B7554" s="4" t="s">
        <v>4550</v>
      </c>
      <c r="C7554" s="2" t="str">
        <f ca="1">IFERROR(__xludf.DUMMYFUNCTION("GOOGLETRANSLATE(A7554,""bn"",""en"")"),"Production increased in three months")</f>
        <v>Production increased in three months</v>
      </c>
      <c r="D7554" s="5"/>
      <c r="E7554" s="5"/>
      <c r="F7554" s="5"/>
      <c r="G7554" s="5"/>
      <c r="H7554" s="5"/>
      <c r="I7554" s="5"/>
      <c r="J7554" s="5"/>
      <c r="K7554" s="5"/>
      <c r="L7554" s="5"/>
      <c r="M7554" s="5"/>
      <c r="N7554" s="5"/>
      <c r="O7554" s="5"/>
      <c r="P7554" s="5"/>
      <c r="Q7554" s="5"/>
      <c r="R7554" s="5"/>
      <c r="S7554" s="5"/>
      <c r="T7554" s="5"/>
      <c r="U7554" s="5"/>
      <c r="V7554" s="5"/>
      <c r="W7554" s="5"/>
      <c r="X7554" s="5"/>
      <c r="Y7554" s="5"/>
      <c r="Z7554" s="5"/>
    </row>
    <row r="7555" spans="1:26" ht="15" x14ac:dyDescent="0.25">
      <c r="A7555" s="4" t="s">
        <v>7553</v>
      </c>
      <c r="B7555" s="4" t="s">
        <v>4550</v>
      </c>
      <c r="C7555" s="2" t="str">
        <f ca="1">IFERROR(__xludf.DUMMYFUNCTION("GOOGLETRANSLATE(A7555,""bn"",""en"")"),"Discussions were underway for the purpose of the organization")</f>
        <v>Discussions were underway for the purpose of the organization</v>
      </c>
      <c r="D7555" s="5"/>
      <c r="E7555" s="5"/>
      <c r="F7555" s="5"/>
      <c r="G7555" s="5"/>
      <c r="H7555" s="5"/>
      <c r="I7555" s="5"/>
      <c r="J7555" s="5"/>
      <c r="K7555" s="5"/>
      <c r="L7555" s="5"/>
      <c r="M7555" s="5"/>
      <c r="N7555" s="5"/>
      <c r="O7555" s="5"/>
      <c r="P7555" s="5"/>
      <c r="Q7555" s="5"/>
      <c r="R7555" s="5"/>
      <c r="S7555" s="5"/>
      <c r="T7555" s="5"/>
      <c r="U7555" s="5"/>
      <c r="V7555" s="5"/>
      <c r="W7555" s="5"/>
      <c r="X7555" s="5"/>
      <c r="Y7555" s="5"/>
      <c r="Z7555" s="5"/>
    </row>
    <row r="7556" spans="1:26" ht="15" x14ac:dyDescent="0.25">
      <c r="A7556" s="4" t="s">
        <v>7554</v>
      </c>
      <c r="B7556" s="4" t="s">
        <v>4550</v>
      </c>
      <c r="C7556" s="2" t="str">
        <f ca="1">IFERROR(__xludf.DUMMYFUNCTION("GOOGLETRANSLATE(A7556,""bn"",""en"")"),"We ate chocolate biscuits")</f>
        <v>We ate chocolate biscuits</v>
      </c>
      <c r="D7556" s="5"/>
      <c r="E7556" s="5"/>
      <c r="F7556" s="5"/>
      <c r="G7556" s="5"/>
      <c r="H7556" s="5"/>
      <c r="I7556" s="5"/>
      <c r="J7556" s="5"/>
      <c r="K7556" s="5"/>
      <c r="L7556" s="5"/>
      <c r="M7556" s="5"/>
      <c r="N7556" s="5"/>
      <c r="O7556" s="5"/>
      <c r="P7556" s="5"/>
      <c r="Q7556" s="5"/>
      <c r="R7556" s="5"/>
      <c r="S7556" s="5"/>
      <c r="T7556" s="5"/>
      <c r="U7556" s="5"/>
      <c r="V7556" s="5"/>
      <c r="W7556" s="5"/>
      <c r="X7556" s="5"/>
      <c r="Y7556" s="5"/>
      <c r="Z7556" s="5"/>
    </row>
    <row r="7557" spans="1:26" ht="15" x14ac:dyDescent="0.25">
      <c r="A7557" s="4" t="s">
        <v>7555</v>
      </c>
      <c r="B7557" s="4" t="s">
        <v>4550</v>
      </c>
      <c r="C7557" s="2" t="str">
        <f ca="1">IFERROR(__xludf.DUMMYFUNCTION("GOOGLETRANSLATE(A7557,""bn"",""en"")"),"Learning programming was essential")</f>
        <v>Learning programming was essential</v>
      </c>
      <c r="D7557" s="5"/>
      <c r="E7557" s="5"/>
      <c r="F7557" s="5"/>
      <c r="G7557" s="5"/>
      <c r="H7557" s="5"/>
      <c r="I7557" s="5"/>
      <c r="J7557" s="5"/>
      <c r="K7557" s="5"/>
      <c r="L7557" s="5"/>
      <c r="M7557" s="5"/>
      <c r="N7557" s="5"/>
      <c r="O7557" s="5"/>
      <c r="P7557" s="5"/>
      <c r="Q7557" s="5"/>
      <c r="R7557" s="5"/>
      <c r="S7557" s="5"/>
      <c r="T7557" s="5"/>
      <c r="U7557" s="5"/>
      <c r="V7557" s="5"/>
      <c r="W7557" s="5"/>
      <c r="X7557" s="5"/>
      <c r="Y7557" s="5"/>
      <c r="Z7557" s="5"/>
    </row>
    <row r="7558" spans="1:26" ht="15" x14ac:dyDescent="0.25">
      <c r="A7558" s="4" t="s">
        <v>7556</v>
      </c>
      <c r="B7558" s="4" t="s">
        <v>4550</v>
      </c>
      <c r="C7558" s="2" t="str">
        <f ca="1">IFERROR(__xludf.DUMMYFUNCTION("GOOGLETRANSLATE(A7558,""bn"",""en"")"),"You were concentrating on the project")</f>
        <v>You were concentrating on the project</v>
      </c>
      <c r="D7558" s="5"/>
      <c r="E7558" s="5"/>
      <c r="F7558" s="5"/>
      <c r="G7558" s="5"/>
      <c r="H7558" s="5"/>
      <c r="I7558" s="5"/>
      <c r="J7558" s="5"/>
      <c r="K7558" s="5"/>
      <c r="L7558" s="5"/>
      <c r="M7558" s="5"/>
      <c r="N7558" s="5"/>
      <c r="O7558" s="5"/>
      <c r="P7558" s="5"/>
      <c r="Q7558" s="5"/>
      <c r="R7558" s="5"/>
      <c r="S7558" s="5"/>
      <c r="T7558" s="5"/>
      <c r="U7558" s="5"/>
      <c r="V7558" s="5"/>
      <c r="W7558" s="5"/>
      <c r="X7558" s="5"/>
      <c r="Y7558" s="5"/>
      <c r="Z7558" s="5"/>
    </row>
    <row r="7559" spans="1:26" ht="15" x14ac:dyDescent="0.25">
      <c r="A7559" s="4" t="s">
        <v>7557</v>
      </c>
      <c r="B7559" s="4" t="s">
        <v>4550</v>
      </c>
      <c r="C7559" s="2" t="str">
        <f ca="1">IFERROR(__xludf.DUMMYFUNCTION("GOOGLETRANSLATE(A7559,""bn"",""en"")"),"Integrate an API")</f>
        <v>Integrate an API</v>
      </c>
      <c r="D7559" s="5"/>
      <c r="E7559" s="5"/>
      <c r="F7559" s="5"/>
      <c r="G7559" s="5"/>
      <c r="H7559" s="5"/>
      <c r="I7559" s="5"/>
      <c r="J7559" s="5"/>
      <c r="K7559" s="5"/>
      <c r="L7559" s="5"/>
      <c r="M7559" s="5"/>
      <c r="N7559" s="5"/>
      <c r="O7559" s="5"/>
      <c r="P7559" s="5"/>
      <c r="Q7559" s="5"/>
      <c r="R7559" s="5"/>
      <c r="S7559" s="5"/>
      <c r="T7559" s="5"/>
      <c r="U7559" s="5"/>
      <c r="V7559" s="5"/>
      <c r="W7559" s="5"/>
      <c r="X7559" s="5"/>
      <c r="Y7559" s="5"/>
      <c r="Z7559" s="5"/>
    </row>
    <row r="7560" spans="1:26" ht="15" x14ac:dyDescent="0.25">
      <c r="A7560" s="4" t="s">
        <v>7558</v>
      </c>
      <c r="B7560" s="4" t="s">
        <v>4550</v>
      </c>
      <c r="C7560" s="2" t="str">
        <f ca="1">IFERROR(__xludf.DUMMYFUNCTION("GOOGLETRANSLATE(A7560,""bn"",""en"")"),"He was throwing away stale bread")</f>
        <v>He was throwing away stale bread</v>
      </c>
      <c r="D7560" s="5"/>
      <c r="E7560" s="5"/>
      <c r="F7560" s="5"/>
      <c r="G7560" s="5"/>
      <c r="H7560" s="5"/>
      <c r="I7560" s="5"/>
      <c r="J7560" s="5"/>
      <c r="K7560" s="5"/>
      <c r="L7560" s="5"/>
      <c r="M7560" s="5"/>
      <c r="N7560" s="5"/>
      <c r="O7560" s="5"/>
      <c r="P7560" s="5"/>
      <c r="Q7560" s="5"/>
      <c r="R7560" s="5"/>
      <c r="S7560" s="5"/>
      <c r="T7560" s="5"/>
      <c r="U7560" s="5"/>
      <c r="V7560" s="5"/>
      <c r="W7560" s="5"/>
      <c r="X7560" s="5"/>
      <c r="Y7560" s="5"/>
      <c r="Z7560" s="5"/>
    </row>
    <row r="7561" spans="1:26" ht="15" x14ac:dyDescent="0.25">
      <c r="A7561" s="4" t="s">
        <v>7559</v>
      </c>
      <c r="B7561" s="4" t="s">
        <v>4550</v>
      </c>
      <c r="C7561" s="2" t="str">
        <f ca="1">IFERROR(__xludf.DUMMYFUNCTION("GOOGLETRANSLATE(A7561,""bn"",""en"")"),"The batsman used it correctly")</f>
        <v>The batsman used it correctly</v>
      </c>
      <c r="D7561" s="5"/>
      <c r="E7561" s="5"/>
      <c r="F7561" s="5"/>
      <c r="G7561" s="5"/>
      <c r="H7561" s="5"/>
      <c r="I7561" s="5"/>
      <c r="J7561" s="5"/>
      <c r="K7561" s="5"/>
      <c r="L7561" s="5"/>
      <c r="M7561" s="5"/>
      <c r="N7561" s="5"/>
      <c r="O7561" s="5"/>
      <c r="P7561" s="5"/>
      <c r="Q7561" s="5"/>
      <c r="R7561" s="5"/>
      <c r="S7561" s="5"/>
      <c r="T7561" s="5"/>
      <c r="U7561" s="5"/>
      <c r="V7561" s="5"/>
      <c r="W7561" s="5"/>
      <c r="X7561" s="5"/>
      <c r="Y7561" s="5"/>
      <c r="Z7561" s="5"/>
    </row>
    <row r="7562" spans="1:26" ht="15" x14ac:dyDescent="0.25">
      <c r="A7562" s="4" t="s">
        <v>7560</v>
      </c>
      <c r="B7562" s="4" t="s">
        <v>4550</v>
      </c>
      <c r="C7562" s="2" t="str">
        <f ca="1">IFERROR(__xludf.DUMMYFUNCTION("GOOGLETRANSLATE(A7562,""bn"",""en"")"),"How many times have you seen movies this month?")</f>
        <v>How many times have you seen movies this month?</v>
      </c>
      <c r="D7562" s="5"/>
      <c r="E7562" s="5"/>
      <c r="F7562" s="5"/>
      <c r="G7562" s="5"/>
      <c r="H7562" s="5"/>
      <c r="I7562" s="5"/>
      <c r="J7562" s="5"/>
      <c r="K7562" s="5"/>
      <c r="L7562" s="5"/>
      <c r="M7562" s="5"/>
      <c r="N7562" s="5"/>
      <c r="O7562" s="5"/>
      <c r="P7562" s="5"/>
      <c r="Q7562" s="5"/>
      <c r="R7562" s="5"/>
      <c r="S7562" s="5"/>
      <c r="T7562" s="5"/>
      <c r="U7562" s="5"/>
      <c r="V7562" s="5"/>
      <c r="W7562" s="5"/>
      <c r="X7562" s="5"/>
      <c r="Y7562" s="5"/>
      <c r="Z7562" s="5"/>
    </row>
    <row r="7563" spans="1:26" ht="15" x14ac:dyDescent="0.25">
      <c r="A7563" s="4" t="s">
        <v>7561</v>
      </c>
      <c r="B7563" s="4" t="s">
        <v>4550</v>
      </c>
      <c r="C7563" s="2" t="str">
        <f ca="1">IFERROR(__xludf.DUMMYFUNCTION("GOOGLETRANSLATE(A7563,""bn"",""en"")"),"He was going to the sea in a helicopter")</f>
        <v>He was going to the sea in a helicopter</v>
      </c>
      <c r="D7563" s="5"/>
      <c r="E7563" s="5"/>
      <c r="F7563" s="5"/>
      <c r="G7563" s="5"/>
      <c r="H7563" s="5"/>
      <c r="I7563" s="5"/>
      <c r="J7563" s="5"/>
      <c r="K7563" s="5"/>
      <c r="L7563" s="5"/>
      <c r="M7563" s="5"/>
      <c r="N7563" s="5"/>
      <c r="O7563" s="5"/>
      <c r="P7563" s="5"/>
      <c r="Q7563" s="5"/>
      <c r="R7563" s="5"/>
      <c r="S7563" s="5"/>
      <c r="T7563" s="5"/>
      <c r="U7563" s="5"/>
      <c r="V7563" s="5"/>
      <c r="W7563" s="5"/>
      <c r="X7563" s="5"/>
      <c r="Y7563" s="5"/>
      <c r="Z7563" s="5"/>
    </row>
    <row r="7564" spans="1:26" ht="15" x14ac:dyDescent="0.25">
      <c r="A7564" s="4" t="s">
        <v>7562</v>
      </c>
      <c r="B7564" s="4" t="s">
        <v>4550</v>
      </c>
      <c r="C7564" s="2" t="str">
        <f ca="1">IFERROR(__xludf.DUMMYFUNCTION("GOOGLETRANSLATE(A7564,""bn"",""en"")"),"We ate milk chocolate")</f>
        <v>We ate milk chocolate</v>
      </c>
      <c r="D7564" s="5"/>
      <c r="E7564" s="5"/>
      <c r="F7564" s="5"/>
      <c r="G7564" s="5"/>
      <c r="H7564" s="5"/>
      <c r="I7564" s="5"/>
      <c r="J7564" s="5"/>
      <c r="K7564" s="5"/>
      <c r="L7564" s="5"/>
      <c r="M7564" s="5"/>
      <c r="N7564" s="5"/>
      <c r="O7564" s="5"/>
      <c r="P7564" s="5"/>
      <c r="Q7564" s="5"/>
      <c r="R7564" s="5"/>
      <c r="S7564" s="5"/>
      <c r="T7564" s="5"/>
      <c r="U7564" s="5"/>
      <c r="V7564" s="5"/>
      <c r="W7564" s="5"/>
      <c r="X7564" s="5"/>
      <c r="Y7564" s="5"/>
      <c r="Z7564" s="5"/>
    </row>
    <row r="7565" spans="1:26" ht="15" x14ac:dyDescent="0.25">
      <c r="A7565" s="4" t="s">
        <v>7563</v>
      </c>
      <c r="B7565" s="4" t="s">
        <v>4550</v>
      </c>
      <c r="C7565" s="2" t="str">
        <f ca="1">IFERROR(__xludf.DUMMYFUNCTION("GOOGLETRANSLATE(A7565,""bn"",""en"")"),"In which year did you watch the movie?")</f>
        <v>In which year did you watch the movie?</v>
      </c>
      <c r="D7565" s="5"/>
      <c r="E7565" s="5"/>
      <c r="F7565" s="5"/>
      <c r="G7565" s="5"/>
      <c r="H7565" s="5"/>
      <c r="I7565" s="5"/>
      <c r="J7565" s="5"/>
      <c r="K7565" s="5"/>
      <c r="L7565" s="5"/>
      <c r="M7565" s="5"/>
      <c r="N7565" s="5"/>
      <c r="O7565" s="5"/>
      <c r="P7565" s="5"/>
      <c r="Q7565" s="5"/>
      <c r="R7565" s="5"/>
      <c r="S7565" s="5"/>
      <c r="T7565" s="5"/>
      <c r="U7565" s="5"/>
      <c r="V7565" s="5"/>
      <c r="W7565" s="5"/>
      <c r="X7565" s="5"/>
      <c r="Y7565" s="5"/>
      <c r="Z7565" s="5"/>
    </row>
    <row r="7566" spans="1:26" ht="15" x14ac:dyDescent="0.25">
      <c r="A7566" s="4" t="s">
        <v>7564</v>
      </c>
      <c r="B7566" s="4" t="s">
        <v>4550</v>
      </c>
      <c r="C7566" s="2" t="str">
        <f ca="1">IFERROR(__xludf.DUMMYFUNCTION("GOOGLETRANSLATE(A7566,""bn"",""en"")"),"Football was played with enthusiasm")</f>
        <v>Football was played with enthusiasm</v>
      </c>
      <c r="D7566" s="5"/>
      <c r="E7566" s="5"/>
      <c r="F7566" s="5"/>
      <c r="G7566" s="5"/>
      <c r="H7566" s="5"/>
      <c r="I7566" s="5"/>
      <c r="J7566" s="5"/>
      <c r="K7566" s="5"/>
      <c r="L7566" s="5"/>
      <c r="M7566" s="5"/>
      <c r="N7566" s="5"/>
      <c r="O7566" s="5"/>
      <c r="P7566" s="5"/>
      <c r="Q7566" s="5"/>
      <c r="R7566" s="5"/>
      <c r="S7566" s="5"/>
      <c r="T7566" s="5"/>
      <c r="U7566" s="5"/>
      <c r="V7566" s="5"/>
      <c r="W7566" s="5"/>
      <c r="X7566" s="5"/>
      <c r="Y7566" s="5"/>
      <c r="Z7566" s="5"/>
    </row>
    <row r="7567" spans="1:26" ht="15" x14ac:dyDescent="0.25">
      <c r="A7567" s="4" t="s">
        <v>7565</v>
      </c>
      <c r="B7567" s="4" t="s">
        <v>4550</v>
      </c>
      <c r="C7567" s="2" t="str">
        <f ca="1">IFERROR(__xludf.DUMMYFUNCTION("GOOGLETRANSLATE(A7567,""bn"",""en"")"),"He painted the picture")</f>
        <v>He painted the picture</v>
      </c>
      <c r="D7567" s="5"/>
      <c r="E7567" s="5"/>
      <c r="F7567" s="5"/>
      <c r="G7567" s="5"/>
      <c r="H7567" s="5"/>
      <c r="I7567" s="5"/>
      <c r="J7567" s="5"/>
      <c r="K7567" s="5"/>
      <c r="L7567" s="5"/>
      <c r="M7567" s="5"/>
      <c r="N7567" s="5"/>
      <c r="O7567" s="5"/>
      <c r="P7567" s="5"/>
      <c r="Q7567" s="5"/>
      <c r="R7567" s="5"/>
      <c r="S7567" s="5"/>
      <c r="T7567" s="5"/>
      <c r="U7567" s="5"/>
      <c r="V7567" s="5"/>
      <c r="W7567" s="5"/>
      <c r="X7567" s="5"/>
      <c r="Y7567" s="5"/>
      <c r="Z7567" s="5"/>
    </row>
    <row r="7568" spans="1:26" ht="15" x14ac:dyDescent="0.25">
      <c r="A7568" s="4" t="s">
        <v>7566</v>
      </c>
      <c r="B7568" s="4" t="s">
        <v>4550</v>
      </c>
      <c r="C7568" s="2" t="str">
        <f ca="1">IFERROR(__xludf.DUMMYFUNCTION("GOOGLETRANSLATE(A7568,""bn"",""en"")"),"The tennis match was going on in the morning")</f>
        <v>The tennis match was going on in the morning</v>
      </c>
      <c r="D7568" s="5"/>
      <c r="E7568" s="5"/>
      <c r="F7568" s="5"/>
      <c r="G7568" s="5"/>
      <c r="H7568" s="5"/>
      <c r="I7568" s="5"/>
      <c r="J7568" s="5"/>
      <c r="K7568" s="5"/>
      <c r="L7568" s="5"/>
      <c r="M7568" s="5"/>
      <c r="N7568" s="5"/>
      <c r="O7568" s="5"/>
      <c r="P7568" s="5"/>
      <c r="Q7568" s="5"/>
      <c r="R7568" s="5"/>
      <c r="S7568" s="5"/>
      <c r="T7568" s="5"/>
      <c r="U7568" s="5"/>
      <c r="V7568" s="5"/>
      <c r="W7568" s="5"/>
      <c r="X7568" s="5"/>
      <c r="Y7568" s="5"/>
      <c r="Z7568" s="5"/>
    </row>
    <row r="7569" spans="1:26" ht="15" x14ac:dyDescent="0.25">
      <c r="A7569" s="4" t="s">
        <v>7567</v>
      </c>
      <c r="B7569" s="4" t="s">
        <v>4550</v>
      </c>
      <c r="C7569" s="2" t="str">
        <f ca="1">IFERROR(__xludf.DUMMYFUNCTION("GOOGLETRANSLATE(A7569,""bn"",""en"")"),"I saw the picture last week")</f>
        <v>I saw the picture last week</v>
      </c>
      <c r="D7569" s="5"/>
      <c r="E7569" s="5"/>
      <c r="F7569" s="5"/>
      <c r="G7569" s="5"/>
      <c r="H7569" s="5"/>
      <c r="I7569" s="5"/>
      <c r="J7569" s="5"/>
      <c r="K7569" s="5"/>
      <c r="L7569" s="5"/>
      <c r="M7569" s="5"/>
      <c r="N7569" s="5"/>
      <c r="O7569" s="5"/>
      <c r="P7569" s="5"/>
      <c r="Q7569" s="5"/>
      <c r="R7569" s="5"/>
      <c r="S7569" s="5"/>
      <c r="T7569" s="5"/>
      <c r="U7569" s="5"/>
      <c r="V7569" s="5"/>
      <c r="W7569" s="5"/>
      <c r="X7569" s="5"/>
      <c r="Y7569" s="5"/>
      <c r="Z7569" s="5"/>
    </row>
    <row r="7570" spans="1:26" ht="15" x14ac:dyDescent="0.25">
      <c r="A7570" s="4" t="s">
        <v>7568</v>
      </c>
      <c r="B7570" s="4" t="s">
        <v>4550</v>
      </c>
      <c r="C7570" s="2" t="str">
        <f ca="1">IFERROR(__xludf.DUMMYFUNCTION("GOOGLETRANSLATE(A7570,""bn"",""en"")"),"The team won")</f>
        <v>The team won</v>
      </c>
      <c r="D7570" s="5"/>
      <c r="E7570" s="5"/>
      <c r="F7570" s="5"/>
      <c r="G7570" s="5"/>
      <c r="H7570" s="5"/>
      <c r="I7570" s="5"/>
      <c r="J7570" s="5"/>
      <c r="K7570" s="5"/>
      <c r="L7570" s="5"/>
      <c r="M7570" s="5"/>
      <c r="N7570" s="5"/>
      <c r="O7570" s="5"/>
      <c r="P7570" s="5"/>
      <c r="Q7570" s="5"/>
      <c r="R7570" s="5"/>
      <c r="S7570" s="5"/>
      <c r="T7570" s="5"/>
      <c r="U7570" s="5"/>
      <c r="V7570" s="5"/>
      <c r="W7570" s="5"/>
      <c r="X7570" s="5"/>
      <c r="Y7570" s="5"/>
      <c r="Z7570" s="5"/>
    </row>
    <row r="7571" spans="1:26" ht="15" x14ac:dyDescent="0.25">
      <c r="A7571" s="4" t="s">
        <v>7569</v>
      </c>
      <c r="B7571" s="4" t="s">
        <v>4550</v>
      </c>
      <c r="C7571" s="2" t="str">
        <f ca="1">IFERROR(__xludf.DUMMYFUNCTION("GOOGLETRANSLATE(A7571,""bn"",""en"")"),"Watch thriller movies at night")</f>
        <v>Watch thriller movies at night</v>
      </c>
      <c r="D7571" s="5"/>
      <c r="E7571" s="5"/>
      <c r="F7571" s="5"/>
      <c r="G7571" s="5"/>
      <c r="H7571" s="5"/>
      <c r="I7571" s="5"/>
      <c r="J7571" s="5"/>
      <c r="K7571" s="5"/>
      <c r="L7571" s="5"/>
      <c r="M7571" s="5"/>
      <c r="N7571" s="5"/>
      <c r="O7571" s="5"/>
      <c r="P7571" s="5"/>
      <c r="Q7571" s="5"/>
      <c r="R7571" s="5"/>
      <c r="S7571" s="5"/>
      <c r="T7571" s="5"/>
      <c r="U7571" s="5"/>
      <c r="V7571" s="5"/>
      <c r="W7571" s="5"/>
      <c r="X7571" s="5"/>
      <c r="Y7571" s="5"/>
      <c r="Z7571" s="5"/>
    </row>
    <row r="7572" spans="1:26" ht="15" x14ac:dyDescent="0.25">
      <c r="A7572" s="4" t="s">
        <v>7570</v>
      </c>
      <c r="B7572" s="4" t="s">
        <v>4550</v>
      </c>
      <c r="C7572" s="2" t="str">
        <f ca="1">IFERROR(__xludf.DUMMYFUNCTION("GOOGLETRANSLATE(A7572,""bn"",""en"")"),"You watched romantic movies")</f>
        <v>You watched romantic movies</v>
      </c>
      <c r="D7572" s="5"/>
      <c r="E7572" s="5"/>
      <c r="F7572" s="5"/>
      <c r="G7572" s="5"/>
      <c r="H7572" s="5"/>
      <c r="I7572" s="5"/>
      <c r="J7572" s="5"/>
      <c r="K7572" s="5"/>
      <c r="L7572" s="5"/>
      <c r="M7572" s="5"/>
      <c r="N7572" s="5"/>
      <c r="O7572" s="5"/>
      <c r="P7572" s="5"/>
      <c r="Q7572" s="5"/>
      <c r="R7572" s="5"/>
      <c r="S7572" s="5"/>
      <c r="T7572" s="5"/>
      <c r="U7572" s="5"/>
      <c r="V7572" s="5"/>
      <c r="W7572" s="5"/>
      <c r="X7572" s="5"/>
      <c r="Y7572" s="5"/>
      <c r="Z7572" s="5"/>
    </row>
    <row r="7573" spans="1:26" ht="15" x14ac:dyDescent="0.25">
      <c r="A7573" s="4" t="s">
        <v>7571</v>
      </c>
      <c r="B7573" s="4" t="s">
        <v>4550</v>
      </c>
      <c r="C7573" s="2" t="str">
        <f ca="1">IFERROR(__xludf.DUMMYFUNCTION("GOOGLETRANSLATE(A7573,""bn"",""en"")"),"Students were exhibiting posters")</f>
        <v>Students were exhibiting posters</v>
      </c>
      <c r="D7573" s="5"/>
      <c r="E7573" s="5"/>
      <c r="F7573" s="5"/>
      <c r="G7573" s="5"/>
      <c r="H7573" s="5"/>
      <c r="I7573" s="5"/>
      <c r="J7573" s="5"/>
      <c r="K7573" s="5"/>
      <c r="L7573" s="5"/>
      <c r="M7573" s="5"/>
      <c r="N7573" s="5"/>
      <c r="O7573" s="5"/>
      <c r="P7573" s="5"/>
      <c r="Q7573" s="5"/>
      <c r="R7573" s="5"/>
      <c r="S7573" s="5"/>
      <c r="T7573" s="5"/>
      <c r="U7573" s="5"/>
      <c r="V7573" s="5"/>
      <c r="W7573" s="5"/>
      <c r="X7573" s="5"/>
      <c r="Y7573" s="5"/>
      <c r="Z7573" s="5"/>
    </row>
    <row r="7574" spans="1:26" ht="15" x14ac:dyDescent="0.25">
      <c r="A7574" s="4" t="s">
        <v>7572</v>
      </c>
      <c r="B7574" s="4" t="s">
        <v>4550</v>
      </c>
      <c r="C7574" s="2" t="str">
        <f ca="1">IFERROR(__xludf.DUMMYFUNCTION("GOOGLETRANSLATE(A7574,""bn"",""en"")"),"Programming languages ​​emerged")</f>
        <v>Programming languages ​​emerged</v>
      </c>
      <c r="D7574" s="5"/>
      <c r="E7574" s="5"/>
      <c r="F7574" s="5"/>
      <c r="G7574" s="5"/>
      <c r="H7574" s="5"/>
      <c r="I7574" s="5"/>
      <c r="J7574" s="5"/>
      <c r="K7574" s="5"/>
      <c r="L7574" s="5"/>
      <c r="M7574" s="5"/>
      <c r="N7574" s="5"/>
      <c r="O7574" s="5"/>
      <c r="P7574" s="5"/>
      <c r="Q7574" s="5"/>
      <c r="R7574" s="5"/>
      <c r="S7574" s="5"/>
      <c r="T7574" s="5"/>
      <c r="U7574" s="5"/>
      <c r="V7574" s="5"/>
      <c r="W7574" s="5"/>
      <c r="X7574" s="5"/>
      <c r="Y7574" s="5"/>
      <c r="Z7574" s="5"/>
    </row>
    <row r="7575" spans="1:26" ht="15" x14ac:dyDescent="0.25">
      <c r="A7575" s="4" t="s">
        <v>7573</v>
      </c>
      <c r="B7575" s="4" t="s">
        <v>4550</v>
      </c>
      <c r="C7575" s="2" t="str">
        <f ca="1">IFERROR(__xludf.DUMMYFUNCTION("GOOGLETRANSLATE(A7575,""bn"",""en"")"),"We were with the teacher")</f>
        <v>We were with the teacher</v>
      </c>
      <c r="D7575" s="5"/>
      <c r="E7575" s="5"/>
      <c r="F7575" s="5"/>
      <c r="G7575" s="5"/>
      <c r="H7575" s="5"/>
      <c r="I7575" s="5"/>
      <c r="J7575" s="5"/>
      <c r="K7575" s="5"/>
      <c r="L7575" s="5"/>
      <c r="M7575" s="5"/>
      <c r="N7575" s="5"/>
      <c r="O7575" s="5"/>
      <c r="P7575" s="5"/>
      <c r="Q7575" s="5"/>
      <c r="R7575" s="5"/>
      <c r="S7575" s="5"/>
      <c r="T7575" s="5"/>
      <c r="U7575" s="5"/>
      <c r="V7575" s="5"/>
      <c r="W7575" s="5"/>
      <c r="X7575" s="5"/>
      <c r="Y7575" s="5"/>
      <c r="Z7575" s="5"/>
    </row>
    <row r="7576" spans="1:26" ht="15" x14ac:dyDescent="0.25">
      <c r="A7576" s="4" t="s">
        <v>7574</v>
      </c>
      <c r="B7576" s="4" t="s">
        <v>4550</v>
      </c>
      <c r="C7576" s="2" t="str">
        <f ca="1">IFERROR(__xludf.DUMMYFUNCTION("GOOGLETRANSLATE(A7576,""bn"",""en"")"),"I saw the picture during the preparation")</f>
        <v>I saw the picture during the preparation</v>
      </c>
      <c r="D7576" s="5"/>
      <c r="E7576" s="5"/>
      <c r="F7576" s="5"/>
      <c r="G7576" s="5"/>
      <c r="H7576" s="5"/>
      <c r="I7576" s="5"/>
      <c r="J7576" s="5"/>
      <c r="K7576" s="5"/>
      <c r="L7576" s="5"/>
      <c r="M7576" s="5"/>
      <c r="N7576" s="5"/>
      <c r="O7576" s="5"/>
      <c r="P7576" s="5"/>
      <c r="Q7576" s="5"/>
      <c r="R7576" s="5"/>
      <c r="S7576" s="5"/>
      <c r="T7576" s="5"/>
      <c r="U7576" s="5"/>
      <c r="V7576" s="5"/>
      <c r="W7576" s="5"/>
      <c r="X7576" s="5"/>
      <c r="Y7576" s="5"/>
      <c r="Z7576" s="5"/>
    </row>
    <row r="7577" spans="1:26" ht="15" x14ac:dyDescent="0.25">
      <c r="A7577" s="4" t="s">
        <v>7575</v>
      </c>
      <c r="B7577" s="4" t="s">
        <v>4550</v>
      </c>
      <c r="C7577" s="2" t="str">
        <f ca="1">IFERROR(__xludf.DUMMYFUNCTION("GOOGLETRANSLATE(A7577,""bn"",""en"")"),"There were sweet fruits in the garden")</f>
        <v>There were sweet fruits in the garden</v>
      </c>
      <c r="D7577" s="5"/>
      <c r="E7577" s="5"/>
      <c r="F7577" s="5"/>
      <c r="G7577" s="5"/>
      <c r="H7577" s="5"/>
      <c r="I7577" s="5"/>
      <c r="J7577" s="5"/>
      <c r="K7577" s="5"/>
      <c r="L7577" s="5"/>
      <c r="M7577" s="5"/>
      <c r="N7577" s="5"/>
      <c r="O7577" s="5"/>
      <c r="P7577" s="5"/>
      <c r="Q7577" s="5"/>
      <c r="R7577" s="5"/>
      <c r="S7577" s="5"/>
      <c r="T7577" s="5"/>
      <c r="U7577" s="5"/>
      <c r="V7577" s="5"/>
      <c r="W7577" s="5"/>
      <c r="X7577" s="5"/>
      <c r="Y7577" s="5"/>
      <c r="Z7577" s="5"/>
    </row>
    <row r="7578" spans="1:26" ht="15" x14ac:dyDescent="0.25">
      <c r="A7578" s="4" t="s">
        <v>7576</v>
      </c>
      <c r="B7578" s="4" t="s">
        <v>4550</v>
      </c>
      <c r="C7578" s="2" t="str">
        <f ca="1">IFERROR(__xludf.DUMMYFUNCTION("GOOGLETRANSLATE(A7578,""bn"",""en"")"),"Their economy was fragile")</f>
        <v>Their economy was fragile</v>
      </c>
      <c r="D7578" s="5"/>
      <c r="E7578" s="5"/>
      <c r="F7578" s="5"/>
      <c r="G7578" s="5"/>
      <c r="H7578" s="5"/>
      <c r="I7578" s="5"/>
      <c r="J7578" s="5"/>
      <c r="K7578" s="5"/>
      <c r="L7578" s="5"/>
      <c r="M7578" s="5"/>
      <c r="N7578" s="5"/>
      <c r="O7578" s="5"/>
      <c r="P7578" s="5"/>
      <c r="Q7578" s="5"/>
      <c r="R7578" s="5"/>
      <c r="S7578" s="5"/>
      <c r="T7578" s="5"/>
      <c r="U7578" s="5"/>
      <c r="V7578" s="5"/>
      <c r="W7578" s="5"/>
      <c r="X7578" s="5"/>
      <c r="Y7578" s="5"/>
      <c r="Z7578" s="5"/>
    </row>
    <row r="7579" spans="1:26" ht="15" x14ac:dyDescent="0.25">
      <c r="A7579" s="4" t="s">
        <v>7577</v>
      </c>
      <c r="B7579" s="4" t="s">
        <v>4550</v>
      </c>
      <c r="C7579" s="2" t="str">
        <f ca="1">IFERROR(__xludf.DUMMYFUNCTION("GOOGLETRANSLATE(A7579,""bn"",""en"")"),"I made tasty potato chips")</f>
        <v>I made tasty potato chips</v>
      </c>
      <c r="D7579" s="5"/>
      <c r="E7579" s="5"/>
      <c r="F7579" s="5"/>
      <c r="G7579" s="5"/>
      <c r="H7579" s="5"/>
      <c r="I7579" s="5"/>
      <c r="J7579" s="5"/>
      <c r="K7579" s="5"/>
      <c r="L7579" s="5"/>
      <c r="M7579" s="5"/>
      <c r="N7579" s="5"/>
      <c r="O7579" s="5"/>
      <c r="P7579" s="5"/>
      <c r="Q7579" s="5"/>
      <c r="R7579" s="5"/>
      <c r="S7579" s="5"/>
      <c r="T7579" s="5"/>
      <c r="U7579" s="5"/>
      <c r="V7579" s="5"/>
      <c r="W7579" s="5"/>
      <c r="X7579" s="5"/>
      <c r="Y7579" s="5"/>
      <c r="Z7579" s="5"/>
    </row>
    <row r="7580" spans="1:26" ht="15" x14ac:dyDescent="0.25">
      <c r="A7580" s="4" t="s">
        <v>7578</v>
      </c>
      <c r="B7580" s="4" t="s">
        <v>4550</v>
      </c>
      <c r="C7580" s="2" t="str">
        <f ca="1">IFERROR(__xludf.DUMMYFUNCTION("GOOGLETRANSLATE(A7580,""bn"",""en"")"),"It took little time to cook")</f>
        <v>It took little time to cook</v>
      </c>
      <c r="D7580" s="5"/>
      <c r="E7580" s="5"/>
      <c r="F7580" s="5"/>
      <c r="G7580" s="5"/>
      <c r="H7580" s="5"/>
      <c r="I7580" s="5"/>
      <c r="J7580" s="5"/>
      <c r="K7580" s="5"/>
      <c r="L7580" s="5"/>
      <c r="M7580" s="5"/>
      <c r="N7580" s="5"/>
      <c r="O7580" s="5"/>
      <c r="P7580" s="5"/>
      <c r="Q7580" s="5"/>
      <c r="R7580" s="5"/>
      <c r="S7580" s="5"/>
      <c r="T7580" s="5"/>
      <c r="U7580" s="5"/>
      <c r="V7580" s="5"/>
      <c r="W7580" s="5"/>
      <c r="X7580" s="5"/>
      <c r="Y7580" s="5"/>
      <c r="Z7580" s="5"/>
    </row>
    <row r="7581" spans="1:26" ht="15" x14ac:dyDescent="0.25">
      <c r="A7581" s="4" t="s">
        <v>7579</v>
      </c>
      <c r="B7581" s="4" t="s">
        <v>4550</v>
      </c>
      <c r="C7581" s="2" t="str">
        <f ca="1">IFERROR(__xludf.DUMMYFUNCTION("GOOGLETRANSLATE(A7581,""bn"",""en"")"),"Mobile application development was done")</f>
        <v>Mobile application development was done</v>
      </c>
      <c r="D7581" s="5"/>
      <c r="E7581" s="5"/>
      <c r="F7581" s="5"/>
      <c r="G7581" s="5"/>
      <c r="H7581" s="5"/>
      <c r="I7581" s="5"/>
      <c r="J7581" s="5"/>
      <c r="K7581" s="5"/>
      <c r="L7581" s="5"/>
      <c r="M7581" s="5"/>
      <c r="N7581" s="5"/>
      <c r="O7581" s="5"/>
      <c r="P7581" s="5"/>
      <c r="Q7581" s="5"/>
      <c r="R7581" s="5"/>
      <c r="S7581" s="5"/>
      <c r="T7581" s="5"/>
      <c r="U7581" s="5"/>
      <c r="V7581" s="5"/>
      <c r="W7581" s="5"/>
      <c r="X7581" s="5"/>
      <c r="Y7581" s="5"/>
      <c r="Z7581" s="5"/>
    </row>
    <row r="7582" spans="1:26" ht="15" x14ac:dyDescent="0.25">
      <c r="A7582" s="4" t="s">
        <v>7580</v>
      </c>
      <c r="B7582" s="4" t="s">
        <v>4550</v>
      </c>
      <c r="C7582" s="2" t="str">
        <f ca="1">IFERROR(__xludf.DUMMYFUNCTION("GOOGLETRANSLATE(A7582,""bn"",""en"")"),"The students led an Islamic life")</f>
        <v>The students led an Islamic life</v>
      </c>
      <c r="D7582" s="5"/>
      <c r="E7582" s="5"/>
      <c r="F7582" s="5"/>
      <c r="G7582" s="5"/>
      <c r="H7582" s="5"/>
      <c r="I7582" s="5"/>
      <c r="J7582" s="5"/>
      <c r="K7582" s="5"/>
      <c r="L7582" s="5"/>
      <c r="M7582" s="5"/>
      <c r="N7582" s="5"/>
      <c r="O7582" s="5"/>
      <c r="P7582" s="5"/>
      <c r="Q7582" s="5"/>
      <c r="R7582" s="5"/>
      <c r="S7582" s="5"/>
      <c r="T7582" s="5"/>
      <c r="U7582" s="5"/>
      <c r="V7582" s="5"/>
      <c r="W7582" s="5"/>
      <c r="X7582" s="5"/>
      <c r="Y7582" s="5"/>
      <c r="Z7582" s="5"/>
    </row>
    <row r="7583" spans="1:26" ht="15" x14ac:dyDescent="0.25">
      <c r="A7583" s="4" t="s">
        <v>7581</v>
      </c>
      <c r="B7583" s="4" t="s">
        <v>4550</v>
      </c>
      <c r="C7583" s="2" t="str">
        <f ca="1">IFERROR(__xludf.DUMMYFUNCTION("GOOGLETRANSLATE(A7583,""bn"",""en"")"),"We won the previous game")</f>
        <v>We won the previous game</v>
      </c>
      <c r="D7583" s="5"/>
      <c r="E7583" s="5"/>
      <c r="F7583" s="5"/>
      <c r="G7583" s="5"/>
      <c r="H7583" s="5"/>
      <c r="I7583" s="5"/>
      <c r="J7583" s="5"/>
      <c r="K7583" s="5"/>
      <c r="L7583" s="5"/>
      <c r="M7583" s="5"/>
      <c r="N7583" s="5"/>
      <c r="O7583" s="5"/>
      <c r="P7583" s="5"/>
      <c r="Q7583" s="5"/>
      <c r="R7583" s="5"/>
      <c r="S7583" s="5"/>
      <c r="T7583" s="5"/>
      <c r="U7583" s="5"/>
      <c r="V7583" s="5"/>
      <c r="W7583" s="5"/>
      <c r="X7583" s="5"/>
      <c r="Y7583" s="5"/>
      <c r="Z7583" s="5"/>
    </row>
    <row r="7584" spans="1:26" ht="15" x14ac:dyDescent="0.25">
      <c r="A7584" s="4" t="s">
        <v>7582</v>
      </c>
      <c r="B7584" s="4" t="s">
        <v>4550</v>
      </c>
      <c r="C7584" s="2" t="str">
        <f ca="1">IFERROR(__xludf.DUMMYFUNCTION("GOOGLETRANSLATE(A7584,""bn"",""en"")"),"Earlier there was a teacher-student culture")</f>
        <v>Earlier there was a teacher-student culture</v>
      </c>
      <c r="D7584" s="5"/>
      <c r="E7584" s="5"/>
      <c r="F7584" s="5"/>
      <c r="G7584" s="5"/>
      <c r="H7584" s="5"/>
      <c r="I7584" s="5"/>
      <c r="J7584" s="5"/>
      <c r="K7584" s="5"/>
      <c r="L7584" s="5"/>
      <c r="M7584" s="5"/>
      <c r="N7584" s="5"/>
      <c r="O7584" s="5"/>
      <c r="P7584" s="5"/>
      <c r="Q7584" s="5"/>
      <c r="R7584" s="5"/>
      <c r="S7584" s="5"/>
      <c r="T7584" s="5"/>
      <c r="U7584" s="5"/>
      <c r="V7584" s="5"/>
      <c r="W7584" s="5"/>
      <c r="X7584" s="5"/>
      <c r="Y7584" s="5"/>
      <c r="Z7584" s="5"/>
    </row>
    <row r="7585" spans="1:26" ht="15" x14ac:dyDescent="0.25">
      <c r="A7585" s="4" t="s">
        <v>7583</v>
      </c>
      <c r="B7585" s="4" t="s">
        <v>4550</v>
      </c>
      <c r="C7585" s="2" t="str">
        <f ca="1">IFERROR(__xludf.DUMMYFUNCTION("GOOGLETRANSLATE(A7585,""bn"",""en"")"),"The soil was infested with insects")</f>
        <v>The soil was infested with insects</v>
      </c>
      <c r="D7585" s="5"/>
      <c r="E7585" s="5"/>
      <c r="F7585" s="5"/>
      <c r="G7585" s="5"/>
      <c r="H7585" s="5"/>
      <c r="I7585" s="5"/>
      <c r="J7585" s="5"/>
      <c r="K7585" s="5"/>
      <c r="L7585" s="5"/>
      <c r="M7585" s="5"/>
      <c r="N7585" s="5"/>
      <c r="O7585" s="5"/>
      <c r="P7585" s="5"/>
      <c r="Q7585" s="5"/>
      <c r="R7585" s="5"/>
      <c r="S7585" s="5"/>
      <c r="T7585" s="5"/>
      <c r="U7585" s="5"/>
      <c r="V7585" s="5"/>
      <c r="W7585" s="5"/>
      <c r="X7585" s="5"/>
      <c r="Y7585" s="5"/>
      <c r="Z7585" s="5"/>
    </row>
    <row r="7586" spans="1:26" ht="15" x14ac:dyDescent="0.25">
      <c r="A7586" s="4" t="s">
        <v>7584</v>
      </c>
      <c r="B7586" s="4" t="s">
        <v>4550</v>
      </c>
      <c r="C7586" s="2" t="str">
        <f ca="1">IFERROR(__xludf.DUMMYFUNCTION("GOOGLETRANSLATE(A7586,""bn"",""en"")"),"You put bread with butter")</f>
        <v>You put bread with butter</v>
      </c>
      <c r="D7586" s="5"/>
      <c r="E7586" s="5"/>
      <c r="F7586" s="5"/>
      <c r="G7586" s="5"/>
      <c r="H7586" s="5"/>
      <c r="I7586" s="5"/>
      <c r="J7586" s="5"/>
      <c r="K7586" s="5"/>
      <c r="L7586" s="5"/>
      <c r="M7586" s="5"/>
      <c r="N7586" s="5"/>
      <c r="O7586" s="5"/>
      <c r="P7586" s="5"/>
      <c r="Q7586" s="5"/>
      <c r="R7586" s="5"/>
      <c r="S7586" s="5"/>
      <c r="T7586" s="5"/>
      <c r="U7586" s="5"/>
      <c r="V7586" s="5"/>
      <c r="W7586" s="5"/>
      <c r="X7586" s="5"/>
      <c r="Y7586" s="5"/>
      <c r="Z7586" s="5"/>
    </row>
    <row r="7587" spans="1:26" ht="15" x14ac:dyDescent="0.25">
      <c r="A7587" s="4" t="s">
        <v>7585</v>
      </c>
      <c r="B7587" s="4" t="s">
        <v>4550</v>
      </c>
      <c r="C7587" s="2" t="str">
        <f ca="1">IFERROR(__xludf.DUMMYFUNCTION("GOOGLETRANSLATE(A7587,""bn"",""en"")"),"He listened to new music")</f>
        <v>He listened to new music</v>
      </c>
      <c r="D7587" s="5"/>
      <c r="E7587" s="5"/>
      <c r="F7587" s="5"/>
      <c r="G7587" s="5"/>
      <c r="H7587" s="5"/>
      <c r="I7587" s="5"/>
      <c r="J7587" s="5"/>
      <c r="K7587" s="5"/>
      <c r="L7587" s="5"/>
      <c r="M7587" s="5"/>
      <c r="N7587" s="5"/>
      <c r="O7587" s="5"/>
      <c r="P7587" s="5"/>
      <c r="Q7587" s="5"/>
      <c r="R7587" s="5"/>
      <c r="S7587" s="5"/>
      <c r="T7587" s="5"/>
      <c r="U7587" s="5"/>
      <c r="V7587" s="5"/>
      <c r="W7587" s="5"/>
      <c r="X7587" s="5"/>
      <c r="Y7587" s="5"/>
      <c r="Z7587" s="5"/>
    </row>
    <row r="7588" spans="1:26" ht="15" x14ac:dyDescent="0.25">
      <c r="A7588" s="4" t="s">
        <v>7586</v>
      </c>
      <c r="B7588" s="4" t="s">
        <v>4550</v>
      </c>
      <c r="C7588" s="2" t="str">
        <f ca="1">IFERROR(__xludf.DUMMYFUNCTION("GOOGLETRANSLATE(A7588,""bn"",""en"")"),"The remittances of expatriate workers were decreasing")</f>
        <v>The remittances of expatriate workers were decreasing</v>
      </c>
      <c r="D7588" s="5"/>
      <c r="E7588" s="5"/>
      <c r="F7588" s="5"/>
      <c r="G7588" s="5"/>
      <c r="H7588" s="5"/>
      <c r="I7588" s="5"/>
      <c r="J7588" s="5"/>
      <c r="K7588" s="5"/>
      <c r="L7588" s="5"/>
      <c r="M7588" s="5"/>
      <c r="N7588" s="5"/>
      <c r="O7588" s="5"/>
      <c r="P7588" s="5"/>
      <c r="Q7588" s="5"/>
      <c r="R7588" s="5"/>
      <c r="S7588" s="5"/>
      <c r="T7588" s="5"/>
      <c r="U7588" s="5"/>
      <c r="V7588" s="5"/>
      <c r="W7588" s="5"/>
      <c r="X7588" s="5"/>
      <c r="Y7588" s="5"/>
      <c r="Z7588" s="5"/>
    </row>
    <row r="7589" spans="1:26" ht="15" x14ac:dyDescent="0.25">
      <c r="A7589" s="4" t="s">
        <v>7587</v>
      </c>
      <c r="B7589" s="4" t="s">
        <v>4550</v>
      </c>
      <c r="C7589" s="2" t="str">
        <f ca="1">IFERROR(__xludf.DUMMYFUNCTION("GOOGLETRANSLATE(A7589,""bn"",""en"")"),"I did sky diving last year")</f>
        <v>I did sky diving last year</v>
      </c>
      <c r="D7589" s="5"/>
      <c r="E7589" s="5"/>
      <c r="F7589" s="5"/>
      <c r="G7589" s="5"/>
      <c r="H7589" s="5"/>
      <c r="I7589" s="5"/>
      <c r="J7589" s="5"/>
      <c r="K7589" s="5"/>
      <c r="L7589" s="5"/>
      <c r="M7589" s="5"/>
      <c r="N7589" s="5"/>
      <c r="O7589" s="5"/>
      <c r="P7589" s="5"/>
      <c r="Q7589" s="5"/>
      <c r="R7589" s="5"/>
      <c r="S7589" s="5"/>
      <c r="T7589" s="5"/>
      <c r="U7589" s="5"/>
      <c r="V7589" s="5"/>
      <c r="W7589" s="5"/>
      <c r="X7589" s="5"/>
      <c r="Y7589" s="5"/>
      <c r="Z7589" s="5"/>
    </row>
    <row r="7590" spans="1:26" ht="15" x14ac:dyDescent="0.25">
      <c r="A7590" s="4" t="s">
        <v>7588</v>
      </c>
      <c r="B7590" s="4" t="s">
        <v>4550</v>
      </c>
      <c r="C7590" s="2" t="str">
        <f ca="1">IFERROR(__xludf.DUMMYFUNCTION("GOOGLETRANSLATE(A7590,""bn"",""en"")"),"Watch the new movie on Friday")</f>
        <v>Watch the new movie on Friday</v>
      </c>
      <c r="D7590" s="5"/>
      <c r="E7590" s="5"/>
      <c r="F7590" s="5"/>
      <c r="G7590" s="5"/>
      <c r="H7590" s="5"/>
      <c r="I7590" s="5"/>
      <c r="J7590" s="5"/>
      <c r="K7590" s="5"/>
      <c r="L7590" s="5"/>
      <c r="M7590" s="5"/>
      <c r="N7590" s="5"/>
      <c r="O7590" s="5"/>
      <c r="P7590" s="5"/>
      <c r="Q7590" s="5"/>
      <c r="R7590" s="5"/>
      <c r="S7590" s="5"/>
      <c r="T7590" s="5"/>
      <c r="U7590" s="5"/>
      <c r="V7590" s="5"/>
      <c r="W7590" s="5"/>
      <c r="X7590" s="5"/>
      <c r="Y7590" s="5"/>
      <c r="Z7590" s="5"/>
    </row>
    <row r="7591" spans="1:26" ht="15" x14ac:dyDescent="0.25">
      <c r="A7591" s="4" t="s">
        <v>7589</v>
      </c>
      <c r="B7591" s="4" t="s">
        <v>4550</v>
      </c>
      <c r="C7591" s="2" t="str">
        <f ca="1">IFERROR(__xludf.DUMMYFUNCTION("GOOGLETRANSLATE(A7591,""bn"",""en"")"),"Previously done Masters")</f>
        <v>Previously done Masters</v>
      </c>
      <c r="D7591" s="5"/>
      <c r="E7591" s="5"/>
      <c r="F7591" s="5"/>
      <c r="G7591" s="5"/>
      <c r="H7591" s="5"/>
      <c r="I7591" s="5"/>
      <c r="J7591" s="5"/>
      <c r="K7591" s="5"/>
      <c r="L7591" s="5"/>
      <c r="M7591" s="5"/>
      <c r="N7591" s="5"/>
      <c r="O7591" s="5"/>
      <c r="P7591" s="5"/>
      <c r="Q7591" s="5"/>
      <c r="R7591" s="5"/>
      <c r="S7591" s="5"/>
      <c r="T7591" s="5"/>
      <c r="U7591" s="5"/>
      <c r="V7591" s="5"/>
      <c r="W7591" s="5"/>
      <c r="X7591" s="5"/>
      <c r="Y7591" s="5"/>
      <c r="Z7591" s="5"/>
    </row>
    <row r="7592" spans="1:26" ht="15" x14ac:dyDescent="0.25">
      <c r="A7592" s="4" t="s">
        <v>7590</v>
      </c>
      <c r="B7592" s="4" t="s">
        <v>4550</v>
      </c>
      <c r="C7592" s="2" t="str">
        <f ca="1">IFERROR(__xludf.DUMMYFUNCTION("GOOGLETRANSLATE(A7592,""bn"",""en"")"),"Fried hilsa was a favorite")</f>
        <v>Fried hilsa was a favorite</v>
      </c>
      <c r="D7592" s="5"/>
      <c r="E7592" s="5"/>
      <c r="F7592" s="5"/>
      <c r="G7592" s="5"/>
      <c r="H7592" s="5"/>
      <c r="I7592" s="5"/>
      <c r="J7592" s="5"/>
      <c r="K7592" s="5"/>
      <c r="L7592" s="5"/>
      <c r="M7592" s="5"/>
      <c r="N7592" s="5"/>
      <c r="O7592" s="5"/>
      <c r="P7592" s="5"/>
      <c r="Q7592" s="5"/>
      <c r="R7592" s="5"/>
      <c r="S7592" s="5"/>
      <c r="T7592" s="5"/>
      <c r="U7592" s="5"/>
      <c r="V7592" s="5"/>
      <c r="W7592" s="5"/>
      <c r="X7592" s="5"/>
      <c r="Y7592" s="5"/>
      <c r="Z7592" s="5"/>
    </row>
    <row r="7593" spans="1:26" ht="15" x14ac:dyDescent="0.25">
      <c r="A7593" s="4" t="s">
        <v>7591</v>
      </c>
      <c r="B7593" s="4" t="s">
        <v>4550</v>
      </c>
      <c r="C7593" s="2" t="str">
        <f ca="1">IFERROR(__xludf.DUMMYFUNCTION("GOOGLETRANSLATE(A7593,""bn"",""en"")"),"Last month he visited on a rainy day")</f>
        <v>Last month he visited on a rainy day</v>
      </c>
      <c r="D7593" s="5"/>
      <c r="E7593" s="5"/>
      <c r="F7593" s="5"/>
      <c r="G7593" s="5"/>
      <c r="H7593" s="5"/>
      <c r="I7593" s="5"/>
      <c r="J7593" s="5"/>
      <c r="K7593" s="5"/>
      <c r="L7593" s="5"/>
      <c r="M7593" s="5"/>
      <c r="N7593" s="5"/>
      <c r="O7593" s="5"/>
      <c r="P7593" s="5"/>
      <c r="Q7593" s="5"/>
      <c r="R7593" s="5"/>
      <c r="S7593" s="5"/>
      <c r="T7593" s="5"/>
      <c r="U7593" s="5"/>
      <c r="V7593" s="5"/>
      <c r="W7593" s="5"/>
      <c r="X7593" s="5"/>
      <c r="Y7593" s="5"/>
      <c r="Z7593" s="5"/>
    </row>
    <row r="7594" spans="1:26" ht="15" x14ac:dyDescent="0.25">
      <c r="A7594" s="4" t="s">
        <v>7592</v>
      </c>
      <c r="B7594" s="4" t="s">
        <v>4550</v>
      </c>
      <c r="C7594" s="2" t="str">
        <f ca="1">IFERROR(__xludf.DUMMYFUNCTION("GOOGLETRANSLATE(A7594,""bn"",""en"")"),"You played tennis enthusiastically all day")</f>
        <v>You played tennis enthusiastically all day</v>
      </c>
      <c r="D7594" s="5"/>
      <c r="E7594" s="5"/>
      <c r="F7594" s="5"/>
      <c r="G7594" s="5"/>
      <c r="H7594" s="5"/>
      <c r="I7594" s="5"/>
      <c r="J7594" s="5"/>
      <c r="K7594" s="5"/>
      <c r="L7594" s="5"/>
      <c r="M7594" s="5"/>
      <c r="N7594" s="5"/>
      <c r="O7594" s="5"/>
      <c r="P7594" s="5"/>
      <c r="Q7594" s="5"/>
      <c r="R7594" s="5"/>
      <c r="S7594" s="5"/>
      <c r="T7594" s="5"/>
      <c r="U7594" s="5"/>
      <c r="V7594" s="5"/>
      <c r="W7594" s="5"/>
      <c r="X7594" s="5"/>
      <c r="Y7594" s="5"/>
      <c r="Z7594" s="5"/>
    </row>
    <row r="7595" spans="1:26" ht="15" x14ac:dyDescent="0.25">
      <c r="A7595" s="4" t="s">
        <v>7593</v>
      </c>
      <c r="B7595" s="4" t="s">
        <v>4550</v>
      </c>
      <c r="C7595" s="2" t="str">
        <f ca="1">IFERROR(__xludf.DUMMYFUNCTION("GOOGLETRANSLATE(A7595,""bn"",""en"")"),"We ate at the wedding house")</f>
        <v>We ate at the wedding house</v>
      </c>
      <c r="D7595" s="5"/>
      <c r="E7595" s="5"/>
      <c r="F7595" s="5"/>
      <c r="G7595" s="5"/>
      <c r="H7595" s="5"/>
      <c r="I7595" s="5"/>
      <c r="J7595" s="5"/>
      <c r="K7595" s="5"/>
      <c r="L7595" s="5"/>
      <c r="M7595" s="5"/>
      <c r="N7595" s="5"/>
      <c r="O7595" s="5"/>
      <c r="P7595" s="5"/>
      <c r="Q7595" s="5"/>
      <c r="R7595" s="5"/>
      <c r="S7595" s="5"/>
      <c r="T7595" s="5"/>
      <c r="U7595" s="5"/>
      <c r="V7595" s="5"/>
      <c r="W7595" s="5"/>
      <c r="X7595" s="5"/>
      <c r="Y7595" s="5"/>
      <c r="Z7595" s="5"/>
    </row>
    <row r="7596" spans="1:26" ht="15" x14ac:dyDescent="0.25">
      <c r="A7596" s="4" t="s">
        <v>7594</v>
      </c>
      <c r="B7596" s="4" t="s">
        <v>4550</v>
      </c>
      <c r="C7596" s="2" t="str">
        <f ca="1">IFERROR(__xludf.DUMMYFUNCTION("GOOGLETRANSLATE(A7596,""bn"",""en"")"),"Children were talking in the field")</f>
        <v>Children were talking in the field</v>
      </c>
      <c r="D7596" s="5"/>
      <c r="E7596" s="5"/>
      <c r="F7596" s="5"/>
      <c r="G7596" s="5"/>
      <c r="H7596" s="5"/>
      <c r="I7596" s="5"/>
      <c r="J7596" s="5"/>
      <c r="K7596" s="5"/>
      <c r="L7596" s="5"/>
      <c r="M7596" s="5"/>
      <c r="N7596" s="5"/>
      <c r="O7596" s="5"/>
      <c r="P7596" s="5"/>
      <c r="Q7596" s="5"/>
      <c r="R7596" s="5"/>
      <c r="S7596" s="5"/>
      <c r="T7596" s="5"/>
      <c r="U7596" s="5"/>
      <c r="V7596" s="5"/>
      <c r="W7596" s="5"/>
      <c r="X7596" s="5"/>
      <c r="Y7596" s="5"/>
      <c r="Z7596" s="5"/>
    </row>
    <row r="7597" spans="1:26" ht="15" x14ac:dyDescent="0.25">
      <c r="A7597" s="4" t="s">
        <v>7595</v>
      </c>
      <c r="B7597" s="4" t="s">
        <v>4550</v>
      </c>
      <c r="C7597" s="2" t="str">
        <f ca="1">IFERROR(__xludf.DUMMYFUNCTION("GOOGLETRANSLATE(A7597,""bn"",""en"")"),"Crops were irrigated as needed")</f>
        <v>Crops were irrigated as needed</v>
      </c>
      <c r="D7597" s="5"/>
      <c r="E7597" s="5"/>
      <c r="F7597" s="5"/>
      <c r="G7597" s="5"/>
      <c r="H7597" s="5"/>
      <c r="I7597" s="5"/>
      <c r="J7597" s="5"/>
      <c r="K7597" s="5"/>
      <c r="L7597" s="5"/>
      <c r="M7597" s="5"/>
      <c r="N7597" s="5"/>
      <c r="O7597" s="5"/>
      <c r="P7597" s="5"/>
      <c r="Q7597" s="5"/>
      <c r="R7597" s="5"/>
      <c r="S7597" s="5"/>
      <c r="T7597" s="5"/>
      <c r="U7597" s="5"/>
      <c r="V7597" s="5"/>
      <c r="W7597" s="5"/>
      <c r="X7597" s="5"/>
      <c r="Y7597" s="5"/>
      <c r="Z7597" s="5"/>
    </row>
    <row r="7598" spans="1:26" ht="15" x14ac:dyDescent="0.25">
      <c r="A7598" s="4" t="s">
        <v>7596</v>
      </c>
      <c r="B7598" s="4" t="s">
        <v>4550</v>
      </c>
      <c r="C7598" s="2" t="str">
        <f ca="1">IFERROR(__xludf.DUMMYFUNCTION("GOOGLETRANSLATE(A7598,""bn"",""en"")"),"I went to see the beauty")</f>
        <v>I went to see the beauty</v>
      </c>
      <c r="D7598" s="5"/>
      <c r="E7598" s="5"/>
      <c r="F7598" s="5"/>
      <c r="G7598" s="5"/>
      <c r="H7598" s="5"/>
      <c r="I7598" s="5"/>
      <c r="J7598" s="5"/>
      <c r="K7598" s="5"/>
      <c r="L7598" s="5"/>
      <c r="M7598" s="5"/>
      <c r="N7598" s="5"/>
      <c r="O7598" s="5"/>
      <c r="P7598" s="5"/>
      <c r="Q7598" s="5"/>
      <c r="R7598" s="5"/>
      <c r="S7598" s="5"/>
      <c r="T7598" s="5"/>
      <c r="U7598" s="5"/>
      <c r="V7598" s="5"/>
      <c r="W7598" s="5"/>
      <c r="X7598" s="5"/>
      <c r="Y7598" s="5"/>
      <c r="Z7598" s="5"/>
    </row>
    <row r="7599" spans="1:26" ht="15" x14ac:dyDescent="0.25">
      <c r="A7599" s="4" t="s">
        <v>7597</v>
      </c>
      <c r="B7599" s="4" t="s">
        <v>4550</v>
      </c>
      <c r="C7599" s="2" t="str">
        <f ca="1">IFERROR(__xludf.DUMMYFUNCTION("GOOGLETRANSLATE(A7599,""bn"",""en"")"),"Farmers used to eat themselves")</f>
        <v>Farmers used to eat themselves</v>
      </c>
      <c r="D7599" s="5"/>
      <c r="E7599" s="5"/>
      <c r="F7599" s="5"/>
      <c r="G7599" s="5"/>
      <c r="H7599" s="5"/>
      <c r="I7599" s="5"/>
      <c r="J7599" s="5"/>
      <c r="K7599" s="5"/>
      <c r="L7599" s="5"/>
      <c r="M7599" s="5"/>
      <c r="N7599" s="5"/>
      <c r="O7599" s="5"/>
      <c r="P7599" s="5"/>
      <c r="Q7599" s="5"/>
      <c r="R7599" s="5"/>
      <c r="S7599" s="5"/>
      <c r="T7599" s="5"/>
      <c r="U7599" s="5"/>
      <c r="V7599" s="5"/>
      <c r="W7599" s="5"/>
      <c r="X7599" s="5"/>
      <c r="Y7599" s="5"/>
      <c r="Z7599" s="5"/>
    </row>
    <row r="7600" spans="1:26" ht="15" x14ac:dyDescent="0.25">
      <c r="A7600" s="4" t="s">
        <v>7598</v>
      </c>
      <c r="B7600" s="4" t="s">
        <v>4550</v>
      </c>
      <c r="C7600" s="2" t="str">
        <f ca="1">IFERROR(__xludf.DUMMYFUNCTION("GOOGLETRANSLATE(A7600,""bn"",""en"")"),"There was a place called Panamanagar")</f>
        <v>There was a place called Panamanagar</v>
      </c>
      <c r="D7600" s="5"/>
      <c r="E7600" s="5"/>
      <c r="F7600" s="5"/>
      <c r="G7600" s="5"/>
      <c r="H7600" s="5"/>
      <c r="I7600" s="5"/>
      <c r="J7600" s="5"/>
      <c r="K7600" s="5"/>
      <c r="L7600" s="5"/>
      <c r="M7600" s="5"/>
      <c r="N7600" s="5"/>
      <c r="O7600" s="5"/>
      <c r="P7600" s="5"/>
      <c r="Q7600" s="5"/>
      <c r="R7600" s="5"/>
      <c r="S7600" s="5"/>
      <c r="T7600" s="5"/>
      <c r="U7600" s="5"/>
      <c r="V7600" s="5"/>
      <c r="W7600" s="5"/>
      <c r="X7600" s="5"/>
      <c r="Y7600" s="5"/>
      <c r="Z7600" s="5"/>
    </row>
    <row r="7601" spans="1:26" ht="15" x14ac:dyDescent="0.25">
      <c r="A7601" s="4" t="s">
        <v>7599</v>
      </c>
      <c r="B7601" s="4" t="s">
        <v>4550</v>
      </c>
      <c r="C7601" s="2" t="str">
        <f ca="1">IFERROR(__xludf.DUMMYFUNCTION("GOOGLETRANSLATE(A7601,""bn"",""en"")"),"He barbecued at night")</f>
        <v>He barbecued at night</v>
      </c>
      <c r="D7601" s="5"/>
      <c r="E7601" s="5"/>
      <c r="F7601" s="5"/>
      <c r="G7601" s="5"/>
      <c r="H7601" s="5"/>
      <c r="I7601" s="5"/>
      <c r="J7601" s="5"/>
      <c r="K7601" s="5"/>
      <c r="L7601" s="5"/>
      <c r="M7601" s="5"/>
      <c r="N7601" s="5"/>
      <c r="O7601" s="5"/>
      <c r="P7601" s="5"/>
      <c r="Q7601" s="5"/>
      <c r="R7601" s="5"/>
      <c r="S7601" s="5"/>
      <c r="T7601" s="5"/>
      <c r="U7601" s="5"/>
      <c r="V7601" s="5"/>
      <c r="W7601" s="5"/>
      <c r="X7601" s="5"/>
      <c r="Y7601" s="5"/>
      <c r="Z7601" s="5"/>
    </row>
    <row r="7602" spans="1:26" ht="15" x14ac:dyDescent="0.25">
      <c r="A7602" s="4" t="s">
        <v>7600</v>
      </c>
      <c r="B7602" s="4" t="s">
        <v>4550</v>
      </c>
      <c r="C7602" s="2" t="str">
        <f ca="1">IFERROR(__xludf.DUMMYFUNCTION("GOOGLETRANSLATE(A7602,""bn"",""en"")"),"Specially roasted prawns")</f>
        <v>Specially roasted prawns</v>
      </c>
      <c r="D7602" s="5"/>
      <c r="E7602" s="5"/>
      <c r="F7602" s="5"/>
      <c r="G7602" s="5"/>
      <c r="H7602" s="5"/>
      <c r="I7602" s="5"/>
      <c r="J7602" s="5"/>
      <c r="K7602" s="5"/>
      <c r="L7602" s="5"/>
      <c r="M7602" s="5"/>
      <c r="N7602" s="5"/>
      <c r="O7602" s="5"/>
      <c r="P7602" s="5"/>
      <c r="Q7602" s="5"/>
      <c r="R7602" s="5"/>
      <c r="S7602" s="5"/>
      <c r="T7602" s="5"/>
      <c r="U7602" s="5"/>
      <c r="V7602" s="5"/>
      <c r="W7602" s="5"/>
      <c r="X7602" s="5"/>
      <c r="Y7602" s="5"/>
      <c r="Z7602" s="5"/>
    </row>
    <row r="7603" spans="1:26" ht="15" x14ac:dyDescent="0.25">
      <c r="A7603" s="4" t="s">
        <v>7601</v>
      </c>
      <c r="B7603" s="4" t="s">
        <v>4550</v>
      </c>
      <c r="C7603" s="2" t="str">
        <f ca="1">IFERROR(__xludf.DUMMYFUNCTION("GOOGLETRANSLATE(A7603,""bn"",""en"")"),"He was going to the city by train")</f>
        <v>He was going to the city by train</v>
      </c>
      <c r="D7603" s="5"/>
      <c r="E7603" s="5"/>
      <c r="F7603" s="5"/>
      <c r="G7603" s="5"/>
      <c r="H7603" s="5"/>
      <c r="I7603" s="5"/>
      <c r="J7603" s="5"/>
      <c r="K7603" s="5"/>
      <c r="L7603" s="5"/>
      <c r="M7603" s="5"/>
      <c r="N7603" s="5"/>
      <c r="O7603" s="5"/>
      <c r="P7603" s="5"/>
      <c r="Q7603" s="5"/>
      <c r="R7603" s="5"/>
      <c r="S7603" s="5"/>
      <c r="T7603" s="5"/>
      <c r="U7603" s="5"/>
      <c r="V7603" s="5"/>
      <c r="W7603" s="5"/>
      <c r="X7603" s="5"/>
      <c r="Y7603" s="5"/>
      <c r="Z7603" s="5"/>
    </row>
    <row r="7604" spans="1:26" ht="15" x14ac:dyDescent="0.25">
      <c r="A7604" s="4" t="s">
        <v>7602</v>
      </c>
      <c r="B7604" s="4" t="s">
        <v>4550</v>
      </c>
      <c r="C7604" s="2" t="str">
        <f ca="1">IFERROR(__xludf.DUMMYFUNCTION("GOOGLETRANSLATE(A7604,""bn"",""en"")"),"She was making bread")</f>
        <v>She was making bread</v>
      </c>
      <c r="D7604" s="5"/>
      <c r="E7604" s="5"/>
      <c r="F7604" s="5"/>
      <c r="G7604" s="5"/>
      <c r="H7604" s="5"/>
      <c r="I7604" s="5"/>
      <c r="J7604" s="5"/>
      <c r="K7604" s="5"/>
      <c r="L7604" s="5"/>
      <c r="M7604" s="5"/>
      <c r="N7604" s="5"/>
      <c r="O7604" s="5"/>
      <c r="P7604" s="5"/>
      <c r="Q7604" s="5"/>
      <c r="R7604" s="5"/>
      <c r="S7604" s="5"/>
      <c r="T7604" s="5"/>
      <c r="U7604" s="5"/>
      <c r="V7604" s="5"/>
      <c r="W7604" s="5"/>
      <c r="X7604" s="5"/>
      <c r="Y7604" s="5"/>
      <c r="Z7604" s="5"/>
    </row>
    <row r="7605" spans="1:26" ht="15" x14ac:dyDescent="0.25">
      <c r="A7605" s="4" t="s">
        <v>7603</v>
      </c>
      <c r="B7605" s="4" t="s">
        <v>4550</v>
      </c>
      <c r="C7605" s="2" t="str">
        <f ca="1">IFERROR(__xludf.DUMMYFUNCTION("GOOGLETRANSLATE(A7605,""bn"",""en"")"),"Demonstrated economic progress")</f>
        <v>Demonstrated economic progress</v>
      </c>
      <c r="D7605" s="5"/>
      <c r="E7605" s="5"/>
      <c r="F7605" s="5"/>
      <c r="G7605" s="5"/>
      <c r="H7605" s="5"/>
      <c r="I7605" s="5"/>
      <c r="J7605" s="5"/>
      <c r="K7605" s="5"/>
      <c r="L7605" s="5"/>
      <c r="M7605" s="5"/>
      <c r="N7605" s="5"/>
      <c r="O7605" s="5"/>
      <c r="P7605" s="5"/>
      <c r="Q7605" s="5"/>
      <c r="R7605" s="5"/>
      <c r="S7605" s="5"/>
      <c r="T7605" s="5"/>
      <c r="U7605" s="5"/>
      <c r="V7605" s="5"/>
      <c r="W7605" s="5"/>
      <c r="X7605" s="5"/>
      <c r="Y7605" s="5"/>
      <c r="Z7605" s="5"/>
    </row>
    <row r="7606" spans="1:26" ht="15" x14ac:dyDescent="0.25">
      <c r="A7606" s="4" t="s">
        <v>7604</v>
      </c>
      <c r="B7606" s="4" t="s">
        <v>4550</v>
      </c>
      <c r="C7606" s="2" t="str">
        <f ca="1">IFERROR(__xludf.DUMMYFUNCTION("GOOGLETRANSLATE(A7606,""bn"",""en"")"),"They got the match bye")</f>
        <v>They got the match bye</v>
      </c>
      <c r="D7606" s="5"/>
      <c r="E7606" s="5"/>
      <c r="F7606" s="5"/>
      <c r="G7606" s="5"/>
      <c r="H7606" s="5"/>
      <c r="I7606" s="5"/>
      <c r="J7606" s="5"/>
      <c r="K7606" s="5"/>
      <c r="L7606" s="5"/>
      <c r="M7606" s="5"/>
      <c r="N7606" s="5"/>
      <c r="O7606" s="5"/>
      <c r="P7606" s="5"/>
      <c r="Q7606" s="5"/>
      <c r="R7606" s="5"/>
      <c r="S7606" s="5"/>
      <c r="T7606" s="5"/>
      <c r="U7606" s="5"/>
      <c r="V7606" s="5"/>
      <c r="W7606" s="5"/>
      <c r="X7606" s="5"/>
      <c r="Y7606" s="5"/>
      <c r="Z7606" s="5"/>
    </row>
    <row r="7607" spans="1:26" ht="15" x14ac:dyDescent="0.25">
      <c r="A7607" s="4" t="s">
        <v>7605</v>
      </c>
      <c r="B7607" s="4" t="s">
        <v>4550</v>
      </c>
      <c r="C7607" s="2" t="str">
        <f ca="1">IFERROR(__xludf.DUMMYFUNCTION("GOOGLETRANSLATE(A7607,""bn"",""en"")"),"The flowers in the garden were fragrant")</f>
        <v>The flowers in the garden were fragrant</v>
      </c>
      <c r="D7607" s="5"/>
      <c r="E7607" s="5"/>
      <c r="F7607" s="5"/>
      <c r="G7607" s="5"/>
      <c r="H7607" s="5"/>
      <c r="I7607" s="5"/>
      <c r="J7607" s="5"/>
      <c r="K7607" s="5"/>
      <c r="L7607" s="5"/>
      <c r="M7607" s="5"/>
      <c r="N7607" s="5"/>
      <c r="O7607" s="5"/>
      <c r="P7607" s="5"/>
      <c r="Q7607" s="5"/>
      <c r="R7607" s="5"/>
      <c r="S7607" s="5"/>
      <c r="T7607" s="5"/>
      <c r="U7607" s="5"/>
      <c r="V7607" s="5"/>
      <c r="W7607" s="5"/>
      <c r="X7607" s="5"/>
      <c r="Y7607" s="5"/>
      <c r="Z7607" s="5"/>
    </row>
    <row r="7608" spans="1:26" ht="15" x14ac:dyDescent="0.25">
      <c r="A7608" s="4" t="s">
        <v>7606</v>
      </c>
      <c r="B7608" s="4" t="s">
        <v>4550</v>
      </c>
      <c r="C7608" s="2" t="str">
        <f ca="1">IFERROR(__xludf.DUMMYFUNCTION("GOOGLETRANSLATE(A7608,""bn"",""en"")"),"Played loud last week")</f>
        <v>Played loud last week</v>
      </c>
      <c r="D7608" s="5"/>
      <c r="E7608" s="5"/>
      <c r="F7608" s="5"/>
      <c r="G7608" s="5"/>
      <c r="H7608" s="5"/>
      <c r="I7608" s="5"/>
      <c r="J7608" s="5"/>
      <c r="K7608" s="5"/>
      <c r="L7608" s="5"/>
      <c r="M7608" s="5"/>
      <c r="N7608" s="5"/>
      <c r="O7608" s="5"/>
      <c r="P7608" s="5"/>
      <c r="Q7608" s="5"/>
      <c r="R7608" s="5"/>
      <c r="S7608" s="5"/>
      <c r="T7608" s="5"/>
      <c r="U7608" s="5"/>
      <c r="V7608" s="5"/>
      <c r="W7608" s="5"/>
      <c r="X7608" s="5"/>
      <c r="Y7608" s="5"/>
      <c r="Z7608" s="5"/>
    </row>
    <row r="7609" spans="1:26" ht="15" x14ac:dyDescent="0.25">
      <c r="A7609" s="4" t="s">
        <v>7607</v>
      </c>
      <c r="B7609" s="4" t="s">
        <v>4550</v>
      </c>
      <c r="C7609" s="2" t="str">
        <f ca="1">IFERROR(__xludf.DUMMYFUNCTION("GOOGLETRANSLATE(A7609,""bn"",""en"")"),"Participated in programming competition")</f>
        <v>Participated in programming competition</v>
      </c>
      <c r="D7609" s="5"/>
      <c r="E7609" s="5"/>
      <c r="F7609" s="5"/>
      <c r="G7609" s="5"/>
      <c r="H7609" s="5"/>
      <c r="I7609" s="5"/>
      <c r="J7609" s="5"/>
      <c r="K7609" s="5"/>
      <c r="L7609" s="5"/>
      <c r="M7609" s="5"/>
      <c r="N7609" s="5"/>
      <c r="O7609" s="5"/>
      <c r="P7609" s="5"/>
      <c r="Q7609" s="5"/>
      <c r="R7609" s="5"/>
      <c r="S7609" s="5"/>
      <c r="T7609" s="5"/>
      <c r="U7609" s="5"/>
      <c r="V7609" s="5"/>
      <c r="W7609" s="5"/>
      <c r="X7609" s="5"/>
      <c r="Y7609" s="5"/>
      <c r="Z7609" s="5"/>
    </row>
    <row r="7610" spans="1:26" ht="15" x14ac:dyDescent="0.25">
      <c r="A7610" s="4" t="s">
        <v>7608</v>
      </c>
      <c r="B7610" s="4" t="s">
        <v>4550</v>
      </c>
      <c r="C7610" s="2" t="str">
        <f ca="1">IFERROR(__xludf.DUMMYFUNCTION("GOOGLETRANSLATE(A7610,""bn"",""en"")"),"I cooked sweet pudding")</f>
        <v>I cooked sweet pudding</v>
      </c>
      <c r="D7610" s="5"/>
      <c r="E7610" s="5"/>
      <c r="F7610" s="5"/>
      <c r="G7610" s="5"/>
      <c r="H7610" s="5"/>
      <c r="I7610" s="5"/>
      <c r="J7610" s="5"/>
      <c r="K7610" s="5"/>
      <c r="L7610" s="5"/>
      <c r="M7610" s="5"/>
      <c r="N7610" s="5"/>
      <c r="O7610" s="5"/>
      <c r="P7610" s="5"/>
      <c r="Q7610" s="5"/>
      <c r="R7610" s="5"/>
      <c r="S7610" s="5"/>
      <c r="T7610" s="5"/>
      <c r="U7610" s="5"/>
      <c r="V7610" s="5"/>
      <c r="W7610" s="5"/>
      <c r="X7610" s="5"/>
      <c r="Y7610" s="5"/>
      <c r="Z7610" s="5"/>
    </row>
    <row r="7611" spans="1:26" ht="15" x14ac:dyDescent="0.25">
      <c r="A7611" s="4" t="s">
        <v>7609</v>
      </c>
      <c r="B7611" s="4" t="s">
        <v>4550</v>
      </c>
      <c r="C7611" s="2" t="str">
        <f ca="1">IFERROR(__xludf.DUMMYFUNCTION("GOOGLETRANSLATE(A7611,""bn"",""en"")"),"We watched the movie on Saturday")</f>
        <v>We watched the movie on Saturday</v>
      </c>
      <c r="D7611" s="5"/>
      <c r="E7611" s="5"/>
      <c r="F7611" s="5"/>
      <c r="G7611" s="5"/>
      <c r="H7611" s="5"/>
      <c r="I7611" s="5"/>
      <c r="J7611" s="5"/>
      <c r="K7611" s="5"/>
      <c r="L7611" s="5"/>
      <c r="M7611" s="5"/>
      <c r="N7611" s="5"/>
      <c r="O7611" s="5"/>
      <c r="P7611" s="5"/>
      <c r="Q7611" s="5"/>
      <c r="R7611" s="5"/>
      <c r="S7611" s="5"/>
      <c r="T7611" s="5"/>
      <c r="U7611" s="5"/>
      <c r="V7611" s="5"/>
      <c r="W7611" s="5"/>
      <c r="X7611" s="5"/>
      <c r="Y7611" s="5"/>
      <c r="Z7611" s="5"/>
    </row>
    <row r="7612" spans="1:26" ht="15" x14ac:dyDescent="0.25">
      <c r="A7612" s="4" t="s">
        <v>7610</v>
      </c>
      <c r="B7612" s="4" t="s">
        <v>4550</v>
      </c>
      <c r="C7612" s="2" t="str">
        <f ca="1">IFERROR(__xludf.DUMMYFUNCTION("GOOGLETRANSLATE(A7612,""bn"",""en"")"),"I bought potatoes from the market")</f>
        <v>I bought potatoes from the market</v>
      </c>
      <c r="D7612" s="5"/>
      <c r="E7612" s="5"/>
      <c r="F7612" s="5"/>
      <c r="G7612" s="5"/>
      <c r="H7612" s="5"/>
      <c r="I7612" s="5"/>
      <c r="J7612" s="5"/>
      <c r="K7612" s="5"/>
      <c r="L7612" s="5"/>
      <c r="M7612" s="5"/>
      <c r="N7612" s="5"/>
      <c r="O7612" s="5"/>
      <c r="P7612" s="5"/>
      <c r="Q7612" s="5"/>
      <c r="R7612" s="5"/>
      <c r="S7612" s="5"/>
      <c r="T7612" s="5"/>
      <c r="U7612" s="5"/>
      <c r="V7612" s="5"/>
      <c r="W7612" s="5"/>
      <c r="X7612" s="5"/>
      <c r="Y7612" s="5"/>
      <c r="Z7612" s="5"/>
    </row>
    <row r="7613" spans="1:26" ht="15" x14ac:dyDescent="0.25">
      <c r="A7613" s="4" t="s">
        <v>7611</v>
      </c>
      <c r="B7613" s="4" t="s">
        <v>4550</v>
      </c>
      <c r="C7613" s="2" t="str">
        <f ca="1">IFERROR(__xludf.DUMMYFUNCTION("GOOGLETRANSLATE(A7613,""bn"",""en"")"),"He watched comedy films")</f>
        <v>He watched comedy films</v>
      </c>
      <c r="D7613" s="5"/>
      <c r="E7613" s="5"/>
      <c r="F7613" s="5"/>
      <c r="G7613" s="5"/>
      <c r="H7613" s="5"/>
      <c r="I7613" s="5"/>
      <c r="J7613" s="5"/>
      <c r="K7613" s="5"/>
      <c r="L7613" s="5"/>
      <c r="M7613" s="5"/>
      <c r="N7613" s="5"/>
      <c r="O7613" s="5"/>
      <c r="P7613" s="5"/>
      <c r="Q7613" s="5"/>
      <c r="R7613" s="5"/>
      <c r="S7613" s="5"/>
      <c r="T7613" s="5"/>
      <c r="U7613" s="5"/>
      <c r="V7613" s="5"/>
      <c r="W7613" s="5"/>
      <c r="X7613" s="5"/>
      <c r="Y7613" s="5"/>
      <c r="Z7613" s="5"/>
    </row>
    <row r="7614" spans="1:26" ht="15" x14ac:dyDescent="0.25">
      <c r="A7614" s="4" t="s">
        <v>7612</v>
      </c>
      <c r="B7614" s="4" t="s">
        <v>4550</v>
      </c>
      <c r="C7614" s="2" t="str">
        <f ca="1">IFERROR(__xludf.DUMMYFUNCTION("GOOGLETRANSLATE(A7614,""bn"",""en"")"),"I was smelling spinach in eggplant")</f>
        <v>I was smelling spinach in eggplant</v>
      </c>
      <c r="D7614" s="5"/>
      <c r="E7614" s="5"/>
      <c r="F7614" s="5"/>
      <c r="G7614" s="5"/>
      <c r="H7614" s="5"/>
      <c r="I7614" s="5"/>
      <c r="J7614" s="5"/>
      <c r="K7614" s="5"/>
      <c r="L7614" s="5"/>
      <c r="M7614" s="5"/>
      <c r="N7614" s="5"/>
      <c r="O7614" s="5"/>
      <c r="P7614" s="5"/>
      <c r="Q7614" s="5"/>
      <c r="R7614" s="5"/>
      <c r="S7614" s="5"/>
      <c r="T7614" s="5"/>
      <c r="U7614" s="5"/>
      <c r="V7614" s="5"/>
      <c r="W7614" s="5"/>
      <c r="X7614" s="5"/>
      <c r="Y7614" s="5"/>
      <c r="Z7614" s="5"/>
    </row>
    <row r="7615" spans="1:26" ht="15" x14ac:dyDescent="0.25">
      <c r="A7615" s="4" t="s">
        <v>7613</v>
      </c>
      <c r="B7615" s="4" t="s">
        <v>4550</v>
      </c>
      <c r="C7615" s="2" t="str">
        <f ca="1">IFERROR(__xludf.DUMMYFUNCTION("GOOGLETRANSLATE(A7615,""bn"",""en"")"),"He was learning a new dance")</f>
        <v>He was learning a new dance</v>
      </c>
      <c r="D7615" s="5"/>
      <c r="E7615" s="5"/>
      <c r="F7615" s="5"/>
      <c r="G7615" s="5"/>
      <c r="H7615" s="5"/>
      <c r="I7615" s="5"/>
      <c r="J7615" s="5"/>
      <c r="K7615" s="5"/>
      <c r="L7615" s="5"/>
      <c r="M7615" s="5"/>
      <c r="N7615" s="5"/>
      <c r="O7615" s="5"/>
      <c r="P7615" s="5"/>
      <c r="Q7615" s="5"/>
      <c r="R7615" s="5"/>
      <c r="S7615" s="5"/>
      <c r="T7615" s="5"/>
      <c r="U7615" s="5"/>
      <c r="V7615" s="5"/>
      <c r="W7615" s="5"/>
      <c r="X7615" s="5"/>
      <c r="Y7615" s="5"/>
      <c r="Z7615" s="5"/>
    </row>
    <row r="7616" spans="1:26" ht="15" x14ac:dyDescent="0.25">
      <c r="A7616" s="4" t="s">
        <v>7614</v>
      </c>
      <c r="B7616" s="4" t="s">
        <v>4550</v>
      </c>
      <c r="C7616" s="2" t="str">
        <f ca="1">IFERROR(__xludf.DUMMYFUNCTION("GOOGLETRANSLATE(A7616,""bn"",""en"")"),"Driving the car was straightforward")</f>
        <v>Driving the car was straightforward</v>
      </c>
      <c r="D7616" s="5"/>
      <c r="E7616" s="5"/>
      <c r="F7616" s="5"/>
      <c r="G7616" s="5"/>
      <c r="H7616" s="5"/>
      <c r="I7616" s="5"/>
      <c r="J7616" s="5"/>
      <c r="K7616" s="5"/>
      <c r="L7616" s="5"/>
      <c r="M7616" s="5"/>
      <c r="N7616" s="5"/>
      <c r="O7616" s="5"/>
      <c r="P7616" s="5"/>
      <c r="Q7616" s="5"/>
      <c r="R7616" s="5"/>
      <c r="S7616" s="5"/>
      <c r="T7616" s="5"/>
      <c r="U7616" s="5"/>
      <c r="V7616" s="5"/>
      <c r="W7616" s="5"/>
      <c r="X7616" s="5"/>
      <c r="Y7616" s="5"/>
      <c r="Z7616" s="5"/>
    </row>
    <row r="7617" spans="1:26" ht="15" x14ac:dyDescent="0.25">
      <c r="A7617" s="4" t="s">
        <v>7615</v>
      </c>
      <c r="B7617" s="4" t="s">
        <v>4550</v>
      </c>
      <c r="C7617" s="2" t="str">
        <f ca="1">IFERROR(__xludf.DUMMYFUNCTION("GOOGLETRANSLATE(A7617,""bn"",""en"")"),"We made potato paratha")</f>
        <v>We made potato paratha</v>
      </c>
      <c r="D7617" s="5"/>
      <c r="E7617" s="5"/>
      <c r="F7617" s="5"/>
      <c r="G7617" s="5"/>
      <c r="H7617" s="5"/>
      <c r="I7617" s="5"/>
      <c r="J7617" s="5"/>
      <c r="K7617" s="5"/>
      <c r="L7617" s="5"/>
      <c r="M7617" s="5"/>
      <c r="N7617" s="5"/>
      <c r="O7617" s="5"/>
      <c r="P7617" s="5"/>
      <c r="Q7617" s="5"/>
      <c r="R7617" s="5"/>
      <c r="S7617" s="5"/>
      <c r="T7617" s="5"/>
      <c r="U7617" s="5"/>
      <c r="V7617" s="5"/>
      <c r="W7617" s="5"/>
      <c r="X7617" s="5"/>
      <c r="Y7617" s="5"/>
      <c r="Z7617" s="5"/>
    </row>
    <row r="7618" spans="1:26" ht="15" x14ac:dyDescent="0.25">
      <c r="A7618" s="4" t="s">
        <v>7616</v>
      </c>
      <c r="B7618" s="4" t="s">
        <v>4550</v>
      </c>
      <c r="C7618" s="2" t="str">
        <f ca="1">IFERROR(__xludf.DUMMYFUNCTION("GOOGLETRANSLATE(A7618,""bn"",""en"")"),"We were cooking lentils")</f>
        <v>We were cooking lentils</v>
      </c>
      <c r="D7618" s="5"/>
      <c r="E7618" s="5"/>
      <c r="F7618" s="5"/>
      <c r="G7618" s="5"/>
      <c r="H7618" s="5"/>
      <c r="I7618" s="5"/>
      <c r="J7618" s="5"/>
      <c r="K7618" s="5"/>
      <c r="L7618" s="5"/>
      <c r="M7618" s="5"/>
      <c r="N7618" s="5"/>
      <c r="O7618" s="5"/>
      <c r="P7618" s="5"/>
      <c r="Q7618" s="5"/>
      <c r="R7618" s="5"/>
      <c r="S7618" s="5"/>
      <c r="T7618" s="5"/>
      <c r="U7618" s="5"/>
      <c r="V7618" s="5"/>
      <c r="W7618" s="5"/>
      <c r="X7618" s="5"/>
      <c r="Y7618" s="5"/>
      <c r="Z7618" s="5"/>
    </row>
    <row r="7619" spans="1:26" ht="15" x14ac:dyDescent="0.25">
      <c r="A7619" s="4" t="s">
        <v>7617</v>
      </c>
      <c r="B7619" s="4" t="s">
        <v>4550</v>
      </c>
      <c r="C7619" s="2" t="str">
        <f ca="1">IFERROR(__xludf.DUMMYFUNCTION("GOOGLETRANSLATE(A7619,""bn"",""en"")"),"drew a picture")</f>
        <v>drew a picture</v>
      </c>
      <c r="D7619" s="5"/>
      <c r="E7619" s="5"/>
      <c r="F7619" s="5"/>
      <c r="G7619" s="5"/>
      <c r="H7619" s="5"/>
      <c r="I7619" s="5"/>
      <c r="J7619" s="5"/>
      <c r="K7619" s="5"/>
      <c r="L7619" s="5"/>
      <c r="M7619" s="5"/>
      <c r="N7619" s="5"/>
      <c r="O7619" s="5"/>
      <c r="P7619" s="5"/>
      <c r="Q7619" s="5"/>
      <c r="R7619" s="5"/>
      <c r="S7619" s="5"/>
      <c r="T7619" s="5"/>
      <c r="U7619" s="5"/>
      <c r="V7619" s="5"/>
      <c r="W7619" s="5"/>
      <c r="X7619" s="5"/>
      <c r="Y7619" s="5"/>
      <c r="Z7619" s="5"/>
    </row>
    <row r="7620" spans="1:26" ht="15" x14ac:dyDescent="0.25">
      <c r="A7620" s="4" t="s">
        <v>7618</v>
      </c>
      <c r="B7620" s="4" t="s">
        <v>4550</v>
      </c>
      <c r="C7620" s="2" t="str">
        <f ca="1">IFERROR(__xludf.DUMMYFUNCTION("GOOGLETRANSLATE(A7620,""bn"",""en"")"),"Watched plays for preparation")</f>
        <v>Watched plays for preparation</v>
      </c>
      <c r="D7620" s="5"/>
      <c r="E7620" s="5"/>
      <c r="F7620" s="5"/>
      <c r="G7620" s="5"/>
      <c r="H7620" s="5"/>
      <c r="I7620" s="5"/>
      <c r="J7620" s="5"/>
      <c r="K7620" s="5"/>
      <c r="L7620" s="5"/>
      <c r="M7620" s="5"/>
      <c r="N7620" s="5"/>
      <c r="O7620" s="5"/>
      <c r="P7620" s="5"/>
      <c r="Q7620" s="5"/>
      <c r="R7620" s="5"/>
      <c r="S7620" s="5"/>
      <c r="T7620" s="5"/>
      <c r="U7620" s="5"/>
      <c r="V7620" s="5"/>
      <c r="W7620" s="5"/>
      <c r="X7620" s="5"/>
      <c r="Y7620" s="5"/>
      <c r="Z7620" s="5"/>
    </row>
    <row r="7621" spans="1:26" ht="15" x14ac:dyDescent="0.25">
      <c r="A7621" s="4" t="s">
        <v>7619</v>
      </c>
      <c r="B7621" s="4" t="s">
        <v>4550</v>
      </c>
      <c r="C7621" s="2" t="str">
        <f ca="1">IFERROR(__xludf.DUMMYFUNCTION("GOOGLETRANSLATE(A7621,""bn"",""en"")"),"Science and technology improved")</f>
        <v>Science and technology improved</v>
      </c>
      <c r="D7621" s="5"/>
      <c r="E7621" s="5"/>
      <c r="F7621" s="5"/>
      <c r="G7621" s="5"/>
      <c r="H7621" s="5"/>
      <c r="I7621" s="5"/>
      <c r="J7621" s="5"/>
      <c r="K7621" s="5"/>
      <c r="L7621" s="5"/>
      <c r="M7621" s="5"/>
      <c r="N7621" s="5"/>
      <c r="O7621" s="5"/>
      <c r="P7621" s="5"/>
      <c r="Q7621" s="5"/>
      <c r="R7621" s="5"/>
      <c r="S7621" s="5"/>
      <c r="T7621" s="5"/>
      <c r="U7621" s="5"/>
      <c r="V7621" s="5"/>
      <c r="W7621" s="5"/>
      <c r="X7621" s="5"/>
      <c r="Y7621" s="5"/>
      <c r="Z7621" s="5"/>
    </row>
    <row r="7622" spans="1:26" ht="15" x14ac:dyDescent="0.25">
      <c r="A7622" s="4" t="s">
        <v>7620</v>
      </c>
      <c r="B7622" s="4" t="s">
        <v>4550</v>
      </c>
      <c r="C7622" s="2" t="str">
        <f ca="1">IFERROR(__xludf.DUMMYFUNCTION("GOOGLETRANSLATE(A7622,""bn"",""en"")"),"They proposed during the week")</f>
        <v>They proposed during the week</v>
      </c>
      <c r="D7622" s="5"/>
      <c r="E7622" s="5"/>
      <c r="F7622" s="5"/>
      <c r="G7622" s="5"/>
      <c r="H7622" s="5"/>
      <c r="I7622" s="5"/>
      <c r="J7622" s="5"/>
      <c r="K7622" s="5"/>
      <c r="L7622" s="5"/>
      <c r="M7622" s="5"/>
      <c r="N7622" s="5"/>
      <c r="O7622" s="5"/>
      <c r="P7622" s="5"/>
      <c r="Q7622" s="5"/>
      <c r="R7622" s="5"/>
      <c r="S7622" s="5"/>
      <c r="T7622" s="5"/>
      <c r="U7622" s="5"/>
      <c r="V7622" s="5"/>
      <c r="W7622" s="5"/>
      <c r="X7622" s="5"/>
      <c r="Y7622" s="5"/>
      <c r="Z7622" s="5"/>
    </row>
    <row r="7623" spans="1:26" ht="15" x14ac:dyDescent="0.25">
      <c r="A7623" s="4" t="s">
        <v>7621</v>
      </c>
      <c r="B7623" s="4" t="s">
        <v>4550</v>
      </c>
      <c r="C7623" s="2" t="str">
        <f ca="1">IFERROR(__xludf.DUMMYFUNCTION("GOOGLETRANSLATE(A7623,""bn"",""en"")"),"Went on a forest safari on a rainy day")</f>
        <v>Went on a forest safari on a rainy day</v>
      </c>
      <c r="D7623" s="5"/>
      <c r="E7623" s="5"/>
      <c r="F7623" s="5"/>
      <c r="G7623" s="5"/>
      <c r="H7623" s="5"/>
      <c r="I7623" s="5"/>
      <c r="J7623" s="5"/>
      <c r="K7623" s="5"/>
      <c r="L7623" s="5"/>
      <c r="M7623" s="5"/>
      <c r="N7623" s="5"/>
      <c r="O7623" s="5"/>
      <c r="P7623" s="5"/>
      <c r="Q7623" s="5"/>
      <c r="R7623" s="5"/>
      <c r="S7623" s="5"/>
      <c r="T7623" s="5"/>
      <c r="U7623" s="5"/>
      <c r="V7623" s="5"/>
      <c r="W7623" s="5"/>
      <c r="X7623" s="5"/>
      <c r="Y7623" s="5"/>
      <c r="Z7623" s="5"/>
    </row>
    <row r="7624" spans="1:26" ht="15" x14ac:dyDescent="0.25">
      <c r="A7624" s="4" t="s">
        <v>7622</v>
      </c>
      <c r="B7624" s="4" t="s">
        <v>4550</v>
      </c>
      <c r="C7624" s="2" t="str">
        <f ca="1">IFERROR(__xludf.DUMMYFUNCTION("GOOGLETRANSLATE(A7624,""bn"",""en"")"),"They knew about technology")</f>
        <v>They knew about technology</v>
      </c>
      <c r="D7624" s="5"/>
      <c r="E7624" s="5"/>
      <c r="F7624" s="5"/>
      <c r="G7624" s="5"/>
      <c r="H7624" s="5"/>
      <c r="I7624" s="5"/>
      <c r="J7624" s="5"/>
      <c r="K7624" s="5"/>
      <c r="L7624" s="5"/>
      <c r="M7624" s="5"/>
      <c r="N7624" s="5"/>
      <c r="O7624" s="5"/>
      <c r="P7624" s="5"/>
      <c r="Q7624" s="5"/>
      <c r="R7624" s="5"/>
      <c r="S7624" s="5"/>
      <c r="T7624" s="5"/>
      <c r="U7624" s="5"/>
      <c r="V7624" s="5"/>
      <c r="W7624" s="5"/>
      <c r="X7624" s="5"/>
      <c r="Y7624" s="5"/>
      <c r="Z7624" s="5"/>
    </row>
    <row r="7625" spans="1:26" ht="15" x14ac:dyDescent="0.25">
      <c r="A7625" s="4" t="s">
        <v>7623</v>
      </c>
      <c r="B7625" s="4" t="s">
        <v>4550</v>
      </c>
      <c r="C7625" s="2" t="str">
        <f ca="1">IFERROR(__xludf.DUMMYFUNCTION("GOOGLETRANSLATE(A7625,""bn"",""en"")"),"He won the match with care")</f>
        <v>He won the match with care</v>
      </c>
      <c r="D7625" s="5"/>
      <c r="E7625" s="5"/>
      <c r="F7625" s="5"/>
      <c r="G7625" s="5"/>
      <c r="H7625" s="5"/>
      <c r="I7625" s="5"/>
      <c r="J7625" s="5"/>
      <c r="K7625" s="5"/>
      <c r="L7625" s="5"/>
      <c r="M7625" s="5"/>
      <c r="N7625" s="5"/>
      <c r="O7625" s="5"/>
      <c r="P7625" s="5"/>
      <c r="Q7625" s="5"/>
      <c r="R7625" s="5"/>
      <c r="S7625" s="5"/>
      <c r="T7625" s="5"/>
      <c r="U7625" s="5"/>
      <c r="V7625" s="5"/>
      <c r="W7625" s="5"/>
      <c r="X7625" s="5"/>
      <c r="Y7625" s="5"/>
      <c r="Z7625" s="5"/>
    </row>
    <row r="7626" spans="1:26" ht="15" x14ac:dyDescent="0.25">
      <c r="A7626" s="4" t="s">
        <v>7624</v>
      </c>
      <c r="B7626" s="4" t="s">
        <v>4550</v>
      </c>
      <c r="C7626" s="2" t="str">
        <f ca="1">IFERROR(__xludf.DUMMYFUNCTION("GOOGLETRANSLATE(A7626,""bn"",""en"")"),"Everyone watched the running race")</f>
        <v>Everyone watched the running race</v>
      </c>
      <c r="D7626" s="5"/>
      <c r="E7626" s="5"/>
      <c r="F7626" s="5"/>
      <c r="G7626" s="5"/>
      <c r="H7626" s="5"/>
      <c r="I7626" s="5"/>
      <c r="J7626" s="5"/>
      <c r="K7626" s="5"/>
      <c r="L7626" s="5"/>
      <c r="M7626" s="5"/>
      <c r="N7626" s="5"/>
      <c r="O7626" s="5"/>
      <c r="P7626" s="5"/>
      <c r="Q7626" s="5"/>
      <c r="R7626" s="5"/>
      <c r="S7626" s="5"/>
      <c r="T7626" s="5"/>
      <c r="U7626" s="5"/>
      <c r="V7626" s="5"/>
      <c r="W7626" s="5"/>
      <c r="X7626" s="5"/>
      <c r="Y7626" s="5"/>
      <c r="Z7626" s="5"/>
    </row>
    <row r="7627" spans="1:26" ht="15" x14ac:dyDescent="0.25">
      <c r="A7627" s="4" t="s">
        <v>7625</v>
      </c>
      <c r="B7627" s="4" t="s">
        <v>4550</v>
      </c>
      <c r="C7627" s="2" t="str">
        <f ca="1">IFERROR(__xludf.DUMMYFUNCTION("GOOGLETRANSLATE(A7627,""bn"",""en"")"),"The discussion in the parliament was urgent")</f>
        <v>The discussion in the parliament was urgent</v>
      </c>
      <c r="D7627" s="5"/>
      <c r="E7627" s="5"/>
      <c r="F7627" s="5"/>
      <c r="G7627" s="5"/>
      <c r="H7627" s="5"/>
      <c r="I7627" s="5"/>
      <c r="J7627" s="5"/>
      <c r="K7627" s="5"/>
      <c r="L7627" s="5"/>
      <c r="M7627" s="5"/>
      <c r="N7627" s="5"/>
      <c r="O7627" s="5"/>
      <c r="P7627" s="5"/>
      <c r="Q7627" s="5"/>
      <c r="R7627" s="5"/>
      <c r="S7627" s="5"/>
      <c r="T7627" s="5"/>
      <c r="U7627" s="5"/>
      <c r="V7627" s="5"/>
      <c r="W7627" s="5"/>
      <c r="X7627" s="5"/>
      <c r="Y7627" s="5"/>
      <c r="Z7627" s="5"/>
    </row>
    <row r="7628" spans="1:26" ht="15" x14ac:dyDescent="0.25">
      <c r="A7628" s="4" t="s">
        <v>7626</v>
      </c>
      <c r="B7628" s="4" t="s">
        <v>4550</v>
      </c>
      <c r="C7628" s="2" t="str">
        <f ca="1">IFERROR(__xludf.DUMMYFUNCTION("GOOGLETRANSLATE(A7628,""bn"",""en"")"),"The conference was held urgently")</f>
        <v>The conference was held urgently</v>
      </c>
      <c r="D7628" s="5"/>
      <c r="E7628" s="5"/>
      <c r="F7628" s="5"/>
      <c r="G7628" s="5"/>
      <c r="H7628" s="5"/>
      <c r="I7628" s="5"/>
      <c r="J7628" s="5"/>
      <c r="K7628" s="5"/>
      <c r="L7628" s="5"/>
      <c r="M7628" s="5"/>
      <c r="N7628" s="5"/>
      <c r="O7628" s="5"/>
      <c r="P7628" s="5"/>
      <c r="Q7628" s="5"/>
      <c r="R7628" s="5"/>
      <c r="S7628" s="5"/>
      <c r="T7628" s="5"/>
      <c r="U7628" s="5"/>
      <c r="V7628" s="5"/>
      <c r="W7628" s="5"/>
      <c r="X7628" s="5"/>
      <c r="Y7628" s="5"/>
      <c r="Z7628" s="5"/>
    </row>
    <row r="7629" spans="1:26" ht="15" x14ac:dyDescent="0.25">
      <c r="A7629" s="4" t="s">
        <v>7627</v>
      </c>
      <c r="B7629" s="4" t="s">
        <v>4550</v>
      </c>
      <c r="C7629" s="2" t="str">
        <f ca="1">IFERROR(__xludf.DUMMYFUNCTION("GOOGLETRANSLATE(A7629,""bn"",""en"")"),"New medicines were invented")</f>
        <v>New medicines were invented</v>
      </c>
      <c r="D7629" s="5"/>
      <c r="E7629" s="5"/>
      <c r="F7629" s="5"/>
      <c r="G7629" s="5"/>
      <c r="H7629" s="5"/>
      <c r="I7629" s="5"/>
      <c r="J7629" s="5"/>
      <c r="K7629" s="5"/>
      <c r="L7629" s="5"/>
      <c r="M7629" s="5"/>
      <c r="N7629" s="5"/>
      <c r="O7629" s="5"/>
      <c r="P7629" s="5"/>
      <c r="Q7629" s="5"/>
      <c r="R7629" s="5"/>
      <c r="S7629" s="5"/>
      <c r="T7629" s="5"/>
      <c r="U7629" s="5"/>
      <c r="V7629" s="5"/>
      <c r="W7629" s="5"/>
      <c r="X7629" s="5"/>
      <c r="Y7629" s="5"/>
      <c r="Z7629" s="5"/>
    </row>
    <row r="7630" spans="1:26" ht="15" x14ac:dyDescent="0.25">
      <c r="A7630" s="4" t="s">
        <v>7628</v>
      </c>
      <c r="B7630" s="4" t="s">
        <v>4550</v>
      </c>
      <c r="C7630" s="2" t="str">
        <f ca="1">IFERROR(__xludf.DUMMYFUNCTION("GOOGLETRANSLATE(A7630,""bn"",""en"")"),"I wanted to stay in the forest at night")</f>
        <v>I wanted to stay in the forest at night</v>
      </c>
      <c r="D7630" s="5"/>
      <c r="E7630" s="5"/>
      <c r="F7630" s="5"/>
      <c r="G7630" s="5"/>
      <c r="H7630" s="5"/>
      <c r="I7630" s="5"/>
      <c r="J7630" s="5"/>
      <c r="K7630" s="5"/>
      <c r="L7630" s="5"/>
      <c r="M7630" s="5"/>
      <c r="N7630" s="5"/>
      <c r="O7630" s="5"/>
      <c r="P7630" s="5"/>
      <c r="Q7630" s="5"/>
      <c r="R7630" s="5"/>
      <c r="S7630" s="5"/>
      <c r="T7630" s="5"/>
      <c r="U7630" s="5"/>
      <c r="V7630" s="5"/>
      <c r="W7630" s="5"/>
      <c r="X7630" s="5"/>
      <c r="Y7630" s="5"/>
      <c r="Z7630" s="5"/>
    </row>
    <row r="7631" spans="1:26" ht="15" x14ac:dyDescent="0.25">
      <c r="A7631" s="4" t="s">
        <v>7629</v>
      </c>
      <c r="B7631" s="4" t="s">
        <v>4550</v>
      </c>
      <c r="C7631" s="2" t="str">
        <f ca="1">IFERROR(__xludf.DUMMYFUNCTION("GOOGLETRANSLATE(A7631,""bn"",""en"")"),"I farmed fish in the pond")</f>
        <v>I farmed fish in the pond</v>
      </c>
      <c r="D7631" s="5"/>
      <c r="E7631" s="5"/>
      <c r="F7631" s="5"/>
      <c r="G7631" s="5"/>
      <c r="H7631" s="5"/>
      <c r="I7631" s="5"/>
      <c r="J7631" s="5"/>
      <c r="K7631" s="5"/>
      <c r="L7631" s="5"/>
      <c r="M7631" s="5"/>
      <c r="N7631" s="5"/>
      <c r="O7631" s="5"/>
      <c r="P7631" s="5"/>
      <c r="Q7631" s="5"/>
      <c r="R7631" s="5"/>
      <c r="S7631" s="5"/>
      <c r="T7631" s="5"/>
      <c r="U7631" s="5"/>
      <c r="V7631" s="5"/>
      <c r="W7631" s="5"/>
      <c r="X7631" s="5"/>
      <c r="Y7631" s="5"/>
      <c r="Z7631" s="5"/>
    </row>
    <row r="7632" spans="1:26" ht="15" x14ac:dyDescent="0.25">
      <c r="A7632" s="4" t="s">
        <v>7630</v>
      </c>
      <c r="B7632" s="4" t="s">
        <v>4550</v>
      </c>
      <c r="C7632" s="2" t="str">
        <f ca="1">IFERROR(__xludf.DUMMYFUNCTION("GOOGLETRANSLATE(A7632,""bn"",""en"")"),"There were mango trees in the garden")</f>
        <v>There were mango trees in the garden</v>
      </c>
      <c r="D7632" s="5"/>
      <c r="E7632" s="5"/>
      <c r="F7632" s="5"/>
      <c r="G7632" s="5"/>
      <c r="H7632" s="5"/>
      <c r="I7632" s="5"/>
      <c r="J7632" s="5"/>
      <c r="K7632" s="5"/>
      <c r="L7632" s="5"/>
      <c r="M7632" s="5"/>
      <c r="N7632" s="5"/>
      <c r="O7632" s="5"/>
      <c r="P7632" s="5"/>
      <c r="Q7632" s="5"/>
      <c r="R7632" s="5"/>
      <c r="S7632" s="5"/>
      <c r="T7632" s="5"/>
      <c r="U7632" s="5"/>
      <c r="V7632" s="5"/>
      <c r="W7632" s="5"/>
      <c r="X7632" s="5"/>
      <c r="Y7632" s="5"/>
      <c r="Z7632" s="5"/>
    </row>
    <row r="7633" spans="1:26" ht="15" x14ac:dyDescent="0.25">
      <c r="A7633" s="4" t="s">
        <v>7631</v>
      </c>
      <c r="B7633" s="4" t="s">
        <v>4550</v>
      </c>
      <c r="C7633" s="2" t="str">
        <f ca="1">IFERROR(__xludf.DUMMYFUNCTION("GOOGLETRANSLATE(A7633,""bn"",""en"")"),"We were eating rice then")</f>
        <v>We were eating rice then</v>
      </c>
      <c r="D7633" s="5"/>
      <c r="E7633" s="5"/>
      <c r="F7633" s="5"/>
      <c r="G7633" s="5"/>
      <c r="H7633" s="5"/>
      <c r="I7633" s="5"/>
      <c r="J7633" s="5"/>
      <c r="K7633" s="5"/>
      <c r="L7633" s="5"/>
      <c r="M7633" s="5"/>
      <c r="N7633" s="5"/>
      <c r="O7633" s="5"/>
      <c r="P7633" s="5"/>
      <c r="Q7633" s="5"/>
      <c r="R7633" s="5"/>
      <c r="S7633" s="5"/>
      <c r="T7633" s="5"/>
      <c r="U7633" s="5"/>
      <c r="V7633" s="5"/>
      <c r="W7633" s="5"/>
      <c r="X7633" s="5"/>
      <c r="Y7633" s="5"/>
      <c r="Z7633" s="5"/>
    </row>
    <row r="7634" spans="1:26" ht="15" x14ac:dyDescent="0.25">
      <c r="A7634" s="4" t="s">
        <v>7632</v>
      </c>
      <c r="B7634" s="4" t="s">
        <v>4550</v>
      </c>
      <c r="C7634" s="2" t="str">
        <f ca="1">IFERROR(__xludf.DUMMYFUNCTION("GOOGLETRANSLATE(A7634,""bn"",""en"")"),"Players won trophies")</f>
        <v>Players won trophies</v>
      </c>
      <c r="D7634" s="5"/>
      <c r="E7634" s="5"/>
      <c r="F7634" s="5"/>
      <c r="G7634" s="5"/>
      <c r="H7634" s="5"/>
      <c r="I7634" s="5"/>
      <c r="J7634" s="5"/>
      <c r="K7634" s="5"/>
      <c r="L7634" s="5"/>
      <c r="M7634" s="5"/>
      <c r="N7634" s="5"/>
      <c r="O7634" s="5"/>
      <c r="P7634" s="5"/>
      <c r="Q7634" s="5"/>
      <c r="R7634" s="5"/>
      <c r="S7634" s="5"/>
      <c r="T7634" s="5"/>
      <c r="U7634" s="5"/>
      <c r="V7634" s="5"/>
      <c r="W7634" s="5"/>
      <c r="X7634" s="5"/>
      <c r="Y7634" s="5"/>
      <c r="Z7634" s="5"/>
    </row>
    <row r="7635" spans="1:26" ht="15" x14ac:dyDescent="0.25">
      <c r="A7635" s="4" t="s">
        <v>7633</v>
      </c>
      <c r="B7635" s="4" t="s">
        <v>4550</v>
      </c>
      <c r="C7635" s="2" t="str">
        <f ca="1">IFERROR(__xludf.DUMMYFUNCTION("GOOGLETRANSLATE(A7635,""bn"",""en"")"),"Listening to the song filled my heart")</f>
        <v>Listening to the song filled my heart</v>
      </c>
      <c r="D7635" s="5"/>
      <c r="E7635" s="5"/>
      <c r="F7635" s="5"/>
      <c r="G7635" s="5"/>
      <c r="H7635" s="5"/>
      <c r="I7635" s="5"/>
      <c r="J7635" s="5"/>
      <c r="K7635" s="5"/>
      <c r="L7635" s="5"/>
      <c r="M7635" s="5"/>
      <c r="N7635" s="5"/>
      <c r="O7635" s="5"/>
      <c r="P7635" s="5"/>
      <c r="Q7635" s="5"/>
      <c r="R7635" s="5"/>
      <c r="S7635" s="5"/>
      <c r="T7635" s="5"/>
      <c r="U7635" s="5"/>
      <c r="V7635" s="5"/>
      <c r="W7635" s="5"/>
      <c r="X7635" s="5"/>
      <c r="Y7635" s="5"/>
      <c r="Z7635" s="5"/>
    </row>
    <row r="7636" spans="1:26" ht="15" x14ac:dyDescent="0.25">
      <c r="A7636" s="4" t="s">
        <v>7634</v>
      </c>
      <c r="B7636" s="4" t="s">
        <v>4550</v>
      </c>
      <c r="C7636" s="2" t="str">
        <f ca="1">IFERROR(__xludf.DUMMYFUNCTION("GOOGLETRANSLATE(A7636,""bn"",""en"")"),"I was in a new country")</f>
        <v>I was in a new country</v>
      </c>
      <c r="D7636" s="5"/>
      <c r="E7636" s="5"/>
      <c r="F7636" s="5"/>
      <c r="G7636" s="5"/>
      <c r="H7636" s="5"/>
      <c r="I7636" s="5"/>
      <c r="J7636" s="5"/>
      <c r="K7636" s="5"/>
      <c r="L7636" s="5"/>
      <c r="M7636" s="5"/>
      <c r="N7636" s="5"/>
      <c r="O7636" s="5"/>
      <c r="P7636" s="5"/>
      <c r="Q7636" s="5"/>
      <c r="R7636" s="5"/>
      <c r="S7636" s="5"/>
      <c r="T7636" s="5"/>
      <c r="U7636" s="5"/>
      <c r="V7636" s="5"/>
      <c r="W7636" s="5"/>
      <c r="X7636" s="5"/>
      <c r="Y7636" s="5"/>
      <c r="Z7636" s="5"/>
    </row>
    <row r="7637" spans="1:26" ht="15" x14ac:dyDescent="0.25">
      <c r="A7637" s="4" t="s">
        <v>7635</v>
      </c>
      <c r="B7637" s="4" t="s">
        <v>4550</v>
      </c>
      <c r="C7637" s="2" t="str">
        <f ca="1">IFERROR(__xludf.DUMMYFUNCTION("GOOGLETRANSLATE(A7637,""bn"",""en"")"),"Crops were planted in the garden")</f>
        <v>Crops were planted in the garden</v>
      </c>
      <c r="D7637" s="5"/>
      <c r="E7637" s="5"/>
      <c r="F7637" s="5"/>
      <c r="G7637" s="5"/>
      <c r="H7637" s="5"/>
      <c r="I7637" s="5"/>
      <c r="J7637" s="5"/>
      <c r="K7637" s="5"/>
      <c r="L7637" s="5"/>
      <c r="M7637" s="5"/>
      <c r="N7637" s="5"/>
      <c r="O7637" s="5"/>
      <c r="P7637" s="5"/>
      <c r="Q7637" s="5"/>
      <c r="R7637" s="5"/>
      <c r="S7637" s="5"/>
      <c r="T7637" s="5"/>
      <c r="U7637" s="5"/>
      <c r="V7637" s="5"/>
      <c r="W7637" s="5"/>
      <c r="X7637" s="5"/>
      <c r="Y7637" s="5"/>
      <c r="Z7637" s="5"/>
    </row>
    <row r="7638" spans="1:26" ht="15" x14ac:dyDescent="0.25">
      <c r="A7638" s="4" t="s">
        <v>7636</v>
      </c>
      <c r="B7638" s="4" t="s">
        <v>4550</v>
      </c>
      <c r="C7638" s="2" t="str">
        <f ca="1">IFERROR(__xludf.DUMMYFUNCTION("GOOGLETRANSLATE(A7638,""bn"",""en"")"),"He watched funny movies")</f>
        <v>He watched funny movies</v>
      </c>
      <c r="D7638" s="5"/>
      <c r="E7638" s="5"/>
      <c r="F7638" s="5"/>
      <c r="G7638" s="5"/>
      <c r="H7638" s="5"/>
      <c r="I7638" s="5"/>
      <c r="J7638" s="5"/>
      <c r="K7638" s="5"/>
      <c r="L7638" s="5"/>
      <c r="M7638" s="5"/>
      <c r="N7638" s="5"/>
      <c r="O7638" s="5"/>
      <c r="P7638" s="5"/>
      <c r="Q7638" s="5"/>
      <c r="R7638" s="5"/>
      <c r="S7638" s="5"/>
      <c r="T7638" s="5"/>
      <c r="U7638" s="5"/>
      <c r="V7638" s="5"/>
      <c r="W7638" s="5"/>
      <c r="X7638" s="5"/>
      <c r="Y7638" s="5"/>
      <c r="Z7638" s="5"/>
    </row>
    <row r="7639" spans="1:26" ht="15" x14ac:dyDescent="0.25">
      <c r="A7639" s="4" t="s">
        <v>7637</v>
      </c>
      <c r="B7639" s="4" t="s">
        <v>4550</v>
      </c>
      <c r="C7639" s="2" t="str">
        <f ca="1">IFERROR(__xludf.DUMMYFUNCTION("GOOGLETRANSLATE(A7639,""bn"",""en"")"),"Played previously out loud")</f>
        <v>Played previously out loud</v>
      </c>
      <c r="D7639" s="5"/>
      <c r="E7639" s="5"/>
      <c r="F7639" s="5"/>
      <c r="G7639" s="5"/>
      <c r="H7639" s="5"/>
      <c r="I7639" s="5"/>
      <c r="J7639" s="5"/>
      <c r="K7639" s="5"/>
      <c r="L7639" s="5"/>
      <c r="M7639" s="5"/>
      <c r="N7639" s="5"/>
      <c r="O7639" s="5"/>
      <c r="P7639" s="5"/>
      <c r="Q7639" s="5"/>
      <c r="R7639" s="5"/>
      <c r="S7639" s="5"/>
      <c r="T7639" s="5"/>
      <c r="U7639" s="5"/>
      <c r="V7639" s="5"/>
      <c r="W7639" s="5"/>
      <c r="X7639" s="5"/>
      <c r="Y7639" s="5"/>
      <c r="Z7639" s="5"/>
    </row>
    <row r="7640" spans="1:26" ht="15" x14ac:dyDescent="0.25">
      <c r="A7640" s="4" t="s">
        <v>7638</v>
      </c>
      <c r="B7640" s="4" t="s">
        <v>4550</v>
      </c>
      <c r="C7640" s="2" t="str">
        <f ca="1">IFERROR(__xludf.DUMMYFUNCTION("GOOGLETRANSLATE(A7640,""bn"",""en"")"),"I had a meal with fish")</f>
        <v>I had a meal with fish</v>
      </c>
      <c r="D7640" s="5"/>
      <c r="E7640" s="5"/>
      <c r="F7640" s="5"/>
      <c r="G7640" s="5"/>
      <c r="H7640" s="5"/>
      <c r="I7640" s="5"/>
      <c r="J7640" s="5"/>
      <c r="K7640" s="5"/>
      <c r="L7640" s="5"/>
      <c r="M7640" s="5"/>
      <c r="N7640" s="5"/>
      <c r="O7640" s="5"/>
      <c r="P7640" s="5"/>
      <c r="Q7640" s="5"/>
      <c r="R7640" s="5"/>
      <c r="S7640" s="5"/>
      <c r="T7640" s="5"/>
      <c r="U7640" s="5"/>
      <c r="V7640" s="5"/>
      <c r="W7640" s="5"/>
      <c r="X7640" s="5"/>
      <c r="Y7640" s="5"/>
      <c r="Z7640" s="5"/>
    </row>
    <row r="7641" spans="1:26" ht="15" x14ac:dyDescent="0.25">
      <c r="A7641" s="4" t="s">
        <v>7639</v>
      </c>
      <c r="B7641" s="4" t="s">
        <v>4550</v>
      </c>
      <c r="C7641" s="2" t="str">
        <f ca="1">IFERROR(__xludf.DUMMYFUNCTION("GOOGLETRANSLATE(A7641,""bn"",""en"")"),"Watched the movie at the end of the week")</f>
        <v>Watched the movie at the end of the week</v>
      </c>
      <c r="D7641" s="5"/>
      <c r="E7641" s="5"/>
      <c r="F7641" s="5"/>
      <c r="G7641" s="5"/>
      <c r="H7641" s="5"/>
      <c r="I7641" s="5"/>
      <c r="J7641" s="5"/>
      <c r="K7641" s="5"/>
      <c r="L7641" s="5"/>
      <c r="M7641" s="5"/>
      <c r="N7641" s="5"/>
      <c r="O7641" s="5"/>
      <c r="P7641" s="5"/>
      <c r="Q7641" s="5"/>
      <c r="R7641" s="5"/>
      <c r="S7641" s="5"/>
      <c r="T7641" s="5"/>
      <c r="U7641" s="5"/>
      <c r="V7641" s="5"/>
      <c r="W7641" s="5"/>
      <c r="X7641" s="5"/>
      <c r="Y7641" s="5"/>
      <c r="Z7641" s="5"/>
    </row>
    <row r="7642" spans="1:26" ht="15" x14ac:dyDescent="0.25">
      <c r="A7642" s="4" t="s">
        <v>7640</v>
      </c>
      <c r="B7642" s="4" t="s">
        <v>4550</v>
      </c>
      <c r="C7642" s="2" t="str">
        <f ca="1">IFERROR(__xludf.DUMMYFUNCTION("GOOGLETRANSLATE(A7642,""bn"",""en"")"),"Guna was raised on the ground")</f>
        <v>Guna was raised on the ground</v>
      </c>
      <c r="D7642" s="5"/>
      <c r="E7642" s="5"/>
      <c r="F7642" s="5"/>
      <c r="G7642" s="5"/>
      <c r="H7642" s="5"/>
      <c r="I7642" s="5"/>
      <c r="J7642" s="5"/>
      <c r="K7642" s="5"/>
      <c r="L7642" s="5"/>
      <c r="M7642" s="5"/>
      <c r="N7642" s="5"/>
      <c r="O7642" s="5"/>
      <c r="P7642" s="5"/>
      <c r="Q7642" s="5"/>
      <c r="R7642" s="5"/>
      <c r="S7642" s="5"/>
      <c r="T7642" s="5"/>
      <c r="U7642" s="5"/>
      <c r="V7642" s="5"/>
      <c r="W7642" s="5"/>
      <c r="X7642" s="5"/>
      <c r="Y7642" s="5"/>
      <c r="Z7642" s="5"/>
    </row>
    <row r="7643" spans="1:26" ht="15" x14ac:dyDescent="0.25">
      <c r="A7643" s="4" t="s">
        <v>7641</v>
      </c>
      <c r="B7643" s="4" t="s">
        <v>4550</v>
      </c>
      <c r="C7643" s="2" t="str">
        <f ca="1">IFERROR(__xludf.DUMMYFUNCTION("GOOGLETRANSLATE(A7643,""bn"",""en"")"),"We had fish curry")</f>
        <v>We had fish curry</v>
      </c>
      <c r="D7643" s="5"/>
      <c r="E7643" s="5"/>
      <c r="F7643" s="5"/>
      <c r="G7643" s="5"/>
      <c r="H7643" s="5"/>
      <c r="I7643" s="5"/>
      <c r="J7643" s="5"/>
      <c r="K7643" s="5"/>
      <c r="L7643" s="5"/>
      <c r="M7643" s="5"/>
      <c r="N7643" s="5"/>
      <c r="O7643" s="5"/>
      <c r="P7643" s="5"/>
      <c r="Q7643" s="5"/>
      <c r="R7643" s="5"/>
      <c r="S7643" s="5"/>
      <c r="T7643" s="5"/>
      <c r="U7643" s="5"/>
      <c r="V7643" s="5"/>
      <c r="W7643" s="5"/>
      <c r="X7643" s="5"/>
      <c r="Y7643" s="5"/>
      <c r="Z7643" s="5"/>
    </row>
    <row r="7644" spans="1:26" ht="15" x14ac:dyDescent="0.25">
      <c r="A7644" s="4" t="s">
        <v>7642</v>
      </c>
      <c r="B7644" s="4" t="s">
        <v>4550</v>
      </c>
      <c r="C7644" s="2" t="str">
        <f ca="1">IFERROR(__xludf.DUMMYFUNCTION("GOOGLETRANSLATE(A7644,""bn"",""en"")"),"I watered the garden every day")</f>
        <v>I watered the garden every day</v>
      </c>
      <c r="D7644" s="5"/>
      <c r="E7644" s="5"/>
      <c r="F7644" s="5"/>
      <c r="G7644" s="5"/>
      <c r="H7644" s="5"/>
      <c r="I7644" s="5"/>
      <c r="J7644" s="5"/>
      <c r="K7644" s="5"/>
      <c r="L7644" s="5"/>
      <c r="M7644" s="5"/>
      <c r="N7644" s="5"/>
      <c r="O7644" s="5"/>
      <c r="P7644" s="5"/>
      <c r="Q7644" s="5"/>
      <c r="R7644" s="5"/>
      <c r="S7644" s="5"/>
      <c r="T7644" s="5"/>
      <c r="U7644" s="5"/>
      <c r="V7644" s="5"/>
      <c r="W7644" s="5"/>
      <c r="X7644" s="5"/>
      <c r="Y7644" s="5"/>
      <c r="Z7644" s="5"/>
    </row>
    <row r="7645" spans="1:26" ht="15" x14ac:dyDescent="0.25">
      <c r="A7645" s="4" t="s">
        <v>7643</v>
      </c>
      <c r="B7645" s="4" t="s">
        <v>4550</v>
      </c>
      <c r="C7645" s="2" t="str">
        <f ca="1">IFERROR(__xludf.DUMMYFUNCTION("GOOGLETRANSLATE(A7645,""bn"",""en"")"),"Produced in natural environment")</f>
        <v>Produced in natural environment</v>
      </c>
      <c r="D7645" s="5"/>
      <c r="E7645" s="5"/>
      <c r="F7645" s="5"/>
      <c r="G7645" s="5"/>
      <c r="H7645" s="5"/>
      <c r="I7645" s="5"/>
      <c r="J7645" s="5"/>
      <c r="K7645" s="5"/>
      <c r="L7645" s="5"/>
      <c r="M7645" s="5"/>
      <c r="N7645" s="5"/>
      <c r="O7645" s="5"/>
      <c r="P7645" s="5"/>
      <c r="Q7645" s="5"/>
      <c r="R7645" s="5"/>
      <c r="S7645" s="5"/>
      <c r="T7645" s="5"/>
      <c r="U7645" s="5"/>
      <c r="V7645" s="5"/>
      <c r="W7645" s="5"/>
      <c r="X7645" s="5"/>
      <c r="Y7645" s="5"/>
      <c r="Z7645" s="5"/>
    </row>
    <row r="7646" spans="1:26" ht="15" x14ac:dyDescent="0.25">
      <c r="A7646" s="4" t="s">
        <v>7644</v>
      </c>
      <c r="B7646" s="4" t="s">
        <v>4550</v>
      </c>
      <c r="C7646" s="2" t="str">
        <f ca="1">IFERROR(__xludf.DUMMYFUNCTION("GOOGLETRANSLATE(A7646,""bn"",""en"")"),"I boiled eggs in water")</f>
        <v>I boiled eggs in water</v>
      </c>
      <c r="D7646" s="5"/>
      <c r="E7646" s="5"/>
      <c r="F7646" s="5"/>
      <c r="G7646" s="5"/>
      <c r="H7646" s="5"/>
      <c r="I7646" s="5"/>
      <c r="J7646" s="5"/>
      <c r="K7646" s="5"/>
      <c r="L7646" s="5"/>
      <c r="M7646" s="5"/>
      <c r="N7646" s="5"/>
      <c r="O7646" s="5"/>
      <c r="P7646" s="5"/>
      <c r="Q7646" s="5"/>
      <c r="R7646" s="5"/>
      <c r="S7646" s="5"/>
      <c r="T7646" s="5"/>
      <c r="U7646" s="5"/>
      <c r="V7646" s="5"/>
      <c r="W7646" s="5"/>
      <c r="X7646" s="5"/>
      <c r="Y7646" s="5"/>
      <c r="Z7646" s="5"/>
    </row>
    <row r="7647" spans="1:26" ht="15" x14ac:dyDescent="0.25">
      <c r="A7647" s="4" t="s">
        <v>7645</v>
      </c>
      <c r="B7647" s="4" t="s">
        <v>4550</v>
      </c>
      <c r="C7647" s="2" t="str">
        <f ca="1">IFERROR(__xludf.DUMMYFUNCTION("GOOGLETRANSLATE(A7647,""bn"",""en"")"),"The leader lost his rivals in the polls")</f>
        <v>The leader lost his rivals in the polls</v>
      </c>
      <c r="D7647" s="5"/>
      <c r="E7647" s="5"/>
      <c r="F7647" s="5"/>
      <c r="G7647" s="5"/>
      <c r="H7647" s="5"/>
      <c r="I7647" s="5"/>
      <c r="J7647" s="5"/>
      <c r="K7647" s="5"/>
      <c r="L7647" s="5"/>
      <c r="M7647" s="5"/>
      <c r="N7647" s="5"/>
      <c r="O7647" s="5"/>
      <c r="P7647" s="5"/>
      <c r="Q7647" s="5"/>
      <c r="R7647" s="5"/>
      <c r="S7647" s="5"/>
      <c r="T7647" s="5"/>
      <c r="U7647" s="5"/>
      <c r="V7647" s="5"/>
      <c r="W7647" s="5"/>
      <c r="X7647" s="5"/>
      <c r="Y7647" s="5"/>
      <c r="Z7647" s="5"/>
    </row>
    <row r="7648" spans="1:26" ht="15" x14ac:dyDescent="0.25">
      <c r="A7648" s="4" t="s">
        <v>7646</v>
      </c>
      <c r="B7648" s="4" t="s">
        <v>4550</v>
      </c>
      <c r="C7648" s="2" t="str">
        <f ca="1">IFERROR(__xludf.DUMMYFUNCTION("GOOGLETRANSLATE(A7648,""bn"",""en"")"),"I was resting in the hotel")</f>
        <v>I was resting in the hotel</v>
      </c>
      <c r="D7648" s="5"/>
      <c r="E7648" s="5"/>
      <c r="F7648" s="5"/>
      <c r="G7648" s="5"/>
      <c r="H7648" s="5"/>
      <c r="I7648" s="5"/>
      <c r="J7648" s="5"/>
      <c r="K7648" s="5"/>
      <c r="L7648" s="5"/>
      <c r="M7648" s="5"/>
      <c r="N7648" s="5"/>
      <c r="O7648" s="5"/>
      <c r="P7648" s="5"/>
      <c r="Q7648" s="5"/>
      <c r="R7648" s="5"/>
      <c r="S7648" s="5"/>
      <c r="T7648" s="5"/>
      <c r="U7648" s="5"/>
      <c r="V7648" s="5"/>
      <c r="W7648" s="5"/>
      <c r="X7648" s="5"/>
      <c r="Y7648" s="5"/>
      <c r="Z7648" s="5"/>
    </row>
    <row r="7649" spans="1:26" ht="15" x14ac:dyDescent="0.25">
      <c r="A7649" s="4" t="s">
        <v>7647</v>
      </c>
      <c r="B7649" s="4" t="s">
        <v>4550</v>
      </c>
      <c r="C7649" s="2" t="str">
        <f ca="1">IFERROR(__xludf.DUMMYFUNCTION("GOOGLETRANSLATE(A7649,""bn"",""en"")"),"I gave new ideas")</f>
        <v>I gave new ideas</v>
      </c>
      <c r="D7649" s="5"/>
      <c r="E7649" s="5"/>
      <c r="F7649" s="5"/>
      <c r="G7649" s="5"/>
      <c r="H7649" s="5"/>
      <c r="I7649" s="5"/>
      <c r="J7649" s="5"/>
      <c r="K7649" s="5"/>
      <c r="L7649" s="5"/>
      <c r="M7649" s="5"/>
      <c r="N7649" s="5"/>
      <c r="O7649" s="5"/>
      <c r="P7649" s="5"/>
      <c r="Q7649" s="5"/>
      <c r="R7649" s="5"/>
      <c r="S7649" s="5"/>
      <c r="T7649" s="5"/>
      <c r="U7649" s="5"/>
      <c r="V7649" s="5"/>
      <c r="W7649" s="5"/>
      <c r="X7649" s="5"/>
      <c r="Y7649" s="5"/>
      <c r="Z7649" s="5"/>
    </row>
    <row r="7650" spans="1:26" ht="15" x14ac:dyDescent="0.25">
      <c r="A7650" s="4" t="s">
        <v>7648</v>
      </c>
      <c r="B7650" s="4" t="s">
        <v>4550</v>
      </c>
      <c r="C7650" s="2" t="str">
        <f ca="1">IFERROR(__xludf.DUMMYFUNCTION("GOOGLETRANSLATE(A7650,""bn"",""en"")"),"I improved my problem solving skills")</f>
        <v>I improved my problem solving skills</v>
      </c>
      <c r="D7650" s="5"/>
      <c r="E7650" s="5"/>
      <c r="F7650" s="5"/>
      <c r="G7650" s="5"/>
      <c r="H7650" s="5"/>
      <c r="I7650" s="5"/>
      <c r="J7650" s="5"/>
      <c r="K7650" s="5"/>
      <c r="L7650" s="5"/>
      <c r="M7650" s="5"/>
      <c r="N7650" s="5"/>
      <c r="O7650" s="5"/>
      <c r="P7650" s="5"/>
      <c r="Q7650" s="5"/>
      <c r="R7650" s="5"/>
      <c r="S7650" s="5"/>
      <c r="T7650" s="5"/>
      <c r="U7650" s="5"/>
      <c r="V7650" s="5"/>
      <c r="W7650" s="5"/>
      <c r="X7650" s="5"/>
      <c r="Y7650" s="5"/>
      <c r="Z7650" s="5"/>
    </row>
    <row r="7651" spans="1:26" ht="15" x14ac:dyDescent="0.25">
      <c r="A7651" s="4" t="s">
        <v>7649</v>
      </c>
      <c r="B7651" s="4" t="s">
        <v>4550</v>
      </c>
      <c r="C7651" s="2" t="str">
        <f ca="1">IFERROR(__xludf.DUMMYFUNCTION("GOOGLETRANSLATE(A7651,""bn"",""en"")"),"I play fried shrimp")</f>
        <v>I play fried shrimp</v>
      </c>
      <c r="D7651" s="5"/>
      <c r="E7651" s="5"/>
      <c r="F7651" s="5"/>
      <c r="G7651" s="5"/>
      <c r="H7651" s="5"/>
      <c r="I7651" s="5"/>
      <c r="J7651" s="5"/>
      <c r="K7651" s="5"/>
      <c r="L7651" s="5"/>
      <c r="M7651" s="5"/>
      <c r="N7651" s="5"/>
      <c r="O7651" s="5"/>
      <c r="P7651" s="5"/>
      <c r="Q7651" s="5"/>
      <c r="R7651" s="5"/>
      <c r="S7651" s="5"/>
      <c r="T7651" s="5"/>
      <c r="U7651" s="5"/>
      <c r="V7651" s="5"/>
      <c r="W7651" s="5"/>
      <c r="X7651" s="5"/>
      <c r="Y7651" s="5"/>
      <c r="Z7651" s="5"/>
    </row>
    <row r="7652" spans="1:26" ht="15" x14ac:dyDescent="0.25">
      <c r="A7652" s="4" t="s">
        <v>7650</v>
      </c>
      <c r="B7652" s="4" t="s">
        <v>4550</v>
      </c>
      <c r="C7652" s="2" t="str">
        <f ca="1">IFERROR(__xludf.DUMMYFUNCTION("GOOGLETRANSLATE(A7652,""bn"",""en"")"),"Flowers were blooming in the garden")</f>
        <v>Flowers were blooming in the garden</v>
      </c>
      <c r="D7652" s="5"/>
      <c r="E7652" s="5"/>
      <c r="F7652" s="5"/>
      <c r="G7652" s="5"/>
      <c r="H7652" s="5"/>
      <c r="I7652" s="5"/>
      <c r="J7652" s="5"/>
      <c r="K7652" s="5"/>
      <c r="L7652" s="5"/>
      <c r="M7652" s="5"/>
      <c r="N7652" s="5"/>
      <c r="O7652" s="5"/>
      <c r="P7652" s="5"/>
      <c r="Q7652" s="5"/>
      <c r="R7652" s="5"/>
      <c r="S7652" s="5"/>
      <c r="T7652" s="5"/>
      <c r="U7652" s="5"/>
      <c r="V7652" s="5"/>
      <c r="W7652" s="5"/>
      <c r="X7652" s="5"/>
      <c r="Y7652" s="5"/>
      <c r="Z7652" s="5"/>
    </row>
    <row r="7653" spans="1:26" ht="15" x14ac:dyDescent="0.25">
      <c r="A7653" s="4" t="s">
        <v>7651</v>
      </c>
      <c r="B7653" s="4" t="s">
        <v>4550</v>
      </c>
      <c r="C7653" s="2" t="str">
        <f ca="1">IFERROR(__xludf.DUMMYFUNCTION("GOOGLETRANSLATE(A7653,""bn"",""en"")"),"The capital increased in the last year")</f>
        <v>The capital increased in the last year</v>
      </c>
      <c r="D7653" s="5"/>
      <c r="E7653" s="5"/>
      <c r="F7653" s="5"/>
      <c r="G7653" s="5"/>
      <c r="H7653" s="5"/>
      <c r="I7653" s="5"/>
      <c r="J7653" s="5"/>
      <c r="K7653" s="5"/>
      <c r="L7653" s="5"/>
      <c r="M7653" s="5"/>
      <c r="N7653" s="5"/>
      <c r="O7653" s="5"/>
      <c r="P7653" s="5"/>
      <c r="Q7653" s="5"/>
      <c r="R7653" s="5"/>
      <c r="S7653" s="5"/>
      <c r="T7653" s="5"/>
      <c r="U7653" s="5"/>
      <c r="V7653" s="5"/>
      <c r="W7653" s="5"/>
      <c r="X7653" s="5"/>
      <c r="Y7653" s="5"/>
      <c r="Z7653" s="5"/>
    </row>
    <row r="7654" spans="1:26" ht="15" x14ac:dyDescent="0.25">
      <c r="A7654" s="4" t="s">
        <v>7652</v>
      </c>
      <c r="B7654" s="4" t="s">
        <v>4550</v>
      </c>
      <c r="C7654" s="2" t="str">
        <f ca="1">IFERROR(__xludf.DUMMYFUNCTION("GOOGLETRANSLATE(A7654,""bn"",""en"")"),"Profits fell on the previous day")</f>
        <v>Profits fell on the previous day</v>
      </c>
      <c r="D7654" s="5"/>
      <c r="E7654" s="5"/>
      <c r="F7654" s="5"/>
      <c r="G7654" s="5"/>
      <c r="H7654" s="5"/>
      <c r="I7654" s="5"/>
      <c r="J7654" s="5"/>
      <c r="K7654" s="5"/>
      <c r="L7654" s="5"/>
      <c r="M7654" s="5"/>
      <c r="N7654" s="5"/>
      <c r="O7654" s="5"/>
      <c r="P7654" s="5"/>
      <c r="Q7654" s="5"/>
      <c r="R7654" s="5"/>
      <c r="S7654" s="5"/>
      <c r="T7654" s="5"/>
      <c r="U7654" s="5"/>
      <c r="V7654" s="5"/>
      <c r="W7654" s="5"/>
      <c r="X7654" s="5"/>
      <c r="Y7654" s="5"/>
      <c r="Z7654" s="5"/>
    </row>
    <row r="7655" spans="1:26" ht="15" x14ac:dyDescent="0.25">
      <c r="A7655" s="4" t="s">
        <v>7653</v>
      </c>
      <c r="B7655" s="4" t="s">
        <v>4550</v>
      </c>
      <c r="C7655" s="2" t="str">
        <f ca="1">IFERROR(__xludf.DUMMYFUNCTION("GOOGLETRANSLATE(A7655,""bn"",""en"")"),"Business profits were declining during the season")</f>
        <v>Business profits were declining during the season</v>
      </c>
      <c r="D7655" s="5"/>
      <c r="E7655" s="5"/>
      <c r="F7655" s="5"/>
      <c r="G7655" s="5"/>
      <c r="H7655" s="5"/>
      <c r="I7655" s="5"/>
      <c r="J7655" s="5"/>
      <c r="K7655" s="5"/>
      <c r="L7655" s="5"/>
      <c r="M7655" s="5"/>
      <c r="N7655" s="5"/>
      <c r="O7655" s="5"/>
      <c r="P7655" s="5"/>
      <c r="Q7655" s="5"/>
      <c r="R7655" s="5"/>
      <c r="S7655" s="5"/>
      <c r="T7655" s="5"/>
      <c r="U7655" s="5"/>
      <c r="V7655" s="5"/>
      <c r="W7655" s="5"/>
      <c r="X7655" s="5"/>
      <c r="Y7655" s="5"/>
      <c r="Z7655" s="5"/>
    </row>
    <row r="7656" spans="1:26" ht="15" x14ac:dyDescent="0.25">
      <c r="A7656" s="4" t="s">
        <v>7654</v>
      </c>
      <c r="B7656" s="4" t="s">
        <v>4550</v>
      </c>
      <c r="C7656" s="2" t="str">
        <f ca="1">IFERROR(__xludf.DUMMYFUNCTION("GOOGLETRANSLATE(A7656,""bn"",""en"")"),"The radio was broadcasting the news")</f>
        <v>The radio was broadcasting the news</v>
      </c>
      <c r="D7656" s="5"/>
      <c r="E7656" s="5"/>
      <c r="F7656" s="5"/>
      <c r="G7656" s="5"/>
      <c r="H7656" s="5"/>
      <c r="I7656" s="5"/>
      <c r="J7656" s="5"/>
      <c r="K7656" s="5"/>
      <c r="L7656" s="5"/>
      <c r="M7656" s="5"/>
      <c r="N7656" s="5"/>
      <c r="O7656" s="5"/>
      <c r="P7656" s="5"/>
      <c r="Q7656" s="5"/>
      <c r="R7656" s="5"/>
      <c r="S7656" s="5"/>
      <c r="T7656" s="5"/>
      <c r="U7656" s="5"/>
      <c r="V7656" s="5"/>
      <c r="W7656" s="5"/>
      <c r="X7656" s="5"/>
      <c r="Y7656" s="5"/>
      <c r="Z7656" s="5"/>
    </row>
    <row r="7657" spans="1:26" ht="15" x14ac:dyDescent="0.25">
      <c r="A7657" s="4" t="s">
        <v>7655</v>
      </c>
      <c r="B7657" s="4" t="s">
        <v>4550</v>
      </c>
      <c r="C7657" s="2" t="str">
        <f ca="1">IFERROR(__xludf.DUMMYFUNCTION("GOOGLETRANSLATE(A7657,""bn"",""en"")"),"I got into a political conversation")</f>
        <v>I got into a political conversation</v>
      </c>
      <c r="D7657" s="5"/>
      <c r="E7657" s="5"/>
      <c r="F7657" s="5"/>
      <c r="G7657" s="5"/>
      <c r="H7657" s="5"/>
      <c r="I7657" s="5"/>
      <c r="J7657" s="5"/>
      <c r="K7657" s="5"/>
      <c r="L7657" s="5"/>
      <c r="M7657" s="5"/>
      <c r="N7657" s="5"/>
      <c r="O7657" s="5"/>
      <c r="P7657" s="5"/>
      <c r="Q7657" s="5"/>
      <c r="R7657" s="5"/>
      <c r="S7657" s="5"/>
      <c r="T7657" s="5"/>
      <c r="U7657" s="5"/>
      <c r="V7657" s="5"/>
      <c r="W7657" s="5"/>
      <c r="X7657" s="5"/>
      <c r="Y7657" s="5"/>
      <c r="Z7657" s="5"/>
    </row>
    <row r="7658" spans="1:26" ht="15" x14ac:dyDescent="0.25">
      <c r="A7658" s="4" t="s">
        <v>7656</v>
      </c>
      <c r="B7658" s="4" t="s">
        <v>4550</v>
      </c>
      <c r="C7658" s="2" t="str">
        <f ca="1">IFERROR(__xludf.DUMMYFUNCTION("GOOGLETRANSLATE(A7658,""bn"",""en"")"),"Got a new model smartphone")</f>
        <v>Got a new model smartphone</v>
      </c>
      <c r="D7658" s="5"/>
      <c r="E7658" s="5"/>
      <c r="F7658" s="5"/>
      <c r="G7658" s="5"/>
      <c r="H7658" s="5"/>
      <c r="I7658" s="5"/>
      <c r="J7658" s="5"/>
      <c r="K7658" s="5"/>
      <c r="L7658" s="5"/>
      <c r="M7658" s="5"/>
      <c r="N7658" s="5"/>
      <c r="O7658" s="5"/>
      <c r="P7658" s="5"/>
      <c r="Q7658" s="5"/>
      <c r="R7658" s="5"/>
      <c r="S7658" s="5"/>
      <c r="T7658" s="5"/>
      <c r="U7658" s="5"/>
      <c r="V7658" s="5"/>
      <c r="W7658" s="5"/>
      <c r="X7658" s="5"/>
      <c r="Y7658" s="5"/>
      <c r="Z7658" s="5"/>
    </row>
    <row r="7659" spans="1:26" ht="15" x14ac:dyDescent="0.25">
      <c r="A7659" s="4" t="s">
        <v>7657</v>
      </c>
      <c r="B7659" s="4" t="s">
        <v>4550</v>
      </c>
      <c r="C7659" s="2" t="str">
        <f ca="1">IFERROR(__xludf.DUMMYFUNCTION("GOOGLETRANSLATE(A7659,""bn"",""en"")"),"I made beef kacchi")</f>
        <v>I made beef kacchi</v>
      </c>
      <c r="D7659" s="5"/>
      <c r="E7659" s="5"/>
      <c r="F7659" s="5"/>
      <c r="G7659" s="5"/>
      <c r="H7659" s="5"/>
      <c r="I7659" s="5"/>
      <c r="J7659" s="5"/>
      <c r="K7659" s="5"/>
      <c r="L7659" s="5"/>
      <c r="M7659" s="5"/>
      <c r="N7659" s="5"/>
      <c r="O7659" s="5"/>
      <c r="P7659" s="5"/>
      <c r="Q7659" s="5"/>
      <c r="R7659" s="5"/>
      <c r="S7659" s="5"/>
      <c r="T7659" s="5"/>
      <c r="U7659" s="5"/>
      <c r="V7659" s="5"/>
      <c r="W7659" s="5"/>
      <c r="X7659" s="5"/>
      <c r="Y7659" s="5"/>
      <c r="Z7659" s="5"/>
    </row>
    <row r="7660" spans="1:26" ht="15" x14ac:dyDescent="0.25">
      <c r="A7660" s="4" t="s">
        <v>7658</v>
      </c>
      <c r="B7660" s="4" t="s">
        <v>4550</v>
      </c>
      <c r="C7660" s="2" t="str">
        <f ca="1">IFERROR(__xludf.DUMMYFUNCTION("GOOGLETRANSLATE(A7660,""bn"",""en"")"),"I kept many fish in the aquarium")</f>
        <v>I kept many fish in the aquarium</v>
      </c>
      <c r="D7660" s="5"/>
      <c r="E7660" s="5"/>
      <c r="F7660" s="5"/>
      <c r="G7660" s="5"/>
      <c r="H7660" s="5"/>
      <c r="I7660" s="5"/>
      <c r="J7660" s="5"/>
      <c r="K7660" s="5"/>
      <c r="L7660" s="5"/>
      <c r="M7660" s="5"/>
      <c r="N7660" s="5"/>
      <c r="O7660" s="5"/>
      <c r="P7660" s="5"/>
      <c r="Q7660" s="5"/>
      <c r="R7660" s="5"/>
      <c r="S7660" s="5"/>
      <c r="T7660" s="5"/>
      <c r="U7660" s="5"/>
      <c r="V7660" s="5"/>
      <c r="W7660" s="5"/>
      <c r="X7660" s="5"/>
      <c r="Y7660" s="5"/>
      <c r="Z7660" s="5"/>
    </row>
    <row r="7661" spans="1:26" ht="15" x14ac:dyDescent="0.25">
      <c r="A7661" s="4" t="s">
        <v>7659</v>
      </c>
      <c r="B7661" s="4" t="s">
        <v>4550</v>
      </c>
      <c r="C7661" s="2" t="str">
        <f ca="1">IFERROR(__xludf.DUMMYFUNCTION("GOOGLETRANSLATE(A7661,""bn"",""en"")"),"Used the laptop online")</f>
        <v>Used the laptop online</v>
      </c>
      <c r="D7661" s="5"/>
      <c r="E7661" s="5"/>
      <c r="F7661" s="5"/>
      <c r="G7661" s="5"/>
      <c r="H7661" s="5"/>
      <c r="I7661" s="5"/>
      <c r="J7661" s="5"/>
      <c r="K7661" s="5"/>
      <c r="L7661" s="5"/>
      <c r="M7661" s="5"/>
      <c r="N7661" s="5"/>
      <c r="O7661" s="5"/>
      <c r="P7661" s="5"/>
      <c r="Q7661" s="5"/>
      <c r="R7661" s="5"/>
      <c r="S7661" s="5"/>
      <c r="T7661" s="5"/>
      <c r="U7661" s="5"/>
      <c r="V7661" s="5"/>
      <c r="W7661" s="5"/>
      <c r="X7661" s="5"/>
      <c r="Y7661" s="5"/>
      <c r="Z7661" s="5"/>
    </row>
    <row r="7662" spans="1:26" ht="15" x14ac:dyDescent="0.25">
      <c r="A7662" s="4" t="s">
        <v>7660</v>
      </c>
      <c r="B7662" s="4" t="s">
        <v>4550</v>
      </c>
      <c r="C7662" s="2" t="str">
        <f ca="1">IFERROR(__xludf.DUMMYFUNCTION("GOOGLETRANSLATE(A7662,""bn"",""en"")"),"The soil was insect free")</f>
        <v>The soil was insect free</v>
      </c>
      <c r="D7662" s="5"/>
      <c r="E7662" s="5"/>
      <c r="F7662" s="5"/>
      <c r="G7662" s="5"/>
      <c r="H7662" s="5"/>
      <c r="I7662" s="5"/>
      <c r="J7662" s="5"/>
      <c r="K7662" s="5"/>
      <c r="L7662" s="5"/>
      <c r="M7662" s="5"/>
      <c r="N7662" s="5"/>
      <c r="O7662" s="5"/>
      <c r="P7662" s="5"/>
      <c r="Q7662" s="5"/>
      <c r="R7662" s="5"/>
      <c r="S7662" s="5"/>
      <c r="T7662" s="5"/>
      <c r="U7662" s="5"/>
      <c r="V7662" s="5"/>
      <c r="W7662" s="5"/>
      <c r="X7662" s="5"/>
      <c r="Y7662" s="5"/>
      <c r="Z7662" s="5"/>
    </row>
    <row r="7663" spans="1:26" ht="15" x14ac:dyDescent="0.25">
      <c r="A7663" s="4" t="s">
        <v>7661</v>
      </c>
      <c r="B7663" s="4" t="s">
        <v>4550</v>
      </c>
      <c r="C7663" s="2" t="str">
        <f ca="1">IFERROR(__xludf.DUMMYFUNCTION("GOOGLETRANSLATE(A7663,""bn"",""en"")"),"The film was screened over three days")</f>
        <v>The film was screened over three days</v>
      </c>
      <c r="D7663" s="5"/>
      <c r="E7663" s="5"/>
      <c r="F7663" s="5"/>
      <c r="G7663" s="5"/>
      <c r="H7663" s="5"/>
      <c r="I7663" s="5"/>
      <c r="J7663" s="5"/>
      <c r="K7663" s="5"/>
      <c r="L7663" s="5"/>
      <c r="M7663" s="5"/>
      <c r="N7663" s="5"/>
      <c r="O7663" s="5"/>
      <c r="P7663" s="5"/>
      <c r="Q7663" s="5"/>
      <c r="R7663" s="5"/>
      <c r="S7663" s="5"/>
      <c r="T7663" s="5"/>
      <c r="U7663" s="5"/>
      <c r="V7663" s="5"/>
      <c r="W7663" s="5"/>
      <c r="X7663" s="5"/>
      <c r="Y7663" s="5"/>
      <c r="Z7663" s="5"/>
    </row>
    <row r="7664" spans="1:26" ht="15" x14ac:dyDescent="0.25">
      <c r="A7664" s="4" t="s">
        <v>7662</v>
      </c>
      <c r="B7664" s="4" t="s">
        <v>4550</v>
      </c>
      <c r="C7664" s="2" t="str">
        <f ca="1">IFERROR(__xludf.DUMMYFUNCTION("GOOGLETRANSLATE(A7664,""bn"",""en"")"),"He boarded the train on Saturday")</f>
        <v>He boarded the train on Saturday</v>
      </c>
      <c r="D7664" s="5"/>
      <c r="E7664" s="5"/>
      <c r="F7664" s="5"/>
      <c r="G7664" s="5"/>
      <c r="H7664" s="5"/>
      <c r="I7664" s="5"/>
      <c r="J7664" s="5"/>
      <c r="K7664" s="5"/>
      <c r="L7664" s="5"/>
      <c r="M7664" s="5"/>
      <c r="N7664" s="5"/>
      <c r="O7664" s="5"/>
      <c r="P7664" s="5"/>
      <c r="Q7664" s="5"/>
      <c r="R7664" s="5"/>
      <c r="S7664" s="5"/>
      <c r="T7664" s="5"/>
      <c r="U7664" s="5"/>
      <c r="V7664" s="5"/>
      <c r="W7664" s="5"/>
      <c r="X7664" s="5"/>
      <c r="Y7664" s="5"/>
      <c r="Z7664" s="5"/>
    </row>
    <row r="7665" spans="1:26" ht="15" x14ac:dyDescent="0.25">
      <c r="A7665" s="4" t="s">
        <v>7663</v>
      </c>
      <c r="B7665" s="4" t="s">
        <v>4550</v>
      </c>
      <c r="C7665" s="2" t="str">
        <f ca="1">IFERROR(__xludf.DUMMYFUNCTION("GOOGLETRANSLATE(A7665,""bn"",""en"")"),"I bought a new book cover")</f>
        <v>I bought a new book cover</v>
      </c>
      <c r="D7665" s="5"/>
      <c r="E7665" s="5"/>
      <c r="F7665" s="5"/>
      <c r="G7665" s="5"/>
      <c r="H7665" s="5"/>
      <c r="I7665" s="5"/>
      <c r="J7665" s="5"/>
      <c r="K7665" s="5"/>
      <c r="L7665" s="5"/>
      <c r="M7665" s="5"/>
      <c r="N7665" s="5"/>
      <c r="O7665" s="5"/>
      <c r="P7665" s="5"/>
      <c r="Q7665" s="5"/>
      <c r="R7665" s="5"/>
      <c r="S7665" s="5"/>
      <c r="T7665" s="5"/>
      <c r="U7665" s="5"/>
      <c r="V7665" s="5"/>
      <c r="W7665" s="5"/>
      <c r="X7665" s="5"/>
      <c r="Y7665" s="5"/>
      <c r="Z7665" s="5"/>
    </row>
    <row r="7666" spans="1:26" ht="15" x14ac:dyDescent="0.25">
      <c r="A7666" s="4" t="s">
        <v>7664</v>
      </c>
      <c r="B7666" s="4" t="s">
        <v>4550</v>
      </c>
      <c r="C7666" s="2" t="str">
        <f ca="1">IFERROR(__xludf.DUMMYFUNCTION("GOOGLETRANSLATE(A7666,""bn"",""en"")"),"It recently went viral on the internet")</f>
        <v>It recently went viral on the internet</v>
      </c>
      <c r="D7666" s="5"/>
      <c r="E7666" s="5"/>
      <c r="F7666" s="5"/>
      <c r="G7666" s="5"/>
      <c r="H7666" s="5"/>
      <c r="I7666" s="5"/>
      <c r="J7666" s="5"/>
      <c r="K7666" s="5"/>
      <c r="L7666" s="5"/>
      <c r="M7666" s="5"/>
      <c r="N7666" s="5"/>
      <c r="O7666" s="5"/>
      <c r="P7666" s="5"/>
      <c r="Q7666" s="5"/>
      <c r="R7666" s="5"/>
      <c r="S7666" s="5"/>
      <c r="T7666" s="5"/>
      <c r="U7666" s="5"/>
      <c r="V7666" s="5"/>
      <c r="W7666" s="5"/>
      <c r="X7666" s="5"/>
      <c r="Y7666" s="5"/>
      <c r="Z7666" s="5"/>
    </row>
    <row r="7667" spans="1:26" ht="15" x14ac:dyDescent="0.25">
      <c r="A7667" s="4" t="s">
        <v>7665</v>
      </c>
      <c r="B7667" s="4" t="s">
        <v>4550</v>
      </c>
      <c r="C7667" s="2" t="str">
        <f ca="1">IFERROR(__xludf.DUMMYFUNCTION("GOOGLETRANSLATE(A7667,""bn"",""en"")"),"Smart contract development took place")</f>
        <v>Smart contract development took place</v>
      </c>
      <c r="D7667" s="5"/>
      <c r="E7667" s="5"/>
      <c r="F7667" s="5"/>
      <c r="G7667" s="5"/>
      <c r="H7667" s="5"/>
      <c r="I7667" s="5"/>
      <c r="J7667" s="5"/>
      <c r="K7667" s="5"/>
      <c r="L7667" s="5"/>
      <c r="M7667" s="5"/>
      <c r="N7667" s="5"/>
      <c r="O7667" s="5"/>
      <c r="P7667" s="5"/>
      <c r="Q7667" s="5"/>
      <c r="R7667" s="5"/>
      <c r="S7667" s="5"/>
      <c r="T7667" s="5"/>
      <c r="U7667" s="5"/>
      <c r="V7667" s="5"/>
      <c r="W7667" s="5"/>
      <c r="X7667" s="5"/>
      <c r="Y7667" s="5"/>
      <c r="Z7667" s="5"/>
    </row>
    <row r="7668" spans="1:26" ht="15" x14ac:dyDescent="0.25">
      <c r="A7668" s="4" t="s">
        <v>7666</v>
      </c>
      <c r="B7668" s="4" t="s">
        <v>4550</v>
      </c>
      <c r="C7668" s="2" t="str">
        <f ca="1">IFERROR(__xludf.DUMMYFUNCTION("GOOGLETRANSLATE(A7668,""bn"",""en"")"),"I used to make pictures of rainy days")</f>
        <v>I used to make pictures of rainy days</v>
      </c>
      <c r="D7668" s="5"/>
      <c r="E7668" s="5"/>
      <c r="F7668" s="5"/>
      <c r="G7668" s="5"/>
      <c r="H7668" s="5"/>
      <c r="I7668" s="5"/>
      <c r="J7668" s="5"/>
      <c r="K7668" s="5"/>
      <c r="L7668" s="5"/>
      <c r="M7668" s="5"/>
      <c r="N7668" s="5"/>
      <c r="O7668" s="5"/>
      <c r="P7668" s="5"/>
      <c r="Q7668" s="5"/>
      <c r="R7668" s="5"/>
      <c r="S7668" s="5"/>
      <c r="T7668" s="5"/>
      <c r="U7668" s="5"/>
      <c r="V7668" s="5"/>
      <c r="W7668" s="5"/>
      <c r="X7668" s="5"/>
      <c r="Y7668" s="5"/>
      <c r="Z7668" s="5"/>
    </row>
    <row r="7669" spans="1:26" ht="15" x14ac:dyDescent="0.25">
      <c r="A7669" s="4" t="s">
        <v>7667</v>
      </c>
      <c r="B7669" s="4" t="s">
        <v>4550</v>
      </c>
      <c r="C7669" s="2" t="str">
        <f ca="1">IFERROR(__xludf.DUMMYFUNCTION("GOOGLETRANSLATE(A7669,""bn"",""en"")"),"Preparations for the inauguration ceremony were underway")</f>
        <v>Preparations for the inauguration ceremony were underway</v>
      </c>
      <c r="D7669" s="5"/>
      <c r="E7669" s="5"/>
      <c r="F7669" s="5"/>
      <c r="G7669" s="5"/>
      <c r="H7669" s="5"/>
      <c r="I7669" s="5"/>
      <c r="J7669" s="5"/>
      <c r="K7669" s="5"/>
      <c r="L7669" s="5"/>
      <c r="M7669" s="5"/>
      <c r="N7669" s="5"/>
      <c r="O7669" s="5"/>
      <c r="P7669" s="5"/>
      <c r="Q7669" s="5"/>
      <c r="R7669" s="5"/>
      <c r="S7669" s="5"/>
      <c r="T7669" s="5"/>
      <c r="U7669" s="5"/>
      <c r="V7669" s="5"/>
      <c r="W7669" s="5"/>
      <c r="X7669" s="5"/>
      <c r="Y7669" s="5"/>
      <c r="Z7669" s="5"/>
    </row>
    <row r="7670" spans="1:26" ht="15" x14ac:dyDescent="0.25">
      <c r="A7670" s="4" t="s">
        <v>7668</v>
      </c>
      <c r="B7670" s="4" t="s">
        <v>4550</v>
      </c>
      <c r="C7670" s="2" t="str">
        <f ca="1">IFERROR(__xludf.DUMMYFUNCTION("GOOGLETRANSLATE(A7670,""bn"",""en"")"),"He gave a raise in the month")</f>
        <v>He gave a raise in the month</v>
      </c>
      <c r="D7670" s="5"/>
      <c r="E7670" s="5"/>
      <c r="F7670" s="5"/>
      <c r="G7670" s="5"/>
      <c r="H7670" s="5"/>
      <c r="I7670" s="5"/>
      <c r="J7670" s="5"/>
      <c r="K7670" s="5"/>
      <c r="L7670" s="5"/>
      <c r="M7670" s="5"/>
      <c r="N7670" s="5"/>
      <c r="O7670" s="5"/>
      <c r="P7670" s="5"/>
      <c r="Q7670" s="5"/>
      <c r="R7670" s="5"/>
      <c r="S7670" s="5"/>
      <c r="T7670" s="5"/>
      <c r="U7670" s="5"/>
      <c r="V7670" s="5"/>
      <c r="W7670" s="5"/>
      <c r="X7670" s="5"/>
      <c r="Y7670" s="5"/>
      <c r="Z7670" s="5"/>
    </row>
    <row r="7671" spans="1:26" ht="15" x14ac:dyDescent="0.25">
      <c r="A7671" s="4" t="s">
        <v>7669</v>
      </c>
      <c r="B7671" s="4" t="s">
        <v>4550</v>
      </c>
      <c r="C7671" s="2" t="str">
        <f ca="1">IFERROR(__xludf.DUMMYFUNCTION("GOOGLETRANSLATE(A7671,""bn"",""en"")"),"Used digital pencil")</f>
        <v>Used digital pencil</v>
      </c>
      <c r="D7671" s="5"/>
      <c r="E7671" s="5"/>
      <c r="F7671" s="5"/>
      <c r="G7671" s="5"/>
      <c r="H7671" s="5"/>
      <c r="I7671" s="5"/>
      <c r="J7671" s="5"/>
      <c r="K7671" s="5"/>
      <c r="L7671" s="5"/>
      <c r="M7671" s="5"/>
      <c r="N7671" s="5"/>
      <c r="O7671" s="5"/>
      <c r="P7671" s="5"/>
      <c r="Q7671" s="5"/>
      <c r="R7671" s="5"/>
      <c r="S7671" s="5"/>
      <c r="T7671" s="5"/>
      <c r="U7671" s="5"/>
      <c r="V7671" s="5"/>
      <c r="W7671" s="5"/>
      <c r="X7671" s="5"/>
      <c r="Y7671" s="5"/>
      <c r="Z7671" s="5"/>
    </row>
    <row r="7672" spans="1:26" ht="15" x14ac:dyDescent="0.25">
      <c r="A7672" s="4" t="s">
        <v>7670</v>
      </c>
      <c r="B7672" s="4" t="s">
        <v>4550</v>
      </c>
      <c r="C7672" s="2" t="str">
        <f ca="1">IFERROR(__xludf.DUMMYFUNCTION("GOOGLETRANSLATE(A7672,""bn"",""en"")"),"I was working using digital pencil")</f>
        <v>I was working using digital pencil</v>
      </c>
      <c r="D7672" s="5"/>
      <c r="E7672" s="5"/>
      <c r="F7672" s="5"/>
      <c r="G7672" s="5"/>
      <c r="H7672" s="5"/>
      <c r="I7672" s="5"/>
      <c r="J7672" s="5"/>
      <c r="K7672" s="5"/>
      <c r="L7672" s="5"/>
      <c r="M7672" s="5"/>
      <c r="N7672" s="5"/>
      <c r="O7672" s="5"/>
      <c r="P7672" s="5"/>
      <c r="Q7672" s="5"/>
      <c r="R7672" s="5"/>
      <c r="S7672" s="5"/>
      <c r="T7672" s="5"/>
      <c r="U7672" s="5"/>
      <c r="V7672" s="5"/>
      <c r="W7672" s="5"/>
      <c r="X7672" s="5"/>
      <c r="Y7672" s="5"/>
      <c r="Z7672" s="5"/>
    </row>
    <row r="7673" spans="1:26" ht="15" x14ac:dyDescent="0.25">
      <c r="A7673" s="4" t="s">
        <v>7671</v>
      </c>
      <c r="B7673" s="4" t="s">
        <v>4550</v>
      </c>
      <c r="C7673" s="2" t="str">
        <f ca="1">IFERROR(__xludf.DUMMYFUNCTION("GOOGLETRANSLATE(A7673,""bn"",""en"")"),"Saw Bollywood movies before")</f>
        <v>Saw Bollywood movies before</v>
      </c>
      <c r="D7673" s="5"/>
      <c r="E7673" s="5"/>
      <c r="F7673" s="5"/>
      <c r="G7673" s="5"/>
      <c r="H7673" s="5"/>
      <c r="I7673" s="5"/>
      <c r="J7673" s="5"/>
      <c r="K7673" s="5"/>
      <c r="L7673" s="5"/>
      <c r="M7673" s="5"/>
      <c r="N7673" s="5"/>
      <c r="O7673" s="5"/>
      <c r="P7673" s="5"/>
      <c r="Q7673" s="5"/>
      <c r="R7673" s="5"/>
      <c r="S7673" s="5"/>
      <c r="T7673" s="5"/>
      <c r="U7673" s="5"/>
      <c r="V7673" s="5"/>
      <c r="W7673" s="5"/>
      <c r="X7673" s="5"/>
      <c r="Y7673" s="5"/>
      <c r="Z7673" s="5"/>
    </row>
    <row r="7674" spans="1:26" ht="15" x14ac:dyDescent="0.25">
      <c r="A7674" s="4" t="s">
        <v>7672</v>
      </c>
      <c r="B7674" s="4" t="s">
        <v>4550</v>
      </c>
      <c r="C7674" s="2" t="str">
        <f ca="1">IFERROR(__xludf.DUMMYFUNCTION("GOOGLETRANSLATE(A7674,""bn"",""en"")"),"The dispute has recently sparked protests")</f>
        <v>The dispute has recently sparked protests</v>
      </c>
      <c r="D7674" s="5"/>
      <c r="E7674" s="5"/>
      <c r="F7674" s="5"/>
      <c r="G7674" s="5"/>
      <c r="H7674" s="5"/>
      <c r="I7674" s="5"/>
      <c r="J7674" s="5"/>
      <c r="K7674" s="5"/>
      <c r="L7674" s="5"/>
      <c r="M7674" s="5"/>
      <c r="N7674" s="5"/>
      <c r="O7674" s="5"/>
      <c r="P7674" s="5"/>
      <c r="Q7674" s="5"/>
      <c r="R7674" s="5"/>
      <c r="S7674" s="5"/>
      <c r="T7674" s="5"/>
      <c r="U7674" s="5"/>
      <c r="V7674" s="5"/>
      <c r="W7674" s="5"/>
      <c r="X7674" s="5"/>
      <c r="Y7674" s="5"/>
      <c r="Z7674" s="5"/>
    </row>
    <row r="7675" spans="1:26" ht="15" x14ac:dyDescent="0.25">
      <c r="A7675" s="4" t="s">
        <v>7673</v>
      </c>
      <c r="B7675" s="4" t="s">
        <v>4550</v>
      </c>
      <c r="C7675" s="2" t="str">
        <f ca="1">IFERROR(__xludf.DUMMYFUNCTION("GOOGLETRANSLATE(A7675,""bn"",""en"")"),"He played the match for a long time")</f>
        <v>He played the match for a long time</v>
      </c>
      <c r="D7675" s="5"/>
      <c r="E7675" s="5"/>
      <c r="F7675" s="5"/>
      <c r="G7675" s="5"/>
      <c r="H7675" s="5"/>
      <c r="I7675" s="5"/>
      <c r="J7675" s="5"/>
      <c r="K7675" s="5"/>
      <c r="L7675" s="5"/>
      <c r="M7675" s="5"/>
      <c r="N7675" s="5"/>
      <c r="O7675" s="5"/>
      <c r="P7675" s="5"/>
      <c r="Q7675" s="5"/>
      <c r="R7675" s="5"/>
      <c r="S7675" s="5"/>
      <c r="T7675" s="5"/>
      <c r="U7675" s="5"/>
      <c r="V7675" s="5"/>
      <c r="W7675" s="5"/>
      <c r="X7675" s="5"/>
      <c r="Y7675" s="5"/>
      <c r="Z7675" s="5"/>
    </row>
    <row r="7676" spans="1:26" ht="15" x14ac:dyDescent="0.25">
      <c r="A7676" s="4" t="s">
        <v>7674</v>
      </c>
      <c r="B7676" s="4" t="s">
        <v>4550</v>
      </c>
      <c r="C7676" s="2" t="str">
        <f ca="1">IFERROR(__xludf.DUMMYFUNCTION("GOOGLETRANSLATE(A7676,""bn"",""en"")"),"We were driving on Saturday")</f>
        <v>We were driving on Saturday</v>
      </c>
      <c r="D7676" s="5"/>
      <c r="E7676" s="5"/>
      <c r="F7676" s="5"/>
      <c r="G7676" s="5"/>
      <c r="H7676" s="5"/>
      <c r="I7676" s="5"/>
      <c r="J7676" s="5"/>
      <c r="K7676" s="5"/>
      <c r="L7676" s="5"/>
      <c r="M7676" s="5"/>
      <c r="N7676" s="5"/>
      <c r="O7676" s="5"/>
      <c r="P7676" s="5"/>
      <c r="Q7676" s="5"/>
      <c r="R7676" s="5"/>
      <c r="S7676" s="5"/>
      <c r="T7676" s="5"/>
      <c r="U7676" s="5"/>
      <c r="V7676" s="5"/>
      <c r="W7676" s="5"/>
      <c r="X7676" s="5"/>
      <c r="Y7676" s="5"/>
      <c r="Z7676" s="5"/>
    </row>
    <row r="7677" spans="1:26" ht="15" x14ac:dyDescent="0.25">
      <c r="A7677" s="4" t="s">
        <v>7675</v>
      </c>
      <c r="B7677" s="4" t="s">
        <v>4550</v>
      </c>
      <c r="C7677" s="2" t="str">
        <f ca="1">IFERROR(__xludf.DUMMYFUNCTION("GOOGLETRANSLATE(A7677,""bn"",""en"")"),"was being found out")</f>
        <v>was being found out</v>
      </c>
      <c r="D7677" s="5"/>
      <c r="E7677" s="5"/>
      <c r="F7677" s="5"/>
      <c r="G7677" s="5"/>
      <c r="H7677" s="5"/>
      <c r="I7677" s="5"/>
      <c r="J7677" s="5"/>
      <c r="K7677" s="5"/>
      <c r="L7677" s="5"/>
      <c r="M7677" s="5"/>
      <c r="N7677" s="5"/>
      <c r="O7677" s="5"/>
      <c r="P7677" s="5"/>
      <c r="Q7677" s="5"/>
      <c r="R7677" s="5"/>
      <c r="S7677" s="5"/>
      <c r="T7677" s="5"/>
      <c r="U7677" s="5"/>
      <c r="V7677" s="5"/>
      <c r="W7677" s="5"/>
      <c r="X7677" s="5"/>
      <c r="Y7677" s="5"/>
      <c r="Z7677" s="5"/>
    </row>
    <row r="7678" spans="1:26" ht="15" x14ac:dyDescent="0.25">
      <c r="A7678" s="4" t="s">
        <v>7676</v>
      </c>
      <c r="B7678" s="4" t="s">
        <v>4550</v>
      </c>
      <c r="C7678" s="2" t="str">
        <f ca="1">IFERROR(__xludf.DUMMYFUNCTION("GOOGLETRANSLATE(A7678,""bn"",""en"")"),"Masters was done at Buet")</f>
        <v>Masters was done at Buet</v>
      </c>
      <c r="D7678" s="5"/>
      <c r="E7678" s="5"/>
      <c r="F7678" s="5"/>
      <c r="G7678" s="5"/>
      <c r="H7678" s="5"/>
      <c r="I7678" s="5"/>
      <c r="J7678" s="5"/>
      <c r="K7678" s="5"/>
      <c r="L7678" s="5"/>
      <c r="M7678" s="5"/>
      <c r="N7678" s="5"/>
      <c r="O7678" s="5"/>
      <c r="P7678" s="5"/>
      <c r="Q7678" s="5"/>
      <c r="R7678" s="5"/>
      <c r="S7678" s="5"/>
      <c r="T7678" s="5"/>
      <c r="U7678" s="5"/>
      <c r="V7678" s="5"/>
      <c r="W7678" s="5"/>
      <c r="X7678" s="5"/>
      <c r="Y7678" s="5"/>
      <c r="Z7678" s="5"/>
    </row>
    <row r="7679" spans="1:26" ht="15" x14ac:dyDescent="0.25">
      <c r="A7679" s="4" t="s">
        <v>7677</v>
      </c>
      <c r="B7679" s="4" t="s">
        <v>4550</v>
      </c>
      <c r="C7679" s="2" t="str">
        <f ca="1">IFERROR(__xludf.DUMMYFUNCTION("GOOGLETRANSLATE(A7679,""bn"",""en"")"),"He was composing new poems")</f>
        <v>He was composing new poems</v>
      </c>
      <c r="D7679" s="5"/>
      <c r="E7679" s="5"/>
      <c r="F7679" s="5"/>
      <c r="G7679" s="5"/>
      <c r="H7679" s="5"/>
      <c r="I7679" s="5"/>
      <c r="J7679" s="5"/>
      <c r="K7679" s="5"/>
      <c r="L7679" s="5"/>
      <c r="M7679" s="5"/>
      <c r="N7679" s="5"/>
      <c r="O7679" s="5"/>
      <c r="P7679" s="5"/>
      <c r="Q7679" s="5"/>
      <c r="R7679" s="5"/>
      <c r="S7679" s="5"/>
      <c r="T7679" s="5"/>
      <c r="U7679" s="5"/>
      <c r="V7679" s="5"/>
      <c r="W7679" s="5"/>
      <c r="X7679" s="5"/>
      <c r="Y7679" s="5"/>
      <c r="Z7679" s="5"/>
    </row>
    <row r="7680" spans="1:26" ht="15" x14ac:dyDescent="0.25">
      <c r="A7680" s="4" t="s">
        <v>7678</v>
      </c>
      <c r="B7680" s="4" t="s">
        <v>4550</v>
      </c>
      <c r="C7680" s="2" t="str">
        <f ca="1">IFERROR(__xludf.DUMMYFUNCTION("GOOGLETRANSLATE(A7680,""bn"",""en"")"),"I took regular Quran training")</f>
        <v>I took regular Quran training</v>
      </c>
      <c r="D7680" s="5"/>
      <c r="E7680" s="5"/>
      <c r="F7680" s="5"/>
      <c r="G7680" s="5"/>
      <c r="H7680" s="5"/>
      <c r="I7680" s="5"/>
      <c r="J7680" s="5"/>
      <c r="K7680" s="5"/>
      <c r="L7680" s="5"/>
      <c r="M7680" s="5"/>
      <c r="N7680" s="5"/>
      <c r="O7680" s="5"/>
      <c r="P7680" s="5"/>
      <c r="Q7680" s="5"/>
      <c r="R7680" s="5"/>
      <c r="S7680" s="5"/>
      <c r="T7680" s="5"/>
      <c r="U7680" s="5"/>
      <c r="V7680" s="5"/>
      <c r="W7680" s="5"/>
      <c r="X7680" s="5"/>
      <c r="Y7680" s="5"/>
      <c r="Z7680" s="5"/>
    </row>
    <row r="7681" spans="1:26" ht="15" x14ac:dyDescent="0.25">
      <c r="A7681" s="4" t="s">
        <v>7679</v>
      </c>
      <c r="B7681" s="4" t="s">
        <v>4550</v>
      </c>
      <c r="C7681" s="2" t="str">
        <f ca="1">IFERROR(__xludf.DUMMYFUNCTION("GOOGLETRANSLATE(A7681,""bn"",""en"")"),"I watched the movie with them")</f>
        <v>I watched the movie with them</v>
      </c>
      <c r="D7681" s="5"/>
      <c r="E7681" s="5"/>
      <c r="F7681" s="5"/>
      <c r="G7681" s="5"/>
      <c r="H7681" s="5"/>
      <c r="I7681" s="5"/>
      <c r="J7681" s="5"/>
      <c r="K7681" s="5"/>
      <c r="L7681" s="5"/>
      <c r="M7681" s="5"/>
      <c r="N7681" s="5"/>
      <c r="O7681" s="5"/>
      <c r="P7681" s="5"/>
      <c r="Q7681" s="5"/>
      <c r="R7681" s="5"/>
      <c r="S7681" s="5"/>
      <c r="T7681" s="5"/>
      <c r="U7681" s="5"/>
      <c r="V7681" s="5"/>
      <c r="W7681" s="5"/>
      <c r="X7681" s="5"/>
      <c r="Y7681" s="5"/>
      <c r="Z7681" s="5"/>
    </row>
    <row r="7682" spans="1:26" ht="15" x14ac:dyDescent="0.25">
      <c r="A7682" s="4" t="s">
        <v>7680</v>
      </c>
      <c r="B7682" s="4" t="s">
        <v>4550</v>
      </c>
      <c r="C7682" s="2" t="str">
        <f ca="1">IFERROR(__xludf.DUMMYFUNCTION("GOOGLETRANSLATE(A7682,""bn"",""en"")"),"He used to cut mangoes with a knife")</f>
        <v>He used to cut mangoes with a knife</v>
      </c>
      <c r="D7682" s="5"/>
      <c r="E7682" s="5"/>
      <c r="F7682" s="5"/>
      <c r="G7682" s="5"/>
      <c r="H7682" s="5"/>
      <c r="I7682" s="5"/>
      <c r="J7682" s="5"/>
      <c r="K7682" s="5"/>
      <c r="L7682" s="5"/>
      <c r="M7682" s="5"/>
      <c r="N7682" s="5"/>
      <c r="O7682" s="5"/>
      <c r="P7682" s="5"/>
      <c r="Q7682" s="5"/>
      <c r="R7682" s="5"/>
      <c r="S7682" s="5"/>
      <c r="T7682" s="5"/>
      <c r="U7682" s="5"/>
      <c r="V7682" s="5"/>
      <c r="W7682" s="5"/>
      <c r="X7682" s="5"/>
      <c r="Y7682" s="5"/>
      <c r="Z7682" s="5"/>
    </row>
    <row r="7683" spans="1:26" ht="15" x14ac:dyDescent="0.25">
      <c r="A7683" s="4" t="s">
        <v>7681</v>
      </c>
      <c r="B7683" s="4" t="s">
        <v>4550</v>
      </c>
      <c r="C7683" s="2" t="str">
        <f ca="1">IFERROR(__xludf.DUMMYFUNCTION("GOOGLETRANSLATE(A7683,""bn"",""en"")"),"Was making fish curry")</f>
        <v>Was making fish curry</v>
      </c>
      <c r="D7683" s="5"/>
      <c r="E7683" s="5"/>
      <c r="F7683" s="5"/>
      <c r="G7683" s="5"/>
      <c r="H7683" s="5"/>
      <c r="I7683" s="5"/>
      <c r="J7683" s="5"/>
      <c r="K7683" s="5"/>
      <c r="L7683" s="5"/>
      <c r="M7683" s="5"/>
      <c r="N7683" s="5"/>
      <c r="O7683" s="5"/>
      <c r="P7683" s="5"/>
      <c r="Q7683" s="5"/>
      <c r="R7683" s="5"/>
      <c r="S7683" s="5"/>
      <c r="T7683" s="5"/>
      <c r="U7683" s="5"/>
      <c r="V7683" s="5"/>
      <c r="W7683" s="5"/>
      <c r="X7683" s="5"/>
      <c r="Y7683" s="5"/>
      <c r="Z7683" s="5"/>
    </row>
    <row r="7684" spans="1:26" ht="15" x14ac:dyDescent="0.25">
      <c r="A7684" s="4" t="s">
        <v>7682</v>
      </c>
      <c r="B7684" s="4" t="s">
        <v>4550</v>
      </c>
      <c r="C7684" s="2" t="str">
        <f ca="1">IFERROR(__xludf.DUMMYFUNCTION("GOOGLETRANSLATE(A7684,""bn"",""en"")"),"He was starting a new college")</f>
        <v>He was starting a new college</v>
      </c>
      <c r="D7684" s="5"/>
      <c r="E7684" s="5"/>
      <c r="F7684" s="5"/>
      <c r="G7684" s="5"/>
      <c r="H7684" s="5"/>
      <c r="I7684" s="5"/>
      <c r="J7684" s="5"/>
      <c r="K7684" s="5"/>
      <c r="L7684" s="5"/>
      <c r="M7684" s="5"/>
      <c r="N7684" s="5"/>
      <c r="O7684" s="5"/>
      <c r="P7684" s="5"/>
      <c r="Q7684" s="5"/>
      <c r="R7684" s="5"/>
      <c r="S7684" s="5"/>
      <c r="T7684" s="5"/>
      <c r="U7684" s="5"/>
      <c r="V7684" s="5"/>
      <c r="W7684" s="5"/>
      <c r="X7684" s="5"/>
      <c r="Y7684" s="5"/>
      <c r="Z7684" s="5"/>
    </row>
    <row r="7685" spans="1:26" ht="15" x14ac:dyDescent="0.25">
      <c r="A7685" s="4" t="s">
        <v>7683</v>
      </c>
      <c r="B7685" s="4" t="s">
        <v>4550</v>
      </c>
      <c r="C7685" s="2" t="str">
        <f ca="1">IFERROR(__xludf.DUMMYFUNCTION("GOOGLETRANSLATE(A7685,""bn"",""en"")"),"The picture made me cry a lot")</f>
        <v>The picture made me cry a lot</v>
      </c>
      <c r="D7685" s="5"/>
      <c r="E7685" s="5"/>
      <c r="F7685" s="5"/>
      <c r="G7685" s="5"/>
      <c r="H7685" s="5"/>
      <c r="I7685" s="5"/>
      <c r="J7685" s="5"/>
      <c r="K7685" s="5"/>
      <c r="L7685" s="5"/>
      <c r="M7685" s="5"/>
      <c r="N7685" s="5"/>
      <c r="O7685" s="5"/>
      <c r="P7685" s="5"/>
      <c r="Q7685" s="5"/>
      <c r="R7685" s="5"/>
      <c r="S7685" s="5"/>
      <c r="T7685" s="5"/>
      <c r="U7685" s="5"/>
      <c r="V7685" s="5"/>
      <c r="W7685" s="5"/>
      <c r="X7685" s="5"/>
      <c r="Y7685" s="5"/>
      <c r="Z7685" s="5"/>
    </row>
    <row r="7686" spans="1:26" ht="15" x14ac:dyDescent="0.25">
      <c r="A7686" s="4" t="s">
        <v>7684</v>
      </c>
      <c r="B7686" s="4" t="s">
        <v>4550</v>
      </c>
      <c r="C7686" s="2" t="str">
        <f ca="1">IFERROR(__xludf.DUMMYFUNCTION("GOOGLETRANSLATE(A7686,""bn"",""en"")"),"They lost that day in badminton")</f>
        <v>They lost that day in badminton</v>
      </c>
      <c r="D7686" s="5"/>
      <c r="E7686" s="5"/>
      <c r="F7686" s="5"/>
      <c r="G7686" s="5"/>
      <c r="H7686" s="5"/>
      <c r="I7686" s="5"/>
      <c r="J7686" s="5"/>
      <c r="K7686" s="5"/>
      <c r="L7686" s="5"/>
      <c r="M7686" s="5"/>
      <c r="N7686" s="5"/>
      <c r="O7686" s="5"/>
      <c r="P7686" s="5"/>
      <c r="Q7686" s="5"/>
      <c r="R7686" s="5"/>
      <c r="S7686" s="5"/>
      <c r="T7686" s="5"/>
      <c r="U7686" s="5"/>
      <c r="V7686" s="5"/>
      <c r="W7686" s="5"/>
      <c r="X7686" s="5"/>
      <c r="Y7686" s="5"/>
      <c r="Z7686" s="5"/>
    </row>
    <row r="7687" spans="1:26" ht="15" x14ac:dyDescent="0.25">
      <c r="A7687" s="4" t="s">
        <v>7685</v>
      </c>
      <c r="B7687" s="4" t="s">
        <v>4550</v>
      </c>
      <c r="C7687" s="2" t="str">
        <f ca="1">IFERROR(__xludf.DUMMYFUNCTION("GOOGLETRANSLATE(A7687,""bn"",""en"")"),"was selected during the discussion")</f>
        <v>was selected during the discussion</v>
      </c>
      <c r="D7687" s="5"/>
      <c r="E7687" s="5"/>
      <c r="F7687" s="5"/>
      <c r="G7687" s="5"/>
      <c r="H7687" s="5"/>
      <c r="I7687" s="5"/>
      <c r="J7687" s="5"/>
      <c r="K7687" s="5"/>
      <c r="L7687" s="5"/>
      <c r="M7687" s="5"/>
      <c r="N7687" s="5"/>
      <c r="O7687" s="5"/>
      <c r="P7687" s="5"/>
      <c r="Q7687" s="5"/>
      <c r="R7687" s="5"/>
      <c r="S7687" s="5"/>
      <c r="T7687" s="5"/>
      <c r="U7687" s="5"/>
      <c r="V7687" s="5"/>
      <c r="W7687" s="5"/>
      <c r="X7687" s="5"/>
      <c r="Y7687" s="5"/>
      <c r="Z7687" s="5"/>
    </row>
    <row r="7688" spans="1:26" ht="15" x14ac:dyDescent="0.25">
      <c r="A7688" s="4" t="s">
        <v>7686</v>
      </c>
      <c r="B7688" s="4" t="s">
        <v>4550</v>
      </c>
      <c r="C7688" s="2" t="str">
        <f ca="1">IFERROR(__xludf.DUMMYFUNCTION("GOOGLETRANSLATE(A7688,""bn"",""en"")"),"I was inspired by them")</f>
        <v>I was inspired by them</v>
      </c>
      <c r="D7688" s="5"/>
      <c r="E7688" s="5"/>
      <c r="F7688" s="5"/>
      <c r="G7688" s="5"/>
      <c r="H7688" s="5"/>
      <c r="I7688" s="5"/>
      <c r="J7688" s="5"/>
      <c r="K7688" s="5"/>
      <c r="L7688" s="5"/>
      <c r="M7688" s="5"/>
      <c r="N7688" s="5"/>
      <c r="O7688" s="5"/>
      <c r="P7688" s="5"/>
      <c r="Q7688" s="5"/>
      <c r="R7688" s="5"/>
      <c r="S7688" s="5"/>
      <c r="T7688" s="5"/>
      <c r="U7688" s="5"/>
      <c r="V7688" s="5"/>
      <c r="W7688" s="5"/>
      <c r="X7688" s="5"/>
      <c r="Y7688" s="5"/>
      <c r="Z7688" s="5"/>
    </row>
    <row r="7689" spans="1:26" ht="15" x14ac:dyDescent="0.25">
      <c r="A7689" s="4" t="s">
        <v>7687</v>
      </c>
      <c r="B7689" s="4" t="s">
        <v>4550</v>
      </c>
      <c r="C7689" s="2" t="str">
        <f ca="1">IFERROR(__xludf.DUMMYFUNCTION("GOOGLETRANSLATE(A7689,""bn"",""en"")"),"Roasted with delicious spices")</f>
        <v>Roasted with delicious spices</v>
      </c>
      <c r="D7689" s="5"/>
      <c r="E7689" s="5"/>
      <c r="F7689" s="5"/>
      <c r="G7689" s="5"/>
      <c r="H7689" s="5"/>
      <c r="I7689" s="5"/>
      <c r="J7689" s="5"/>
      <c r="K7689" s="5"/>
      <c r="L7689" s="5"/>
      <c r="M7689" s="5"/>
      <c r="N7689" s="5"/>
      <c r="O7689" s="5"/>
      <c r="P7689" s="5"/>
      <c r="Q7689" s="5"/>
      <c r="R7689" s="5"/>
      <c r="S7689" s="5"/>
      <c r="T7689" s="5"/>
      <c r="U7689" s="5"/>
      <c r="V7689" s="5"/>
      <c r="W7689" s="5"/>
      <c r="X7689" s="5"/>
      <c r="Y7689" s="5"/>
      <c r="Z7689" s="5"/>
    </row>
    <row r="7690" spans="1:26" ht="15" x14ac:dyDescent="0.25">
      <c r="A7690" s="4" t="s">
        <v>7688</v>
      </c>
      <c r="B7690" s="4" t="s">
        <v>4550</v>
      </c>
      <c r="C7690" s="2" t="str">
        <f ca="1">IFERROR(__xludf.DUMMYFUNCTION("GOOGLETRANSLATE(A7690,""bn"",""en"")"),"Animal losses were negligible")</f>
        <v>Animal losses were negligible</v>
      </c>
      <c r="D7690" s="5"/>
      <c r="E7690" s="5"/>
      <c r="F7690" s="5"/>
      <c r="G7690" s="5"/>
      <c r="H7690" s="5"/>
      <c r="I7690" s="5"/>
      <c r="J7690" s="5"/>
      <c r="K7690" s="5"/>
      <c r="L7690" s="5"/>
      <c r="M7690" s="5"/>
      <c r="N7690" s="5"/>
      <c r="O7690" s="5"/>
      <c r="P7690" s="5"/>
      <c r="Q7690" s="5"/>
      <c r="R7690" s="5"/>
      <c r="S7690" s="5"/>
      <c r="T7690" s="5"/>
      <c r="U7690" s="5"/>
      <c r="V7690" s="5"/>
      <c r="W7690" s="5"/>
      <c r="X7690" s="5"/>
      <c r="Y7690" s="5"/>
      <c r="Z7690" s="5"/>
    </row>
    <row r="7691" spans="1:26" ht="15" x14ac:dyDescent="0.25">
      <c r="A7691" s="4" t="s">
        <v>7689</v>
      </c>
      <c r="B7691" s="4" t="s">
        <v>4550</v>
      </c>
      <c r="C7691" s="2" t="str">
        <f ca="1">IFERROR(__xludf.DUMMYFUNCTION("GOOGLETRANSLATE(A7691,""bn"",""en"")"),"I was relieved to see")</f>
        <v>I was relieved to see</v>
      </c>
      <c r="D7691" s="5"/>
      <c r="E7691" s="5"/>
      <c r="F7691" s="5"/>
      <c r="G7691" s="5"/>
      <c r="H7691" s="5"/>
      <c r="I7691" s="5"/>
      <c r="J7691" s="5"/>
      <c r="K7691" s="5"/>
      <c r="L7691" s="5"/>
      <c r="M7691" s="5"/>
      <c r="N7691" s="5"/>
      <c r="O7691" s="5"/>
      <c r="P7691" s="5"/>
      <c r="Q7691" s="5"/>
      <c r="R7691" s="5"/>
      <c r="S7691" s="5"/>
      <c r="T7691" s="5"/>
      <c r="U7691" s="5"/>
      <c r="V7691" s="5"/>
      <c r="W7691" s="5"/>
      <c r="X7691" s="5"/>
      <c r="Y7691" s="5"/>
      <c r="Z7691" s="5"/>
    </row>
    <row r="7692" spans="1:26" ht="15" x14ac:dyDescent="0.25">
      <c r="A7692" s="4" t="s">
        <v>7690</v>
      </c>
      <c r="B7692" s="4" t="s">
        <v>4550</v>
      </c>
      <c r="C7692" s="2" t="str">
        <f ca="1">IFERROR(__xludf.DUMMYFUNCTION("GOOGLETRANSLATE(A7692,""bn"",""en"")"),"Shokar became a political activist")</f>
        <v>Shokar became a political activist</v>
      </c>
      <c r="D7692" s="5"/>
      <c r="E7692" s="5"/>
      <c r="F7692" s="5"/>
      <c r="G7692" s="5"/>
      <c r="H7692" s="5"/>
      <c r="I7692" s="5"/>
      <c r="J7692" s="5"/>
      <c r="K7692" s="5"/>
      <c r="L7692" s="5"/>
      <c r="M7692" s="5"/>
      <c r="N7692" s="5"/>
      <c r="O7692" s="5"/>
      <c r="P7692" s="5"/>
      <c r="Q7692" s="5"/>
      <c r="R7692" s="5"/>
      <c r="S7692" s="5"/>
      <c r="T7692" s="5"/>
      <c r="U7692" s="5"/>
      <c r="V7692" s="5"/>
      <c r="W7692" s="5"/>
      <c r="X7692" s="5"/>
      <c r="Y7692" s="5"/>
      <c r="Z7692" s="5"/>
    </row>
    <row r="7693" spans="1:26" ht="15" x14ac:dyDescent="0.25">
      <c r="A7693" s="4" t="s">
        <v>7691</v>
      </c>
      <c r="B7693" s="4" t="s">
        <v>4550</v>
      </c>
      <c r="C7693" s="2" t="str">
        <f ca="1">IFERROR(__xludf.DUMMYFUNCTION("GOOGLETRANSLATE(A7693,""bn"",""en"")"),"He bought the house in Billet")</f>
        <v>He bought the house in Billet</v>
      </c>
      <c r="D7693" s="5"/>
      <c r="E7693" s="5"/>
      <c r="F7693" s="5"/>
      <c r="G7693" s="5"/>
      <c r="H7693" s="5"/>
      <c r="I7693" s="5"/>
      <c r="J7693" s="5"/>
      <c r="K7693" s="5"/>
      <c r="L7693" s="5"/>
      <c r="M7693" s="5"/>
      <c r="N7693" s="5"/>
      <c r="O7693" s="5"/>
      <c r="P7693" s="5"/>
      <c r="Q7693" s="5"/>
      <c r="R7693" s="5"/>
      <c r="S7693" s="5"/>
      <c r="T7693" s="5"/>
      <c r="U7693" s="5"/>
      <c r="V7693" s="5"/>
      <c r="W7693" s="5"/>
      <c r="X7693" s="5"/>
      <c r="Y7693" s="5"/>
      <c r="Z7693" s="5"/>
    </row>
    <row r="7694" spans="1:26" ht="15" x14ac:dyDescent="0.25">
      <c r="A7694" s="4" t="s">
        <v>7692</v>
      </c>
      <c r="B7694" s="4" t="s">
        <v>4550</v>
      </c>
      <c r="C7694" s="2" t="str">
        <f ca="1">IFERROR(__xludf.DUMMYFUNCTION("GOOGLETRANSLATE(A7694,""bn"",""en"")"),"The committee was formed in the meeting")</f>
        <v>The committee was formed in the meeting</v>
      </c>
      <c r="D7694" s="5"/>
      <c r="E7694" s="5"/>
      <c r="F7694" s="5"/>
      <c r="G7694" s="5"/>
      <c r="H7694" s="5"/>
      <c r="I7694" s="5"/>
      <c r="J7694" s="5"/>
      <c r="K7694" s="5"/>
      <c r="L7694" s="5"/>
      <c r="M7694" s="5"/>
      <c r="N7694" s="5"/>
      <c r="O7694" s="5"/>
      <c r="P7694" s="5"/>
      <c r="Q7694" s="5"/>
      <c r="R7694" s="5"/>
      <c r="S7694" s="5"/>
      <c r="T7694" s="5"/>
      <c r="U7694" s="5"/>
      <c r="V7694" s="5"/>
      <c r="W7694" s="5"/>
      <c r="X7694" s="5"/>
      <c r="Y7694" s="5"/>
      <c r="Z7694" s="5"/>
    </row>
    <row r="7695" spans="1:26" ht="15" x14ac:dyDescent="0.25">
      <c r="A7695" s="4" t="s">
        <v>7693</v>
      </c>
      <c r="B7695" s="4" t="s">
        <v>4550</v>
      </c>
      <c r="C7695" s="2" t="str">
        <f ca="1">IFERROR(__xludf.DUMMYFUNCTION("GOOGLETRANSLATE(A7695,""bn"",""en"")"),"Everyone watched the movie last week")</f>
        <v>Everyone watched the movie last week</v>
      </c>
      <c r="D7695" s="5"/>
      <c r="E7695" s="5"/>
      <c r="F7695" s="5"/>
      <c r="G7695" s="5"/>
      <c r="H7695" s="5"/>
      <c r="I7695" s="5"/>
      <c r="J7695" s="5"/>
      <c r="K7695" s="5"/>
      <c r="L7695" s="5"/>
      <c r="M7695" s="5"/>
      <c r="N7695" s="5"/>
      <c r="O7695" s="5"/>
      <c r="P7695" s="5"/>
      <c r="Q7695" s="5"/>
      <c r="R7695" s="5"/>
      <c r="S7695" s="5"/>
      <c r="T7695" s="5"/>
      <c r="U7695" s="5"/>
      <c r="V7695" s="5"/>
      <c r="W7695" s="5"/>
      <c r="X7695" s="5"/>
      <c r="Y7695" s="5"/>
      <c r="Z7695" s="5"/>
    </row>
    <row r="7696" spans="1:26" ht="15" x14ac:dyDescent="0.25">
      <c r="A7696" s="4" t="s">
        <v>7694</v>
      </c>
      <c r="B7696" s="4" t="s">
        <v>4550</v>
      </c>
      <c r="C7696" s="2" t="str">
        <f ca="1">IFERROR(__xludf.DUMMYFUNCTION("GOOGLETRANSLATE(A7696,""bn"",""en"")"),"The players lost against the collectors")</f>
        <v>The players lost against the collectors</v>
      </c>
      <c r="D7696" s="5"/>
      <c r="E7696" s="5"/>
      <c r="F7696" s="5"/>
      <c r="G7696" s="5"/>
      <c r="H7696" s="5"/>
      <c r="I7696" s="5"/>
      <c r="J7696" s="5"/>
      <c r="K7696" s="5"/>
      <c r="L7696" s="5"/>
      <c r="M7696" s="5"/>
      <c r="N7696" s="5"/>
      <c r="O7696" s="5"/>
      <c r="P7696" s="5"/>
      <c r="Q7696" s="5"/>
      <c r="R7696" s="5"/>
      <c r="S7696" s="5"/>
      <c r="T7696" s="5"/>
      <c r="U7696" s="5"/>
      <c r="V7696" s="5"/>
      <c r="W7696" s="5"/>
      <c r="X7696" s="5"/>
      <c r="Y7696" s="5"/>
      <c r="Z7696" s="5"/>
    </row>
    <row r="7697" spans="1:26" ht="15" x14ac:dyDescent="0.25">
      <c r="A7697" s="4" t="s">
        <v>7695</v>
      </c>
      <c r="B7697" s="4" t="s">
        <v>4550</v>
      </c>
      <c r="C7697" s="2" t="str">
        <f ca="1">IFERROR(__xludf.DUMMYFUNCTION("GOOGLETRANSLATE(A7697,""bn"",""en"")"),"Everyone gave their inspiration")</f>
        <v>Everyone gave their inspiration</v>
      </c>
      <c r="D7697" s="5"/>
      <c r="E7697" s="5"/>
      <c r="F7697" s="5"/>
      <c r="G7697" s="5"/>
      <c r="H7697" s="5"/>
      <c r="I7697" s="5"/>
      <c r="J7697" s="5"/>
      <c r="K7697" s="5"/>
      <c r="L7697" s="5"/>
      <c r="M7697" s="5"/>
      <c r="N7697" s="5"/>
      <c r="O7697" s="5"/>
      <c r="P7697" s="5"/>
      <c r="Q7697" s="5"/>
      <c r="R7697" s="5"/>
      <c r="S7697" s="5"/>
      <c r="T7697" s="5"/>
      <c r="U7697" s="5"/>
      <c r="V7697" s="5"/>
      <c r="W7697" s="5"/>
      <c r="X7697" s="5"/>
      <c r="Y7697" s="5"/>
      <c r="Z7697" s="5"/>
    </row>
    <row r="7698" spans="1:26" ht="15" x14ac:dyDescent="0.25">
      <c r="A7698" s="4" t="s">
        <v>7696</v>
      </c>
      <c r="B7698" s="4" t="s">
        <v>4550</v>
      </c>
      <c r="C7698" s="2" t="str">
        <f ca="1">IFERROR(__xludf.DUMMYFUNCTION("GOOGLETRANSLATE(A7698,""bn"",""en"")"),"Crops were saved")</f>
        <v>Crops were saved</v>
      </c>
      <c r="D7698" s="5"/>
      <c r="E7698" s="5"/>
      <c r="F7698" s="5"/>
      <c r="G7698" s="5"/>
      <c r="H7698" s="5"/>
      <c r="I7698" s="5"/>
      <c r="J7698" s="5"/>
      <c r="K7698" s="5"/>
      <c r="L7698" s="5"/>
      <c r="M7698" s="5"/>
      <c r="N7698" s="5"/>
      <c r="O7698" s="5"/>
      <c r="P7698" s="5"/>
      <c r="Q7698" s="5"/>
      <c r="R7698" s="5"/>
      <c r="S7698" s="5"/>
      <c r="T7698" s="5"/>
      <c r="U7698" s="5"/>
      <c r="V7698" s="5"/>
      <c r="W7698" s="5"/>
      <c r="X7698" s="5"/>
      <c r="Y7698" s="5"/>
      <c r="Z7698" s="5"/>
    </row>
    <row r="7699" spans="1:26" ht="15" x14ac:dyDescent="0.25">
      <c r="A7699" s="4" t="s">
        <v>7697</v>
      </c>
      <c r="B7699" s="4" t="s">
        <v>4550</v>
      </c>
      <c r="C7699" s="2" t="str">
        <f ca="1">IFERROR(__xludf.DUMMYFUNCTION("GOOGLETRANSLATE(A7699,""bn"",""en"")"),"Chinese cooking was done")</f>
        <v>Chinese cooking was done</v>
      </c>
      <c r="D7699" s="5"/>
      <c r="E7699" s="5"/>
      <c r="F7699" s="5"/>
      <c r="G7699" s="5"/>
      <c r="H7699" s="5"/>
      <c r="I7699" s="5"/>
      <c r="J7699" s="5"/>
      <c r="K7699" s="5"/>
      <c r="L7699" s="5"/>
      <c r="M7699" s="5"/>
      <c r="N7699" s="5"/>
      <c r="O7699" s="5"/>
      <c r="P7699" s="5"/>
      <c r="Q7699" s="5"/>
      <c r="R7699" s="5"/>
      <c r="S7699" s="5"/>
      <c r="T7699" s="5"/>
      <c r="U7699" s="5"/>
      <c r="V7699" s="5"/>
      <c r="W7699" s="5"/>
      <c r="X7699" s="5"/>
      <c r="Y7699" s="5"/>
      <c r="Z7699" s="5"/>
    </row>
    <row r="7700" spans="1:26" ht="15" x14ac:dyDescent="0.25">
      <c r="A7700" s="4" t="s">
        <v>7698</v>
      </c>
      <c r="B7700" s="4" t="s">
        <v>4550</v>
      </c>
      <c r="C7700" s="2" t="str">
        <f ca="1">IFERROR(__xludf.DUMMYFUNCTION("GOOGLETRANSLATE(A7700,""bn"",""en"")"),"I was making tomato sauce")</f>
        <v>I was making tomato sauce</v>
      </c>
      <c r="D7700" s="5"/>
      <c r="E7700" s="5"/>
      <c r="F7700" s="5"/>
      <c r="G7700" s="5"/>
      <c r="H7700" s="5"/>
      <c r="I7700" s="5"/>
      <c r="J7700" s="5"/>
      <c r="K7700" s="5"/>
      <c r="L7700" s="5"/>
      <c r="M7700" s="5"/>
      <c r="N7700" s="5"/>
      <c r="O7700" s="5"/>
      <c r="P7700" s="5"/>
      <c r="Q7700" s="5"/>
      <c r="R7700" s="5"/>
      <c r="S7700" s="5"/>
      <c r="T7700" s="5"/>
      <c r="U7700" s="5"/>
      <c r="V7700" s="5"/>
      <c r="W7700" s="5"/>
      <c r="X7700" s="5"/>
      <c r="Y7700" s="5"/>
      <c r="Z7700" s="5"/>
    </row>
    <row r="7701" spans="1:26" ht="15" x14ac:dyDescent="0.25">
      <c r="A7701" s="4" t="s">
        <v>7699</v>
      </c>
      <c r="B7701" s="4" t="s">
        <v>4550</v>
      </c>
      <c r="C7701" s="2" t="str">
        <f ca="1">IFERROR(__xludf.DUMMYFUNCTION("GOOGLETRANSLATE(A7701,""bn"",""en"")"),"They bought smartwatches earlier")</f>
        <v>They bought smartwatches earlier</v>
      </c>
      <c r="D7701" s="5"/>
      <c r="E7701" s="5"/>
      <c r="F7701" s="5"/>
      <c r="G7701" s="5"/>
      <c r="H7701" s="5"/>
      <c r="I7701" s="5"/>
      <c r="J7701" s="5"/>
      <c r="K7701" s="5"/>
      <c r="L7701" s="5"/>
      <c r="M7701" s="5"/>
      <c r="N7701" s="5"/>
      <c r="O7701" s="5"/>
      <c r="P7701" s="5"/>
      <c r="Q7701" s="5"/>
      <c r="R7701" s="5"/>
      <c r="S7701" s="5"/>
      <c r="T7701" s="5"/>
      <c r="U7701" s="5"/>
      <c r="V7701" s="5"/>
      <c r="W7701" s="5"/>
      <c r="X7701" s="5"/>
      <c r="Y7701" s="5"/>
      <c r="Z7701" s="5"/>
    </row>
    <row r="7702" spans="1:26" ht="15" x14ac:dyDescent="0.25">
      <c r="A7702" s="4" t="s">
        <v>7700</v>
      </c>
      <c r="B7702" s="4" t="s">
        <v>4550</v>
      </c>
      <c r="C7702" s="2" t="str">
        <f ca="1">IFERROR(__xludf.DUMMYFUNCTION("GOOGLETRANSLATE(A7702,""bn"",""en"")"),"Played tennis last month")</f>
        <v>Played tennis last month</v>
      </c>
      <c r="D7702" s="5"/>
      <c r="E7702" s="5"/>
      <c r="F7702" s="5"/>
      <c r="G7702" s="5"/>
      <c r="H7702" s="5"/>
      <c r="I7702" s="5"/>
      <c r="J7702" s="5"/>
      <c r="K7702" s="5"/>
      <c r="L7702" s="5"/>
      <c r="M7702" s="5"/>
      <c r="N7702" s="5"/>
      <c r="O7702" s="5"/>
      <c r="P7702" s="5"/>
      <c r="Q7702" s="5"/>
      <c r="R7702" s="5"/>
      <c r="S7702" s="5"/>
      <c r="T7702" s="5"/>
      <c r="U7702" s="5"/>
      <c r="V7702" s="5"/>
      <c r="W7702" s="5"/>
      <c r="X7702" s="5"/>
      <c r="Y7702" s="5"/>
      <c r="Z7702" s="5"/>
    </row>
    <row r="7703" spans="1:26" ht="15" x14ac:dyDescent="0.25">
      <c r="A7703" s="4" t="s">
        <v>7701</v>
      </c>
      <c r="B7703" s="4" t="s">
        <v>4550</v>
      </c>
      <c r="C7703" s="2" t="str">
        <f ca="1">IFERROR(__xludf.DUMMYFUNCTION("GOOGLETRANSLATE(A7703,""bn"",""en"")"),"Hockey was played in great display")</f>
        <v>Hockey was played in great display</v>
      </c>
      <c r="D7703" s="5"/>
      <c r="E7703" s="5"/>
      <c r="F7703" s="5"/>
      <c r="G7703" s="5"/>
      <c r="H7703" s="5"/>
      <c r="I7703" s="5"/>
      <c r="J7703" s="5"/>
      <c r="K7703" s="5"/>
      <c r="L7703" s="5"/>
      <c r="M7703" s="5"/>
      <c r="N7703" s="5"/>
      <c r="O7703" s="5"/>
      <c r="P7703" s="5"/>
      <c r="Q7703" s="5"/>
      <c r="R7703" s="5"/>
      <c r="S7703" s="5"/>
      <c r="T7703" s="5"/>
      <c r="U7703" s="5"/>
      <c r="V7703" s="5"/>
      <c r="W7703" s="5"/>
      <c r="X7703" s="5"/>
      <c r="Y7703" s="5"/>
      <c r="Z7703" s="5"/>
    </row>
    <row r="7704" spans="1:26" ht="15" x14ac:dyDescent="0.25">
      <c r="A7704" s="4" t="s">
        <v>7702</v>
      </c>
      <c r="B7704" s="4" t="s">
        <v>4550</v>
      </c>
      <c r="C7704" s="2" t="str">
        <f ca="1">IFERROR(__xludf.DUMMYFUNCTION("GOOGLETRANSLATE(A7704,""bn"",""en"")"),"When have you seen a romantic film?")</f>
        <v>When have you seen a romantic film?</v>
      </c>
      <c r="D7704" s="5"/>
      <c r="E7704" s="5"/>
      <c r="F7704" s="5"/>
      <c r="G7704" s="5"/>
      <c r="H7704" s="5"/>
      <c r="I7704" s="5"/>
      <c r="J7704" s="5"/>
      <c r="K7704" s="5"/>
      <c r="L7704" s="5"/>
      <c r="M7704" s="5"/>
      <c r="N7704" s="5"/>
      <c r="O7704" s="5"/>
      <c r="P7704" s="5"/>
      <c r="Q7704" s="5"/>
      <c r="R7704" s="5"/>
      <c r="S7704" s="5"/>
      <c r="T7704" s="5"/>
      <c r="U7704" s="5"/>
      <c r="V7704" s="5"/>
      <c r="W7704" s="5"/>
      <c r="X7704" s="5"/>
      <c r="Y7704" s="5"/>
      <c r="Z7704" s="5"/>
    </row>
    <row r="7705" spans="1:26" ht="15" x14ac:dyDescent="0.25">
      <c r="A7705" s="4" t="s">
        <v>7703</v>
      </c>
      <c r="B7705" s="4" t="s">
        <v>4550</v>
      </c>
      <c r="C7705" s="2" t="str">
        <f ca="1">IFERROR(__xludf.DUMMYFUNCTION("GOOGLETRANSLATE(A7705,""bn"",""en"")"),"Pizza was made with eggplant")</f>
        <v>Pizza was made with eggplant</v>
      </c>
      <c r="D7705" s="5"/>
      <c r="E7705" s="5"/>
      <c r="F7705" s="5"/>
      <c r="G7705" s="5"/>
      <c r="H7705" s="5"/>
      <c r="I7705" s="5"/>
      <c r="J7705" s="5"/>
      <c r="K7705" s="5"/>
      <c r="L7705" s="5"/>
      <c r="M7705" s="5"/>
      <c r="N7705" s="5"/>
      <c r="O7705" s="5"/>
      <c r="P7705" s="5"/>
      <c r="Q7705" s="5"/>
      <c r="R7705" s="5"/>
      <c r="S7705" s="5"/>
      <c r="T7705" s="5"/>
      <c r="U7705" s="5"/>
      <c r="V7705" s="5"/>
      <c r="W7705" s="5"/>
      <c r="X7705" s="5"/>
      <c r="Y7705" s="5"/>
      <c r="Z7705" s="5"/>
    </row>
    <row r="7706" spans="1:26" ht="15" x14ac:dyDescent="0.25">
      <c r="A7706" s="4" t="s">
        <v>7704</v>
      </c>
      <c r="B7706" s="4" t="s">
        <v>4550</v>
      </c>
      <c r="C7706" s="2" t="str">
        <f ca="1">IFERROR(__xludf.DUMMYFUNCTION("GOOGLETRANSLATE(A7706,""bn"",""en"")"),"There was a football tournament in December")</f>
        <v>There was a football tournament in December</v>
      </c>
      <c r="D7706" s="5"/>
      <c r="E7706" s="5"/>
      <c r="F7706" s="5"/>
      <c r="G7706" s="5"/>
      <c r="H7706" s="5"/>
      <c r="I7706" s="5"/>
      <c r="J7706" s="5"/>
      <c r="K7706" s="5"/>
      <c r="L7706" s="5"/>
      <c r="M7706" s="5"/>
      <c r="N7706" s="5"/>
      <c r="O7706" s="5"/>
      <c r="P7706" s="5"/>
      <c r="Q7706" s="5"/>
      <c r="R7706" s="5"/>
      <c r="S7706" s="5"/>
      <c r="T7706" s="5"/>
      <c r="U7706" s="5"/>
      <c r="V7706" s="5"/>
      <c r="W7706" s="5"/>
      <c r="X7706" s="5"/>
      <c r="Y7706" s="5"/>
      <c r="Z7706" s="5"/>
    </row>
    <row r="7707" spans="1:26" ht="15" x14ac:dyDescent="0.25">
      <c r="A7707" s="4" t="s">
        <v>7705</v>
      </c>
      <c r="B7707" s="4" t="s">
        <v>4550</v>
      </c>
      <c r="C7707" s="2" t="str">
        <f ca="1">IFERROR(__xludf.DUMMYFUNCTION("GOOGLETRANSLATE(A7707,""bn"",""en"")"),"The singers sang leisurely")</f>
        <v>The singers sang leisurely</v>
      </c>
      <c r="D7707" s="5"/>
      <c r="E7707" s="5"/>
      <c r="F7707" s="5"/>
      <c r="G7707" s="5"/>
      <c r="H7707" s="5"/>
      <c r="I7707" s="5"/>
      <c r="J7707" s="5"/>
      <c r="K7707" s="5"/>
      <c r="L7707" s="5"/>
      <c r="M7707" s="5"/>
      <c r="N7707" s="5"/>
      <c r="O7707" s="5"/>
      <c r="P7707" s="5"/>
      <c r="Q7707" s="5"/>
      <c r="R7707" s="5"/>
      <c r="S7707" s="5"/>
      <c r="T7707" s="5"/>
      <c r="U7707" s="5"/>
      <c r="V7707" s="5"/>
      <c r="W7707" s="5"/>
      <c r="X7707" s="5"/>
      <c r="Y7707" s="5"/>
      <c r="Z7707" s="5"/>
    </row>
    <row r="7708" spans="1:26" ht="15" x14ac:dyDescent="0.25">
      <c r="A7708" s="4" t="s">
        <v>7706</v>
      </c>
      <c r="B7708" s="4" t="s">
        <v>4550</v>
      </c>
      <c r="C7708" s="2" t="str">
        <f ca="1">IFERROR(__xludf.DUMMYFUNCTION("GOOGLETRANSLATE(A7708,""bn"",""en"")"),"Water was irrigated")</f>
        <v>Water was irrigated</v>
      </c>
      <c r="D7708" s="5"/>
      <c r="E7708" s="5"/>
      <c r="F7708" s="5"/>
      <c r="G7708" s="5"/>
      <c r="H7708" s="5"/>
      <c r="I7708" s="5"/>
      <c r="J7708" s="5"/>
      <c r="K7708" s="5"/>
      <c r="L7708" s="5"/>
      <c r="M7708" s="5"/>
      <c r="N7708" s="5"/>
      <c r="O7708" s="5"/>
      <c r="P7708" s="5"/>
      <c r="Q7708" s="5"/>
      <c r="R7708" s="5"/>
      <c r="S7708" s="5"/>
      <c r="T7708" s="5"/>
      <c r="U7708" s="5"/>
      <c r="V7708" s="5"/>
      <c r="W7708" s="5"/>
      <c r="X7708" s="5"/>
      <c r="Y7708" s="5"/>
      <c r="Z7708" s="5"/>
    </row>
    <row r="7709" spans="1:26" ht="15" x14ac:dyDescent="0.25">
      <c r="A7709" s="4" t="s">
        <v>7707</v>
      </c>
      <c r="B7709" s="4" t="s">
        <v>4550</v>
      </c>
      <c r="C7709" s="2" t="str">
        <f ca="1">IFERROR(__xludf.DUMMYFUNCTION("GOOGLETRANSLATE(A7709,""bn"",""en"")"),"Agricultural development took place under")</f>
        <v>Agricultural development took place under</v>
      </c>
      <c r="D7709" s="5"/>
      <c r="E7709" s="5"/>
      <c r="F7709" s="5"/>
      <c r="G7709" s="5"/>
      <c r="H7709" s="5"/>
      <c r="I7709" s="5"/>
      <c r="J7709" s="5"/>
      <c r="K7709" s="5"/>
      <c r="L7709" s="5"/>
      <c r="M7709" s="5"/>
      <c r="N7709" s="5"/>
      <c r="O7709" s="5"/>
      <c r="P7709" s="5"/>
      <c r="Q7709" s="5"/>
      <c r="R7709" s="5"/>
      <c r="S7709" s="5"/>
      <c r="T7709" s="5"/>
      <c r="U7709" s="5"/>
      <c r="V7709" s="5"/>
      <c r="W7709" s="5"/>
      <c r="X7709" s="5"/>
      <c r="Y7709" s="5"/>
      <c r="Z7709" s="5"/>
    </row>
    <row r="7710" spans="1:26" ht="15" x14ac:dyDescent="0.25">
      <c r="A7710" s="4" t="s">
        <v>7708</v>
      </c>
      <c r="B7710" s="4" t="s">
        <v>4550</v>
      </c>
      <c r="C7710" s="2" t="str">
        <f ca="1">IFERROR(__xludf.DUMMYFUNCTION("GOOGLETRANSLATE(A7710,""bn"",""en"")"),"Watched the movie for a week")</f>
        <v>Watched the movie for a week</v>
      </c>
      <c r="D7710" s="5"/>
      <c r="E7710" s="5"/>
      <c r="F7710" s="5"/>
      <c r="G7710" s="5"/>
      <c r="H7710" s="5"/>
      <c r="I7710" s="5"/>
      <c r="J7710" s="5"/>
      <c r="K7710" s="5"/>
      <c r="L7710" s="5"/>
      <c r="M7710" s="5"/>
      <c r="N7710" s="5"/>
      <c r="O7710" s="5"/>
      <c r="P7710" s="5"/>
      <c r="Q7710" s="5"/>
      <c r="R7710" s="5"/>
      <c r="S7710" s="5"/>
      <c r="T7710" s="5"/>
      <c r="U7710" s="5"/>
      <c r="V7710" s="5"/>
      <c r="W7710" s="5"/>
      <c r="X7710" s="5"/>
      <c r="Y7710" s="5"/>
      <c r="Z7710" s="5"/>
    </row>
    <row r="7711" spans="1:26" ht="15" x14ac:dyDescent="0.25">
      <c r="A7711" s="4" t="s">
        <v>7709</v>
      </c>
      <c r="B7711" s="4" t="s">
        <v>4550</v>
      </c>
      <c r="C7711" s="2" t="str">
        <f ca="1">IFERROR(__xludf.DUMMYFUNCTION("GOOGLETRANSLATE(A7711,""bn"",""en"")"),"Students were focused on their studies")</f>
        <v>Students were focused on their studies</v>
      </c>
      <c r="D7711" s="5"/>
      <c r="E7711" s="5"/>
      <c r="F7711" s="5"/>
      <c r="G7711" s="5"/>
      <c r="H7711" s="5"/>
      <c r="I7711" s="5"/>
      <c r="J7711" s="5"/>
      <c r="K7711" s="5"/>
      <c r="L7711" s="5"/>
      <c r="M7711" s="5"/>
      <c r="N7711" s="5"/>
      <c r="O7711" s="5"/>
      <c r="P7711" s="5"/>
      <c r="Q7711" s="5"/>
      <c r="R7711" s="5"/>
      <c r="S7711" s="5"/>
      <c r="T7711" s="5"/>
      <c r="U7711" s="5"/>
      <c r="V7711" s="5"/>
      <c r="W7711" s="5"/>
      <c r="X7711" s="5"/>
      <c r="Y7711" s="5"/>
      <c r="Z7711" s="5"/>
    </row>
    <row r="7712" spans="1:26" ht="15" x14ac:dyDescent="0.25">
      <c r="A7712" s="4" t="s">
        <v>7710</v>
      </c>
      <c r="B7712" s="4" t="s">
        <v>4550</v>
      </c>
      <c r="C7712" s="2" t="str">
        <f ca="1">IFERROR(__xludf.DUMMYFUNCTION("GOOGLETRANSLATE(A7712,""bn"",""en"")"),"They lost the match today")</f>
        <v>They lost the match today</v>
      </c>
      <c r="D7712" s="5"/>
      <c r="E7712" s="5"/>
      <c r="F7712" s="5"/>
      <c r="G7712" s="5"/>
      <c r="H7712" s="5"/>
      <c r="I7712" s="5"/>
      <c r="J7712" s="5"/>
      <c r="K7712" s="5"/>
      <c r="L7712" s="5"/>
      <c r="M7712" s="5"/>
      <c r="N7712" s="5"/>
      <c r="O7712" s="5"/>
      <c r="P7712" s="5"/>
      <c r="Q7712" s="5"/>
      <c r="R7712" s="5"/>
      <c r="S7712" s="5"/>
      <c r="T7712" s="5"/>
      <c r="U7712" s="5"/>
      <c r="V7712" s="5"/>
      <c r="W7712" s="5"/>
      <c r="X7712" s="5"/>
      <c r="Y7712" s="5"/>
      <c r="Z7712" s="5"/>
    </row>
    <row r="7713" spans="1:26" ht="15" x14ac:dyDescent="0.25">
      <c r="A7713" s="4" t="s">
        <v>7711</v>
      </c>
      <c r="B7713" s="4" t="s">
        <v>4550</v>
      </c>
      <c r="C7713" s="2" t="str">
        <f ca="1">IFERROR(__xludf.DUMMYFUNCTION("GOOGLETRANSLATE(A7713,""bn"",""en"")"),"I used a new brush")</f>
        <v>I used a new brush</v>
      </c>
      <c r="D7713" s="5"/>
      <c r="E7713" s="5"/>
      <c r="F7713" s="5"/>
      <c r="G7713" s="5"/>
      <c r="H7713" s="5"/>
      <c r="I7713" s="5"/>
      <c r="J7713" s="5"/>
      <c r="K7713" s="5"/>
      <c r="L7713" s="5"/>
      <c r="M7713" s="5"/>
      <c r="N7713" s="5"/>
      <c r="O7713" s="5"/>
      <c r="P7713" s="5"/>
      <c r="Q7713" s="5"/>
      <c r="R7713" s="5"/>
      <c r="S7713" s="5"/>
      <c r="T7713" s="5"/>
      <c r="U7713" s="5"/>
      <c r="V7713" s="5"/>
      <c r="W7713" s="5"/>
      <c r="X7713" s="5"/>
      <c r="Y7713" s="5"/>
      <c r="Z7713" s="5"/>
    </row>
    <row r="7714" spans="1:26" ht="15" x14ac:dyDescent="0.25">
      <c r="A7714" s="4" t="s">
        <v>7712</v>
      </c>
      <c r="B7714" s="4" t="s">
        <v>4550</v>
      </c>
      <c r="C7714" s="2" t="str">
        <f ca="1">IFERROR(__xludf.DUMMYFUNCTION("GOOGLETRANSLATE(A7714,""bn"",""en"")"),"Irrigation was done on time")</f>
        <v>Irrigation was done on time</v>
      </c>
      <c r="D7714" s="5"/>
      <c r="E7714" s="5"/>
      <c r="F7714" s="5"/>
      <c r="G7714" s="5"/>
      <c r="H7714" s="5"/>
      <c r="I7714" s="5"/>
      <c r="J7714" s="5"/>
      <c r="K7714" s="5"/>
      <c r="L7714" s="5"/>
      <c r="M7714" s="5"/>
      <c r="N7714" s="5"/>
      <c r="O7714" s="5"/>
      <c r="P7714" s="5"/>
      <c r="Q7714" s="5"/>
      <c r="R7714" s="5"/>
      <c r="S7714" s="5"/>
      <c r="T7714" s="5"/>
      <c r="U7714" s="5"/>
      <c r="V7714" s="5"/>
      <c r="W7714" s="5"/>
      <c r="X7714" s="5"/>
      <c r="Y7714" s="5"/>
      <c r="Z7714" s="5"/>
    </row>
    <row r="7715" spans="1:26" ht="15" x14ac:dyDescent="0.25">
      <c r="A7715" s="4" t="s">
        <v>7713</v>
      </c>
      <c r="B7715" s="4" t="s">
        <v>4550</v>
      </c>
      <c r="C7715" s="2" t="str">
        <f ca="1">IFERROR(__xludf.DUMMYFUNCTION("GOOGLETRANSLATE(A7715,""bn"",""en"")"),"He was eating at a new restaurant")</f>
        <v>He was eating at a new restaurant</v>
      </c>
      <c r="D7715" s="5"/>
      <c r="E7715" s="5"/>
      <c r="F7715" s="5"/>
      <c r="G7715" s="5"/>
      <c r="H7715" s="5"/>
      <c r="I7715" s="5"/>
      <c r="J7715" s="5"/>
      <c r="K7715" s="5"/>
      <c r="L7715" s="5"/>
      <c r="M7715" s="5"/>
      <c r="N7715" s="5"/>
      <c r="O7715" s="5"/>
      <c r="P7715" s="5"/>
      <c r="Q7715" s="5"/>
      <c r="R7715" s="5"/>
      <c r="S7715" s="5"/>
      <c r="T7715" s="5"/>
      <c r="U7715" s="5"/>
      <c r="V7715" s="5"/>
      <c r="W7715" s="5"/>
      <c r="X7715" s="5"/>
      <c r="Y7715" s="5"/>
      <c r="Z7715" s="5"/>
    </row>
    <row r="7716" spans="1:26" ht="15" x14ac:dyDescent="0.25">
      <c r="A7716" s="4" t="s">
        <v>7714</v>
      </c>
      <c r="B7716" s="4" t="s">
        <v>4550</v>
      </c>
      <c r="C7716" s="2" t="str">
        <f ca="1">IFERROR(__xludf.DUMMYFUNCTION("GOOGLETRANSLATE(A7716,""bn"",""en"")"),"He became a popular political activist")</f>
        <v>He became a popular political activist</v>
      </c>
      <c r="D7716" s="5"/>
      <c r="E7716" s="5"/>
      <c r="F7716" s="5"/>
      <c r="G7716" s="5"/>
      <c r="H7716" s="5"/>
      <c r="I7716" s="5"/>
      <c r="J7716" s="5"/>
      <c r="K7716" s="5"/>
      <c r="L7716" s="5"/>
      <c r="M7716" s="5"/>
      <c r="N7716" s="5"/>
      <c r="O7716" s="5"/>
      <c r="P7716" s="5"/>
      <c r="Q7716" s="5"/>
      <c r="R7716" s="5"/>
      <c r="S7716" s="5"/>
      <c r="T7716" s="5"/>
      <c r="U7716" s="5"/>
      <c r="V7716" s="5"/>
      <c r="W7716" s="5"/>
      <c r="X7716" s="5"/>
      <c r="Y7716" s="5"/>
      <c r="Z7716" s="5"/>
    </row>
    <row r="7717" spans="1:26" ht="15" x14ac:dyDescent="0.25">
      <c r="A7717" s="4" t="s">
        <v>7715</v>
      </c>
      <c r="B7717" s="4" t="s">
        <v>4550</v>
      </c>
      <c r="C7717" s="2" t="str">
        <f ca="1">IFERROR(__xludf.DUMMYFUNCTION("GOOGLETRANSLATE(A7717,""bn"",""en"")"),"Investment in the market improved")</f>
        <v>Investment in the market improved</v>
      </c>
      <c r="D7717" s="5"/>
      <c r="E7717" s="5"/>
      <c r="F7717" s="5"/>
      <c r="G7717" s="5"/>
      <c r="H7717" s="5"/>
      <c r="I7717" s="5"/>
      <c r="J7717" s="5"/>
      <c r="K7717" s="5"/>
      <c r="L7717" s="5"/>
      <c r="M7717" s="5"/>
      <c r="N7717" s="5"/>
      <c r="O7717" s="5"/>
      <c r="P7717" s="5"/>
      <c r="Q7717" s="5"/>
      <c r="R7717" s="5"/>
      <c r="S7717" s="5"/>
      <c r="T7717" s="5"/>
      <c r="U7717" s="5"/>
      <c r="V7717" s="5"/>
      <c r="W7717" s="5"/>
      <c r="X7717" s="5"/>
      <c r="Y7717" s="5"/>
      <c r="Z7717" s="5"/>
    </row>
    <row r="7718" spans="1:26" ht="15" x14ac:dyDescent="0.25">
      <c r="A7718" s="4" t="s">
        <v>7716</v>
      </c>
      <c r="B7718" s="4" t="s">
        <v>4550</v>
      </c>
      <c r="C7718" s="2" t="str">
        <f ca="1">IFERROR(__xludf.DUMMYFUNCTION("GOOGLETRANSLATE(A7718,""bn"",""en"")"),"The election was held recently")</f>
        <v>The election was held recently</v>
      </c>
      <c r="D7718" s="5"/>
      <c r="E7718" s="5"/>
      <c r="F7718" s="5"/>
      <c r="G7718" s="5"/>
      <c r="H7718" s="5"/>
      <c r="I7718" s="5"/>
      <c r="J7718" s="5"/>
      <c r="K7718" s="5"/>
      <c r="L7718" s="5"/>
      <c r="M7718" s="5"/>
      <c r="N7718" s="5"/>
      <c r="O7718" s="5"/>
      <c r="P7718" s="5"/>
      <c r="Q7718" s="5"/>
      <c r="R7718" s="5"/>
      <c r="S7718" s="5"/>
      <c r="T7718" s="5"/>
      <c r="U7718" s="5"/>
      <c r="V7718" s="5"/>
      <c r="W7718" s="5"/>
      <c r="X7718" s="5"/>
      <c r="Y7718" s="5"/>
      <c r="Z7718" s="5"/>
    </row>
    <row r="7719" spans="1:26" ht="15" x14ac:dyDescent="0.25">
      <c r="A7719" s="4" t="s">
        <v>7717</v>
      </c>
      <c r="B7719" s="4" t="s">
        <v>4550</v>
      </c>
      <c r="C7719" s="2" t="str">
        <f ca="1">IFERROR(__xludf.DUMMYFUNCTION("GOOGLETRANSLATE(A7719,""bn"",""en"")"),"I managed new ideas")</f>
        <v>I managed new ideas</v>
      </c>
      <c r="D7719" s="5"/>
      <c r="E7719" s="5"/>
      <c r="F7719" s="5"/>
      <c r="G7719" s="5"/>
      <c r="H7719" s="5"/>
      <c r="I7719" s="5"/>
      <c r="J7719" s="5"/>
      <c r="K7719" s="5"/>
      <c r="L7719" s="5"/>
      <c r="M7719" s="5"/>
      <c r="N7719" s="5"/>
      <c r="O7719" s="5"/>
      <c r="P7719" s="5"/>
      <c r="Q7719" s="5"/>
      <c r="R7719" s="5"/>
      <c r="S7719" s="5"/>
      <c r="T7719" s="5"/>
      <c r="U7719" s="5"/>
      <c r="V7719" s="5"/>
      <c r="W7719" s="5"/>
      <c r="X7719" s="5"/>
      <c r="Y7719" s="5"/>
      <c r="Z7719" s="5"/>
    </row>
    <row r="7720" spans="1:26" ht="15" x14ac:dyDescent="0.25">
      <c r="A7720" s="4" t="s">
        <v>7718</v>
      </c>
      <c r="B7720" s="4" t="s">
        <v>4550</v>
      </c>
      <c r="C7720" s="2" t="str">
        <f ca="1">IFERROR(__xludf.DUMMYFUNCTION("GOOGLETRANSLATE(A7720,""bn"",""en"")"),"I used to spend time following trends")</f>
        <v>I used to spend time following trends</v>
      </c>
      <c r="D7720" s="5"/>
      <c r="E7720" s="5"/>
      <c r="F7720" s="5"/>
      <c r="G7720" s="5"/>
      <c r="H7720" s="5"/>
      <c r="I7720" s="5"/>
      <c r="J7720" s="5"/>
      <c r="K7720" s="5"/>
      <c r="L7720" s="5"/>
      <c r="M7720" s="5"/>
      <c r="N7720" s="5"/>
      <c r="O7720" s="5"/>
      <c r="P7720" s="5"/>
      <c r="Q7720" s="5"/>
      <c r="R7720" s="5"/>
      <c r="S7720" s="5"/>
      <c r="T7720" s="5"/>
      <c r="U7720" s="5"/>
      <c r="V7720" s="5"/>
      <c r="W7720" s="5"/>
      <c r="X7720" s="5"/>
      <c r="Y7720" s="5"/>
      <c r="Z7720" s="5"/>
    </row>
    <row r="7721" spans="1:26" ht="15" x14ac:dyDescent="0.25">
      <c r="A7721" s="4" t="s">
        <v>7719</v>
      </c>
      <c r="B7721" s="4" t="s">
        <v>4550</v>
      </c>
      <c r="C7721" s="2" t="str">
        <f ca="1">IFERROR(__xludf.DUMMYFUNCTION("GOOGLETRANSLATE(A7721,""bn"",""en"")"),"There were many fly attacks")</f>
        <v>There were many fly attacks</v>
      </c>
      <c r="D7721" s="5"/>
      <c r="E7721" s="5"/>
      <c r="F7721" s="5"/>
      <c r="G7721" s="5"/>
      <c r="H7721" s="5"/>
      <c r="I7721" s="5"/>
      <c r="J7721" s="5"/>
      <c r="K7721" s="5"/>
      <c r="L7721" s="5"/>
      <c r="M7721" s="5"/>
      <c r="N7721" s="5"/>
      <c r="O7721" s="5"/>
      <c r="P7721" s="5"/>
      <c r="Q7721" s="5"/>
      <c r="R7721" s="5"/>
      <c r="S7721" s="5"/>
      <c r="T7721" s="5"/>
      <c r="U7721" s="5"/>
      <c r="V7721" s="5"/>
      <c r="W7721" s="5"/>
      <c r="X7721" s="5"/>
      <c r="Y7721" s="5"/>
      <c r="Z7721" s="5"/>
    </row>
    <row r="7722" spans="1:26" ht="15" x14ac:dyDescent="0.25">
      <c r="A7722" s="4" t="s">
        <v>7720</v>
      </c>
      <c r="B7722" s="4" t="s">
        <v>4550</v>
      </c>
      <c r="C7722" s="2" t="str">
        <f ca="1">IFERROR(__xludf.DUMMYFUNCTION("GOOGLETRANSLATE(A7722,""bn"",""en"")"),"I made pudding with eggs")</f>
        <v>I made pudding with eggs</v>
      </c>
      <c r="D7722" s="5"/>
      <c r="E7722" s="5"/>
      <c r="F7722" s="5"/>
      <c r="G7722" s="5"/>
      <c r="H7722" s="5"/>
      <c r="I7722" s="5"/>
      <c r="J7722" s="5"/>
      <c r="K7722" s="5"/>
      <c r="L7722" s="5"/>
      <c r="M7722" s="5"/>
      <c r="N7722" s="5"/>
      <c r="O7722" s="5"/>
      <c r="P7722" s="5"/>
      <c r="Q7722" s="5"/>
      <c r="R7722" s="5"/>
      <c r="S7722" s="5"/>
      <c r="T7722" s="5"/>
      <c r="U7722" s="5"/>
      <c r="V7722" s="5"/>
      <c r="W7722" s="5"/>
      <c r="X7722" s="5"/>
      <c r="Y7722" s="5"/>
      <c r="Z7722" s="5"/>
    </row>
    <row r="7723" spans="1:26" ht="15" x14ac:dyDescent="0.25">
      <c r="A7723" s="4" t="s">
        <v>7721</v>
      </c>
      <c r="B7723" s="4" t="s">
        <v>4550</v>
      </c>
      <c r="C7723" s="2" t="str">
        <f ca="1">IFERROR(__xludf.DUMMYFUNCTION("GOOGLETRANSLATE(A7723,""bn"",""en"")"),"Was making date cake")</f>
        <v>Was making date cake</v>
      </c>
      <c r="D7723" s="5"/>
      <c r="E7723" s="5"/>
      <c r="F7723" s="5"/>
      <c r="G7723" s="5"/>
      <c r="H7723" s="5"/>
      <c r="I7723" s="5"/>
      <c r="J7723" s="5"/>
      <c r="K7723" s="5"/>
      <c r="L7723" s="5"/>
      <c r="M7723" s="5"/>
      <c r="N7723" s="5"/>
      <c r="O7723" s="5"/>
      <c r="P7723" s="5"/>
      <c r="Q7723" s="5"/>
      <c r="R7723" s="5"/>
      <c r="S7723" s="5"/>
      <c r="T7723" s="5"/>
      <c r="U7723" s="5"/>
      <c r="V7723" s="5"/>
      <c r="W7723" s="5"/>
      <c r="X7723" s="5"/>
      <c r="Y7723" s="5"/>
      <c r="Z7723" s="5"/>
    </row>
    <row r="7724" spans="1:26" ht="15" x14ac:dyDescent="0.25">
      <c r="A7724" s="4" t="s">
        <v>7722</v>
      </c>
      <c r="B7724" s="4" t="s">
        <v>4550</v>
      </c>
      <c r="C7724" s="2" t="str">
        <f ca="1">IFERROR(__xludf.DUMMYFUNCTION("GOOGLETRANSLATE(A7724,""bn"",""en"")"),"We were sitting in the train")</f>
        <v>We were sitting in the train</v>
      </c>
      <c r="D7724" s="5"/>
      <c r="E7724" s="5"/>
      <c r="F7724" s="5"/>
      <c r="G7724" s="5"/>
      <c r="H7724" s="5"/>
      <c r="I7724" s="5"/>
      <c r="J7724" s="5"/>
      <c r="K7724" s="5"/>
      <c r="L7724" s="5"/>
      <c r="M7724" s="5"/>
      <c r="N7724" s="5"/>
      <c r="O7724" s="5"/>
      <c r="P7724" s="5"/>
      <c r="Q7724" s="5"/>
      <c r="R7724" s="5"/>
      <c r="S7724" s="5"/>
      <c r="T7724" s="5"/>
      <c r="U7724" s="5"/>
      <c r="V7724" s="5"/>
      <c r="W7724" s="5"/>
      <c r="X7724" s="5"/>
      <c r="Y7724" s="5"/>
      <c r="Z7724" s="5"/>
    </row>
    <row r="7725" spans="1:26" ht="15" x14ac:dyDescent="0.25">
      <c r="A7725" s="4" t="s">
        <v>7723</v>
      </c>
      <c r="B7725" s="4" t="s">
        <v>4550</v>
      </c>
      <c r="C7725" s="2" t="str">
        <f ca="1">IFERROR(__xludf.DUMMYFUNCTION("GOOGLETRANSLATE(A7725,""bn"",""en"")"),"They were riding bicycles")</f>
        <v>They were riding bicycles</v>
      </c>
      <c r="D7725" s="5"/>
      <c r="E7725" s="5"/>
      <c r="F7725" s="5"/>
      <c r="G7725" s="5"/>
      <c r="H7725" s="5"/>
      <c r="I7725" s="5"/>
      <c r="J7725" s="5"/>
      <c r="K7725" s="5"/>
      <c r="L7725" s="5"/>
      <c r="M7725" s="5"/>
      <c r="N7725" s="5"/>
      <c r="O7725" s="5"/>
      <c r="P7725" s="5"/>
      <c r="Q7725" s="5"/>
      <c r="R7725" s="5"/>
      <c r="S7725" s="5"/>
      <c r="T7725" s="5"/>
      <c r="U7725" s="5"/>
      <c r="V7725" s="5"/>
      <c r="W7725" s="5"/>
      <c r="X7725" s="5"/>
      <c r="Y7725" s="5"/>
      <c r="Z7725" s="5"/>
    </row>
    <row r="7726" spans="1:26" ht="15" x14ac:dyDescent="0.25">
      <c r="A7726" s="4" t="s">
        <v>7724</v>
      </c>
      <c r="B7726" s="4" t="s">
        <v>4550</v>
      </c>
      <c r="C7726" s="2" t="str">
        <f ca="1">IFERROR(__xludf.DUMMYFUNCTION("GOOGLETRANSLATE(A7726,""bn"",""en"")"),"I went to see the waterfall last year")</f>
        <v>I went to see the waterfall last year</v>
      </c>
      <c r="D7726" s="5"/>
      <c r="E7726" s="5"/>
      <c r="F7726" s="5"/>
      <c r="G7726" s="5"/>
      <c r="H7726" s="5"/>
      <c r="I7726" s="5"/>
      <c r="J7726" s="5"/>
      <c r="K7726" s="5"/>
      <c r="L7726" s="5"/>
      <c r="M7726" s="5"/>
      <c r="N7726" s="5"/>
      <c r="O7726" s="5"/>
      <c r="P7726" s="5"/>
      <c r="Q7726" s="5"/>
      <c r="R7726" s="5"/>
      <c r="S7726" s="5"/>
      <c r="T7726" s="5"/>
      <c r="U7726" s="5"/>
      <c r="V7726" s="5"/>
      <c r="W7726" s="5"/>
      <c r="X7726" s="5"/>
      <c r="Y7726" s="5"/>
      <c r="Z7726" s="5"/>
    </row>
    <row r="7727" spans="1:26" ht="15" x14ac:dyDescent="0.25">
      <c r="A7727" s="4" t="s">
        <v>7725</v>
      </c>
      <c r="B7727" s="4" t="s">
        <v>4550</v>
      </c>
      <c r="C7727" s="2" t="str">
        <f ca="1">IFERROR(__xludf.DUMMYFUNCTION("GOOGLETRANSLATE(A7727,""bn"",""en"")"),"Always used to visit the fair")</f>
        <v>Always used to visit the fair</v>
      </c>
      <c r="D7727" s="5"/>
      <c r="E7727" s="5"/>
      <c r="F7727" s="5"/>
      <c r="G7727" s="5"/>
      <c r="H7727" s="5"/>
      <c r="I7727" s="5"/>
      <c r="J7727" s="5"/>
      <c r="K7727" s="5"/>
      <c r="L7727" s="5"/>
      <c r="M7727" s="5"/>
      <c r="N7727" s="5"/>
      <c r="O7727" s="5"/>
      <c r="P7727" s="5"/>
      <c r="Q7727" s="5"/>
      <c r="R7727" s="5"/>
      <c r="S7727" s="5"/>
      <c r="T7727" s="5"/>
      <c r="U7727" s="5"/>
      <c r="V7727" s="5"/>
      <c r="W7727" s="5"/>
      <c r="X7727" s="5"/>
      <c r="Y7727" s="5"/>
      <c r="Z7727" s="5"/>
    </row>
    <row r="7728" spans="1:26" ht="15" x14ac:dyDescent="0.25">
      <c r="A7728" s="4" t="s">
        <v>7726</v>
      </c>
      <c r="B7728" s="4" t="s">
        <v>4550</v>
      </c>
      <c r="C7728" s="2" t="str">
        <f ca="1">IFERROR(__xludf.DUMMYFUNCTION("GOOGLETRANSLATE(A7728,""bn"",""en"")"),"I was frying potatoes")</f>
        <v>I was frying potatoes</v>
      </c>
      <c r="D7728" s="5"/>
      <c r="E7728" s="5"/>
      <c r="F7728" s="5"/>
      <c r="G7728" s="5"/>
      <c r="H7728" s="5"/>
      <c r="I7728" s="5"/>
      <c r="J7728" s="5"/>
      <c r="K7728" s="5"/>
      <c r="L7728" s="5"/>
      <c r="M7728" s="5"/>
      <c r="N7728" s="5"/>
      <c r="O7728" s="5"/>
      <c r="P7728" s="5"/>
      <c r="Q7728" s="5"/>
      <c r="R7728" s="5"/>
      <c r="S7728" s="5"/>
      <c r="T7728" s="5"/>
      <c r="U7728" s="5"/>
      <c r="V7728" s="5"/>
      <c r="W7728" s="5"/>
      <c r="X7728" s="5"/>
      <c r="Y7728" s="5"/>
      <c r="Z7728" s="5"/>
    </row>
    <row r="7729" spans="1:26" ht="15" x14ac:dyDescent="0.25">
      <c r="A7729" s="4" t="s">
        <v>7727</v>
      </c>
      <c r="B7729" s="4" t="s">
        <v>4550</v>
      </c>
      <c r="C7729" s="2" t="str">
        <f ca="1">IFERROR(__xludf.DUMMYFUNCTION("GOOGLETRANSLATE(A7729,""bn"",""en"")"),"He was frying fish")</f>
        <v>He was frying fish</v>
      </c>
      <c r="D7729" s="5"/>
      <c r="E7729" s="5"/>
      <c r="F7729" s="5"/>
      <c r="G7729" s="5"/>
      <c r="H7729" s="5"/>
      <c r="I7729" s="5"/>
      <c r="J7729" s="5"/>
      <c r="K7729" s="5"/>
      <c r="L7729" s="5"/>
      <c r="M7729" s="5"/>
      <c r="N7729" s="5"/>
      <c r="O7729" s="5"/>
      <c r="P7729" s="5"/>
      <c r="Q7729" s="5"/>
      <c r="R7729" s="5"/>
      <c r="S7729" s="5"/>
      <c r="T7729" s="5"/>
      <c r="U7729" s="5"/>
      <c r="V7729" s="5"/>
      <c r="W7729" s="5"/>
      <c r="X7729" s="5"/>
      <c r="Y7729" s="5"/>
      <c r="Z7729" s="5"/>
    </row>
    <row r="7730" spans="1:26" ht="15" x14ac:dyDescent="0.25">
      <c r="A7730" s="4" t="s">
        <v>7728</v>
      </c>
      <c r="B7730" s="4" t="s">
        <v>4550</v>
      </c>
      <c r="C7730" s="2" t="str">
        <f ca="1">IFERROR(__xludf.DUMMYFUNCTION("GOOGLETRANSLATE(A7730,""bn"",""en"")"),"The Prime Minister's news was going on air")</f>
        <v>The Prime Minister's news was going on air</v>
      </c>
      <c r="D7730" s="5"/>
      <c r="E7730" s="5"/>
      <c r="F7730" s="5"/>
      <c r="G7730" s="5"/>
      <c r="H7730" s="5"/>
      <c r="I7730" s="5"/>
      <c r="J7730" s="5"/>
      <c r="K7730" s="5"/>
      <c r="L7730" s="5"/>
      <c r="M7730" s="5"/>
      <c r="N7730" s="5"/>
      <c r="O7730" s="5"/>
      <c r="P7730" s="5"/>
      <c r="Q7730" s="5"/>
      <c r="R7730" s="5"/>
      <c r="S7730" s="5"/>
      <c r="T7730" s="5"/>
      <c r="U7730" s="5"/>
      <c r="V7730" s="5"/>
      <c r="W7730" s="5"/>
      <c r="X7730" s="5"/>
      <c r="Y7730" s="5"/>
      <c r="Z7730" s="5"/>
    </row>
    <row r="7731" spans="1:26" ht="15" x14ac:dyDescent="0.25">
      <c r="A7731" s="4" t="s">
        <v>7729</v>
      </c>
      <c r="B7731" s="4" t="s">
        <v>4550</v>
      </c>
      <c r="C7731" s="2" t="str">
        <f ca="1">IFERROR(__xludf.DUMMYFUNCTION("GOOGLETRANSLATE(A7731,""bn"",""en"")"),"I started a book club")</f>
        <v>I started a book club</v>
      </c>
      <c r="D7731" s="5"/>
      <c r="E7731" s="5"/>
      <c r="F7731" s="5"/>
      <c r="G7731" s="5"/>
      <c r="H7731" s="5"/>
      <c r="I7731" s="5"/>
      <c r="J7731" s="5"/>
      <c r="K7731" s="5"/>
      <c r="L7731" s="5"/>
      <c r="M7731" s="5"/>
      <c r="N7731" s="5"/>
      <c r="O7731" s="5"/>
      <c r="P7731" s="5"/>
      <c r="Q7731" s="5"/>
      <c r="R7731" s="5"/>
      <c r="S7731" s="5"/>
      <c r="T7731" s="5"/>
      <c r="U7731" s="5"/>
      <c r="V7731" s="5"/>
      <c r="W7731" s="5"/>
      <c r="X7731" s="5"/>
      <c r="Y7731" s="5"/>
      <c r="Z7731" s="5"/>
    </row>
    <row r="7732" spans="1:26" ht="15" x14ac:dyDescent="0.25">
      <c r="A7732" s="4" t="s">
        <v>7730</v>
      </c>
      <c r="B7732" s="4" t="s">
        <v>4550</v>
      </c>
      <c r="C7732" s="2" t="str">
        <f ca="1">IFERROR(__xludf.DUMMYFUNCTION("GOOGLETRANSLATE(A7732,""bn"",""en"")"),"The batting team lost the last match")</f>
        <v>The batting team lost the last match</v>
      </c>
      <c r="D7732" s="5"/>
      <c r="E7732" s="5"/>
      <c r="F7732" s="5"/>
      <c r="G7732" s="5"/>
      <c r="H7732" s="5"/>
      <c r="I7732" s="5"/>
      <c r="J7732" s="5"/>
      <c r="K7732" s="5"/>
      <c r="L7732" s="5"/>
      <c r="M7732" s="5"/>
      <c r="N7732" s="5"/>
      <c r="O7732" s="5"/>
      <c r="P7732" s="5"/>
      <c r="Q7732" s="5"/>
      <c r="R7732" s="5"/>
      <c r="S7732" s="5"/>
      <c r="T7732" s="5"/>
      <c r="U7732" s="5"/>
      <c r="V7732" s="5"/>
      <c r="W7732" s="5"/>
      <c r="X7732" s="5"/>
      <c r="Y7732" s="5"/>
      <c r="Z7732" s="5"/>
    </row>
    <row r="7733" spans="1:26" ht="15" x14ac:dyDescent="0.25">
      <c r="A7733" s="4" t="s">
        <v>7731</v>
      </c>
      <c r="B7733" s="4" t="s">
        <v>4550</v>
      </c>
      <c r="C7733" s="2" t="str">
        <f ca="1">IFERROR(__xludf.DUMMYFUNCTION("GOOGLETRANSLATE(A7733,""bn"",""en"")"),"Board exams were given")</f>
        <v>Board exams were given</v>
      </c>
      <c r="D7733" s="5"/>
      <c r="E7733" s="5"/>
      <c r="F7733" s="5"/>
      <c r="G7733" s="5"/>
      <c r="H7733" s="5"/>
      <c r="I7733" s="5"/>
      <c r="J7733" s="5"/>
      <c r="K7733" s="5"/>
      <c r="L7733" s="5"/>
      <c r="M7733" s="5"/>
      <c r="N7733" s="5"/>
      <c r="O7733" s="5"/>
      <c r="P7733" s="5"/>
      <c r="Q7733" s="5"/>
      <c r="R7733" s="5"/>
      <c r="S7733" s="5"/>
      <c r="T7733" s="5"/>
      <c r="U7733" s="5"/>
      <c r="V7733" s="5"/>
      <c r="W7733" s="5"/>
      <c r="X7733" s="5"/>
      <c r="Y7733" s="5"/>
      <c r="Z7733" s="5"/>
    </row>
    <row r="7734" spans="1:26" ht="15" x14ac:dyDescent="0.25">
      <c r="A7734" s="4" t="s">
        <v>7732</v>
      </c>
      <c r="B7734" s="4" t="s">
        <v>4550</v>
      </c>
      <c r="C7734" s="2" t="str">
        <f ca="1">IFERROR(__xludf.DUMMYFUNCTION("GOOGLETRANSLATE(A7734,""bn"",""en"")"),"The championship started yesterday")</f>
        <v>The championship started yesterday</v>
      </c>
      <c r="D7734" s="5"/>
      <c r="E7734" s="5"/>
      <c r="F7734" s="5"/>
      <c r="G7734" s="5"/>
      <c r="H7734" s="5"/>
      <c r="I7734" s="5"/>
      <c r="J7734" s="5"/>
      <c r="K7734" s="5"/>
      <c r="L7734" s="5"/>
      <c r="M7734" s="5"/>
      <c r="N7734" s="5"/>
      <c r="O7734" s="5"/>
      <c r="P7734" s="5"/>
      <c r="Q7734" s="5"/>
      <c r="R7734" s="5"/>
      <c r="S7734" s="5"/>
      <c r="T7734" s="5"/>
      <c r="U7734" s="5"/>
      <c r="V7734" s="5"/>
      <c r="W7734" s="5"/>
      <c r="X7734" s="5"/>
      <c r="Y7734" s="5"/>
      <c r="Z7734" s="5"/>
    </row>
    <row r="7735" spans="1:26" ht="15" x14ac:dyDescent="0.25">
      <c r="A7735" s="4" t="s">
        <v>7733</v>
      </c>
      <c r="B7735" s="4" t="s">
        <v>4550</v>
      </c>
      <c r="C7735" s="2" t="str">
        <f ca="1">IFERROR(__xludf.DUMMYFUNCTION("GOOGLETRANSLATE(A7735,""bn"",""en"")"),"Sania won the badminton trophy")</f>
        <v>Sania won the badminton trophy</v>
      </c>
      <c r="D7735" s="5"/>
      <c r="E7735" s="5"/>
      <c r="F7735" s="5"/>
      <c r="G7735" s="5"/>
      <c r="H7735" s="5"/>
      <c r="I7735" s="5"/>
      <c r="J7735" s="5"/>
      <c r="K7735" s="5"/>
      <c r="L7735" s="5"/>
      <c r="M7735" s="5"/>
      <c r="N7735" s="5"/>
      <c r="O7735" s="5"/>
      <c r="P7735" s="5"/>
      <c r="Q7735" s="5"/>
      <c r="R7735" s="5"/>
      <c r="S7735" s="5"/>
      <c r="T7735" s="5"/>
      <c r="U7735" s="5"/>
      <c r="V7735" s="5"/>
      <c r="W7735" s="5"/>
      <c r="X7735" s="5"/>
      <c r="Y7735" s="5"/>
      <c r="Z7735" s="5"/>
    </row>
    <row r="7736" spans="1:26" ht="15" x14ac:dyDescent="0.25">
      <c r="A7736" s="4" t="s">
        <v>7734</v>
      </c>
      <c r="B7736" s="4" t="s">
        <v>4550</v>
      </c>
      <c r="C7736" s="2" t="str">
        <f ca="1">IFERROR(__xludf.DUMMYFUNCTION("GOOGLETRANSLATE(A7736,""bn"",""en"")"),"Investments increased in profits")</f>
        <v>Investments increased in profits</v>
      </c>
      <c r="D7736" s="5"/>
      <c r="E7736" s="5"/>
      <c r="F7736" s="5"/>
      <c r="G7736" s="5"/>
      <c r="H7736" s="5"/>
      <c r="I7736" s="5"/>
      <c r="J7736" s="5"/>
      <c r="K7736" s="5"/>
      <c r="L7736" s="5"/>
      <c r="M7736" s="5"/>
      <c r="N7736" s="5"/>
      <c r="O7736" s="5"/>
      <c r="P7736" s="5"/>
      <c r="Q7736" s="5"/>
      <c r="R7736" s="5"/>
      <c r="S7736" s="5"/>
      <c r="T7736" s="5"/>
      <c r="U7736" s="5"/>
      <c r="V7736" s="5"/>
      <c r="W7736" s="5"/>
      <c r="X7736" s="5"/>
      <c r="Y7736" s="5"/>
      <c r="Z7736" s="5"/>
    </row>
    <row r="7737" spans="1:26" ht="15" x14ac:dyDescent="0.25">
      <c r="A7737" s="4" t="s">
        <v>7735</v>
      </c>
      <c r="B7737" s="4" t="s">
        <v>4550</v>
      </c>
      <c r="C7737" s="2" t="str">
        <f ca="1">IFERROR(__xludf.DUMMYFUNCTION("GOOGLETRANSLATE(A7737,""bn"",""en"")"),"There was intense discussion in the panchayat")</f>
        <v>There was intense discussion in the panchayat</v>
      </c>
      <c r="D7737" s="5"/>
      <c r="E7737" s="5"/>
      <c r="F7737" s="5"/>
      <c r="G7737" s="5"/>
      <c r="H7737" s="5"/>
      <c r="I7737" s="5"/>
      <c r="J7737" s="5"/>
      <c r="K7737" s="5"/>
      <c r="L7737" s="5"/>
      <c r="M7737" s="5"/>
      <c r="N7737" s="5"/>
      <c r="O7737" s="5"/>
      <c r="P7737" s="5"/>
      <c r="Q7737" s="5"/>
      <c r="R7737" s="5"/>
      <c r="S7737" s="5"/>
      <c r="T7737" s="5"/>
      <c r="U7737" s="5"/>
      <c r="V7737" s="5"/>
      <c r="W7737" s="5"/>
      <c r="X7737" s="5"/>
      <c r="Y7737" s="5"/>
      <c r="Z7737" s="5"/>
    </row>
    <row r="7738" spans="1:26" ht="15" x14ac:dyDescent="0.25">
      <c r="A7738" s="4" t="s">
        <v>7736</v>
      </c>
      <c r="B7738" s="4" t="s">
        <v>4550</v>
      </c>
      <c r="C7738" s="2" t="str">
        <f ca="1">IFERROR(__xludf.DUMMYFUNCTION("GOOGLETRANSLATE(A7738,""bn"",""en"")"),"Saw the picture at the end of the week")</f>
        <v>Saw the picture at the end of the week</v>
      </c>
      <c r="D7738" s="5"/>
      <c r="E7738" s="5"/>
      <c r="F7738" s="5"/>
      <c r="G7738" s="5"/>
      <c r="H7738" s="5"/>
      <c r="I7738" s="5"/>
      <c r="J7738" s="5"/>
      <c r="K7738" s="5"/>
      <c r="L7738" s="5"/>
      <c r="M7738" s="5"/>
      <c r="N7738" s="5"/>
      <c r="O7738" s="5"/>
      <c r="P7738" s="5"/>
      <c r="Q7738" s="5"/>
      <c r="R7738" s="5"/>
      <c r="S7738" s="5"/>
      <c r="T7738" s="5"/>
      <c r="U7738" s="5"/>
      <c r="V7738" s="5"/>
      <c r="W7738" s="5"/>
      <c r="X7738" s="5"/>
      <c r="Y7738" s="5"/>
      <c r="Z7738" s="5"/>
    </row>
    <row r="7739" spans="1:26" ht="15" x14ac:dyDescent="0.25">
      <c r="A7739" s="4" t="s">
        <v>7737</v>
      </c>
      <c r="B7739" s="4" t="s">
        <v>4550</v>
      </c>
      <c r="C7739" s="2" t="str">
        <f ca="1">IFERROR(__xludf.DUMMYFUNCTION("GOOGLETRANSLATE(A7739,""bn"",""en"")"),"They ate very sweet")</f>
        <v>They ate very sweet</v>
      </c>
      <c r="D7739" s="5"/>
      <c r="E7739" s="5"/>
      <c r="F7739" s="5"/>
      <c r="G7739" s="5"/>
      <c r="H7739" s="5"/>
      <c r="I7739" s="5"/>
      <c r="J7739" s="5"/>
      <c r="K7739" s="5"/>
      <c r="L7739" s="5"/>
      <c r="M7739" s="5"/>
      <c r="N7739" s="5"/>
      <c r="O7739" s="5"/>
      <c r="P7739" s="5"/>
      <c r="Q7739" s="5"/>
      <c r="R7739" s="5"/>
      <c r="S7739" s="5"/>
      <c r="T7739" s="5"/>
      <c r="U7739" s="5"/>
      <c r="V7739" s="5"/>
      <c r="W7739" s="5"/>
      <c r="X7739" s="5"/>
      <c r="Y7739" s="5"/>
      <c r="Z7739" s="5"/>
    </row>
    <row r="7740" spans="1:26" ht="15" x14ac:dyDescent="0.25">
      <c r="A7740" s="4" t="s">
        <v>7738</v>
      </c>
      <c r="B7740" s="4" t="s">
        <v>4550</v>
      </c>
      <c r="C7740" s="2" t="str">
        <f ca="1">IFERROR(__xludf.DUMMYFUNCTION("GOOGLETRANSLATE(A7740,""bn"",""en"")"),"Watched the movie last Saturday")</f>
        <v>Watched the movie last Saturday</v>
      </c>
      <c r="D7740" s="5"/>
      <c r="E7740" s="5"/>
      <c r="F7740" s="5"/>
      <c r="G7740" s="5"/>
      <c r="H7740" s="5"/>
      <c r="I7740" s="5"/>
      <c r="J7740" s="5"/>
      <c r="K7740" s="5"/>
      <c r="L7740" s="5"/>
      <c r="M7740" s="5"/>
      <c r="N7740" s="5"/>
      <c r="O7740" s="5"/>
      <c r="P7740" s="5"/>
      <c r="Q7740" s="5"/>
      <c r="R7740" s="5"/>
      <c r="S7740" s="5"/>
      <c r="T7740" s="5"/>
      <c r="U7740" s="5"/>
      <c r="V7740" s="5"/>
      <c r="W7740" s="5"/>
      <c r="X7740" s="5"/>
      <c r="Y7740" s="5"/>
      <c r="Z7740" s="5"/>
    </row>
    <row r="7741" spans="1:26" ht="15" x14ac:dyDescent="0.25">
      <c r="A7741" s="4" t="s">
        <v>7739</v>
      </c>
      <c r="B7741" s="4" t="s">
        <v>4550</v>
      </c>
      <c r="C7741" s="2" t="str">
        <f ca="1">IFERROR(__xludf.DUMMYFUNCTION("GOOGLETRANSLATE(A7741,""bn"",""en"")"),"The fighting force increased every year")</f>
        <v>The fighting force increased every year</v>
      </c>
      <c r="D7741" s="5"/>
      <c r="E7741" s="5"/>
      <c r="F7741" s="5"/>
      <c r="G7741" s="5"/>
      <c r="H7741" s="5"/>
      <c r="I7741" s="5"/>
      <c r="J7741" s="5"/>
      <c r="K7741" s="5"/>
      <c r="L7741" s="5"/>
      <c r="M7741" s="5"/>
      <c r="N7741" s="5"/>
      <c r="O7741" s="5"/>
      <c r="P7741" s="5"/>
      <c r="Q7741" s="5"/>
      <c r="R7741" s="5"/>
      <c r="S7741" s="5"/>
      <c r="T7741" s="5"/>
      <c r="U7741" s="5"/>
      <c r="V7741" s="5"/>
      <c r="W7741" s="5"/>
      <c r="X7741" s="5"/>
      <c r="Y7741" s="5"/>
      <c r="Z7741" s="5"/>
    </row>
    <row r="7742" spans="1:26" ht="15" x14ac:dyDescent="0.25">
      <c r="A7742" s="4" t="s">
        <v>7740</v>
      </c>
      <c r="B7742" s="4" t="s">
        <v>4550</v>
      </c>
      <c r="C7742" s="2" t="str">
        <f ca="1">IFERROR(__xludf.DUMMYFUNCTION("GOOGLETRANSLATE(A7742,""bn"",""en"")"),"Was sharing news on the internet")</f>
        <v>Was sharing news on the internet</v>
      </c>
      <c r="D7742" s="5"/>
      <c r="E7742" s="5"/>
      <c r="F7742" s="5"/>
      <c r="G7742" s="5"/>
      <c r="H7742" s="5"/>
      <c r="I7742" s="5"/>
      <c r="J7742" s="5"/>
      <c r="K7742" s="5"/>
      <c r="L7742" s="5"/>
      <c r="M7742" s="5"/>
      <c r="N7742" s="5"/>
      <c r="O7742" s="5"/>
      <c r="P7742" s="5"/>
      <c r="Q7742" s="5"/>
      <c r="R7742" s="5"/>
      <c r="S7742" s="5"/>
      <c r="T7742" s="5"/>
      <c r="U7742" s="5"/>
      <c r="V7742" s="5"/>
      <c r="W7742" s="5"/>
      <c r="X7742" s="5"/>
      <c r="Y7742" s="5"/>
      <c r="Z7742" s="5"/>
    </row>
    <row r="7743" spans="1:26" ht="15" x14ac:dyDescent="0.25">
      <c r="A7743" s="4" t="s">
        <v>7741</v>
      </c>
      <c r="B7743" s="4" t="s">
        <v>4550</v>
      </c>
      <c r="C7743" s="2" t="str">
        <f ca="1">IFERROR(__xludf.DUMMYFUNCTION("GOOGLETRANSLATE(A7743,""bn"",""en"")"),"I killed the meat with salt")</f>
        <v>I killed the meat with salt</v>
      </c>
      <c r="D7743" s="5"/>
      <c r="E7743" s="5"/>
      <c r="F7743" s="5"/>
      <c r="G7743" s="5"/>
      <c r="H7743" s="5"/>
      <c r="I7743" s="5"/>
      <c r="J7743" s="5"/>
      <c r="K7743" s="5"/>
      <c r="L7743" s="5"/>
      <c r="M7743" s="5"/>
      <c r="N7743" s="5"/>
      <c r="O7743" s="5"/>
      <c r="P7743" s="5"/>
      <c r="Q7743" s="5"/>
      <c r="R7743" s="5"/>
      <c r="S7743" s="5"/>
      <c r="T7743" s="5"/>
      <c r="U7743" s="5"/>
      <c r="V7743" s="5"/>
      <c r="W7743" s="5"/>
      <c r="X7743" s="5"/>
      <c r="Y7743" s="5"/>
      <c r="Z7743" s="5"/>
    </row>
    <row r="7744" spans="1:26" ht="15" x14ac:dyDescent="0.25">
      <c r="A7744" s="4" t="s">
        <v>7742</v>
      </c>
      <c r="B7744" s="4" t="s">
        <v>4550</v>
      </c>
      <c r="C7744" s="2" t="str">
        <f ca="1">IFERROR(__xludf.DUMMYFUNCTION("GOOGLETRANSLATE(A7744,""bn"",""en"")"),"was submitted as a table")</f>
        <v>was submitted as a table</v>
      </c>
      <c r="D7744" s="5"/>
      <c r="E7744" s="5"/>
      <c r="F7744" s="5"/>
      <c r="G7744" s="5"/>
      <c r="H7744" s="5"/>
      <c r="I7744" s="5"/>
      <c r="J7744" s="5"/>
      <c r="K7744" s="5"/>
      <c r="L7744" s="5"/>
      <c r="M7744" s="5"/>
      <c r="N7744" s="5"/>
      <c r="O7744" s="5"/>
      <c r="P7744" s="5"/>
      <c r="Q7744" s="5"/>
      <c r="R7744" s="5"/>
      <c r="S7744" s="5"/>
      <c r="T7744" s="5"/>
      <c r="U7744" s="5"/>
      <c r="V7744" s="5"/>
      <c r="W7744" s="5"/>
      <c r="X7744" s="5"/>
      <c r="Y7744" s="5"/>
      <c r="Z7744" s="5"/>
    </row>
    <row r="7745" spans="1:26" ht="15" x14ac:dyDescent="0.25">
      <c r="A7745" s="4" t="s">
        <v>7743</v>
      </c>
      <c r="B7745" s="4" t="s">
        <v>4550</v>
      </c>
      <c r="C7745" s="2" t="str">
        <f ca="1">IFERROR(__xludf.DUMMYFUNCTION("GOOGLETRANSLATE(A7745,""bn"",""en"")"),"I wanted to do paragliding")</f>
        <v>I wanted to do paragliding</v>
      </c>
      <c r="D7745" s="5"/>
      <c r="E7745" s="5"/>
      <c r="F7745" s="5"/>
      <c r="G7745" s="5"/>
      <c r="H7745" s="5"/>
      <c r="I7745" s="5"/>
      <c r="J7745" s="5"/>
      <c r="K7745" s="5"/>
      <c r="L7745" s="5"/>
      <c r="M7745" s="5"/>
      <c r="N7745" s="5"/>
      <c r="O7745" s="5"/>
      <c r="P7745" s="5"/>
      <c r="Q7745" s="5"/>
      <c r="R7745" s="5"/>
      <c r="S7745" s="5"/>
      <c r="T7745" s="5"/>
      <c r="U7745" s="5"/>
      <c r="V7745" s="5"/>
      <c r="W7745" s="5"/>
      <c r="X7745" s="5"/>
      <c r="Y7745" s="5"/>
      <c r="Z7745" s="5"/>
    </row>
    <row r="7746" spans="1:26" ht="15" x14ac:dyDescent="0.25">
      <c r="A7746" s="4" t="s">
        <v>7744</v>
      </c>
      <c r="B7746" s="4" t="s">
        <v>4550</v>
      </c>
      <c r="C7746" s="2" t="str">
        <f ca="1">IFERROR(__xludf.DUMMYFUNCTION("GOOGLETRANSLATE(A7746,""bn"",""en"")"),"I was with a tour guide in July")</f>
        <v>I was with a tour guide in July</v>
      </c>
      <c r="D7746" s="5"/>
      <c r="E7746" s="5"/>
      <c r="F7746" s="5"/>
      <c r="G7746" s="5"/>
      <c r="H7746" s="5"/>
      <c r="I7746" s="5"/>
      <c r="J7746" s="5"/>
      <c r="K7746" s="5"/>
      <c r="L7746" s="5"/>
      <c r="M7746" s="5"/>
      <c r="N7746" s="5"/>
      <c r="O7746" s="5"/>
      <c r="P7746" s="5"/>
      <c r="Q7746" s="5"/>
      <c r="R7746" s="5"/>
      <c r="S7746" s="5"/>
      <c r="T7746" s="5"/>
      <c r="U7746" s="5"/>
      <c r="V7746" s="5"/>
      <c r="W7746" s="5"/>
      <c r="X7746" s="5"/>
      <c r="Y7746" s="5"/>
      <c r="Z7746" s="5"/>
    </row>
    <row r="7747" spans="1:26" ht="15" x14ac:dyDescent="0.25">
      <c r="A7747" s="4" t="s">
        <v>7745</v>
      </c>
      <c r="B7747" s="4" t="s">
        <v>4550</v>
      </c>
      <c r="C7747" s="2" t="str">
        <f ca="1">IFERROR(__xludf.DUMMYFUNCTION("GOOGLETRANSLATE(A7747,""bn"",""en"")"),"Played with friends at night")</f>
        <v>Played with friends at night</v>
      </c>
      <c r="D7747" s="5"/>
      <c r="E7747" s="5"/>
      <c r="F7747" s="5"/>
      <c r="G7747" s="5"/>
      <c r="H7747" s="5"/>
      <c r="I7747" s="5"/>
      <c r="J7747" s="5"/>
      <c r="K7747" s="5"/>
      <c r="L7747" s="5"/>
      <c r="M7747" s="5"/>
      <c r="N7747" s="5"/>
      <c r="O7747" s="5"/>
      <c r="P7747" s="5"/>
      <c r="Q7747" s="5"/>
      <c r="R7747" s="5"/>
      <c r="S7747" s="5"/>
      <c r="T7747" s="5"/>
      <c r="U7747" s="5"/>
      <c r="V7747" s="5"/>
      <c r="W7747" s="5"/>
      <c r="X7747" s="5"/>
      <c r="Y7747" s="5"/>
      <c r="Z7747" s="5"/>
    </row>
    <row r="7748" spans="1:26" ht="15" x14ac:dyDescent="0.25">
      <c r="A7748" s="4" t="s">
        <v>7746</v>
      </c>
      <c r="B7748" s="4" t="s">
        <v>4550</v>
      </c>
      <c r="C7748" s="2" t="str">
        <f ca="1">IFERROR(__xludf.DUMMYFUNCTION("GOOGLETRANSLATE(A7748,""bn"",""en"")"),"Shakib captained well")</f>
        <v>Shakib captained well</v>
      </c>
      <c r="D7748" s="5"/>
      <c r="E7748" s="5"/>
      <c r="F7748" s="5"/>
      <c r="G7748" s="5"/>
      <c r="H7748" s="5"/>
      <c r="I7748" s="5"/>
      <c r="J7748" s="5"/>
      <c r="K7748" s="5"/>
      <c r="L7748" s="5"/>
      <c r="M7748" s="5"/>
      <c r="N7748" s="5"/>
      <c r="O7748" s="5"/>
      <c r="P7748" s="5"/>
      <c r="Q7748" s="5"/>
      <c r="R7748" s="5"/>
      <c r="S7748" s="5"/>
      <c r="T7748" s="5"/>
      <c r="U7748" s="5"/>
      <c r="V7748" s="5"/>
      <c r="W7748" s="5"/>
      <c r="X7748" s="5"/>
      <c r="Y7748" s="5"/>
      <c r="Z7748" s="5"/>
    </row>
    <row r="7749" spans="1:26" ht="15" x14ac:dyDescent="0.25">
      <c r="A7749" s="4" t="s">
        <v>7747</v>
      </c>
      <c r="B7749" s="4" t="s">
        <v>4550</v>
      </c>
      <c r="C7749" s="2" t="str">
        <f ca="1">IFERROR(__xludf.DUMMYFUNCTION("GOOGLETRANSLATE(A7749,""bn"",""en"")"),"He was organizing the exhibition again")</f>
        <v>He was organizing the exhibition again</v>
      </c>
      <c r="D7749" s="5"/>
      <c r="E7749" s="5"/>
      <c r="F7749" s="5"/>
      <c r="G7749" s="5"/>
      <c r="H7749" s="5"/>
      <c r="I7749" s="5"/>
      <c r="J7749" s="5"/>
      <c r="K7749" s="5"/>
      <c r="L7749" s="5"/>
      <c r="M7749" s="5"/>
      <c r="N7749" s="5"/>
      <c r="O7749" s="5"/>
      <c r="P7749" s="5"/>
      <c r="Q7749" s="5"/>
      <c r="R7749" s="5"/>
      <c r="S7749" s="5"/>
      <c r="T7749" s="5"/>
      <c r="U7749" s="5"/>
      <c r="V7749" s="5"/>
      <c r="W7749" s="5"/>
      <c r="X7749" s="5"/>
      <c r="Y7749" s="5"/>
      <c r="Z7749" s="5"/>
    </row>
    <row r="7750" spans="1:26" ht="15" x14ac:dyDescent="0.25">
      <c r="A7750" s="4" t="s">
        <v>7748</v>
      </c>
      <c r="B7750" s="4" t="s">
        <v>4550</v>
      </c>
      <c r="C7750" s="2" t="str">
        <f ca="1">IFERROR(__xludf.DUMMYFUNCTION("GOOGLETRANSLATE(A7750,""bn"",""en"")"),"Previously was preparing personally")</f>
        <v>Previously was preparing personally</v>
      </c>
      <c r="D7750" s="5"/>
      <c r="E7750" s="5"/>
      <c r="F7750" s="5"/>
      <c r="G7750" s="5"/>
      <c r="H7750" s="5"/>
      <c r="I7750" s="5"/>
      <c r="J7750" s="5"/>
      <c r="K7750" s="5"/>
      <c r="L7750" s="5"/>
      <c r="M7750" s="5"/>
      <c r="N7750" s="5"/>
      <c r="O7750" s="5"/>
      <c r="P7750" s="5"/>
      <c r="Q7750" s="5"/>
      <c r="R7750" s="5"/>
      <c r="S7750" s="5"/>
      <c r="T7750" s="5"/>
      <c r="U7750" s="5"/>
      <c r="V7750" s="5"/>
      <c r="W7750" s="5"/>
      <c r="X7750" s="5"/>
      <c r="Y7750" s="5"/>
      <c r="Z7750" s="5"/>
    </row>
    <row r="7751" spans="1:26" ht="15" x14ac:dyDescent="0.25">
      <c r="A7751" s="4" t="s">
        <v>7749</v>
      </c>
      <c r="B7751" s="4" t="s">
        <v>4550</v>
      </c>
      <c r="C7751" s="2" t="str">
        <f ca="1">IFERROR(__xludf.DUMMYFUNCTION("GOOGLETRANSLATE(A7751,""bn"",""en"")"),"We ate shrimp and fish")</f>
        <v>We ate shrimp and fish</v>
      </c>
      <c r="D7751" s="5"/>
      <c r="E7751" s="5"/>
      <c r="F7751" s="5"/>
      <c r="G7751" s="5"/>
      <c r="H7751" s="5"/>
      <c r="I7751" s="5"/>
      <c r="J7751" s="5"/>
      <c r="K7751" s="5"/>
      <c r="L7751" s="5"/>
      <c r="M7751" s="5"/>
      <c r="N7751" s="5"/>
      <c r="O7751" s="5"/>
      <c r="P7751" s="5"/>
      <c r="Q7751" s="5"/>
      <c r="R7751" s="5"/>
      <c r="S7751" s="5"/>
      <c r="T7751" s="5"/>
      <c r="U7751" s="5"/>
      <c r="V7751" s="5"/>
      <c r="W7751" s="5"/>
      <c r="X7751" s="5"/>
      <c r="Y7751" s="5"/>
      <c r="Z7751" s="5"/>
    </row>
    <row r="7752" spans="1:26" ht="15" x14ac:dyDescent="0.25">
      <c r="A7752" s="4" t="s">
        <v>7750</v>
      </c>
      <c r="B7752" s="4" t="s">
        <v>4550</v>
      </c>
      <c r="C7752" s="2" t="str">
        <f ca="1">IFERROR(__xludf.DUMMYFUNCTION("GOOGLETRANSLATE(A7752,""bn"",""en"")"),"They managed the deployment")</f>
        <v>They managed the deployment</v>
      </c>
      <c r="D7752" s="5"/>
      <c r="E7752" s="5"/>
      <c r="F7752" s="5"/>
      <c r="G7752" s="5"/>
      <c r="H7752" s="5"/>
      <c r="I7752" s="5"/>
      <c r="J7752" s="5"/>
      <c r="K7752" s="5"/>
      <c r="L7752" s="5"/>
      <c r="M7752" s="5"/>
      <c r="N7752" s="5"/>
      <c r="O7752" s="5"/>
      <c r="P7752" s="5"/>
      <c r="Q7752" s="5"/>
      <c r="R7752" s="5"/>
      <c r="S7752" s="5"/>
      <c r="T7752" s="5"/>
      <c r="U7752" s="5"/>
      <c r="V7752" s="5"/>
      <c r="W7752" s="5"/>
      <c r="X7752" s="5"/>
      <c r="Y7752" s="5"/>
      <c r="Z7752" s="5"/>
    </row>
    <row r="7753" spans="1:26" ht="15" x14ac:dyDescent="0.25">
      <c r="A7753" s="4" t="s">
        <v>7751</v>
      </c>
      <c r="B7753" s="4" t="s">
        <v>4550</v>
      </c>
      <c r="C7753" s="2" t="str">
        <f ca="1">IFERROR(__xludf.DUMMYFUNCTION("GOOGLETRANSLATE(A7753,""bn"",""en"")"),"Zakat was discussed")</f>
        <v>Zakat was discussed</v>
      </c>
      <c r="D7753" s="5"/>
      <c r="E7753" s="5"/>
      <c r="F7753" s="5"/>
      <c r="G7753" s="5"/>
      <c r="H7753" s="5"/>
      <c r="I7753" s="5"/>
      <c r="J7753" s="5"/>
      <c r="K7753" s="5"/>
      <c r="L7753" s="5"/>
      <c r="M7753" s="5"/>
      <c r="N7753" s="5"/>
      <c r="O7753" s="5"/>
      <c r="P7753" s="5"/>
      <c r="Q7753" s="5"/>
      <c r="R7753" s="5"/>
      <c r="S7753" s="5"/>
      <c r="T7753" s="5"/>
      <c r="U7753" s="5"/>
      <c r="V7753" s="5"/>
      <c r="W7753" s="5"/>
      <c r="X7753" s="5"/>
      <c r="Y7753" s="5"/>
      <c r="Z7753" s="5"/>
    </row>
    <row r="7754" spans="1:26" ht="15" x14ac:dyDescent="0.25">
      <c r="A7754" s="4" t="s">
        <v>7752</v>
      </c>
      <c r="B7754" s="4" t="s">
        <v>4550</v>
      </c>
      <c r="C7754" s="2" t="str">
        <f ca="1">IFERROR(__xludf.DUMMYFUNCTION("GOOGLETRANSLATE(A7754,""bn"",""en"")"),"Hockey was played for hours")</f>
        <v>Hockey was played for hours</v>
      </c>
      <c r="D7754" s="5"/>
      <c r="E7754" s="5"/>
      <c r="F7754" s="5"/>
      <c r="G7754" s="5"/>
      <c r="H7754" s="5"/>
      <c r="I7754" s="5"/>
      <c r="J7754" s="5"/>
      <c r="K7754" s="5"/>
      <c r="L7754" s="5"/>
      <c r="M7754" s="5"/>
      <c r="N7754" s="5"/>
      <c r="O7754" s="5"/>
      <c r="P7754" s="5"/>
      <c r="Q7754" s="5"/>
      <c r="R7754" s="5"/>
      <c r="S7754" s="5"/>
      <c r="T7754" s="5"/>
      <c r="U7754" s="5"/>
      <c r="V7754" s="5"/>
      <c r="W7754" s="5"/>
      <c r="X7754" s="5"/>
      <c r="Y7754" s="5"/>
      <c r="Z7754" s="5"/>
    </row>
    <row r="7755" spans="1:26" ht="15" x14ac:dyDescent="0.25">
      <c r="A7755" s="4" t="s">
        <v>7753</v>
      </c>
      <c r="B7755" s="4" t="s">
        <v>4550</v>
      </c>
      <c r="C7755" s="2" t="str">
        <f ca="1">IFERROR(__xludf.DUMMYFUNCTION("GOOGLETRANSLATE(A7755,""bn"",""en"")"),"Everyone expressed interest in playing hockey")</f>
        <v>Everyone expressed interest in playing hockey</v>
      </c>
      <c r="D7755" s="5"/>
      <c r="E7755" s="5"/>
      <c r="F7755" s="5"/>
      <c r="G7755" s="5"/>
      <c r="H7755" s="5"/>
      <c r="I7755" s="5"/>
      <c r="J7755" s="5"/>
      <c r="K7755" s="5"/>
      <c r="L7755" s="5"/>
      <c r="M7755" s="5"/>
      <c r="N7755" s="5"/>
      <c r="O7755" s="5"/>
      <c r="P7755" s="5"/>
      <c r="Q7755" s="5"/>
      <c r="R7755" s="5"/>
      <c r="S7755" s="5"/>
      <c r="T7755" s="5"/>
      <c r="U7755" s="5"/>
      <c r="V7755" s="5"/>
      <c r="W7755" s="5"/>
      <c r="X7755" s="5"/>
      <c r="Y7755" s="5"/>
      <c r="Z7755" s="5"/>
    </row>
    <row r="7756" spans="1:26" ht="15" x14ac:dyDescent="0.25">
      <c r="A7756" s="4" t="s">
        <v>7754</v>
      </c>
      <c r="B7756" s="4" t="s">
        <v>4550</v>
      </c>
      <c r="C7756" s="2" t="str">
        <f ca="1">IFERROR(__xludf.DUMMYFUNCTION("GOOGLETRANSLATE(A7756,""bn"",""en"")"),"I ordered chicken kacchi")</f>
        <v>I ordered chicken kacchi</v>
      </c>
      <c r="D7756" s="5"/>
      <c r="E7756" s="5"/>
      <c r="F7756" s="5"/>
      <c r="G7756" s="5"/>
      <c r="H7756" s="5"/>
      <c r="I7756" s="5"/>
      <c r="J7756" s="5"/>
      <c r="K7756" s="5"/>
      <c r="L7756" s="5"/>
      <c r="M7756" s="5"/>
      <c r="N7756" s="5"/>
      <c r="O7756" s="5"/>
      <c r="P7756" s="5"/>
      <c r="Q7756" s="5"/>
      <c r="R7756" s="5"/>
      <c r="S7756" s="5"/>
      <c r="T7756" s="5"/>
      <c r="U7756" s="5"/>
      <c r="V7756" s="5"/>
      <c r="W7756" s="5"/>
      <c r="X7756" s="5"/>
      <c r="Y7756" s="5"/>
      <c r="Z7756" s="5"/>
    </row>
    <row r="7757" spans="1:26" ht="15" x14ac:dyDescent="0.25">
      <c r="A7757" s="4" t="s">
        <v>7755</v>
      </c>
      <c r="B7757" s="4" t="s">
        <v>4550</v>
      </c>
      <c r="C7757" s="2" t="str">
        <f ca="1">IFERROR(__xludf.DUMMYFUNCTION("GOOGLETRANSLATE(A7757,""bn"",""en"")"),"I did software engineering course")</f>
        <v>I did software engineering course</v>
      </c>
      <c r="D7757" s="5"/>
      <c r="E7757" s="5"/>
      <c r="F7757" s="5"/>
      <c r="G7757" s="5"/>
      <c r="H7757" s="5"/>
      <c r="I7757" s="5"/>
      <c r="J7757" s="5"/>
      <c r="K7757" s="5"/>
      <c r="L7757" s="5"/>
      <c r="M7757" s="5"/>
      <c r="N7757" s="5"/>
      <c r="O7757" s="5"/>
      <c r="P7757" s="5"/>
      <c r="Q7757" s="5"/>
      <c r="R7757" s="5"/>
      <c r="S7757" s="5"/>
      <c r="T7757" s="5"/>
      <c r="U7757" s="5"/>
      <c r="V7757" s="5"/>
      <c r="W7757" s="5"/>
      <c r="X7757" s="5"/>
      <c r="Y7757" s="5"/>
      <c r="Z7757" s="5"/>
    </row>
    <row r="7758" spans="1:26" ht="15" x14ac:dyDescent="0.25">
      <c r="A7758" s="4" t="s">
        <v>7756</v>
      </c>
      <c r="B7758" s="4" t="s">
        <v>4550</v>
      </c>
      <c r="C7758" s="2" t="str">
        <f ca="1">IFERROR(__xludf.DUMMYFUNCTION("GOOGLETRANSLATE(A7758,""bn"",""en"")"),"Commercial losses were predicted")</f>
        <v>Commercial losses were predicted</v>
      </c>
      <c r="D7758" s="5"/>
      <c r="E7758" s="5"/>
      <c r="F7758" s="5"/>
      <c r="G7758" s="5"/>
      <c r="H7758" s="5"/>
      <c r="I7758" s="5"/>
      <c r="J7758" s="5"/>
      <c r="K7758" s="5"/>
      <c r="L7758" s="5"/>
      <c r="M7758" s="5"/>
      <c r="N7758" s="5"/>
      <c r="O7758" s="5"/>
      <c r="P7758" s="5"/>
      <c r="Q7758" s="5"/>
      <c r="R7758" s="5"/>
      <c r="S7758" s="5"/>
      <c r="T7758" s="5"/>
      <c r="U7758" s="5"/>
      <c r="V7758" s="5"/>
      <c r="W7758" s="5"/>
      <c r="X7758" s="5"/>
      <c r="Y7758" s="5"/>
      <c r="Z7758" s="5"/>
    </row>
    <row r="7759" spans="1:26" ht="15" x14ac:dyDescent="0.25">
      <c r="A7759" s="4" t="s">
        <v>7757</v>
      </c>
      <c r="B7759" s="4" t="s">
        <v>4550</v>
      </c>
      <c r="C7759" s="2" t="str">
        <f ca="1">IFERROR(__xludf.DUMMYFUNCTION("GOOGLETRANSLATE(A7759,""bn"",""en"")"),"They optimized the code")</f>
        <v>They optimized the code</v>
      </c>
      <c r="D7759" s="5"/>
      <c r="E7759" s="5"/>
      <c r="F7759" s="5"/>
      <c r="G7759" s="5"/>
      <c r="H7759" s="5"/>
      <c r="I7759" s="5"/>
      <c r="J7759" s="5"/>
      <c r="K7759" s="5"/>
      <c r="L7759" s="5"/>
      <c r="M7759" s="5"/>
      <c r="N7759" s="5"/>
      <c r="O7759" s="5"/>
      <c r="P7759" s="5"/>
      <c r="Q7759" s="5"/>
      <c r="R7759" s="5"/>
      <c r="S7759" s="5"/>
      <c r="T7759" s="5"/>
      <c r="U7759" s="5"/>
      <c r="V7759" s="5"/>
      <c r="W7759" s="5"/>
      <c r="X7759" s="5"/>
      <c r="Y7759" s="5"/>
      <c r="Z7759" s="5"/>
    </row>
    <row r="7760" spans="1:26" ht="15" x14ac:dyDescent="0.25">
      <c r="A7760" s="4" t="s">
        <v>7758</v>
      </c>
      <c r="B7760" s="4" t="s">
        <v>4550</v>
      </c>
      <c r="C7760" s="2" t="str">
        <f ca="1">IFERROR(__xludf.DUMMYFUNCTION("GOOGLETRANSLATE(A7760,""bn"",""en"")"),"You ate aloo bharta")</f>
        <v>You ate aloo bharta</v>
      </c>
      <c r="D7760" s="5"/>
      <c r="E7760" s="5"/>
      <c r="F7760" s="5"/>
      <c r="G7760" s="5"/>
      <c r="H7760" s="5"/>
      <c r="I7760" s="5"/>
      <c r="J7760" s="5"/>
      <c r="K7760" s="5"/>
      <c r="L7760" s="5"/>
      <c r="M7760" s="5"/>
      <c r="N7760" s="5"/>
      <c r="O7760" s="5"/>
      <c r="P7760" s="5"/>
      <c r="Q7760" s="5"/>
      <c r="R7760" s="5"/>
      <c r="S7760" s="5"/>
      <c r="T7760" s="5"/>
      <c r="U7760" s="5"/>
      <c r="V7760" s="5"/>
      <c r="W7760" s="5"/>
      <c r="X7760" s="5"/>
      <c r="Y7760" s="5"/>
      <c r="Z7760" s="5"/>
    </row>
    <row r="7761" spans="1:26" ht="15" x14ac:dyDescent="0.25">
      <c r="A7761" s="4" t="s">
        <v>7759</v>
      </c>
      <c r="B7761" s="4" t="s">
        <v>4550</v>
      </c>
      <c r="C7761" s="2" t="str">
        <f ca="1">IFERROR(__xludf.DUMMYFUNCTION("GOOGLETRANSLATE(A7761,""bn"",""en"")"),"The team won the previous game")</f>
        <v>The team won the previous game</v>
      </c>
      <c r="D7761" s="5"/>
      <c r="E7761" s="5"/>
      <c r="F7761" s="5"/>
      <c r="G7761" s="5"/>
      <c r="H7761" s="5"/>
      <c r="I7761" s="5"/>
      <c r="J7761" s="5"/>
      <c r="K7761" s="5"/>
      <c r="L7761" s="5"/>
      <c r="M7761" s="5"/>
      <c r="N7761" s="5"/>
      <c r="O7761" s="5"/>
      <c r="P7761" s="5"/>
      <c r="Q7761" s="5"/>
      <c r="R7761" s="5"/>
      <c r="S7761" s="5"/>
      <c r="T7761" s="5"/>
      <c r="U7761" s="5"/>
      <c r="V7761" s="5"/>
      <c r="W7761" s="5"/>
      <c r="X7761" s="5"/>
      <c r="Y7761" s="5"/>
      <c r="Z7761" s="5"/>
    </row>
    <row r="7762" spans="1:26" ht="15" x14ac:dyDescent="0.25">
      <c r="A7762" s="4" t="s">
        <v>7760</v>
      </c>
      <c r="B7762" s="4" t="s">
        <v>4550</v>
      </c>
      <c r="C7762" s="2" t="str">
        <f ca="1">IFERROR(__xludf.DUMMYFUNCTION("GOOGLETRANSLATE(A7762,""bn"",""en"")"),"Visited the old temple")</f>
        <v>Visited the old temple</v>
      </c>
      <c r="D7762" s="5"/>
      <c r="E7762" s="5"/>
      <c r="F7762" s="5"/>
      <c r="G7762" s="5"/>
      <c r="H7762" s="5"/>
      <c r="I7762" s="5"/>
      <c r="J7762" s="5"/>
      <c r="K7762" s="5"/>
      <c r="L7762" s="5"/>
      <c r="M7762" s="5"/>
      <c r="N7762" s="5"/>
      <c r="O7762" s="5"/>
      <c r="P7762" s="5"/>
      <c r="Q7762" s="5"/>
      <c r="R7762" s="5"/>
      <c r="S7762" s="5"/>
      <c r="T7762" s="5"/>
      <c r="U7762" s="5"/>
      <c r="V7762" s="5"/>
      <c r="W7762" s="5"/>
      <c r="X7762" s="5"/>
      <c r="Y7762" s="5"/>
      <c r="Z7762" s="5"/>
    </row>
    <row r="7763" spans="1:26" ht="15" x14ac:dyDescent="0.25">
      <c r="A7763" s="4" t="s">
        <v>7761</v>
      </c>
      <c r="B7763" s="4" t="s">
        <v>4550</v>
      </c>
      <c r="C7763" s="2" t="str">
        <f ca="1">IFERROR(__xludf.DUMMYFUNCTION("GOOGLETRANSLATE(A7763,""bn"",""en"")"),"There was a cricket match")</f>
        <v>There was a cricket match</v>
      </c>
      <c r="D7763" s="5"/>
      <c r="E7763" s="5"/>
      <c r="F7763" s="5"/>
      <c r="G7763" s="5"/>
      <c r="H7763" s="5"/>
      <c r="I7763" s="5"/>
      <c r="J7763" s="5"/>
      <c r="K7763" s="5"/>
      <c r="L7763" s="5"/>
      <c r="M7763" s="5"/>
      <c r="N7763" s="5"/>
      <c r="O7763" s="5"/>
      <c r="P7763" s="5"/>
      <c r="Q7763" s="5"/>
      <c r="R7763" s="5"/>
      <c r="S7763" s="5"/>
      <c r="T7763" s="5"/>
      <c r="U7763" s="5"/>
      <c r="V7763" s="5"/>
      <c r="W7763" s="5"/>
      <c r="X7763" s="5"/>
      <c r="Y7763" s="5"/>
      <c r="Z7763" s="5"/>
    </row>
    <row r="7764" spans="1:26" ht="15" x14ac:dyDescent="0.25">
      <c r="A7764" s="4" t="s">
        <v>7762</v>
      </c>
      <c r="B7764" s="4" t="s">
        <v>4550</v>
      </c>
      <c r="C7764" s="2" t="str">
        <f ca="1">IFERROR(__xludf.DUMMYFUNCTION("GOOGLETRANSLATE(A7764,""bn"",""en"")"),"I participated in the programming community")</f>
        <v>I participated in the programming community</v>
      </c>
      <c r="D7764" s="5"/>
      <c r="E7764" s="5"/>
      <c r="F7764" s="5"/>
      <c r="G7764" s="5"/>
      <c r="H7764" s="5"/>
      <c r="I7764" s="5"/>
      <c r="J7764" s="5"/>
      <c r="K7764" s="5"/>
      <c r="L7764" s="5"/>
      <c r="M7764" s="5"/>
      <c r="N7764" s="5"/>
      <c r="O7764" s="5"/>
      <c r="P7764" s="5"/>
      <c r="Q7764" s="5"/>
      <c r="R7764" s="5"/>
      <c r="S7764" s="5"/>
      <c r="T7764" s="5"/>
      <c r="U7764" s="5"/>
      <c r="V7764" s="5"/>
      <c r="W7764" s="5"/>
      <c r="X7764" s="5"/>
      <c r="Y7764" s="5"/>
      <c r="Z7764" s="5"/>
    </row>
    <row r="7765" spans="1:26" ht="15" x14ac:dyDescent="0.25">
      <c r="A7765" s="4" t="s">
        <v>7763</v>
      </c>
      <c r="B7765" s="4" t="s">
        <v>4550</v>
      </c>
      <c r="C7765" s="2" t="str">
        <f ca="1">IFERROR(__xludf.DUMMYFUNCTION("GOOGLETRANSLATE(A7765,""bn"",""en"")"),"The news circulated for a long time")</f>
        <v>The news circulated for a long time</v>
      </c>
      <c r="D7765" s="5"/>
      <c r="E7765" s="5"/>
      <c r="F7765" s="5"/>
      <c r="G7765" s="5"/>
      <c r="H7765" s="5"/>
      <c r="I7765" s="5"/>
      <c r="J7765" s="5"/>
      <c r="K7765" s="5"/>
      <c r="L7765" s="5"/>
      <c r="M7765" s="5"/>
      <c r="N7765" s="5"/>
      <c r="O7765" s="5"/>
      <c r="P7765" s="5"/>
      <c r="Q7765" s="5"/>
      <c r="R7765" s="5"/>
      <c r="S7765" s="5"/>
      <c r="T7765" s="5"/>
      <c r="U7765" s="5"/>
      <c r="V7765" s="5"/>
      <c r="W7765" s="5"/>
      <c r="X7765" s="5"/>
      <c r="Y7765" s="5"/>
      <c r="Z7765" s="5"/>
    </row>
    <row r="7766" spans="1:26" ht="15" x14ac:dyDescent="0.25">
      <c r="A7766" s="4" t="s">
        <v>7764</v>
      </c>
      <c r="B7766" s="4" t="s">
        <v>4550</v>
      </c>
      <c r="C7766" s="2" t="str">
        <f ca="1">IFERROR(__xludf.DUMMYFUNCTION("GOOGLETRANSLATE(A7766,""bn"",""en"")"),"An educational program was held at the university")</f>
        <v>An educational program was held at the university</v>
      </c>
      <c r="D7766" s="5"/>
      <c r="E7766" s="5"/>
      <c r="F7766" s="5"/>
      <c r="G7766" s="5"/>
      <c r="H7766" s="5"/>
      <c r="I7766" s="5"/>
      <c r="J7766" s="5"/>
      <c r="K7766" s="5"/>
      <c r="L7766" s="5"/>
      <c r="M7766" s="5"/>
      <c r="N7766" s="5"/>
      <c r="O7766" s="5"/>
      <c r="P7766" s="5"/>
      <c r="Q7766" s="5"/>
      <c r="R7766" s="5"/>
      <c r="S7766" s="5"/>
      <c r="T7766" s="5"/>
      <c r="U7766" s="5"/>
      <c r="V7766" s="5"/>
      <c r="W7766" s="5"/>
      <c r="X7766" s="5"/>
      <c r="Y7766" s="5"/>
      <c r="Z7766" s="5"/>
    </row>
    <row r="7767" spans="1:26" ht="15" x14ac:dyDescent="0.25">
      <c r="A7767" s="4" t="s">
        <v>7765</v>
      </c>
      <c r="B7767" s="4" t="s">
        <v>4550</v>
      </c>
      <c r="C7767" s="2" t="str">
        <f ca="1">IFERROR(__xludf.DUMMYFUNCTION("GOOGLETRANSLATE(A7767,""bn"",""en"")"),"The meal was served")</f>
        <v>The meal was served</v>
      </c>
      <c r="D7767" s="5"/>
      <c r="E7767" s="5"/>
      <c r="F7767" s="5"/>
      <c r="G7767" s="5"/>
      <c r="H7767" s="5"/>
      <c r="I7767" s="5"/>
      <c r="J7767" s="5"/>
      <c r="K7767" s="5"/>
      <c r="L7767" s="5"/>
      <c r="M7767" s="5"/>
      <c r="N7767" s="5"/>
      <c r="O7767" s="5"/>
      <c r="P7767" s="5"/>
      <c r="Q7767" s="5"/>
      <c r="R7767" s="5"/>
      <c r="S7767" s="5"/>
      <c r="T7767" s="5"/>
      <c r="U7767" s="5"/>
      <c r="V7767" s="5"/>
      <c r="W7767" s="5"/>
      <c r="X7767" s="5"/>
      <c r="Y7767" s="5"/>
      <c r="Z7767" s="5"/>
    </row>
    <row r="7768" spans="1:26" ht="15" x14ac:dyDescent="0.25">
      <c r="A7768" s="4" t="s">
        <v>7766</v>
      </c>
      <c r="B7768" s="4" t="s">
        <v>4550</v>
      </c>
      <c r="C7768" s="2" t="str">
        <f ca="1">IFERROR(__xludf.DUMMYFUNCTION("GOOGLETRANSLATE(A7768,""bn"",""en"")"),"Got machine learning skills")</f>
        <v>Got machine learning skills</v>
      </c>
      <c r="D7768" s="5"/>
      <c r="E7768" s="5"/>
      <c r="F7768" s="5"/>
      <c r="G7768" s="5"/>
      <c r="H7768" s="5"/>
      <c r="I7768" s="5"/>
      <c r="J7768" s="5"/>
      <c r="K7768" s="5"/>
      <c r="L7768" s="5"/>
      <c r="M7768" s="5"/>
      <c r="N7768" s="5"/>
      <c r="O7768" s="5"/>
      <c r="P7768" s="5"/>
      <c r="Q7768" s="5"/>
      <c r="R7768" s="5"/>
      <c r="S7768" s="5"/>
      <c r="T7768" s="5"/>
      <c r="U7768" s="5"/>
      <c r="V7768" s="5"/>
      <c r="W7768" s="5"/>
      <c r="X7768" s="5"/>
      <c r="Y7768" s="5"/>
      <c r="Z7768" s="5"/>
    </row>
    <row r="7769" spans="1:26" ht="15" x14ac:dyDescent="0.25">
      <c r="A7769" s="4" t="s">
        <v>7767</v>
      </c>
      <c r="B7769" s="4" t="s">
        <v>4550</v>
      </c>
      <c r="C7769" s="2" t="str">
        <f ca="1">IFERROR(__xludf.DUMMYFUNCTION("GOOGLETRANSLATE(A7769,""bn"",""en"")"),"I was delighted to see the film")</f>
        <v>I was delighted to see the film</v>
      </c>
      <c r="D7769" s="5"/>
      <c r="E7769" s="5"/>
      <c r="F7769" s="5"/>
      <c r="G7769" s="5"/>
      <c r="H7769" s="5"/>
      <c r="I7769" s="5"/>
      <c r="J7769" s="5"/>
      <c r="K7769" s="5"/>
      <c r="L7769" s="5"/>
      <c r="M7769" s="5"/>
      <c r="N7769" s="5"/>
      <c r="O7769" s="5"/>
      <c r="P7769" s="5"/>
      <c r="Q7769" s="5"/>
      <c r="R7769" s="5"/>
      <c r="S7769" s="5"/>
      <c r="T7769" s="5"/>
      <c r="U7769" s="5"/>
      <c r="V7769" s="5"/>
      <c r="W7769" s="5"/>
      <c r="X7769" s="5"/>
      <c r="Y7769" s="5"/>
      <c r="Z7769" s="5"/>
    </row>
    <row r="7770" spans="1:26" ht="15" x14ac:dyDescent="0.25">
      <c r="A7770" s="4" t="s">
        <v>7768</v>
      </c>
      <c r="B7770" s="4" t="s">
        <v>4550</v>
      </c>
      <c r="C7770" s="2" t="str">
        <f ca="1">IFERROR(__xludf.DUMMYFUNCTION("GOOGLETRANSLATE(A7770,""bn"",""en"")"),"They were investing last week")</f>
        <v>They were investing last week</v>
      </c>
      <c r="D7770" s="5"/>
      <c r="E7770" s="5"/>
      <c r="F7770" s="5"/>
      <c r="G7770" s="5"/>
      <c r="H7770" s="5"/>
      <c r="I7770" s="5"/>
      <c r="J7770" s="5"/>
      <c r="K7770" s="5"/>
      <c r="L7770" s="5"/>
      <c r="M7770" s="5"/>
      <c r="N7770" s="5"/>
      <c r="O7770" s="5"/>
      <c r="P7770" s="5"/>
      <c r="Q7770" s="5"/>
      <c r="R7770" s="5"/>
      <c r="S7770" s="5"/>
      <c r="T7770" s="5"/>
      <c r="U7770" s="5"/>
      <c r="V7770" s="5"/>
      <c r="W7770" s="5"/>
      <c r="X7770" s="5"/>
      <c r="Y7770" s="5"/>
      <c r="Z7770" s="5"/>
    </row>
    <row r="7771" spans="1:26" ht="15" x14ac:dyDescent="0.25">
      <c r="A7771" s="4" t="s">
        <v>7769</v>
      </c>
      <c r="B7771" s="4" t="s">
        <v>4550</v>
      </c>
      <c r="C7771" s="2" t="str">
        <f ca="1">IFERROR(__xludf.DUMMYFUNCTION("GOOGLETRANSLATE(A7771,""bn"",""en"")"),"Liked to watch movies")</f>
        <v>Liked to watch movies</v>
      </c>
      <c r="D7771" s="5"/>
      <c r="E7771" s="5"/>
      <c r="F7771" s="5"/>
      <c r="G7771" s="5"/>
      <c r="H7771" s="5"/>
      <c r="I7771" s="5"/>
      <c r="J7771" s="5"/>
      <c r="K7771" s="5"/>
      <c r="L7771" s="5"/>
      <c r="M7771" s="5"/>
      <c r="N7771" s="5"/>
      <c r="O7771" s="5"/>
      <c r="P7771" s="5"/>
      <c r="Q7771" s="5"/>
      <c r="R7771" s="5"/>
      <c r="S7771" s="5"/>
      <c r="T7771" s="5"/>
      <c r="U7771" s="5"/>
      <c r="V7771" s="5"/>
      <c r="W7771" s="5"/>
      <c r="X7771" s="5"/>
      <c r="Y7771" s="5"/>
      <c r="Z7771" s="5"/>
    </row>
    <row r="7772" spans="1:26" ht="15" x14ac:dyDescent="0.25">
      <c r="A7772" s="4" t="s">
        <v>7770</v>
      </c>
      <c r="B7772" s="4" t="s">
        <v>4550</v>
      </c>
      <c r="C7772" s="2" t="str">
        <f ca="1">IFERROR(__xludf.DUMMYFUNCTION("GOOGLETRANSLATE(A7772,""bn"",""en"")"),"Winning the World Cup was not easy")</f>
        <v>Winning the World Cup was not easy</v>
      </c>
      <c r="D7772" s="5"/>
      <c r="E7772" s="5"/>
      <c r="F7772" s="5"/>
      <c r="G7772" s="5"/>
      <c r="H7772" s="5"/>
      <c r="I7772" s="5"/>
      <c r="J7772" s="5"/>
      <c r="K7772" s="5"/>
      <c r="L7772" s="5"/>
      <c r="M7772" s="5"/>
      <c r="N7772" s="5"/>
      <c r="O7772" s="5"/>
      <c r="P7772" s="5"/>
      <c r="Q7772" s="5"/>
      <c r="R7772" s="5"/>
      <c r="S7772" s="5"/>
      <c r="T7772" s="5"/>
      <c r="U7772" s="5"/>
      <c r="V7772" s="5"/>
      <c r="W7772" s="5"/>
      <c r="X7772" s="5"/>
      <c r="Y7772" s="5"/>
      <c r="Z7772" s="5"/>
    </row>
    <row r="7773" spans="1:26" ht="15" x14ac:dyDescent="0.25">
      <c r="A7773" s="4" t="s">
        <v>7771</v>
      </c>
      <c r="B7773" s="4" t="s">
        <v>4550</v>
      </c>
      <c r="C7773" s="2" t="str">
        <f ca="1">IFERROR(__xludf.DUMMYFUNCTION("GOOGLETRANSLATE(A7773,""bn"",""en"")"),"Profits increased in transportation")</f>
        <v>Profits increased in transportation</v>
      </c>
      <c r="D7773" s="5"/>
      <c r="E7773" s="5"/>
      <c r="F7773" s="5"/>
      <c r="G7773" s="5"/>
      <c r="H7773" s="5"/>
      <c r="I7773" s="5"/>
      <c r="J7773" s="5"/>
      <c r="K7773" s="5"/>
      <c r="L7773" s="5"/>
      <c r="M7773" s="5"/>
      <c r="N7773" s="5"/>
      <c r="O7773" s="5"/>
      <c r="P7773" s="5"/>
      <c r="Q7773" s="5"/>
      <c r="R7773" s="5"/>
      <c r="S7773" s="5"/>
      <c r="T7773" s="5"/>
      <c r="U7773" s="5"/>
      <c r="V7773" s="5"/>
      <c r="W7773" s="5"/>
      <c r="X7773" s="5"/>
      <c r="Y7773" s="5"/>
      <c r="Z7773" s="5"/>
    </row>
    <row r="7774" spans="1:26" ht="15" x14ac:dyDescent="0.25">
      <c r="A7774" s="4" t="s">
        <v>7772</v>
      </c>
      <c r="B7774" s="4" t="s">
        <v>4550</v>
      </c>
      <c r="C7774" s="2" t="str">
        <f ca="1">IFERROR(__xludf.DUMMYFUNCTION("GOOGLETRANSLATE(A7774,""bn"",""en"")"),"I used to buy foreign currency")</f>
        <v>I used to buy foreign currency</v>
      </c>
      <c r="D7774" s="5"/>
      <c r="E7774" s="5"/>
      <c r="F7774" s="5"/>
      <c r="G7774" s="5"/>
      <c r="H7774" s="5"/>
      <c r="I7774" s="5"/>
      <c r="J7774" s="5"/>
      <c r="K7774" s="5"/>
      <c r="L7774" s="5"/>
      <c r="M7774" s="5"/>
      <c r="N7774" s="5"/>
      <c r="O7774" s="5"/>
      <c r="P7774" s="5"/>
      <c r="Q7774" s="5"/>
      <c r="R7774" s="5"/>
      <c r="S7774" s="5"/>
      <c r="T7774" s="5"/>
      <c r="U7774" s="5"/>
      <c r="V7774" s="5"/>
      <c r="W7774" s="5"/>
      <c r="X7774" s="5"/>
      <c r="Y7774" s="5"/>
      <c r="Z7774" s="5"/>
    </row>
    <row r="7775" spans="1:26" ht="15" x14ac:dyDescent="0.25">
      <c r="A7775" s="4" t="s">
        <v>7773</v>
      </c>
      <c r="B7775" s="4" t="s">
        <v>4550</v>
      </c>
      <c r="C7775" s="2" t="str">
        <f ca="1">IFERROR(__xludf.DUMMYFUNCTION("GOOGLETRANSLATE(A7775,""bn"",""en"")"),"Badminton was played with labor")</f>
        <v>Badminton was played with labor</v>
      </c>
      <c r="D7775" s="5"/>
      <c r="E7775" s="5"/>
      <c r="F7775" s="5"/>
      <c r="G7775" s="5"/>
      <c r="H7775" s="5"/>
      <c r="I7775" s="5"/>
      <c r="J7775" s="5"/>
      <c r="K7775" s="5"/>
      <c r="L7775" s="5"/>
      <c r="M7775" s="5"/>
      <c r="N7775" s="5"/>
      <c r="O7775" s="5"/>
      <c r="P7775" s="5"/>
      <c r="Q7775" s="5"/>
      <c r="R7775" s="5"/>
      <c r="S7775" s="5"/>
      <c r="T7775" s="5"/>
      <c r="U7775" s="5"/>
      <c r="V7775" s="5"/>
      <c r="W7775" s="5"/>
      <c r="X7775" s="5"/>
      <c r="Y7775" s="5"/>
      <c r="Z7775" s="5"/>
    </row>
    <row r="7776" spans="1:26" ht="15" x14ac:dyDescent="0.25">
      <c r="A7776" s="4" t="s">
        <v>7774</v>
      </c>
      <c r="B7776" s="4" t="s">
        <v>4550</v>
      </c>
      <c r="C7776" s="2" t="str">
        <f ca="1">IFERROR(__xludf.DUMMYFUNCTION("GOOGLETRANSLATE(A7776,""bn"",""en"")"),"They prepared pizza")</f>
        <v>They prepared pizza</v>
      </c>
      <c r="D7776" s="5"/>
      <c r="E7776" s="5"/>
      <c r="F7776" s="5"/>
      <c r="G7776" s="5"/>
      <c r="H7776" s="5"/>
      <c r="I7776" s="5"/>
      <c r="J7776" s="5"/>
      <c r="K7776" s="5"/>
      <c r="L7776" s="5"/>
      <c r="M7776" s="5"/>
      <c r="N7776" s="5"/>
      <c r="O7776" s="5"/>
      <c r="P7776" s="5"/>
      <c r="Q7776" s="5"/>
      <c r="R7776" s="5"/>
      <c r="S7776" s="5"/>
      <c r="T7776" s="5"/>
      <c r="U7776" s="5"/>
      <c r="V7776" s="5"/>
      <c r="W7776" s="5"/>
      <c r="X7776" s="5"/>
      <c r="Y7776" s="5"/>
      <c r="Z7776" s="5"/>
    </row>
    <row r="7777" spans="1:26" ht="15" x14ac:dyDescent="0.25">
      <c r="A7777" s="4" t="s">
        <v>7775</v>
      </c>
      <c r="B7777" s="4" t="s">
        <v>4550</v>
      </c>
      <c r="C7777" s="2" t="str">
        <f ca="1">IFERROR(__xludf.DUMMYFUNCTION("GOOGLETRANSLATE(A7777,""bn"",""en"")"),"Software testing is implemented")</f>
        <v>Software testing is implemented</v>
      </c>
      <c r="D7777" s="5"/>
      <c r="E7777" s="5"/>
      <c r="F7777" s="5"/>
      <c r="G7777" s="5"/>
      <c r="H7777" s="5"/>
      <c r="I7777" s="5"/>
      <c r="J7777" s="5"/>
      <c r="K7777" s="5"/>
      <c r="L7777" s="5"/>
      <c r="M7777" s="5"/>
      <c r="N7777" s="5"/>
      <c r="O7777" s="5"/>
      <c r="P7777" s="5"/>
      <c r="Q7777" s="5"/>
      <c r="R7777" s="5"/>
      <c r="S7777" s="5"/>
      <c r="T7777" s="5"/>
      <c r="U7777" s="5"/>
      <c r="V7777" s="5"/>
      <c r="W7777" s="5"/>
      <c r="X7777" s="5"/>
      <c r="Y7777" s="5"/>
      <c r="Z7777" s="5"/>
    </row>
    <row r="7778" spans="1:26" ht="15" x14ac:dyDescent="0.25">
      <c r="A7778" s="4" t="s">
        <v>7776</v>
      </c>
      <c r="B7778" s="4" t="s">
        <v>4550</v>
      </c>
      <c r="C7778" s="2" t="str">
        <f ca="1">IFERROR(__xludf.DUMMYFUNCTION("GOOGLETRANSLATE(A7778,""bn"",""en"")"),"I was eating lentils")</f>
        <v>I was eating lentils</v>
      </c>
      <c r="D7778" s="5"/>
      <c r="E7778" s="5"/>
      <c r="F7778" s="5"/>
      <c r="G7778" s="5"/>
      <c r="H7778" s="5"/>
      <c r="I7778" s="5"/>
      <c r="J7778" s="5"/>
      <c r="K7778" s="5"/>
      <c r="L7778" s="5"/>
      <c r="M7778" s="5"/>
      <c r="N7778" s="5"/>
      <c r="O7778" s="5"/>
      <c r="P7778" s="5"/>
      <c r="Q7778" s="5"/>
      <c r="R7778" s="5"/>
      <c r="S7778" s="5"/>
      <c r="T7778" s="5"/>
      <c r="U7778" s="5"/>
      <c r="V7778" s="5"/>
      <c r="W7778" s="5"/>
      <c r="X7778" s="5"/>
      <c r="Y7778" s="5"/>
      <c r="Z7778" s="5"/>
    </row>
    <row r="7779" spans="1:26" ht="15" x14ac:dyDescent="0.25">
      <c r="A7779" s="4" t="s">
        <v>7777</v>
      </c>
      <c r="B7779" s="4" t="s">
        <v>4550</v>
      </c>
      <c r="C7779" s="2" t="str">
        <f ca="1">IFERROR(__xludf.DUMMYFUNCTION("GOOGLETRANSLATE(A7779,""bn"",""en"")"),"He was using social media")</f>
        <v>He was using social media</v>
      </c>
      <c r="D7779" s="5"/>
      <c r="E7779" s="5"/>
      <c r="F7779" s="5"/>
      <c r="G7779" s="5"/>
      <c r="H7779" s="5"/>
      <c r="I7779" s="5"/>
      <c r="J7779" s="5"/>
      <c r="K7779" s="5"/>
      <c r="L7779" s="5"/>
      <c r="M7779" s="5"/>
      <c r="N7779" s="5"/>
      <c r="O7779" s="5"/>
      <c r="P7779" s="5"/>
      <c r="Q7779" s="5"/>
      <c r="R7779" s="5"/>
      <c r="S7779" s="5"/>
      <c r="T7779" s="5"/>
      <c r="U7779" s="5"/>
      <c r="V7779" s="5"/>
      <c r="W7779" s="5"/>
      <c r="X7779" s="5"/>
      <c r="Y7779" s="5"/>
      <c r="Z7779" s="5"/>
    </row>
    <row r="7780" spans="1:26" ht="15" x14ac:dyDescent="0.25">
      <c r="A7780" s="4" t="s">
        <v>7778</v>
      </c>
      <c r="B7780" s="4" t="s">
        <v>4550</v>
      </c>
      <c r="C7780" s="2" t="str">
        <f ca="1">IFERROR(__xludf.DUMMYFUNCTION("GOOGLETRANSLATE(A7780,""bn"",""en"")"),"I used to watch new dramas every week")</f>
        <v>I used to watch new dramas every week</v>
      </c>
      <c r="D7780" s="5"/>
      <c r="E7780" s="5"/>
      <c r="F7780" s="5"/>
      <c r="G7780" s="5"/>
      <c r="H7780" s="5"/>
      <c r="I7780" s="5"/>
      <c r="J7780" s="5"/>
      <c r="K7780" s="5"/>
      <c r="L7780" s="5"/>
      <c r="M7780" s="5"/>
      <c r="N7780" s="5"/>
      <c r="O7780" s="5"/>
      <c r="P7780" s="5"/>
      <c r="Q7780" s="5"/>
      <c r="R7780" s="5"/>
      <c r="S7780" s="5"/>
      <c r="T7780" s="5"/>
      <c r="U7780" s="5"/>
      <c r="V7780" s="5"/>
      <c r="W7780" s="5"/>
      <c r="X7780" s="5"/>
      <c r="Y7780" s="5"/>
      <c r="Z7780" s="5"/>
    </row>
    <row r="7781" spans="1:26" ht="15" x14ac:dyDescent="0.25">
      <c r="A7781" s="4" t="s">
        <v>7779</v>
      </c>
      <c r="B7781" s="4" t="s">
        <v>4550</v>
      </c>
      <c r="C7781" s="2" t="str">
        <f ca="1">IFERROR(__xludf.DUMMYFUNCTION("GOOGLETRANSLATE(A7781,""bn"",""en"")"),"If you watch a hit movie")</f>
        <v>If you watch a hit movie</v>
      </c>
      <c r="D7781" s="5"/>
      <c r="E7781" s="5"/>
      <c r="F7781" s="5"/>
      <c r="G7781" s="5"/>
      <c r="H7781" s="5"/>
      <c r="I7781" s="5"/>
      <c r="J7781" s="5"/>
      <c r="K7781" s="5"/>
      <c r="L7781" s="5"/>
      <c r="M7781" s="5"/>
      <c r="N7781" s="5"/>
      <c r="O7781" s="5"/>
      <c r="P7781" s="5"/>
      <c r="Q7781" s="5"/>
      <c r="R7781" s="5"/>
      <c r="S7781" s="5"/>
      <c r="T7781" s="5"/>
      <c r="U7781" s="5"/>
      <c r="V7781" s="5"/>
      <c r="W7781" s="5"/>
      <c r="X7781" s="5"/>
      <c r="Y7781" s="5"/>
      <c r="Z7781" s="5"/>
    </row>
    <row r="7782" spans="1:26" ht="15" x14ac:dyDescent="0.25">
      <c r="A7782" s="4" t="s">
        <v>7780</v>
      </c>
      <c r="B7782" s="4" t="s">
        <v>4550</v>
      </c>
      <c r="C7782" s="2" t="str">
        <f ca="1">IFERROR(__xludf.DUMMYFUNCTION("GOOGLETRANSLATE(A7782,""bn"",""en"")"),"I was boiling milk to make tea")</f>
        <v>I was boiling milk to make tea</v>
      </c>
      <c r="D7782" s="5"/>
      <c r="E7782" s="5"/>
      <c r="F7782" s="5"/>
      <c r="G7782" s="5"/>
      <c r="H7782" s="5"/>
      <c r="I7782" s="5"/>
      <c r="J7782" s="5"/>
      <c r="K7782" s="5"/>
      <c r="L7782" s="5"/>
      <c r="M7782" s="5"/>
      <c r="N7782" s="5"/>
      <c r="O7782" s="5"/>
      <c r="P7782" s="5"/>
      <c r="Q7782" s="5"/>
      <c r="R7782" s="5"/>
      <c r="S7782" s="5"/>
      <c r="T7782" s="5"/>
      <c r="U7782" s="5"/>
      <c r="V7782" s="5"/>
      <c r="W7782" s="5"/>
      <c r="X7782" s="5"/>
      <c r="Y7782" s="5"/>
      <c r="Z7782" s="5"/>
    </row>
    <row r="7783" spans="1:26" ht="15" x14ac:dyDescent="0.25">
      <c r="A7783" s="4" t="s">
        <v>7781</v>
      </c>
      <c r="B7783" s="4" t="s">
        <v>4550</v>
      </c>
      <c r="C7783" s="2" t="str">
        <f ca="1">IFERROR(__xludf.DUMMYFUNCTION("GOOGLETRANSLATE(A7783,""bn"",""en"")"),"They were doing a photo show")</f>
        <v>They were doing a photo show</v>
      </c>
      <c r="D7783" s="5"/>
      <c r="E7783" s="5"/>
      <c r="F7783" s="5"/>
      <c r="G7783" s="5"/>
      <c r="H7783" s="5"/>
      <c r="I7783" s="5"/>
      <c r="J7783" s="5"/>
      <c r="K7783" s="5"/>
      <c r="L7783" s="5"/>
      <c r="M7783" s="5"/>
      <c r="N7783" s="5"/>
      <c r="O7783" s="5"/>
      <c r="P7783" s="5"/>
      <c r="Q7783" s="5"/>
      <c r="R7783" s="5"/>
      <c r="S7783" s="5"/>
      <c r="T7783" s="5"/>
      <c r="U7783" s="5"/>
      <c r="V7783" s="5"/>
      <c r="W7783" s="5"/>
      <c r="X7783" s="5"/>
      <c r="Y7783" s="5"/>
      <c r="Z7783" s="5"/>
    </row>
    <row r="7784" spans="1:26" ht="15" x14ac:dyDescent="0.25">
      <c r="A7784" s="4" t="s">
        <v>7782</v>
      </c>
      <c r="B7784" s="4" t="s">
        <v>4550</v>
      </c>
      <c r="C7784" s="2" t="str">
        <f ca="1">IFERROR(__xludf.DUMMYFUNCTION("GOOGLETRANSLATE(A7784,""bn"",""en"")"),"Already used the tablet")</f>
        <v>Already used the tablet</v>
      </c>
      <c r="D7784" s="5"/>
      <c r="E7784" s="5"/>
      <c r="F7784" s="5"/>
      <c r="G7784" s="5"/>
      <c r="H7784" s="5"/>
      <c r="I7784" s="5"/>
      <c r="J7784" s="5"/>
      <c r="K7784" s="5"/>
      <c r="L7784" s="5"/>
      <c r="M7784" s="5"/>
      <c r="N7784" s="5"/>
      <c r="O7784" s="5"/>
      <c r="P7784" s="5"/>
      <c r="Q7784" s="5"/>
      <c r="R7784" s="5"/>
      <c r="S7784" s="5"/>
      <c r="T7784" s="5"/>
      <c r="U7784" s="5"/>
      <c r="V7784" s="5"/>
      <c r="W7784" s="5"/>
      <c r="X7784" s="5"/>
      <c r="Y7784" s="5"/>
      <c r="Z7784" s="5"/>
    </row>
    <row r="7785" spans="1:26" ht="15" x14ac:dyDescent="0.25">
      <c r="A7785" s="4" t="s">
        <v>7783</v>
      </c>
      <c r="B7785" s="4" t="s">
        <v>4550</v>
      </c>
      <c r="C7785" s="2" t="str">
        <f ca="1">IFERROR(__xludf.DUMMYFUNCTION("GOOGLETRANSLATE(A7785,""bn"",""en"")"),"Government policy was different")</f>
        <v>Government policy was different</v>
      </c>
      <c r="D7785" s="5"/>
      <c r="E7785" s="5"/>
      <c r="F7785" s="5"/>
      <c r="G7785" s="5"/>
      <c r="H7785" s="5"/>
      <c r="I7785" s="5"/>
      <c r="J7785" s="5"/>
      <c r="K7785" s="5"/>
      <c r="L7785" s="5"/>
      <c r="M7785" s="5"/>
      <c r="N7785" s="5"/>
      <c r="O7785" s="5"/>
      <c r="P7785" s="5"/>
      <c r="Q7785" s="5"/>
      <c r="R7785" s="5"/>
      <c r="S7785" s="5"/>
      <c r="T7785" s="5"/>
      <c r="U7785" s="5"/>
      <c r="V7785" s="5"/>
      <c r="W7785" s="5"/>
      <c r="X7785" s="5"/>
      <c r="Y7785" s="5"/>
      <c r="Z7785" s="5"/>
    </row>
    <row r="7786" spans="1:26" ht="15" x14ac:dyDescent="0.25">
      <c r="A7786" s="4" t="s">
        <v>7784</v>
      </c>
      <c r="B7786" s="4" t="s">
        <v>4550</v>
      </c>
      <c r="C7786" s="2" t="str">
        <f ca="1">IFERROR(__xludf.DUMMYFUNCTION("GOOGLETRANSLATE(A7786,""bn"",""en"")"),"The service cost was doubling")</f>
        <v>The service cost was doubling</v>
      </c>
      <c r="D7786" s="5"/>
      <c r="E7786" s="5"/>
      <c r="F7786" s="5"/>
      <c r="G7786" s="5"/>
      <c r="H7786" s="5"/>
      <c r="I7786" s="5"/>
      <c r="J7786" s="5"/>
      <c r="K7786" s="5"/>
      <c r="L7786" s="5"/>
      <c r="M7786" s="5"/>
      <c r="N7786" s="5"/>
      <c r="O7786" s="5"/>
      <c r="P7786" s="5"/>
      <c r="Q7786" s="5"/>
      <c r="R7786" s="5"/>
      <c r="S7786" s="5"/>
      <c r="T7786" s="5"/>
      <c r="U7786" s="5"/>
      <c r="V7786" s="5"/>
      <c r="W7786" s="5"/>
      <c r="X7786" s="5"/>
      <c r="Y7786" s="5"/>
      <c r="Z7786" s="5"/>
    </row>
    <row r="7787" spans="1:26" ht="15" x14ac:dyDescent="0.25">
      <c r="A7787" s="4" t="s">
        <v>7785</v>
      </c>
      <c r="B7787" s="4" t="s">
        <v>4550</v>
      </c>
      <c r="C7787" s="2" t="str">
        <f ca="1">IFERROR(__xludf.DUMMYFUNCTION("GOOGLETRANSLATE(A7787,""bn"",""en"")"),"The journalist's news was being broadcast")</f>
        <v>The journalist's news was being broadcast</v>
      </c>
      <c r="D7787" s="5"/>
      <c r="E7787" s="5"/>
      <c r="F7787" s="5"/>
      <c r="G7787" s="5"/>
      <c r="H7787" s="5"/>
      <c r="I7787" s="5"/>
      <c r="J7787" s="5"/>
      <c r="K7787" s="5"/>
      <c r="L7787" s="5"/>
      <c r="M7787" s="5"/>
      <c r="N7787" s="5"/>
      <c r="O7787" s="5"/>
      <c r="P7787" s="5"/>
      <c r="Q7787" s="5"/>
      <c r="R7787" s="5"/>
      <c r="S7787" s="5"/>
      <c r="T7787" s="5"/>
      <c r="U7787" s="5"/>
      <c r="V7787" s="5"/>
      <c r="W7787" s="5"/>
      <c r="X7787" s="5"/>
      <c r="Y7787" s="5"/>
      <c r="Z7787" s="5"/>
    </row>
    <row r="7788" spans="1:26" ht="15" x14ac:dyDescent="0.25">
      <c r="A7788" s="4" t="s">
        <v>7786</v>
      </c>
      <c r="B7788" s="4" t="s">
        <v>4550</v>
      </c>
      <c r="C7788" s="2" t="str">
        <f ca="1">IFERROR(__xludf.DUMMYFUNCTION("GOOGLETRANSLATE(A7788,""bn"",""en"")"),"You were learning new things")</f>
        <v>You were learning new things</v>
      </c>
      <c r="D7788" s="5"/>
      <c r="E7788" s="5"/>
      <c r="F7788" s="5"/>
      <c r="G7788" s="5"/>
      <c r="H7788" s="5"/>
      <c r="I7788" s="5"/>
      <c r="J7788" s="5"/>
      <c r="K7788" s="5"/>
      <c r="L7788" s="5"/>
      <c r="M7788" s="5"/>
      <c r="N7788" s="5"/>
      <c r="O7788" s="5"/>
      <c r="P7788" s="5"/>
      <c r="Q7788" s="5"/>
      <c r="R7788" s="5"/>
      <c r="S7788" s="5"/>
      <c r="T7788" s="5"/>
      <c r="U7788" s="5"/>
      <c r="V7788" s="5"/>
      <c r="W7788" s="5"/>
      <c r="X7788" s="5"/>
      <c r="Y7788" s="5"/>
      <c r="Z7788" s="5"/>
    </row>
    <row r="7789" spans="1:26" ht="15" x14ac:dyDescent="0.25">
      <c r="A7789" s="4" t="s">
        <v>7787</v>
      </c>
      <c r="B7789" s="4" t="s">
        <v>4550</v>
      </c>
      <c r="C7789" s="2" t="str">
        <f ca="1">IFERROR(__xludf.DUMMYFUNCTION("GOOGLETRANSLATE(A7789,""bn"",""en"")"),"Raised the minimum age")</f>
        <v>Raised the minimum age</v>
      </c>
      <c r="D7789" s="5"/>
      <c r="E7789" s="5"/>
      <c r="F7789" s="5"/>
      <c r="G7789" s="5"/>
      <c r="H7789" s="5"/>
      <c r="I7789" s="5"/>
      <c r="J7789" s="5"/>
      <c r="K7789" s="5"/>
      <c r="L7789" s="5"/>
      <c r="M7789" s="5"/>
      <c r="N7789" s="5"/>
      <c r="O7789" s="5"/>
      <c r="P7789" s="5"/>
      <c r="Q7789" s="5"/>
      <c r="R7789" s="5"/>
      <c r="S7789" s="5"/>
      <c r="T7789" s="5"/>
      <c r="U7789" s="5"/>
      <c r="V7789" s="5"/>
      <c r="W7789" s="5"/>
      <c r="X7789" s="5"/>
      <c r="Y7789" s="5"/>
      <c r="Z7789" s="5"/>
    </row>
    <row r="7790" spans="1:26" ht="15" x14ac:dyDescent="0.25">
      <c r="A7790" s="4" t="s">
        <v>7788</v>
      </c>
      <c r="B7790" s="4" t="s">
        <v>4550</v>
      </c>
      <c r="C7790" s="2" t="str">
        <f ca="1">IFERROR(__xludf.DUMMYFUNCTION("GOOGLETRANSLATE(A7790,""bn"",""en"")"),"The farmers raised the water")</f>
        <v>The farmers raised the water</v>
      </c>
      <c r="D7790" s="5"/>
      <c r="E7790" s="5"/>
      <c r="F7790" s="5"/>
      <c r="G7790" s="5"/>
      <c r="H7790" s="5"/>
      <c r="I7790" s="5"/>
      <c r="J7790" s="5"/>
      <c r="K7790" s="5"/>
      <c r="L7790" s="5"/>
      <c r="M7790" s="5"/>
      <c r="N7790" s="5"/>
      <c r="O7790" s="5"/>
      <c r="P7790" s="5"/>
      <c r="Q7790" s="5"/>
      <c r="R7790" s="5"/>
      <c r="S7790" s="5"/>
      <c r="T7790" s="5"/>
      <c r="U7790" s="5"/>
      <c r="V7790" s="5"/>
      <c r="W7790" s="5"/>
      <c r="X7790" s="5"/>
      <c r="Y7790" s="5"/>
      <c r="Z7790" s="5"/>
    </row>
    <row r="7791" spans="1:26" ht="15" x14ac:dyDescent="0.25">
      <c r="A7791" s="4" t="s">
        <v>7789</v>
      </c>
      <c r="B7791" s="4" t="s">
        <v>4550</v>
      </c>
      <c r="C7791" s="2" t="str">
        <f ca="1">IFERROR(__xludf.DUMMYFUNCTION("GOOGLETRANSLATE(A7791,""bn"",""en"")"),"Mashrafe was a good player")</f>
        <v>Mashrafe was a good player</v>
      </c>
      <c r="D7791" s="5"/>
      <c r="E7791" s="5"/>
      <c r="F7791" s="5"/>
      <c r="G7791" s="5"/>
      <c r="H7791" s="5"/>
      <c r="I7791" s="5"/>
      <c r="J7791" s="5"/>
      <c r="K7791" s="5"/>
      <c r="L7791" s="5"/>
      <c r="M7791" s="5"/>
      <c r="N7791" s="5"/>
      <c r="O7791" s="5"/>
      <c r="P7791" s="5"/>
      <c r="Q7791" s="5"/>
      <c r="R7791" s="5"/>
      <c r="S7791" s="5"/>
      <c r="T7791" s="5"/>
      <c r="U7791" s="5"/>
      <c r="V7791" s="5"/>
      <c r="W7791" s="5"/>
      <c r="X7791" s="5"/>
      <c r="Y7791" s="5"/>
      <c r="Z7791" s="5"/>
    </row>
    <row r="7792" spans="1:26" ht="15" x14ac:dyDescent="0.25">
      <c r="A7792" s="4" t="s">
        <v>7790</v>
      </c>
      <c r="B7792" s="4" t="s">
        <v>4550</v>
      </c>
      <c r="C7792" s="2" t="str">
        <f ca="1">IFERROR(__xludf.DUMMYFUNCTION("GOOGLETRANSLATE(A7792,""bn"",""en"")"),"New workflow optimizations were made")</f>
        <v>New workflow optimizations were made</v>
      </c>
      <c r="D7792" s="5"/>
      <c r="E7792" s="5"/>
      <c r="F7792" s="5"/>
      <c r="G7792" s="5"/>
      <c r="H7792" s="5"/>
      <c r="I7792" s="5"/>
      <c r="J7792" s="5"/>
      <c r="K7792" s="5"/>
      <c r="L7792" s="5"/>
      <c r="M7792" s="5"/>
      <c r="N7792" s="5"/>
      <c r="O7792" s="5"/>
      <c r="P7792" s="5"/>
      <c r="Q7792" s="5"/>
      <c r="R7792" s="5"/>
      <c r="S7792" s="5"/>
      <c r="T7792" s="5"/>
      <c r="U7792" s="5"/>
      <c r="V7792" s="5"/>
      <c r="W7792" s="5"/>
      <c r="X7792" s="5"/>
      <c r="Y7792" s="5"/>
      <c r="Z7792" s="5"/>
    </row>
    <row r="7793" spans="1:26" ht="15" x14ac:dyDescent="0.25">
      <c r="A7793" s="4" t="s">
        <v>7791</v>
      </c>
      <c r="B7793" s="4" t="s">
        <v>4550</v>
      </c>
      <c r="C7793" s="2" t="str">
        <f ca="1">IFERROR(__xludf.DUMMYFUNCTION("GOOGLETRANSLATE(A7793,""bn"",""en"")"),"The news was reported on the Internet at the time")</f>
        <v>The news was reported on the Internet at the time</v>
      </c>
      <c r="D7793" s="5"/>
      <c r="E7793" s="5"/>
      <c r="F7793" s="5"/>
      <c r="G7793" s="5"/>
      <c r="H7793" s="5"/>
      <c r="I7793" s="5"/>
      <c r="J7793" s="5"/>
      <c r="K7793" s="5"/>
      <c r="L7793" s="5"/>
      <c r="M7793" s="5"/>
      <c r="N7793" s="5"/>
      <c r="O7793" s="5"/>
      <c r="P7793" s="5"/>
      <c r="Q7793" s="5"/>
      <c r="R7793" s="5"/>
      <c r="S7793" s="5"/>
      <c r="T7793" s="5"/>
      <c r="U7793" s="5"/>
      <c r="V7793" s="5"/>
      <c r="W7793" s="5"/>
      <c r="X7793" s="5"/>
      <c r="Y7793" s="5"/>
      <c r="Z7793" s="5"/>
    </row>
    <row r="7794" spans="1:26" ht="15" x14ac:dyDescent="0.25">
      <c r="A7794" s="4" t="s">
        <v>7792</v>
      </c>
      <c r="B7794" s="4" t="s">
        <v>4550</v>
      </c>
      <c r="C7794" s="2" t="str">
        <f ca="1">IFERROR(__xludf.DUMMYFUNCTION("GOOGLETRANSLATE(A7794,""bn"",""en"")"),"They surprised their rivals")</f>
        <v>They surprised their rivals</v>
      </c>
      <c r="D7794" s="5"/>
      <c r="E7794" s="5"/>
      <c r="F7794" s="5"/>
      <c r="G7794" s="5"/>
      <c r="H7794" s="5"/>
      <c r="I7794" s="5"/>
      <c r="J7794" s="5"/>
      <c r="K7794" s="5"/>
      <c r="L7794" s="5"/>
      <c r="M7794" s="5"/>
      <c r="N7794" s="5"/>
      <c r="O7794" s="5"/>
      <c r="P7794" s="5"/>
      <c r="Q7794" s="5"/>
      <c r="R7794" s="5"/>
      <c r="S7794" s="5"/>
      <c r="T7794" s="5"/>
      <c r="U7794" s="5"/>
      <c r="V7794" s="5"/>
      <c r="W7794" s="5"/>
      <c r="X7794" s="5"/>
      <c r="Y7794" s="5"/>
      <c r="Z7794" s="5"/>
    </row>
    <row r="7795" spans="1:26" ht="15" x14ac:dyDescent="0.25">
      <c r="A7795" s="4" t="s">
        <v>7793</v>
      </c>
      <c r="B7795" s="4" t="s">
        <v>4550</v>
      </c>
      <c r="C7795" s="2" t="str">
        <f ca="1">IFERROR(__xludf.DUMMYFUNCTION("GOOGLETRANSLATE(A7795,""bn"",""en"")"),"We were making potato paratha")</f>
        <v>We were making potato paratha</v>
      </c>
      <c r="D7795" s="5"/>
      <c r="E7795" s="5"/>
      <c r="F7795" s="5"/>
      <c r="G7795" s="5"/>
      <c r="H7795" s="5"/>
      <c r="I7795" s="5"/>
      <c r="J7795" s="5"/>
      <c r="K7795" s="5"/>
      <c r="L7795" s="5"/>
      <c r="M7795" s="5"/>
      <c r="N7795" s="5"/>
      <c r="O7795" s="5"/>
      <c r="P7795" s="5"/>
      <c r="Q7795" s="5"/>
      <c r="R7795" s="5"/>
      <c r="S7795" s="5"/>
      <c r="T7795" s="5"/>
      <c r="U7795" s="5"/>
      <c r="V7795" s="5"/>
      <c r="W7795" s="5"/>
      <c r="X7795" s="5"/>
      <c r="Y7795" s="5"/>
      <c r="Z7795" s="5"/>
    </row>
    <row r="7796" spans="1:26" ht="15" x14ac:dyDescent="0.25">
      <c r="A7796" s="4" t="s">
        <v>7794</v>
      </c>
      <c r="B7796" s="4" t="s">
        <v>4550</v>
      </c>
      <c r="C7796" s="2" t="str">
        <f ca="1">IFERROR(__xludf.DUMMYFUNCTION("GOOGLETRANSLATE(A7796,""bn"",""en"")"),"Watched a movie in the rain")</f>
        <v>Watched a movie in the rain</v>
      </c>
      <c r="D7796" s="5"/>
      <c r="E7796" s="5"/>
      <c r="F7796" s="5"/>
      <c r="G7796" s="5"/>
      <c r="H7796" s="5"/>
      <c r="I7796" s="5"/>
      <c r="J7796" s="5"/>
      <c r="K7796" s="5"/>
      <c r="L7796" s="5"/>
      <c r="M7796" s="5"/>
      <c r="N7796" s="5"/>
      <c r="O7796" s="5"/>
      <c r="P7796" s="5"/>
      <c r="Q7796" s="5"/>
      <c r="R7796" s="5"/>
      <c r="S7796" s="5"/>
      <c r="T7796" s="5"/>
      <c r="U7796" s="5"/>
      <c r="V7796" s="5"/>
      <c r="W7796" s="5"/>
      <c r="X7796" s="5"/>
      <c r="Y7796" s="5"/>
      <c r="Z7796" s="5"/>
    </row>
    <row r="7797" spans="1:26" ht="15" x14ac:dyDescent="0.25">
      <c r="A7797" s="4" t="s">
        <v>7795</v>
      </c>
      <c r="B7797" s="4" t="s">
        <v>4550</v>
      </c>
      <c r="C7797" s="2" t="str">
        <f ca="1">IFERROR(__xludf.DUMMYFUNCTION("GOOGLETRANSLATE(A7797,""bn"",""en"")"),"He was frying fish earlier")</f>
        <v>He was frying fish earlier</v>
      </c>
      <c r="D7797" s="5"/>
      <c r="E7797" s="5"/>
      <c r="F7797" s="5"/>
      <c r="G7797" s="5"/>
      <c r="H7797" s="5"/>
      <c r="I7797" s="5"/>
      <c r="J7797" s="5"/>
      <c r="K7797" s="5"/>
      <c r="L7797" s="5"/>
      <c r="M7797" s="5"/>
      <c r="N7797" s="5"/>
      <c r="O7797" s="5"/>
      <c r="P7797" s="5"/>
      <c r="Q7797" s="5"/>
      <c r="R7797" s="5"/>
      <c r="S7797" s="5"/>
      <c r="T7797" s="5"/>
      <c r="U7797" s="5"/>
      <c r="V7797" s="5"/>
      <c r="W7797" s="5"/>
      <c r="X7797" s="5"/>
      <c r="Y7797" s="5"/>
      <c r="Z7797" s="5"/>
    </row>
    <row r="7798" spans="1:26" ht="15" x14ac:dyDescent="0.25">
      <c r="A7798" s="4" t="s">
        <v>7796</v>
      </c>
      <c r="B7798" s="4" t="s">
        <v>4550</v>
      </c>
      <c r="C7798" s="2" t="str">
        <f ca="1">IFERROR(__xludf.DUMMYFUNCTION("GOOGLETRANSLATE(A7798,""bn"",""en"")"),"I ate rice at home")</f>
        <v>I ate rice at home</v>
      </c>
      <c r="D7798" s="5"/>
      <c r="E7798" s="5"/>
      <c r="F7798" s="5"/>
      <c r="G7798" s="5"/>
      <c r="H7798" s="5"/>
      <c r="I7798" s="5"/>
      <c r="J7798" s="5"/>
      <c r="K7798" s="5"/>
      <c r="L7798" s="5"/>
      <c r="M7798" s="5"/>
      <c r="N7798" s="5"/>
      <c r="O7798" s="5"/>
      <c r="P7798" s="5"/>
      <c r="Q7798" s="5"/>
      <c r="R7798" s="5"/>
      <c r="S7798" s="5"/>
      <c r="T7798" s="5"/>
      <c r="U7798" s="5"/>
      <c r="V7798" s="5"/>
      <c r="W7798" s="5"/>
      <c r="X7798" s="5"/>
      <c r="Y7798" s="5"/>
      <c r="Z7798" s="5"/>
    </row>
    <row r="7799" spans="1:26" ht="15" x14ac:dyDescent="0.25">
      <c r="A7799" s="4" t="s">
        <v>7797</v>
      </c>
      <c r="B7799" s="4" t="s">
        <v>4550</v>
      </c>
      <c r="C7799" s="2" t="str">
        <f ca="1">IFERROR(__xludf.DUMMYFUNCTION("GOOGLETRANSLATE(A7799,""bn"",""en"")"),"The Prime Minister was addressing the meeting")</f>
        <v>The Prime Minister was addressing the meeting</v>
      </c>
      <c r="D7799" s="5"/>
      <c r="E7799" s="5"/>
      <c r="F7799" s="5"/>
      <c r="G7799" s="5"/>
      <c r="H7799" s="5"/>
      <c r="I7799" s="5"/>
      <c r="J7799" s="5"/>
      <c r="K7799" s="5"/>
      <c r="L7799" s="5"/>
      <c r="M7799" s="5"/>
      <c r="N7799" s="5"/>
      <c r="O7799" s="5"/>
      <c r="P7799" s="5"/>
      <c r="Q7799" s="5"/>
      <c r="R7799" s="5"/>
      <c r="S7799" s="5"/>
      <c r="T7799" s="5"/>
      <c r="U7799" s="5"/>
      <c r="V7799" s="5"/>
      <c r="W7799" s="5"/>
      <c r="X7799" s="5"/>
      <c r="Y7799" s="5"/>
      <c r="Z7799" s="5"/>
    </row>
    <row r="7800" spans="1:26" ht="15" x14ac:dyDescent="0.25">
      <c r="A7800" s="4" t="s">
        <v>7798</v>
      </c>
      <c r="B7800" s="4" t="s">
        <v>4550</v>
      </c>
      <c r="C7800" s="2" t="str">
        <f ca="1">IFERROR(__xludf.DUMMYFUNCTION("GOOGLETRANSLATE(A7800,""bn"",""en"")"),"The education system was improved")</f>
        <v>The education system was improved</v>
      </c>
      <c r="D7800" s="5"/>
      <c r="E7800" s="5"/>
      <c r="F7800" s="5"/>
      <c r="G7800" s="5"/>
      <c r="H7800" s="5"/>
      <c r="I7800" s="5"/>
      <c r="J7800" s="5"/>
      <c r="K7800" s="5"/>
      <c r="L7800" s="5"/>
      <c r="M7800" s="5"/>
      <c r="N7800" s="5"/>
      <c r="O7800" s="5"/>
      <c r="P7800" s="5"/>
      <c r="Q7800" s="5"/>
      <c r="R7800" s="5"/>
      <c r="S7800" s="5"/>
      <c r="T7800" s="5"/>
      <c r="U7800" s="5"/>
      <c r="V7800" s="5"/>
      <c r="W7800" s="5"/>
      <c r="X7800" s="5"/>
      <c r="Y7800" s="5"/>
      <c r="Z7800" s="5"/>
    </row>
    <row r="7801" spans="1:26" ht="15" x14ac:dyDescent="0.25">
      <c r="A7801" s="4" t="s">
        <v>7799</v>
      </c>
      <c r="B7801" s="4" t="s">
        <v>4550</v>
      </c>
      <c r="C7801" s="2" t="str">
        <f ca="1">IFERROR(__xludf.DUMMYFUNCTION("GOOGLETRANSLATE(A7801,""bn"",""en"")"),"I used to listen to new songs every week")</f>
        <v>I used to listen to new songs every week</v>
      </c>
      <c r="D7801" s="5"/>
      <c r="E7801" s="5"/>
      <c r="F7801" s="5"/>
      <c r="G7801" s="5"/>
      <c r="H7801" s="5"/>
      <c r="I7801" s="5"/>
      <c r="J7801" s="5"/>
      <c r="K7801" s="5"/>
      <c r="L7801" s="5"/>
      <c r="M7801" s="5"/>
      <c r="N7801" s="5"/>
      <c r="O7801" s="5"/>
      <c r="P7801" s="5"/>
      <c r="Q7801" s="5"/>
      <c r="R7801" s="5"/>
      <c r="S7801" s="5"/>
      <c r="T7801" s="5"/>
      <c r="U7801" s="5"/>
      <c r="V7801" s="5"/>
      <c r="W7801" s="5"/>
      <c r="X7801" s="5"/>
      <c r="Y7801" s="5"/>
      <c r="Z7801" s="5"/>
    </row>
    <row r="7802" spans="1:26" ht="15" x14ac:dyDescent="0.25">
      <c r="A7802" s="4" t="s">
        <v>7800</v>
      </c>
      <c r="B7802" s="4" t="s">
        <v>4550</v>
      </c>
      <c r="C7802" s="2" t="str">
        <f ca="1">IFERROR(__xludf.DUMMYFUNCTION("GOOGLETRANSLATE(A7802,""bn"",""en"")"),"He watched the movie on Wednesday")</f>
        <v>He watched the movie on Wednesday</v>
      </c>
      <c r="D7802" s="5"/>
      <c r="E7802" s="5"/>
      <c r="F7802" s="5"/>
      <c r="G7802" s="5"/>
      <c r="H7802" s="5"/>
      <c r="I7802" s="5"/>
      <c r="J7802" s="5"/>
      <c r="K7802" s="5"/>
      <c r="L7802" s="5"/>
      <c r="M7802" s="5"/>
      <c r="N7802" s="5"/>
      <c r="O7802" s="5"/>
      <c r="P7802" s="5"/>
      <c r="Q7802" s="5"/>
      <c r="R7802" s="5"/>
      <c r="S7802" s="5"/>
      <c r="T7802" s="5"/>
      <c r="U7802" s="5"/>
      <c r="V7802" s="5"/>
      <c r="W7802" s="5"/>
      <c r="X7802" s="5"/>
      <c r="Y7802" s="5"/>
      <c r="Z7802" s="5"/>
    </row>
    <row r="7803" spans="1:26" ht="15" x14ac:dyDescent="0.25">
      <c r="A7803" s="4" t="s">
        <v>7801</v>
      </c>
      <c r="B7803" s="4" t="s">
        <v>4550</v>
      </c>
      <c r="C7803" s="2" t="str">
        <f ca="1">IFERROR(__xludf.DUMMYFUNCTION("GOOGLETRANSLATE(A7803,""bn"",""en"")"),"Produced in an advanced manner")</f>
        <v>Produced in an advanced manner</v>
      </c>
      <c r="D7803" s="5"/>
      <c r="E7803" s="5"/>
      <c r="F7803" s="5"/>
      <c r="G7803" s="5"/>
      <c r="H7803" s="5"/>
      <c r="I7803" s="5"/>
      <c r="J7803" s="5"/>
      <c r="K7803" s="5"/>
      <c r="L7803" s="5"/>
      <c r="M7803" s="5"/>
      <c r="N7803" s="5"/>
      <c r="O7803" s="5"/>
      <c r="P7803" s="5"/>
      <c r="Q7803" s="5"/>
      <c r="R7803" s="5"/>
      <c r="S7803" s="5"/>
      <c r="T7803" s="5"/>
      <c r="U7803" s="5"/>
      <c r="V7803" s="5"/>
      <c r="W7803" s="5"/>
      <c r="X7803" s="5"/>
      <c r="Y7803" s="5"/>
      <c r="Z7803" s="5"/>
    </row>
    <row r="7804" spans="1:26" ht="15" x14ac:dyDescent="0.25">
      <c r="A7804" s="4" t="s">
        <v>7802</v>
      </c>
      <c r="B7804" s="4" t="s">
        <v>4550</v>
      </c>
      <c r="C7804" s="2" t="str">
        <f ca="1">IFERROR(__xludf.DUMMYFUNCTION("GOOGLETRANSLATE(A7804,""bn"",""en"")"),"I saw the new drama")</f>
        <v>I saw the new drama</v>
      </c>
      <c r="D7804" s="5"/>
      <c r="E7804" s="5"/>
      <c r="F7804" s="5"/>
      <c r="G7804" s="5"/>
      <c r="H7804" s="5"/>
      <c r="I7804" s="5"/>
      <c r="J7804" s="5"/>
      <c r="K7804" s="5"/>
      <c r="L7804" s="5"/>
      <c r="M7804" s="5"/>
      <c r="N7804" s="5"/>
      <c r="O7804" s="5"/>
      <c r="P7804" s="5"/>
      <c r="Q7804" s="5"/>
      <c r="R7804" s="5"/>
      <c r="S7804" s="5"/>
      <c r="T7804" s="5"/>
      <c r="U7804" s="5"/>
      <c r="V7804" s="5"/>
      <c r="W7804" s="5"/>
      <c r="X7804" s="5"/>
      <c r="Y7804" s="5"/>
      <c r="Z7804" s="5"/>
    </row>
    <row r="7805" spans="1:26" ht="15" x14ac:dyDescent="0.25">
      <c r="A7805" s="4" t="s">
        <v>7803</v>
      </c>
      <c r="B7805" s="4" t="s">
        <v>4550</v>
      </c>
      <c r="C7805" s="2" t="str">
        <f ca="1">IFERROR(__xludf.DUMMYFUNCTION("GOOGLETRANSLATE(A7805,""bn"",""en"")"),"I wrote a new verse")</f>
        <v>I wrote a new verse</v>
      </c>
      <c r="D7805" s="5"/>
      <c r="E7805" s="5"/>
      <c r="F7805" s="5"/>
      <c r="G7805" s="5"/>
      <c r="H7805" s="5"/>
      <c r="I7805" s="5"/>
      <c r="J7805" s="5"/>
      <c r="K7805" s="5"/>
      <c r="L7805" s="5"/>
      <c r="M7805" s="5"/>
      <c r="N7805" s="5"/>
      <c r="O7805" s="5"/>
      <c r="P7805" s="5"/>
      <c r="Q7805" s="5"/>
      <c r="R7805" s="5"/>
      <c r="S7805" s="5"/>
      <c r="T7805" s="5"/>
      <c r="U7805" s="5"/>
      <c r="V7805" s="5"/>
      <c r="W7805" s="5"/>
      <c r="X7805" s="5"/>
      <c r="Y7805" s="5"/>
      <c r="Z7805" s="5"/>
    </row>
    <row r="7806" spans="1:26" ht="15" x14ac:dyDescent="0.25">
      <c r="A7806" s="4" t="s">
        <v>7804</v>
      </c>
      <c r="B7806" s="4" t="s">
        <v>4550</v>
      </c>
      <c r="C7806" s="2" t="str">
        <f ca="1">IFERROR(__xludf.DUMMYFUNCTION("GOOGLETRANSLATE(A7806,""bn"",""en"")"),"Open a new account")</f>
        <v>Open a new account</v>
      </c>
      <c r="D7806" s="5"/>
      <c r="E7806" s="5"/>
      <c r="F7806" s="5"/>
      <c r="G7806" s="5"/>
      <c r="H7806" s="5"/>
      <c r="I7806" s="5"/>
      <c r="J7806" s="5"/>
      <c r="K7806" s="5"/>
      <c r="L7806" s="5"/>
      <c r="M7806" s="5"/>
      <c r="N7806" s="5"/>
      <c r="O7806" s="5"/>
      <c r="P7806" s="5"/>
      <c r="Q7806" s="5"/>
      <c r="R7806" s="5"/>
      <c r="S7806" s="5"/>
      <c r="T7806" s="5"/>
      <c r="U7806" s="5"/>
      <c r="V7806" s="5"/>
      <c r="W7806" s="5"/>
      <c r="X7806" s="5"/>
      <c r="Y7806" s="5"/>
      <c r="Z7806" s="5"/>
    </row>
    <row r="7807" spans="1:26" ht="15" x14ac:dyDescent="0.25">
      <c r="A7807" s="4" t="s">
        <v>7805</v>
      </c>
      <c r="B7807" s="4" t="s">
        <v>4550</v>
      </c>
      <c r="C7807" s="2" t="str">
        <f ca="1">IFERROR(__xludf.DUMMYFUNCTION("GOOGLETRANSLATE(A7807,""bn"",""en"")"),"Security was ensured")</f>
        <v>Security was ensured</v>
      </c>
      <c r="D7807" s="5"/>
      <c r="E7807" s="5"/>
      <c r="F7807" s="5"/>
      <c r="G7807" s="5"/>
      <c r="H7807" s="5"/>
      <c r="I7807" s="5"/>
      <c r="J7807" s="5"/>
      <c r="K7807" s="5"/>
      <c r="L7807" s="5"/>
      <c r="M7807" s="5"/>
      <c r="N7807" s="5"/>
      <c r="O7807" s="5"/>
      <c r="P7807" s="5"/>
      <c r="Q7807" s="5"/>
      <c r="R7807" s="5"/>
      <c r="S7807" s="5"/>
      <c r="T7807" s="5"/>
      <c r="U7807" s="5"/>
      <c r="V7807" s="5"/>
      <c r="W7807" s="5"/>
      <c r="X7807" s="5"/>
      <c r="Y7807" s="5"/>
      <c r="Z7807" s="5"/>
    </row>
    <row r="7808" spans="1:26" ht="15" x14ac:dyDescent="0.25">
      <c r="A7808" s="4" t="s">
        <v>7806</v>
      </c>
      <c r="B7808" s="4" t="s">
        <v>4550</v>
      </c>
      <c r="C7808" s="2" t="str">
        <f ca="1">IFERROR(__xludf.DUMMYFUNCTION("GOOGLETRANSLATE(A7808,""bn"",""en"")"),"They won the game")</f>
        <v>They won the game</v>
      </c>
      <c r="D7808" s="5"/>
      <c r="E7808" s="5"/>
      <c r="F7808" s="5"/>
      <c r="G7808" s="5"/>
      <c r="H7808" s="5"/>
      <c r="I7808" s="5"/>
      <c r="J7808" s="5"/>
      <c r="K7808" s="5"/>
      <c r="L7808" s="5"/>
      <c r="M7808" s="5"/>
      <c r="N7808" s="5"/>
      <c r="O7808" s="5"/>
      <c r="P7808" s="5"/>
      <c r="Q7808" s="5"/>
      <c r="R7808" s="5"/>
      <c r="S7808" s="5"/>
      <c r="T7808" s="5"/>
      <c r="U7808" s="5"/>
      <c r="V7808" s="5"/>
      <c r="W7808" s="5"/>
      <c r="X7808" s="5"/>
      <c r="Y7808" s="5"/>
      <c r="Z7808" s="5"/>
    </row>
    <row r="7809" spans="1:26" ht="15" x14ac:dyDescent="0.25">
      <c r="A7809" s="4" t="s">
        <v>7807</v>
      </c>
      <c r="B7809" s="4" t="s">
        <v>4550</v>
      </c>
      <c r="C7809" s="2" t="str">
        <f ca="1">IFERROR(__xludf.DUMMYFUNCTION("GOOGLETRANSLATE(A7809,""bn"",""en"")"),"I worked on a new project")</f>
        <v>I worked on a new project</v>
      </c>
      <c r="D7809" s="5"/>
      <c r="E7809" s="5"/>
      <c r="F7809" s="5"/>
      <c r="G7809" s="5"/>
      <c r="H7809" s="5"/>
      <c r="I7809" s="5"/>
      <c r="J7809" s="5"/>
      <c r="K7809" s="5"/>
      <c r="L7809" s="5"/>
      <c r="M7809" s="5"/>
      <c r="N7809" s="5"/>
      <c r="O7809" s="5"/>
      <c r="P7809" s="5"/>
      <c r="Q7809" s="5"/>
      <c r="R7809" s="5"/>
      <c r="S7809" s="5"/>
      <c r="T7809" s="5"/>
      <c r="U7809" s="5"/>
      <c r="V7809" s="5"/>
      <c r="W7809" s="5"/>
      <c r="X7809" s="5"/>
      <c r="Y7809" s="5"/>
      <c r="Z7809" s="5"/>
    </row>
    <row r="7810" spans="1:26" ht="15" x14ac:dyDescent="0.25">
      <c r="A7810" s="4" t="s">
        <v>7808</v>
      </c>
      <c r="B7810" s="4" t="s">
        <v>4550</v>
      </c>
      <c r="C7810" s="2" t="str">
        <f ca="1">IFERROR(__xludf.DUMMYFUNCTION("GOOGLETRANSLATE(A7810,""bn"",""en"")"),"The market price fell in three days")</f>
        <v>The market price fell in three days</v>
      </c>
      <c r="D7810" s="5"/>
      <c r="E7810" s="5"/>
      <c r="F7810" s="5"/>
      <c r="G7810" s="5"/>
      <c r="H7810" s="5"/>
      <c r="I7810" s="5"/>
      <c r="J7810" s="5"/>
      <c r="K7810" s="5"/>
      <c r="L7810" s="5"/>
      <c r="M7810" s="5"/>
      <c r="N7810" s="5"/>
      <c r="O7810" s="5"/>
      <c r="P7810" s="5"/>
      <c r="Q7810" s="5"/>
      <c r="R7810" s="5"/>
      <c r="S7810" s="5"/>
      <c r="T7810" s="5"/>
      <c r="U7810" s="5"/>
      <c r="V7810" s="5"/>
      <c r="W7810" s="5"/>
      <c r="X7810" s="5"/>
      <c r="Y7810" s="5"/>
      <c r="Z7810" s="5"/>
    </row>
    <row r="7811" spans="1:26" ht="15" x14ac:dyDescent="0.25">
      <c r="A7811" s="4" t="s">
        <v>7809</v>
      </c>
      <c r="B7811" s="4" t="s">
        <v>4550</v>
      </c>
      <c r="C7811" s="2" t="str">
        <f ca="1">IFERROR(__xludf.DUMMYFUNCTION("GOOGLETRANSLATE(A7811,""bn"",""en"")"),"Machine learning was discussed")</f>
        <v>Machine learning was discussed</v>
      </c>
      <c r="D7811" s="5"/>
      <c r="E7811" s="5"/>
      <c r="F7811" s="5"/>
      <c r="G7811" s="5"/>
      <c r="H7811" s="5"/>
      <c r="I7811" s="5"/>
      <c r="J7811" s="5"/>
      <c r="K7811" s="5"/>
      <c r="L7811" s="5"/>
      <c r="M7811" s="5"/>
      <c r="N7811" s="5"/>
      <c r="O7811" s="5"/>
      <c r="P7811" s="5"/>
      <c r="Q7811" s="5"/>
      <c r="R7811" s="5"/>
      <c r="S7811" s="5"/>
      <c r="T7811" s="5"/>
      <c r="U7811" s="5"/>
      <c r="V7811" s="5"/>
      <c r="W7811" s="5"/>
      <c r="X7811" s="5"/>
      <c r="Y7811" s="5"/>
      <c r="Z7811" s="5"/>
    </row>
    <row r="7812" spans="1:26" ht="15" x14ac:dyDescent="0.25">
      <c r="A7812" s="4" t="s">
        <v>7810</v>
      </c>
      <c r="B7812" s="4" t="s">
        <v>4550</v>
      </c>
      <c r="C7812" s="2" t="str">
        <f ca="1">IFERROR(__xludf.DUMMYFUNCTION("GOOGLETRANSLATE(A7812,""bn"",""en"")"),"Pilgrims used to go for Hajj")</f>
        <v>Pilgrims used to go for Hajj</v>
      </c>
      <c r="D7812" s="5"/>
      <c r="E7812" s="5"/>
      <c r="F7812" s="5"/>
      <c r="G7812" s="5"/>
      <c r="H7812" s="5"/>
      <c r="I7812" s="5"/>
      <c r="J7812" s="5"/>
      <c r="K7812" s="5"/>
      <c r="L7812" s="5"/>
      <c r="M7812" s="5"/>
      <c r="N7812" s="5"/>
      <c r="O7812" s="5"/>
      <c r="P7812" s="5"/>
      <c r="Q7812" s="5"/>
      <c r="R7812" s="5"/>
      <c r="S7812" s="5"/>
      <c r="T7812" s="5"/>
      <c r="U7812" s="5"/>
      <c r="V7812" s="5"/>
      <c r="W7812" s="5"/>
      <c r="X7812" s="5"/>
      <c r="Y7812" s="5"/>
      <c r="Z7812" s="5"/>
    </row>
    <row r="7813" spans="1:26" ht="15" x14ac:dyDescent="0.25">
      <c r="A7813" s="4" t="s">
        <v>7811</v>
      </c>
      <c r="B7813" s="4" t="s">
        <v>4550</v>
      </c>
      <c r="C7813" s="2" t="str">
        <f ca="1">IFERROR(__xludf.DUMMYFUNCTION("GOOGLETRANSLATE(A7813,""bn"",""en"")"),"Crops were cultivated")</f>
        <v>Crops were cultivated</v>
      </c>
      <c r="D7813" s="5"/>
      <c r="E7813" s="5"/>
      <c r="F7813" s="5"/>
      <c r="G7813" s="5"/>
      <c r="H7813" s="5"/>
      <c r="I7813" s="5"/>
      <c r="J7813" s="5"/>
      <c r="K7813" s="5"/>
      <c r="L7813" s="5"/>
      <c r="M7813" s="5"/>
      <c r="N7813" s="5"/>
      <c r="O7813" s="5"/>
      <c r="P7813" s="5"/>
      <c r="Q7813" s="5"/>
      <c r="R7813" s="5"/>
      <c r="S7813" s="5"/>
      <c r="T7813" s="5"/>
      <c r="U7813" s="5"/>
      <c r="V7813" s="5"/>
      <c r="W7813" s="5"/>
      <c r="X7813" s="5"/>
      <c r="Y7813" s="5"/>
      <c r="Z7813" s="5"/>
    </row>
    <row r="7814" spans="1:26" ht="15" x14ac:dyDescent="0.25">
      <c r="A7814" s="4" t="s">
        <v>7812</v>
      </c>
      <c r="B7814" s="4" t="s">
        <v>4550</v>
      </c>
      <c r="C7814" s="2" t="str">
        <f ca="1">IFERROR(__xludf.DUMMYFUNCTION("GOOGLETRANSLATE(A7814,""bn"",""en"")"),"I used to pay the check")</f>
        <v>I used to pay the check</v>
      </c>
      <c r="D7814" s="5"/>
      <c r="E7814" s="5"/>
      <c r="F7814" s="5"/>
      <c r="G7814" s="5"/>
      <c r="H7814" s="5"/>
      <c r="I7814" s="5"/>
      <c r="J7814" s="5"/>
      <c r="K7814" s="5"/>
      <c r="L7814" s="5"/>
      <c r="M7814" s="5"/>
      <c r="N7814" s="5"/>
      <c r="O7814" s="5"/>
      <c r="P7814" s="5"/>
      <c r="Q7814" s="5"/>
      <c r="R7814" s="5"/>
      <c r="S7814" s="5"/>
      <c r="T7814" s="5"/>
      <c r="U7814" s="5"/>
      <c r="V7814" s="5"/>
      <c r="W7814" s="5"/>
      <c r="X7814" s="5"/>
      <c r="Y7814" s="5"/>
      <c r="Z7814" s="5"/>
    </row>
    <row r="7815" spans="1:26" ht="15" x14ac:dyDescent="0.25">
      <c r="A7815" s="4" t="s">
        <v>7813</v>
      </c>
      <c r="B7815" s="4" t="s">
        <v>4550</v>
      </c>
      <c r="C7815" s="2" t="str">
        <f ca="1">IFERROR(__xludf.DUMMYFUNCTION("GOOGLETRANSLATE(A7815,""bn"",""en"")"),"He opened a bank branch")</f>
        <v>He opened a bank branch</v>
      </c>
      <c r="D7815" s="5"/>
      <c r="E7815" s="5"/>
      <c r="F7815" s="5"/>
      <c r="G7815" s="5"/>
      <c r="H7815" s="5"/>
      <c r="I7815" s="5"/>
      <c r="J7815" s="5"/>
      <c r="K7815" s="5"/>
      <c r="L7815" s="5"/>
      <c r="M7815" s="5"/>
      <c r="N7815" s="5"/>
      <c r="O7815" s="5"/>
      <c r="P7815" s="5"/>
      <c r="Q7815" s="5"/>
      <c r="R7815" s="5"/>
      <c r="S7815" s="5"/>
      <c r="T7815" s="5"/>
      <c r="U7815" s="5"/>
      <c r="V7815" s="5"/>
      <c r="W7815" s="5"/>
      <c r="X7815" s="5"/>
      <c r="Y7815" s="5"/>
      <c r="Z7815" s="5"/>
    </row>
    <row r="7816" spans="1:26" ht="15" x14ac:dyDescent="0.25">
      <c r="A7816" s="4" t="s">
        <v>7814</v>
      </c>
      <c r="B7816" s="4" t="s">
        <v>4550</v>
      </c>
      <c r="C7816" s="2" t="str">
        <f ca="1">IFERROR(__xludf.DUMMYFUNCTION("GOOGLETRANSLATE(A7816,""bn"",""en"")"),"I visited the insurance company")</f>
        <v>I visited the insurance company</v>
      </c>
      <c r="D7816" s="5"/>
      <c r="E7816" s="5"/>
      <c r="F7816" s="5"/>
      <c r="G7816" s="5"/>
      <c r="H7816" s="5"/>
      <c r="I7816" s="5"/>
      <c r="J7816" s="5"/>
      <c r="K7816" s="5"/>
      <c r="L7816" s="5"/>
      <c r="M7816" s="5"/>
      <c r="N7816" s="5"/>
      <c r="O7816" s="5"/>
      <c r="P7816" s="5"/>
      <c r="Q7816" s="5"/>
      <c r="R7816" s="5"/>
      <c r="S7816" s="5"/>
      <c r="T7816" s="5"/>
      <c r="U7816" s="5"/>
      <c r="V7816" s="5"/>
      <c r="W7816" s="5"/>
      <c r="X7816" s="5"/>
      <c r="Y7816" s="5"/>
      <c r="Z7816" s="5"/>
    </row>
    <row r="7817" spans="1:26" ht="15" x14ac:dyDescent="0.25">
      <c r="A7817" s="4" t="s">
        <v>7815</v>
      </c>
      <c r="B7817" s="4" t="s">
        <v>4550</v>
      </c>
      <c r="C7817" s="2" t="str">
        <f ca="1">IFERROR(__xludf.DUMMYFUNCTION("GOOGLETRANSLATE(A7817,""bn"",""en"")"),"The players were taking instructions")</f>
        <v>The players were taking instructions</v>
      </c>
      <c r="D7817" s="5"/>
      <c r="E7817" s="5"/>
      <c r="F7817" s="5"/>
      <c r="G7817" s="5"/>
      <c r="H7817" s="5"/>
      <c r="I7817" s="5"/>
      <c r="J7817" s="5"/>
      <c r="K7817" s="5"/>
      <c r="L7817" s="5"/>
      <c r="M7817" s="5"/>
      <c r="N7817" s="5"/>
      <c r="O7817" s="5"/>
      <c r="P7817" s="5"/>
      <c r="Q7817" s="5"/>
      <c r="R7817" s="5"/>
      <c r="S7817" s="5"/>
      <c r="T7817" s="5"/>
      <c r="U7817" s="5"/>
      <c r="V7817" s="5"/>
      <c r="W7817" s="5"/>
      <c r="X7817" s="5"/>
      <c r="Y7817" s="5"/>
      <c r="Z7817" s="5"/>
    </row>
    <row r="7818" spans="1:26" ht="15" x14ac:dyDescent="0.25">
      <c r="A7818" s="4" t="s">
        <v>7816</v>
      </c>
      <c r="B7818" s="4" t="s">
        <v>4550</v>
      </c>
      <c r="C7818" s="2" t="str">
        <f ca="1">IFERROR(__xludf.DUMMYFUNCTION("GOOGLETRANSLATE(A7818,""bn"",""en"")"),"Robotics was trending in the world")</f>
        <v>Robotics was trending in the world</v>
      </c>
      <c r="D7818" s="5"/>
      <c r="E7818" s="5"/>
      <c r="F7818" s="5"/>
      <c r="G7818" s="5"/>
      <c r="H7818" s="5"/>
      <c r="I7818" s="5"/>
      <c r="J7818" s="5"/>
      <c r="K7818" s="5"/>
      <c r="L7818" s="5"/>
      <c r="M7818" s="5"/>
      <c r="N7818" s="5"/>
      <c r="O7818" s="5"/>
      <c r="P7818" s="5"/>
      <c r="Q7818" s="5"/>
      <c r="R7818" s="5"/>
      <c r="S7818" s="5"/>
      <c r="T7818" s="5"/>
      <c r="U7818" s="5"/>
      <c r="V7818" s="5"/>
      <c r="W7818" s="5"/>
      <c r="X7818" s="5"/>
      <c r="Y7818" s="5"/>
      <c r="Z7818" s="5"/>
    </row>
    <row r="7819" spans="1:26" ht="15" x14ac:dyDescent="0.25">
      <c r="A7819" s="4" t="s">
        <v>7817</v>
      </c>
      <c r="B7819" s="4" t="s">
        <v>4550</v>
      </c>
      <c r="C7819" s="2" t="str">
        <f ca="1">IFERROR(__xludf.DUMMYFUNCTION("GOOGLETRANSLATE(A7819,""bn"",""en"")"),"Improvements were made in controversial materials")</f>
        <v>Improvements were made in controversial materials</v>
      </c>
      <c r="D7819" s="5"/>
      <c r="E7819" s="5"/>
      <c r="F7819" s="5"/>
      <c r="G7819" s="5"/>
      <c r="H7819" s="5"/>
      <c r="I7819" s="5"/>
      <c r="J7819" s="5"/>
      <c r="K7819" s="5"/>
      <c r="L7819" s="5"/>
      <c r="M7819" s="5"/>
      <c r="N7819" s="5"/>
      <c r="O7819" s="5"/>
      <c r="P7819" s="5"/>
      <c r="Q7819" s="5"/>
      <c r="R7819" s="5"/>
      <c r="S7819" s="5"/>
      <c r="T7819" s="5"/>
      <c r="U7819" s="5"/>
      <c r="V7819" s="5"/>
      <c r="W7819" s="5"/>
      <c r="X7819" s="5"/>
      <c r="Y7819" s="5"/>
      <c r="Z7819" s="5"/>
    </row>
    <row r="7820" spans="1:26" ht="15" x14ac:dyDescent="0.25">
      <c r="A7820" s="4" t="s">
        <v>7818</v>
      </c>
      <c r="B7820" s="4" t="s">
        <v>4550</v>
      </c>
      <c r="C7820" s="2" t="str">
        <f ca="1">IFERROR(__xludf.DUMMYFUNCTION("GOOGLETRANSLATE(A7820,""bn"",""en"")"),"I used banaspati oil")</f>
        <v>I used banaspati oil</v>
      </c>
      <c r="D7820" s="5"/>
      <c r="E7820" s="5"/>
      <c r="F7820" s="5"/>
      <c r="G7820" s="5"/>
      <c r="H7820" s="5"/>
      <c r="I7820" s="5"/>
      <c r="J7820" s="5"/>
      <c r="K7820" s="5"/>
      <c r="L7820" s="5"/>
      <c r="M7820" s="5"/>
      <c r="N7820" s="5"/>
      <c r="O7820" s="5"/>
      <c r="P7820" s="5"/>
      <c r="Q7820" s="5"/>
      <c r="R7820" s="5"/>
      <c r="S7820" s="5"/>
      <c r="T7820" s="5"/>
      <c r="U7820" s="5"/>
      <c r="V7820" s="5"/>
      <c r="W7820" s="5"/>
      <c r="X7820" s="5"/>
      <c r="Y7820" s="5"/>
      <c r="Z7820" s="5"/>
    </row>
    <row r="7821" spans="1:26" ht="15" x14ac:dyDescent="0.25">
      <c r="A7821" s="4" t="s">
        <v>7819</v>
      </c>
      <c r="B7821" s="4" t="s">
        <v>4550</v>
      </c>
      <c r="C7821" s="2" t="str">
        <f ca="1">IFERROR(__xludf.DUMMYFUNCTION("GOOGLETRANSLATE(A7821,""bn"",""en"")"),"The increase was in the former year")</f>
        <v>The increase was in the former year</v>
      </c>
      <c r="D7821" s="5"/>
      <c r="E7821" s="5"/>
      <c r="F7821" s="5"/>
      <c r="G7821" s="5"/>
      <c r="H7821" s="5"/>
      <c r="I7821" s="5"/>
      <c r="J7821" s="5"/>
      <c r="K7821" s="5"/>
      <c r="L7821" s="5"/>
      <c r="M7821" s="5"/>
      <c r="N7821" s="5"/>
      <c r="O7821" s="5"/>
      <c r="P7821" s="5"/>
      <c r="Q7821" s="5"/>
      <c r="R7821" s="5"/>
      <c r="S7821" s="5"/>
      <c r="T7821" s="5"/>
      <c r="U7821" s="5"/>
      <c r="V7821" s="5"/>
      <c r="W7821" s="5"/>
      <c r="X7821" s="5"/>
      <c r="Y7821" s="5"/>
      <c r="Z7821" s="5"/>
    </row>
    <row r="7822" spans="1:26" ht="15" x14ac:dyDescent="0.25">
      <c r="A7822" s="4" t="s">
        <v>7820</v>
      </c>
      <c r="B7822" s="4" t="s">
        <v>4550</v>
      </c>
      <c r="C7822" s="2" t="str">
        <f ca="1">IFERROR(__xludf.DUMMYFUNCTION("GOOGLETRANSLATE(A7822,""bn"",""en"")"),"He was heating the soup")</f>
        <v>He was heating the soup</v>
      </c>
      <c r="D7822" s="5"/>
      <c r="E7822" s="5"/>
      <c r="F7822" s="5"/>
      <c r="G7822" s="5"/>
      <c r="H7822" s="5"/>
      <c r="I7822" s="5"/>
      <c r="J7822" s="5"/>
      <c r="K7822" s="5"/>
      <c r="L7822" s="5"/>
      <c r="M7822" s="5"/>
      <c r="N7822" s="5"/>
      <c r="O7822" s="5"/>
      <c r="P7822" s="5"/>
      <c r="Q7822" s="5"/>
      <c r="R7822" s="5"/>
      <c r="S7822" s="5"/>
      <c r="T7822" s="5"/>
      <c r="U7822" s="5"/>
      <c r="V7822" s="5"/>
      <c r="W7822" s="5"/>
      <c r="X7822" s="5"/>
      <c r="Y7822" s="5"/>
      <c r="Z7822" s="5"/>
    </row>
    <row r="7823" spans="1:26" ht="15" x14ac:dyDescent="0.25">
      <c r="A7823" s="4" t="s">
        <v>7821</v>
      </c>
      <c r="B7823" s="4" t="s">
        <v>4550</v>
      </c>
      <c r="C7823" s="2" t="str">
        <f ca="1">IFERROR(__xludf.DUMMYFUNCTION("GOOGLETRANSLATE(A7823,""bn"",""en"")"),"Used social media")</f>
        <v>Used social media</v>
      </c>
      <c r="D7823" s="5"/>
      <c r="E7823" s="5"/>
      <c r="F7823" s="5"/>
      <c r="G7823" s="5"/>
      <c r="H7823" s="5"/>
      <c r="I7823" s="5"/>
      <c r="J7823" s="5"/>
      <c r="K7823" s="5"/>
      <c r="L7823" s="5"/>
      <c r="M7823" s="5"/>
      <c r="N7823" s="5"/>
      <c r="O7823" s="5"/>
      <c r="P7823" s="5"/>
      <c r="Q7823" s="5"/>
      <c r="R7823" s="5"/>
      <c r="S7823" s="5"/>
      <c r="T7823" s="5"/>
      <c r="U7823" s="5"/>
      <c r="V7823" s="5"/>
      <c r="W7823" s="5"/>
      <c r="X7823" s="5"/>
      <c r="Y7823" s="5"/>
      <c r="Z7823" s="5"/>
    </row>
    <row r="7824" spans="1:26" ht="15" x14ac:dyDescent="0.25">
      <c r="A7824" s="4" t="s">
        <v>7822</v>
      </c>
      <c r="B7824" s="4" t="s">
        <v>4550</v>
      </c>
      <c r="C7824" s="2" t="str">
        <f ca="1">IFERROR(__xludf.DUMMYFUNCTION("GOOGLETRANSLATE(A7824,""bn"",""en"")"),"The value of currency increased")</f>
        <v>The value of currency increased</v>
      </c>
      <c r="D7824" s="5"/>
      <c r="E7824" s="5"/>
      <c r="F7824" s="5"/>
      <c r="G7824" s="5"/>
      <c r="H7824" s="5"/>
      <c r="I7824" s="5"/>
      <c r="J7824" s="5"/>
      <c r="K7824" s="5"/>
      <c r="L7824" s="5"/>
      <c r="M7824" s="5"/>
      <c r="N7824" s="5"/>
      <c r="O7824" s="5"/>
      <c r="P7824" s="5"/>
      <c r="Q7824" s="5"/>
      <c r="R7824" s="5"/>
      <c r="S7824" s="5"/>
      <c r="T7824" s="5"/>
      <c r="U7824" s="5"/>
      <c r="V7824" s="5"/>
      <c r="W7824" s="5"/>
      <c r="X7824" s="5"/>
      <c r="Y7824" s="5"/>
      <c r="Z7824" s="5"/>
    </row>
    <row r="7825" spans="1:26" ht="15" x14ac:dyDescent="0.25">
      <c r="A7825" s="4" t="s">
        <v>7823</v>
      </c>
      <c r="B7825" s="4" t="s">
        <v>4550</v>
      </c>
      <c r="C7825" s="2" t="str">
        <f ca="1">IFERROR(__xludf.DUMMYFUNCTION("GOOGLETRANSLATE(A7825,""bn"",""en"")"),"I was gaming for three months")</f>
        <v>I was gaming for three months</v>
      </c>
      <c r="D7825" s="5"/>
      <c r="E7825" s="5"/>
      <c r="F7825" s="5"/>
      <c r="G7825" s="5"/>
      <c r="H7825" s="5"/>
      <c r="I7825" s="5"/>
      <c r="J7825" s="5"/>
      <c r="K7825" s="5"/>
      <c r="L7825" s="5"/>
      <c r="M7825" s="5"/>
      <c r="N7825" s="5"/>
      <c r="O7825" s="5"/>
      <c r="P7825" s="5"/>
      <c r="Q7825" s="5"/>
      <c r="R7825" s="5"/>
      <c r="S7825" s="5"/>
      <c r="T7825" s="5"/>
      <c r="U7825" s="5"/>
      <c r="V7825" s="5"/>
      <c r="W7825" s="5"/>
      <c r="X7825" s="5"/>
      <c r="Y7825" s="5"/>
      <c r="Z7825" s="5"/>
    </row>
    <row r="7826" spans="1:26" ht="15" x14ac:dyDescent="0.25">
      <c r="A7826" s="4" t="s">
        <v>7824</v>
      </c>
      <c r="B7826" s="4" t="s">
        <v>4550</v>
      </c>
      <c r="C7826" s="2" t="str">
        <f ca="1">IFERROR(__xludf.DUMMYFUNCTION("GOOGLETRANSLATE(A7826,""bn"",""en"")"),"Institutional crops were growing rapidly")</f>
        <v>Institutional crops were growing rapidly</v>
      </c>
      <c r="D7826" s="5"/>
      <c r="E7826" s="5"/>
      <c r="F7826" s="5"/>
      <c r="G7826" s="5"/>
      <c r="H7826" s="5"/>
      <c r="I7826" s="5"/>
      <c r="J7826" s="5"/>
      <c r="K7826" s="5"/>
      <c r="L7826" s="5"/>
      <c r="M7826" s="5"/>
      <c r="N7826" s="5"/>
      <c r="O7826" s="5"/>
      <c r="P7826" s="5"/>
      <c r="Q7826" s="5"/>
      <c r="R7826" s="5"/>
      <c r="S7826" s="5"/>
      <c r="T7826" s="5"/>
      <c r="U7826" s="5"/>
      <c r="V7826" s="5"/>
      <c r="W7826" s="5"/>
      <c r="X7826" s="5"/>
      <c r="Y7826" s="5"/>
      <c r="Z7826" s="5"/>
    </row>
    <row r="7827" spans="1:26" ht="15" x14ac:dyDescent="0.25">
      <c r="A7827" s="4" t="s">
        <v>7825</v>
      </c>
      <c r="B7827" s="4" t="s">
        <v>4550</v>
      </c>
      <c r="C7827" s="2" t="str">
        <f ca="1">IFERROR(__xludf.DUMMYFUNCTION("GOOGLETRANSLATE(A7827,""bn"",""en"")"),"We were insured during the week")</f>
        <v>We were insured during the week</v>
      </c>
      <c r="D7827" s="5"/>
      <c r="E7827" s="5"/>
      <c r="F7827" s="5"/>
      <c r="G7827" s="5"/>
      <c r="H7827" s="5"/>
      <c r="I7827" s="5"/>
      <c r="J7827" s="5"/>
      <c r="K7827" s="5"/>
      <c r="L7827" s="5"/>
      <c r="M7827" s="5"/>
      <c r="N7827" s="5"/>
      <c r="O7827" s="5"/>
      <c r="P7827" s="5"/>
      <c r="Q7827" s="5"/>
      <c r="R7827" s="5"/>
      <c r="S7827" s="5"/>
      <c r="T7827" s="5"/>
      <c r="U7827" s="5"/>
      <c r="V7827" s="5"/>
      <c r="W7827" s="5"/>
      <c r="X7827" s="5"/>
      <c r="Y7827" s="5"/>
      <c r="Z7827" s="5"/>
    </row>
    <row r="7828" spans="1:26" ht="15" x14ac:dyDescent="0.25">
      <c r="A7828" s="4" t="s">
        <v>7826</v>
      </c>
      <c r="B7828" s="4" t="s">
        <v>4550</v>
      </c>
      <c r="C7828" s="2" t="str">
        <f ca="1">IFERROR(__xludf.DUMMYFUNCTION("GOOGLETRANSLATE(A7828,""bn"",""en"")"),"They saw the new play")</f>
        <v>They saw the new play</v>
      </c>
      <c r="D7828" s="5"/>
      <c r="E7828" s="5"/>
      <c r="F7828" s="5"/>
      <c r="G7828" s="5"/>
      <c r="H7828" s="5"/>
      <c r="I7828" s="5"/>
      <c r="J7828" s="5"/>
      <c r="K7828" s="5"/>
      <c r="L7828" s="5"/>
      <c r="M7828" s="5"/>
      <c r="N7828" s="5"/>
      <c r="O7828" s="5"/>
      <c r="P7828" s="5"/>
      <c r="Q7828" s="5"/>
      <c r="R7828" s="5"/>
      <c r="S7828" s="5"/>
      <c r="T7828" s="5"/>
      <c r="U7828" s="5"/>
      <c r="V7828" s="5"/>
      <c r="W7828" s="5"/>
      <c r="X7828" s="5"/>
      <c r="Y7828" s="5"/>
      <c r="Z7828" s="5"/>
    </row>
    <row r="7829" spans="1:26" ht="15" x14ac:dyDescent="0.25">
      <c r="A7829" s="4" t="s">
        <v>7827</v>
      </c>
      <c r="B7829" s="4" t="s">
        <v>4550</v>
      </c>
      <c r="C7829" s="2" t="str">
        <f ca="1">IFERROR(__xludf.DUMMYFUNCTION("GOOGLETRANSLATE(A7829,""bn"",""en"")"),"The debate was going on in the parliament then")</f>
        <v>The debate was going on in the parliament then</v>
      </c>
      <c r="D7829" s="5"/>
      <c r="E7829" s="5"/>
      <c r="F7829" s="5"/>
      <c r="G7829" s="5"/>
      <c r="H7829" s="5"/>
      <c r="I7829" s="5"/>
      <c r="J7829" s="5"/>
      <c r="K7829" s="5"/>
      <c r="L7829" s="5"/>
      <c r="M7829" s="5"/>
      <c r="N7829" s="5"/>
      <c r="O7829" s="5"/>
      <c r="P7829" s="5"/>
      <c r="Q7829" s="5"/>
      <c r="R7829" s="5"/>
      <c r="S7829" s="5"/>
      <c r="T7829" s="5"/>
      <c r="U7829" s="5"/>
      <c r="V7829" s="5"/>
      <c r="W7829" s="5"/>
      <c r="X7829" s="5"/>
      <c r="Y7829" s="5"/>
      <c r="Z7829" s="5"/>
    </row>
    <row r="7830" spans="1:26" ht="15" x14ac:dyDescent="0.25">
      <c r="A7830" s="4" t="s">
        <v>7828</v>
      </c>
      <c r="B7830" s="4" t="s">
        <v>4550</v>
      </c>
      <c r="C7830" s="2" t="str">
        <f ca="1">IFERROR(__xludf.DUMMYFUNCTION("GOOGLETRANSLATE(A7830,""bn"",""en"")"),"There was instability in politics")</f>
        <v>There was instability in politics</v>
      </c>
      <c r="D7830" s="5"/>
      <c r="E7830" s="5"/>
      <c r="F7830" s="5"/>
      <c r="G7830" s="5"/>
      <c r="H7830" s="5"/>
      <c r="I7830" s="5"/>
      <c r="J7830" s="5"/>
      <c r="K7830" s="5"/>
      <c r="L7830" s="5"/>
      <c r="M7830" s="5"/>
      <c r="N7830" s="5"/>
      <c r="O7830" s="5"/>
      <c r="P7830" s="5"/>
      <c r="Q7830" s="5"/>
      <c r="R7830" s="5"/>
      <c r="S7830" s="5"/>
      <c r="T7830" s="5"/>
      <c r="U7830" s="5"/>
      <c r="V7830" s="5"/>
      <c r="W7830" s="5"/>
      <c r="X7830" s="5"/>
      <c r="Y7830" s="5"/>
      <c r="Z7830" s="5"/>
    </row>
    <row r="7831" spans="1:26" ht="15" x14ac:dyDescent="0.25">
      <c r="A7831" s="4" t="s">
        <v>7829</v>
      </c>
      <c r="B7831" s="4" t="s">
        <v>4550</v>
      </c>
      <c r="C7831" s="2" t="str">
        <f ca="1">IFERROR(__xludf.DUMMYFUNCTION("GOOGLETRANSLATE(A7831,""bn"",""en"")"),"Programming thinking is enhanced")</f>
        <v>Programming thinking is enhanced</v>
      </c>
      <c r="D7831" s="5"/>
      <c r="E7831" s="5"/>
      <c r="F7831" s="5"/>
      <c r="G7831" s="5"/>
      <c r="H7831" s="5"/>
      <c r="I7831" s="5"/>
      <c r="J7831" s="5"/>
      <c r="K7831" s="5"/>
      <c r="L7831" s="5"/>
      <c r="M7831" s="5"/>
      <c r="N7831" s="5"/>
      <c r="O7831" s="5"/>
      <c r="P7831" s="5"/>
      <c r="Q7831" s="5"/>
      <c r="R7831" s="5"/>
      <c r="S7831" s="5"/>
      <c r="T7831" s="5"/>
      <c r="U7831" s="5"/>
      <c r="V7831" s="5"/>
      <c r="W7831" s="5"/>
      <c r="X7831" s="5"/>
      <c r="Y7831" s="5"/>
      <c r="Z7831" s="5"/>
    </row>
    <row r="7832" spans="1:26" ht="15" x14ac:dyDescent="0.25">
      <c r="A7832" s="4" t="s">
        <v>7830</v>
      </c>
      <c r="B7832" s="4" t="s">
        <v>4550</v>
      </c>
      <c r="C7832" s="2" t="str">
        <f ca="1">IFERROR(__xludf.DUMMYFUNCTION("GOOGLETRANSLATE(A7832,""bn"",""en"")"),"He went to the premiere exhibition")</f>
        <v>He went to the premiere exhibition</v>
      </c>
      <c r="D7832" s="5"/>
      <c r="E7832" s="5"/>
      <c r="F7832" s="5"/>
      <c r="G7832" s="5"/>
      <c r="H7832" s="5"/>
      <c r="I7832" s="5"/>
      <c r="J7832" s="5"/>
      <c r="K7832" s="5"/>
      <c r="L7832" s="5"/>
      <c r="M7832" s="5"/>
      <c r="N7832" s="5"/>
      <c r="O7832" s="5"/>
      <c r="P7832" s="5"/>
      <c r="Q7832" s="5"/>
      <c r="R7832" s="5"/>
      <c r="S7832" s="5"/>
      <c r="T7832" s="5"/>
      <c r="U7832" s="5"/>
      <c r="V7832" s="5"/>
      <c r="W7832" s="5"/>
      <c r="X7832" s="5"/>
      <c r="Y7832" s="5"/>
      <c r="Z7832" s="5"/>
    </row>
    <row r="7833" spans="1:26" ht="15" x14ac:dyDescent="0.25">
      <c r="A7833" s="4" t="s">
        <v>7831</v>
      </c>
      <c r="B7833" s="4" t="s">
        <v>4550</v>
      </c>
      <c r="C7833" s="2" t="str">
        <f ca="1">IFERROR(__xludf.DUMMYFUNCTION("GOOGLETRANSLATE(A7833,""bn"",""en"")"),"Technology has revolutionized education")</f>
        <v>Technology has revolutionized education</v>
      </c>
      <c r="D7833" s="5"/>
      <c r="E7833" s="5"/>
      <c r="F7833" s="5"/>
      <c r="G7833" s="5"/>
      <c r="H7833" s="5"/>
      <c r="I7833" s="5"/>
      <c r="J7833" s="5"/>
      <c r="K7833" s="5"/>
      <c r="L7833" s="5"/>
      <c r="M7833" s="5"/>
      <c r="N7833" s="5"/>
      <c r="O7833" s="5"/>
      <c r="P7833" s="5"/>
      <c r="Q7833" s="5"/>
      <c r="R7833" s="5"/>
      <c r="S7833" s="5"/>
      <c r="T7833" s="5"/>
      <c r="U7833" s="5"/>
      <c r="V7833" s="5"/>
      <c r="W7833" s="5"/>
      <c r="X7833" s="5"/>
      <c r="Y7833" s="5"/>
      <c r="Z7833" s="5"/>
    </row>
    <row r="7834" spans="1:26" ht="15" x14ac:dyDescent="0.25">
      <c r="A7834" s="4" t="s">
        <v>7832</v>
      </c>
      <c r="B7834" s="4" t="s">
        <v>4550</v>
      </c>
      <c r="C7834" s="2" t="str">
        <f ca="1">IFERROR(__xludf.DUMMYFUNCTION("GOOGLETRANSLATE(A7834,""bn"",""en"")"),"He watched good movies")</f>
        <v>He watched good movies</v>
      </c>
      <c r="D7834" s="5"/>
      <c r="E7834" s="5"/>
      <c r="F7834" s="5"/>
      <c r="G7834" s="5"/>
      <c r="H7834" s="5"/>
      <c r="I7834" s="5"/>
      <c r="J7834" s="5"/>
      <c r="K7834" s="5"/>
      <c r="L7834" s="5"/>
      <c r="M7834" s="5"/>
      <c r="N7834" s="5"/>
      <c r="O7834" s="5"/>
      <c r="P7834" s="5"/>
      <c r="Q7834" s="5"/>
      <c r="R7834" s="5"/>
      <c r="S7834" s="5"/>
      <c r="T7834" s="5"/>
      <c r="U7834" s="5"/>
      <c r="V7834" s="5"/>
      <c r="W7834" s="5"/>
      <c r="X7834" s="5"/>
      <c r="Y7834" s="5"/>
      <c r="Z7834" s="5"/>
    </row>
    <row r="7835" spans="1:26" ht="15" x14ac:dyDescent="0.25">
      <c r="A7835" s="4" t="s">
        <v>7833</v>
      </c>
      <c r="B7835" s="4" t="s">
        <v>4550</v>
      </c>
      <c r="C7835" s="2" t="str">
        <f ca="1">IFERROR(__xludf.DUMMYFUNCTION("GOOGLETRANSLATE(A7835,""bn"",""en"")"),"The imam walked to the mosque")</f>
        <v>The imam walked to the mosque</v>
      </c>
      <c r="D7835" s="5"/>
      <c r="E7835" s="5"/>
      <c r="F7835" s="5"/>
      <c r="G7835" s="5"/>
      <c r="H7835" s="5"/>
      <c r="I7835" s="5"/>
      <c r="J7835" s="5"/>
      <c r="K7835" s="5"/>
      <c r="L7835" s="5"/>
      <c r="M7835" s="5"/>
      <c r="N7835" s="5"/>
      <c r="O7835" s="5"/>
      <c r="P7835" s="5"/>
      <c r="Q7835" s="5"/>
      <c r="R7835" s="5"/>
      <c r="S7835" s="5"/>
      <c r="T7835" s="5"/>
      <c r="U7835" s="5"/>
      <c r="V7835" s="5"/>
      <c r="W7835" s="5"/>
      <c r="X7835" s="5"/>
      <c r="Y7835" s="5"/>
      <c r="Z7835" s="5"/>
    </row>
    <row r="7836" spans="1:26" ht="15" x14ac:dyDescent="0.25">
      <c r="A7836" s="4" t="s">
        <v>7834</v>
      </c>
      <c r="B7836" s="4" t="s">
        <v>4550</v>
      </c>
      <c r="C7836" s="2" t="str">
        <f ca="1">IFERROR(__xludf.DUMMYFUNCTION("GOOGLETRANSLATE(A7836,""bn"",""en"")"),"Actively participated in the match")</f>
        <v>Actively participated in the match</v>
      </c>
      <c r="D7836" s="5"/>
      <c r="E7836" s="5"/>
      <c r="F7836" s="5"/>
      <c r="G7836" s="5"/>
      <c r="H7836" s="5"/>
      <c r="I7836" s="5"/>
      <c r="J7836" s="5"/>
      <c r="K7836" s="5"/>
      <c r="L7836" s="5"/>
      <c r="M7836" s="5"/>
      <c r="N7836" s="5"/>
      <c r="O7836" s="5"/>
      <c r="P7836" s="5"/>
      <c r="Q7836" s="5"/>
      <c r="R7836" s="5"/>
      <c r="S7836" s="5"/>
      <c r="T7836" s="5"/>
      <c r="U7836" s="5"/>
      <c r="V7836" s="5"/>
      <c r="W7836" s="5"/>
      <c r="X7836" s="5"/>
      <c r="Y7836" s="5"/>
      <c r="Z7836" s="5"/>
    </row>
    <row r="7837" spans="1:26" ht="15" x14ac:dyDescent="0.25">
      <c r="A7837" s="4" t="s">
        <v>7835</v>
      </c>
      <c r="B7837" s="4" t="s">
        <v>4550</v>
      </c>
      <c r="C7837" s="2" t="str">
        <f ca="1">IFERROR(__xludf.DUMMYFUNCTION("GOOGLETRANSLATE(A7837,""bn"",""en"")"),"Transport prices increased in two months")</f>
        <v>Transport prices increased in two months</v>
      </c>
      <c r="D7837" s="5"/>
      <c r="E7837" s="5"/>
      <c r="F7837" s="5"/>
      <c r="G7837" s="5"/>
      <c r="H7837" s="5"/>
      <c r="I7837" s="5"/>
      <c r="J7837" s="5"/>
      <c r="K7837" s="5"/>
      <c r="L7837" s="5"/>
      <c r="M7837" s="5"/>
      <c r="N7837" s="5"/>
      <c r="O7837" s="5"/>
      <c r="P7837" s="5"/>
      <c r="Q7837" s="5"/>
      <c r="R7837" s="5"/>
      <c r="S7837" s="5"/>
      <c r="T7837" s="5"/>
      <c r="U7837" s="5"/>
      <c r="V7837" s="5"/>
      <c r="W7837" s="5"/>
      <c r="X7837" s="5"/>
      <c r="Y7837" s="5"/>
      <c r="Z7837" s="5"/>
    </row>
    <row r="7838" spans="1:26" ht="15" x14ac:dyDescent="0.25">
      <c r="A7838" s="4" t="s">
        <v>7836</v>
      </c>
      <c r="B7838" s="4" t="s">
        <v>4550</v>
      </c>
      <c r="C7838" s="2" t="str">
        <f ca="1">IFERROR(__xludf.DUMMYFUNCTION("GOOGLETRANSLATE(A7838,""bn"",""en"")"),"They watched the movie on Saturday")</f>
        <v>They watched the movie on Saturday</v>
      </c>
      <c r="D7838" s="5"/>
      <c r="E7838" s="5"/>
      <c r="F7838" s="5"/>
      <c r="G7838" s="5"/>
      <c r="H7838" s="5"/>
      <c r="I7838" s="5"/>
      <c r="J7838" s="5"/>
      <c r="K7838" s="5"/>
      <c r="L7838" s="5"/>
      <c r="M7838" s="5"/>
      <c r="N7838" s="5"/>
      <c r="O7838" s="5"/>
      <c r="P7838" s="5"/>
      <c r="Q7838" s="5"/>
      <c r="R7838" s="5"/>
      <c r="S7838" s="5"/>
      <c r="T7838" s="5"/>
      <c r="U7838" s="5"/>
      <c r="V7838" s="5"/>
      <c r="W7838" s="5"/>
      <c r="X7838" s="5"/>
      <c r="Y7838" s="5"/>
      <c r="Z7838" s="5"/>
    </row>
    <row r="7839" spans="1:26" ht="15" x14ac:dyDescent="0.25">
      <c r="A7839" s="4" t="s">
        <v>7837</v>
      </c>
      <c r="B7839" s="4" t="s">
        <v>4550</v>
      </c>
      <c r="C7839" s="2" t="str">
        <f ca="1">IFERROR(__xludf.DUMMYFUNCTION("GOOGLETRANSLATE(A7839,""bn"",""en"")"),"Saw a horror movie last month")</f>
        <v>Saw a horror movie last month</v>
      </c>
      <c r="D7839" s="5"/>
      <c r="E7839" s="5"/>
      <c r="F7839" s="5"/>
      <c r="G7839" s="5"/>
      <c r="H7839" s="5"/>
      <c r="I7839" s="5"/>
      <c r="J7839" s="5"/>
      <c r="K7839" s="5"/>
      <c r="L7839" s="5"/>
      <c r="M7839" s="5"/>
      <c r="N7839" s="5"/>
      <c r="O7839" s="5"/>
      <c r="P7839" s="5"/>
      <c r="Q7839" s="5"/>
      <c r="R7839" s="5"/>
      <c r="S7839" s="5"/>
      <c r="T7839" s="5"/>
      <c r="U7839" s="5"/>
      <c r="V7839" s="5"/>
      <c r="W7839" s="5"/>
      <c r="X7839" s="5"/>
      <c r="Y7839" s="5"/>
      <c r="Z7839" s="5"/>
    </row>
    <row r="7840" spans="1:26" ht="15" x14ac:dyDescent="0.25">
      <c r="A7840" s="4" t="s">
        <v>7838</v>
      </c>
      <c r="B7840" s="4" t="s">
        <v>4550</v>
      </c>
      <c r="C7840" s="2" t="str">
        <f ca="1">IFERROR(__xludf.DUMMYFUNCTION("GOOGLETRANSLATE(A7840,""bn"",""en"")"),"was in an ancient court")</f>
        <v>was in an ancient court</v>
      </c>
      <c r="D7840" s="5"/>
      <c r="E7840" s="5"/>
      <c r="F7840" s="5"/>
      <c r="G7840" s="5"/>
      <c r="H7840" s="5"/>
      <c r="I7840" s="5"/>
      <c r="J7840" s="5"/>
      <c r="K7840" s="5"/>
      <c r="L7840" s="5"/>
      <c r="M7840" s="5"/>
      <c r="N7840" s="5"/>
      <c r="O7840" s="5"/>
      <c r="P7840" s="5"/>
      <c r="Q7840" s="5"/>
      <c r="R7840" s="5"/>
      <c r="S7840" s="5"/>
      <c r="T7840" s="5"/>
      <c r="U7840" s="5"/>
      <c r="V7840" s="5"/>
      <c r="W7840" s="5"/>
      <c r="X7840" s="5"/>
      <c r="Y7840" s="5"/>
      <c r="Z7840" s="5"/>
    </row>
    <row r="7841" spans="1:26" ht="15" x14ac:dyDescent="0.25">
      <c r="A7841" s="4" t="s">
        <v>7839</v>
      </c>
      <c r="B7841" s="4" t="s">
        <v>4550</v>
      </c>
      <c r="C7841" s="2" t="str">
        <f ca="1">IFERROR(__xludf.DUMMYFUNCTION("GOOGLETRANSLATE(A7841,""bn"",""en"")"),"Tests were given earlier")</f>
        <v>Tests were given earlier</v>
      </c>
      <c r="D7841" s="5"/>
      <c r="E7841" s="5"/>
      <c r="F7841" s="5"/>
      <c r="G7841" s="5"/>
      <c r="H7841" s="5"/>
      <c r="I7841" s="5"/>
      <c r="J7841" s="5"/>
      <c r="K7841" s="5"/>
      <c r="L7841" s="5"/>
      <c r="M7841" s="5"/>
      <c r="N7841" s="5"/>
      <c r="O7841" s="5"/>
      <c r="P7841" s="5"/>
      <c r="Q7841" s="5"/>
      <c r="R7841" s="5"/>
      <c r="S7841" s="5"/>
      <c r="T7841" s="5"/>
      <c r="U7841" s="5"/>
      <c r="V7841" s="5"/>
      <c r="W7841" s="5"/>
      <c r="X7841" s="5"/>
      <c r="Y7841" s="5"/>
      <c r="Z7841" s="5"/>
    </row>
    <row r="7842" spans="1:26" ht="15" x14ac:dyDescent="0.25">
      <c r="A7842" s="4" t="s">
        <v>7840</v>
      </c>
      <c r="B7842" s="4" t="s">
        <v>4550</v>
      </c>
      <c r="C7842" s="2" t="str">
        <f ca="1">IFERROR(__xludf.DUMMYFUNCTION("GOOGLETRANSLATE(A7842,""bn"",""en"")"),"He ate meat at home")</f>
        <v>He ate meat at home</v>
      </c>
      <c r="D7842" s="5"/>
      <c r="E7842" s="5"/>
      <c r="F7842" s="5"/>
      <c r="G7842" s="5"/>
      <c r="H7842" s="5"/>
      <c r="I7842" s="5"/>
      <c r="J7842" s="5"/>
      <c r="K7842" s="5"/>
      <c r="L7842" s="5"/>
      <c r="M7842" s="5"/>
      <c r="N7842" s="5"/>
      <c r="O7842" s="5"/>
      <c r="P7842" s="5"/>
      <c r="Q7842" s="5"/>
      <c r="R7842" s="5"/>
      <c r="S7842" s="5"/>
      <c r="T7842" s="5"/>
      <c r="U7842" s="5"/>
      <c r="V7842" s="5"/>
      <c r="W7842" s="5"/>
      <c r="X7842" s="5"/>
      <c r="Y7842" s="5"/>
      <c r="Z7842" s="5"/>
    </row>
    <row r="7843" spans="1:26" ht="15" x14ac:dyDescent="0.25">
      <c r="A7843" s="4" t="s">
        <v>7841</v>
      </c>
      <c r="B7843" s="4" t="s">
        <v>4550</v>
      </c>
      <c r="C7843" s="2" t="str">
        <f ca="1">IFERROR(__xludf.DUMMYFUNCTION("GOOGLETRANSLATE(A7843,""bn"",""en"")"),"Fried with eggplant")</f>
        <v>Fried with eggplant</v>
      </c>
      <c r="D7843" s="5"/>
      <c r="E7843" s="5"/>
      <c r="F7843" s="5"/>
      <c r="G7843" s="5"/>
      <c r="H7843" s="5"/>
      <c r="I7843" s="5"/>
      <c r="J7843" s="5"/>
      <c r="K7843" s="5"/>
      <c r="L7843" s="5"/>
      <c r="M7843" s="5"/>
      <c r="N7843" s="5"/>
      <c r="O7843" s="5"/>
      <c r="P7843" s="5"/>
      <c r="Q7843" s="5"/>
      <c r="R7843" s="5"/>
      <c r="S7843" s="5"/>
      <c r="T7843" s="5"/>
      <c r="U7843" s="5"/>
      <c r="V7843" s="5"/>
      <c r="W7843" s="5"/>
      <c r="X7843" s="5"/>
      <c r="Y7843" s="5"/>
      <c r="Z7843" s="5"/>
    </row>
    <row r="7844" spans="1:26" ht="15" x14ac:dyDescent="0.25">
      <c r="A7844" s="4" t="s">
        <v>7842</v>
      </c>
      <c r="B7844" s="4" t="s">
        <v>4550</v>
      </c>
      <c r="C7844" s="2" t="str">
        <f ca="1">IFERROR(__xludf.DUMMYFUNCTION("GOOGLETRANSLATE(A7844,""bn"",""en"")"),"The leaders met to elect a captain")</f>
        <v>The leaders met to elect a captain</v>
      </c>
      <c r="D7844" s="5"/>
      <c r="E7844" s="5"/>
      <c r="F7844" s="5"/>
      <c r="G7844" s="5"/>
      <c r="H7844" s="5"/>
      <c r="I7844" s="5"/>
      <c r="J7844" s="5"/>
      <c r="K7844" s="5"/>
      <c r="L7844" s="5"/>
      <c r="M7844" s="5"/>
      <c r="N7844" s="5"/>
      <c r="O7844" s="5"/>
      <c r="P7844" s="5"/>
      <c r="Q7844" s="5"/>
      <c r="R7844" s="5"/>
      <c r="S7844" s="5"/>
      <c r="T7844" s="5"/>
      <c r="U7844" s="5"/>
      <c r="V7844" s="5"/>
      <c r="W7844" s="5"/>
      <c r="X7844" s="5"/>
      <c r="Y7844" s="5"/>
      <c r="Z7844" s="5"/>
    </row>
    <row r="7845" spans="1:26" ht="15" x14ac:dyDescent="0.25">
      <c r="A7845" s="4" t="s">
        <v>7843</v>
      </c>
      <c r="B7845" s="4" t="s">
        <v>4550</v>
      </c>
      <c r="C7845" s="2" t="str">
        <f ca="1">IFERROR(__xludf.DUMMYFUNCTION("GOOGLETRANSLATE(A7845,""bn"",""en"")"),"Lentils were cooking earlier")</f>
        <v>Lentils were cooking earlier</v>
      </c>
      <c r="D7845" s="5"/>
      <c r="E7845" s="5"/>
      <c r="F7845" s="5"/>
      <c r="G7845" s="5"/>
      <c r="H7845" s="5"/>
      <c r="I7845" s="5"/>
      <c r="J7845" s="5"/>
      <c r="K7845" s="5"/>
      <c r="L7845" s="5"/>
      <c r="M7845" s="5"/>
      <c r="N7845" s="5"/>
      <c r="O7845" s="5"/>
      <c r="P7845" s="5"/>
      <c r="Q7845" s="5"/>
      <c r="R7845" s="5"/>
      <c r="S7845" s="5"/>
      <c r="T7845" s="5"/>
      <c r="U7845" s="5"/>
      <c r="V7845" s="5"/>
      <c r="W7845" s="5"/>
      <c r="X7845" s="5"/>
      <c r="Y7845" s="5"/>
      <c r="Z7845" s="5"/>
    </row>
    <row r="7846" spans="1:26" ht="15" x14ac:dyDescent="0.25">
      <c r="A7846" s="4" t="s">
        <v>7844</v>
      </c>
      <c r="B7846" s="4" t="s">
        <v>4550</v>
      </c>
      <c r="C7846" s="2" t="str">
        <f ca="1">IFERROR(__xludf.DUMMYFUNCTION("GOOGLETRANSLATE(A7846,""bn"",""en"")"),"Played after an accident last year")</f>
        <v>Played after an accident last year</v>
      </c>
      <c r="D7846" s="5"/>
      <c r="E7846" s="5"/>
      <c r="F7846" s="5"/>
      <c r="G7846" s="5"/>
      <c r="H7846" s="5"/>
      <c r="I7846" s="5"/>
      <c r="J7846" s="5"/>
      <c r="K7846" s="5"/>
      <c r="L7846" s="5"/>
      <c r="M7846" s="5"/>
      <c r="N7846" s="5"/>
      <c r="O7846" s="5"/>
      <c r="P7846" s="5"/>
      <c r="Q7846" s="5"/>
      <c r="R7846" s="5"/>
      <c r="S7846" s="5"/>
      <c r="T7846" s="5"/>
      <c r="U7846" s="5"/>
      <c r="V7846" s="5"/>
      <c r="W7846" s="5"/>
      <c r="X7846" s="5"/>
      <c r="Y7846" s="5"/>
      <c r="Z7846" s="5"/>
    </row>
    <row r="7847" spans="1:26" ht="15" x14ac:dyDescent="0.25">
      <c r="A7847" s="4" t="s">
        <v>7845</v>
      </c>
      <c r="B7847" s="4" t="s">
        <v>4550</v>
      </c>
      <c r="C7847" s="2" t="str">
        <f ca="1">IFERROR(__xludf.DUMMYFUNCTION("GOOGLETRANSLATE(A7847,""bn"",""en"")"),"I did a code review")</f>
        <v>I did a code review</v>
      </c>
      <c r="D7847" s="5"/>
      <c r="E7847" s="5"/>
      <c r="F7847" s="5"/>
      <c r="G7847" s="5"/>
      <c r="H7847" s="5"/>
      <c r="I7847" s="5"/>
      <c r="J7847" s="5"/>
      <c r="K7847" s="5"/>
      <c r="L7847" s="5"/>
      <c r="M7847" s="5"/>
      <c r="N7847" s="5"/>
      <c r="O7847" s="5"/>
      <c r="P7847" s="5"/>
      <c r="Q7847" s="5"/>
      <c r="R7847" s="5"/>
      <c r="S7847" s="5"/>
      <c r="T7847" s="5"/>
      <c r="U7847" s="5"/>
      <c r="V7847" s="5"/>
      <c r="W7847" s="5"/>
      <c r="X7847" s="5"/>
      <c r="Y7847" s="5"/>
      <c r="Z7847" s="5"/>
    </row>
    <row r="7848" spans="1:26" ht="15" x14ac:dyDescent="0.25">
      <c r="A7848" s="4" t="s">
        <v>7846</v>
      </c>
      <c r="B7848" s="4" t="s">
        <v>4550</v>
      </c>
      <c r="C7848" s="2" t="str">
        <f ca="1">IFERROR(__xludf.DUMMYFUNCTION("GOOGLETRANSLATE(A7848,""bn"",""en"")"),"I watched the movie last night")</f>
        <v>I watched the movie last night</v>
      </c>
      <c r="D7848" s="5"/>
      <c r="E7848" s="5"/>
      <c r="F7848" s="5"/>
      <c r="G7848" s="5"/>
      <c r="H7848" s="5"/>
      <c r="I7848" s="5"/>
      <c r="J7848" s="5"/>
      <c r="K7848" s="5"/>
      <c r="L7848" s="5"/>
      <c r="M7848" s="5"/>
      <c r="N7848" s="5"/>
      <c r="O7848" s="5"/>
      <c r="P7848" s="5"/>
      <c r="Q7848" s="5"/>
      <c r="R7848" s="5"/>
      <c r="S7848" s="5"/>
      <c r="T7848" s="5"/>
      <c r="U7848" s="5"/>
      <c r="V7848" s="5"/>
      <c r="W7848" s="5"/>
      <c r="X7848" s="5"/>
      <c r="Y7848" s="5"/>
      <c r="Z7848" s="5"/>
    </row>
    <row r="7849" spans="1:26" ht="15" x14ac:dyDescent="0.25">
      <c r="A7849" s="4" t="s">
        <v>7847</v>
      </c>
      <c r="B7849" s="4" t="s">
        <v>4550</v>
      </c>
      <c r="C7849" s="2" t="str">
        <f ca="1">IFERROR(__xludf.DUMMYFUNCTION("GOOGLETRANSLATE(A7849,""bn"",""en"")"),"I formed a government party based on public opinion")</f>
        <v>I formed a government party based on public opinion</v>
      </c>
      <c r="D7849" s="5"/>
      <c r="E7849" s="5"/>
      <c r="F7849" s="5"/>
      <c r="G7849" s="5"/>
      <c r="H7849" s="5"/>
      <c r="I7849" s="5"/>
      <c r="J7849" s="5"/>
      <c r="K7849" s="5"/>
      <c r="L7849" s="5"/>
      <c r="M7849" s="5"/>
      <c r="N7849" s="5"/>
      <c r="O7849" s="5"/>
      <c r="P7849" s="5"/>
      <c r="Q7849" s="5"/>
      <c r="R7849" s="5"/>
      <c r="S7849" s="5"/>
      <c r="T7849" s="5"/>
      <c r="U7849" s="5"/>
      <c r="V7849" s="5"/>
      <c r="W7849" s="5"/>
      <c r="X7849" s="5"/>
      <c r="Y7849" s="5"/>
      <c r="Z7849" s="5"/>
    </row>
    <row r="7850" spans="1:26" ht="15" x14ac:dyDescent="0.25">
      <c r="A7850" s="4" t="s">
        <v>7848</v>
      </c>
      <c r="B7850" s="4" t="s">
        <v>4550</v>
      </c>
      <c r="C7850" s="2" t="str">
        <f ca="1">IFERROR(__xludf.DUMMYFUNCTION("GOOGLETRANSLATE(A7850,""bn"",""en"")"),"I watched the movie for him")</f>
        <v>I watched the movie for him</v>
      </c>
      <c r="D7850" s="5"/>
      <c r="E7850" s="5"/>
      <c r="F7850" s="5"/>
      <c r="G7850" s="5"/>
      <c r="H7850" s="5"/>
      <c r="I7850" s="5"/>
      <c r="J7850" s="5"/>
      <c r="K7850" s="5"/>
      <c r="L7850" s="5"/>
      <c r="M7850" s="5"/>
      <c r="N7850" s="5"/>
      <c r="O7850" s="5"/>
      <c r="P7850" s="5"/>
      <c r="Q7850" s="5"/>
      <c r="R7850" s="5"/>
      <c r="S7850" s="5"/>
      <c r="T7850" s="5"/>
      <c r="U7850" s="5"/>
      <c r="V7850" s="5"/>
      <c r="W7850" s="5"/>
      <c r="X7850" s="5"/>
      <c r="Y7850" s="5"/>
      <c r="Z7850" s="5"/>
    </row>
    <row r="7851" spans="1:26" ht="15" x14ac:dyDescent="0.25">
      <c r="A7851" s="4" t="s">
        <v>7849</v>
      </c>
      <c r="B7851" s="4" t="s">
        <v>4550</v>
      </c>
      <c r="C7851" s="2" t="str">
        <f ca="1">IFERROR(__xludf.DUMMYFUNCTION("GOOGLETRANSLATE(A7851,""bn"",""en"")"),"We went to see the river")</f>
        <v>We went to see the river</v>
      </c>
      <c r="D7851" s="5"/>
      <c r="E7851" s="5"/>
      <c r="F7851" s="5"/>
      <c r="G7851" s="5"/>
      <c r="H7851" s="5"/>
      <c r="I7851" s="5"/>
      <c r="J7851" s="5"/>
      <c r="K7851" s="5"/>
      <c r="L7851" s="5"/>
      <c r="M7851" s="5"/>
      <c r="N7851" s="5"/>
      <c r="O7851" s="5"/>
      <c r="P7851" s="5"/>
      <c r="Q7851" s="5"/>
      <c r="R7851" s="5"/>
      <c r="S7851" s="5"/>
      <c r="T7851" s="5"/>
      <c r="U7851" s="5"/>
      <c r="V7851" s="5"/>
      <c r="W7851" s="5"/>
      <c r="X7851" s="5"/>
      <c r="Y7851" s="5"/>
      <c r="Z7851" s="5"/>
    </row>
    <row r="7852" spans="1:26" ht="15" x14ac:dyDescent="0.25">
      <c r="A7852" s="4" t="s">
        <v>7850</v>
      </c>
      <c r="B7852" s="4" t="s">
        <v>4550</v>
      </c>
      <c r="C7852" s="2" t="str">
        <f ca="1">IFERROR(__xludf.DUMMYFUNCTION("GOOGLETRANSLATE(A7852,""bn"",""en"")"),"I used to write rain poems in leisure")</f>
        <v>I used to write rain poems in leisure</v>
      </c>
      <c r="D7852" s="5"/>
      <c r="E7852" s="5"/>
      <c r="F7852" s="5"/>
      <c r="G7852" s="5"/>
      <c r="H7852" s="5"/>
      <c r="I7852" s="5"/>
      <c r="J7852" s="5"/>
      <c r="K7852" s="5"/>
      <c r="L7852" s="5"/>
      <c r="M7852" s="5"/>
      <c r="N7852" s="5"/>
      <c r="O7852" s="5"/>
      <c r="P7852" s="5"/>
      <c r="Q7852" s="5"/>
      <c r="R7852" s="5"/>
      <c r="S7852" s="5"/>
      <c r="T7852" s="5"/>
      <c r="U7852" s="5"/>
      <c r="V7852" s="5"/>
      <c r="W7852" s="5"/>
      <c r="X7852" s="5"/>
      <c r="Y7852" s="5"/>
      <c r="Z7852" s="5"/>
    </row>
    <row r="7853" spans="1:26" ht="15" x14ac:dyDescent="0.25">
      <c r="A7853" s="4" t="s">
        <v>7851</v>
      </c>
      <c r="B7853" s="4" t="s">
        <v>4550</v>
      </c>
      <c r="C7853" s="2" t="str">
        <f ca="1">IFERROR(__xludf.DUMMYFUNCTION("GOOGLETRANSLATE(A7853,""bn"",""en"")"),"The World Cup was played in the year of Jana")</f>
        <v>The World Cup was played in the year of Jana</v>
      </c>
      <c r="D7853" s="5"/>
      <c r="E7853" s="5"/>
      <c r="F7853" s="5"/>
      <c r="G7853" s="5"/>
      <c r="H7853" s="5"/>
      <c r="I7853" s="5"/>
      <c r="J7853" s="5"/>
      <c r="K7853" s="5"/>
      <c r="L7853" s="5"/>
      <c r="M7853" s="5"/>
      <c r="N7853" s="5"/>
      <c r="O7853" s="5"/>
      <c r="P7853" s="5"/>
      <c r="Q7853" s="5"/>
      <c r="R7853" s="5"/>
      <c r="S7853" s="5"/>
      <c r="T7853" s="5"/>
      <c r="U7853" s="5"/>
      <c r="V7853" s="5"/>
      <c r="W7853" s="5"/>
      <c r="X7853" s="5"/>
      <c r="Y7853" s="5"/>
      <c r="Z7853" s="5"/>
    </row>
    <row r="7854" spans="1:26" ht="15" x14ac:dyDescent="0.25">
      <c r="A7854" s="4" t="s">
        <v>7852</v>
      </c>
      <c r="B7854" s="4" t="s">
        <v>4550</v>
      </c>
      <c r="C7854" s="2" t="str">
        <f ca="1">IFERROR(__xludf.DUMMYFUNCTION("GOOGLETRANSLATE(A7854,""bn"",""en"")"),"Organized educational conference")</f>
        <v>Organized educational conference</v>
      </c>
      <c r="D7854" s="5"/>
      <c r="E7854" s="5"/>
      <c r="F7854" s="5"/>
      <c r="G7854" s="5"/>
      <c r="H7854" s="5"/>
      <c r="I7854" s="5"/>
      <c r="J7854" s="5"/>
      <c r="K7854" s="5"/>
      <c r="L7854" s="5"/>
      <c r="M7854" s="5"/>
      <c r="N7854" s="5"/>
      <c r="O7854" s="5"/>
      <c r="P7854" s="5"/>
      <c r="Q7854" s="5"/>
      <c r="R7854" s="5"/>
      <c r="S7854" s="5"/>
      <c r="T7854" s="5"/>
      <c r="U7854" s="5"/>
      <c r="V7854" s="5"/>
      <c r="W7854" s="5"/>
      <c r="X7854" s="5"/>
      <c r="Y7854" s="5"/>
      <c r="Z7854" s="5"/>
    </row>
    <row r="7855" spans="1:26" ht="15" x14ac:dyDescent="0.25">
      <c r="A7855" s="4" t="s">
        <v>7853</v>
      </c>
      <c r="B7855" s="4" t="s">
        <v>4550</v>
      </c>
      <c r="C7855" s="2" t="str">
        <f ca="1">IFERROR(__xludf.DUMMYFUNCTION("GOOGLETRANSLATE(A7855,""bn"",""en"")"),"The ministry was completed in the garden")</f>
        <v>The ministry was completed in the garden</v>
      </c>
      <c r="D7855" s="5"/>
      <c r="E7855" s="5"/>
      <c r="F7855" s="5"/>
      <c r="G7855" s="5"/>
      <c r="H7855" s="5"/>
      <c r="I7855" s="5"/>
      <c r="J7855" s="5"/>
      <c r="K7855" s="5"/>
      <c r="L7855" s="5"/>
      <c r="M7855" s="5"/>
      <c r="N7855" s="5"/>
      <c r="O7855" s="5"/>
      <c r="P7855" s="5"/>
      <c r="Q7855" s="5"/>
      <c r="R7855" s="5"/>
      <c r="S7855" s="5"/>
      <c r="T7855" s="5"/>
      <c r="U7855" s="5"/>
      <c r="V7855" s="5"/>
      <c r="W7855" s="5"/>
      <c r="X7855" s="5"/>
      <c r="Y7855" s="5"/>
      <c r="Z7855" s="5"/>
    </row>
    <row r="7856" spans="1:26" ht="15" x14ac:dyDescent="0.25">
      <c r="A7856" s="4" t="s">
        <v>7854</v>
      </c>
      <c r="B7856" s="4" t="s">
        <v>4550</v>
      </c>
      <c r="C7856" s="2" t="str">
        <f ca="1">IFERROR(__xludf.DUMMYFUNCTION("GOOGLETRANSLATE(A7856,""bn"",""en"")"),"He was painting")</f>
        <v>He was painting</v>
      </c>
      <c r="D7856" s="5"/>
      <c r="E7856" s="5"/>
      <c r="F7856" s="5"/>
      <c r="G7856" s="5"/>
      <c r="H7856" s="5"/>
      <c r="I7856" s="5"/>
      <c r="J7856" s="5"/>
      <c r="K7856" s="5"/>
      <c r="L7856" s="5"/>
      <c r="M7856" s="5"/>
      <c r="N7856" s="5"/>
      <c r="O7856" s="5"/>
      <c r="P7856" s="5"/>
      <c r="Q7856" s="5"/>
      <c r="R7856" s="5"/>
      <c r="S7856" s="5"/>
      <c r="T7856" s="5"/>
      <c r="U7856" s="5"/>
      <c r="V7856" s="5"/>
      <c r="W7856" s="5"/>
      <c r="X7856" s="5"/>
      <c r="Y7856" s="5"/>
      <c r="Z7856" s="5"/>
    </row>
    <row r="7857" spans="1:26" ht="15" x14ac:dyDescent="0.25">
      <c r="A7857" s="4" t="s">
        <v>7855</v>
      </c>
      <c r="B7857" s="4" t="s">
        <v>4550</v>
      </c>
      <c r="C7857" s="2" t="str">
        <f ca="1">IFERROR(__xludf.DUMMYFUNCTION("GOOGLETRANSLATE(A7857,""bn"",""en"")"),"I saw the message in the movie hall")</f>
        <v>I saw the message in the movie hall</v>
      </c>
      <c r="D7857" s="5"/>
      <c r="E7857" s="5"/>
      <c r="F7857" s="5"/>
      <c r="G7857" s="5"/>
      <c r="H7857" s="5"/>
      <c r="I7857" s="5"/>
      <c r="J7857" s="5"/>
      <c r="K7857" s="5"/>
      <c r="L7857" s="5"/>
      <c r="M7857" s="5"/>
      <c r="N7857" s="5"/>
      <c r="O7857" s="5"/>
      <c r="P7857" s="5"/>
      <c r="Q7857" s="5"/>
      <c r="R7857" s="5"/>
      <c r="S7857" s="5"/>
      <c r="T7857" s="5"/>
      <c r="U7857" s="5"/>
      <c r="V7857" s="5"/>
      <c r="W7857" s="5"/>
      <c r="X7857" s="5"/>
      <c r="Y7857" s="5"/>
      <c r="Z7857" s="5"/>
    </row>
    <row r="7858" spans="1:26" ht="15" x14ac:dyDescent="0.25">
      <c r="A7858" s="4" t="s">
        <v>7856</v>
      </c>
      <c r="B7858" s="4" t="s">
        <v>4550</v>
      </c>
      <c r="C7858" s="2" t="str">
        <f ca="1">IFERROR(__xludf.DUMMYFUNCTION("GOOGLETRANSLATE(A7858,""bn"",""en"")"),"The Prime Minister resigned on the occasion")</f>
        <v>The Prime Minister resigned on the occasion</v>
      </c>
      <c r="D7858" s="5"/>
      <c r="E7858" s="5"/>
      <c r="F7858" s="5"/>
      <c r="G7858" s="5"/>
      <c r="H7858" s="5"/>
      <c r="I7858" s="5"/>
      <c r="J7858" s="5"/>
      <c r="K7858" s="5"/>
      <c r="L7858" s="5"/>
      <c r="M7858" s="5"/>
      <c r="N7858" s="5"/>
      <c r="O7858" s="5"/>
      <c r="P7858" s="5"/>
      <c r="Q7858" s="5"/>
      <c r="R7858" s="5"/>
      <c r="S7858" s="5"/>
      <c r="T7858" s="5"/>
      <c r="U7858" s="5"/>
      <c r="V7858" s="5"/>
      <c r="W7858" s="5"/>
      <c r="X7858" s="5"/>
      <c r="Y7858" s="5"/>
      <c r="Z7858" s="5"/>
    </row>
    <row r="7859" spans="1:26" ht="15" x14ac:dyDescent="0.25">
      <c r="A7859" s="4" t="s">
        <v>7857</v>
      </c>
      <c r="B7859" s="4" t="s">
        <v>4550</v>
      </c>
      <c r="C7859" s="2" t="str">
        <f ca="1">IFERROR(__xludf.DUMMYFUNCTION("GOOGLETRANSLATE(A7859,""bn"",""en"")"),"Crops were harvested last year")</f>
        <v>Crops were harvested last year</v>
      </c>
      <c r="D7859" s="5"/>
      <c r="E7859" s="5"/>
      <c r="F7859" s="5"/>
      <c r="G7859" s="5"/>
      <c r="H7859" s="5"/>
      <c r="I7859" s="5"/>
      <c r="J7859" s="5"/>
      <c r="K7859" s="5"/>
      <c r="L7859" s="5"/>
      <c r="M7859" s="5"/>
      <c r="N7859" s="5"/>
      <c r="O7859" s="5"/>
      <c r="P7859" s="5"/>
      <c r="Q7859" s="5"/>
      <c r="R7859" s="5"/>
      <c r="S7859" s="5"/>
      <c r="T7859" s="5"/>
      <c r="U7859" s="5"/>
      <c r="V7859" s="5"/>
      <c r="W7859" s="5"/>
      <c r="X7859" s="5"/>
      <c r="Y7859" s="5"/>
      <c r="Z7859" s="5"/>
    </row>
    <row r="7860" spans="1:26" ht="15" x14ac:dyDescent="0.25">
      <c r="A7860" s="4" t="s">
        <v>7858</v>
      </c>
      <c r="B7860" s="4" t="s">
        <v>4550</v>
      </c>
      <c r="C7860" s="2" t="str">
        <f ca="1">IFERROR(__xludf.DUMMYFUNCTION("GOOGLETRANSLATE(A7860,""bn"",""en"")"),"I went to the screening of the new film")</f>
        <v>I went to the screening of the new film</v>
      </c>
      <c r="D7860" s="5"/>
      <c r="E7860" s="5"/>
      <c r="F7860" s="5"/>
      <c r="G7860" s="5"/>
      <c r="H7860" s="5"/>
      <c r="I7860" s="5"/>
      <c r="J7860" s="5"/>
      <c r="K7860" s="5"/>
      <c r="L7860" s="5"/>
      <c r="M7860" s="5"/>
      <c r="N7860" s="5"/>
      <c r="O7860" s="5"/>
      <c r="P7860" s="5"/>
      <c r="Q7860" s="5"/>
      <c r="R7860" s="5"/>
      <c r="S7860" s="5"/>
      <c r="T7860" s="5"/>
      <c r="U7860" s="5"/>
      <c r="V7860" s="5"/>
      <c r="W7860" s="5"/>
      <c r="X7860" s="5"/>
      <c r="Y7860" s="5"/>
      <c r="Z7860" s="5"/>
    </row>
    <row r="7861" spans="1:26" ht="15" x14ac:dyDescent="0.25">
      <c r="A7861" s="4" t="s">
        <v>7859</v>
      </c>
      <c r="B7861" s="4" t="s">
        <v>4550</v>
      </c>
      <c r="C7861" s="2" t="str">
        <f ca="1">IFERROR(__xludf.DUMMYFUNCTION("GOOGLETRANSLATE(A7861,""bn"",""en"")"),"People cultivated brinjal")</f>
        <v>People cultivated brinjal</v>
      </c>
      <c r="D7861" s="5"/>
      <c r="E7861" s="5"/>
      <c r="F7861" s="5"/>
      <c r="G7861" s="5"/>
      <c r="H7861" s="5"/>
      <c r="I7861" s="5"/>
      <c r="J7861" s="5"/>
      <c r="K7861" s="5"/>
      <c r="L7861" s="5"/>
      <c r="M7861" s="5"/>
      <c r="N7861" s="5"/>
      <c r="O7861" s="5"/>
      <c r="P7861" s="5"/>
      <c r="Q7861" s="5"/>
      <c r="R7861" s="5"/>
      <c r="S7861" s="5"/>
      <c r="T7861" s="5"/>
      <c r="U7861" s="5"/>
      <c r="V7861" s="5"/>
      <c r="W7861" s="5"/>
      <c r="X7861" s="5"/>
      <c r="Y7861" s="5"/>
      <c r="Z7861" s="5"/>
    </row>
    <row r="7862" spans="1:26" ht="15" x14ac:dyDescent="0.25">
      <c r="A7862" s="4" t="s">
        <v>7860</v>
      </c>
      <c r="B7862" s="4" t="s">
        <v>4550</v>
      </c>
      <c r="C7862" s="2" t="str">
        <f ca="1">IFERROR(__xludf.DUMMYFUNCTION("GOOGLETRANSLATE(A7862,""bn"",""en"")"),"I went ahead with my programming career")</f>
        <v>I went ahead with my programming career</v>
      </c>
      <c r="D7862" s="5"/>
      <c r="E7862" s="5"/>
      <c r="F7862" s="5"/>
      <c r="G7862" s="5"/>
      <c r="H7862" s="5"/>
      <c r="I7862" s="5"/>
      <c r="J7862" s="5"/>
      <c r="K7862" s="5"/>
      <c r="L7862" s="5"/>
      <c r="M7862" s="5"/>
      <c r="N7862" s="5"/>
      <c r="O7862" s="5"/>
      <c r="P7862" s="5"/>
      <c r="Q7862" s="5"/>
      <c r="R7862" s="5"/>
      <c r="S7862" s="5"/>
      <c r="T7862" s="5"/>
      <c r="U7862" s="5"/>
      <c r="V7862" s="5"/>
      <c r="W7862" s="5"/>
      <c r="X7862" s="5"/>
      <c r="Y7862" s="5"/>
      <c r="Z7862" s="5"/>
    </row>
    <row r="7863" spans="1:26" ht="15" x14ac:dyDescent="0.25">
      <c r="A7863" s="4" t="s">
        <v>7861</v>
      </c>
      <c r="B7863" s="4" t="s">
        <v>4550</v>
      </c>
      <c r="C7863" s="2" t="str">
        <f ca="1">IFERROR(__xludf.DUMMYFUNCTION("GOOGLETRANSLATE(A7863,""bn"",""en"")"),"We listened to new music")</f>
        <v>We listened to new music</v>
      </c>
      <c r="D7863" s="5"/>
      <c r="E7863" s="5"/>
      <c r="F7863" s="5"/>
      <c r="G7863" s="5"/>
      <c r="H7863" s="5"/>
      <c r="I7863" s="5"/>
      <c r="J7863" s="5"/>
      <c r="K7863" s="5"/>
      <c r="L7863" s="5"/>
      <c r="M7863" s="5"/>
      <c r="N7863" s="5"/>
      <c r="O7863" s="5"/>
      <c r="P7863" s="5"/>
      <c r="Q7863" s="5"/>
      <c r="R7863" s="5"/>
      <c r="S7863" s="5"/>
      <c r="T7863" s="5"/>
      <c r="U7863" s="5"/>
      <c r="V7863" s="5"/>
      <c r="W7863" s="5"/>
      <c r="X7863" s="5"/>
      <c r="Y7863" s="5"/>
      <c r="Z7863" s="5"/>
    </row>
    <row r="7864" spans="1:26" ht="15" x14ac:dyDescent="0.25">
      <c r="A7864" s="4" t="s">
        <v>7862</v>
      </c>
      <c r="B7864" s="4" t="s">
        <v>4550</v>
      </c>
      <c r="C7864" s="2" t="str">
        <f ca="1">IFERROR(__xludf.DUMMYFUNCTION("GOOGLETRANSLATE(A7864,""bn"",""en"")"),"The cake was made")</f>
        <v>The cake was made</v>
      </c>
      <c r="D7864" s="5"/>
      <c r="E7864" s="5"/>
      <c r="F7864" s="5"/>
      <c r="G7864" s="5"/>
      <c r="H7864" s="5"/>
      <c r="I7864" s="5"/>
      <c r="J7864" s="5"/>
      <c r="K7864" s="5"/>
      <c r="L7864" s="5"/>
      <c r="M7864" s="5"/>
      <c r="N7864" s="5"/>
      <c r="O7864" s="5"/>
      <c r="P7864" s="5"/>
      <c r="Q7864" s="5"/>
      <c r="R7864" s="5"/>
      <c r="S7864" s="5"/>
      <c r="T7864" s="5"/>
      <c r="U7864" s="5"/>
      <c r="V7864" s="5"/>
      <c r="W7864" s="5"/>
      <c r="X7864" s="5"/>
      <c r="Y7864" s="5"/>
      <c r="Z7864" s="5"/>
    </row>
    <row r="7865" spans="1:26" ht="15" x14ac:dyDescent="0.25">
      <c r="A7865" s="4" t="s">
        <v>7863</v>
      </c>
      <c r="B7865" s="4" t="s">
        <v>4550</v>
      </c>
      <c r="C7865" s="2" t="str">
        <f ca="1">IFERROR(__xludf.DUMMYFUNCTION("GOOGLETRANSLATE(A7865,""bn"",""en"")"),"Fruits were usually invented")</f>
        <v>Fruits were usually invented</v>
      </c>
      <c r="D7865" s="5"/>
      <c r="E7865" s="5"/>
      <c r="F7865" s="5"/>
      <c r="G7865" s="5"/>
      <c r="H7865" s="5"/>
      <c r="I7865" s="5"/>
      <c r="J7865" s="5"/>
      <c r="K7865" s="5"/>
      <c r="L7865" s="5"/>
      <c r="M7865" s="5"/>
      <c r="N7865" s="5"/>
      <c r="O7865" s="5"/>
      <c r="P7865" s="5"/>
      <c r="Q7865" s="5"/>
      <c r="R7865" s="5"/>
      <c r="S7865" s="5"/>
      <c r="T7865" s="5"/>
      <c r="U7865" s="5"/>
      <c r="V7865" s="5"/>
      <c r="W7865" s="5"/>
      <c r="X7865" s="5"/>
      <c r="Y7865" s="5"/>
      <c r="Z7865" s="5"/>
    </row>
    <row r="7866" spans="1:26" ht="15" x14ac:dyDescent="0.25">
      <c r="A7866" s="4" t="s">
        <v>7864</v>
      </c>
      <c r="B7866" s="4" t="s">
        <v>4550</v>
      </c>
      <c r="C7866" s="2" t="str">
        <f ca="1">IFERROR(__xludf.DUMMYFUNCTION("GOOGLETRANSLATE(A7866,""bn"",""en"")"),"Fish farming started")</f>
        <v>Fish farming started</v>
      </c>
      <c r="D7866" s="5"/>
      <c r="E7866" s="5"/>
      <c r="F7866" s="5"/>
      <c r="G7866" s="5"/>
      <c r="H7866" s="5"/>
      <c r="I7866" s="5"/>
      <c r="J7866" s="5"/>
      <c r="K7866" s="5"/>
      <c r="L7866" s="5"/>
      <c r="M7866" s="5"/>
      <c r="N7866" s="5"/>
      <c r="O7866" s="5"/>
      <c r="P7866" s="5"/>
      <c r="Q7866" s="5"/>
      <c r="R7866" s="5"/>
      <c r="S7866" s="5"/>
      <c r="T7866" s="5"/>
      <c r="U7866" s="5"/>
      <c r="V7866" s="5"/>
      <c r="W7866" s="5"/>
      <c r="X7866" s="5"/>
      <c r="Y7866" s="5"/>
      <c r="Z7866" s="5"/>
    </row>
    <row r="7867" spans="1:26" ht="15" x14ac:dyDescent="0.25">
      <c r="A7867" s="4" t="s">
        <v>7865</v>
      </c>
      <c r="B7867" s="4" t="s">
        <v>4550</v>
      </c>
      <c r="C7867" s="2" t="str">
        <f ca="1">IFERROR(__xludf.DUMMYFUNCTION("GOOGLETRANSLATE(A7867,""bn"",""en"")"),"If you rewrite the code")</f>
        <v>If you rewrite the code</v>
      </c>
      <c r="D7867" s="5"/>
      <c r="E7867" s="5"/>
      <c r="F7867" s="5"/>
      <c r="G7867" s="5"/>
      <c r="H7867" s="5"/>
      <c r="I7867" s="5"/>
      <c r="J7867" s="5"/>
      <c r="K7867" s="5"/>
      <c r="L7867" s="5"/>
      <c r="M7867" s="5"/>
      <c r="N7867" s="5"/>
      <c r="O7867" s="5"/>
      <c r="P7867" s="5"/>
      <c r="Q7867" s="5"/>
      <c r="R7867" s="5"/>
      <c r="S7867" s="5"/>
      <c r="T7867" s="5"/>
      <c r="U7867" s="5"/>
      <c r="V7867" s="5"/>
      <c r="W7867" s="5"/>
      <c r="X7867" s="5"/>
      <c r="Y7867" s="5"/>
      <c r="Z7867" s="5"/>
    </row>
    <row r="7868" spans="1:26" ht="15" x14ac:dyDescent="0.25">
      <c r="A7868" s="4" t="s">
        <v>7866</v>
      </c>
      <c r="B7868" s="4" t="s">
        <v>4550</v>
      </c>
      <c r="C7868" s="2" t="str">
        <f ca="1">IFERROR(__xludf.DUMMYFUNCTION("GOOGLETRANSLATE(A7868,""bn"",""en"")"),"I saw the film on television")</f>
        <v>I saw the film on television</v>
      </c>
      <c r="D7868" s="5"/>
      <c r="E7868" s="5"/>
      <c r="F7868" s="5"/>
      <c r="G7868" s="5"/>
      <c r="H7868" s="5"/>
      <c r="I7868" s="5"/>
      <c r="J7868" s="5"/>
      <c r="K7868" s="5"/>
      <c r="L7868" s="5"/>
      <c r="M7868" s="5"/>
      <c r="N7868" s="5"/>
      <c r="O7868" s="5"/>
      <c r="P7868" s="5"/>
      <c r="Q7868" s="5"/>
      <c r="R7868" s="5"/>
      <c r="S7868" s="5"/>
      <c r="T7868" s="5"/>
      <c r="U7868" s="5"/>
      <c r="V7868" s="5"/>
      <c r="W7868" s="5"/>
      <c r="X7868" s="5"/>
      <c r="Y7868" s="5"/>
      <c r="Z7868" s="5"/>
    </row>
    <row r="7869" spans="1:26" ht="15" x14ac:dyDescent="0.25">
      <c r="A7869" s="4" t="s">
        <v>7867</v>
      </c>
      <c r="B7869" s="4" t="s">
        <v>4550</v>
      </c>
      <c r="C7869" s="2" t="str">
        <f ca="1">IFERROR(__xludf.DUMMYFUNCTION("GOOGLETRANSLATE(A7869,""bn"",""en"")"),"There was criticism among politicians")</f>
        <v>There was criticism among politicians</v>
      </c>
      <c r="D7869" s="5"/>
      <c r="E7869" s="5"/>
      <c r="F7869" s="5"/>
      <c r="G7869" s="5"/>
      <c r="H7869" s="5"/>
      <c r="I7869" s="5"/>
      <c r="J7869" s="5"/>
      <c r="K7869" s="5"/>
      <c r="L7869" s="5"/>
      <c r="M7869" s="5"/>
      <c r="N7869" s="5"/>
      <c r="O7869" s="5"/>
      <c r="P7869" s="5"/>
      <c r="Q7869" s="5"/>
      <c r="R7869" s="5"/>
      <c r="S7869" s="5"/>
      <c r="T7869" s="5"/>
      <c r="U7869" s="5"/>
      <c r="V7869" s="5"/>
      <c r="W7869" s="5"/>
      <c r="X7869" s="5"/>
      <c r="Y7869" s="5"/>
      <c r="Z7869" s="5"/>
    </row>
    <row r="7870" spans="1:26" ht="15" x14ac:dyDescent="0.25">
      <c r="A7870" s="4" t="s">
        <v>7868</v>
      </c>
      <c r="B7870" s="4" t="s">
        <v>4550</v>
      </c>
      <c r="C7870" s="2" t="str">
        <f ca="1">IFERROR(__xludf.DUMMYFUNCTION("GOOGLETRANSLATE(A7870,""bn"",""en"")"),"I ate chicken soup in the hospital")</f>
        <v>I ate chicken soup in the hospital</v>
      </c>
      <c r="D7870" s="5"/>
      <c r="E7870" s="5"/>
      <c r="F7870" s="5"/>
      <c r="G7870" s="5"/>
      <c r="H7870" s="5"/>
      <c r="I7870" s="5"/>
      <c r="J7870" s="5"/>
      <c r="K7870" s="5"/>
      <c r="L7870" s="5"/>
      <c r="M7870" s="5"/>
      <c r="N7870" s="5"/>
      <c r="O7870" s="5"/>
      <c r="P7870" s="5"/>
      <c r="Q7870" s="5"/>
      <c r="R7870" s="5"/>
      <c r="S7870" s="5"/>
      <c r="T7870" s="5"/>
      <c r="U7870" s="5"/>
      <c r="V7870" s="5"/>
      <c r="W7870" s="5"/>
      <c r="X7870" s="5"/>
      <c r="Y7870" s="5"/>
      <c r="Z7870" s="5"/>
    </row>
    <row r="7871" spans="1:26" ht="15" x14ac:dyDescent="0.25">
      <c r="A7871" s="4" t="s">
        <v>7869</v>
      </c>
      <c r="B7871" s="4" t="s">
        <v>4550</v>
      </c>
      <c r="C7871" s="2" t="str">
        <f ca="1">IFERROR(__xludf.DUMMYFUNCTION("GOOGLETRANSLATE(A7871,""bn"",""en"")"),"Electricity problem solved")</f>
        <v>Electricity problem solved</v>
      </c>
      <c r="D7871" s="5"/>
      <c r="E7871" s="5"/>
      <c r="F7871" s="5"/>
      <c r="G7871" s="5"/>
      <c r="H7871" s="5"/>
      <c r="I7871" s="5"/>
      <c r="J7871" s="5"/>
      <c r="K7871" s="5"/>
      <c r="L7871" s="5"/>
      <c r="M7871" s="5"/>
      <c r="N7871" s="5"/>
      <c r="O7871" s="5"/>
      <c r="P7871" s="5"/>
      <c r="Q7871" s="5"/>
      <c r="R7871" s="5"/>
      <c r="S7871" s="5"/>
      <c r="T7871" s="5"/>
      <c r="U7871" s="5"/>
      <c r="V7871" s="5"/>
      <c r="W7871" s="5"/>
      <c r="X7871" s="5"/>
      <c r="Y7871" s="5"/>
      <c r="Z7871" s="5"/>
    </row>
    <row r="7872" spans="1:26" ht="15" x14ac:dyDescent="0.25">
      <c r="A7872" s="4" t="s">
        <v>7870</v>
      </c>
      <c r="B7872" s="4" t="s">
        <v>4550</v>
      </c>
      <c r="C7872" s="2" t="str">
        <f ca="1">IFERROR(__xludf.DUMMYFUNCTION("GOOGLETRANSLATE(A7872,""bn"",""en"")"),"Got a tablet to read")</f>
        <v>Got a tablet to read</v>
      </c>
      <c r="D7872" s="5"/>
      <c r="E7872" s="5"/>
      <c r="F7872" s="5"/>
      <c r="G7872" s="5"/>
      <c r="H7872" s="5"/>
      <c r="I7872" s="5"/>
      <c r="J7872" s="5"/>
      <c r="K7872" s="5"/>
      <c r="L7872" s="5"/>
      <c r="M7872" s="5"/>
      <c r="N7872" s="5"/>
      <c r="O7872" s="5"/>
      <c r="P7872" s="5"/>
      <c r="Q7872" s="5"/>
      <c r="R7872" s="5"/>
      <c r="S7872" s="5"/>
      <c r="T7872" s="5"/>
      <c r="U7872" s="5"/>
      <c r="V7872" s="5"/>
      <c r="W7872" s="5"/>
      <c r="X7872" s="5"/>
      <c r="Y7872" s="5"/>
      <c r="Z7872" s="5"/>
    </row>
    <row r="7873" spans="1:26" ht="15" x14ac:dyDescent="0.25">
      <c r="A7873" s="4" t="s">
        <v>7871</v>
      </c>
      <c r="B7873" s="4" t="s">
        <v>4550</v>
      </c>
      <c r="C7873" s="2" t="str">
        <f ca="1">IFERROR(__xludf.DUMMYFUNCTION("GOOGLETRANSLATE(A7873,""bn"",""en"")"),"All the girls made pita")</f>
        <v>All the girls made pita</v>
      </c>
      <c r="D7873" s="5"/>
      <c r="E7873" s="5"/>
      <c r="F7873" s="5"/>
      <c r="G7873" s="5"/>
      <c r="H7873" s="5"/>
      <c r="I7873" s="5"/>
      <c r="J7873" s="5"/>
      <c r="K7873" s="5"/>
      <c r="L7873" s="5"/>
      <c r="M7873" s="5"/>
      <c r="N7873" s="5"/>
      <c r="O7873" s="5"/>
      <c r="P7873" s="5"/>
      <c r="Q7873" s="5"/>
      <c r="R7873" s="5"/>
      <c r="S7873" s="5"/>
      <c r="T7873" s="5"/>
      <c r="U7873" s="5"/>
      <c r="V7873" s="5"/>
      <c r="W7873" s="5"/>
      <c r="X7873" s="5"/>
      <c r="Y7873" s="5"/>
      <c r="Z7873" s="5"/>
    </row>
    <row r="7874" spans="1:26" ht="15" x14ac:dyDescent="0.25">
      <c r="A7874" s="4" t="s">
        <v>7872</v>
      </c>
      <c r="B7874" s="4" t="s">
        <v>4550</v>
      </c>
      <c r="C7874" s="2" t="str">
        <f ca="1">IFERROR(__xludf.DUMMYFUNCTION("GOOGLETRANSLATE(A7874,""bn"",""en"")"),"He believed in cinema")</f>
        <v>He believed in cinema</v>
      </c>
      <c r="D7874" s="5"/>
      <c r="E7874" s="5"/>
      <c r="F7874" s="5"/>
      <c r="G7874" s="5"/>
      <c r="H7874" s="5"/>
      <c r="I7874" s="5"/>
      <c r="J7874" s="5"/>
      <c r="K7874" s="5"/>
      <c r="L7874" s="5"/>
      <c r="M7874" s="5"/>
      <c r="N7874" s="5"/>
      <c r="O7874" s="5"/>
      <c r="P7874" s="5"/>
      <c r="Q7874" s="5"/>
      <c r="R7874" s="5"/>
      <c r="S7874" s="5"/>
      <c r="T7874" s="5"/>
      <c r="U7874" s="5"/>
      <c r="V7874" s="5"/>
      <c r="W7874" s="5"/>
      <c r="X7874" s="5"/>
      <c r="Y7874" s="5"/>
      <c r="Z7874" s="5"/>
    </row>
    <row r="7875" spans="1:26" ht="15" x14ac:dyDescent="0.25">
      <c r="A7875" s="4" t="s">
        <v>7873</v>
      </c>
      <c r="B7875" s="4" t="s">
        <v>4550</v>
      </c>
      <c r="C7875" s="2" t="str">
        <f ca="1">IFERROR(__xludf.DUMMYFUNCTION("GOOGLETRANSLATE(A7875,""bn"",""en"")"),"I was frying eggs then")</f>
        <v>I was frying eggs then</v>
      </c>
      <c r="D7875" s="5"/>
      <c r="E7875" s="5"/>
      <c r="F7875" s="5"/>
      <c r="G7875" s="5"/>
      <c r="H7875" s="5"/>
      <c r="I7875" s="5"/>
      <c r="J7875" s="5"/>
      <c r="K7875" s="5"/>
      <c r="L7875" s="5"/>
      <c r="M7875" s="5"/>
      <c r="N7875" s="5"/>
      <c r="O7875" s="5"/>
      <c r="P7875" s="5"/>
      <c r="Q7875" s="5"/>
      <c r="R7875" s="5"/>
      <c r="S7875" s="5"/>
      <c r="T7875" s="5"/>
      <c r="U7875" s="5"/>
      <c r="V7875" s="5"/>
      <c r="W7875" s="5"/>
      <c r="X7875" s="5"/>
      <c r="Y7875" s="5"/>
      <c r="Z7875" s="5"/>
    </row>
    <row r="7876" spans="1:26" ht="15" x14ac:dyDescent="0.25">
      <c r="A7876" s="4" t="s">
        <v>7874</v>
      </c>
      <c r="B7876" s="4" t="s">
        <v>4550</v>
      </c>
      <c r="C7876" s="2" t="str">
        <f ca="1">IFERROR(__xludf.DUMMYFUNCTION("GOOGLETRANSLATE(A7876,""bn"",""en"")"),"Astronauts traveled through the sky")</f>
        <v>Astronauts traveled through the sky</v>
      </c>
      <c r="D7876" s="5"/>
      <c r="E7876" s="5"/>
      <c r="F7876" s="5"/>
      <c r="G7876" s="5"/>
      <c r="H7876" s="5"/>
      <c r="I7876" s="5"/>
      <c r="J7876" s="5"/>
      <c r="K7876" s="5"/>
      <c r="L7876" s="5"/>
      <c r="M7876" s="5"/>
      <c r="N7876" s="5"/>
      <c r="O7876" s="5"/>
      <c r="P7876" s="5"/>
      <c r="Q7876" s="5"/>
      <c r="R7876" s="5"/>
      <c r="S7876" s="5"/>
      <c r="T7876" s="5"/>
      <c r="U7876" s="5"/>
      <c r="V7876" s="5"/>
      <c r="W7876" s="5"/>
      <c r="X7876" s="5"/>
      <c r="Y7876" s="5"/>
      <c r="Z7876" s="5"/>
    </row>
    <row r="7877" spans="1:26" ht="15" x14ac:dyDescent="0.25">
      <c r="A7877" s="4" t="s">
        <v>7875</v>
      </c>
      <c r="B7877" s="4" t="s">
        <v>4550</v>
      </c>
      <c r="C7877" s="2" t="str">
        <f ca="1">IFERROR(__xludf.DUMMYFUNCTION("GOOGLETRANSLATE(A7877,""bn"",""en"")"),"Investments improved with aid")</f>
        <v>Investments improved with aid</v>
      </c>
      <c r="D7877" s="5"/>
      <c r="E7877" s="5"/>
      <c r="F7877" s="5"/>
      <c r="G7877" s="5"/>
      <c r="H7877" s="5"/>
      <c r="I7877" s="5"/>
      <c r="J7877" s="5"/>
      <c r="K7877" s="5"/>
      <c r="L7877" s="5"/>
      <c r="M7877" s="5"/>
      <c r="N7877" s="5"/>
      <c r="O7877" s="5"/>
      <c r="P7877" s="5"/>
      <c r="Q7877" s="5"/>
      <c r="R7877" s="5"/>
      <c r="S7877" s="5"/>
      <c r="T7877" s="5"/>
      <c r="U7877" s="5"/>
      <c r="V7877" s="5"/>
      <c r="W7877" s="5"/>
      <c r="X7877" s="5"/>
      <c r="Y7877" s="5"/>
      <c r="Z7877" s="5"/>
    </row>
    <row r="7878" spans="1:26" ht="15" x14ac:dyDescent="0.25">
      <c r="A7878" s="4" t="s">
        <v>7876</v>
      </c>
      <c r="B7878" s="4" t="s">
        <v>4550</v>
      </c>
      <c r="C7878" s="2" t="str">
        <f ca="1">IFERROR(__xludf.DUMMYFUNCTION("GOOGLETRANSLATE(A7878,""bn"",""en"")"),"The MP was elected in the meeting")</f>
        <v>The MP was elected in the meeting</v>
      </c>
      <c r="D7878" s="5"/>
      <c r="E7878" s="5"/>
      <c r="F7878" s="5"/>
      <c r="G7878" s="5"/>
      <c r="H7878" s="5"/>
      <c r="I7878" s="5"/>
      <c r="J7878" s="5"/>
      <c r="K7878" s="5"/>
      <c r="L7878" s="5"/>
      <c r="M7878" s="5"/>
      <c r="N7878" s="5"/>
      <c r="O7878" s="5"/>
      <c r="P7878" s="5"/>
      <c r="Q7878" s="5"/>
      <c r="R7878" s="5"/>
      <c r="S7878" s="5"/>
      <c r="T7878" s="5"/>
      <c r="U7878" s="5"/>
      <c r="V7878" s="5"/>
      <c r="W7878" s="5"/>
      <c r="X7878" s="5"/>
      <c r="Y7878" s="5"/>
      <c r="Z7878" s="5"/>
    </row>
    <row r="7879" spans="1:26" ht="15" x14ac:dyDescent="0.25">
      <c r="A7879" s="4" t="s">
        <v>7877</v>
      </c>
      <c r="B7879" s="4" t="s">
        <v>4550</v>
      </c>
      <c r="C7879" s="2" t="str">
        <f ca="1">IFERROR(__xludf.DUMMYFUNCTION("GOOGLETRANSLATE(A7879,""bn"",""en"")"),"He was playing with a strong inner self")</f>
        <v>He was playing with a strong inner self</v>
      </c>
      <c r="D7879" s="5"/>
      <c r="E7879" s="5"/>
      <c r="F7879" s="5"/>
      <c r="G7879" s="5"/>
      <c r="H7879" s="5"/>
      <c r="I7879" s="5"/>
      <c r="J7879" s="5"/>
      <c r="K7879" s="5"/>
      <c r="L7879" s="5"/>
      <c r="M7879" s="5"/>
      <c r="N7879" s="5"/>
      <c r="O7879" s="5"/>
      <c r="P7879" s="5"/>
      <c r="Q7879" s="5"/>
      <c r="R7879" s="5"/>
      <c r="S7879" s="5"/>
      <c r="T7879" s="5"/>
      <c r="U7879" s="5"/>
      <c r="V7879" s="5"/>
      <c r="W7879" s="5"/>
      <c r="X7879" s="5"/>
      <c r="Y7879" s="5"/>
      <c r="Z7879" s="5"/>
    </row>
    <row r="7880" spans="1:26" ht="15" x14ac:dyDescent="0.25">
      <c r="A7880" s="4" t="s">
        <v>7878</v>
      </c>
      <c r="B7880" s="4" t="s">
        <v>4550</v>
      </c>
      <c r="C7880" s="2" t="str">
        <f ca="1">IFERROR(__xludf.DUMMYFUNCTION("GOOGLETRANSLATE(A7880,""bn"",""en"")"),"I went to the park last week")</f>
        <v>I went to the park last week</v>
      </c>
      <c r="D7880" s="5"/>
      <c r="E7880" s="5"/>
      <c r="F7880" s="5"/>
      <c r="G7880" s="5"/>
      <c r="H7880" s="5"/>
      <c r="I7880" s="5"/>
      <c r="J7880" s="5"/>
      <c r="K7880" s="5"/>
      <c r="L7880" s="5"/>
      <c r="M7880" s="5"/>
      <c r="N7880" s="5"/>
      <c r="O7880" s="5"/>
      <c r="P7880" s="5"/>
      <c r="Q7880" s="5"/>
      <c r="R7880" s="5"/>
      <c r="S7880" s="5"/>
      <c r="T7880" s="5"/>
      <c r="U7880" s="5"/>
      <c r="V7880" s="5"/>
      <c r="W7880" s="5"/>
      <c r="X7880" s="5"/>
      <c r="Y7880" s="5"/>
      <c r="Z7880" s="5"/>
    </row>
    <row r="7881" spans="1:26" ht="15" x14ac:dyDescent="0.25">
      <c r="A7881" s="4" t="s">
        <v>7879</v>
      </c>
      <c r="B7881" s="4" t="s">
        <v>4550</v>
      </c>
      <c r="C7881" s="2" t="str">
        <f ca="1">IFERROR(__xludf.DUMMYFUNCTION("GOOGLETRANSLATE(A7881,""bn"",""en"")"),"They saw new images")</f>
        <v>They saw new images</v>
      </c>
      <c r="D7881" s="5"/>
      <c r="E7881" s="5"/>
      <c r="F7881" s="5"/>
      <c r="G7881" s="5"/>
      <c r="H7881" s="5"/>
      <c r="I7881" s="5"/>
      <c r="J7881" s="5"/>
      <c r="K7881" s="5"/>
      <c r="L7881" s="5"/>
      <c r="M7881" s="5"/>
      <c r="N7881" s="5"/>
      <c r="O7881" s="5"/>
      <c r="P7881" s="5"/>
      <c r="Q7881" s="5"/>
      <c r="R7881" s="5"/>
      <c r="S7881" s="5"/>
      <c r="T7881" s="5"/>
      <c r="U7881" s="5"/>
      <c r="V7881" s="5"/>
      <c r="W7881" s="5"/>
      <c r="X7881" s="5"/>
      <c r="Y7881" s="5"/>
      <c r="Z7881" s="5"/>
    </row>
    <row r="7882" spans="1:26" ht="15" x14ac:dyDescent="0.25">
      <c r="A7882" s="4" t="s">
        <v>7880</v>
      </c>
      <c r="B7882" s="4" t="s">
        <v>4550</v>
      </c>
      <c r="C7882" s="2" t="str">
        <f ca="1">IFERROR(__xludf.DUMMYFUNCTION("GOOGLETRANSLATE(A7882,""bn"",""en"")"),"The state leader announced")</f>
        <v>The state leader announced</v>
      </c>
      <c r="D7882" s="5"/>
      <c r="E7882" s="5"/>
      <c r="F7882" s="5"/>
      <c r="G7882" s="5"/>
      <c r="H7882" s="5"/>
      <c r="I7882" s="5"/>
      <c r="J7882" s="5"/>
      <c r="K7882" s="5"/>
      <c r="L7882" s="5"/>
      <c r="M7882" s="5"/>
      <c r="N7882" s="5"/>
      <c r="O7882" s="5"/>
      <c r="P7882" s="5"/>
      <c r="Q7882" s="5"/>
      <c r="R7882" s="5"/>
      <c r="S7882" s="5"/>
      <c r="T7882" s="5"/>
      <c r="U7882" s="5"/>
      <c r="V7882" s="5"/>
      <c r="W7882" s="5"/>
      <c r="X7882" s="5"/>
      <c r="Y7882" s="5"/>
      <c r="Z7882" s="5"/>
    </row>
    <row r="7883" spans="1:26" ht="15" x14ac:dyDescent="0.25">
      <c r="A7883" s="4" t="s">
        <v>7881</v>
      </c>
      <c r="B7883" s="4" t="s">
        <v>4550</v>
      </c>
      <c r="C7883" s="2" t="str">
        <f ca="1">IFERROR(__xludf.DUMMYFUNCTION("GOOGLETRANSLATE(A7883,""bn"",""en"")"),"I cook at home")</f>
        <v>I cook at home</v>
      </c>
      <c r="D7883" s="5"/>
      <c r="E7883" s="5"/>
      <c r="F7883" s="5"/>
      <c r="G7883" s="5"/>
      <c r="H7883" s="5"/>
      <c r="I7883" s="5"/>
      <c r="J7883" s="5"/>
      <c r="K7883" s="5"/>
      <c r="L7883" s="5"/>
      <c r="M7883" s="5"/>
      <c r="N7883" s="5"/>
      <c r="O7883" s="5"/>
      <c r="P7883" s="5"/>
      <c r="Q7883" s="5"/>
      <c r="R7883" s="5"/>
      <c r="S7883" s="5"/>
      <c r="T7883" s="5"/>
      <c r="U7883" s="5"/>
      <c r="V7883" s="5"/>
      <c r="W7883" s="5"/>
      <c r="X7883" s="5"/>
      <c r="Y7883" s="5"/>
      <c r="Z7883" s="5"/>
    </row>
    <row r="7884" spans="1:26" ht="15" x14ac:dyDescent="0.25">
      <c r="A7884" s="4" t="s">
        <v>7882</v>
      </c>
      <c r="B7884" s="4" t="s">
        <v>4550</v>
      </c>
      <c r="C7884" s="2" t="str">
        <f ca="1">IFERROR(__xludf.DUMMYFUNCTION("GOOGLETRANSLATE(A7884,""bn"",""en"")"),"I used to test the network")</f>
        <v>I used to test the network</v>
      </c>
      <c r="D7884" s="5"/>
      <c r="E7884" s="5"/>
      <c r="F7884" s="5"/>
      <c r="G7884" s="5"/>
      <c r="H7884" s="5"/>
      <c r="I7884" s="5"/>
      <c r="J7884" s="5"/>
      <c r="K7884" s="5"/>
      <c r="L7884" s="5"/>
      <c r="M7884" s="5"/>
      <c r="N7884" s="5"/>
      <c r="O7884" s="5"/>
      <c r="P7884" s="5"/>
      <c r="Q7884" s="5"/>
      <c r="R7884" s="5"/>
      <c r="S7884" s="5"/>
      <c r="T7884" s="5"/>
      <c r="U7884" s="5"/>
      <c r="V7884" s="5"/>
      <c r="W7884" s="5"/>
      <c r="X7884" s="5"/>
      <c r="Y7884" s="5"/>
      <c r="Z7884" s="5"/>
    </row>
    <row r="7885" spans="1:26" ht="15" x14ac:dyDescent="0.25">
      <c r="A7885" s="4" t="s">
        <v>7883</v>
      </c>
      <c r="B7885" s="4" t="s">
        <v>4550</v>
      </c>
      <c r="C7885" s="2" t="str">
        <f ca="1">IFERROR(__xludf.DUMMYFUNCTION("GOOGLETRANSLATE(A7885,""bn"",""en"")"),"The MP went back home")</f>
        <v>The MP went back home</v>
      </c>
      <c r="D7885" s="5"/>
      <c r="E7885" s="5"/>
      <c r="F7885" s="5"/>
      <c r="G7885" s="5"/>
      <c r="H7885" s="5"/>
      <c r="I7885" s="5"/>
      <c r="J7885" s="5"/>
      <c r="K7885" s="5"/>
      <c r="L7885" s="5"/>
      <c r="M7885" s="5"/>
      <c r="N7885" s="5"/>
      <c r="O7885" s="5"/>
      <c r="P7885" s="5"/>
      <c r="Q7885" s="5"/>
      <c r="R7885" s="5"/>
      <c r="S7885" s="5"/>
      <c r="T7885" s="5"/>
      <c r="U7885" s="5"/>
      <c r="V7885" s="5"/>
      <c r="W7885" s="5"/>
      <c r="X7885" s="5"/>
      <c r="Y7885" s="5"/>
      <c r="Z7885" s="5"/>
    </row>
    <row r="7886" spans="1:26" ht="15" x14ac:dyDescent="0.25">
      <c r="A7886" s="4" t="s">
        <v>7884</v>
      </c>
      <c r="B7886" s="4" t="s">
        <v>4550</v>
      </c>
      <c r="C7886" s="2" t="str">
        <f ca="1">IFERROR(__xludf.DUMMYFUNCTION("GOOGLETRANSLATE(A7886,""bn"",""en"")"),"Justice participated in the election")</f>
        <v>Justice participated in the election</v>
      </c>
      <c r="D7886" s="5"/>
      <c r="E7886" s="5"/>
      <c r="F7886" s="5"/>
      <c r="G7886" s="5"/>
      <c r="H7886" s="5"/>
      <c r="I7886" s="5"/>
      <c r="J7886" s="5"/>
      <c r="K7886" s="5"/>
      <c r="L7886" s="5"/>
      <c r="M7886" s="5"/>
      <c r="N7886" s="5"/>
      <c r="O7886" s="5"/>
      <c r="P7886" s="5"/>
      <c r="Q7886" s="5"/>
      <c r="R7886" s="5"/>
      <c r="S7886" s="5"/>
      <c r="T7886" s="5"/>
      <c r="U7886" s="5"/>
      <c r="V7886" s="5"/>
      <c r="W7886" s="5"/>
      <c r="X7886" s="5"/>
      <c r="Y7886" s="5"/>
      <c r="Z7886" s="5"/>
    </row>
    <row r="7887" spans="1:26" ht="15" x14ac:dyDescent="0.25">
      <c r="A7887" s="4" t="s">
        <v>7885</v>
      </c>
      <c r="B7887" s="4" t="s">
        <v>4550</v>
      </c>
      <c r="C7887" s="2" t="str">
        <f ca="1">IFERROR(__xludf.DUMMYFUNCTION("GOOGLETRANSLATE(A7887,""bn"",""en"")"),"Showed a lot of patience")</f>
        <v>Showed a lot of patience</v>
      </c>
      <c r="D7887" s="5"/>
      <c r="E7887" s="5"/>
      <c r="F7887" s="5"/>
      <c r="G7887" s="5"/>
      <c r="H7887" s="5"/>
      <c r="I7887" s="5"/>
      <c r="J7887" s="5"/>
      <c r="K7887" s="5"/>
      <c r="L7887" s="5"/>
      <c r="M7887" s="5"/>
      <c r="N7887" s="5"/>
      <c r="O7887" s="5"/>
      <c r="P7887" s="5"/>
      <c r="Q7887" s="5"/>
      <c r="R7887" s="5"/>
      <c r="S7887" s="5"/>
      <c r="T7887" s="5"/>
      <c r="U7887" s="5"/>
      <c r="V7887" s="5"/>
      <c r="W7887" s="5"/>
      <c r="X7887" s="5"/>
      <c r="Y7887" s="5"/>
      <c r="Z7887" s="5"/>
    </row>
    <row r="7888" spans="1:26" ht="15" x14ac:dyDescent="0.25">
      <c r="A7888" s="4" t="s">
        <v>7886</v>
      </c>
      <c r="B7888" s="4" t="s">
        <v>4550</v>
      </c>
      <c r="C7888" s="2" t="str">
        <f ca="1">IFERROR(__xludf.DUMMYFUNCTION("GOOGLETRANSLATE(A7888,""bn"",""en"")"),"Paddy soil had to be woven")</f>
        <v>Paddy soil had to be woven</v>
      </c>
      <c r="D7888" s="5"/>
      <c r="E7888" s="5"/>
      <c r="F7888" s="5"/>
      <c r="G7888" s="5"/>
      <c r="H7888" s="5"/>
      <c r="I7888" s="5"/>
      <c r="J7888" s="5"/>
      <c r="K7888" s="5"/>
      <c r="L7888" s="5"/>
      <c r="M7888" s="5"/>
      <c r="N7888" s="5"/>
      <c r="O7888" s="5"/>
      <c r="P7888" s="5"/>
      <c r="Q7888" s="5"/>
      <c r="R7888" s="5"/>
      <c r="S7888" s="5"/>
      <c r="T7888" s="5"/>
      <c r="U7888" s="5"/>
      <c r="V7888" s="5"/>
      <c r="W7888" s="5"/>
      <c r="X7888" s="5"/>
      <c r="Y7888" s="5"/>
      <c r="Z7888" s="5"/>
    </row>
    <row r="7889" spans="1:26" ht="15" x14ac:dyDescent="0.25">
      <c r="A7889" s="4" t="s">
        <v>7887</v>
      </c>
      <c r="B7889" s="4" t="s">
        <v>4550</v>
      </c>
      <c r="C7889" s="2" t="str">
        <f ca="1">IFERROR(__xludf.DUMMYFUNCTION("GOOGLETRANSLATE(A7889,""bn"",""en"")"),"Bought flowers for me")</f>
        <v>Bought flowers for me</v>
      </c>
      <c r="D7889" s="5"/>
      <c r="E7889" s="5"/>
      <c r="F7889" s="5"/>
      <c r="G7889" s="5"/>
      <c r="H7889" s="5"/>
      <c r="I7889" s="5"/>
      <c r="J7889" s="5"/>
      <c r="K7889" s="5"/>
      <c r="L7889" s="5"/>
      <c r="M7889" s="5"/>
      <c r="N7889" s="5"/>
      <c r="O7889" s="5"/>
      <c r="P7889" s="5"/>
      <c r="Q7889" s="5"/>
      <c r="R7889" s="5"/>
      <c r="S7889" s="5"/>
      <c r="T7889" s="5"/>
      <c r="U7889" s="5"/>
      <c r="V7889" s="5"/>
      <c r="W7889" s="5"/>
      <c r="X7889" s="5"/>
      <c r="Y7889" s="5"/>
      <c r="Z7889" s="5"/>
    </row>
    <row r="7890" spans="1:26" ht="15" x14ac:dyDescent="0.25">
      <c r="A7890" s="4" t="s">
        <v>7888</v>
      </c>
      <c r="B7890" s="4" t="s">
        <v>4550</v>
      </c>
      <c r="C7890" s="2" t="str">
        <f ca="1">IFERROR(__xludf.DUMMYFUNCTION("GOOGLETRANSLATE(A7890,""bn"",""en"")"),"I bought chaomin from the market")</f>
        <v>I bought chaomin from the market</v>
      </c>
      <c r="D7890" s="5"/>
      <c r="E7890" s="5"/>
      <c r="F7890" s="5"/>
      <c r="G7890" s="5"/>
      <c r="H7890" s="5"/>
      <c r="I7890" s="5"/>
      <c r="J7890" s="5"/>
      <c r="K7890" s="5"/>
      <c r="L7890" s="5"/>
      <c r="M7890" s="5"/>
      <c r="N7890" s="5"/>
      <c r="O7890" s="5"/>
      <c r="P7890" s="5"/>
      <c r="Q7890" s="5"/>
      <c r="R7890" s="5"/>
      <c r="S7890" s="5"/>
      <c r="T7890" s="5"/>
      <c r="U7890" s="5"/>
      <c r="V7890" s="5"/>
      <c r="W7890" s="5"/>
      <c r="X7890" s="5"/>
      <c r="Y7890" s="5"/>
      <c r="Z7890" s="5"/>
    </row>
    <row r="7891" spans="1:26" ht="15" x14ac:dyDescent="0.25">
      <c r="A7891" s="4" t="s">
        <v>7889</v>
      </c>
      <c r="B7891" s="4" t="s">
        <v>4550</v>
      </c>
      <c r="C7891" s="2" t="str">
        <f ca="1">IFERROR(__xludf.DUMMYFUNCTION("GOOGLETRANSLATE(A7891,""bn"",""en"")"),"I was watching the movie with my friends")</f>
        <v>I was watching the movie with my friends</v>
      </c>
      <c r="D7891" s="5"/>
      <c r="E7891" s="5"/>
      <c r="F7891" s="5"/>
      <c r="G7891" s="5"/>
      <c r="H7891" s="5"/>
      <c r="I7891" s="5"/>
      <c r="J7891" s="5"/>
      <c r="K7891" s="5"/>
      <c r="L7891" s="5"/>
      <c r="M7891" s="5"/>
      <c r="N7891" s="5"/>
      <c r="O7891" s="5"/>
      <c r="P7891" s="5"/>
      <c r="Q7891" s="5"/>
      <c r="R7891" s="5"/>
      <c r="S7891" s="5"/>
      <c r="T7891" s="5"/>
      <c r="U7891" s="5"/>
      <c r="V7891" s="5"/>
      <c r="W7891" s="5"/>
      <c r="X7891" s="5"/>
      <c r="Y7891" s="5"/>
      <c r="Z7891" s="5"/>
    </row>
    <row r="7892" spans="1:26" ht="15" x14ac:dyDescent="0.25">
      <c r="A7892" s="4" t="s">
        <v>7890</v>
      </c>
      <c r="B7892" s="4" t="s">
        <v>4550</v>
      </c>
      <c r="C7892" s="2" t="str">
        <f ca="1">IFERROR(__xludf.DUMMYFUNCTION("GOOGLETRANSLATE(A7892,""bn"",""en"")"),"Conventional rice was planted")</f>
        <v>Conventional rice was planted</v>
      </c>
      <c r="D7892" s="5"/>
      <c r="E7892" s="5"/>
      <c r="F7892" s="5"/>
      <c r="G7892" s="5"/>
      <c r="H7892" s="5"/>
      <c r="I7892" s="5"/>
      <c r="J7892" s="5"/>
      <c r="K7892" s="5"/>
      <c r="L7892" s="5"/>
      <c r="M7892" s="5"/>
      <c r="N7892" s="5"/>
      <c r="O7892" s="5"/>
      <c r="P7892" s="5"/>
      <c r="Q7892" s="5"/>
      <c r="R7892" s="5"/>
      <c r="S7892" s="5"/>
      <c r="T7892" s="5"/>
      <c r="U7892" s="5"/>
      <c r="V7892" s="5"/>
      <c r="W7892" s="5"/>
      <c r="X7892" s="5"/>
      <c r="Y7892" s="5"/>
      <c r="Z7892" s="5"/>
    </row>
    <row r="7893" spans="1:26" ht="15" x14ac:dyDescent="0.25">
      <c r="A7893" s="4" t="s">
        <v>7891</v>
      </c>
      <c r="B7893" s="4" t="s">
        <v>4550</v>
      </c>
      <c r="C7893" s="2" t="str">
        <f ca="1">IFERROR(__xludf.DUMMYFUNCTION("GOOGLETRANSLATE(A7893,""bn"",""en"")"),"They lost the game easily")</f>
        <v>They lost the game easily</v>
      </c>
      <c r="D7893" s="5"/>
      <c r="E7893" s="5"/>
      <c r="F7893" s="5"/>
      <c r="G7893" s="5"/>
      <c r="H7893" s="5"/>
      <c r="I7893" s="5"/>
      <c r="J7893" s="5"/>
      <c r="K7893" s="5"/>
      <c r="L7893" s="5"/>
      <c r="M7893" s="5"/>
      <c r="N7893" s="5"/>
      <c r="O7893" s="5"/>
      <c r="P7893" s="5"/>
      <c r="Q7893" s="5"/>
      <c r="R7893" s="5"/>
      <c r="S7893" s="5"/>
      <c r="T7893" s="5"/>
      <c r="U7893" s="5"/>
      <c r="V7893" s="5"/>
      <c r="W7893" s="5"/>
      <c r="X7893" s="5"/>
      <c r="Y7893" s="5"/>
      <c r="Z7893" s="5"/>
    </row>
    <row r="7894" spans="1:26" ht="15" x14ac:dyDescent="0.25">
      <c r="A7894" s="4" t="s">
        <v>7892</v>
      </c>
      <c r="B7894" s="4" t="s">
        <v>4550</v>
      </c>
      <c r="C7894" s="2" t="str">
        <f ca="1">IFERROR(__xludf.DUMMYFUNCTION("GOOGLETRANSLATE(A7894,""bn"",""en"")"),"The students were staying in the college hostel")</f>
        <v>The students were staying in the college hostel</v>
      </c>
      <c r="D7894" s="5"/>
      <c r="E7894" s="5"/>
      <c r="F7894" s="5"/>
      <c r="G7894" s="5"/>
      <c r="H7894" s="5"/>
      <c r="I7894" s="5"/>
      <c r="J7894" s="5"/>
      <c r="K7894" s="5"/>
      <c r="L7894" s="5"/>
      <c r="M7894" s="5"/>
      <c r="N7894" s="5"/>
      <c r="O7894" s="5"/>
      <c r="P7894" s="5"/>
      <c r="Q7894" s="5"/>
      <c r="R7894" s="5"/>
      <c r="S7894" s="5"/>
      <c r="T7894" s="5"/>
      <c r="U7894" s="5"/>
      <c r="V7894" s="5"/>
      <c r="W7894" s="5"/>
      <c r="X7894" s="5"/>
      <c r="Y7894" s="5"/>
      <c r="Z7894" s="5"/>
    </row>
    <row r="7895" spans="1:26" ht="15" x14ac:dyDescent="0.25">
      <c r="A7895" s="4" t="s">
        <v>7893</v>
      </c>
      <c r="B7895" s="4" t="s">
        <v>4550</v>
      </c>
      <c r="C7895" s="2" t="str">
        <f ca="1">IFERROR(__xludf.DUMMYFUNCTION("GOOGLETRANSLATE(A7895,""bn"",""en"")"),"He had been learning technology for years")</f>
        <v>He had been learning technology for years</v>
      </c>
      <c r="D7895" s="5"/>
      <c r="E7895" s="5"/>
      <c r="F7895" s="5"/>
      <c r="G7895" s="5"/>
      <c r="H7895" s="5"/>
      <c r="I7895" s="5"/>
      <c r="J7895" s="5"/>
      <c r="K7895" s="5"/>
      <c r="L7895" s="5"/>
      <c r="M7895" s="5"/>
      <c r="N7895" s="5"/>
      <c r="O7895" s="5"/>
      <c r="P7895" s="5"/>
      <c r="Q7895" s="5"/>
      <c r="R7895" s="5"/>
      <c r="S7895" s="5"/>
      <c r="T7895" s="5"/>
      <c r="U7895" s="5"/>
      <c r="V7895" s="5"/>
      <c r="W7895" s="5"/>
      <c r="X7895" s="5"/>
      <c r="Y7895" s="5"/>
      <c r="Z7895" s="5"/>
    </row>
    <row r="7896" spans="1:26" ht="15" x14ac:dyDescent="0.25">
      <c r="A7896" s="4" t="s">
        <v>7894</v>
      </c>
      <c r="B7896" s="4" t="s">
        <v>4550</v>
      </c>
      <c r="C7896" s="2" t="str">
        <f ca="1">IFERROR(__xludf.DUMMYFUNCTION("GOOGLETRANSLATE(A7896,""bn"",""en"")"),"We watched the movie on Saturday")</f>
        <v>We watched the movie on Saturday</v>
      </c>
      <c r="D7896" s="5"/>
      <c r="E7896" s="5"/>
      <c r="F7896" s="5"/>
      <c r="G7896" s="5"/>
      <c r="H7896" s="5"/>
      <c r="I7896" s="5"/>
      <c r="J7896" s="5"/>
      <c r="K7896" s="5"/>
      <c r="L7896" s="5"/>
      <c r="M7896" s="5"/>
      <c r="N7896" s="5"/>
      <c r="O7896" s="5"/>
      <c r="P7896" s="5"/>
      <c r="Q7896" s="5"/>
      <c r="R7896" s="5"/>
      <c r="S7896" s="5"/>
      <c r="T7896" s="5"/>
      <c r="U7896" s="5"/>
      <c r="V7896" s="5"/>
      <c r="W7896" s="5"/>
      <c r="X7896" s="5"/>
      <c r="Y7896" s="5"/>
      <c r="Z7896" s="5"/>
    </row>
    <row r="7897" spans="1:26" ht="15" x14ac:dyDescent="0.25">
      <c r="A7897" s="4" t="s">
        <v>7895</v>
      </c>
      <c r="B7897" s="4" t="s">
        <v>4550</v>
      </c>
      <c r="C7897" s="2" t="str">
        <f ca="1">IFERROR(__xludf.DUMMYFUNCTION("GOOGLETRANSLATE(A7897,""bn"",""en"")"),"I ate pizza last week")</f>
        <v>I ate pizza last week</v>
      </c>
      <c r="D7897" s="5"/>
      <c r="E7897" s="5"/>
      <c r="F7897" s="5"/>
      <c r="G7897" s="5"/>
      <c r="H7897" s="5"/>
      <c r="I7897" s="5"/>
      <c r="J7897" s="5"/>
      <c r="K7897" s="5"/>
      <c r="L7897" s="5"/>
      <c r="M7897" s="5"/>
      <c r="N7897" s="5"/>
      <c r="O7897" s="5"/>
      <c r="P7897" s="5"/>
      <c r="Q7897" s="5"/>
      <c r="R7897" s="5"/>
      <c r="S7897" s="5"/>
      <c r="T7897" s="5"/>
      <c r="U7897" s="5"/>
      <c r="V7897" s="5"/>
      <c r="W7897" s="5"/>
      <c r="X7897" s="5"/>
      <c r="Y7897" s="5"/>
      <c r="Z7897" s="5"/>
    </row>
    <row r="7898" spans="1:26" ht="15" x14ac:dyDescent="0.25">
      <c r="A7898" s="4" t="s">
        <v>7896</v>
      </c>
      <c r="B7898" s="4" t="s">
        <v>4550</v>
      </c>
      <c r="C7898" s="2" t="str">
        <f ca="1">IFERROR(__xludf.DUMMYFUNCTION("GOOGLETRANSLATE(A7898,""bn"",""en"")"),"Joining the Machine Learning project")</f>
        <v>Joining the Machine Learning project</v>
      </c>
      <c r="D7898" s="5"/>
      <c r="E7898" s="5"/>
      <c r="F7898" s="5"/>
      <c r="G7898" s="5"/>
      <c r="H7898" s="5"/>
      <c r="I7898" s="5"/>
      <c r="J7898" s="5"/>
      <c r="K7898" s="5"/>
      <c r="L7898" s="5"/>
      <c r="M7898" s="5"/>
      <c r="N7898" s="5"/>
      <c r="O7898" s="5"/>
      <c r="P7898" s="5"/>
      <c r="Q7898" s="5"/>
      <c r="R7898" s="5"/>
      <c r="S7898" s="5"/>
      <c r="T7898" s="5"/>
      <c r="U7898" s="5"/>
      <c r="V7898" s="5"/>
      <c r="W7898" s="5"/>
      <c r="X7898" s="5"/>
      <c r="Y7898" s="5"/>
      <c r="Z7898" s="5"/>
    </row>
    <row r="7899" spans="1:26" ht="15" x14ac:dyDescent="0.25">
      <c r="A7899" s="4" t="s">
        <v>7897</v>
      </c>
      <c r="B7899" s="4" t="s">
        <v>4550</v>
      </c>
      <c r="C7899" s="2" t="str">
        <f ca="1">IFERROR(__xludf.DUMMYFUNCTION("GOOGLETRANSLATE(A7899,""bn"",""en"")"),"The match was going on in the badminton ground")</f>
        <v>The match was going on in the badminton ground</v>
      </c>
      <c r="D7899" s="5"/>
      <c r="E7899" s="5"/>
      <c r="F7899" s="5"/>
      <c r="G7899" s="5"/>
      <c r="H7899" s="5"/>
      <c r="I7899" s="5"/>
      <c r="J7899" s="5"/>
      <c r="K7899" s="5"/>
      <c r="L7899" s="5"/>
      <c r="M7899" s="5"/>
      <c r="N7899" s="5"/>
      <c r="O7899" s="5"/>
      <c r="P7899" s="5"/>
      <c r="Q7899" s="5"/>
      <c r="R7899" s="5"/>
      <c r="S7899" s="5"/>
      <c r="T7899" s="5"/>
      <c r="U7899" s="5"/>
      <c r="V7899" s="5"/>
      <c r="W7899" s="5"/>
      <c r="X7899" s="5"/>
      <c r="Y7899" s="5"/>
      <c r="Z7899" s="5"/>
    </row>
    <row r="7900" spans="1:26" ht="15" x14ac:dyDescent="0.25">
      <c r="A7900" s="4" t="s">
        <v>7898</v>
      </c>
      <c r="B7900" s="4" t="s">
        <v>4550</v>
      </c>
      <c r="C7900" s="2" t="str">
        <f ca="1">IFERROR(__xludf.DUMMYFUNCTION("GOOGLETRANSLATE(A7900,""bn"",""en"")"),"I was selling flowers")</f>
        <v>I was selling flowers</v>
      </c>
      <c r="D7900" s="5"/>
      <c r="E7900" s="5"/>
      <c r="F7900" s="5"/>
      <c r="G7900" s="5"/>
      <c r="H7900" s="5"/>
      <c r="I7900" s="5"/>
      <c r="J7900" s="5"/>
      <c r="K7900" s="5"/>
      <c r="L7900" s="5"/>
      <c r="M7900" s="5"/>
      <c r="N7900" s="5"/>
      <c r="O7900" s="5"/>
      <c r="P7900" s="5"/>
      <c r="Q7900" s="5"/>
      <c r="R7900" s="5"/>
      <c r="S7900" s="5"/>
      <c r="T7900" s="5"/>
      <c r="U7900" s="5"/>
      <c r="V7900" s="5"/>
      <c r="W7900" s="5"/>
      <c r="X7900" s="5"/>
      <c r="Y7900" s="5"/>
      <c r="Z7900" s="5"/>
    </row>
    <row r="7901" spans="1:26" ht="15" x14ac:dyDescent="0.25">
      <c r="A7901" s="4" t="s">
        <v>7899</v>
      </c>
      <c r="B7901" s="4" t="s">
        <v>4550</v>
      </c>
      <c r="C7901" s="2" t="str">
        <f ca="1">IFERROR(__xludf.DUMMYFUNCTION("GOOGLETRANSLATE(A7901,""bn"",""en"")"),"There was commercial abuse in the country")</f>
        <v>There was commercial abuse in the country</v>
      </c>
      <c r="D7901" s="5"/>
      <c r="E7901" s="5"/>
      <c r="F7901" s="5"/>
      <c r="G7901" s="5"/>
      <c r="H7901" s="5"/>
      <c r="I7901" s="5"/>
      <c r="J7901" s="5"/>
      <c r="K7901" s="5"/>
      <c r="L7901" s="5"/>
      <c r="M7901" s="5"/>
      <c r="N7901" s="5"/>
      <c r="O7901" s="5"/>
      <c r="P7901" s="5"/>
      <c r="Q7901" s="5"/>
      <c r="R7901" s="5"/>
      <c r="S7901" s="5"/>
      <c r="T7901" s="5"/>
      <c r="U7901" s="5"/>
      <c r="V7901" s="5"/>
      <c r="W7901" s="5"/>
      <c r="X7901" s="5"/>
      <c r="Y7901" s="5"/>
      <c r="Z7901" s="5"/>
    </row>
    <row r="7902" spans="1:26" ht="15" x14ac:dyDescent="0.25">
      <c r="A7902" s="4" t="s">
        <v>7900</v>
      </c>
      <c r="B7902" s="4" t="s">
        <v>4550</v>
      </c>
      <c r="C7902" s="2" t="str">
        <f ca="1">IFERROR(__xludf.DUMMYFUNCTION("GOOGLETRANSLATE(A7902,""bn"",""en"")"),"Mobile phones were launched")</f>
        <v>Mobile phones were launched</v>
      </c>
      <c r="D7902" s="5"/>
      <c r="E7902" s="5"/>
      <c r="F7902" s="5"/>
      <c r="G7902" s="5"/>
      <c r="H7902" s="5"/>
      <c r="I7902" s="5"/>
      <c r="J7902" s="5"/>
      <c r="K7902" s="5"/>
      <c r="L7902" s="5"/>
      <c r="M7902" s="5"/>
      <c r="N7902" s="5"/>
      <c r="O7902" s="5"/>
      <c r="P7902" s="5"/>
      <c r="Q7902" s="5"/>
      <c r="R7902" s="5"/>
      <c r="S7902" s="5"/>
      <c r="T7902" s="5"/>
      <c r="U7902" s="5"/>
      <c r="V7902" s="5"/>
      <c r="W7902" s="5"/>
      <c r="X7902" s="5"/>
      <c r="Y7902" s="5"/>
      <c r="Z7902" s="5"/>
    </row>
    <row r="7903" spans="1:26" ht="15" x14ac:dyDescent="0.25">
      <c r="A7903" s="4" t="s">
        <v>7901</v>
      </c>
      <c r="B7903" s="4" t="s">
        <v>4550</v>
      </c>
      <c r="C7903" s="2" t="str">
        <f ca="1">IFERROR(__xludf.DUMMYFUNCTION("GOOGLETRANSLATE(A7903,""bn"",""en"")"),"The magazine published the special")</f>
        <v>The magazine published the special</v>
      </c>
      <c r="D7903" s="5"/>
      <c r="E7903" s="5"/>
      <c r="F7903" s="5"/>
      <c r="G7903" s="5"/>
      <c r="H7903" s="5"/>
      <c r="I7903" s="5"/>
      <c r="J7903" s="5"/>
      <c r="K7903" s="5"/>
      <c r="L7903" s="5"/>
      <c r="M7903" s="5"/>
      <c r="N7903" s="5"/>
      <c r="O7903" s="5"/>
      <c r="P7903" s="5"/>
      <c r="Q7903" s="5"/>
      <c r="R7903" s="5"/>
      <c r="S7903" s="5"/>
      <c r="T7903" s="5"/>
      <c r="U7903" s="5"/>
      <c r="V7903" s="5"/>
      <c r="W7903" s="5"/>
      <c r="X7903" s="5"/>
      <c r="Y7903" s="5"/>
      <c r="Z7903" s="5"/>
    </row>
    <row r="7904" spans="1:26" ht="15" x14ac:dyDescent="0.25">
      <c r="A7904" s="4" t="s">
        <v>7902</v>
      </c>
      <c r="B7904" s="4" t="s">
        <v>4550</v>
      </c>
      <c r="C7904" s="2" t="str">
        <f ca="1">IFERROR(__xludf.DUMMYFUNCTION("GOOGLETRANSLATE(A7904,""bn"",""en"")"),"Drinks were consumed")</f>
        <v>Drinks were consumed</v>
      </c>
      <c r="D7904" s="5"/>
      <c r="E7904" s="5"/>
      <c r="F7904" s="5"/>
      <c r="G7904" s="5"/>
      <c r="H7904" s="5"/>
      <c r="I7904" s="5"/>
      <c r="J7904" s="5"/>
      <c r="K7904" s="5"/>
      <c r="L7904" s="5"/>
      <c r="M7904" s="5"/>
      <c r="N7904" s="5"/>
      <c r="O7904" s="5"/>
      <c r="P7904" s="5"/>
      <c r="Q7904" s="5"/>
      <c r="R7904" s="5"/>
      <c r="S7904" s="5"/>
      <c r="T7904" s="5"/>
      <c r="U7904" s="5"/>
      <c r="V7904" s="5"/>
      <c r="W7904" s="5"/>
      <c r="X7904" s="5"/>
      <c r="Y7904" s="5"/>
      <c r="Z7904" s="5"/>
    </row>
    <row r="7905" spans="1:26" ht="15" x14ac:dyDescent="0.25">
      <c r="A7905" s="4" t="s">
        <v>7903</v>
      </c>
      <c r="B7905" s="4" t="s">
        <v>4550</v>
      </c>
      <c r="C7905" s="2" t="str">
        <f ca="1">IFERROR(__xludf.DUMMYFUNCTION("GOOGLETRANSLATE(A7905,""bn"",""en"")"),"The Prime Minister resigned in controversy")</f>
        <v>The Prime Minister resigned in controversy</v>
      </c>
      <c r="D7905" s="5"/>
      <c r="E7905" s="5"/>
      <c r="F7905" s="5"/>
      <c r="G7905" s="5"/>
      <c r="H7905" s="5"/>
      <c r="I7905" s="5"/>
      <c r="J7905" s="5"/>
      <c r="K7905" s="5"/>
      <c r="L7905" s="5"/>
      <c r="M7905" s="5"/>
      <c r="N7905" s="5"/>
      <c r="O7905" s="5"/>
      <c r="P7905" s="5"/>
      <c r="Q7905" s="5"/>
      <c r="R7905" s="5"/>
      <c r="S7905" s="5"/>
      <c r="T7905" s="5"/>
      <c r="U7905" s="5"/>
      <c r="V7905" s="5"/>
      <c r="W7905" s="5"/>
      <c r="X7905" s="5"/>
      <c r="Y7905" s="5"/>
      <c r="Z7905" s="5"/>
    </row>
    <row r="7906" spans="1:26" ht="15" x14ac:dyDescent="0.25">
      <c r="A7906" s="4" t="s">
        <v>7904</v>
      </c>
      <c r="B7906" s="4" t="s">
        <v>4550</v>
      </c>
      <c r="C7906" s="2" t="str">
        <f ca="1">IFERROR(__xludf.DUMMYFUNCTION("GOOGLETRANSLATE(A7906,""bn"",""en"")"),"Watched a movie with a relative")</f>
        <v>Watched a movie with a relative</v>
      </c>
      <c r="D7906" s="5"/>
      <c r="E7906" s="5"/>
      <c r="F7906" s="5"/>
      <c r="G7906" s="5"/>
      <c r="H7906" s="5"/>
      <c r="I7906" s="5"/>
      <c r="J7906" s="5"/>
      <c r="K7906" s="5"/>
      <c r="L7906" s="5"/>
      <c r="M7906" s="5"/>
      <c r="N7906" s="5"/>
      <c r="O7906" s="5"/>
      <c r="P7906" s="5"/>
      <c r="Q7906" s="5"/>
      <c r="R7906" s="5"/>
      <c r="S7906" s="5"/>
      <c r="T7906" s="5"/>
      <c r="U7906" s="5"/>
      <c r="V7906" s="5"/>
      <c r="W7906" s="5"/>
      <c r="X7906" s="5"/>
      <c r="Y7906" s="5"/>
      <c r="Z7906" s="5"/>
    </row>
    <row r="7907" spans="1:26" ht="15" x14ac:dyDescent="0.25">
      <c r="A7907" s="4" t="s">
        <v>7905</v>
      </c>
      <c r="B7907" s="4" t="s">
        <v>4550</v>
      </c>
      <c r="C7907" s="2" t="str">
        <f ca="1">IFERROR(__xludf.DUMMYFUNCTION("GOOGLETRANSLATE(A7907,""bn"",""en"")"),"They won in badminton")</f>
        <v>They won in badminton</v>
      </c>
      <c r="D7907" s="5"/>
      <c r="E7907" s="5"/>
      <c r="F7907" s="5"/>
      <c r="G7907" s="5"/>
      <c r="H7907" s="5"/>
      <c r="I7907" s="5"/>
      <c r="J7907" s="5"/>
      <c r="K7907" s="5"/>
      <c r="L7907" s="5"/>
      <c r="M7907" s="5"/>
      <c r="N7907" s="5"/>
      <c r="O7907" s="5"/>
      <c r="P7907" s="5"/>
      <c r="Q7907" s="5"/>
      <c r="R7907" s="5"/>
      <c r="S7907" s="5"/>
      <c r="T7907" s="5"/>
      <c r="U7907" s="5"/>
      <c r="V7907" s="5"/>
      <c r="W7907" s="5"/>
      <c r="X7907" s="5"/>
      <c r="Y7907" s="5"/>
      <c r="Z7907" s="5"/>
    </row>
    <row r="7908" spans="1:26" ht="15" x14ac:dyDescent="0.25">
      <c r="A7908" s="4" t="s">
        <v>7906</v>
      </c>
      <c r="B7908" s="4" t="s">
        <v>4550</v>
      </c>
      <c r="C7908" s="2" t="str">
        <f ca="1">IFERROR(__xludf.DUMMYFUNCTION("GOOGLETRANSLATE(A7908,""bn"",""en"")"),"The program's executable was created")</f>
        <v>The program's executable was created</v>
      </c>
      <c r="D7908" s="5"/>
      <c r="E7908" s="5"/>
      <c r="F7908" s="5"/>
      <c r="G7908" s="5"/>
      <c r="H7908" s="5"/>
      <c r="I7908" s="5"/>
      <c r="J7908" s="5"/>
      <c r="K7908" s="5"/>
      <c r="L7908" s="5"/>
      <c r="M7908" s="5"/>
      <c r="N7908" s="5"/>
      <c r="O7908" s="5"/>
      <c r="P7908" s="5"/>
      <c r="Q7908" s="5"/>
      <c r="R7908" s="5"/>
      <c r="S7908" s="5"/>
      <c r="T7908" s="5"/>
      <c r="U7908" s="5"/>
      <c r="V7908" s="5"/>
      <c r="W7908" s="5"/>
      <c r="X7908" s="5"/>
      <c r="Y7908" s="5"/>
      <c r="Z7908" s="5"/>
    </row>
    <row r="7909" spans="1:26" ht="15" x14ac:dyDescent="0.25">
      <c r="A7909" s="4" t="s">
        <v>7907</v>
      </c>
      <c r="B7909" s="4" t="s">
        <v>4550</v>
      </c>
      <c r="C7909" s="2" t="str">
        <f ca="1">IFERROR(__xludf.DUMMYFUNCTION("GOOGLETRANSLATE(A7909,""bn"",""en"")"),"Business capital increased")</f>
        <v>Business capital increased</v>
      </c>
      <c r="D7909" s="5"/>
      <c r="E7909" s="5"/>
      <c r="F7909" s="5"/>
      <c r="G7909" s="5"/>
      <c r="H7909" s="5"/>
      <c r="I7909" s="5"/>
      <c r="J7909" s="5"/>
      <c r="K7909" s="5"/>
      <c r="L7909" s="5"/>
      <c r="M7909" s="5"/>
      <c r="N7909" s="5"/>
      <c r="O7909" s="5"/>
      <c r="P7909" s="5"/>
      <c r="Q7909" s="5"/>
      <c r="R7909" s="5"/>
      <c r="S7909" s="5"/>
      <c r="T7909" s="5"/>
      <c r="U7909" s="5"/>
      <c r="V7909" s="5"/>
      <c r="W7909" s="5"/>
      <c r="X7909" s="5"/>
      <c r="Y7909" s="5"/>
      <c r="Z7909" s="5"/>
    </row>
    <row r="7910" spans="1:26" ht="15" x14ac:dyDescent="0.25">
      <c r="A7910" s="4" t="s">
        <v>7908</v>
      </c>
      <c r="B7910" s="4" t="s">
        <v>4550</v>
      </c>
      <c r="C7910" s="2" t="str">
        <f ca="1">IFERROR(__xludf.DUMMYFUNCTION("GOOGLETRANSLATE(A7910,""bn"",""en"")"),"He wrote poetry in his spare time")</f>
        <v>He wrote poetry in his spare time</v>
      </c>
      <c r="D7910" s="5"/>
      <c r="E7910" s="5"/>
      <c r="F7910" s="5"/>
      <c r="G7910" s="5"/>
      <c r="H7910" s="5"/>
      <c r="I7910" s="5"/>
      <c r="J7910" s="5"/>
      <c r="K7910" s="5"/>
      <c r="L7910" s="5"/>
      <c r="M7910" s="5"/>
      <c r="N7910" s="5"/>
      <c r="O7910" s="5"/>
      <c r="P7910" s="5"/>
      <c r="Q7910" s="5"/>
      <c r="R7910" s="5"/>
      <c r="S7910" s="5"/>
      <c r="T7910" s="5"/>
      <c r="U7910" s="5"/>
      <c r="V7910" s="5"/>
      <c r="W7910" s="5"/>
      <c r="X7910" s="5"/>
      <c r="Y7910" s="5"/>
      <c r="Z7910" s="5"/>
    </row>
    <row r="7911" spans="1:26" ht="15" x14ac:dyDescent="0.25">
      <c r="A7911" s="4" t="s">
        <v>7909</v>
      </c>
      <c r="B7911" s="4" t="s">
        <v>4550</v>
      </c>
      <c r="C7911" s="2" t="str">
        <f ca="1">IFERROR(__xludf.DUMMYFUNCTION("GOOGLETRANSLATE(A7911,""bn"",""en"")"),"The team lost to strong competition")</f>
        <v>The team lost to strong competition</v>
      </c>
      <c r="D7911" s="5"/>
      <c r="E7911" s="5"/>
      <c r="F7911" s="5"/>
      <c r="G7911" s="5"/>
      <c r="H7911" s="5"/>
      <c r="I7911" s="5"/>
      <c r="J7911" s="5"/>
      <c r="K7911" s="5"/>
      <c r="L7911" s="5"/>
      <c r="M7911" s="5"/>
      <c r="N7911" s="5"/>
      <c r="O7911" s="5"/>
      <c r="P7911" s="5"/>
      <c r="Q7911" s="5"/>
      <c r="R7911" s="5"/>
      <c r="S7911" s="5"/>
      <c r="T7911" s="5"/>
      <c r="U7911" s="5"/>
      <c r="V7911" s="5"/>
      <c r="W7911" s="5"/>
      <c r="X7911" s="5"/>
      <c r="Y7911" s="5"/>
      <c r="Z7911" s="5"/>
    </row>
    <row r="7912" spans="1:26" ht="15" x14ac:dyDescent="0.25">
      <c r="A7912" s="4" t="s">
        <v>7910</v>
      </c>
      <c r="B7912" s="4" t="s">
        <v>4550</v>
      </c>
      <c r="C7912" s="2" t="str">
        <f ca="1">IFERROR(__xludf.DUMMYFUNCTION("GOOGLETRANSLATE(A7912,""bn"",""en"")"),"I used to swim well")</f>
        <v>I used to swim well</v>
      </c>
      <c r="D7912" s="5"/>
      <c r="E7912" s="5"/>
      <c r="F7912" s="5"/>
      <c r="G7912" s="5"/>
      <c r="H7912" s="5"/>
      <c r="I7912" s="5"/>
      <c r="J7912" s="5"/>
      <c r="K7912" s="5"/>
      <c r="L7912" s="5"/>
      <c r="M7912" s="5"/>
      <c r="N7912" s="5"/>
      <c r="O7912" s="5"/>
      <c r="P7912" s="5"/>
      <c r="Q7912" s="5"/>
      <c r="R7912" s="5"/>
      <c r="S7912" s="5"/>
      <c r="T7912" s="5"/>
      <c r="U7912" s="5"/>
      <c r="V7912" s="5"/>
      <c r="W7912" s="5"/>
      <c r="X7912" s="5"/>
      <c r="Y7912" s="5"/>
      <c r="Z7912" s="5"/>
    </row>
    <row r="7913" spans="1:26" ht="15" x14ac:dyDescent="0.25">
      <c r="A7913" s="4" t="s">
        <v>7911</v>
      </c>
      <c r="B7913" s="4" t="s">
        <v>4550</v>
      </c>
      <c r="C7913" s="2" t="str">
        <f ca="1">IFERROR(__xludf.DUMMYFUNCTION("GOOGLETRANSLATE(A7913,""bn"",""en"")"),"The crops required during the season were decreasing")</f>
        <v>The crops required during the season were decreasing</v>
      </c>
      <c r="D7913" s="5"/>
      <c r="E7913" s="5"/>
      <c r="F7913" s="5"/>
      <c r="G7913" s="5"/>
      <c r="H7913" s="5"/>
      <c r="I7913" s="5"/>
      <c r="J7913" s="5"/>
      <c r="K7913" s="5"/>
      <c r="L7913" s="5"/>
      <c r="M7913" s="5"/>
      <c r="N7913" s="5"/>
      <c r="O7913" s="5"/>
      <c r="P7913" s="5"/>
      <c r="Q7913" s="5"/>
      <c r="R7913" s="5"/>
      <c r="S7913" s="5"/>
      <c r="T7913" s="5"/>
      <c r="U7913" s="5"/>
      <c r="V7913" s="5"/>
      <c r="W7913" s="5"/>
      <c r="X7913" s="5"/>
      <c r="Y7913" s="5"/>
      <c r="Z7913" s="5"/>
    </row>
    <row r="7914" spans="1:26" ht="15" x14ac:dyDescent="0.25">
      <c r="A7914" s="4" t="s">
        <v>7912</v>
      </c>
      <c r="B7914" s="4" t="s">
        <v>4550</v>
      </c>
      <c r="C7914" s="2" t="str">
        <f ca="1">IFERROR(__xludf.DUMMYFUNCTION("GOOGLETRANSLATE(A7914,""bn"",""en"")"),"I ate fish curry at the wedding")</f>
        <v>I ate fish curry at the wedding</v>
      </c>
      <c r="D7914" s="5"/>
      <c r="E7914" s="5"/>
      <c r="F7914" s="5"/>
      <c r="G7914" s="5"/>
      <c r="H7914" s="5"/>
      <c r="I7914" s="5"/>
      <c r="J7914" s="5"/>
      <c r="K7914" s="5"/>
      <c r="L7914" s="5"/>
      <c r="M7914" s="5"/>
      <c r="N7914" s="5"/>
      <c r="O7914" s="5"/>
      <c r="P7914" s="5"/>
      <c r="Q7914" s="5"/>
      <c r="R7914" s="5"/>
      <c r="S7914" s="5"/>
      <c r="T7914" s="5"/>
      <c r="U7914" s="5"/>
      <c r="V7914" s="5"/>
      <c r="W7914" s="5"/>
      <c r="X7914" s="5"/>
      <c r="Y7914" s="5"/>
      <c r="Z7914" s="5"/>
    </row>
    <row r="7915" spans="1:26" ht="15" x14ac:dyDescent="0.25">
      <c r="A7915" s="4" t="s">
        <v>7913</v>
      </c>
      <c r="B7915" s="4" t="s">
        <v>4550</v>
      </c>
      <c r="C7915" s="2" t="str">
        <f ca="1">IFERROR(__xludf.DUMMYFUNCTION("GOOGLETRANSLATE(A7915,""bn"",""en"")"),"I sat down to write a book")</f>
        <v>I sat down to write a book</v>
      </c>
      <c r="D7915" s="5"/>
      <c r="E7915" s="5"/>
      <c r="F7915" s="5"/>
      <c r="G7915" s="5"/>
      <c r="H7915" s="5"/>
      <c r="I7915" s="5"/>
      <c r="J7915" s="5"/>
      <c r="K7915" s="5"/>
      <c r="L7915" s="5"/>
      <c r="M7915" s="5"/>
      <c r="N7915" s="5"/>
      <c r="O7915" s="5"/>
      <c r="P7915" s="5"/>
      <c r="Q7915" s="5"/>
      <c r="R7915" s="5"/>
      <c r="S7915" s="5"/>
      <c r="T7915" s="5"/>
      <c r="U7915" s="5"/>
      <c r="V7915" s="5"/>
      <c r="W7915" s="5"/>
      <c r="X7915" s="5"/>
      <c r="Y7915" s="5"/>
      <c r="Z7915" s="5"/>
    </row>
    <row r="7916" spans="1:26" ht="15" x14ac:dyDescent="0.25">
      <c r="A7916" s="4" t="s">
        <v>7914</v>
      </c>
      <c r="B7916" s="4" t="s">
        <v>4550</v>
      </c>
      <c r="C7916" s="2" t="str">
        <f ca="1">IFERROR(__xludf.DUMMYFUNCTION("GOOGLETRANSLATE(A7916,""bn"",""en"")"),"Prominent politicians joined")</f>
        <v>Prominent politicians joined</v>
      </c>
      <c r="D7916" s="5"/>
      <c r="E7916" s="5"/>
      <c r="F7916" s="5"/>
      <c r="G7916" s="5"/>
      <c r="H7916" s="5"/>
      <c r="I7916" s="5"/>
      <c r="J7916" s="5"/>
      <c r="K7916" s="5"/>
      <c r="L7916" s="5"/>
      <c r="M7916" s="5"/>
      <c r="N7916" s="5"/>
      <c r="O7916" s="5"/>
      <c r="P7916" s="5"/>
      <c r="Q7916" s="5"/>
      <c r="R7916" s="5"/>
      <c r="S7916" s="5"/>
      <c r="T7916" s="5"/>
      <c r="U7916" s="5"/>
      <c r="V7916" s="5"/>
      <c r="W7916" s="5"/>
      <c r="X7916" s="5"/>
      <c r="Y7916" s="5"/>
      <c r="Z7916" s="5"/>
    </row>
    <row r="7917" spans="1:26" ht="15" x14ac:dyDescent="0.25">
      <c r="A7917" s="4" t="s">
        <v>7915</v>
      </c>
      <c r="B7917" s="4" t="s">
        <v>4550</v>
      </c>
      <c r="C7917" s="2" t="str">
        <f ca="1">IFERROR(__xludf.DUMMYFUNCTION("GOOGLETRANSLATE(A7917,""bn"",""en"")"),"I published a new poem")</f>
        <v>I published a new poem</v>
      </c>
      <c r="D7917" s="5"/>
      <c r="E7917" s="5"/>
      <c r="F7917" s="5"/>
      <c r="G7917" s="5"/>
      <c r="H7917" s="5"/>
      <c r="I7917" s="5"/>
      <c r="J7917" s="5"/>
      <c r="K7917" s="5"/>
      <c r="L7917" s="5"/>
      <c r="M7917" s="5"/>
      <c r="N7917" s="5"/>
      <c r="O7917" s="5"/>
      <c r="P7917" s="5"/>
      <c r="Q7917" s="5"/>
      <c r="R7917" s="5"/>
      <c r="S7917" s="5"/>
      <c r="T7917" s="5"/>
      <c r="U7917" s="5"/>
      <c r="V7917" s="5"/>
      <c r="W7917" s="5"/>
      <c r="X7917" s="5"/>
      <c r="Y7917" s="5"/>
      <c r="Z7917" s="5"/>
    </row>
    <row r="7918" spans="1:26" ht="15" x14ac:dyDescent="0.25">
      <c r="A7918" s="4" t="s">
        <v>7916</v>
      </c>
      <c r="B7918" s="4" t="s">
        <v>4550</v>
      </c>
      <c r="C7918" s="2" t="str">
        <f ca="1">IFERROR(__xludf.DUMMYFUNCTION("GOOGLETRANSLATE(A7918,""bn"",""en"")"),"The women caught fish")</f>
        <v>The women caught fish</v>
      </c>
      <c r="D7918" s="5"/>
      <c r="E7918" s="5"/>
      <c r="F7918" s="5"/>
      <c r="G7918" s="5"/>
      <c r="H7918" s="5"/>
      <c r="I7918" s="5"/>
      <c r="J7918" s="5"/>
      <c r="K7918" s="5"/>
      <c r="L7918" s="5"/>
      <c r="M7918" s="5"/>
      <c r="N7918" s="5"/>
      <c r="O7918" s="5"/>
      <c r="P7918" s="5"/>
      <c r="Q7918" s="5"/>
      <c r="R7918" s="5"/>
      <c r="S7918" s="5"/>
      <c r="T7918" s="5"/>
      <c r="U7918" s="5"/>
      <c r="V7918" s="5"/>
      <c r="W7918" s="5"/>
      <c r="X7918" s="5"/>
      <c r="Y7918" s="5"/>
      <c r="Z7918" s="5"/>
    </row>
    <row r="7919" spans="1:26" ht="15" x14ac:dyDescent="0.25">
      <c r="A7919" s="4" t="s">
        <v>7917</v>
      </c>
      <c r="B7919" s="4" t="s">
        <v>4550</v>
      </c>
      <c r="C7919" s="2" t="str">
        <f ca="1">IFERROR(__xludf.DUMMYFUNCTION("GOOGLETRANSLATE(A7919,""bn"",""en"")"),"I took the loan last month")</f>
        <v>I took the loan last month</v>
      </c>
      <c r="D7919" s="5"/>
      <c r="E7919" s="5"/>
      <c r="F7919" s="5"/>
      <c r="G7919" s="5"/>
      <c r="H7919" s="5"/>
      <c r="I7919" s="5"/>
      <c r="J7919" s="5"/>
      <c r="K7919" s="5"/>
      <c r="L7919" s="5"/>
      <c r="M7919" s="5"/>
      <c r="N7919" s="5"/>
      <c r="O7919" s="5"/>
      <c r="P7919" s="5"/>
      <c r="Q7919" s="5"/>
      <c r="R7919" s="5"/>
      <c r="S7919" s="5"/>
      <c r="T7919" s="5"/>
      <c r="U7919" s="5"/>
      <c r="V7919" s="5"/>
      <c r="W7919" s="5"/>
      <c r="X7919" s="5"/>
      <c r="Y7919" s="5"/>
      <c r="Z7919" s="5"/>
    </row>
    <row r="7920" spans="1:26" ht="15" x14ac:dyDescent="0.25">
      <c r="A7920" s="4" t="s">
        <v>7918</v>
      </c>
      <c r="B7920" s="4" t="s">
        <v>4550</v>
      </c>
      <c r="C7920" s="2" t="str">
        <f ca="1">IFERROR(__xludf.DUMMYFUNCTION("GOOGLETRANSLATE(A7920,""bn"",""en"")"),"Resigned to the city council")</f>
        <v>Resigned to the city council</v>
      </c>
      <c r="D7920" s="5"/>
      <c r="E7920" s="5"/>
      <c r="F7920" s="5"/>
      <c r="G7920" s="5"/>
      <c r="H7920" s="5"/>
      <c r="I7920" s="5"/>
      <c r="J7920" s="5"/>
      <c r="K7920" s="5"/>
      <c r="L7920" s="5"/>
      <c r="M7920" s="5"/>
      <c r="N7920" s="5"/>
      <c r="O7920" s="5"/>
      <c r="P7920" s="5"/>
      <c r="Q7920" s="5"/>
      <c r="R7920" s="5"/>
      <c r="S7920" s="5"/>
      <c r="T7920" s="5"/>
      <c r="U7920" s="5"/>
      <c r="V7920" s="5"/>
      <c r="W7920" s="5"/>
      <c r="X7920" s="5"/>
      <c r="Y7920" s="5"/>
      <c r="Z7920" s="5"/>
    </row>
    <row r="7921" spans="1:26" ht="15" x14ac:dyDescent="0.25">
      <c r="A7921" s="4" t="s">
        <v>7919</v>
      </c>
      <c r="B7921" s="4" t="s">
        <v>4550</v>
      </c>
      <c r="C7921" s="2" t="str">
        <f ca="1">IFERROR(__xludf.DUMMYFUNCTION("GOOGLETRANSLATE(A7921,""bn"",""en"")"),"The leaders elected the captain")</f>
        <v>The leaders elected the captain</v>
      </c>
      <c r="D7921" s="5"/>
      <c r="E7921" s="5"/>
      <c r="F7921" s="5"/>
      <c r="G7921" s="5"/>
      <c r="H7921" s="5"/>
      <c r="I7921" s="5"/>
      <c r="J7921" s="5"/>
      <c r="K7921" s="5"/>
      <c r="L7921" s="5"/>
      <c r="M7921" s="5"/>
      <c r="N7921" s="5"/>
      <c r="O7921" s="5"/>
      <c r="P7921" s="5"/>
      <c r="Q7921" s="5"/>
      <c r="R7921" s="5"/>
      <c r="S7921" s="5"/>
      <c r="T7921" s="5"/>
      <c r="U7921" s="5"/>
      <c r="V7921" s="5"/>
      <c r="W7921" s="5"/>
      <c r="X7921" s="5"/>
      <c r="Y7921" s="5"/>
      <c r="Z7921" s="5"/>
    </row>
    <row r="7922" spans="1:26" ht="15" x14ac:dyDescent="0.25">
      <c r="A7922" s="4" t="s">
        <v>7920</v>
      </c>
      <c r="B7922" s="4" t="s">
        <v>4550</v>
      </c>
      <c r="C7922" s="2" t="str">
        <f ca="1">IFERROR(__xludf.DUMMYFUNCTION("GOOGLETRANSLATE(A7922,""bn"",""en"")"),"Headphones were used")</f>
        <v>Headphones were used</v>
      </c>
      <c r="D7922" s="5"/>
      <c r="E7922" s="5"/>
      <c r="F7922" s="5"/>
      <c r="G7922" s="5"/>
      <c r="H7922" s="5"/>
      <c r="I7922" s="5"/>
      <c r="J7922" s="5"/>
      <c r="K7922" s="5"/>
      <c r="L7922" s="5"/>
      <c r="M7922" s="5"/>
      <c r="N7922" s="5"/>
      <c r="O7922" s="5"/>
      <c r="P7922" s="5"/>
      <c r="Q7922" s="5"/>
      <c r="R7922" s="5"/>
      <c r="S7922" s="5"/>
      <c r="T7922" s="5"/>
      <c r="U7922" s="5"/>
      <c r="V7922" s="5"/>
      <c r="W7922" s="5"/>
      <c r="X7922" s="5"/>
      <c r="Y7922" s="5"/>
      <c r="Z7922" s="5"/>
    </row>
    <row r="7923" spans="1:26" ht="15" x14ac:dyDescent="0.25">
      <c r="A7923" s="4" t="s">
        <v>7921</v>
      </c>
      <c r="B7923" s="4" t="s">
        <v>4550</v>
      </c>
      <c r="C7923" s="2" t="str">
        <f ca="1">IFERROR(__xludf.DUMMYFUNCTION("GOOGLETRANSLATE(A7923,""bn"",""en"")"),"We were at the music festival at night")</f>
        <v>We were at the music festival at night</v>
      </c>
      <c r="D7923" s="5"/>
      <c r="E7923" s="5"/>
      <c r="F7923" s="5"/>
      <c r="G7923" s="5"/>
      <c r="H7923" s="5"/>
      <c r="I7923" s="5"/>
      <c r="J7923" s="5"/>
      <c r="K7923" s="5"/>
      <c r="L7923" s="5"/>
      <c r="M7923" s="5"/>
      <c r="N7923" s="5"/>
      <c r="O7923" s="5"/>
      <c r="P7923" s="5"/>
      <c r="Q7923" s="5"/>
      <c r="R7923" s="5"/>
      <c r="S7923" s="5"/>
      <c r="T7923" s="5"/>
      <c r="U7923" s="5"/>
      <c r="V7923" s="5"/>
      <c r="W7923" s="5"/>
      <c r="X7923" s="5"/>
      <c r="Y7923" s="5"/>
      <c r="Z7923" s="5"/>
    </row>
    <row r="7924" spans="1:26" ht="15" x14ac:dyDescent="0.25">
      <c r="A7924" s="4" t="s">
        <v>7922</v>
      </c>
      <c r="B7924" s="4" t="s">
        <v>4550</v>
      </c>
      <c r="C7924" s="2" t="str">
        <f ca="1">IFERROR(__xludf.DUMMYFUNCTION("GOOGLETRANSLATE(A7924,""bn"",""en"")"),"Elections were organized in the institution")</f>
        <v>Elections were organized in the institution</v>
      </c>
      <c r="D7924" s="5"/>
      <c r="E7924" s="5"/>
      <c r="F7924" s="5"/>
      <c r="G7924" s="5"/>
      <c r="H7924" s="5"/>
      <c r="I7924" s="5"/>
      <c r="J7924" s="5"/>
      <c r="K7924" s="5"/>
      <c r="L7924" s="5"/>
      <c r="M7924" s="5"/>
      <c r="N7924" s="5"/>
      <c r="O7924" s="5"/>
      <c r="P7924" s="5"/>
      <c r="Q7924" s="5"/>
      <c r="R7924" s="5"/>
      <c r="S7924" s="5"/>
      <c r="T7924" s="5"/>
      <c r="U7924" s="5"/>
      <c r="V7924" s="5"/>
      <c r="W7924" s="5"/>
      <c r="X7924" s="5"/>
      <c r="Y7924" s="5"/>
      <c r="Z7924" s="5"/>
    </row>
    <row r="7925" spans="1:26" ht="15" x14ac:dyDescent="0.25">
      <c r="A7925" s="4" t="s">
        <v>7923</v>
      </c>
      <c r="B7925" s="4" t="s">
        <v>4550</v>
      </c>
      <c r="C7925" s="2" t="str">
        <f ca="1">IFERROR(__xludf.DUMMYFUNCTION("GOOGLETRANSLATE(A7925,""bn"",""en"")"),"Cooked for taste")</f>
        <v>Cooked for taste</v>
      </c>
      <c r="D7925" s="5"/>
      <c r="E7925" s="5"/>
      <c r="F7925" s="5"/>
      <c r="G7925" s="5"/>
      <c r="H7925" s="5"/>
      <c r="I7925" s="5"/>
      <c r="J7925" s="5"/>
      <c r="K7925" s="5"/>
      <c r="L7925" s="5"/>
      <c r="M7925" s="5"/>
      <c r="N7925" s="5"/>
      <c r="O7925" s="5"/>
      <c r="P7925" s="5"/>
      <c r="Q7925" s="5"/>
      <c r="R7925" s="5"/>
      <c r="S7925" s="5"/>
      <c r="T7925" s="5"/>
      <c r="U7925" s="5"/>
      <c r="V7925" s="5"/>
      <c r="W7925" s="5"/>
      <c r="X7925" s="5"/>
      <c r="Y7925" s="5"/>
      <c r="Z7925" s="5"/>
    </row>
    <row r="7926" spans="1:26" ht="15" x14ac:dyDescent="0.25">
      <c r="A7926" s="4" t="s">
        <v>7924</v>
      </c>
      <c r="B7926" s="4" t="s">
        <v>4550</v>
      </c>
      <c r="C7926" s="2" t="str">
        <f ca="1">IFERROR(__xludf.DUMMYFUNCTION("GOOGLETRANSLATE(A7926,""bn"",""en"")"),"Business was running smoothly")</f>
        <v>Business was running smoothly</v>
      </c>
      <c r="D7926" s="5"/>
      <c r="E7926" s="5"/>
      <c r="F7926" s="5"/>
      <c r="G7926" s="5"/>
      <c r="H7926" s="5"/>
      <c r="I7926" s="5"/>
      <c r="J7926" s="5"/>
      <c r="K7926" s="5"/>
      <c r="L7926" s="5"/>
      <c r="M7926" s="5"/>
      <c r="N7926" s="5"/>
      <c r="O7926" s="5"/>
      <c r="P7926" s="5"/>
      <c r="Q7926" s="5"/>
      <c r="R7926" s="5"/>
      <c r="S7926" s="5"/>
      <c r="T7926" s="5"/>
      <c r="U7926" s="5"/>
      <c r="V7926" s="5"/>
      <c r="W7926" s="5"/>
      <c r="X7926" s="5"/>
      <c r="Y7926" s="5"/>
      <c r="Z7926" s="5"/>
    </row>
    <row r="7927" spans="1:26" ht="15" x14ac:dyDescent="0.25">
      <c r="A7927" s="4" t="s">
        <v>7925</v>
      </c>
      <c r="B7927" s="4" t="s">
        <v>4550</v>
      </c>
      <c r="C7927" s="2" t="str">
        <f ca="1">IFERROR(__xludf.DUMMYFUNCTION("GOOGLETRANSLATE(A7927,""bn"",""en"")"),"The government resigned in the village council")</f>
        <v>The government resigned in the village council</v>
      </c>
      <c r="D7927" s="5"/>
      <c r="E7927" s="5"/>
      <c r="F7927" s="5"/>
      <c r="G7927" s="5"/>
      <c r="H7927" s="5"/>
      <c r="I7927" s="5"/>
      <c r="J7927" s="5"/>
      <c r="K7927" s="5"/>
      <c r="L7927" s="5"/>
      <c r="M7927" s="5"/>
      <c r="N7927" s="5"/>
      <c r="O7927" s="5"/>
      <c r="P7927" s="5"/>
      <c r="Q7927" s="5"/>
      <c r="R7927" s="5"/>
      <c r="S7927" s="5"/>
      <c r="T7927" s="5"/>
      <c r="U7927" s="5"/>
      <c r="V7927" s="5"/>
      <c r="W7927" s="5"/>
      <c r="X7927" s="5"/>
      <c r="Y7927" s="5"/>
      <c r="Z7927" s="5"/>
    </row>
    <row r="7928" spans="1:26" ht="15" x14ac:dyDescent="0.25">
      <c r="A7928" s="4" t="s">
        <v>7926</v>
      </c>
      <c r="B7928" s="4" t="s">
        <v>4550</v>
      </c>
      <c r="C7928" s="2" t="str">
        <f ca="1">IFERROR(__xludf.DUMMYFUNCTION("GOOGLETRANSLATE(A7928,""bn"",""en"")"),"I learned about data mining")</f>
        <v>I learned about data mining</v>
      </c>
      <c r="D7928" s="5"/>
      <c r="E7928" s="5"/>
      <c r="F7928" s="5"/>
      <c r="G7928" s="5"/>
      <c r="H7928" s="5"/>
      <c r="I7928" s="5"/>
      <c r="J7928" s="5"/>
      <c r="K7928" s="5"/>
      <c r="L7928" s="5"/>
      <c r="M7928" s="5"/>
      <c r="N7928" s="5"/>
      <c r="O7928" s="5"/>
      <c r="P7928" s="5"/>
      <c r="Q7928" s="5"/>
      <c r="R7928" s="5"/>
      <c r="S7928" s="5"/>
      <c r="T7928" s="5"/>
      <c r="U7928" s="5"/>
      <c r="V7928" s="5"/>
      <c r="W7928" s="5"/>
      <c r="X7928" s="5"/>
      <c r="Y7928" s="5"/>
      <c r="Z7928" s="5"/>
    </row>
    <row r="7929" spans="1:26" ht="15" x14ac:dyDescent="0.25">
      <c r="A7929" s="4" t="s">
        <v>7927</v>
      </c>
      <c r="B7929" s="4" t="s">
        <v>4550</v>
      </c>
      <c r="C7929" s="2" t="str">
        <f ca="1">IFERROR(__xludf.DUMMYFUNCTION("GOOGLETRANSLATE(A7929,""bn"",""en"")"),"He gained popularity in the media")</f>
        <v>He gained popularity in the media</v>
      </c>
      <c r="D7929" s="5"/>
      <c r="E7929" s="5"/>
      <c r="F7929" s="5"/>
      <c r="G7929" s="5"/>
      <c r="H7929" s="5"/>
      <c r="I7929" s="5"/>
      <c r="J7929" s="5"/>
      <c r="K7929" s="5"/>
      <c r="L7929" s="5"/>
      <c r="M7929" s="5"/>
      <c r="N7929" s="5"/>
      <c r="O7929" s="5"/>
      <c r="P7929" s="5"/>
      <c r="Q7929" s="5"/>
      <c r="R7929" s="5"/>
      <c r="S7929" s="5"/>
      <c r="T7929" s="5"/>
      <c r="U7929" s="5"/>
      <c r="V7929" s="5"/>
      <c r="W7929" s="5"/>
      <c r="X7929" s="5"/>
      <c r="Y7929" s="5"/>
      <c r="Z7929" s="5"/>
    </row>
    <row r="7930" spans="1:26" ht="15" x14ac:dyDescent="0.25">
      <c r="A7930" s="4" t="s">
        <v>7928</v>
      </c>
      <c r="B7930" s="4" t="s">
        <v>4550</v>
      </c>
      <c r="C7930" s="2" t="str">
        <f ca="1">IFERROR(__xludf.DUMMYFUNCTION("GOOGLETRANSLATE(A7930,""bn"",""en"")"),"I went to university to study literature")</f>
        <v>I went to university to study literature</v>
      </c>
      <c r="D7930" s="5"/>
      <c r="E7930" s="5"/>
      <c r="F7930" s="5"/>
      <c r="G7930" s="5"/>
      <c r="H7930" s="5"/>
      <c r="I7930" s="5"/>
      <c r="J7930" s="5"/>
      <c r="K7930" s="5"/>
      <c r="L7930" s="5"/>
      <c r="M7930" s="5"/>
      <c r="N7930" s="5"/>
      <c r="O7930" s="5"/>
      <c r="P7930" s="5"/>
      <c r="Q7930" s="5"/>
      <c r="R7930" s="5"/>
      <c r="S7930" s="5"/>
      <c r="T7930" s="5"/>
      <c r="U7930" s="5"/>
      <c r="V7930" s="5"/>
      <c r="W7930" s="5"/>
      <c r="X7930" s="5"/>
      <c r="Y7930" s="5"/>
      <c r="Z7930" s="5"/>
    </row>
    <row r="7931" spans="1:26" ht="15" x14ac:dyDescent="0.25">
      <c r="A7931" s="4" t="s">
        <v>7929</v>
      </c>
      <c r="B7931" s="4" t="s">
        <v>4550</v>
      </c>
      <c r="C7931" s="2" t="str">
        <f ca="1">IFERROR(__xludf.DUMMYFUNCTION("GOOGLETRANSLATE(A7931,""bn"",""en"")"),"I took the bank job test")</f>
        <v>I took the bank job test</v>
      </c>
      <c r="D7931" s="5"/>
      <c r="E7931" s="5"/>
      <c r="F7931" s="5"/>
      <c r="G7931" s="5"/>
      <c r="H7931" s="5"/>
      <c r="I7931" s="5"/>
      <c r="J7931" s="5"/>
      <c r="K7931" s="5"/>
      <c r="L7931" s="5"/>
      <c r="M7931" s="5"/>
      <c r="N7931" s="5"/>
      <c r="O7931" s="5"/>
      <c r="P7931" s="5"/>
      <c r="Q7931" s="5"/>
      <c r="R7931" s="5"/>
      <c r="S7931" s="5"/>
      <c r="T7931" s="5"/>
      <c r="U7931" s="5"/>
      <c r="V7931" s="5"/>
      <c r="W7931" s="5"/>
      <c r="X7931" s="5"/>
      <c r="Y7931" s="5"/>
      <c r="Z7931" s="5"/>
    </row>
    <row r="7932" spans="1:26" ht="15" x14ac:dyDescent="0.25">
      <c r="A7932" s="4" t="s">
        <v>7930</v>
      </c>
      <c r="B7932" s="4" t="s">
        <v>4550</v>
      </c>
      <c r="C7932" s="2" t="str">
        <f ca="1">IFERROR(__xludf.DUMMYFUNCTION("GOOGLETRANSLATE(A7932,""bn"",""en"")"),"Participated in the competition before")</f>
        <v>Participated in the competition before</v>
      </c>
      <c r="D7932" s="5"/>
      <c r="E7932" s="5"/>
      <c r="F7932" s="5"/>
      <c r="G7932" s="5"/>
      <c r="H7932" s="5"/>
      <c r="I7932" s="5"/>
      <c r="J7932" s="5"/>
      <c r="K7932" s="5"/>
      <c r="L7932" s="5"/>
      <c r="M7932" s="5"/>
      <c r="N7932" s="5"/>
      <c r="O7932" s="5"/>
      <c r="P7932" s="5"/>
      <c r="Q7932" s="5"/>
      <c r="R7932" s="5"/>
      <c r="S7932" s="5"/>
      <c r="T7932" s="5"/>
      <c r="U7932" s="5"/>
      <c r="V7932" s="5"/>
      <c r="W7932" s="5"/>
      <c r="X7932" s="5"/>
      <c r="Y7932" s="5"/>
      <c r="Z7932" s="5"/>
    </row>
    <row r="7933" spans="1:26" ht="15" x14ac:dyDescent="0.25">
      <c r="A7933" s="4" t="s">
        <v>7931</v>
      </c>
      <c r="B7933" s="4" t="s">
        <v>4550</v>
      </c>
      <c r="C7933" s="2" t="str">
        <f ca="1">IFERROR(__xludf.DUMMYFUNCTION("GOOGLETRANSLATE(A7933,""bn"",""en"")"),"We went to the cinema")</f>
        <v>We went to the cinema</v>
      </c>
      <c r="D7933" s="5"/>
      <c r="E7933" s="5"/>
      <c r="F7933" s="5"/>
      <c r="G7933" s="5"/>
      <c r="H7933" s="5"/>
      <c r="I7933" s="5"/>
      <c r="J7933" s="5"/>
      <c r="K7933" s="5"/>
      <c r="L7933" s="5"/>
      <c r="M7933" s="5"/>
      <c r="N7933" s="5"/>
      <c r="O7933" s="5"/>
      <c r="P7933" s="5"/>
      <c r="Q7933" s="5"/>
      <c r="R7933" s="5"/>
      <c r="S7933" s="5"/>
      <c r="T7933" s="5"/>
      <c r="U7933" s="5"/>
      <c r="V7933" s="5"/>
      <c r="W7933" s="5"/>
      <c r="X7933" s="5"/>
      <c r="Y7933" s="5"/>
      <c r="Z7933" s="5"/>
    </row>
    <row r="7934" spans="1:26" ht="15" x14ac:dyDescent="0.25">
      <c r="A7934" s="4" t="s">
        <v>7932</v>
      </c>
      <c r="B7934" s="4" t="s">
        <v>4550</v>
      </c>
      <c r="C7934" s="2" t="str">
        <f ca="1">IFERROR(__xludf.DUMMYFUNCTION("GOOGLETRANSLATE(A7934,""bn"",""en"")"),"Watched the mobile to pass the time")</f>
        <v>Watched the mobile to pass the time</v>
      </c>
      <c r="D7934" s="5"/>
      <c r="E7934" s="5"/>
      <c r="F7934" s="5"/>
      <c r="G7934" s="5"/>
      <c r="H7934" s="5"/>
      <c r="I7934" s="5"/>
      <c r="J7934" s="5"/>
      <c r="K7934" s="5"/>
      <c r="L7934" s="5"/>
      <c r="M7934" s="5"/>
      <c r="N7934" s="5"/>
      <c r="O7934" s="5"/>
      <c r="P7934" s="5"/>
      <c r="Q7934" s="5"/>
      <c r="R7934" s="5"/>
      <c r="S7934" s="5"/>
      <c r="T7934" s="5"/>
      <c r="U7934" s="5"/>
      <c r="V7934" s="5"/>
      <c r="W7934" s="5"/>
      <c r="X7934" s="5"/>
      <c r="Y7934" s="5"/>
      <c r="Z7934" s="5"/>
    </row>
    <row r="7935" spans="1:26" ht="15" x14ac:dyDescent="0.25">
      <c r="A7935" s="4" t="s">
        <v>7933</v>
      </c>
      <c r="B7935" s="4" t="s">
        <v>4550</v>
      </c>
      <c r="C7935" s="2" t="str">
        <f ca="1">IFERROR(__xludf.DUMMYFUNCTION("GOOGLETRANSLATE(A7935,""bn"",""en"")"),"He was frying chicken")</f>
        <v>He was frying chicken</v>
      </c>
      <c r="D7935" s="5"/>
      <c r="E7935" s="5"/>
      <c r="F7935" s="5"/>
      <c r="G7935" s="5"/>
      <c r="H7935" s="5"/>
      <c r="I7935" s="5"/>
      <c r="J7935" s="5"/>
      <c r="K7935" s="5"/>
      <c r="L7935" s="5"/>
      <c r="M7935" s="5"/>
      <c r="N7935" s="5"/>
      <c r="O7935" s="5"/>
      <c r="P7935" s="5"/>
      <c r="Q7935" s="5"/>
      <c r="R7935" s="5"/>
      <c r="S7935" s="5"/>
      <c r="T7935" s="5"/>
      <c r="U7935" s="5"/>
      <c r="V7935" s="5"/>
      <c r="W7935" s="5"/>
      <c r="X7935" s="5"/>
      <c r="Y7935" s="5"/>
      <c r="Z7935" s="5"/>
    </row>
    <row r="7936" spans="1:26" ht="15" x14ac:dyDescent="0.25">
      <c r="A7936" s="4" t="s">
        <v>7934</v>
      </c>
      <c r="B7936" s="4" t="s">
        <v>4550</v>
      </c>
      <c r="C7936" s="2" t="str">
        <f ca="1">IFERROR(__xludf.DUMMYFUNCTION("GOOGLETRANSLATE(A7936,""bn"",""en"")"),"I was tasting the tea")</f>
        <v>I was tasting the tea</v>
      </c>
      <c r="D7936" s="5"/>
      <c r="E7936" s="5"/>
      <c r="F7936" s="5"/>
      <c r="G7936" s="5"/>
      <c r="H7936" s="5"/>
      <c r="I7936" s="5"/>
      <c r="J7936" s="5"/>
      <c r="K7936" s="5"/>
      <c r="L7936" s="5"/>
      <c r="M7936" s="5"/>
      <c r="N7936" s="5"/>
      <c r="O7936" s="5"/>
      <c r="P7936" s="5"/>
      <c r="Q7936" s="5"/>
      <c r="R7936" s="5"/>
      <c r="S7936" s="5"/>
      <c r="T7936" s="5"/>
      <c r="U7936" s="5"/>
      <c r="V7936" s="5"/>
      <c r="W7936" s="5"/>
      <c r="X7936" s="5"/>
      <c r="Y7936" s="5"/>
      <c r="Z7936" s="5"/>
    </row>
    <row r="7937" spans="1:26" ht="15" x14ac:dyDescent="0.25">
      <c r="A7937" s="4" t="s">
        <v>7935</v>
      </c>
      <c r="B7937" s="4" t="s">
        <v>4550</v>
      </c>
      <c r="C7937" s="2" t="str">
        <f ca="1">IFERROR(__xludf.DUMMYFUNCTION("GOOGLETRANSLATE(A7937,""bn"",""en"")"),"I was making fish stew")</f>
        <v>I was making fish stew</v>
      </c>
      <c r="D7937" s="5"/>
      <c r="E7937" s="5"/>
      <c r="F7937" s="5"/>
      <c r="G7937" s="5"/>
      <c r="H7937" s="5"/>
      <c r="I7937" s="5"/>
      <c r="J7937" s="5"/>
      <c r="K7937" s="5"/>
      <c r="L7937" s="5"/>
      <c r="M7937" s="5"/>
      <c r="N7937" s="5"/>
      <c r="O7937" s="5"/>
      <c r="P7937" s="5"/>
      <c r="Q7937" s="5"/>
      <c r="R7937" s="5"/>
      <c r="S7937" s="5"/>
      <c r="T7937" s="5"/>
      <c r="U7937" s="5"/>
      <c r="V7937" s="5"/>
      <c r="W7937" s="5"/>
      <c r="X7937" s="5"/>
      <c r="Y7937" s="5"/>
      <c r="Z7937" s="5"/>
    </row>
    <row r="7938" spans="1:26" ht="15" x14ac:dyDescent="0.25">
      <c r="A7938" s="4" t="s">
        <v>7936</v>
      </c>
      <c r="B7938" s="4" t="s">
        <v>4550</v>
      </c>
      <c r="C7938" s="2" t="str">
        <f ca="1">IFERROR(__xludf.DUMMYFUNCTION("GOOGLETRANSLATE(A7938,""bn"",""en"")"),"I was good at sports")</f>
        <v>I was good at sports</v>
      </c>
      <c r="D7938" s="5"/>
      <c r="E7938" s="5"/>
      <c r="F7938" s="5"/>
      <c r="G7938" s="5"/>
      <c r="H7938" s="5"/>
      <c r="I7938" s="5"/>
      <c r="J7938" s="5"/>
      <c r="K7938" s="5"/>
      <c r="L7938" s="5"/>
      <c r="M7938" s="5"/>
      <c r="N7938" s="5"/>
      <c r="O7938" s="5"/>
      <c r="P7938" s="5"/>
      <c r="Q7938" s="5"/>
      <c r="R7938" s="5"/>
      <c r="S7938" s="5"/>
      <c r="T7938" s="5"/>
      <c r="U7938" s="5"/>
      <c r="V7938" s="5"/>
      <c r="W7938" s="5"/>
      <c r="X7938" s="5"/>
      <c r="Y7938" s="5"/>
      <c r="Z7938" s="5"/>
    </row>
    <row r="7939" spans="1:26" ht="15" x14ac:dyDescent="0.25">
      <c r="A7939" s="4" t="s">
        <v>7937</v>
      </c>
      <c r="B7939" s="4" t="s">
        <v>4550</v>
      </c>
      <c r="C7939" s="2" t="str">
        <f ca="1">IFERROR(__xludf.DUMMYFUNCTION("GOOGLETRANSLATE(A7939,""bn"",""en"")"),"Kalija was roasting during the picnic")</f>
        <v>Kalija was roasting during the picnic</v>
      </c>
      <c r="D7939" s="5"/>
      <c r="E7939" s="5"/>
      <c r="F7939" s="5"/>
      <c r="G7939" s="5"/>
      <c r="H7939" s="5"/>
      <c r="I7939" s="5"/>
      <c r="J7939" s="5"/>
      <c r="K7939" s="5"/>
      <c r="L7939" s="5"/>
      <c r="M7939" s="5"/>
      <c r="N7939" s="5"/>
      <c r="O7939" s="5"/>
      <c r="P7939" s="5"/>
      <c r="Q7939" s="5"/>
      <c r="R7939" s="5"/>
      <c r="S7939" s="5"/>
      <c r="T7939" s="5"/>
      <c r="U7939" s="5"/>
      <c r="V7939" s="5"/>
      <c r="W7939" s="5"/>
      <c r="X7939" s="5"/>
      <c r="Y7939" s="5"/>
      <c r="Z7939" s="5"/>
    </row>
    <row r="7940" spans="1:26" ht="15" x14ac:dyDescent="0.25">
      <c r="A7940" s="4" t="s">
        <v>7938</v>
      </c>
      <c r="B7940" s="4" t="s">
        <v>4550</v>
      </c>
      <c r="C7940" s="2" t="str">
        <f ca="1">IFERROR(__xludf.DUMMYFUNCTION("GOOGLETRANSLATE(A7940,""bn"",""en"")"),"The players played well in the final")</f>
        <v>The players played well in the final</v>
      </c>
      <c r="D7940" s="5"/>
      <c r="E7940" s="5"/>
      <c r="F7940" s="5"/>
      <c r="G7940" s="5"/>
      <c r="H7940" s="5"/>
      <c r="I7940" s="5"/>
      <c r="J7940" s="5"/>
      <c r="K7940" s="5"/>
      <c r="L7940" s="5"/>
      <c r="M7940" s="5"/>
      <c r="N7940" s="5"/>
      <c r="O7940" s="5"/>
      <c r="P7940" s="5"/>
      <c r="Q7940" s="5"/>
      <c r="R7940" s="5"/>
      <c r="S7940" s="5"/>
      <c r="T7940" s="5"/>
      <c r="U7940" s="5"/>
      <c r="V7940" s="5"/>
      <c r="W7940" s="5"/>
      <c r="X7940" s="5"/>
      <c r="Y7940" s="5"/>
      <c r="Z7940" s="5"/>
    </row>
    <row r="7941" spans="1:26" ht="15" x14ac:dyDescent="0.25">
      <c r="A7941" s="4" t="s">
        <v>7939</v>
      </c>
      <c r="B7941" s="4" t="s">
        <v>4550</v>
      </c>
      <c r="C7941" s="2" t="str">
        <f ca="1">IFERROR(__xludf.DUMMYFUNCTION("GOOGLETRANSLATE(A7941,""bn"",""en"")"),"Cyber ​​security has been enhanced")</f>
        <v>Cyber ​​security has been enhanced</v>
      </c>
      <c r="D7941" s="5"/>
      <c r="E7941" s="5"/>
      <c r="F7941" s="5"/>
      <c r="G7941" s="5"/>
      <c r="H7941" s="5"/>
      <c r="I7941" s="5"/>
      <c r="J7941" s="5"/>
      <c r="K7941" s="5"/>
      <c r="L7941" s="5"/>
      <c r="M7941" s="5"/>
      <c r="N7941" s="5"/>
      <c r="O7941" s="5"/>
      <c r="P7941" s="5"/>
      <c r="Q7941" s="5"/>
      <c r="R7941" s="5"/>
      <c r="S7941" s="5"/>
      <c r="T7941" s="5"/>
      <c r="U7941" s="5"/>
      <c r="V7941" s="5"/>
      <c r="W7941" s="5"/>
      <c r="X7941" s="5"/>
      <c r="Y7941" s="5"/>
      <c r="Z7941" s="5"/>
    </row>
    <row r="7942" spans="1:26" ht="15" x14ac:dyDescent="0.25">
      <c r="A7942" s="4" t="s">
        <v>7940</v>
      </c>
      <c r="B7942" s="4" t="s">
        <v>4550</v>
      </c>
      <c r="C7942" s="2" t="str">
        <f ca="1">IFERROR(__xludf.DUMMYFUNCTION("GOOGLETRANSLATE(A7942,""bn"",""en"")"),"I went to eat in the college cafeteria")</f>
        <v>I went to eat in the college cafeteria</v>
      </c>
      <c r="D7942" s="5"/>
      <c r="E7942" s="5"/>
      <c r="F7942" s="5"/>
      <c r="G7942" s="5"/>
      <c r="H7942" s="5"/>
      <c r="I7942" s="5"/>
      <c r="J7942" s="5"/>
      <c r="K7942" s="5"/>
      <c r="L7942" s="5"/>
      <c r="M7942" s="5"/>
      <c r="N7942" s="5"/>
      <c r="O7942" s="5"/>
      <c r="P7942" s="5"/>
      <c r="Q7942" s="5"/>
      <c r="R7942" s="5"/>
      <c r="S7942" s="5"/>
      <c r="T7942" s="5"/>
      <c r="U7942" s="5"/>
      <c r="V7942" s="5"/>
      <c r="W7942" s="5"/>
      <c r="X7942" s="5"/>
      <c r="Y7942" s="5"/>
      <c r="Z7942" s="5"/>
    </row>
    <row r="7943" spans="1:26" ht="15" x14ac:dyDescent="0.25">
      <c r="A7943" s="4" t="s">
        <v>7941</v>
      </c>
      <c r="B7943" s="4" t="s">
        <v>4550</v>
      </c>
      <c r="C7943" s="2" t="str">
        <f ca="1">IFERROR(__xludf.DUMMYFUNCTION("GOOGLETRANSLATE(A7943,""bn"",""en"")"),"The football match was great")</f>
        <v>The football match was great</v>
      </c>
      <c r="D7943" s="5"/>
      <c r="E7943" s="5"/>
      <c r="F7943" s="5"/>
      <c r="G7943" s="5"/>
      <c r="H7943" s="5"/>
      <c r="I7943" s="5"/>
      <c r="J7943" s="5"/>
      <c r="K7943" s="5"/>
      <c r="L7943" s="5"/>
      <c r="M7943" s="5"/>
      <c r="N7943" s="5"/>
      <c r="O7943" s="5"/>
      <c r="P7943" s="5"/>
      <c r="Q7943" s="5"/>
      <c r="R7943" s="5"/>
      <c r="S7943" s="5"/>
      <c r="T7943" s="5"/>
      <c r="U7943" s="5"/>
      <c r="V7943" s="5"/>
      <c r="W7943" s="5"/>
      <c r="X7943" s="5"/>
      <c r="Y7943" s="5"/>
      <c r="Z7943" s="5"/>
    </row>
    <row r="7944" spans="1:26" ht="15" x14ac:dyDescent="0.25">
      <c r="A7944" s="4" t="s">
        <v>7942</v>
      </c>
      <c r="B7944" s="4" t="s">
        <v>4550</v>
      </c>
      <c r="C7944" s="2" t="str">
        <f ca="1">IFERROR(__xludf.DUMMYFUNCTION("GOOGLETRANSLATE(A7944,""bn"",""en"")"),"New it was needed")</f>
        <v>New it was needed</v>
      </c>
      <c r="D7944" s="5"/>
      <c r="E7944" s="5"/>
      <c r="F7944" s="5"/>
      <c r="G7944" s="5"/>
      <c r="H7944" s="5"/>
      <c r="I7944" s="5"/>
      <c r="J7944" s="5"/>
      <c r="K7944" s="5"/>
      <c r="L7944" s="5"/>
      <c r="M7944" s="5"/>
      <c r="N7944" s="5"/>
      <c r="O7944" s="5"/>
      <c r="P7944" s="5"/>
      <c r="Q7944" s="5"/>
      <c r="R7944" s="5"/>
      <c r="S7944" s="5"/>
      <c r="T7944" s="5"/>
      <c r="U7944" s="5"/>
      <c r="V7944" s="5"/>
      <c r="W7944" s="5"/>
      <c r="X7944" s="5"/>
      <c r="Y7944" s="5"/>
      <c r="Z7944" s="5"/>
    </row>
    <row r="7945" spans="1:26" ht="15" x14ac:dyDescent="0.25">
      <c r="A7945" s="4" t="s">
        <v>7943</v>
      </c>
      <c r="B7945" s="4" t="s">
        <v>4550</v>
      </c>
      <c r="C7945" s="2" t="str">
        <f ca="1">IFERROR(__xludf.DUMMYFUNCTION("GOOGLETRANSLATE(A7945,""bn"",""en"")"),"They understood a picture")</f>
        <v>They understood a picture</v>
      </c>
      <c r="D7945" s="5"/>
      <c r="E7945" s="5"/>
      <c r="F7945" s="5"/>
      <c r="G7945" s="5"/>
      <c r="H7945" s="5"/>
      <c r="I7945" s="5"/>
      <c r="J7945" s="5"/>
      <c r="K7945" s="5"/>
      <c r="L7945" s="5"/>
      <c r="M7945" s="5"/>
      <c r="N7945" s="5"/>
      <c r="O7945" s="5"/>
      <c r="P7945" s="5"/>
      <c r="Q7945" s="5"/>
      <c r="R7945" s="5"/>
      <c r="S7945" s="5"/>
      <c r="T7945" s="5"/>
      <c r="U7945" s="5"/>
      <c r="V7945" s="5"/>
      <c r="W7945" s="5"/>
      <c r="X7945" s="5"/>
      <c r="Y7945" s="5"/>
      <c r="Z7945" s="5"/>
    </row>
    <row r="7946" spans="1:26" ht="15" x14ac:dyDescent="0.25">
      <c r="A7946" s="4" t="s">
        <v>7944</v>
      </c>
      <c r="B7946" s="4" t="s">
        <v>4550</v>
      </c>
      <c r="C7946" s="2" t="str">
        <f ca="1">IFERROR(__xludf.DUMMYFUNCTION("GOOGLETRANSLATE(A7946,""bn"",""en"")"),"If you watch a romantic movie")</f>
        <v>If you watch a romantic movie</v>
      </c>
      <c r="D7946" s="5"/>
      <c r="E7946" s="5"/>
      <c r="F7946" s="5"/>
      <c r="G7946" s="5"/>
      <c r="H7946" s="5"/>
      <c r="I7946" s="5"/>
      <c r="J7946" s="5"/>
      <c r="K7946" s="5"/>
      <c r="L7946" s="5"/>
      <c r="M7946" s="5"/>
      <c r="N7946" s="5"/>
      <c r="O7946" s="5"/>
      <c r="P7946" s="5"/>
      <c r="Q7946" s="5"/>
      <c r="R7946" s="5"/>
      <c r="S7946" s="5"/>
      <c r="T7946" s="5"/>
      <c r="U7946" s="5"/>
      <c r="V7946" s="5"/>
      <c r="W7946" s="5"/>
      <c r="X7946" s="5"/>
      <c r="Y7946" s="5"/>
      <c r="Z7946" s="5"/>
    </row>
    <row r="7947" spans="1:26" ht="15" x14ac:dyDescent="0.25">
      <c r="A7947" s="4" t="s">
        <v>7945</v>
      </c>
      <c r="B7947" s="4" t="s">
        <v>4550</v>
      </c>
      <c r="C7947" s="2" t="str">
        <f ca="1">IFERROR(__xludf.DUMMYFUNCTION("GOOGLETRANSLATE(A7947,""bn"",""en"")"),"He took pictures with a camera")</f>
        <v>He took pictures with a camera</v>
      </c>
      <c r="D7947" s="5"/>
      <c r="E7947" s="5"/>
      <c r="F7947" s="5"/>
      <c r="G7947" s="5"/>
      <c r="H7947" s="5"/>
      <c r="I7947" s="5"/>
      <c r="J7947" s="5"/>
      <c r="K7947" s="5"/>
      <c r="L7947" s="5"/>
      <c r="M7947" s="5"/>
      <c r="N7947" s="5"/>
      <c r="O7947" s="5"/>
      <c r="P7947" s="5"/>
      <c r="Q7947" s="5"/>
      <c r="R7947" s="5"/>
      <c r="S7947" s="5"/>
      <c r="T7947" s="5"/>
      <c r="U7947" s="5"/>
      <c r="V7947" s="5"/>
      <c r="W7947" s="5"/>
      <c r="X7947" s="5"/>
      <c r="Y7947" s="5"/>
      <c r="Z7947" s="5"/>
    </row>
    <row r="7948" spans="1:26" ht="15" x14ac:dyDescent="0.25">
      <c r="A7948" s="4" t="s">
        <v>7946</v>
      </c>
      <c r="B7948" s="4" t="s">
        <v>4550</v>
      </c>
      <c r="C7948" s="2" t="str">
        <f ca="1">IFERROR(__xludf.DUMMYFUNCTION("GOOGLETRANSLATE(A7948,""bn"",""en"")"),"I joined the wedding ceremony")</f>
        <v>I joined the wedding ceremony</v>
      </c>
      <c r="D7948" s="5"/>
      <c r="E7948" s="5"/>
      <c r="F7948" s="5"/>
      <c r="G7948" s="5"/>
      <c r="H7948" s="5"/>
      <c r="I7948" s="5"/>
      <c r="J7948" s="5"/>
      <c r="K7948" s="5"/>
      <c r="L7948" s="5"/>
      <c r="M7948" s="5"/>
      <c r="N7948" s="5"/>
      <c r="O7948" s="5"/>
      <c r="P7948" s="5"/>
      <c r="Q7948" s="5"/>
      <c r="R7948" s="5"/>
      <c r="S7948" s="5"/>
      <c r="T7948" s="5"/>
      <c r="U7948" s="5"/>
      <c r="V7948" s="5"/>
      <c r="W7948" s="5"/>
      <c r="X7948" s="5"/>
      <c r="Y7948" s="5"/>
      <c r="Z7948" s="5"/>
    </row>
    <row r="7949" spans="1:26" ht="15" x14ac:dyDescent="0.25">
      <c r="A7949" s="4" t="s">
        <v>7947</v>
      </c>
      <c r="B7949" s="4" t="s">
        <v>4550</v>
      </c>
      <c r="C7949" s="2" t="str">
        <f ca="1">IFERROR(__xludf.DUMMYFUNCTION("GOOGLETRANSLATE(A7949,""bn"",""en"")"),"He was bowling spaghetti")</f>
        <v>He was bowling spaghetti</v>
      </c>
      <c r="D7949" s="5"/>
      <c r="E7949" s="5"/>
      <c r="F7949" s="5"/>
      <c r="G7949" s="5"/>
      <c r="H7949" s="5"/>
      <c r="I7949" s="5"/>
      <c r="J7949" s="5"/>
      <c r="K7949" s="5"/>
      <c r="L7949" s="5"/>
      <c r="M7949" s="5"/>
      <c r="N7949" s="5"/>
      <c r="O7949" s="5"/>
      <c r="P7949" s="5"/>
      <c r="Q7949" s="5"/>
      <c r="R7949" s="5"/>
      <c r="S7949" s="5"/>
      <c r="T7949" s="5"/>
      <c r="U7949" s="5"/>
      <c r="V7949" s="5"/>
      <c r="W7949" s="5"/>
      <c r="X7949" s="5"/>
      <c r="Y7949" s="5"/>
      <c r="Z7949" s="5"/>
    </row>
    <row r="7950" spans="1:26" ht="15" x14ac:dyDescent="0.25">
      <c r="A7950" s="4" t="s">
        <v>7948</v>
      </c>
      <c r="B7950" s="4" t="s">
        <v>4550</v>
      </c>
      <c r="C7950" s="2" t="str">
        <f ca="1">IFERROR(__xludf.DUMMYFUNCTION("GOOGLETRANSLATE(A7950,""bn"",""en"")"),"He was watching the film")</f>
        <v>He was watching the film</v>
      </c>
      <c r="D7950" s="5"/>
      <c r="E7950" s="5"/>
      <c r="F7950" s="5"/>
      <c r="G7950" s="5"/>
      <c r="H7950" s="5"/>
      <c r="I7950" s="5"/>
      <c r="J7950" s="5"/>
      <c r="K7950" s="5"/>
      <c r="L7950" s="5"/>
      <c r="M7950" s="5"/>
      <c r="N7950" s="5"/>
      <c r="O7950" s="5"/>
      <c r="P7950" s="5"/>
      <c r="Q7950" s="5"/>
      <c r="R7950" s="5"/>
      <c r="S7950" s="5"/>
      <c r="T7950" s="5"/>
      <c r="U7950" s="5"/>
      <c r="V7950" s="5"/>
      <c r="W7950" s="5"/>
      <c r="X7950" s="5"/>
      <c r="Y7950" s="5"/>
      <c r="Z7950" s="5"/>
    </row>
    <row r="7951" spans="1:26" ht="15" x14ac:dyDescent="0.25">
      <c r="A7951" s="4" t="s">
        <v>7949</v>
      </c>
      <c r="B7951" s="4" t="s">
        <v>4550</v>
      </c>
      <c r="C7951" s="2" t="str">
        <f ca="1">IFERROR(__xludf.DUMMYFUNCTION("GOOGLETRANSLATE(A7951,""bn"",""en"")"),"He was laughing while watching the movie")</f>
        <v>He was laughing while watching the movie</v>
      </c>
      <c r="D7951" s="5"/>
      <c r="E7951" s="5"/>
      <c r="F7951" s="5"/>
      <c r="G7951" s="5"/>
      <c r="H7951" s="5"/>
      <c r="I7951" s="5"/>
      <c r="J7951" s="5"/>
      <c r="K7951" s="5"/>
      <c r="L7951" s="5"/>
      <c r="M7951" s="5"/>
      <c r="N7951" s="5"/>
      <c r="O7951" s="5"/>
      <c r="P7951" s="5"/>
      <c r="Q7951" s="5"/>
      <c r="R7951" s="5"/>
      <c r="S7951" s="5"/>
      <c r="T7951" s="5"/>
      <c r="U7951" s="5"/>
      <c r="V7951" s="5"/>
      <c r="W7951" s="5"/>
      <c r="X7951" s="5"/>
      <c r="Y7951" s="5"/>
      <c r="Z7951" s="5"/>
    </row>
    <row r="7952" spans="1:26" ht="15" x14ac:dyDescent="0.25">
      <c r="A7952" s="4" t="s">
        <v>7950</v>
      </c>
      <c r="B7952" s="4" t="s">
        <v>4550</v>
      </c>
      <c r="C7952" s="2" t="str">
        <f ca="1">IFERROR(__xludf.DUMMYFUNCTION("GOOGLETRANSLATE(A7952,""bn"",""en"")"),"You were eating shrimp in hot water")</f>
        <v>You were eating shrimp in hot water</v>
      </c>
      <c r="D7952" s="5"/>
      <c r="E7952" s="5"/>
      <c r="F7952" s="5"/>
      <c r="G7952" s="5"/>
      <c r="H7952" s="5"/>
      <c r="I7952" s="5"/>
      <c r="J7952" s="5"/>
      <c r="K7952" s="5"/>
      <c r="L7952" s="5"/>
      <c r="M7952" s="5"/>
      <c r="N7952" s="5"/>
      <c r="O7952" s="5"/>
      <c r="P7952" s="5"/>
      <c r="Q7952" s="5"/>
      <c r="R7952" s="5"/>
      <c r="S7952" s="5"/>
      <c r="T7952" s="5"/>
      <c r="U7952" s="5"/>
      <c r="V7952" s="5"/>
      <c r="W7952" s="5"/>
      <c r="X7952" s="5"/>
      <c r="Y7952" s="5"/>
      <c r="Z7952" s="5"/>
    </row>
    <row r="7953" spans="1:26" ht="15" x14ac:dyDescent="0.25">
      <c r="A7953" s="4" t="s">
        <v>7951</v>
      </c>
      <c r="B7953" s="4" t="s">
        <v>4550</v>
      </c>
      <c r="C7953" s="2" t="str">
        <f ca="1">IFERROR(__xludf.DUMMYFUNCTION("GOOGLETRANSLATE(A7953,""bn"",""en"")"),"I excelled in exams")</f>
        <v>I excelled in exams</v>
      </c>
      <c r="D7953" s="5"/>
      <c r="E7953" s="5"/>
      <c r="F7953" s="5"/>
      <c r="G7953" s="5"/>
      <c r="H7953" s="5"/>
      <c r="I7953" s="5"/>
      <c r="J7953" s="5"/>
      <c r="K7953" s="5"/>
      <c r="L7953" s="5"/>
      <c r="M7953" s="5"/>
      <c r="N7953" s="5"/>
      <c r="O7953" s="5"/>
      <c r="P7953" s="5"/>
      <c r="Q7953" s="5"/>
      <c r="R7953" s="5"/>
      <c r="S7953" s="5"/>
      <c r="T7953" s="5"/>
      <c r="U7953" s="5"/>
      <c r="V7953" s="5"/>
      <c r="W7953" s="5"/>
      <c r="X7953" s="5"/>
      <c r="Y7953" s="5"/>
      <c r="Z7953" s="5"/>
    </row>
    <row r="7954" spans="1:26" ht="15" x14ac:dyDescent="0.25">
      <c r="A7954" s="4" t="s">
        <v>7952</v>
      </c>
      <c r="B7954" s="4" t="s">
        <v>4550</v>
      </c>
      <c r="C7954" s="2" t="str">
        <f ca="1">IFERROR(__xludf.DUMMYFUNCTION("GOOGLETRANSLATE(A7954,""bn"",""en"")"),"The news was circulated on the Internet")</f>
        <v>The news was circulated on the Internet</v>
      </c>
      <c r="D7954" s="5"/>
      <c r="E7954" s="5"/>
      <c r="F7954" s="5"/>
      <c r="G7954" s="5"/>
      <c r="H7954" s="5"/>
      <c r="I7954" s="5"/>
      <c r="J7954" s="5"/>
      <c r="K7954" s="5"/>
      <c r="L7954" s="5"/>
      <c r="M7954" s="5"/>
      <c r="N7954" s="5"/>
      <c r="O7954" s="5"/>
      <c r="P7954" s="5"/>
      <c r="Q7954" s="5"/>
      <c r="R7954" s="5"/>
      <c r="S7954" s="5"/>
      <c r="T7954" s="5"/>
      <c r="U7954" s="5"/>
      <c r="V7954" s="5"/>
      <c r="W7954" s="5"/>
      <c r="X7954" s="5"/>
      <c r="Y7954" s="5"/>
      <c r="Z7954" s="5"/>
    </row>
    <row r="7955" spans="1:26" ht="15" x14ac:dyDescent="0.25">
      <c r="A7955" s="4" t="s">
        <v>7953</v>
      </c>
      <c r="B7955" s="4" t="s">
        <v>4550</v>
      </c>
      <c r="C7955" s="2" t="str">
        <f ca="1">IFERROR(__xludf.DUMMYFUNCTION("GOOGLETRANSLATE(A7955,""bn"",""en"")"),"There was growth in education")</f>
        <v>There was growth in education</v>
      </c>
      <c r="D7955" s="5"/>
      <c r="E7955" s="5"/>
      <c r="F7955" s="5"/>
      <c r="G7955" s="5"/>
      <c r="H7955" s="5"/>
      <c r="I7955" s="5"/>
      <c r="J7955" s="5"/>
      <c r="K7955" s="5"/>
      <c r="L7955" s="5"/>
      <c r="M7955" s="5"/>
      <c r="N7955" s="5"/>
      <c r="O7955" s="5"/>
      <c r="P7955" s="5"/>
      <c r="Q7955" s="5"/>
      <c r="R7955" s="5"/>
      <c r="S7955" s="5"/>
      <c r="T7955" s="5"/>
      <c r="U7955" s="5"/>
      <c r="V7955" s="5"/>
      <c r="W7955" s="5"/>
      <c r="X7955" s="5"/>
      <c r="Y7955" s="5"/>
      <c r="Z7955" s="5"/>
    </row>
    <row r="7956" spans="1:26" ht="15" x14ac:dyDescent="0.25">
      <c r="A7956" s="4" t="s">
        <v>7954</v>
      </c>
      <c r="B7956" s="4" t="s">
        <v>4550</v>
      </c>
      <c r="C7956" s="2" t="str">
        <f ca="1">IFERROR(__xludf.DUMMYFUNCTION("GOOGLETRANSLATE(A7956,""bn"",""en"")"),"Muslims went for Hajj")</f>
        <v>Muslims went for Hajj</v>
      </c>
      <c r="D7956" s="5"/>
      <c r="E7956" s="5"/>
      <c r="F7956" s="5"/>
      <c r="G7956" s="5"/>
      <c r="H7956" s="5"/>
      <c r="I7956" s="5"/>
      <c r="J7956" s="5"/>
      <c r="K7956" s="5"/>
      <c r="L7956" s="5"/>
      <c r="M7956" s="5"/>
      <c r="N7956" s="5"/>
      <c r="O7956" s="5"/>
      <c r="P7956" s="5"/>
      <c r="Q7956" s="5"/>
      <c r="R7956" s="5"/>
      <c r="S7956" s="5"/>
      <c r="T7956" s="5"/>
      <c r="U7956" s="5"/>
      <c r="V7956" s="5"/>
      <c r="W7956" s="5"/>
      <c r="X7956" s="5"/>
      <c r="Y7956" s="5"/>
      <c r="Z7956" s="5"/>
    </row>
    <row r="7957" spans="1:26" ht="15" x14ac:dyDescent="0.25">
      <c r="A7957" s="4" t="s">
        <v>7955</v>
      </c>
      <c r="B7957" s="4" t="s">
        <v>4550</v>
      </c>
      <c r="C7957" s="2" t="str">
        <f ca="1">IFERROR(__xludf.DUMMYFUNCTION("GOOGLETRANSLATE(A7957,""bn"",""en"")"),"The cabinet discussed recently")</f>
        <v>The cabinet discussed recently</v>
      </c>
      <c r="D7957" s="5"/>
      <c r="E7957" s="5"/>
      <c r="F7957" s="5"/>
      <c r="G7957" s="5"/>
      <c r="H7957" s="5"/>
      <c r="I7957" s="5"/>
      <c r="J7957" s="5"/>
      <c r="K7957" s="5"/>
      <c r="L7957" s="5"/>
      <c r="M7957" s="5"/>
      <c r="N7957" s="5"/>
      <c r="O7957" s="5"/>
      <c r="P7957" s="5"/>
      <c r="Q7957" s="5"/>
      <c r="R7957" s="5"/>
      <c r="S7957" s="5"/>
      <c r="T7957" s="5"/>
      <c r="U7957" s="5"/>
      <c r="V7957" s="5"/>
      <c r="W7957" s="5"/>
      <c r="X7957" s="5"/>
      <c r="Y7957" s="5"/>
      <c r="Z7957" s="5"/>
    </row>
    <row r="7958" spans="1:26" ht="15" x14ac:dyDescent="0.25">
      <c r="A7958" s="4" t="s">
        <v>7956</v>
      </c>
      <c r="B7958" s="4" t="s">
        <v>4550</v>
      </c>
      <c r="C7958" s="2" t="str">
        <f ca="1">IFERROR(__xludf.DUMMYFUNCTION("GOOGLETRANSLATE(A7958,""bn"",""en"")"),"Yesterday the children played tennis")</f>
        <v>Yesterday the children played tennis</v>
      </c>
      <c r="D7958" s="5"/>
      <c r="E7958" s="5"/>
      <c r="F7958" s="5"/>
      <c r="G7958" s="5"/>
      <c r="H7958" s="5"/>
      <c r="I7958" s="5"/>
      <c r="J7958" s="5"/>
      <c r="K7958" s="5"/>
      <c r="L7958" s="5"/>
      <c r="M7958" s="5"/>
      <c r="N7958" s="5"/>
      <c r="O7958" s="5"/>
      <c r="P7958" s="5"/>
      <c r="Q7958" s="5"/>
      <c r="R7958" s="5"/>
      <c r="S7958" s="5"/>
      <c r="T7958" s="5"/>
      <c r="U7958" s="5"/>
      <c r="V7958" s="5"/>
      <c r="W7958" s="5"/>
      <c r="X7958" s="5"/>
      <c r="Y7958" s="5"/>
      <c r="Z7958" s="5"/>
    </row>
    <row r="7959" spans="1:26" ht="15" x14ac:dyDescent="0.25">
      <c r="A7959" s="4" t="s">
        <v>7957</v>
      </c>
      <c r="B7959" s="4" t="s">
        <v>4550</v>
      </c>
      <c r="C7959" s="2" t="str">
        <f ca="1">IFERROR(__xludf.DUMMYFUNCTION("GOOGLETRANSLATE(A7959,""bn"",""en"")"),"There was a protest against the Prime Minister")</f>
        <v>There was a protest against the Prime Minister</v>
      </c>
      <c r="D7959" s="5"/>
      <c r="E7959" s="5"/>
      <c r="F7959" s="5"/>
      <c r="G7959" s="5"/>
      <c r="H7959" s="5"/>
      <c r="I7959" s="5"/>
      <c r="J7959" s="5"/>
      <c r="K7959" s="5"/>
      <c r="L7959" s="5"/>
      <c r="M7959" s="5"/>
      <c r="N7959" s="5"/>
      <c r="O7959" s="5"/>
      <c r="P7959" s="5"/>
      <c r="Q7959" s="5"/>
      <c r="R7959" s="5"/>
      <c r="S7959" s="5"/>
      <c r="T7959" s="5"/>
      <c r="U7959" s="5"/>
      <c r="V7959" s="5"/>
      <c r="W7959" s="5"/>
      <c r="X7959" s="5"/>
      <c r="Y7959" s="5"/>
      <c r="Z7959" s="5"/>
    </row>
    <row r="7960" spans="1:26" ht="15" x14ac:dyDescent="0.25">
      <c r="A7960" s="4" t="s">
        <v>7958</v>
      </c>
      <c r="B7960" s="4" t="s">
        <v>4550</v>
      </c>
      <c r="C7960" s="2" t="str">
        <f ca="1">IFERROR(__xludf.DUMMYFUNCTION("GOOGLETRANSLATE(A7960,""bn"",""en"")"),"He re-insured")</f>
        <v>He re-insured</v>
      </c>
      <c r="D7960" s="5"/>
      <c r="E7960" s="5"/>
      <c r="F7960" s="5"/>
      <c r="G7960" s="5"/>
      <c r="H7960" s="5"/>
      <c r="I7960" s="5"/>
      <c r="J7960" s="5"/>
      <c r="K7960" s="5"/>
      <c r="L7960" s="5"/>
      <c r="M7960" s="5"/>
      <c r="N7960" s="5"/>
      <c r="O7960" s="5"/>
      <c r="P7960" s="5"/>
      <c r="Q7960" s="5"/>
      <c r="R7960" s="5"/>
      <c r="S7960" s="5"/>
      <c r="T7960" s="5"/>
      <c r="U7960" s="5"/>
      <c r="V7960" s="5"/>
      <c r="W7960" s="5"/>
      <c r="X7960" s="5"/>
      <c r="Y7960" s="5"/>
      <c r="Z7960" s="5"/>
    </row>
    <row r="7961" spans="1:26" ht="15" x14ac:dyDescent="0.25">
      <c r="A7961" s="4" t="s">
        <v>7959</v>
      </c>
      <c r="B7961" s="4" t="s">
        <v>4550</v>
      </c>
      <c r="C7961" s="2" t="str">
        <f ca="1">IFERROR(__xludf.DUMMYFUNCTION("GOOGLETRANSLATE(A7961,""bn"",""en"")"),"Watched a comedy film in the afternoon")</f>
        <v>Watched a comedy film in the afternoon</v>
      </c>
      <c r="D7961" s="5"/>
      <c r="E7961" s="5"/>
      <c r="F7961" s="5"/>
      <c r="G7961" s="5"/>
      <c r="H7961" s="5"/>
      <c r="I7961" s="5"/>
      <c r="J7961" s="5"/>
      <c r="K7961" s="5"/>
      <c r="L7961" s="5"/>
      <c r="M7961" s="5"/>
      <c r="N7961" s="5"/>
      <c r="O7961" s="5"/>
      <c r="P7961" s="5"/>
      <c r="Q7961" s="5"/>
      <c r="R7961" s="5"/>
      <c r="S7961" s="5"/>
      <c r="T7961" s="5"/>
      <c r="U7961" s="5"/>
      <c r="V7961" s="5"/>
      <c r="W7961" s="5"/>
      <c r="X7961" s="5"/>
      <c r="Y7961" s="5"/>
      <c r="Z7961" s="5"/>
    </row>
    <row r="7962" spans="1:26" ht="15" x14ac:dyDescent="0.25">
      <c r="A7962" s="4" t="s">
        <v>7960</v>
      </c>
      <c r="B7962" s="4" t="s">
        <v>4550</v>
      </c>
      <c r="C7962" s="2" t="str">
        <f ca="1">IFERROR(__xludf.DUMMYFUNCTION("GOOGLETRANSLATE(A7962,""bn"",""en"")"),"We watched Bengali movies")</f>
        <v>We watched Bengali movies</v>
      </c>
      <c r="D7962" s="5"/>
      <c r="E7962" s="5"/>
      <c r="F7962" s="5"/>
      <c r="G7962" s="5"/>
      <c r="H7962" s="5"/>
      <c r="I7962" s="5"/>
      <c r="J7962" s="5"/>
      <c r="K7962" s="5"/>
      <c r="L7962" s="5"/>
      <c r="M7962" s="5"/>
      <c r="N7962" s="5"/>
      <c r="O7962" s="5"/>
      <c r="P7962" s="5"/>
      <c r="Q7962" s="5"/>
      <c r="R7962" s="5"/>
      <c r="S7962" s="5"/>
      <c r="T7962" s="5"/>
      <c r="U7962" s="5"/>
      <c r="V7962" s="5"/>
      <c r="W7962" s="5"/>
      <c r="X7962" s="5"/>
      <c r="Y7962" s="5"/>
      <c r="Z7962" s="5"/>
    </row>
    <row r="7963" spans="1:26" ht="15" x14ac:dyDescent="0.25">
      <c r="A7963" s="4" t="s">
        <v>7961</v>
      </c>
      <c r="B7963" s="4" t="s">
        <v>4550</v>
      </c>
      <c r="C7963" s="2" t="str">
        <f ca="1">IFERROR(__xludf.DUMMYFUNCTION("GOOGLETRANSLATE(A7963,""bn"",""en"")"),"was popular in news coverage")</f>
        <v>was popular in news coverage</v>
      </c>
      <c r="D7963" s="5"/>
      <c r="E7963" s="5"/>
      <c r="F7963" s="5"/>
      <c r="G7963" s="5"/>
      <c r="H7963" s="5"/>
      <c r="I7963" s="5"/>
      <c r="J7963" s="5"/>
      <c r="K7963" s="5"/>
      <c r="L7963" s="5"/>
      <c r="M7963" s="5"/>
      <c r="N7963" s="5"/>
      <c r="O7963" s="5"/>
      <c r="P7963" s="5"/>
      <c r="Q7963" s="5"/>
      <c r="R7963" s="5"/>
      <c r="S7963" s="5"/>
      <c r="T7963" s="5"/>
      <c r="U7963" s="5"/>
      <c r="V7963" s="5"/>
      <c r="W7963" s="5"/>
      <c r="X7963" s="5"/>
      <c r="Y7963" s="5"/>
      <c r="Z7963" s="5"/>
    </row>
    <row r="7964" spans="1:26" ht="15" x14ac:dyDescent="0.25">
      <c r="A7964" s="4" t="s">
        <v>7962</v>
      </c>
      <c r="B7964" s="4" t="s">
        <v>4550</v>
      </c>
      <c r="C7964" s="2" t="str">
        <f ca="1">IFERROR(__xludf.DUMMYFUNCTION("GOOGLETRANSLATE(A7964,""bn"",""en"")"),"Was in the beautiful city in January")</f>
        <v>Was in the beautiful city in January</v>
      </c>
      <c r="D7964" s="5"/>
      <c r="E7964" s="5"/>
      <c r="F7964" s="5"/>
      <c r="G7964" s="5"/>
      <c r="H7964" s="5"/>
      <c r="I7964" s="5"/>
      <c r="J7964" s="5"/>
      <c r="K7964" s="5"/>
      <c r="L7964" s="5"/>
      <c r="M7964" s="5"/>
      <c r="N7964" s="5"/>
      <c r="O7964" s="5"/>
      <c r="P7964" s="5"/>
      <c r="Q7964" s="5"/>
      <c r="R7964" s="5"/>
      <c r="S7964" s="5"/>
      <c r="T7964" s="5"/>
      <c r="U7964" s="5"/>
      <c r="V7964" s="5"/>
      <c r="W7964" s="5"/>
      <c r="X7964" s="5"/>
      <c r="Y7964" s="5"/>
      <c r="Z7964" s="5"/>
    </row>
    <row r="7965" spans="1:26" ht="15" x14ac:dyDescent="0.25">
      <c r="A7965" s="4" t="s">
        <v>7963</v>
      </c>
      <c r="B7965" s="4" t="s">
        <v>4550</v>
      </c>
      <c r="C7965" s="2" t="str">
        <f ca="1">IFERROR(__xludf.DUMMYFUNCTION("GOOGLETRANSLATE(A7965,""bn"",""en"")"),"We were looking for good friends")</f>
        <v>We were looking for good friends</v>
      </c>
      <c r="D7965" s="5"/>
      <c r="E7965" s="5"/>
      <c r="F7965" s="5"/>
      <c r="G7965" s="5"/>
      <c r="H7965" s="5"/>
      <c r="I7965" s="5"/>
      <c r="J7965" s="5"/>
      <c r="K7965" s="5"/>
      <c r="L7965" s="5"/>
      <c r="M7965" s="5"/>
      <c r="N7965" s="5"/>
      <c r="O7965" s="5"/>
      <c r="P7965" s="5"/>
      <c r="Q7965" s="5"/>
      <c r="R7965" s="5"/>
      <c r="S7965" s="5"/>
      <c r="T7965" s="5"/>
      <c r="U7965" s="5"/>
      <c r="V7965" s="5"/>
      <c r="W7965" s="5"/>
      <c r="X7965" s="5"/>
      <c r="Y7965" s="5"/>
      <c r="Z7965" s="5"/>
    </row>
    <row r="7966" spans="1:26" ht="15" x14ac:dyDescent="0.25">
      <c r="A7966" s="4" t="s">
        <v>7964</v>
      </c>
      <c r="B7966" s="4" t="s">
        <v>4550</v>
      </c>
      <c r="C7966" s="2" t="str">
        <f ca="1">IFERROR(__xludf.DUMMYFUNCTION("GOOGLETRANSLATE(A7966,""bn"",""en"")"),"The movie is enjoyable if you appreciate it")</f>
        <v>The movie is enjoyable if you appreciate it</v>
      </c>
      <c r="D7966" s="5"/>
      <c r="E7966" s="5"/>
      <c r="F7966" s="5"/>
      <c r="G7966" s="5"/>
      <c r="H7966" s="5"/>
      <c r="I7966" s="5"/>
      <c r="J7966" s="5"/>
      <c r="K7966" s="5"/>
      <c r="L7966" s="5"/>
      <c r="M7966" s="5"/>
      <c r="N7966" s="5"/>
      <c r="O7966" s="5"/>
      <c r="P7966" s="5"/>
      <c r="Q7966" s="5"/>
      <c r="R7966" s="5"/>
      <c r="S7966" s="5"/>
      <c r="T7966" s="5"/>
      <c r="U7966" s="5"/>
      <c r="V7966" s="5"/>
      <c r="W7966" s="5"/>
      <c r="X7966" s="5"/>
      <c r="Y7966" s="5"/>
      <c r="Z7966" s="5"/>
    </row>
    <row r="7967" spans="1:26" ht="15" x14ac:dyDescent="0.25">
      <c r="A7967" s="4" t="s">
        <v>7965</v>
      </c>
      <c r="B7967" s="4" t="s">
        <v>4550</v>
      </c>
      <c r="C7967" s="2" t="str">
        <f ca="1">IFERROR(__xludf.DUMMYFUNCTION("GOOGLETRANSLATE(A7967,""bn"",""en"")"),"The boys kept the roosters")</f>
        <v>The boys kept the roosters</v>
      </c>
      <c r="D7967" s="5"/>
      <c r="E7967" s="5"/>
      <c r="F7967" s="5"/>
      <c r="G7967" s="5"/>
      <c r="H7967" s="5"/>
      <c r="I7967" s="5"/>
      <c r="J7967" s="5"/>
      <c r="K7967" s="5"/>
      <c r="L7967" s="5"/>
      <c r="M7967" s="5"/>
      <c r="N7967" s="5"/>
      <c r="O7967" s="5"/>
      <c r="P7967" s="5"/>
      <c r="Q7967" s="5"/>
      <c r="R7967" s="5"/>
      <c r="S7967" s="5"/>
      <c r="T7967" s="5"/>
      <c r="U7967" s="5"/>
      <c r="V7967" s="5"/>
      <c r="W7967" s="5"/>
      <c r="X7967" s="5"/>
      <c r="Y7967" s="5"/>
      <c r="Z7967" s="5"/>
    </row>
    <row r="7968" spans="1:26" ht="15" x14ac:dyDescent="0.25">
      <c r="A7968" s="4" t="s">
        <v>7966</v>
      </c>
      <c r="B7968" s="4" t="s">
        <v>4550</v>
      </c>
      <c r="C7968" s="2" t="str">
        <f ca="1">IFERROR(__xludf.DUMMYFUNCTION("GOOGLETRANSLATE(A7968,""bn"",""en"")"),"Custom work was interrupted")</f>
        <v>Custom work was interrupted</v>
      </c>
      <c r="D7968" s="5"/>
      <c r="E7968" s="5"/>
      <c r="F7968" s="5"/>
      <c r="G7968" s="5"/>
      <c r="H7968" s="5"/>
      <c r="I7968" s="5"/>
      <c r="J7968" s="5"/>
      <c r="K7968" s="5"/>
      <c r="L7968" s="5"/>
      <c r="M7968" s="5"/>
      <c r="N7968" s="5"/>
      <c r="O7968" s="5"/>
      <c r="P7968" s="5"/>
      <c r="Q7968" s="5"/>
      <c r="R7968" s="5"/>
      <c r="S7968" s="5"/>
      <c r="T7968" s="5"/>
      <c r="U7968" s="5"/>
      <c r="V7968" s="5"/>
      <c r="W7968" s="5"/>
      <c r="X7968" s="5"/>
      <c r="Y7968" s="5"/>
      <c r="Z7968" s="5"/>
    </row>
    <row r="7969" spans="1:26" ht="15" x14ac:dyDescent="0.25">
      <c r="A7969" s="4" t="s">
        <v>7967</v>
      </c>
      <c r="B7969" s="4" t="s">
        <v>4550</v>
      </c>
      <c r="C7969" s="2" t="str">
        <f ca="1">IFERROR(__xludf.DUMMYFUNCTION("GOOGLETRANSLATE(A7969,""bn"",""en"")"),"He was watering the garden")</f>
        <v>He was watering the garden</v>
      </c>
      <c r="D7969" s="5"/>
      <c r="E7969" s="5"/>
      <c r="F7969" s="5"/>
      <c r="G7969" s="5"/>
      <c r="H7969" s="5"/>
      <c r="I7969" s="5"/>
      <c r="J7969" s="5"/>
      <c r="K7969" s="5"/>
      <c r="L7969" s="5"/>
      <c r="M7969" s="5"/>
      <c r="N7969" s="5"/>
      <c r="O7969" s="5"/>
      <c r="P7969" s="5"/>
      <c r="Q7969" s="5"/>
      <c r="R7969" s="5"/>
      <c r="S7969" s="5"/>
      <c r="T7969" s="5"/>
      <c r="U7969" s="5"/>
      <c r="V7969" s="5"/>
      <c r="W7969" s="5"/>
      <c r="X7969" s="5"/>
      <c r="Y7969" s="5"/>
      <c r="Z7969" s="5"/>
    </row>
    <row r="7970" spans="1:26" ht="15" x14ac:dyDescent="0.25">
      <c r="A7970" s="4" t="s">
        <v>7968</v>
      </c>
      <c r="B7970" s="4" t="s">
        <v>4550</v>
      </c>
      <c r="C7970" s="2" t="str">
        <f ca="1">IFERROR(__xludf.DUMMYFUNCTION("GOOGLETRANSLATE(A7970,""bn"",""en"")"),"The match ended today")</f>
        <v>The match ended today</v>
      </c>
      <c r="D7970" s="5"/>
      <c r="E7970" s="5"/>
      <c r="F7970" s="5"/>
      <c r="G7970" s="5"/>
      <c r="H7970" s="5"/>
      <c r="I7970" s="5"/>
      <c r="J7970" s="5"/>
      <c r="K7970" s="5"/>
      <c r="L7970" s="5"/>
      <c r="M7970" s="5"/>
      <c r="N7970" s="5"/>
      <c r="O7970" s="5"/>
      <c r="P7970" s="5"/>
      <c r="Q7970" s="5"/>
      <c r="R7970" s="5"/>
      <c r="S7970" s="5"/>
      <c r="T7970" s="5"/>
      <c r="U7970" s="5"/>
      <c r="V7970" s="5"/>
      <c r="W7970" s="5"/>
      <c r="X7970" s="5"/>
      <c r="Y7970" s="5"/>
      <c r="Z7970" s="5"/>
    </row>
    <row r="7971" spans="1:26" ht="15" x14ac:dyDescent="0.25">
      <c r="A7971" s="4" t="s">
        <v>7969</v>
      </c>
      <c r="B7971" s="4" t="s">
        <v>4550</v>
      </c>
      <c r="C7971" s="2" t="str">
        <f ca="1">IFERROR(__xludf.DUMMYFUNCTION("GOOGLETRANSLATE(A7971,""bn"",""en"")"),"The team won the competition")</f>
        <v>The team won the competition</v>
      </c>
      <c r="D7971" s="5"/>
      <c r="E7971" s="5"/>
      <c r="F7971" s="5"/>
      <c r="G7971" s="5"/>
      <c r="H7971" s="5"/>
      <c r="I7971" s="5"/>
      <c r="J7971" s="5"/>
      <c r="K7971" s="5"/>
      <c r="L7971" s="5"/>
      <c r="M7971" s="5"/>
      <c r="N7971" s="5"/>
      <c r="O7971" s="5"/>
      <c r="P7971" s="5"/>
      <c r="Q7971" s="5"/>
      <c r="R7971" s="5"/>
      <c r="S7971" s="5"/>
      <c r="T7971" s="5"/>
      <c r="U7971" s="5"/>
      <c r="V7971" s="5"/>
      <c r="W7971" s="5"/>
      <c r="X7971" s="5"/>
      <c r="Y7971" s="5"/>
      <c r="Z7971" s="5"/>
    </row>
    <row r="7972" spans="1:26" ht="15" x14ac:dyDescent="0.25">
      <c r="A7972" s="4" t="s">
        <v>7970</v>
      </c>
      <c r="B7972" s="4" t="s">
        <v>4550</v>
      </c>
      <c r="C7972" s="2" t="str">
        <f ca="1">IFERROR(__xludf.DUMMYFUNCTION("GOOGLETRANSLATE(A7972,""bn"",""en"")"),"I was learning technology")</f>
        <v>I was learning technology</v>
      </c>
      <c r="D7972" s="5"/>
      <c r="E7972" s="5"/>
      <c r="F7972" s="5"/>
      <c r="G7972" s="5"/>
      <c r="H7972" s="5"/>
      <c r="I7972" s="5"/>
      <c r="J7972" s="5"/>
      <c r="K7972" s="5"/>
      <c r="L7972" s="5"/>
      <c r="M7972" s="5"/>
      <c r="N7972" s="5"/>
      <c r="O7972" s="5"/>
      <c r="P7972" s="5"/>
      <c r="Q7972" s="5"/>
      <c r="R7972" s="5"/>
      <c r="S7972" s="5"/>
      <c r="T7972" s="5"/>
      <c r="U7972" s="5"/>
      <c r="V7972" s="5"/>
      <c r="W7972" s="5"/>
      <c r="X7972" s="5"/>
      <c r="Y7972" s="5"/>
      <c r="Z7972" s="5"/>
    </row>
    <row r="7973" spans="1:26" ht="15" x14ac:dyDescent="0.25">
      <c r="A7973" s="4" t="s">
        <v>7971</v>
      </c>
      <c r="B7973" s="4" t="s">
        <v>4550</v>
      </c>
      <c r="C7973" s="2" t="str">
        <f ca="1">IFERROR(__xludf.DUMMYFUNCTION("GOOGLETRANSLATE(A7973,""bn"",""en"")"),"Wrote a new book of poetry")</f>
        <v>Wrote a new book of poetry</v>
      </c>
      <c r="D7973" s="5"/>
      <c r="E7973" s="5"/>
      <c r="F7973" s="5"/>
      <c r="G7973" s="5"/>
      <c r="H7973" s="5"/>
      <c r="I7973" s="5"/>
      <c r="J7973" s="5"/>
      <c r="K7973" s="5"/>
      <c r="L7973" s="5"/>
      <c r="M7973" s="5"/>
      <c r="N7973" s="5"/>
      <c r="O7973" s="5"/>
      <c r="P7973" s="5"/>
      <c r="Q7973" s="5"/>
      <c r="R7973" s="5"/>
      <c r="S7973" s="5"/>
      <c r="T7973" s="5"/>
      <c r="U7973" s="5"/>
      <c r="V7973" s="5"/>
      <c r="W7973" s="5"/>
      <c r="X7973" s="5"/>
      <c r="Y7973" s="5"/>
      <c r="Z7973" s="5"/>
    </row>
    <row r="7974" spans="1:26" ht="15" x14ac:dyDescent="0.25">
      <c r="A7974" s="4" t="s">
        <v>7972</v>
      </c>
      <c r="B7974" s="4" t="s">
        <v>4550</v>
      </c>
      <c r="C7974" s="2" t="str">
        <f ca="1">IFERROR(__xludf.DUMMYFUNCTION("GOOGLETRANSLATE(A7974,""bn"",""en"")"),"I watched the movie on the big screen")</f>
        <v>I watched the movie on the big screen</v>
      </c>
      <c r="D7974" s="5"/>
      <c r="E7974" s="5"/>
      <c r="F7974" s="5"/>
      <c r="G7974" s="5"/>
      <c r="H7974" s="5"/>
      <c r="I7974" s="5"/>
      <c r="J7974" s="5"/>
      <c r="K7974" s="5"/>
      <c r="L7974" s="5"/>
      <c r="M7974" s="5"/>
      <c r="N7974" s="5"/>
      <c r="O7974" s="5"/>
      <c r="P7974" s="5"/>
      <c r="Q7974" s="5"/>
      <c r="R7974" s="5"/>
      <c r="S7974" s="5"/>
      <c r="T7974" s="5"/>
      <c r="U7974" s="5"/>
      <c r="V7974" s="5"/>
      <c r="W7974" s="5"/>
      <c r="X7974" s="5"/>
      <c r="Y7974" s="5"/>
      <c r="Z7974" s="5"/>
    </row>
    <row r="7975" spans="1:26" ht="15" x14ac:dyDescent="0.25">
      <c r="A7975" s="4" t="s">
        <v>7973</v>
      </c>
      <c r="B7975" s="4" t="s">
        <v>4550</v>
      </c>
      <c r="C7975" s="2" t="str">
        <f ca="1">IFERROR(__xludf.DUMMYFUNCTION("GOOGLETRANSLATE(A7975,""bn"",""en"")"),"He watched amazing movies")</f>
        <v>He watched amazing movies</v>
      </c>
      <c r="D7975" s="5"/>
      <c r="E7975" s="5"/>
      <c r="F7975" s="5"/>
      <c r="G7975" s="5"/>
      <c r="H7975" s="5"/>
      <c r="I7975" s="5"/>
      <c r="J7975" s="5"/>
      <c r="K7975" s="5"/>
      <c r="L7975" s="5"/>
      <c r="M7975" s="5"/>
      <c r="N7975" s="5"/>
      <c r="O7975" s="5"/>
      <c r="P7975" s="5"/>
      <c r="Q7975" s="5"/>
      <c r="R7975" s="5"/>
      <c r="S7975" s="5"/>
      <c r="T7975" s="5"/>
      <c r="U7975" s="5"/>
      <c r="V7975" s="5"/>
      <c r="W7975" s="5"/>
      <c r="X7975" s="5"/>
      <c r="Y7975" s="5"/>
      <c r="Z7975" s="5"/>
    </row>
    <row r="7976" spans="1:26" ht="15" x14ac:dyDescent="0.25">
      <c r="A7976" s="4" t="s">
        <v>7974</v>
      </c>
      <c r="B7976" s="4" t="s">
        <v>4550</v>
      </c>
      <c r="C7976" s="2" t="str">
        <f ca="1">IFERROR(__xludf.DUMMYFUNCTION("GOOGLETRANSLATE(A7976,""bn"",""en"")"),"Researched ancient history")</f>
        <v>Researched ancient history</v>
      </c>
      <c r="D7976" s="5"/>
      <c r="E7976" s="5"/>
      <c r="F7976" s="5"/>
      <c r="G7976" s="5"/>
      <c r="H7976" s="5"/>
      <c r="I7976" s="5"/>
      <c r="J7976" s="5"/>
      <c r="K7976" s="5"/>
      <c r="L7976" s="5"/>
      <c r="M7976" s="5"/>
      <c r="N7976" s="5"/>
      <c r="O7976" s="5"/>
      <c r="P7976" s="5"/>
      <c r="Q7976" s="5"/>
      <c r="R7976" s="5"/>
      <c r="S7976" s="5"/>
      <c r="T7976" s="5"/>
      <c r="U7976" s="5"/>
      <c r="V7976" s="5"/>
      <c r="W7976" s="5"/>
      <c r="X7976" s="5"/>
      <c r="Y7976" s="5"/>
      <c r="Z7976" s="5"/>
    </row>
    <row r="7977" spans="1:26" ht="15" x14ac:dyDescent="0.25">
      <c r="A7977" s="4" t="s">
        <v>7975</v>
      </c>
      <c r="B7977" s="4" t="s">
        <v>4550</v>
      </c>
      <c r="C7977" s="2" t="str">
        <f ca="1">IFERROR(__xludf.DUMMYFUNCTION("GOOGLETRANSLATE(A7977,""bn"",""en"")"),"I went after solving the problem")</f>
        <v>I went after solving the problem</v>
      </c>
      <c r="D7977" s="5"/>
      <c r="E7977" s="5"/>
      <c r="F7977" s="5"/>
      <c r="G7977" s="5"/>
      <c r="H7977" s="5"/>
      <c r="I7977" s="5"/>
      <c r="J7977" s="5"/>
      <c r="K7977" s="5"/>
      <c r="L7977" s="5"/>
      <c r="M7977" s="5"/>
      <c r="N7977" s="5"/>
      <c r="O7977" s="5"/>
      <c r="P7977" s="5"/>
      <c r="Q7977" s="5"/>
      <c r="R7977" s="5"/>
      <c r="S7977" s="5"/>
      <c r="T7977" s="5"/>
      <c r="U7977" s="5"/>
      <c r="V7977" s="5"/>
      <c r="W7977" s="5"/>
      <c r="X7977" s="5"/>
      <c r="Y7977" s="5"/>
      <c r="Z7977" s="5"/>
    </row>
    <row r="7978" spans="1:26" ht="15" x14ac:dyDescent="0.25">
      <c r="A7978" s="4" t="s">
        <v>7976</v>
      </c>
      <c r="B7978" s="4" t="s">
        <v>4550</v>
      </c>
      <c r="C7978" s="2" t="str">
        <f ca="1">IFERROR(__xludf.DUMMYFUNCTION("GOOGLETRANSLATE(A7978,""bn"",""en"")"),"They were seeing new images")</f>
        <v>They were seeing new images</v>
      </c>
      <c r="D7978" s="5"/>
      <c r="E7978" s="5"/>
      <c r="F7978" s="5"/>
      <c r="G7978" s="5"/>
      <c r="H7978" s="5"/>
      <c r="I7978" s="5"/>
      <c r="J7978" s="5"/>
      <c r="K7978" s="5"/>
      <c r="L7978" s="5"/>
      <c r="M7978" s="5"/>
      <c r="N7978" s="5"/>
      <c r="O7978" s="5"/>
      <c r="P7978" s="5"/>
      <c r="Q7978" s="5"/>
      <c r="R7978" s="5"/>
      <c r="S7978" s="5"/>
      <c r="T7978" s="5"/>
      <c r="U7978" s="5"/>
      <c r="V7978" s="5"/>
      <c r="W7978" s="5"/>
      <c r="X7978" s="5"/>
      <c r="Y7978" s="5"/>
      <c r="Z7978" s="5"/>
    </row>
    <row r="7979" spans="1:26" ht="15" x14ac:dyDescent="0.25">
      <c r="A7979" s="4" t="s">
        <v>7977</v>
      </c>
      <c r="B7979" s="4" t="s">
        <v>4550</v>
      </c>
      <c r="C7979" s="2" t="str">
        <f ca="1">IFERROR(__xludf.DUMMYFUNCTION("GOOGLETRANSLATE(A7979,""bn"",""en"")"),"Wanted to travel in leisure")</f>
        <v>Wanted to travel in leisure</v>
      </c>
      <c r="D7979" s="5"/>
      <c r="E7979" s="5"/>
      <c r="F7979" s="5"/>
      <c r="G7979" s="5"/>
      <c r="H7979" s="5"/>
      <c r="I7979" s="5"/>
      <c r="J7979" s="5"/>
      <c r="K7979" s="5"/>
      <c r="L7979" s="5"/>
      <c r="M7979" s="5"/>
      <c r="N7979" s="5"/>
      <c r="O7979" s="5"/>
      <c r="P7979" s="5"/>
      <c r="Q7979" s="5"/>
      <c r="R7979" s="5"/>
      <c r="S7979" s="5"/>
      <c r="T7979" s="5"/>
      <c r="U7979" s="5"/>
      <c r="V7979" s="5"/>
      <c r="W7979" s="5"/>
      <c r="X7979" s="5"/>
      <c r="Y7979" s="5"/>
      <c r="Z7979" s="5"/>
    </row>
    <row r="7980" spans="1:26" ht="15" x14ac:dyDescent="0.25">
      <c r="A7980" s="4" t="s">
        <v>7978</v>
      </c>
      <c r="B7980" s="4" t="s">
        <v>4550</v>
      </c>
      <c r="C7980" s="2" t="str">
        <f ca="1">IFERROR(__xludf.DUMMYFUNCTION("GOOGLETRANSLATE(A7980,""bn"",""en"")"),"Bought e remote this month")</f>
        <v>Bought e remote this month</v>
      </c>
      <c r="D7980" s="5"/>
      <c r="E7980" s="5"/>
      <c r="F7980" s="5"/>
      <c r="G7980" s="5"/>
      <c r="H7980" s="5"/>
      <c r="I7980" s="5"/>
      <c r="J7980" s="5"/>
      <c r="K7980" s="5"/>
      <c r="L7980" s="5"/>
      <c r="M7980" s="5"/>
      <c r="N7980" s="5"/>
      <c r="O7980" s="5"/>
      <c r="P7980" s="5"/>
      <c r="Q7980" s="5"/>
      <c r="R7980" s="5"/>
      <c r="S7980" s="5"/>
      <c r="T7980" s="5"/>
      <c r="U7980" s="5"/>
      <c r="V7980" s="5"/>
      <c r="W7980" s="5"/>
      <c r="X7980" s="5"/>
      <c r="Y7980" s="5"/>
      <c r="Z7980" s="5"/>
    </row>
    <row r="7981" spans="1:26" ht="15" x14ac:dyDescent="0.25">
      <c r="A7981" s="4" t="s">
        <v>7979</v>
      </c>
      <c r="B7981" s="4" t="s">
        <v>4550</v>
      </c>
      <c r="C7981" s="2" t="str">
        <f ca="1">IFERROR(__xludf.DUMMYFUNCTION("GOOGLETRANSLATE(A7981,""bn"",""en"")"),"Nayak Minister used to come to Parliament")</f>
        <v>Nayak Minister used to come to Parliament</v>
      </c>
      <c r="D7981" s="5"/>
      <c r="E7981" s="5"/>
      <c r="F7981" s="5"/>
      <c r="G7981" s="5"/>
      <c r="H7981" s="5"/>
      <c r="I7981" s="5"/>
      <c r="J7981" s="5"/>
      <c r="K7981" s="5"/>
      <c r="L7981" s="5"/>
      <c r="M7981" s="5"/>
      <c r="N7981" s="5"/>
      <c r="O7981" s="5"/>
      <c r="P7981" s="5"/>
      <c r="Q7981" s="5"/>
      <c r="R7981" s="5"/>
      <c r="S7981" s="5"/>
      <c r="T7981" s="5"/>
      <c r="U7981" s="5"/>
      <c r="V7981" s="5"/>
      <c r="W7981" s="5"/>
      <c r="X7981" s="5"/>
      <c r="Y7981" s="5"/>
      <c r="Z7981" s="5"/>
    </row>
    <row r="7982" spans="1:26" ht="15" x14ac:dyDescent="0.25">
      <c r="A7982" s="4" t="s">
        <v>7980</v>
      </c>
      <c r="B7982" s="4" t="s">
        <v>4550</v>
      </c>
      <c r="C7982" s="2" t="str">
        <f ca="1">IFERROR(__xludf.DUMMYFUNCTION("GOOGLETRANSLATE(A7982,""bn"",""en"")"),"I play water starkari at night")</f>
        <v>I play water starkari at night</v>
      </c>
      <c r="D7982" s="5"/>
      <c r="E7982" s="5"/>
      <c r="F7982" s="5"/>
      <c r="G7982" s="5"/>
      <c r="H7982" s="5"/>
      <c r="I7982" s="5"/>
      <c r="J7982" s="5"/>
      <c r="K7982" s="5"/>
      <c r="L7982" s="5"/>
      <c r="M7982" s="5"/>
      <c r="N7982" s="5"/>
      <c r="O7982" s="5"/>
      <c r="P7982" s="5"/>
      <c r="Q7982" s="5"/>
      <c r="R7982" s="5"/>
      <c r="S7982" s="5"/>
      <c r="T7982" s="5"/>
      <c r="U7982" s="5"/>
      <c r="V7982" s="5"/>
      <c r="W7982" s="5"/>
      <c r="X7982" s="5"/>
      <c r="Y7982" s="5"/>
      <c r="Z7982" s="5"/>
    </row>
    <row r="7983" spans="1:26" ht="15" x14ac:dyDescent="0.25">
      <c r="A7983" s="4" t="s">
        <v>7981</v>
      </c>
      <c r="B7983" s="4" t="s">
        <v>4550</v>
      </c>
      <c r="C7983" s="2" t="str">
        <f ca="1">IFERROR(__xludf.DUMMYFUNCTION("GOOGLETRANSLATE(A7983,""bn"",""en"")"),"Shah Jahan wanted to see the Taj Mahal")</f>
        <v>Shah Jahan wanted to see the Taj Mahal</v>
      </c>
      <c r="D7983" s="5"/>
      <c r="E7983" s="5"/>
      <c r="F7983" s="5"/>
      <c r="G7983" s="5"/>
      <c r="H7983" s="5"/>
      <c r="I7983" s="5"/>
      <c r="J7983" s="5"/>
      <c r="K7983" s="5"/>
      <c r="L7983" s="5"/>
      <c r="M7983" s="5"/>
      <c r="N7983" s="5"/>
      <c r="O7983" s="5"/>
      <c r="P7983" s="5"/>
      <c r="Q7983" s="5"/>
      <c r="R7983" s="5"/>
      <c r="S7983" s="5"/>
      <c r="T7983" s="5"/>
      <c r="U7983" s="5"/>
      <c r="V7983" s="5"/>
      <c r="W7983" s="5"/>
      <c r="X7983" s="5"/>
      <c r="Y7983" s="5"/>
      <c r="Z7983" s="5"/>
    </row>
    <row r="7984" spans="1:26" ht="15" x14ac:dyDescent="0.25">
      <c r="A7984" s="4" t="s">
        <v>7982</v>
      </c>
      <c r="B7984" s="4" t="s">
        <v>4550</v>
      </c>
      <c r="C7984" s="2" t="str">
        <f ca="1">IFERROR(__xludf.DUMMYFUNCTION("GOOGLETRANSLATE(A7984,""bn"",""en"")"),"The press was called to address the cabinet")</f>
        <v>The press was called to address the cabinet</v>
      </c>
      <c r="D7984" s="5"/>
      <c r="E7984" s="5"/>
      <c r="F7984" s="5"/>
      <c r="G7984" s="5"/>
      <c r="H7984" s="5"/>
      <c r="I7984" s="5"/>
      <c r="J7984" s="5"/>
      <c r="K7984" s="5"/>
      <c r="L7984" s="5"/>
      <c r="M7984" s="5"/>
      <c r="N7984" s="5"/>
      <c r="O7984" s="5"/>
      <c r="P7984" s="5"/>
      <c r="Q7984" s="5"/>
      <c r="R7984" s="5"/>
      <c r="S7984" s="5"/>
      <c r="T7984" s="5"/>
      <c r="U7984" s="5"/>
      <c r="V7984" s="5"/>
      <c r="W7984" s="5"/>
      <c r="X7984" s="5"/>
      <c r="Y7984" s="5"/>
      <c r="Z7984" s="5"/>
    </row>
    <row r="7985" spans="1:26" ht="15" x14ac:dyDescent="0.25">
      <c r="A7985" s="4" t="s">
        <v>7983</v>
      </c>
      <c r="B7985" s="4" t="s">
        <v>4550</v>
      </c>
      <c r="C7985" s="2" t="str">
        <f ca="1">IFERROR(__xludf.DUMMYFUNCTION("GOOGLETRANSLATE(A7985,""bn"",""en"")"),"The Prime Minister was addressing the cabinet")</f>
        <v>The Prime Minister was addressing the cabinet</v>
      </c>
      <c r="D7985" s="5"/>
      <c r="E7985" s="5"/>
      <c r="F7985" s="5"/>
      <c r="G7985" s="5"/>
      <c r="H7985" s="5"/>
      <c r="I7985" s="5"/>
      <c r="J7985" s="5"/>
      <c r="K7985" s="5"/>
      <c r="L7985" s="5"/>
      <c r="M7985" s="5"/>
      <c r="N7985" s="5"/>
      <c r="O7985" s="5"/>
      <c r="P7985" s="5"/>
      <c r="Q7985" s="5"/>
      <c r="R7985" s="5"/>
      <c r="S7985" s="5"/>
      <c r="T7985" s="5"/>
      <c r="U7985" s="5"/>
      <c r="V7985" s="5"/>
      <c r="W7985" s="5"/>
      <c r="X7985" s="5"/>
      <c r="Y7985" s="5"/>
      <c r="Z7985" s="5"/>
    </row>
    <row r="7986" spans="1:26" ht="15" x14ac:dyDescent="0.25">
      <c r="A7986" s="4" t="s">
        <v>7984</v>
      </c>
      <c r="B7986" s="4" t="s">
        <v>4550</v>
      </c>
      <c r="C7986" s="2" t="str">
        <f ca="1">IFERROR(__xludf.DUMMYFUNCTION("GOOGLETRANSLATE(A7986,""bn"",""en"")"),"while I was making tea")</f>
        <v>while I was making tea</v>
      </c>
      <c r="D7986" s="5"/>
      <c r="E7986" s="5"/>
      <c r="F7986" s="5"/>
      <c r="G7986" s="5"/>
      <c r="H7986" s="5"/>
      <c r="I7986" s="5"/>
      <c r="J7986" s="5"/>
      <c r="K7986" s="5"/>
      <c r="L7986" s="5"/>
      <c r="M7986" s="5"/>
      <c r="N7986" s="5"/>
      <c r="O7986" s="5"/>
      <c r="P7986" s="5"/>
      <c r="Q7986" s="5"/>
      <c r="R7986" s="5"/>
      <c r="S7986" s="5"/>
      <c r="T7986" s="5"/>
      <c r="U7986" s="5"/>
      <c r="V7986" s="5"/>
      <c r="W7986" s="5"/>
      <c r="X7986" s="5"/>
      <c r="Y7986" s="5"/>
      <c r="Z7986" s="5"/>
    </row>
    <row r="7987" spans="1:26" ht="15" x14ac:dyDescent="0.25">
      <c r="A7987" s="4" t="s">
        <v>7985</v>
      </c>
      <c r="B7987" s="4" t="s">
        <v>4550</v>
      </c>
      <c r="C7987" s="2" t="str">
        <f ca="1">IFERROR(__xludf.DUMMYFUNCTION("GOOGLETRANSLATE(A7987,""bn"",""en"")"),"The voice of the song was good")</f>
        <v>The voice of the song was good</v>
      </c>
      <c r="D7987" s="5"/>
      <c r="E7987" s="5"/>
      <c r="F7987" s="5"/>
      <c r="G7987" s="5"/>
      <c r="H7987" s="5"/>
      <c r="I7987" s="5"/>
      <c r="J7987" s="5"/>
      <c r="K7987" s="5"/>
      <c r="L7987" s="5"/>
      <c r="M7987" s="5"/>
      <c r="N7987" s="5"/>
      <c r="O7987" s="5"/>
      <c r="P7987" s="5"/>
      <c r="Q7987" s="5"/>
      <c r="R7987" s="5"/>
      <c r="S7987" s="5"/>
      <c r="T7987" s="5"/>
      <c r="U7987" s="5"/>
      <c r="V7987" s="5"/>
      <c r="W7987" s="5"/>
      <c r="X7987" s="5"/>
      <c r="Y7987" s="5"/>
      <c r="Z7987" s="5"/>
    </row>
    <row r="7988" spans="1:26" ht="15" x14ac:dyDescent="0.25">
      <c r="A7988" s="4" t="s">
        <v>7986</v>
      </c>
      <c r="B7988" s="4" t="s">
        <v>4550</v>
      </c>
      <c r="C7988" s="2" t="str">
        <f ca="1">IFERROR(__xludf.DUMMYFUNCTION("GOOGLETRANSLATE(A7988,""bn"",""en"")"),"I was going on a big trip on vacation")</f>
        <v>I was going on a big trip on vacation</v>
      </c>
      <c r="D7988" s="5"/>
      <c r="E7988" s="5"/>
      <c r="F7988" s="5"/>
      <c r="G7988" s="5"/>
      <c r="H7988" s="5"/>
      <c r="I7988" s="5"/>
      <c r="J7988" s="5"/>
      <c r="K7988" s="5"/>
      <c r="L7988" s="5"/>
      <c r="M7988" s="5"/>
      <c r="N7988" s="5"/>
      <c r="O7988" s="5"/>
      <c r="P7988" s="5"/>
      <c r="Q7988" s="5"/>
      <c r="R7988" s="5"/>
      <c r="S7988" s="5"/>
      <c r="T7988" s="5"/>
      <c r="U7988" s="5"/>
      <c r="V7988" s="5"/>
      <c r="W7988" s="5"/>
      <c r="X7988" s="5"/>
      <c r="Y7988" s="5"/>
      <c r="Z7988" s="5"/>
    </row>
    <row r="7989" spans="1:26" ht="15" x14ac:dyDescent="0.25">
      <c r="A7989" s="4" t="s">
        <v>7987</v>
      </c>
      <c r="B7989" s="4" t="s">
        <v>4550</v>
      </c>
      <c r="C7989" s="2" t="str">
        <f ca="1">IFERROR(__xludf.DUMMYFUNCTION("GOOGLETRANSLATE(A7989,""bn"",""en"")"),"India won the World Cup")</f>
        <v>India won the World Cup</v>
      </c>
      <c r="D7989" s="5"/>
      <c r="E7989" s="5"/>
      <c r="F7989" s="5"/>
      <c r="G7989" s="5"/>
      <c r="H7989" s="5"/>
      <c r="I7989" s="5"/>
      <c r="J7989" s="5"/>
      <c r="K7989" s="5"/>
      <c r="L7989" s="5"/>
      <c r="M7989" s="5"/>
      <c r="N7989" s="5"/>
      <c r="O7989" s="5"/>
      <c r="P7989" s="5"/>
      <c r="Q7989" s="5"/>
      <c r="R7989" s="5"/>
      <c r="S7989" s="5"/>
      <c r="T7989" s="5"/>
      <c r="U7989" s="5"/>
      <c r="V7989" s="5"/>
      <c r="W7989" s="5"/>
      <c r="X7989" s="5"/>
      <c r="Y7989" s="5"/>
      <c r="Z7989" s="5"/>
    </row>
    <row r="7990" spans="1:26" ht="15" x14ac:dyDescent="0.25">
      <c r="A7990" s="4" t="s">
        <v>7988</v>
      </c>
      <c r="B7990" s="4" t="s">
        <v>4550</v>
      </c>
      <c r="C7990" s="2" t="str">
        <f ca="1">IFERROR(__xludf.DUMMYFUNCTION("GOOGLETRANSLATE(A7990,""bn"",""en"")"),"They lost the hockey game")</f>
        <v>They lost the hockey game</v>
      </c>
      <c r="D7990" s="5"/>
      <c r="E7990" s="5"/>
      <c r="F7990" s="5"/>
      <c r="G7990" s="5"/>
      <c r="H7990" s="5"/>
      <c r="I7990" s="5"/>
      <c r="J7990" s="5"/>
      <c r="K7990" s="5"/>
      <c r="L7990" s="5"/>
      <c r="M7990" s="5"/>
      <c r="N7990" s="5"/>
      <c r="O7990" s="5"/>
      <c r="P7990" s="5"/>
      <c r="Q7990" s="5"/>
      <c r="R7990" s="5"/>
      <c r="S7990" s="5"/>
      <c r="T7990" s="5"/>
      <c r="U7990" s="5"/>
      <c r="V7990" s="5"/>
      <c r="W7990" s="5"/>
      <c r="X7990" s="5"/>
      <c r="Y7990" s="5"/>
      <c r="Z7990" s="5"/>
    </row>
    <row r="7991" spans="1:26" ht="15" x14ac:dyDescent="0.25">
      <c r="A7991" s="4" t="s">
        <v>7989</v>
      </c>
      <c r="B7991" s="4" t="s">
        <v>4550</v>
      </c>
      <c r="C7991" s="2" t="str">
        <f ca="1">IFERROR(__xludf.DUMMYFUNCTION("GOOGLETRANSLATE(A7991,""bn"",""en"")"),"It was broadcast on news channels")</f>
        <v>It was broadcast on news channels</v>
      </c>
      <c r="D7991" s="5"/>
      <c r="E7991" s="5"/>
      <c r="F7991" s="5"/>
      <c r="G7991" s="5"/>
      <c r="H7991" s="5"/>
      <c r="I7991" s="5"/>
      <c r="J7991" s="5"/>
      <c r="K7991" s="5"/>
      <c r="L7991" s="5"/>
      <c r="M7991" s="5"/>
      <c r="N7991" s="5"/>
      <c r="O7991" s="5"/>
      <c r="P7991" s="5"/>
      <c r="Q7991" s="5"/>
      <c r="R7991" s="5"/>
      <c r="S7991" s="5"/>
      <c r="T7991" s="5"/>
      <c r="U7991" s="5"/>
      <c r="V7991" s="5"/>
      <c r="W7991" s="5"/>
      <c r="X7991" s="5"/>
      <c r="Y7991" s="5"/>
      <c r="Z7991" s="5"/>
    </row>
    <row r="7992" spans="1:26" ht="15" x14ac:dyDescent="0.25">
      <c r="A7992" s="4" t="s">
        <v>7990</v>
      </c>
      <c r="B7992" s="4" t="s">
        <v>4550</v>
      </c>
      <c r="C7992" s="2" t="str">
        <f ca="1">IFERROR(__xludf.DUMMYFUNCTION("GOOGLETRANSLATE(A7992,""bn"",""en"")"),"Students sought success")</f>
        <v>Students sought success</v>
      </c>
      <c r="D7992" s="5"/>
      <c r="E7992" s="5"/>
      <c r="F7992" s="5"/>
      <c r="G7992" s="5"/>
      <c r="H7992" s="5"/>
      <c r="I7992" s="5"/>
      <c r="J7992" s="5"/>
      <c r="K7992" s="5"/>
      <c r="L7992" s="5"/>
      <c r="M7992" s="5"/>
      <c r="N7992" s="5"/>
      <c r="O7992" s="5"/>
      <c r="P7992" s="5"/>
      <c r="Q7992" s="5"/>
      <c r="R7992" s="5"/>
      <c r="S7992" s="5"/>
      <c r="T7992" s="5"/>
      <c r="U7992" s="5"/>
      <c r="V7992" s="5"/>
      <c r="W7992" s="5"/>
      <c r="X7992" s="5"/>
      <c r="Y7992" s="5"/>
      <c r="Z7992" s="5"/>
    </row>
    <row r="7993" spans="1:26" ht="15" x14ac:dyDescent="0.25">
      <c r="A7993" s="4" t="s">
        <v>7991</v>
      </c>
      <c r="B7993" s="4" t="s">
        <v>4550</v>
      </c>
      <c r="C7993" s="2" t="str">
        <f ca="1">IFERROR(__xludf.DUMMYFUNCTION("GOOGLETRANSLATE(A7993,""bn"",""en"")"),"The team won")</f>
        <v>The team won</v>
      </c>
      <c r="D7993" s="5"/>
      <c r="E7993" s="5"/>
      <c r="F7993" s="5"/>
      <c r="G7993" s="5"/>
      <c r="H7993" s="5"/>
      <c r="I7993" s="5"/>
      <c r="J7993" s="5"/>
      <c r="K7993" s="5"/>
      <c r="L7993" s="5"/>
      <c r="M7993" s="5"/>
      <c r="N7993" s="5"/>
      <c r="O7993" s="5"/>
      <c r="P7993" s="5"/>
      <c r="Q7993" s="5"/>
      <c r="R7993" s="5"/>
      <c r="S7993" s="5"/>
      <c r="T7993" s="5"/>
      <c r="U7993" s="5"/>
      <c r="V7993" s="5"/>
      <c r="W7993" s="5"/>
      <c r="X7993" s="5"/>
      <c r="Y7993" s="5"/>
      <c r="Z7993" s="5"/>
    </row>
    <row r="7994" spans="1:26" ht="15" x14ac:dyDescent="0.25">
      <c r="A7994" s="4" t="s">
        <v>7992</v>
      </c>
      <c r="B7994" s="4" t="s">
        <v>4550</v>
      </c>
      <c r="C7994" s="2" t="str">
        <f ca="1">IFERROR(__xludf.DUMMYFUNCTION("GOOGLETRANSLATE(A7994,""bn"",""en"")"),"Educational incentives were abundant")</f>
        <v>Educational incentives were abundant</v>
      </c>
      <c r="D7994" s="5"/>
      <c r="E7994" s="5"/>
      <c r="F7994" s="5"/>
      <c r="G7994" s="5"/>
      <c r="H7994" s="5"/>
      <c r="I7994" s="5"/>
      <c r="J7994" s="5"/>
      <c r="K7994" s="5"/>
      <c r="L7994" s="5"/>
      <c r="M7994" s="5"/>
      <c r="N7994" s="5"/>
      <c r="O7994" s="5"/>
      <c r="P7994" s="5"/>
      <c r="Q7994" s="5"/>
      <c r="R7994" s="5"/>
      <c r="S7994" s="5"/>
      <c r="T7994" s="5"/>
      <c r="U7994" s="5"/>
      <c r="V7994" s="5"/>
      <c r="W7994" s="5"/>
      <c r="X7994" s="5"/>
      <c r="Y7994" s="5"/>
      <c r="Z7994" s="5"/>
    </row>
    <row r="7995" spans="1:26" ht="15" x14ac:dyDescent="0.25">
      <c r="A7995" s="4" t="s">
        <v>7993</v>
      </c>
      <c r="B7995" s="4" t="s">
        <v>4550</v>
      </c>
      <c r="C7995" s="2" t="str">
        <f ca="1">IFERROR(__xludf.DUMMYFUNCTION("GOOGLETRANSLATE(A7995,""bn"",""en"")"),"I used to spend time on code reviews")</f>
        <v>I used to spend time on code reviews</v>
      </c>
      <c r="D7995" s="5"/>
      <c r="E7995" s="5"/>
      <c r="F7995" s="5"/>
      <c r="G7995" s="5"/>
      <c r="H7995" s="5"/>
      <c r="I7995" s="5"/>
      <c r="J7995" s="5"/>
      <c r="K7995" s="5"/>
      <c r="L7995" s="5"/>
      <c r="M7995" s="5"/>
      <c r="N7995" s="5"/>
      <c r="O7995" s="5"/>
      <c r="P7995" s="5"/>
      <c r="Q7995" s="5"/>
      <c r="R7995" s="5"/>
      <c r="S7995" s="5"/>
      <c r="T7995" s="5"/>
      <c r="U7995" s="5"/>
      <c r="V7995" s="5"/>
      <c r="W7995" s="5"/>
      <c r="X7995" s="5"/>
      <c r="Y7995" s="5"/>
      <c r="Z7995" s="5"/>
    </row>
    <row r="7996" spans="1:26" ht="15" x14ac:dyDescent="0.25">
      <c r="A7996" s="4" t="s">
        <v>7994</v>
      </c>
      <c r="B7996" s="4" t="s">
        <v>4550</v>
      </c>
      <c r="C7996" s="2" t="str">
        <f ca="1">IFERROR(__xludf.DUMMYFUNCTION("GOOGLETRANSLATE(A7996,""bn"",""en"")"),"Organized Arabic education")</f>
        <v>Organized Arabic education</v>
      </c>
      <c r="D7996" s="5"/>
      <c r="E7996" s="5"/>
      <c r="F7996" s="5"/>
      <c r="G7996" s="5"/>
      <c r="H7996" s="5"/>
      <c r="I7996" s="5"/>
      <c r="J7996" s="5"/>
      <c r="K7996" s="5"/>
      <c r="L7996" s="5"/>
      <c r="M7996" s="5"/>
      <c r="N7996" s="5"/>
      <c r="O7996" s="5"/>
      <c r="P7996" s="5"/>
      <c r="Q7996" s="5"/>
      <c r="R7996" s="5"/>
      <c r="S7996" s="5"/>
      <c r="T7996" s="5"/>
      <c r="U7996" s="5"/>
      <c r="V7996" s="5"/>
      <c r="W7996" s="5"/>
      <c r="X7996" s="5"/>
      <c r="Y7996" s="5"/>
      <c r="Z7996" s="5"/>
    </row>
    <row r="7997" spans="1:26" ht="15" x14ac:dyDescent="0.25">
      <c r="A7997" s="4" t="s">
        <v>7995</v>
      </c>
      <c r="B7997" s="4" t="s">
        <v>4550</v>
      </c>
      <c r="C7997" s="2" t="str">
        <f ca="1">IFERROR(__xludf.DUMMYFUNCTION("GOOGLETRANSLATE(A7997,""bn"",""en"")"),"Ashoka was at harvest time")</f>
        <v>Ashoka was at harvest time</v>
      </c>
      <c r="D7997" s="5"/>
      <c r="E7997" s="5"/>
      <c r="F7997" s="5"/>
      <c r="G7997" s="5"/>
      <c r="H7997" s="5"/>
      <c r="I7997" s="5"/>
      <c r="J7997" s="5"/>
      <c r="K7997" s="5"/>
      <c r="L7997" s="5"/>
      <c r="M7997" s="5"/>
      <c r="N7997" s="5"/>
      <c r="O7997" s="5"/>
      <c r="P7997" s="5"/>
      <c r="Q7997" s="5"/>
      <c r="R7997" s="5"/>
      <c r="S7997" s="5"/>
      <c r="T7997" s="5"/>
      <c r="U7997" s="5"/>
      <c r="V7997" s="5"/>
      <c r="W7997" s="5"/>
      <c r="X7997" s="5"/>
      <c r="Y7997" s="5"/>
      <c r="Z7997" s="5"/>
    </row>
    <row r="7998" spans="1:26" ht="15" x14ac:dyDescent="0.25">
      <c r="A7998" s="4" t="s">
        <v>7996</v>
      </c>
      <c r="B7998" s="4" t="s">
        <v>4550</v>
      </c>
      <c r="C7998" s="2" t="str">
        <f ca="1">IFERROR(__xludf.DUMMYFUNCTION("GOOGLETRANSLATE(A7998,""bn"",""en"")"),"Discussions were going on among the members")</f>
        <v>Discussions were going on among the members</v>
      </c>
      <c r="D7998" s="5"/>
      <c r="E7998" s="5"/>
      <c r="F7998" s="5"/>
      <c r="G7998" s="5"/>
      <c r="H7998" s="5"/>
      <c r="I7998" s="5"/>
      <c r="J7998" s="5"/>
      <c r="K7998" s="5"/>
      <c r="L7998" s="5"/>
      <c r="M7998" s="5"/>
      <c r="N7998" s="5"/>
      <c r="O7998" s="5"/>
      <c r="P7998" s="5"/>
      <c r="Q7998" s="5"/>
      <c r="R7998" s="5"/>
      <c r="S7998" s="5"/>
      <c r="T7998" s="5"/>
      <c r="U7998" s="5"/>
      <c r="V7998" s="5"/>
      <c r="W7998" s="5"/>
      <c r="X7998" s="5"/>
      <c r="Y7998" s="5"/>
      <c r="Z7998" s="5"/>
    </row>
    <row r="7999" spans="1:26" ht="15" x14ac:dyDescent="0.25">
      <c r="A7999" s="4" t="s">
        <v>7997</v>
      </c>
      <c r="B7999" s="4" t="s">
        <v>4550</v>
      </c>
      <c r="C7999" s="2" t="str">
        <f ca="1">IFERROR(__xludf.DUMMYFUNCTION("GOOGLETRANSLATE(A7999,""bn"",""en"")"),"I traveled peacefully in retirement")</f>
        <v>I traveled peacefully in retirement</v>
      </c>
      <c r="D7999" s="5"/>
      <c r="E7999" s="5"/>
      <c r="F7999" s="5"/>
      <c r="G7999" s="5"/>
      <c r="H7999" s="5"/>
      <c r="I7999" s="5"/>
      <c r="J7999" s="5"/>
      <c r="K7999" s="5"/>
      <c r="L7999" s="5"/>
      <c r="M7999" s="5"/>
      <c r="N7999" s="5"/>
      <c r="O7999" s="5"/>
      <c r="P7999" s="5"/>
      <c r="Q7999" s="5"/>
      <c r="R7999" s="5"/>
      <c r="S7999" s="5"/>
      <c r="T7999" s="5"/>
      <c r="U7999" s="5"/>
      <c r="V7999" s="5"/>
      <c r="W7999" s="5"/>
      <c r="X7999" s="5"/>
      <c r="Y7999" s="5"/>
      <c r="Z7999" s="5"/>
    </row>
    <row r="8000" spans="1:26" ht="15" x14ac:dyDescent="0.25">
      <c r="A8000" s="4" t="s">
        <v>7998</v>
      </c>
      <c r="B8000" s="4" t="s">
        <v>4550</v>
      </c>
      <c r="C8000" s="2" t="str">
        <f ca="1">IFERROR(__xludf.DUMMYFUNCTION("GOOGLETRANSLATE(A8000,""bn"",""en"")"),"We were taking the train on Saturday")</f>
        <v>We were taking the train on Saturday</v>
      </c>
      <c r="D8000" s="5"/>
      <c r="E8000" s="5"/>
      <c r="F8000" s="5"/>
      <c r="G8000" s="5"/>
      <c r="H8000" s="5"/>
      <c r="I8000" s="5"/>
      <c r="J8000" s="5"/>
      <c r="K8000" s="5"/>
      <c r="L8000" s="5"/>
      <c r="M8000" s="5"/>
      <c r="N8000" s="5"/>
      <c r="O8000" s="5"/>
      <c r="P8000" s="5"/>
      <c r="Q8000" s="5"/>
      <c r="R8000" s="5"/>
      <c r="S8000" s="5"/>
      <c r="T8000" s="5"/>
      <c r="U8000" s="5"/>
      <c r="V8000" s="5"/>
      <c r="W8000" s="5"/>
      <c r="X8000" s="5"/>
      <c r="Y8000" s="5"/>
      <c r="Z8000" s="5"/>
    </row>
    <row r="8001" spans="1:26" ht="15" x14ac:dyDescent="0.25">
      <c r="A8001" s="4" t="s">
        <v>7999</v>
      </c>
      <c r="B8001" s="4" t="s">
        <v>4550</v>
      </c>
      <c r="C8001" s="2" t="str">
        <f ca="1">IFERROR(__xludf.DUMMYFUNCTION("GOOGLETRANSLATE(A8001,""bn"",""en"")"),"I sat on the train a week ago")</f>
        <v>I sat on the train a week ago</v>
      </c>
      <c r="D8001" s="5"/>
      <c r="E8001" s="5"/>
      <c r="F8001" s="5"/>
      <c r="G8001" s="5"/>
      <c r="H8001" s="5"/>
      <c r="I8001" s="5"/>
      <c r="J8001" s="5"/>
      <c r="K8001" s="5"/>
      <c r="L8001" s="5"/>
      <c r="M8001" s="5"/>
      <c r="N8001" s="5"/>
      <c r="O8001" s="5"/>
      <c r="P8001" s="5"/>
      <c r="Q8001" s="5"/>
      <c r="R8001" s="5"/>
      <c r="S8001" s="5"/>
      <c r="T8001" s="5"/>
      <c r="U8001" s="5"/>
      <c r="V8001" s="5"/>
      <c r="W8001" s="5"/>
      <c r="X8001" s="5"/>
      <c r="Y8001" s="5"/>
      <c r="Z8001" s="5"/>
    </row>
    <row r="8002" spans="1:26" ht="15" x14ac:dyDescent="0.25">
      <c r="A8002" s="4" t="s">
        <v>8000</v>
      </c>
      <c r="B8002" s="4" t="s">
        <v>4550</v>
      </c>
      <c r="C8002" s="2" t="str">
        <f ca="1">IFERROR(__xludf.DUMMYFUNCTION("GOOGLETRANSLATE(A8002,""bn"",""en"")"),"Guests were invited")</f>
        <v>Guests were invited</v>
      </c>
      <c r="D8002" s="5"/>
      <c r="E8002" s="5"/>
      <c r="F8002" s="5"/>
      <c r="G8002" s="5"/>
      <c r="H8002" s="5"/>
      <c r="I8002" s="5"/>
      <c r="J8002" s="5"/>
      <c r="K8002" s="5"/>
      <c r="L8002" s="5"/>
      <c r="M8002" s="5"/>
      <c r="N8002" s="5"/>
      <c r="O8002" s="5"/>
      <c r="P8002" s="5"/>
      <c r="Q8002" s="5"/>
      <c r="R8002" s="5"/>
      <c r="S8002" s="5"/>
      <c r="T8002" s="5"/>
      <c r="U8002" s="5"/>
      <c r="V8002" s="5"/>
      <c r="W8002" s="5"/>
      <c r="X8002" s="5"/>
      <c r="Y8002" s="5"/>
      <c r="Z8002" s="5"/>
    </row>
    <row r="8003" spans="1:26" ht="15" x14ac:dyDescent="0.25">
      <c r="A8003" s="4" t="s">
        <v>8001</v>
      </c>
      <c r="B8003" s="4" t="s">
        <v>4550</v>
      </c>
      <c r="C8003" s="2" t="str">
        <f ca="1">IFERROR(__xludf.DUMMYFUNCTION("GOOGLETRANSLATE(A8003,""bn"",""en"")"),"I used big data")</f>
        <v>I used big data</v>
      </c>
      <c r="D8003" s="5"/>
      <c r="E8003" s="5"/>
      <c r="F8003" s="5"/>
      <c r="G8003" s="5"/>
      <c r="H8003" s="5"/>
      <c r="I8003" s="5"/>
      <c r="J8003" s="5"/>
      <c r="K8003" s="5"/>
      <c r="L8003" s="5"/>
      <c r="M8003" s="5"/>
      <c r="N8003" s="5"/>
      <c r="O8003" s="5"/>
      <c r="P8003" s="5"/>
      <c r="Q8003" s="5"/>
      <c r="R8003" s="5"/>
      <c r="S8003" s="5"/>
      <c r="T8003" s="5"/>
      <c r="U8003" s="5"/>
      <c r="V8003" s="5"/>
      <c r="W8003" s="5"/>
      <c r="X8003" s="5"/>
      <c r="Y8003" s="5"/>
      <c r="Z8003" s="5"/>
    </row>
    <row r="8004" spans="1:26" ht="15" x14ac:dyDescent="0.25">
      <c r="A8004" s="4" t="s">
        <v>8002</v>
      </c>
      <c r="B8004" s="4" t="s">
        <v>4550</v>
      </c>
      <c r="C8004" s="2" t="str">
        <f ca="1">IFERROR(__xludf.DUMMYFUNCTION("GOOGLETRANSLATE(A8004,""bn"",""en"")"),"The captain was present on the field")</f>
        <v>The captain was present on the field</v>
      </c>
      <c r="D8004" s="5"/>
      <c r="E8004" s="5"/>
      <c r="F8004" s="5"/>
      <c r="G8004" s="5"/>
      <c r="H8004" s="5"/>
      <c r="I8004" s="5"/>
      <c r="J8004" s="5"/>
      <c r="K8004" s="5"/>
      <c r="L8004" s="5"/>
      <c r="M8004" s="5"/>
      <c r="N8004" s="5"/>
      <c r="O8004" s="5"/>
      <c r="P8004" s="5"/>
      <c r="Q8004" s="5"/>
      <c r="R8004" s="5"/>
      <c r="S8004" s="5"/>
      <c r="T8004" s="5"/>
      <c r="U8004" s="5"/>
      <c r="V8004" s="5"/>
      <c r="W8004" s="5"/>
      <c r="X8004" s="5"/>
      <c r="Y8004" s="5"/>
      <c r="Z8004" s="5"/>
    </row>
    <row r="8005" spans="1:26" ht="15" x14ac:dyDescent="0.25">
      <c r="A8005" s="4" t="s">
        <v>8003</v>
      </c>
      <c r="B8005" s="4" t="s">
        <v>4550</v>
      </c>
      <c r="C8005" s="2" t="str">
        <f ca="1">IFERROR(__xludf.DUMMYFUNCTION("GOOGLETRANSLATE(A8005,""bn"",""en"")"),"They won in badminton")</f>
        <v>They won in badminton</v>
      </c>
      <c r="D8005" s="5"/>
      <c r="E8005" s="5"/>
      <c r="F8005" s="5"/>
      <c r="G8005" s="5"/>
      <c r="H8005" s="5"/>
      <c r="I8005" s="5"/>
      <c r="J8005" s="5"/>
      <c r="K8005" s="5"/>
      <c r="L8005" s="5"/>
      <c r="M8005" s="5"/>
      <c r="N8005" s="5"/>
      <c r="O8005" s="5"/>
      <c r="P8005" s="5"/>
      <c r="Q8005" s="5"/>
      <c r="R8005" s="5"/>
      <c r="S8005" s="5"/>
      <c r="T8005" s="5"/>
      <c r="U8005" s="5"/>
      <c r="V8005" s="5"/>
      <c r="W8005" s="5"/>
      <c r="X8005" s="5"/>
      <c r="Y8005" s="5"/>
      <c r="Z8005" s="5"/>
    </row>
    <row r="8006" spans="1:26" ht="15" x14ac:dyDescent="0.25">
      <c r="A8006" s="4" t="s">
        <v>8004</v>
      </c>
      <c r="B8006" s="4" t="s">
        <v>4550</v>
      </c>
      <c r="C8006" s="2" t="str">
        <f ca="1">IFERROR(__xludf.DUMMYFUNCTION("GOOGLETRANSLATE(A8006,""bn"",""en"")"),"Profits decreased in the previous year")</f>
        <v>Profits decreased in the previous year</v>
      </c>
      <c r="D8006" s="5"/>
      <c r="E8006" s="5"/>
      <c r="F8006" s="5"/>
      <c r="G8006" s="5"/>
      <c r="H8006" s="5"/>
      <c r="I8006" s="5"/>
      <c r="J8006" s="5"/>
      <c r="K8006" s="5"/>
      <c r="L8006" s="5"/>
      <c r="M8006" s="5"/>
      <c r="N8006" s="5"/>
      <c r="O8006" s="5"/>
      <c r="P8006" s="5"/>
      <c r="Q8006" s="5"/>
      <c r="R8006" s="5"/>
      <c r="S8006" s="5"/>
      <c r="T8006" s="5"/>
      <c r="U8006" s="5"/>
      <c r="V8006" s="5"/>
      <c r="W8006" s="5"/>
      <c r="X8006" s="5"/>
      <c r="Y8006" s="5"/>
      <c r="Z8006" s="5"/>
    </row>
    <row r="8007" spans="1:26" ht="15" x14ac:dyDescent="0.25">
      <c r="A8007" s="4" t="s">
        <v>8005</v>
      </c>
      <c r="B8007" s="4" t="s">
        <v>4550</v>
      </c>
      <c r="C8007" s="2" t="str">
        <f ca="1">IFERROR(__xludf.DUMMYFUNCTION("GOOGLETRANSLATE(A8007,""bn"",""en"")"),"Their economy developed")</f>
        <v>Their economy developed</v>
      </c>
      <c r="D8007" s="5"/>
      <c r="E8007" s="5"/>
      <c r="F8007" s="5"/>
      <c r="G8007" s="5"/>
      <c r="H8007" s="5"/>
      <c r="I8007" s="5"/>
      <c r="J8007" s="5"/>
      <c r="K8007" s="5"/>
      <c r="L8007" s="5"/>
      <c r="M8007" s="5"/>
      <c r="N8007" s="5"/>
      <c r="O8007" s="5"/>
      <c r="P8007" s="5"/>
      <c r="Q8007" s="5"/>
      <c r="R8007" s="5"/>
      <c r="S8007" s="5"/>
      <c r="T8007" s="5"/>
      <c r="U8007" s="5"/>
      <c r="V8007" s="5"/>
      <c r="W8007" s="5"/>
      <c r="X8007" s="5"/>
      <c r="Y8007" s="5"/>
      <c r="Z8007" s="5"/>
    </row>
    <row r="8008" spans="1:26" ht="15" x14ac:dyDescent="0.25">
      <c r="A8008" s="4" t="s">
        <v>8006</v>
      </c>
      <c r="B8008" s="4" t="s">
        <v>4550</v>
      </c>
      <c r="C8008" s="2" t="str">
        <f ca="1">IFERROR(__xludf.DUMMYFUNCTION("GOOGLETRANSLATE(A8008,""bn"",""en"")"),"He was composing new sculptures")</f>
        <v>He was composing new sculptures</v>
      </c>
      <c r="D8008" s="5"/>
      <c r="E8008" s="5"/>
      <c r="F8008" s="5"/>
      <c r="G8008" s="5"/>
      <c r="H8008" s="5"/>
      <c r="I8008" s="5"/>
      <c r="J8008" s="5"/>
      <c r="K8008" s="5"/>
      <c r="L8008" s="5"/>
      <c r="M8008" s="5"/>
      <c r="N8008" s="5"/>
      <c r="O8008" s="5"/>
      <c r="P8008" s="5"/>
      <c r="Q8008" s="5"/>
      <c r="R8008" s="5"/>
      <c r="S8008" s="5"/>
      <c r="T8008" s="5"/>
      <c r="U8008" s="5"/>
      <c r="V8008" s="5"/>
      <c r="W8008" s="5"/>
      <c r="X8008" s="5"/>
      <c r="Y8008" s="5"/>
      <c r="Z8008" s="5"/>
    </row>
    <row r="8009" spans="1:26" ht="15" x14ac:dyDescent="0.25">
      <c r="A8009" s="4" t="s">
        <v>8007</v>
      </c>
      <c r="B8009" s="4" t="s">
        <v>4550</v>
      </c>
      <c r="C8009" s="2" t="str">
        <f ca="1">IFERROR(__xludf.DUMMYFUNCTION("GOOGLETRANSLATE(A8009,""bn"",""en"")"),"The class ended earlier")</f>
        <v>The class ended earlier</v>
      </c>
      <c r="D8009" s="5"/>
      <c r="E8009" s="5"/>
      <c r="F8009" s="5"/>
      <c r="G8009" s="5"/>
      <c r="H8009" s="5"/>
      <c r="I8009" s="5"/>
      <c r="J8009" s="5"/>
      <c r="K8009" s="5"/>
      <c r="L8009" s="5"/>
      <c r="M8009" s="5"/>
      <c r="N8009" s="5"/>
      <c r="O8009" s="5"/>
      <c r="P8009" s="5"/>
      <c r="Q8009" s="5"/>
      <c r="R8009" s="5"/>
      <c r="S8009" s="5"/>
      <c r="T8009" s="5"/>
      <c r="U8009" s="5"/>
      <c r="V8009" s="5"/>
      <c r="W8009" s="5"/>
      <c r="X8009" s="5"/>
      <c r="Y8009" s="5"/>
      <c r="Z8009" s="5"/>
    </row>
    <row r="8010" spans="1:26" ht="15" x14ac:dyDescent="0.25">
      <c r="A8010" s="4" t="s">
        <v>8008</v>
      </c>
      <c r="B8010" s="4" t="s">
        <v>4550</v>
      </c>
      <c r="C8010" s="2" t="str">
        <f ca="1">IFERROR(__xludf.DUMMYFUNCTION("GOOGLETRANSLATE(A8010,""bn"",""en"")"),"The people of the village reared roosters")</f>
        <v>The people of the village reared roosters</v>
      </c>
      <c r="D8010" s="5"/>
      <c r="E8010" s="5"/>
      <c r="F8010" s="5"/>
      <c r="G8010" s="5"/>
      <c r="H8010" s="5"/>
      <c r="I8010" s="5"/>
      <c r="J8010" s="5"/>
      <c r="K8010" s="5"/>
      <c r="L8010" s="5"/>
      <c r="M8010" s="5"/>
      <c r="N8010" s="5"/>
      <c r="O8010" s="5"/>
      <c r="P8010" s="5"/>
      <c r="Q8010" s="5"/>
      <c r="R8010" s="5"/>
      <c r="S8010" s="5"/>
      <c r="T8010" s="5"/>
      <c r="U8010" s="5"/>
      <c r="V8010" s="5"/>
      <c r="W8010" s="5"/>
      <c r="X8010" s="5"/>
      <c r="Y8010" s="5"/>
      <c r="Z8010" s="5"/>
    </row>
    <row r="8011" spans="1:26" ht="15" x14ac:dyDescent="0.25">
      <c r="A8011" s="4" t="s">
        <v>8009</v>
      </c>
      <c r="B8011" s="4" t="s">
        <v>4550</v>
      </c>
      <c r="C8011" s="2" t="str">
        <f ca="1">IFERROR(__xludf.DUMMYFUNCTION("GOOGLETRANSLATE(A8011,""bn"",""en"")"),"He was praying in the mosque")</f>
        <v>He was praying in the mosque</v>
      </c>
      <c r="D8011" s="5"/>
      <c r="E8011" s="5"/>
      <c r="F8011" s="5"/>
      <c r="G8011" s="5"/>
      <c r="H8011" s="5"/>
      <c r="I8011" s="5"/>
      <c r="J8011" s="5"/>
      <c r="K8011" s="5"/>
      <c r="L8011" s="5"/>
      <c r="M8011" s="5"/>
      <c r="N8011" s="5"/>
      <c r="O8011" s="5"/>
      <c r="P8011" s="5"/>
      <c r="Q8011" s="5"/>
      <c r="R8011" s="5"/>
      <c r="S8011" s="5"/>
      <c r="T8011" s="5"/>
      <c r="U8011" s="5"/>
      <c r="V8011" s="5"/>
      <c r="W8011" s="5"/>
      <c r="X8011" s="5"/>
      <c r="Y8011" s="5"/>
      <c r="Z8011" s="5"/>
    </row>
    <row r="8012" spans="1:26" ht="15" x14ac:dyDescent="0.25">
      <c r="A8012" s="4" t="s">
        <v>8010</v>
      </c>
      <c r="B8012" s="4" t="s">
        <v>4550</v>
      </c>
      <c r="C8012" s="2" t="str">
        <f ca="1">IFERROR(__xludf.DUMMYFUNCTION("GOOGLETRANSLATE(A8012,""bn"",""en"")"),"We were watching Geeti program")</f>
        <v>We were watching Geeti program</v>
      </c>
      <c r="D8012" s="5"/>
      <c r="E8012" s="5"/>
      <c r="F8012" s="5"/>
      <c r="G8012" s="5"/>
      <c r="H8012" s="5"/>
      <c r="I8012" s="5"/>
      <c r="J8012" s="5"/>
      <c r="K8012" s="5"/>
      <c r="L8012" s="5"/>
      <c r="M8012" s="5"/>
      <c r="N8012" s="5"/>
      <c r="O8012" s="5"/>
      <c r="P8012" s="5"/>
      <c r="Q8012" s="5"/>
      <c r="R8012" s="5"/>
      <c r="S8012" s="5"/>
      <c r="T8012" s="5"/>
      <c r="U8012" s="5"/>
      <c r="V8012" s="5"/>
      <c r="W8012" s="5"/>
      <c r="X8012" s="5"/>
      <c r="Y8012" s="5"/>
      <c r="Z8012" s="5"/>
    </row>
    <row r="8013" spans="1:26" ht="15" x14ac:dyDescent="0.25">
      <c r="A8013" s="4" t="s">
        <v>8011</v>
      </c>
      <c r="B8013" s="4" t="s">
        <v>4550</v>
      </c>
      <c r="C8013" s="2" t="str">
        <f ca="1">IFERROR(__xludf.DUMMYFUNCTION("GOOGLETRANSLATE(A8013,""bn"",""en"")"),"You were roasting meat with Nan")</f>
        <v>You were roasting meat with Nan</v>
      </c>
      <c r="D8013" s="5"/>
      <c r="E8013" s="5"/>
      <c r="F8013" s="5"/>
      <c r="G8013" s="5"/>
      <c r="H8013" s="5"/>
      <c r="I8013" s="5"/>
      <c r="J8013" s="5"/>
      <c r="K8013" s="5"/>
      <c r="L8013" s="5"/>
      <c r="M8013" s="5"/>
      <c r="N8013" s="5"/>
      <c r="O8013" s="5"/>
      <c r="P8013" s="5"/>
      <c r="Q8013" s="5"/>
      <c r="R8013" s="5"/>
      <c r="S8013" s="5"/>
      <c r="T8013" s="5"/>
      <c r="U8013" s="5"/>
      <c r="V8013" s="5"/>
      <c r="W8013" s="5"/>
      <c r="X8013" s="5"/>
      <c r="Y8013" s="5"/>
      <c r="Z8013" s="5"/>
    </row>
    <row r="8014" spans="1:26" ht="15" x14ac:dyDescent="0.25">
      <c r="A8014" s="4" t="s">
        <v>8012</v>
      </c>
      <c r="B8014" s="4" t="s">
        <v>4550</v>
      </c>
      <c r="C8014" s="2" t="str">
        <f ca="1">IFERROR(__xludf.DUMMYFUNCTION("GOOGLETRANSLATE(A8014,""bn"",""en"")"),"It was deep fried in oil")</f>
        <v>It was deep fried in oil</v>
      </c>
      <c r="D8014" s="5"/>
      <c r="E8014" s="5"/>
      <c r="F8014" s="5"/>
      <c r="G8014" s="5"/>
      <c r="H8014" s="5"/>
      <c r="I8014" s="5"/>
      <c r="J8014" s="5"/>
      <c r="K8014" s="5"/>
      <c r="L8014" s="5"/>
      <c r="M8014" s="5"/>
      <c r="N8014" s="5"/>
      <c r="O8014" s="5"/>
      <c r="P8014" s="5"/>
      <c r="Q8014" s="5"/>
      <c r="R8014" s="5"/>
      <c r="S8014" s="5"/>
      <c r="T8014" s="5"/>
      <c r="U8014" s="5"/>
      <c r="V8014" s="5"/>
      <c r="W8014" s="5"/>
      <c r="X8014" s="5"/>
      <c r="Y8014" s="5"/>
      <c r="Z8014" s="5"/>
    </row>
    <row r="8015" spans="1:26" ht="15" x14ac:dyDescent="0.25">
      <c r="A8015" s="4" t="s">
        <v>8013</v>
      </c>
      <c r="B8015" s="4" t="s">
        <v>4550</v>
      </c>
      <c r="C8015" s="2" t="str">
        <f ca="1">IFERROR(__xludf.DUMMYFUNCTION("GOOGLETRANSLATE(A8015,""bn"",""en"")"),"Made pakoras in the afternoon")</f>
        <v>Made pakoras in the afternoon</v>
      </c>
      <c r="D8015" s="5"/>
      <c r="E8015" s="5"/>
      <c r="F8015" s="5"/>
      <c r="G8015" s="5"/>
      <c r="H8015" s="5"/>
      <c r="I8015" s="5"/>
      <c r="J8015" s="5"/>
      <c r="K8015" s="5"/>
      <c r="L8015" s="5"/>
      <c r="M8015" s="5"/>
      <c r="N8015" s="5"/>
      <c r="O8015" s="5"/>
      <c r="P8015" s="5"/>
      <c r="Q8015" s="5"/>
      <c r="R8015" s="5"/>
      <c r="S8015" s="5"/>
      <c r="T8015" s="5"/>
      <c r="U8015" s="5"/>
      <c r="V8015" s="5"/>
      <c r="W8015" s="5"/>
      <c r="X8015" s="5"/>
      <c r="Y8015" s="5"/>
      <c r="Z8015" s="5"/>
    </row>
    <row r="8016" spans="1:26" ht="15" x14ac:dyDescent="0.25">
      <c r="A8016" s="4" t="s">
        <v>8014</v>
      </c>
      <c r="B8016" s="4" t="s">
        <v>4550</v>
      </c>
      <c r="C8016" s="2" t="str">
        <f ca="1">IFERROR(__xludf.DUMMYFUNCTION("GOOGLETRANSLATE(A8016,""bn"",""en"")"),"He made today's meal")</f>
        <v>He made today's meal</v>
      </c>
      <c r="D8016" s="5"/>
      <c r="E8016" s="5"/>
      <c r="F8016" s="5"/>
      <c r="G8016" s="5"/>
      <c r="H8016" s="5"/>
      <c r="I8016" s="5"/>
      <c r="J8016" s="5"/>
      <c r="K8016" s="5"/>
      <c r="L8016" s="5"/>
      <c r="M8016" s="5"/>
      <c r="N8016" s="5"/>
      <c r="O8016" s="5"/>
      <c r="P8016" s="5"/>
      <c r="Q8016" s="5"/>
      <c r="R8016" s="5"/>
      <c r="S8016" s="5"/>
      <c r="T8016" s="5"/>
      <c r="U8016" s="5"/>
      <c r="V8016" s="5"/>
      <c r="W8016" s="5"/>
      <c r="X8016" s="5"/>
      <c r="Y8016" s="5"/>
      <c r="Z8016" s="5"/>
    </row>
    <row r="8017" spans="1:26" ht="15" x14ac:dyDescent="0.25">
      <c r="A8017" s="4" t="s">
        <v>8015</v>
      </c>
      <c r="B8017" s="4" t="s">
        <v>4550</v>
      </c>
      <c r="C8017" s="2" t="str">
        <f ca="1">IFERROR(__xludf.DUMMYFUNCTION("GOOGLETRANSLATE(A8017,""bn"",""en"")"),"There were eleven teams in the World Cup")</f>
        <v>There were eleven teams in the World Cup</v>
      </c>
      <c r="D8017" s="5"/>
      <c r="E8017" s="5"/>
      <c r="F8017" s="5"/>
      <c r="G8017" s="5"/>
      <c r="H8017" s="5"/>
      <c r="I8017" s="5"/>
      <c r="J8017" s="5"/>
      <c r="K8017" s="5"/>
      <c r="L8017" s="5"/>
      <c r="M8017" s="5"/>
      <c r="N8017" s="5"/>
      <c r="O8017" s="5"/>
      <c r="P8017" s="5"/>
      <c r="Q8017" s="5"/>
      <c r="R8017" s="5"/>
      <c r="S8017" s="5"/>
      <c r="T8017" s="5"/>
      <c r="U8017" s="5"/>
      <c r="V8017" s="5"/>
      <c r="W8017" s="5"/>
      <c r="X8017" s="5"/>
      <c r="Y8017" s="5"/>
      <c r="Z8017" s="5"/>
    </row>
    <row r="8018" spans="1:26" ht="15" x14ac:dyDescent="0.25">
      <c r="A8018" s="4" t="s">
        <v>8016</v>
      </c>
      <c r="B8018" s="4" t="s">
        <v>4550</v>
      </c>
      <c r="C8018" s="2" t="str">
        <f ca="1">IFERROR(__xludf.DUMMYFUNCTION("GOOGLETRANSLATE(A8018,""bn"",""en"")"),"Moving on to coding techniques")</f>
        <v>Moving on to coding techniques</v>
      </c>
      <c r="D8018" s="5"/>
      <c r="E8018" s="5"/>
      <c r="F8018" s="5"/>
      <c r="G8018" s="5"/>
      <c r="H8018" s="5"/>
      <c r="I8018" s="5"/>
      <c r="J8018" s="5"/>
      <c r="K8018" s="5"/>
      <c r="L8018" s="5"/>
      <c r="M8018" s="5"/>
      <c r="N8018" s="5"/>
      <c r="O8018" s="5"/>
      <c r="P8018" s="5"/>
      <c r="Q8018" s="5"/>
      <c r="R8018" s="5"/>
      <c r="S8018" s="5"/>
      <c r="T8018" s="5"/>
      <c r="U8018" s="5"/>
      <c r="V8018" s="5"/>
      <c r="W8018" s="5"/>
      <c r="X8018" s="5"/>
      <c r="Y8018" s="5"/>
      <c r="Z8018" s="5"/>
    </row>
    <row r="8019" spans="1:26" ht="15" x14ac:dyDescent="0.25">
      <c r="A8019" s="4" t="s">
        <v>8017</v>
      </c>
      <c r="B8019" s="4" t="s">
        <v>4550</v>
      </c>
      <c r="C8019" s="2" t="str">
        <f ca="1">IFERROR(__xludf.DUMMYFUNCTION("GOOGLETRANSLATE(A8019,""bn"",""en"")"),"Unpopular elections were held last time")</f>
        <v>Unpopular elections were held last time</v>
      </c>
      <c r="D8019" s="5"/>
      <c r="E8019" s="5"/>
      <c r="F8019" s="5"/>
      <c r="G8019" s="5"/>
      <c r="H8019" s="5"/>
      <c r="I8019" s="5"/>
      <c r="J8019" s="5"/>
      <c r="K8019" s="5"/>
      <c r="L8019" s="5"/>
      <c r="M8019" s="5"/>
      <c r="N8019" s="5"/>
      <c r="O8019" s="5"/>
      <c r="P8019" s="5"/>
      <c r="Q8019" s="5"/>
      <c r="R8019" s="5"/>
      <c r="S8019" s="5"/>
      <c r="T8019" s="5"/>
      <c r="U8019" s="5"/>
      <c r="V8019" s="5"/>
      <c r="W8019" s="5"/>
      <c r="X8019" s="5"/>
      <c r="Y8019" s="5"/>
      <c r="Z8019" s="5"/>
    </row>
    <row r="8020" spans="1:26" ht="15" x14ac:dyDescent="0.25">
      <c r="A8020" s="4" t="s">
        <v>8018</v>
      </c>
      <c r="B8020" s="4" t="s">
        <v>4550</v>
      </c>
      <c r="C8020" s="2" t="str">
        <f ca="1">IFERROR(__xludf.DUMMYFUNCTION("GOOGLETRANSLATE(A8020,""bn"",""en"")"),"The tablet was opened on Sunday morning")</f>
        <v>The tablet was opened on Sunday morning</v>
      </c>
      <c r="D8020" s="5"/>
      <c r="E8020" s="5"/>
      <c r="F8020" s="5"/>
      <c r="G8020" s="5"/>
      <c r="H8020" s="5"/>
      <c r="I8020" s="5"/>
      <c r="J8020" s="5"/>
      <c r="K8020" s="5"/>
      <c r="L8020" s="5"/>
      <c r="M8020" s="5"/>
      <c r="N8020" s="5"/>
      <c r="O8020" s="5"/>
      <c r="P8020" s="5"/>
      <c r="Q8020" s="5"/>
      <c r="R8020" s="5"/>
      <c r="S8020" s="5"/>
      <c r="T8020" s="5"/>
      <c r="U8020" s="5"/>
      <c r="V8020" s="5"/>
      <c r="W8020" s="5"/>
      <c r="X8020" s="5"/>
      <c r="Y8020" s="5"/>
      <c r="Z8020" s="5"/>
    </row>
    <row r="8021" spans="1:26" ht="15" x14ac:dyDescent="0.25">
      <c r="A8021" s="4" t="s">
        <v>8019</v>
      </c>
      <c r="B8021" s="4" t="s">
        <v>4550</v>
      </c>
      <c r="C8021" s="2" t="str">
        <f ca="1">IFERROR(__xludf.DUMMYFUNCTION("GOOGLETRANSLATE(A8021,""bn"",""en"")"),"The season had fertile odds")</f>
        <v>The season had fertile odds</v>
      </c>
      <c r="D8021" s="5"/>
      <c r="E8021" s="5"/>
      <c r="F8021" s="5"/>
      <c r="G8021" s="5"/>
      <c r="H8021" s="5"/>
      <c r="I8021" s="5"/>
      <c r="J8021" s="5"/>
      <c r="K8021" s="5"/>
      <c r="L8021" s="5"/>
      <c r="M8021" s="5"/>
      <c r="N8021" s="5"/>
      <c r="O8021" s="5"/>
      <c r="P8021" s="5"/>
      <c r="Q8021" s="5"/>
      <c r="R8021" s="5"/>
      <c r="S8021" s="5"/>
      <c r="T8021" s="5"/>
      <c r="U8021" s="5"/>
      <c r="V8021" s="5"/>
      <c r="W8021" s="5"/>
      <c r="X8021" s="5"/>
      <c r="Y8021" s="5"/>
      <c r="Z8021" s="5"/>
    </row>
    <row r="8022" spans="1:26" ht="15" x14ac:dyDescent="0.25">
      <c r="A8022" s="4" t="s">
        <v>8020</v>
      </c>
      <c r="B8022" s="4" t="s">
        <v>4550</v>
      </c>
      <c r="C8022" s="2" t="str">
        <f ca="1">IFERROR(__xludf.DUMMYFUNCTION("GOOGLETRANSLATE(A8022,""bn"",""en"")"),"He got a credit card")</f>
        <v>He got a credit card</v>
      </c>
      <c r="D8022" s="5"/>
      <c r="E8022" s="5"/>
      <c r="F8022" s="5"/>
      <c r="G8022" s="5"/>
      <c r="H8022" s="5"/>
      <c r="I8022" s="5"/>
      <c r="J8022" s="5"/>
      <c r="K8022" s="5"/>
      <c r="L8022" s="5"/>
      <c r="M8022" s="5"/>
      <c r="N8022" s="5"/>
      <c r="O8022" s="5"/>
      <c r="P8022" s="5"/>
      <c r="Q8022" s="5"/>
      <c r="R8022" s="5"/>
      <c r="S8022" s="5"/>
      <c r="T8022" s="5"/>
      <c r="U8022" s="5"/>
      <c r="V8022" s="5"/>
      <c r="W8022" s="5"/>
      <c r="X8022" s="5"/>
      <c r="Y8022" s="5"/>
      <c r="Z8022" s="5"/>
    </row>
    <row r="8023" spans="1:26" ht="15" x14ac:dyDescent="0.25">
      <c r="A8023" s="4" t="s">
        <v>8021</v>
      </c>
      <c r="B8023" s="4" t="s">
        <v>4550</v>
      </c>
      <c r="C8023" s="2" t="str">
        <f ca="1">IFERROR(__xludf.DUMMYFUNCTION("GOOGLETRANSLATE(A8023,""bn"",""en"")"),"The game was played in a city club")</f>
        <v>The game was played in a city club</v>
      </c>
      <c r="D8023" s="5"/>
      <c r="E8023" s="5"/>
      <c r="F8023" s="5"/>
      <c r="G8023" s="5"/>
      <c r="H8023" s="5"/>
      <c r="I8023" s="5"/>
      <c r="J8023" s="5"/>
      <c r="K8023" s="5"/>
      <c r="L8023" s="5"/>
      <c r="M8023" s="5"/>
      <c r="N8023" s="5"/>
      <c r="O8023" s="5"/>
      <c r="P8023" s="5"/>
      <c r="Q8023" s="5"/>
      <c r="R8023" s="5"/>
      <c r="S8023" s="5"/>
      <c r="T8023" s="5"/>
      <c r="U8023" s="5"/>
      <c r="V8023" s="5"/>
      <c r="W8023" s="5"/>
      <c r="X8023" s="5"/>
      <c r="Y8023" s="5"/>
      <c r="Z8023" s="5"/>
    </row>
    <row r="8024" spans="1:26" ht="15" x14ac:dyDescent="0.25">
      <c r="A8024" s="4" t="s">
        <v>8022</v>
      </c>
      <c r="B8024" s="4" t="s">
        <v>4550</v>
      </c>
      <c r="C8024" s="2" t="str">
        <f ca="1">IFERROR(__xludf.DUMMYFUNCTION("GOOGLETRANSLATE(A8024,""bn"",""en"")"),"He interfered to break the government")</f>
        <v>He interfered to break the government</v>
      </c>
      <c r="D8024" s="5"/>
      <c r="E8024" s="5"/>
      <c r="F8024" s="5"/>
      <c r="G8024" s="5"/>
      <c r="H8024" s="5"/>
      <c r="I8024" s="5"/>
      <c r="J8024" s="5"/>
      <c r="K8024" s="5"/>
      <c r="L8024" s="5"/>
      <c r="M8024" s="5"/>
      <c r="N8024" s="5"/>
      <c r="O8024" s="5"/>
      <c r="P8024" s="5"/>
      <c r="Q8024" s="5"/>
      <c r="R8024" s="5"/>
      <c r="S8024" s="5"/>
      <c r="T8024" s="5"/>
      <c r="U8024" s="5"/>
      <c r="V8024" s="5"/>
      <c r="W8024" s="5"/>
      <c r="X8024" s="5"/>
      <c r="Y8024" s="5"/>
      <c r="Z8024" s="5"/>
    </row>
    <row r="8025" spans="1:26" ht="15" x14ac:dyDescent="0.25">
      <c r="A8025" s="4" t="s">
        <v>8023</v>
      </c>
      <c r="B8025" s="4" t="s">
        <v>4550</v>
      </c>
      <c r="C8025" s="2" t="str">
        <f ca="1">IFERROR(__xludf.DUMMYFUNCTION("GOOGLETRANSLATE(A8025,""bn"",""en"")"),"Digital change has come in the society")</f>
        <v>Digital change has come in the society</v>
      </c>
      <c r="D8025" s="5"/>
      <c r="E8025" s="5"/>
      <c r="F8025" s="5"/>
      <c r="G8025" s="5"/>
      <c r="H8025" s="5"/>
      <c r="I8025" s="5"/>
      <c r="J8025" s="5"/>
      <c r="K8025" s="5"/>
      <c r="L8025" s="5"/>
      <c r="M8025" s="5"/>
      <c r="N8025" s="5"/>
      <c r="O8025" s="5"/>
      <c r="P8025" s="5"/>
      <c r="Q8025" s="5"/>
      <c r="R8025" s="5"/>
      <c r="S8025" s="5"/>
      <c r="T8025" s="5"/>
      <c r="U8025" s="5"/>
      <c r="V8025" s="5"/>
      <c r="W8025" s="5"/>
      <c r="X8025" s="5"/>
      <c r="Y8025" s="5"/>
      <c r="Z8025" s="5"/>
    </row>
    <row r="8026" spans="1:26" ht="15" x14ac:dyDescent="0.25">
      <c r="A8026" s="4" t="s">
        <v>8024</v>
      </c>
      <c r="B8026" s="4" t="s">
        <v>4550</v>
      </c>
      <c r="C8026" s="2" t="str">
        <f ca="1">IFERROR(__xludf.DUMMYFUNCTION("GOOGLETRANSLATE(A8026,""bn"",""en"")"),"He won the tennis trophy")</f>
        <v>He won the tennis trophy</v>
      </c>
      <c r="D8026" s="5"/>
      <c r="E8026" s="5"/>
      <c r="F8026" s="5"/>
      <c r="G8026" s="5"/>
      <c r="H8026" s="5"/>
      <c r="I8026" s="5"/>
      <c r="J8026" s="5"/>
      <c r="K8026" s="5"/>
      <c r="L8026" s="5"/>
      <c r="M8026" s="5"/>
      <c r="N8026" s="5"/>
      <c r="O8026" s="5"/>
      <c r="P8026" s="5"/>
      <c r="Q8026" s="5"/>
      <c r="R8026" s="5"/>
      <c r="S8026" s="5"/>
      <c r="T8026" s="5"/>
      <c r="U8026" s="5"/>
      <c r="V8026" s="5"/>
      <c r="W8026" s="5"/>
      <c r="X8026" s="5"/>
      <c r="Y8026" s="5"/>
      <c r="Z8026" s="5"/>
    </row>
    <row r="8027" spans="1:26" ht="15" x14ac:dyDescent="0.25">
      <c r="A8027" s="4" t="s">
        <v>8025</v>
      </c>
      <c r="B8027" s="4" t="s">
        <v>4550</v>
      </c>
      <c r="C8027" s="2" t="str">
        <f ca="1">IFERROR(__xludf.DUMMYFUNCTION("GOOGLETRANSLATE(A8027,""bn"",""en"")"),"Bangladesh played World Cup football")</f>
        <v>Bangladesh played World Cup football</v>
      </c>
      <c r="D8027" s="5"/>
      <c r="E8027" s="5"/>
      <c r="F8027" s="5"/>
      <c r="G8027" s="5"/>
      <c r="H8027" s="5"/>
      <c r="I8027" s="5"/>
      <c r="J8027" s="5"/>
      <c r="K8027" s="5"/>
      <c r="L8027" s="5"/>
      <c r="M8027" s="5"/>
      <c r="N8027" s="5"/>
      <c r="O8027" s="5"/>
      <c r="P8027" s="5"/>
      <c r="Q8027" s="5"/>
      <c r="R8027" s="5"/>
      <c r="S8027" s="5"/>
      <c r="T8027" s="5"/>
      <c r="U8027" s="5"/>
      <c r="V8027" s="5"/>
      <c r="W8027" s="5"/>
      <c r="X8027" s="5"/>
      <c r="Y8027" s="5"/>
      <c r="Z8027" s="5"/>
    </row>
    <row r="8028" spans="1:26" ht="15" x14ac:dyDescent="0.25">
      <c r="A8028" s="4" t="s">
        <v>8026</v>
      </c>
      <c r="B8028" s="4" t="s">
        <v>4550</v>
      </c>
      <c r="C8028" s="2" t="str">
        <f ca="1">IFERROR(__xludf.DUMMYFUNCTION("GOOGLETRANSLATE(A8028,""bn"",""en"")"),"I was reporting a code bug")</f>
        <v>I was reporting a code bug</v>
      </c>
      <c r="D8028" s="5"/>
      <c r="E8028" s="5"/>
      <c r="F8028" s="5"/>
      <c r="G8028" s="5"/>
      <c r="H8028" s="5"/>
      <c r="I8028" s="5"/>
      <c r="J8028" s="5"/>
      <c r="K8028" s="5"/>
      <c r="L8028" s="5"/>
      <c r="M8028" s="5"/>
      <c r="N8028" s="5"/>
      <c r="O8028" s="5"/>
      <c r="P8028" s="5"/>
      <c r="Q8028" s="5"/>
      <c r="R8028" s="5"/>
      <c r="S8028" s="5"/>
      <c r="T8028" s="5"/>
      <c r="U8028" s="5"/>
      <c r="V8028" s="5"/>
      <c r="W8028" s="5"/>
      <c r="X8028" s="5"/>
      <c r="Y8028" s="5"/>
      <c r="Z8028" s="5"/>
    </row>
    <row r="8029" spans="1:26" ht="15" x14ac:dyDescent="0.25">
      <c r="A8029" s="4" t="s">
        <v>8027</v>
      </c>
      <c r="B8029" s="4" t="s">
        <v>4550</v>
      </c>
      <c r="C8029" s="2" t="str">
        <f ca="1">IFERROR(__xludf.DUMMYFUNCTION("GOOGLETRANSLATE(A8029,""bn"",""en"")"),"I was engaged as a growth")</f>
        <v>I was engaged as a growth</v>
      </c>
      <c r="D8029" s="5"/>
      <c r="E8029" s="5"/>
      <c r="F8029" s="5"/>
      <c r="G8029" s="5"/>
      <c r="H8029" s="5"/>
      <c r="I8029" s="5"/>
      <c r="J8029" s="5"/>
      <c r="K8029" s="5"/>
      <c r="L8029" s="5"/>
      <c r="M8029" s="5"/>
      <c r="N8029" s="5"/>
      <c r="O8029" s="5"/>
      <c r="P8029" s="5"/>
      <c r="Q8029" s="5"/>
      <c r="R8029" s="5"/>
      <c r="S8029" s="5"/>
      <c r="T8029" s="5"/>
      <c r="U8029" s="5"/>
      <c r="V8029" s="5"/>
      <c r="W8029" s="5"/>
      <c r="X8029" s="5"/>
      <c r="Y8029" s="5"/>
      <c r="Z8029" s="5"/>
    </row>
    <row r="8030" spans="1:26" ht="15" x14ac:dyDescent="0.25">
      <c r="A8030" s="4" t="s">
        <v>8028</v>
      </c>
      <c r="B8030" s="4" t="s">
        <v>4550</v>
      </c>
      <c r="C8030" s="2" t="str">
        <f ca="1">IFERROR(__xludf.DUMMYFUNCTION("GOOGLETRANSLATE(A8030,""bn"",""en"")"),"I was awarded as a writer")</f>
        <v>I was awarded as a writer</v>
      </c>
      <c r="D8030" s="5"/>
      <c r="E8030" s="5"/>
      <c r="F8030" s="5"/>
      <c r="G8030" s="5"/>
      <c r="H8030" s="5"/>
      <c r="I8030" s="5"/>
      <c r="J8030" s="5"/>
      <c r="K8030" s="5"/>
      <c r="L8030" s="5"/>
      <c r="M8030" s="5"/>
      <c r="N8030" s="5"/>
      <c r="O8030" s="5"/>
      <c r="P8030" s="5"/>
      <c r="Q8030" s="5"/>
      <c r="R8030" s="5"/>
      <c r="S8030" s="5"/>
      <c r="T8030" s="5"/>
      <c r="U8030" s="5"/>
      <c r="V8030" s="5"/>
      <c r="W8030" s="5"/>
      <c r="X8030" s="5"/>
      <c r="Y8030" s="5"/>
      <c r="Z8030" s="5"/>
    </row>
    <row r="8031" spans="1:26" ht="15" x14ac:dyDescent="0.25">
      <c r="A8031" s="4" t="s">
        <v>8029</v>
      </c>
      <c r="B8031" s="4" t="s">
        <v>4550</v>
      </c>
      <c r="C8031" s="2" t="str">
        <f ca="1">IFERROR(__xludf.DUMMYFUNCTION("GOOGLETRANSLATE(A8031,""bn"",""en"")"),"I ate bread for breakfast in the morning")</f>
        <v>I ate bread for breakfast in the morning</v>
      </c>
      <c r="D8031" s="5"/>
      <c r="E8031" s="5"/>
      <c r="F8031" s="5"/>
      <c r="G8031" s="5"/>
      <c r="H8031" s="5"/>
      <c r="I8031" s="5"/>
      <c r="J8031" s="5"/>
      <c r="K8031" s="5"/>
      <c r="L8031" s="5"/>
      <c r="M8031" s="5"/>
      <c r="N8031" s="5"/>
      <c r="O8031" s="5"/>
      <c r="P8031" s="5"/>
      <c r="Q8031" s="5"/>
      <c r="R8031" s="5"/>
      <c r="S8031" s="5"/>
      <c r="T8031" s="5"/>
      <c r="U8031" s="5"/>
      <c r="V8031" s="5"/>
      <c r="W8031" s="5"/>
      <c r="X8031" s="5"/>
      <c r="Y8031" s="5"/>
      <c r="Z8031" s="5"/>
    </row>
    <row r="8032" spans="1:26" ht="15" x14ac:dyDescent="0.25">
      <c r="A8032" s="4" t="s">
        <v>8030</v>
      </c>
      <c r="B8032" s="4" t="s">
        <v>4550</v>
      </c>
      <c r="C8032" s="2" t="str">
        <f ca="1">IFERROR(__xludf.DUMMYFUNCTION("GOOGLETRANSLATE(A8032,""bn"",""en"")"),"The cabinet discussed the institution")</f>
        <v>The cabinet discussed the institution</v>
      </c>
      <c r="D8032" s="5"/>
      <c r="E8032" s="5"/>
      <c r="F8032" s="5"/>
      <c r="G8032" s="5"/>
      <c r="H8032" s="5"/>
      <c r="I8032" s="5"/>
      <c r="J8032" s="5"/>
      <c r="K8032" s="5"/>
      <c r="L8032" s="5"/>
      <c r="M8032" s="5"/>
      <c r="N8032" s="5"/>
      <c r="O8032" s="5"/>
      <c r="P8032" s="5"/>
      <c r="Q8032" s="5"/>
      <c r="R8032" s="5"/>
      <c r="S8032" s="5"/>
      <c r="T8032" s="5"/>
      <c r="U8032" s="5"/>
      <c r="V8032" s="5"/>
      <c r="W8032" s="5"/>
      <c r="X8032" s="5"/>
      <c r="Y8032" s="5"/>
      <c r="Z8032" s="5"/>
    </row>
    <row r="8033" spans="1:26" ht="15" x14ac:dyDescent="0.25">
      <c r="A8033" s="4" t="s">
        <v>8031</v>
      </c>
      <c r="B8033" s="4" t="s">
        <v>4550</v>
      </c>
      <c r="C8033" s="2" t="str">
        <f ca="1">IFERROR(__xludf.DUMMYFUNCTION("GOOGLETRANSLATE(A8033,""bn"",""en"")"),"I used a framework")</f>
        <v>I used a framework</v>
      </c>
      <c r="D8033" s="5"/>
      <c r="E8033" s="5"/>
      <c r="F8033" s="5"/>
      <c r="G8033" s="5"/>
      <c r="H8033" s="5"/>
      <c r="I8033" s="5"/>
      <c r="J8033" s="5"/>
      <c r="K8033" s="5"/>
      <c r="L8033" s="5"/>
      <c r="M8033" s="5"/>
      <c r="N8033" s="5"/>
      <c r="O8033" s="5"/>
      <c r="P8033" s="5"/>
      <c r="Q8033" s="5"/>
      <c r="R8033" s="5"/>
      <c r="S8033" s="5"/>
      <c r="T8033" s="5"/>
      <c r="U8033" s="5"/>
      <c r="V8033" s="5"/>
      <c r="W8033" s="5"/>
      <c r="X8033" s="5"/>
      <c r="Y8033" s="5"/>
      <c r="Z8033" s="5"/>
    </row>
    <row r="8034" spans="1:26" ht="15" x14ac:dyDescent="0.25">
      <c r="A8034" s="4" t="s">
        <v>8032</v>
      </c>
      <c r="B8034" s="4" t="s">
        <v>4550</v>
      </c>
      <c r="C8034" s="2" t="str">
        <f ca="1">IFERROR(__xludf.DUMMYFUNCTION("GOOGLETRANSLATE(A8034,""bn"",""en"")"),"They were paying the debt")</f>
        <v>They were paying the debt</v>
      </c>
      <c r="D8034" s="5"/>
      <c r="E8034" s="5"/>
      <c r="F8034" s="5"/>
      <c r="G8034" s="5"/>
      <c r="H8034" s="5"/>
      <c r="I8034" s="5"/>
      <c r="J8034" s="5"/>
      <c r="K8034" s="5"/>
      <c r="L8034" s="5"/>
      <c r="M8034" s="5"/>
      <c r="N8034" s="5"/>
      <c r="O8034" s="5"/>
      <c r="P8034" s="5"/>
      <c r="Q8034" s="5"/>
      <c r="R8034" s="5"/>
      <c r="S8034" s="5"/>
      <c r="T8034" s="5"/>
      <c r="U8034" s="5"/>
      <c r="V8034" s="5"/>
      <c r="W8034" s="5"/>
      <c r="X8034" s="5"/>
      <c r="Y8034" s="5"/>
      <c r="Z8034" s="5"/>
    </row>
    <row r="8035" spans="1:26" ht="15" x14ac:dyDescent="0.25">
      <c r="A8035" s="4" t="s">
        <v>8033</v>
      </c>
      <c r="B8035" s="4" t="s">
        <v>4550</v>
      </c>
      <c r="C8035" s="2" t="str">
        <f ca="1">IFERROR(__xludf.DUMMYFUNCTION("GOOGLETRANSLATE(A8035,""bn"",""en"")"),"You watched the film all day")</f>
        <v>You watched the film all day</v>
      </c>
      <c r="D8035" s="5"/>
      <c r="E8035" s="5"/>
      <c r="F8035" s="5"/>
      <c r="G8035" s="5"/>
      <c r="H8035" s="5"/>
      <c r="I8035" s="5"/>
      <c r="J8035" s="5"/>
      <c r="K8035" s="5"/>
      <c r="L8035" s="5"/>
      <c r="M8035" s="5"/>
      <c r="N8035" s="5"/>
      <c r="O8035" s="5"/>
      <c r="P8035" s="5"/>
      <c r="Q8035" s="5"/>
      <c r="R8035" s="5"/>
      <c r="S8035" s="5"/>
      <c r="T8035" s="5"/>
      <c r="U8035" s="5"/>
      <c r="V8035" s="5"/>
      <c r="W8035" s="5"/>
      <c r="X8035" s="5"/>
      <c r="Y8035" s="5"/>
      <c r="Z8035" s="5"/>
    </row>
    <row r="8036" spans="1:26" ht="15" x14ac:dyDescent="0.25">
      <c r="A8036" s="4" t="s">
        <v>8034</v>
      </c>
      <c r="B8036" s="4" t="s">
        <v>4550</v>
      </c>
      <c r="C8036" s="2" t="str">
        <f ca="1">IFERROR(__xludf.DUMMYFUNCTION("GOOGLETRANSLATE(A8036,""bn"",""en"")"),"He was grilling the barbeque")</f>
        <v>He was grilling the barbeque</v>
      </c>
      <c r="D8036" s="5"/>
      <c r="E8036" s="5"/>
      <c r="F8036" s="5"/>
      <c r="G8036" s="5"/>
      <c r="H8036" s="5"/>
      <c r="I8036" s="5"/>
      <c r="J8036" s="5"/>
      <c r="K8036" s="5"/>
      <c r="L8036" s="5"/>
      <c r="M8036" s="5"/>
      <c r="N8036" s="5"/>
      <c r="O8036" s="5"/>
      <c r="P8036" s="5"/>
      <c r="Q8036" s="5"/>
      <c r="R8036" s="5"/>
      <c r="S8036" s="5"/>
      <c r="T8036" s="5"/>
      <c r="U8036" s="5"/>
      <c r="V8036" s="5"/>
      <c r="W8036" s="5"/>
      <c r="X8036" s="5"/>
      <c r="Y8036" s="5"/>
      <c r="Z8036" s="5"/>
    </row>
    <row r="8037" spans="1:26" ht="15" x14ac:dyDescent="0.25">
      <c r="A8037" s="4" t="s">
        <v>8035</v>
      </c>
      <c r="B8037" s="4" t="s">
        <v>4550</v>
      </c>
      <c r="C8037" s="2" t="str">
        <f ca="1">IFERROR(__xludf.DUMMYFUNCTION("GOOGLETRANSLATE(A8037,""bn"",""en"")"),"When will you see it in the cinema?")</f>
        <v>When will you see it in the cinema?</v>
      </c>
      <c r="D8037" s="5"/>
      <c r="E8037" s="5"/>
      <c r="F8037" s="5"/>
      <c r="G8037" s="5"/>
      <c r="H8037" s="5"/>
      <c r="I8037" s="5"/>
      <c r="J8037" s="5"/>
      <c r="K8037" s="5"/>
      <c r="L8037" s="5"/>
      <c r="M8037" s="5"/>
      <c r="N8037" s="5"/>
      <c r="O8037" s="5"/>
      <c r="P8037" s="5"/>
      <c r="Q8037" s="5"/>
      <c r="R8037" s="5"/>
      <c r="S8037" s="5"/>
      <c r="T8037" s="5"/>
      <c r="U8037" s="5"/>
      <c r="V8037" s="5"/>
      <c r="W8037" s="5"/>
      <c r="X8037" s="5"/>
      <c r="Y8037" s="5"/>
      <c r="Z8037" s="5"/>
    </row>
    <row r="8038" spans="1:26" ht="15" x14ac:dyDescent="0.25">
      <c r="A8038" s="4" t="s">
        <v>8036</v>
      </c>
      <c r="B8038" s="4" t="s">
        <v>4550</v>
      </c>
      <c r="C8038" s="2" t="str">
        <f ca="1">IFERROR(__xludf.DUMMYFUNCTION("GOOGLETRANSLATE(A8038,""bn"",""en"")"),"Sania became the badminton champion")</f>
        <v>Sania became the badminton champion</v>
      </c>
      <c r="D8038" s="5"/>
      <c r="E8038" s="5"/>
      <c r="F8038" s="5"/>
      <c r="G8038" s="5"/>
      <c r="H8038" s="5"/>
      <c r="I8038" s="5"/>
      <c r="J8038" s="5"/>
      <c r="K8038" s="5"/>
      <c r="L8038" s="5"/>
      <c r="M8038" s="5"/>
      <c r="N8038" s="5"/>
      <c r="O8038" s="5"/>
      <c r="P8038" s="5"/>
      <c r="Q8038" s="5"/>
      <c r="R8038" s="5"/>
      <c r="S8038" s="5"/>
      <c r="T8038" s="5"/>
      <c r="U8038" s="5"/>
      <c r="V8038" s="5"/>
      <c r="W8038" s="5"/>
      <c r="X8038" s="5"/>
      <c r="Y8038" s="5"/>
      <c r="Z8038" s="5"/>
    </row>
    <row r="8039" spans="1:26" ht="15" x14ac:dyDescent="0.25">
      <c r="A8039" s="4" t="s">
        <v>8037</v>
      </c>
      <c r="B8039" s="4" t="s">
        <v>4550</v>
      </c>
      <c r="C8039" s="2" t="str">
        <f ca="1">IFERROR(__xludf.DUMMYFUNCTION("GOOGLETRANSLATE(A8039,""bn"",""en"")"),"Transportation sales fell during the month")</f>
        <v>Transportation sales fell during the month</v>
      </c>
      <c r="D8039" s="5"/>
      <c r="E8039" s="5"/>
      <c r="F8039" s="5"/>
      <c r="G8039" s="5"/>
      <c r="H8039" s="5"/>
      <c r="I8039" s="5"/>
      <c r="J8039" s="5"/>
      <c r="K8039" s="5"/>
      <c r="L8039" s="5"/>
      <c r="M8039" s="5"/>
      <c r="N8039" s="5"/>
      <c r="O8039" s="5"/>
      <c r="P8039" s="5"/>
      <c r="Q8039" s="5"/>
      <c r="R8039" s="5"/>
      <c r="S8039" s="5"/>
      <c r="T8039" s="5"/>
      <c r="U8039" s="5"/>
      <c r="V8039" s="5"/>
      <c r="W8039" s="5"/>
      <c r="X8039" s="5"/>
      <c r="Y8039" s="5"/>
      <c r="Z8039" s="5"/>
    </row>
    <row r="8040" spans="1:26" ht="15" x14ac:dyDescent="0.25">
      <c r="A8040" s="4" t="s">
        <v>8038</v>
      </c>
      <c r="B8040" s="4" t="s">
        <v>4550</v>
      </c>
      <c r="C8040" s="2" t="str">
        <f ca="1">IFERROR(__xludf.DUMMYFUNCTION("GOOGLETRANSLATE(A8040,""bn"",""en"")"),"There were many people at the children's fair")</f>
        <v>There were many people at the children's fair</v>
      </c>
      <c r="D8040" s="5"/>
      <c r="E8040" s="5"/>
      <c r="F8040" s="5"/>
      <c r="G8040" s="5"/>
      <c r="H8040" s="5"/>
      <c r="I8040" s="5"/>
      <c r="J8040" s="5"/>
      <c r="K8040" s="5"/>
      <c r="L8040" s="5"/>
      <c r="M8040" s="5"/>
      <c r="N8040" s="5"/>
      <c r="O8040" s="5"/>
      <c r="P8040" s="5"/>
      <c r="Q8040" s="5"/>
      <c r="R8040" s="5"/>
      <c r="S8040" s="5"/>
      <c r="T8040" s="5"/>
      <c r="U8040" s="5"/>
      <c r="V8040" s="5"/>
      <c r="W8040" s="5"/>
      <c r="X8040" s="5"/>
      <c r="Y8040" s="5"/>
      <c r="Z8040" s="5"/>
    </row>
    <row r="8041" spans="1:26" ht="15" x14ac:dyDescent="0.25">
      <c r="A8041" s="4" t="s">
        <v>8039</v>
      </c>
      <c r="B8041" s="4" t="s">
        <v>4550</v>
      </c>
      <c r="C8041" s="2" t="str">
        <f ca="1">IFERROR(__xludf.DUMMYFUNCTION("GOOGLETRANSLATE(A8041,""bn"",""en"")"),"We were at the play")</f>
        <v>We were at the play</v>
      </c>
      <c r="D8041" s="5"/>
      <c r="E8041" s="5"/>
      <c r="F8041" s="5"/>
      <c r="G8041" s="5"/>
      <c r="H8041" s="5"/>
      <c r="I8041" s="5"/>
      <c r="J8041" s="5"/>
      <c r="K8041" s="5"/>
      <c r="L8041" s="5"/>
      <c r="M8041" s="5"/>
      <c r="N8041" s="5"/>
      <c r="O8041" s="5"/>
      <c r="P8041" s="5"/>
      <c r="Q8041" s="5"/>
      <c r="R8041" s="5"/>
      <c r="S8041" s="5"/>
      <c r="T8041" s="5"/>
      <c r="U8041" s="5"/>
      <c r="V8041" s="5"/>
      <c r="W8041" s="5"/>
      <c r="X8041" s="5"/>
      <c r="Y8041" s="5"/>
      <c r="Z8041" s="5"/>
    </row>
    <row r="8042" spans="1:26" ht="15" x14ac:dyDescent="0.25">
      <c r="A8042" s="4" t="s">
        <v>8040</v>
      </c>
      <c r="B8042" s="4" t="s">
        <v>4550</v>
      </c>
      <c r="C8042" s="2" t="str">
        <f ca="1">IFERROR(__xludf.DUMMYFUNCTION("GOOGLETRANSLATE(A8042,""bn"",""en"")"),"Saw a new image")</f>
        <v>Saw a new image</v>
      </c>
      <c r="D8042" s="5"/>
      <c r="E8042" s="5"/>
      <c r="F8042" s="5"/>
      <c r="G8042" s="5"/>
      <c r="H8042" s="5"/>
      <c r="I8042" s="5"/>
      <c r="J8042" s="5"/>
      <c r="K8042" s="5"/>
      <c r="L8042" s="5"/>
      <c r="M8042" s="5"/>
      <c r="N8042" s="5"/>
      <c r="O8042" s="5"/>
      <c r="P8042" s="5"/>
      <c r="Q8042" s="5"/>
      <c r="R8042" s="5"/>
      <c r="S8042" s="5"/>
      <c r="T8042" s="5"/>
      <c r="U8042" s="5"/>
      <c r="V8042" s="5"/>
      <c r="W8042" s="5"/>
      <c r="X8042" s="5"/>
      <c r="Y8042" s="5"/>
      <c r="Z8042" s="5"/>
    </row>
    <row r="8043" spans="1:26" ht="15" x14ac:dyDescent="0.25">
      <c r="A8043" s="4" t="s">
        <v>8041</v>
      </c>
      <c r="B8043" s="4" t="s">
        <v>4550</v>
      </c>
      <c r="C8043" s="2" t="str">
        <f ca="1">IFERROR(__xludf.DUMMYFUNCTION("GOOGLETRANSLATE(A8043,""bn"",""en"")"),"I went to see the new city")</f>
        <v>I went to see the new city</v>
      </c>
      <c r="D8043" s="5"/>
      <c r="E8043" s="5"/>
      <c r="F8043" s="5"/>
      <c r="G8043" s="5"/>
      <c r="H8043" s="5"/>
      <c r="I8043" s="5"/>
      <c r="J8043" s="5"/>
      <c r="K8043" s="5"/>
      <c r="L8043" s="5"/>
      <c r="M8043" s="5"/>
      <c r="N8043" s="5"/>
      <c r="O8043" s="5"/>
      <c r="P8043" s="5"/>
      <c r="Q8043" s="5"/>
      <c r="R8043" s="5"/>
      <c r="S8043" s="5"/>
      <c r="T8043" s="5"/>
      <c r="U8043" s="5"/>
      <c r="V8043" s="5"/>
      <c r="W8043" s="5"/>
      <c r="X8043" s="5"/>
      <c r="Y8043" s="5"/>
      <c r="Z8043" s="5"/>
    </row>
    <row r="8044" spans="1:26" ht="15" x14ac:dyDescent="0.25">
      <c r="A8044" s="4" t="s">
        <v>8042</v>
      </c>
      <c r="B8044" s="4" t="s">
        <v>4550</v>
      </c>
      <c r="C8044" s="2" t="str">
        <f ca="1">IFERROR(__xludf.DUMMYFUNCTION("GOOGLETRANSLATE(A8044,""bn"",""en"")"),"Had to do software testing")</f>
        <v>Had to do software testing</v>
      </c>
      <c r="D8044" s="5"/>
      <c r="E8044" s="5"/>
      <c r="F8044" s="5"/>
      <c r="G8044" s="5"/>
      <c r="H8044" s="5"/>
      <c r="I8044" s="5"/>
      <c r="J8044" s="5"/>
      <c r="K8044" s="5"/>
      <c r="L8044" s="5"/>
      <c r="M8044" s="5"/>
      <c r="N8044" s="5"/>
      <c r="O8044" s="5"/>
      <c r="P8044" s="5"/>
      <c r="Q8044" s="5"/>
      <c r="R8044" s="5"/>
      <c r="S8044" s="5"/>
      <c r="T8044" s="5"/>
      <c r="U8044" s="5"/>
      <c r="V8044" s="5"/>
      <c r="W8044" s="5"/>
      <c r="X8044" s="5"/>
      <c r="Y8044" s="5"/>
      <c r="Z8044" s="5"/>
    </row>
    <row r="8045" spans="1:26" ht="15" x14ac:dyDescent="0.25">
      <c r="A8045" s="4" t="s">
        <v>8043</v>
      </c>
      <c r="B8045" s="4" t="s">
        <v>4550</v>
      </c>
      <c r="C8045" s="2" t="str">
        <f ca="1">IFERROR(__xludf.DUMMYFUNCTION("GOOGLETRANSLATE(A8045,""bn"",""en"")"),"Crop soil was suitable")</f>
        <v>Crop soil was suitable</v>
      </c>
      <c r="D8045" s="5"/>
      <c r="E8045" s="5"/>
      <c r="F8045" s="5"/>
      <c r="G8045" s="5"/>
      <c r="H8045" s="5"/>
      <c r="I8045" s="5"/>
      <c r="J8045" s="5"/>
      <c r="K8045" s="5"/>
      <c r="L8045" s="5"/>
      <c r="M8045" s="5"/>
      <c r="N8045" s="5"/>
      <c r="O8045" s="5"/>
      <c r="P8045" s="5"/>
      <c r="Q8045" s="5"/>
      <c r="R8045" s="5"/>
      <c r="S8045" s="5"/>
      <c r="T8045" s="5"/>
      <c r="U8045" s="5"/>
      <c r="V8045" s="5"/>
      <c r="W8045" s="5"/>
      <c r="X8045" s="5"/>
      <c r="Y8045" s="5"/>
      <c r="Z8045" s="5"/>
    </row>
    <row r="8046" spans="1:26" ht="15" x14ac:dyDescent="0.25">
      <c r="A8046" s="4" t="s">
        <v>8044</v>
      </c>
      <c r="B8046" s="4" t="s">
        <v>4550</v>
      </c>
      <c r="C8046" s="2" t="str">
        <f ca="1">IFERROR(__xludf.DUMMYFUNCTION("GOOGLETRANSLATE(A8046,""bn"",""en"")"),"Discussions were going on in the meeting of politicians")</f>
        <v>Discussions were going on in the meeting of politicians</v>
      </c>
      <c r="D8046" s="5"/>
      <c r="E8046" s="5"/>
      <c r="F8046" s="5"/>
      <c r="G8046" s="5"/>
      <c r="H8046" s="5"/>
      <c r="I8046" s="5"/>
      <c r="J8046" s="5"/>
      <c r="K8046" s="5"/>
      <c r="L8046" s="5"/>
      <c r="M8046" s="5"/>
      <c r="N8046" s="5"/>
      <c r="O8046" s="5"/>
      <c r="P8046" s="5"/>
      <c r="Q8046" s="5"/>
      <c r="R8046" s="5"/>
      <c r="S8046" s="5"/>
      <c r="T8046" s="5"/>
      <c r="U8046" s="5"/>
      <c r="V8046" s="5"/>
      <c r="W8046" s="5"/>
      <c r="X8046" s="5"/>
      <c r="Y8046" s="5"/>
      <c r="Z8046" s="5"/>
    </row>
    <row r="8047" spans="1:26" ht="15" x14ac:dyDescent="0.25">
      <c r="A8047" s="4" t="s">
        <v>8045</v>
      </c>
      <c r="B8047" s="4" t="s">
        <v>4550</v>
      </c>
      <c r="C8047" s="2" t="str">
        <f ca="1">IFERROR(__xludf.DUMMYFUNCTION("GOOGLETRANSLATE(A8047,""bn"",""en"")"),"He watched movies all day")</f>
        <v>He watched movies all day</v>
      </c>
      <c r="D8047" s="5"/>
      <c r="E8047" s="5"/>
      <c r="F8047" s="5"/>
      <c r="G8047" s="5"/>
      <c r="H8047" s="5"/>
      <c r="I8047" s="5"/>
      <c r="J8047" s="5"/>
      <c r="K8047" s="5"/>
      <c r="L8047" s="5"/>
      <c r="M8047" s="5"/>
      <c r="N8047" s="5"/>
      <c r="O8047" s="5"/>
      <c r="P8047" s="5"/>
      <c r="Q8047" s="5"/>
      <c r="R8047" s="5"/>
      <c r="S8047" s="5"/>
      <c r="T8047" s="5"/>
      <c r="U8047" s="5"/>
      <c r="V8047" s="5"/>
      <c r="W8047" s="5"/>
      <c r="X8047" s="5"/>
      <c r="Y8047" s="5"/>
      <c r="Z8047" s="5"/>
    </row>
    <row r="8048" spans="1:26" ht="15" x14ac:dyDescent="0.25">
      <c r="A8048" s="4" t="s">
        <v>8046</v>
      </c>
      <c r="B8048" s="4" t="s">
        <v>4550</v>
      </c>
      <c r="C8048" s="2" t="str">
        <f ca="1">IFERROR(__xludf.DUMMYFUNCTION("GOOGLETRANSLATE(A8048,""bn"",""en"")"),"He was serving chicken")</f>
        <v>He was serving chicken</v>
      </c>
      <c r="D8048" s="5"/>
      <c r="E8048" s="5"/>
      <c r="F8048" s="5"/>
      <c r="G8048" s="5"/>
      <c r="H8048" s="5"/>
      <c r="I8048" s="5"/>
      <c r="J8048" s="5"/>
      <c r="K8048" s="5"/>
      <c r="L8048" s="5"/>
      <c r="M8048" s="5"/>
      <c r="N8048" s="5"/>
      <c r="O8048" s="5"/>
      <c r="P8048" s="5"/>
      <c r="Q8048" s="5"/>
      <c r="R8048" s="5"/>
      <c r="S8048" s="5"/>
      <c r="T8048" s="5"/>
      <c r="U8048" s="5"/>
      <c r="V8048" s="5"/>
      <c r="W8048" s="5"/>
      <c r="X8048" s="5"/>
      <c r="Y8048" s="5"/>
      <c r="Z8048" s="5"/>
    </row>
    <row r="8049" spans="1:26" ht="15" x14ac:dyDescent="0.25">
      <c r="A8049" s="4" t="s">
        <v>8047</v>
      </c>
      <c r="B8049" s="4" t="s">
        <v>4550</v>
      </c>
      <c r="C8049" s="2" t="str">
        <f ca="1">IFERROR(__xludf.DUMMYFUNCTION("GOOGLETRANSLATE(A8049,""bn"",""en"")"),"The Inspectorate observed the college")</f>
        <v>The Inspectorate observed the college</v>
      </c>
      <c r="D8049" s="5"/>
      <c r="E8049" s="5"/>
      <c r="F8049" s="5"/>
      <c r="G8049" s="5"/>
      <c r="H8049" s="5"/>
      <c r="I8049" s="5"/>
      <c r="J8049" s="5"/>
      <c r="K8049" s="5"/>
      <c r="L8049" s="5"/>
      <c r="M8049" s="5"/>
      <c r="N8049" s="5"/>
      <c r="O8049" s="5"/>
      <c r="P8049" s="5"/>
      <c r="Q8049" s="5"/>
      <c r="R8049" s="5"/>
      <c r="S8049" s="5"/>
      <c r="T8049" s="5"/>
      <c r="U8049" s="5"/>
      <c r="V8049" s="5"/>
      <c r="W8049" s="5"/>
      <c r="X8049" s="5"/>
      <c r="Y8049" s="5"/>
      <c r="Z8049" s="5"/>
    </row>
    <row r="8050" spans="1:26" ht="15" x14ac:dyDescent="0.25">
      <c r="A8050" s="4" t="s">
        <v>8048</v>
      </c>
      <c r="B8050" s="4" t="s">
        <v>4550</v>
      </c>
      <c r="C8050" s="2" t="str">
        <f ca="1">IFERROR(__xludf.DUMMYFUNCTION("GOOGLETRANSLATE(A8050,""bn"",""en"")"),"I worked hard to succeed")</f>
        <v>I worked hard to succeed</v>
      </c>
      <c r="D8050" s="5"/>
      <c r="E8050" s="5"/>
      <c r="F8050" s="5"/>
      <c r="G8050" s="5"/>
      <c r="H8050" s="5"/>
      <c r="I8050" s="5"/>
      <c r="J8050" s="5"/>
      <c r="K8050" s="5"/>
      <c r="L8050" s="5"/>
      <c r="M8050" s="5"/>
      <c r="N8050" s="5"/>
      <c r="O8050" s="5"/>
      <c r="P8050" s="5"/>
      <c r="Q8050" s="5"/>
      <c r="R8050" s="5"/>
      <c r="S8050" s="5"/>
      <c r="T8050" s="5"/>
      <c r="U8050" s="5"/>
      <c r="V8050" s="5"/>
      <c r="W8050" s="5"/>
      <c r="X8050" s="5"/>
      <c r="Y8050" s="5"/>
      <c r="Z8050" s="5"/>
    </row>
    <row r="8051" spans="1:26" ht="15" x14ac:dyDescent="0.25">
      <c r="A8051" s="4" t="s">
        <v>8049</v>
      </c>
      <c r="B8051" s="4" t="s">
        <v>4550</v>
      </c>
      <c r="C8051" s="2" t="str">
        <f ca="1">IFERROR(__xludf.DUMMYFUNCTION("GOOGLETRANSLATE(A8051,""bn"",""en"")"),"I cooked with fish")</f>
        <v>I cooked with fish</v>
      </c>
      <c r="D8051" s="5"/>
      <c r="E8051" s="5"/>
      <c r="F8051" s="5"/>
      <c r="G8051" s="5"/>
      <c r="H8051" s="5"/>
      <c r="I8051" s="5"/>
      <c r="J8051" s="5"/>
      <c r="K8051" s="5"/>
      <c r="L8051" s="5"/>
      <c r="M8051" s="5"/>
      <c r="N8051" s="5"/>
      <c r="O8051" s="5"/>
      <c r="P8051" s="5"/>
      <c r="Q8051" s="5"/>
      <c r="R8051" s="5"/>
      <c r="S8051" s="5"/>
      <c r="T8051" s="5"/>
      <c r="U8051" s="5"/>
      <c r="V8051" s="5"/>
      <c r="W8051" s="5"/>
      <c r="X8051" s="5"/>
      <c r="Y8051" s="5"/>
      <c r="Z8051" s="5"/>
    </row>
    <row r="8052" spans="1:26" ht="15" x14ac:dyDescent="0.25">
      <c r="A8052" s="4" t="s">
        <v>8050</v>
      </c>
      <c r="B8052" s="4" t="s">
        <v>4550</v>
      </c>
      <c r="C8052" s="2" t="str">
        <f ca="1">IFERROR(__xludf.DUMMYFUNCTION("GOOGLETRANSLATE(A8052,""bn"",""en"")"),"Soup was warming up for breakfast")</f>
        <v>Soup was warming up for breakfast</v>
      </c>
      <c r="D8052" s="5"/>
      <c r="E8052" s="5"/>
      <c r="F8052" s="5"/>
      <c r="G8052" s="5"/>
      <c r="H8052" s="5"/>
      <c r="I8052" s="5"/>
      <c r="J8052" s="5"/>
      <c r="K8052" s="5"/>
      <c r="L8052" s="5"/>
      <c r="M8052" s="5"/>
      <c r="N8052" s="5"/>
      <c r="O8052" s="5"/>
      <c r="P8052" s="5"/>
      <c r="Q8052" s="5"/>
      <c r="R8052" s="5"/>
      <c r="S8052" s="5"/>
      <c r="T8052" s="5"/>
      <c r="U8052" s="5"/>
      <c r="V8052" s="5"/>
      <c r="W8052" s="5"/>
      <c r="X8052" s="5"/>
      <c r="Y8052" s="5"/>
      <c r="Z8052" s="5"/>
    </row>
    <row r="8053" spans="1:26" ht="15" x14ac:dyDescent="0.25">
      <c r="A8053" s="4" t="s">
        <v>8051</v>
      </c>
      <c r="B8053" s="4" t="s">
        <v>4550</v>
      </c>
      <c r="C8053" s="2" t="str">
        <f ca="1">IFERROR(__xludf.DUMMYFUNCTION("GOOGLETRANSLATE(A8053,""bn"",""en"")"),"You ate shrimp fish in the restaurant")</f>
        <v>You ate shrimp fish in the restaurant</v>
      </c>
      <c r="D8053" s="5"/>
      <c r="E8053" s="5"/>
      <c r="F8053" s="5"/>
      <c r="G8053" s="5"/>
      <c r="H8053" s="5"/>
      <c r="I8053" s="5"/>
      <c r="J8053" s="5"/>
      <c r="K8053" s="5"/>
      <c r="L8053" s="5"/>
      <c r="M8053" s="5"/>
      <c r="N8053" s="5"/>
      <c r="O8053" s="5"/>
      <c r="P8053" s="5"/>
      <c r="Q8053" s="5"/>
      <c r="R8053" s="5"/>
      <c r="S8053" s="5"/>
      <c r="T8053" s="5"/>
      <c r="U8053" s="5"/>
      <c r="V8053" s="5"/>
      <c r="W8053" s="5"/>
      <c r="X8053" s="5"/>
      <c r="Y8053" s="5"/>
      <c r="Z8053" s="5"/>
    </row>
    <row r="8054" spans="1:26" ht="15" x14ac:dyDescent="0.25">
      <c r="A8054" s="4" t="s">
        <v>8052</v>
      </c>
      <c r="B8054" s="4" t="s">
        <v>4550</v>
      </c>
      <c r="C8054" s="2" t="str">
        <f ca="1">IFERROR(__xludf.DUMMYFUNCTION("GOOGLETRANSLATE(A8054,""bn"",""en"")"),"We were watching the new drama")</f>
        <v>We were watching the new drama</v>
      </c>
      <c r="D8054" s="5"/>
      <c r="E8054" s="5"/>
      <c r="F8054" s="5"/>
      <c r="G8054" s="5"/>
      <c r="H8054" s="5"/>
      <c r="I8054" s="5"/>
      <c r="J8054" s="5"/>
      <c r="K8054" s="5"/>
      <c r="L8054" s="5"/>
      <c r="M8054" s="5"/>
      <c r="N8054" s="5"/>
      <c r="O8054" s="5"/>
      <c r="P8054" s="5"/>
      <c r="Q8054" s="5"/>
      <c r="R8054" s="5"/>
      <c r="S8054" s="5"/>
      <c r="T8054" s="5"/>
      <c r="U8054" s="5"/>
      <c r="V8054" s="5"/>
      <c r="W8054" s="5"/>
      <c r="X8054" s="5"/>
      <c r="Y8054" s="5"/>
      <c r="Z8054" s="5"/>
    </row>
    <row r="8055" spans="1:26" ht="15" x14ac:dyDescent="0.25">
      <c r="A8055" s="4" t="s">
        <v>8053</v>
      </c>
      <c r="B8055" s="4" t="s">
        <v>4550</v>
      </c>
      <c r="C8055" s="2" t="str">
        <f ca="1">IFERROR(__xludf.DUMMYFUNCTION("GOOGLETRANSLATE(A8055,""bn"",""en"")"),"Earlier we did a survey")</f>
        <v>Earlier we did a survey</v>
      </c>
      <c r="D8055" s="5"/>
      <c r="E8055" s="5"/>
      <c r="F8055" s="5"/>
      <c r="G8055" s="5"/>
      <c r="H8055" s="5"/>
      <c r="I8055" s="5"/>
      <c r="J8055" s="5"/>
      <c r="K8055" s="5"/>
      <c r="L8055" s="5"/>
      <c r="M8055" s="5"/>
      <c r="N8055" s="5"/>
      <c r="O8055" s="5"/>
      <c r="P8055" s="5"/>
      <c r="Q8055" s="5"/>
      <c r="R8055" s="5"/>
      <c r="S8055" s="5"/>
      <c r="T8055" s="5"/>
      <c r="U8055" s="5"/>
      <c r="V8055" s="5"/>
      <c r="W8055" s="5"/>
      <c r="X8055" s="5"/>
      <c r="Y8055" s="5"/>
      <c r="Z8055" s="5"/>
    </row>
    <row r="8056" spans="1:26" ht="15" x14ac:dyDescent="0.25">
      <c r="A8056" s="4" t="s">
        <v>8054</v>
      </c>
      <c r="B8056" s="4" t="s">
        <v>4550</v>
      </c>
      <c r="C8056" s="2" t="str">
        <f ca="1">IFERROR(__xludf.DUMMYFUNCTION("GOOGLETRANSLATE(A8056,""bn"",""en"")"),"Sundarbans was full of animals")</f>
        <v>Sundarbans was full of animals</v>
      </c>
      <c r="D8056" s="5"/>
      <c r="E8056" s="5"/>
      <c r="F8056" s="5"/>
      <c r="G8056" s="5"/>
      <c r="H8056" s="5"/>
      <c r="I8056" s="5"/>
      <c r="J8056" s="5"/>
      <c r="K8056" s="5"/>
      <c r="L8056" s="5"/>
      <c r="M8056" s="5"/>
      <c r="N8056" s="5"/>
      <c r="O8056" s="5"/>
      <c r="P8056" s="5"/>
      <c r="Q8056" s="5"/>
      <c r="R8056" s="5"/>
      <c r="S8056" s="5"/>
      <c r="T8056" s="5"/>
      <c r="U8056" s="5"/>
      <c r="V8056" s="5"/>
      <c r="W8056" s="5"/>
      <c r="X8056" s="5"/>
      <c r="Y8056" s="5"/>
      <c r="Z8056" s="5"/>
    </row>
    <row r="8057" spans="1:26" ht="15" x14ac:dyDescent="0.25">
      <c r="A8057" s="4" t="s">
        <v>8055</v>
      </c>
      <c r="B8057" s="4" t="s">
        <v>4550</v>
      </c>
      <c r="C8057" s="2" t="str">
        <f ca="1">IFERROR(__xludf.DUMMYFUNCTION("GOOGLETRANSLATE(A8057,""bn"",""en"")"),"Taught Arabic in school")</f>
        <v>Taught Arabic in school</v>
      </c>
      <c r="D8057" s="5"/>
      <c r="E8057" s="5"/>
      <c r="F8057" s="5"/>
      <c r="G8057" s="5"/>
      <c r="H8057" s="5"/>
      <c r="I8057" s="5"/>
      <c r="J8057" s="5"/>
      <c r="K8057" s="5"/>
      <c r="L8057" s="5"/>
      <c r="M8057" s="5"/>
      <c r="N8057" s="5"/>
      <c r="O8057" s="5"/>
      <c r="P8057" s="5"/>
      <c r="Q8057" s="5"/>
      <c r="R8057" s="5"/>
      <c r="S8057" s="5"/>
      <c r="T8057" s="5"/>
      <c r="U8057" s="5"/>
      <c r="V8057" s="5"/>
      <c r="W8057" s="5"/>
      <c r="X8057" s="5"/>
      <c r="Y8057" s="5"/>
      <c r="Z8057" s="5"/>
    </row>
    <row r="8058" spans="1:26" ht="15" x14ac:dyDescent="0.25">
      <c r="A8058" s="4" t="s">
        <v>8056</v>
      </c>
      <c r="B8058" s="4" t="s">
        <v>4550</v>
      </c>
      <c r="C8058" s="2" t="str">
        <f ca="1">IFERROR(__xludf.DUMMYFUNCTION("GOOGLETRANSLATE(A8058,""bn"",""en"")"),"I made a profit")</f>
        <v>I made a profit</v>
      </c>
      <c r="D8058" s="5"/>
      <c r="E8058" s="5"/>
      <c r="F8058" s="5"/>
      <c r="G8058" s="5"/>
      <c r="H8058" s="5"/>
      <c r="I8058" s="5"/>
      <c r="J8058" s="5"/>
      <c r="K8058" s="5"/>
      <c r="L8058" s="5"/>
      <c r="M8058" s="5"/>
      <c r="N8058" s="5"/>
      <c r="O8058" s="5"/>
      <c r="P8058" s="5"/>
      <c r="Q8058" s="5"/>
      <c r="R8058" s="5"/>
      <c r="S8058" s="5"/>
      <c r="T8058" s="5"/>
      <c r="U8058" s="5"/>
      <c r="V8058" s="5"/>
      <c r="W8058" s="5"/>
      <c r="X8058" s="5"/>
      <c r="Y8058" s="5"/>
      <c r="Z8058" s="5"/>
    </row>
    <row r="8059" spans="1:26" ht="15" x14ac:dyDescent="0.25">
      <c r="A8059" s="4" t="s">
        <v>8057</v>
      </c>
      <c r="B8059" s="4" t="s">
        <v>4550</v>
      </c>
      <c r="C8059" s="2" t="str">
        <f ca="1">IFERROR(__xludf.DUMMYFUNCTION("GOOGLETRANSLATE(A8059,""bn"",""en"")"),"It ended peacefully")</f>
        <v>It ended peacefully</v>
      </c>
      <c r="D8059" s="5"/>
      <c r="E8059" s="5"/>
      <c r="F8059" s="5"/>
      <c r="G8059" s="5"/>
      <c r="H8059" s="5"/>
      <c r="I8059" s="5"/>
      <c r="J8059" s="5"/>
      <c r="K8059" s="5"/>
      <c r="L8059" s="5"/>
      <c r="M8059" s="5"/>
      <c r="N8059" s="5"/>
      <c r="O8059" s="5"/>
      <c r="P8059" s="5"/>
      <c r="Q8059" s="5"/>
      <c r="R8059" s="5"/>
      <c r="S8059" s="5"/>
      <c r="T8059" s="5"/>
      <c r="U8059" s="5"/>
      <c r="V8059" s="5"/>
      <c r="W8059" s="5"/>
      <c r="X8059" s="5"/>
      <c r="Y8059" s="5"/>
      <c r="Z8059" s="5"/>
    </row>
    <row r="8060" spans="1:26" ht="15" x14ac:dyDescent="0.25">
      <c r="A8060" s="4" t="s">
        <v>8058</v>
      </c>
      <c r="B8060" s="4" t="s">
        <v>4550</v>
      </c>
      <c r="C8060" s="2" t="str">
        <f ca="1">IFERROR(__xludf.DUMMYFUNCTION("GOOGLETRANSLATE(A8060,""bn"",""en"")"),"He ate soup at home")</f>
        <v>He ate soup at home</v>
      </c>
      <c r="D8060" s="5"/>
      <c r="E8060" s="5"/>
      <c r="F8060" s="5"/>
      <c r="G8060" s="5"/>
      <c r="H8060" s="5"/>
      <c r="I8060" s="5"/>
      <c r="J8060" s="5"/>
      <c r="K8060" s="5"/>
      <c r="L8060" s="5"/>
      <c r="M8060" s="5"/>
      <c r="N8060" s="5"/>
      <c r="O8060" s="5"/>
      <c r="P8060" s="5"/>
      <c r="Q8060" s="5"/>
      <c r="R8060" s="5"/>
      <c r="S8060" s="5"/>
      <c r="T8060" s="5"/>
      <c r="U8060" s="5"/>
      <c r="V8060" s="5"/>
      <c r="W8060" s="5"/>
      <c r="X8060" s="5"/>
      <c r="Y8060" s="5"/>
      <c r="Z8060" s="5"/>
    </row>
    <row r="8061" spans="1:26" ht="15" x14ac:dyDescent="0.25">
      <c r="A8061" s="4" t="s">
        <v>8059</v>
      </c>
      <c r="B8061" s="4" t="s">
        <v>4550</v>
      </c>
      <c r="C8061" s="2" t="str">
        <f ca="1">IFERROR(__xludf.DUMMYFUNCTION("GOOGLETRANSLATE(A8061,""bn"",""en"")"),"The match was lost by a strong opponent")</f>
        <v>The match was lost by a strong opponent</v>
      </c>
      <c r="D8061" s="5"/>
      <c r="E8061" s="5"/>
      <c r="F8061" s="5"/>
      <c r="G8061" s="5"/>
      <c r="H8061" s="5"/>
      <c r="I8061" s="5"/>
      <c r="J8061" s="5"/>
      <c r="K8061" s="5"/>
      <c r="L8061" s="5"/>
      <c r="M8061" s="5"/>
      <c r="N8061" s="5"/>
      <c r="O8061" s="5"/>
      <c r="P8061" s="5"/>
      <c r="Q8061" s="5"/>
      <c r="R8061" s="5"/>
      <c r="S8061" s="5"/>
      <c r="T8061" s="5"/>
      <c r="U8061" s="5"/>
      <c r="V8061" s="5"/>
      <c r="W8061" s="5"/>
      <c r="X8061" s="5"/>
      <c r="Y8061" s="5"/>
      <c r="Z8061" s="5"/>
    </row>
    <row r="8062" spans="1:26" ht="15" x14ac:dyDescent="0.25">
      <c r="A8062" s="4" t="s">
        <v>8060</v>
      </c>
      <c r="B8062" s="4" t="s">
        <v>4550</v>
      </c>
      <c r="C8062" s="2" t="str">
        <f ca="1">IFERROR(__xludf.DUMMYFUNCTION("GOOGLETRANSLATE(A8062,""bn"",""en"")"),"The president was elected by the minister")</f>
        <v>The president was elected by the minister</v>
      </c>
      <c r="D8062" s="5"/>
      <c r="E8062" s="5"/>
      <c r="F8062" s="5"/>
      <c r="G8062" s="5"/>
      <c r="H8062" s="5"/>
      <c r="I8062" s="5"/>
      <c r="J8062" s="5"/>
      <c r="K8062" s="5"/>
      <c r="L8062" s="5"/>
      <c r="M8062" s="5"/>
      <c r="N8062" s="5"/>
      <c r="O8062" s="5"/>
      <c r="P8062" s="5"/>
      <c r="Q8062" s="5"/>
      <c r="R8062" s="5"/>
      <c r="S8062" s="5"/>
      <c r="T8062" s="5"/>
      <c r="U8062" s="5"/>
      <c r="V8062" s="5"/>
      <c r="W8062" s="5"/>
      <c r="X8062" s="5"/>
      <c r="Y8062" s="5"/>
      <c r="Z8062" s="5"/>
    </row>
    <row r="8063" spans="1:26" ht="15" x14ac:dyDescent="0.25">
      <c r="A8063" s="4" t="s">
        <v>8061</v>
      </c>
      <c r="B8063" s="4" t="s">
        <v>4550</v>
      </c>
      <c r="C8063" s="2" t="str">
        <f ca="1">IFERROR(__xludf.DUMMYFUNCTION("GOOGLETRANSLATE(A8063,""bn"",""en"")"),"Muslims thought about the afterlife")</f>
        <v>Muslims thought about the afterlife</v>
      </c>
      <c r="D8063" s="5"/>
      <c r="E8063" s="5"/>
      <c r="F8063" s="5"/>
      <c r="G8063" s="5"/>
      <c r="H8063" s="5"/>
      <c r="I8063" s="5"/>
      <c r="J8063" s="5"/>
      <c r="K8063" s="5"/>
      <c r="L8063" s="5"/>
      <c r="M8063" s="5"/>
      <c r="N8063" s="5"/>
      <c r="O8063" s="5"/>
      <c r="P8063" s="5"/>
      <c r="Q8063" s="5"/>
      <c r="R8063" s="5"/>
      <c r="S8063" s="5"/>
      <c r="T8063" s="5"/>
      <c r="U8063" s="5"/>
      <c r="V8063" s="5"/>
      <c r="W8063" s="5"/>
      <c r="X8063" s="5"/>
      <c r="Y8063" s="5"/>
      <c r="Z8063" s="5"/>
    </row>
    <row r="8064" spans="1:26" ht="15" x14ac:dyDescent="0.25">
      <c r="A8064" s="4" t="s">
        <v>8062</v>
      </c>
      <c r="B8064" s="4" t="s">
        <v>4550</v>
      </c>
      <c r="C8064" s="2" t="str">
        <f ca="1">IFERROR(__xludf.DUMMYFUNCTION("GOOGLETRANSLATE(A8064,""bn"",""en"")"),"You said that the movie is good")</f>
        <v>You said that the movie is good</v>
      </c>
      <c r="D8064" s="5"/>
      <c r="E8064" s="5"/>
      <c r="F8064" s="5"/>
      <c r="G8064" s="5"/>
      <c r="H8064" s="5"/>
      <c r="I8064" s="5"/>
      <c r="J8064" s="5"/>
      <c r="K8064" s="5"/>
      <c r="L8064" s="5"/>
      <c r="M8064" s="5"/>
      <c r="N8064" s="5"/>
      <c r="O8064" s="5"/>
      <c r="P8064" s="5"/>
      <c r="Q8064" s="5"/>
      <c r="R8064" s="5"/>
      <c r="S8064" s="5"/>
      <c r="T8064" s="5"/>
      <c r="U8064" s="5"/>
      <c r="V8064" s="5"/>
      <c r="W8064" s="5"/>
      <c r="X8064" s="5"/>
      <c r="Y8064" s="5"/>
      <c r="Z8064" s="5"/>
    </row>
    <row r="8065" spans="1:26" ht="15" x14ac:dyDescent="0.25">
      <c r="A8065" s="4" t="s">
        <v>8063</v>
      </c>
      <c r="B8065" s="4" t="s">
        <v>4550</v>
      </c>
      <c r="C8065" s="2" t="str">
        <f ca="1">IFERROR(__xludf.DUMMYFUNCTION("GOOGLETRANSLATE(A8065,""bn"",""en"")"),"He went on a trip abroad")</f>
        <v>He went on a trip abroad</v>
      </c>
      <c r="D8065" s="5"/>
      <c r="E8065" s="5"/>
      <c r="F8065" s="5"/>
      <c r="G8065" s="5"/>
      <c r="H8065" s="5"/>
      <c r="I8065" s="5"/>
      <c r="J8065" s="5"/>
      <c r="K8065" s="5"/>
      <c r="L8065" s="5"/>
      <c r="M8065" s="5"/>
      <c r="N8065" s="5"/>
      <c r="O8065" s="5"/>
      <c r="P8065" s="5"/>
      <c r="Q8065" s="5"/>
      <c r="R8065" s="5"/>
      <c r="S8065" s="5"/>
      <c r="T8065" s="5"/>
      <c r="U8065" s="5"/>
      <c r="V8065" s="5"/>
      <c r="W8065" s="5"/>
      <c r="X8065" s="5"/>
      <c r="Y8065" s="5"/>
      <c r="Z8065" s="5"/>
    </row>
    <row r="8066" spans="1:26" ht="15" x14ac:dyDescent="0.25">
      <c r="A8066" s="4" t="s">
        <v>8064</v>
      </c>
      <c r="B8066" s="4" t="s">
        <v>4550</v>
      </c>
      <c r="C8066" s="2" t="str">
        <f ca="1">IFERROR(__xludf.DUMMYFUNCTION("GOOGLETRANSLATE(A8066,""bn"",""en"")"),"Improvements were made in journalism institutions")</f>
        <v>Improvements were made in journalism institutions</v>
      </c>
      <c r="D8066" s="5"/>
      <c r="E8066" s="5"/>
      <c r="F8066" s="5"/>
      <c r="G8066" s="5"/>
      <c r="H8066" s="5"/>
      <c r="I8066" s="5"/>
      <c r="J8066" s="5"/>
      <c r="K8066" s="5"/>
      <c r="L8066" s="5"/>
      <c r="M8066" s="5"/>
      <c r="N8066" s="5"/>
      <c r="O8066" s="5"/>
      <c r="P8066" s="5"/>
      <c r="Q8066" s="5"/>
      <c r="R8066" s="5"/>
      <c r="S8066" s="5"/>
      <c r="T8066" s="5"/>
      <c r="U8066" s="5"/>
      <c r="V8066" s="5"/>
      <c r="W8066" s="5"/>
      <c r="X8066" s="5"/>
      <c r="Y8066" s="5"/>
      <c r="Z8066" s="5"/>
    </row>
    <row r="8067" spans="1:26" ht="15" x14ac:dyDescent="0.25">
      <c r="A8067" s="4" t="s">
        <v>8065</v>
      </c>
      <c r="B8067" s="4" t="s">
        <v>4550</v>
      </c>
      <c r="C8067" s="2" t="str">
        <f ca="1">IFERROR(__xludf.DUMMYFUNCTION("GOOGLETRANSLATE(A8067,""bn"",""en"")"),"Bigdata resource training was done")</f>
        <v>Bigdata resource training was done</v>
      </c>
      <c r="D8067" s="5"/>
      <c r="E8067" s="5"/>
      <c r="F8067" s="5"/>
      <c r="G8067" s="5"/>
      <c r="H8067" s="5"/>
      <c r="I8067" s="5"/>
      <c r="J8067" s="5"/>
      <c r="K8067" s="5"/>
      <c r="L8067" s="5"/>
      <c r="M8067" s="5"/>
      <c r="N8067" s="5"/>
      <c r="O8067" s="5"/>
      <c r="P8067" s="5"/>
      <c r="Q8067" s="5"/>
      <c r="R8067" s="5"/>
      <c r="S8067" s="5"/>
      <c r="T8067" s="5"/>
      <c r="U8067" s="5"/>
      <c r="V8067" s="5"/>
      <c r="W8067" s="5"/>
      <c r="X8067" s="5"/>
      <c r="Y8067" s="5"/>
      <c r="Z8067" s="5"/>
    </row>
    <row r="8068" spans="1:26" ht="15" x14ac:dyDescent="0.25">
      <c r="A8068" s="4" t="s">
        <v>8066</v>
      </c>
      <c r="B8068" s="4" t="s">
        <v>4550</v>
      </c>
      <c r="C8068" s="2" t="str">
        <f ca="1">IFERROR(__xludf.DUMMYFUNCTION("GOOGLETRANSLATE(A8068,""bn"",""en"")"),"I played to win the trophy")</f>
        <v>I played to win the trophy</v>
      </c>
      <c r="D8068" s="5"/>
      <c r="E8068" s="5"/>
      <c r="F8068" s="5"/>
      <c r="G8068" s="5"/>
      <c r="H8068" s="5"/>
      <c r="I8068" s="5"/>
      <c r="J8068" s="5"/>
      <c r="K8068" s="5"/>
      <c r="L8068" s="5"/>
      <c r="M8068" s="5"/>
      <c r="N8068" s="5"/>
      <c r="O8068" s="5"/>
      <c r="P8068" s="5"/>
      <c r="Q8068" s="5"/>
      <c r="R8068" s="5"/>
      <c r="S8068" s="5"/>
      <c r="T8068" s="5"/>
      <c r="U8068" s="5"/>
      <c r="V8068" s="5"/>
      <c r="W8068" s="5"/>
      <c r="X8068" s="5"/>
      <c r="Y8068" s="5"/>
      <c r="Z8068" s="5"/>
    </row>
    <row r="8069" spans="1:26" ht="15" x14ac:dyDescent="0.25">
      <c r="A8069" s="4" t="s">
        <v>8067</v>
      </c>
      <c r="B8069" s="4" t="s">
        <v>4550</v>
      </c>
      <c r="C8069" s="2" t="str">
        <f ca="1">IFERROR(__xludf.DUMMYFUNCTION("GOOGLETRANSLATE(A8069,""bn"",""en"")"),"Television was watched every day")</f>
        <v>Television was watched every day</v>
      </c>
      <c r="D8069" s="5"/>
      <c r="E8069" s="5"/>
      <c r="F8069" s="5"/>
      <c r="G8069" s="5"/>
      <c r="H8069" s="5"/>
      <c r="I8069" s="5"/>
      <c r="J8069" s="5"/>
      <c r="K8069" s="5"/>
      <c r="L8069" s="5"/>
      <c r="M8069" s="5"/>
      <c r="N8069" s="5"/>
      <c r="O8069" s="5"/>
      <c r="P8069" s="5"/>
      <c r="Q8069" s="5"/>
      <c r="R8069" s="5"/>
      <c r="S8069" s="5"/>
      <c r="T8069" s="5"/>
      <c r="U8069" s="5"/>
      <c r="V8069" s="5"/>
      <c r="W8069" s="5"/>
      <c r="X8069" s="5"/>
      <c r="Y8069" s="5"/>
      <c r="Z8069" s="5"/>
    </row>
    <row r="8070" spans="1:26" ht="15" x14ac:dyDescent="0.25">
      <c r="A8070" s="4" t="s">
        <v>8068</v>
      </c>
      <c r="B8070" s="4" t="s">
        <v>4550</v>
      </c>
      <c r="C8070" s="2" t="str">
        <f ca="1">IFERROR(__xludf.DUMMYFUNCTION("GOOGLETRANSLATE(A8070,""bn"",""en"")"),"The share price fell last week")</f>
        <v>The share price fell last week</v>
      </c>
      <c r="D8070" s="5"/>
      <c r="E8070" s="5"/>
      <c r="F8070" s="5"/>
      <c r="G8070" s="5"/>
      <c r="H8070" s="5"/>
      <c r="I8070" s="5"/>
      <c r="J8070" s="5"/>
      <c r="K8070" s="5"/>
      <c r="L8070" s="5"/>
      <c r="M8070" s="5"/>
      <c r="N8070" s="5"/>
      <c r="O8070" s="5"/>
      <c r="P8070" s="5"/>
      <c r="Q8070" s="5"/>
      <c r="R8070" s="5"/>
      <c r="S8070" s="5"/>
      <c r="T8070" s="5"/>
      <c r="U8070" s="5"/>
      <c r="V8070" s="5"/>
      <c r="W8070" s="5"/>
      <c r="X8070" s="5"/>
      <c r="Y8070" s="5"/>
      <c r="Z8070" s="5"/>
    </row>
    <row r="8071" spans="1:26" ht="15" x14ac:dyDescent="0.25">
      <c r="A8071" s="4" t="s">
        <v>8069</v>
      </c>
      <c r="B8071" s="4" t="s">
        <v>4550</v>
      </c>
      <c r="C8071" s="2" t="str">
        <f ca="1">IFERROR(__xludf.DUMMYFUNCTION("GOOGLETRANSLATE(A8071,""bn"",""en"")"),"Watched hit movie last month")</f>
        <v>Watched hit movie last month</v>
      </c>
      <c r="D8071" s="5"/>
      <c r="E8071" s="5"/>
      <c r="F8071" s="5"/>
      <c r="G8071" s="5"/>
      <c r="H8071" s="5"/>
      <c r="I8071" s="5"/>
      <c r="J8071" s="5"/>
      <c r="K8071" s="5"/>
      <c r="L8071" s="5"/>
      <c r="M8071" s="5"/>
      <c r="N8071" s="5"/>
      <c r="O8071" s="5"/>
      <c r="P8071" s="5"/>
      <c r="Q8071" s="5"/>
      <c r="R8071" s="5"/>
      <c r="S8071" s="5"/>
      <c r="T8071" s="5"/>
      <c r="U8071" s="5"/>
      <c r="V8071" s="5"/>
      <c r="W8071" s="5"/>
      <c r="X8071" s="5"/>
      <c r="Y8071" s="5"/>
      <c r="Z8071" s="5"/>
    </row>
    <row r="8072" spans="1:26" ht="15" x14ac:dyDescent="0.25">
      <c r="A8072" s="4" t="s">
        <v>8070</v>
      </c>
      <c r="B8072" s="4" t="s">
        <v>4550</v>
      </c>
      <c r="C8072" s="2" t="str">
        <f ca="1">IFERROR(__xludf.DUMMYFUNCTION("GOOGLETRANSLATE(A8072,""bn"",""en"")"),"His image was being painted")</f>
        <v>His image was being painted</v>
      </c>
      <c r="D8072" s="5"/>
      <c r="E8072" s="5"/>
      <c r="F8072" s="5"/>
      <c r="G8072" s="5"/>
      <c r="H8072" s="5"/>
      <c r="I8072" s="5"/>
      <c r="J8072" s="5"/>
      <c r="K8072" s="5"/>
      <c r="L8072" s="5"/>
      <c r="M8072" s="5"/>
      <c r="N8072" s="5"/>
      <c r="O8072" s="5"/>
      <c r="P8072" s="5"/>
      <c r="Q8072" s="5"/>
      <c r="R8072" s="5"/>
      <c r="S8072" s="5"/>
      <c r="T8072" s="5"/>
      <c r="U8072" s="5"/>
      <c r="V8072" s="5"/>
      <c r="W8072" s="5"/>
      <c r="X8072" s="5"/>
      <c r="Y8072" s="5"/>
      <c r="Z8072" s="5"/>
    </row>
    <row r="8073" spans="1:26" ht="15" x14ac:dyDescent="0.25">
      <c r="A8073" s="4" t="s">
        <v>8071</v>
      </c>
      <c r="B8073" s="4" t="s">
        <v>4550</v>
      </c>
      <c r="C8073" s="2" t="str">
        <f ca="1">IFERROR(__xludf.DUMMYFUNCTION("GOOGLETRANSLATE(A8073,""bn"",""en"")"),"They lost the hockey game")</f>
        <v>They lost the hockey game</v>
      </c>
      <c r="D8073" s="5"/>
      <c r="E8073" s="5"/>
      <c r="F8073" s="5"/>
      <c r="G8073" s="5"/>
      <c r="H8073" s="5"/>
      <c r="I8073" s="5"/>
      <c r="J8073" s="5"/>
      <c r="K8073" s="5"/>
      <c r="L8073" s="5"/>
      <c r="M8073" s="5"/>
      <c r="N8073" s="5"/>
      <c r="O8073" s="5"/>
      <c r="P8073" s="5"/>
      <c r="Q8073" s="5"/>
      <c r="R8073" s="5"/>
      <c r="S8073" s="5"/>
      <c r="T8073" s="5"/>
      <c r="U8073" s="5"/>
      <c r="V8073" s="5"/>
      <c r="W8073" s="5"/>
      <c r="X8073" s="5"/>
      <c r="Y8073" s="5"/>
      <c r="Z8073" s="5"/>
    </row>
    <row r="8074" spans="1:26" ht="15" x14ac:dyDescent="0.25">
      <c r="A8074" s="4" t="s">
        <v>8072</v>
      </c>
      <c r="B8074" s="4" t="s">
        <v>4550</v>
      </c>
      <c r="C8074" s="2" t="str">
        <f ca="1">IFERROR(__xludf.DUMMYFUNCTION("GOOGLETRANSLATE(A8074,""bn"",""en"")"),"Watched the animation movie in the morning")</f>
        <v>Watched the animation movie in the morning</v>
      </c>
      <c r="D8074" s="5"/>
      <c r="E8074" s="5"/>
      <c r="F8074" s="5"/>
      <c r="G8074" s="5"/>
      <c r="H8074" s="5"/>
      <c r="I8074" s="5"/>
      <c r="J8074" s="5"/>
      <c r="K8074" s="5"/>
      <c r="L8074" s="5"/>
      <c r="M8074" s="5"/>
      <c r="N8074" s="5"/>
      <c r="O8074" s="5"/>
      <c r="P8074" s="5"/>
      <c r="Q8074" s="5"/>
      <c r="R8074" s="5"/>
      <c r="S8074" s="5"/>
      <c r="T8074" s="5"/>
      <c r="U8074" s="5"/>
      <c r="V8074" s="5"/>
      <c r="W8074" s="5"/>
      <c r="X8074" s="5"/>
      <c r="Y8074" s="5"/>
      <c r="Z8074" s="5"/>
    </row>
    <row r="8075" spans="1:26" ht="15" x14ac:dyDescent="0.25">
      <c r="A8075" s="4" t="s">
        <v>8073</v>
      </c>
      <c r="B8075" s="4" t="s">
        <v>4550</v>
      </c>
      <c r="C8075" s="2" t="str">
        <f ca="1">IFERROR(__xludf.DUMMYFUNCTION("GOOGLETRANSLATE(A8075,""bn"",""en"")"),"I wandered around town")</f>
        <v>I wandered around town</v>
      </c>
      <c r="D8075" s="5"/>
      <c r="E8075" s="5"/>
      <c r="F8075" s="5"/>
      <c r="G8075" s="5"/>
      <c r="H8075" s="5"/>
      <c r="I8075" s="5"/>
      <c r="J8075" s="5"/>
      <c r="K8075" s="5"/>
      <c r="L8075" s="5"/>
      <c r="M8075" s="5"/>
      <c r="N8075" s="5"/>
      <c r="O8075" s="5"/>
      <c r="P8075" s="5"/>
      <c r="Q8075" s="5"/>
      <c r="R8075" s="5"/>
      <c r="S8075" s="5"/>
      <c r="T8075" s="5"/>
      <c r="U8075" s="5"/>
      <c r="V8075" s="5"/>
      <c r="W8075" s="5"/>
      <c r="X8075" s="5"/>
      <c r="Y8075" s="5"/>
      <c r="Z8075" s="5"/>
    </row>
    <row r="8076" spans="1:26" ht="15" x14ac:dyDescent="0.25">
      <c r="A8076" s="4" t="s">
        <v>8074</v>
      </c>
      <c r="B8076" s="4" t="s">
        <v>4550</v>
      </c>
      <c r="C8076" s="2" t="str">
        <f ca="1">IFERROR(__xludf.DUMMYFUNCTION("GOOGLETRANSLATE(A8076,""bn"",""en"")"),"Liberal benefits were achieved")</f>
        <v>Liberal benefits were achieved</v>
      </c>
      <c r="D8076" s="5"/>
      <c r="E8076" s="5"/>
      <c r="F8076" s="5"/>
      <c r="G8076" s="5"/>
      <c r="H8076" s="5"/>
      <c r="I8076" s="5"/>
      <c r="J8076" s="5"/>
      <c r="K8076" s="5"/>
      <c r="L8076" s="5"/>
      <c r="M8076" s="5"/>
      <c r="N8076" s="5"/>
      <c r="O8076" s="5"/>
      <c r="P8076" s="5"/>
      <c r="Q8076" s="5"/>
      <c r="R8076" s="5"/>
      <c r="S8076" s="5"/>
      <c r="T8076" s="5"/>
      <c r="U8076" s="5"/>
      <c r="V8076" s="5"/>
      <c r="W8076" s="5"/>
      <c r="X8076" s="5"/>
      <c r="Y8076" s="5"/>
      <c r="Z8076" s="5"/>
    </row>
    <row r="8077" spans="1:26" ht="15" x14ac:dyDescent="0.25">
      <c r="A8077" s="4" t="s">
        <v>8075</v>
      </c>
      <c r="B8077" s="4" t="s">
        <v>4550</v>
      </c>
      <c r="C8077" s="2" t="str">
        <f ca="1">IFERROR(__xludf.DUMMYFUNCTION("GOOGLETRANSLATE(A8077,""bn"",""en"")"),"The match ended in question")</f>
        <v>The match ended in question</v>
      </c>
      <c r="D8077" s="5"/>
      <c r="E8077" s="5"/>
      <c r="F8077" s="5"/>
      <c r="G8077" s="5"/>
      <c r="H8077" s="5"/>
      <c r="I8077" s="5"/>
      <c r="J8077" s="5"/>
      <c r="K8077" s="5"/>
      <c r="L8077" s="5"/>
      <c r="M8077" s="5"/>
      <c r="N8077" s="5"/>
      <c r="O8077" s="5"/>
      <c r="P8077" s="5"/>
      <c r="Q8077" s="5"/>
      <c r="R8077" s="5"/>
      <c r="S8077" s="5"/>
      <c r="T8077" s="5"/>
      <c r="U8077" s="5"/>
      <c r="V8077" s="5"/>
      <c r="W8077" s="5"/>
      <c r="X8077" s="5"/>
      <c r="Y8077" s="5"/>
      <c r="Z8077" s="5"/>
    </row>
    <row r="8078" spans="1:26" ht="15" x14ac:dyDescent="0.25">
      <c r="A8078" s="4" t="s">
        <v>8076</v>
      </c>
      <c r="B8078" s="4" t="s">
        <v>4550</v>
      </c>
      <c r="C8078" s="2" t="str">
        <f ca="1">IFERROR(__xludf.DUMMYFUNCTION("GOOGLETRANSLATE(A8078,""bn"",""en"")"),"The Prime Minister asked the question")</f>
        <v>The Prime Minister asked the question</v>
      </c>
      <c r="D8078" s="5"/>
      <c r="E8078" s="5"/>
      <c r="F8078" s="5"/>
      <c r="G8078" s="5"/>
      <c r="H8078" s="5"/>
      <c r="I8078" s="5"/>
      <c r="J8078" s="5"/>
      <c r="K8078" s="5"/>
      <c r="L8078" s="5"/>
      <c r="M8078" s="5"/>
      <c r="N8078" s="5"/>
      <c r="O8078" s="5"/>
      <c r="P8078" s="5"/>
      <c r="Q8078" s="5"/>
      <c r="R8078" s="5"/>
      <c r="S8078" s="5"/>
      <c r="T8078" s="5"/>
      <c r="U8078" s="5"/>
      <c r="V8078" s="5"/>
      <c r="W8078" s="5"/>
      <c r="X8078" s="5"/>
      <c r="Y8078" s="5"/>
      <c r="Z8078" s="5"/>
    </row>
    <row r="8079" spans="1:26" ht="15" x14ac:dyDescent="0.25">
      <c r="A8079" s="4" t="s">
        <v>8077</v>
      </c>
      <c r="B8079" s="4" t="s">
        <v>4550</v>
      </c>
      <c r="C8079" s="2" t="str">
        <f ca="1">IFERROR(__xludf.DUMMYFUNCTION("GOOGLETRANSLATE(A8079,""bn"",""en"")"),"I watched last year's film")</f>
        <v>I watched last year's film</v>
      </c>
      <c r="D8079" s="5"/>
      <c r="E8079" s="5"/>
      <c r="F8079" s="5"/>
      <c r="G8079" s="5"/>
      <c r="H8079" s="5"/>
      <c r="I8079" s="5"/>
      <c r="J8079" s="5"/>
      <c r="K8079" s="5"/>
      <c r="L8079" s="5"/>
      <c r="M8079" s="5"/>
      <c r="N8079" s="5"/>
      <c r="O8079" s="5"/>
      <c r="P8079" s="5"/>
      <c r="Q8079" s="5"/>
      <c r="R8079" s="5"/>
      <c r="S8079" s="5"/>
      <c r="T8079" s="5"/>
      <c r="U8079" s="5"/>
      <c r="V8079" s="5"/>
      <c r="W8079" s="5"/>
      <c r="X8079" s="5"/>
      <c r="Y8079" s="5"/>
      <c r="Z8079" s="5"/>
    </row>
    <row r="8080" spans="1:26" ht="15" x14ac:dyDescent="0.25">
      <c r="A8080" s="4" t="s">
        <v>8078</v>
      </c>
      <c r="B8080" s="4" t="s">
        <v>4550</v>
      </c>
      <c r="C8080" s="2" t="str">
        <f ca="1">IFERROR(__xludf.DUMMYFUNCTION("GOOGLETRANSLATE(A8080,""bn"",""en"")"),"Code review was required")</f>
        <v>Code review was required</v>
      </c>
      <c r="D8080" s="5"/>
      <c r="E8080" s="5"/>
      <c r="F8080" s="5"/>
      <c r="G8080" s="5"/>
      <c r="H8080" s="5"/>
      <c r="I8080" s="5"/>
      <c r="J8080" s="5"/>
      <c r="K8080" s="5"/>
      <c r="L8080" s="5"/>
      <c r="M8080" s="5"/>
      <c r="N8080" s="5"/>
      <c r="O8080" s="5"/>
      <c r="P8080" s="5"/>
      <c r="Q8080" s="5"/>
      <c r="R8080" s="5"/>
      <c r="S8080" s="5"/>
      <c r="T8080" s="5"/>
      <c r="U8080" s="5"/>
      <c r="V8080" s="5"/>
      <c r="W8080" s="5"/>
      <c r="X8080" s="5"/>
      <c r="Y8080" s="5"/>
      <c r="Z8080" s="5"/>
    </row>
    <row r="8081" spans="1:26" ht="15" x14ac:dyDescent="0.25">
      <c r="A8081" s="4" t="s">
        <v>8079</v>
      </c>
      <c r="B8081" s="4" t="s">
        <v>4550</v>
      </c>
      <c r="C8081" s="2" t="str">
        <f ca="1">IFERROR(__xludf.DUMMYFUNCTION("GOOGLETRANSLATE(A8081,""bn"",""en"")"),"Bread was made from salt")</f>
        <v>Bread was made from salt</v>
      </c>
      <c r="D8081" s="5"/>
      <c r="E8081" s="5"/>
      <c r="F8081" s="5"/>
      <c r="G8081" s="5"/>
      <c r="H8081" s="5"/>
      <c r="I8081" s="5"/>
      <c r="J8081" s="5"/>
      <c r="K8081" s="5"/>
      <c r="L8081" s="5"/>
      <c r="M8081" s="5"/>
      <c r="N8081" s="5"/>
      <c r="O8081" s="5"/>
      <c r="P8081" s="5"/>
      <c r="Q8081" s="5"/>
      <c r="R8081" s="5"/>
      <c r="S8081" s="5"/>
      <c r="T8081" s="5"/>
      <c r="U8081" s="5"/>
      <c r="V8081" s="5"/>
      <c r="W8081" s="5"/>
      <c r="X8081" s="5"/>
      <c r="Y8081" s="5"/>
      <c r="Z8081" s="5"/>
    </row>
    <row r="8082" spans="1:26" ht="15" x14ac:dyDescent="0.25">
      <c r="A8082" s="4" t="s">
        <v>8080</v>
      </c>
      <c r="B8082" s="4" t="s">
        <v>4550</v>
      </c>
      <c r="C8082" s="2" t="str">
        <f ca="1">IFERROR(__xludf.DUMMYFUNCTION("GOOGLETRANSLATE(A8082,""bn"",""en"")"),"We were at a music festival")</f>
        <v>We were at a music festival</v>
      </c>
      <c r="D8082" s="5"/>
      <c r="E8082" s="5"/>
      <c r="F8082" s="5"/>
      <c r="G8082" s="5"/>
      <c r="H8082" s="5"/>
      <c r="I8082" s="5"/>
      <c r="J8082" s="5"/>
      <c r="K8082" s="5"/>
      <c r="L8082" s="5"/>
      <c r="M8082" s="5"/>
      <c r="N8082" s="5"/>
      <c r="O8082" s="5"/>
      <c r="P8082" s="5"/>
      <c r="Q8082" s="5"/>
      <c r="R8082" s="5"/>
      <c r="S8082" s="5"/>
      <c r="T8082" s="5"/>
      <c r="U8082" s="5"/>
      <c r="V8082" s="5"/>
      <c r="W8082" s="5"/>
      <c r="X8082" s="5"/>
      <c r="Y8082" s="5"/>
      <c r="Z8082" s="5"/>
    </row>
    <row r="8083" spans="1:26" ht="15" x14ac:dyDescent="0.25">
      <c r="A8083" s="4" t="s">
        <v>8081</v>
      </c>
      <c r="B8083" s="4" t="s">
        <v>4550</v>
      </c>
      <c r="C8083" s="2" t="str">
        <f ca="1">IFERROR(__xludf.DUMMYFUNCTION("GOOGLETRANSLATE(A8083,""bn"",""en"")"),"It was held at the head office")</f>
        <v>It was held at the head office</v>
      </c>
      <c r="D8083" s="5"/>
      <c r="E8083" s="5"/>
      <c r="F8083" s="5"/>
      <c r="G8083" s="5"/>
      <c r="H8083" s="5"/>
      <c r="I8083" s="5"/>
      <c r="J8083" s="5"/>
      <c r="K8083" s="5"/>
      <c r="L8083" s="5"/>
      <c r="M8083" s="5"/>
      <c r="N8083" s="5"/>
      <c r="O8083" s="5"/>
      <c r="P8083" s="5"/>
      <c r="Q8083" s="5"/>
      <c r="R8083" s="5"/>
      <c r="S8083" s="5"/>
      <c r="T8083" s="5"/>
      <c r="U8083" s="5"/>
      <c r="V8083" s="5"/>
      <c r="W8083" s="5"/>
      <c r="X8083" s="5"/>
      <c r="Y8083" s="5"/>
      <c r="Z8083" s="5"/>
    </row>
    <row r="8084" spans="1:26" ht="15" x14ac:dyDescent="0.25">
      <c r="A8084" s="4" t="s">
        <v>8082</v>
      </c>
      <c r="B8084" s="4" t="s">
        <v>4550</v>
      </c>
      <c r="C8084" s="2" t="str">
        <f ca="1">IFERROR(__xludf.DUMMYFUNCTION("GOOGLETRANSLATE(A8084,""bn"",""en"")"),"I was in Australia last year")</f>
        <v>I was in Australia last year</v>
      </c>
      <c r="D8084" s="5"/>
      <c r="E8084" s="5"/>
      <c r="F8084" s="5"/>
      <c r="G8084" s="5"/>
      <c r="H8084" s="5"/>
      <c r="I8084" s="5"/>
      <c r="J8084" s="5"/>
      <c r="K8084" s="5"/>
      <c r="L8084" s="5"/>
      <c r="M8084" s="5"/>
      <c r="N8084" s="5"/>
      <c r="O8084" s="5"/>
      <c r="P8084" s="5"/>
      <c r="Q8084" s="5"/>
      <c r="R8084" s="5"/>
      <c r="S8084" s="5"/>
      <c r="T8084" s="5"/>
      <c r="U8084" s="5"/>
      <c r="V8084" s="5"/>
      <c r="W8084" s="5"/>
      <c r="X8084" s="5"/>
      <c r="Y8084" s="5"/>
      <c r="Z8084" s="5"/>
    </row>
    <row r="8085" spans="1:26" ht="15" x14ac:dyDescent="0.25">
      <c r="A8085" s="4" t="s">
        <v>8083</v>
      </c>
      <c r="B8085" s="4" t="s">
        <v>4550</v>
      </c>
      <c r="C8085" s="2" t="str">
        <f ca="1">IFERROR(__xludf.DUMMYFUNCTION("GOOGLETRANSLATE(A8085,""bn"",""en"")"),"This project was big")</f>
        <v>This project was big</v>
      </c>
      <c r="D8085" s="5"/>
      <c r="E8085" s="5"/>
      <c r="F8085" s="5"/>
      <c r="G8085" s="5"/>
      <c r="H8085" s="5"/>
      <c r="I8085" s="5"/>
      <c r="J8085" s="5"/>
      <c r="K8085" s="5"/>
      <c r="L8085" s="5"/>
      <c r="M8085" s="5"/>
      <c r="N8085" s="5"/>
      <c r="O8085" s="5"/>
      <c r="P8085" s="5"/>
      <c r="Q8085" s="5"/>
      <c r="R8085" s="5"/>
      <c r="S8085" s="5"/>
      <c r="T8085" s="5"/>
      <c r="U8085" s="5"/>
      <c r="V8085" s="5"/>
      <c r="W8085" s="5"/>
      <c r="X8085" s="5"/>
      <c r="Y8085" s="5"/>
      <c r="Z8085" s="5"/>
    </row>
    <row r="8086" spans="1:26" ht="15" x14ac:dyDescent="0.25">
      <c r="A8086" s="4" t="s">
        <v>8084</v>
      </c>
      <c r="B8086" s="4" t="s">
        <v>4550</v>
      </c>
      <c r="C8086" s="2" t="str">
        <f ca="1">IFERROR(__xludf.DUMMYFUNCTION("GOOGLETRANSLATE(A8086,""bn"",""en"")"),"I gave a speech without preparation")</f>
        <v>I gave a speech without preparation</v>
      </c>
      <c r="D8086" s="5"/>
      <c r="E8086" s="5"/>
      <c r="F8086" s="5"/>
      <c r="G8086" s="5"/>
      <c r="H8086" s="5"/>
      <c r="I8086" s="5"/>
      <c r="J8086" s="5"/>
      <c r="K8086" s="5"/>
      <c r="L8086" s="5"/>
      <c r="M8086" s="5"/>
      <c r="N8086" s="5"/>
      <c r="O8086" s="5"/>
      <c r="P8086" s="5"/>
      <c r="Q8086" s="5"/>
      <c r="R8086" s="5"/>
      <c r="S8086" s="5"/>
      <c r="T8086" s="5"/>
      <c r="U8086" s="5"/>
      <c r="V8086" s="5"/>
      <c r="W8086" s="5"/>
      <c r="X8086" s="5"/>
      <c r="Y8086" s="5"/>
      <c r="Z8086" s="5"/>
    </row>
    <row r="8087" spans="1:26" ht="15" x14ac:dyDescent="0.25">
      <c r="A8087" s="4" t="s">
        <v>8085</v>
      </c>
      <c r="B8087" s="4" t="s">
        <v>4550</v>
      </c>
      <c r="C8087" s="2" t="str">
        <f ca="1">IFERROR(__xludf.DUMMYFUNCTION("GOOGLETRANSLATE(A8087,""bn"",""en"")"),"They won the football match")</f>
        <v>They won the football match</v>
      </c>
      <c r="D8087" s="5"/>
      <c r="E8087" s="5"/>
      <c r="F8087" s="5"/>
      <c r="G8087" s="5"/>
      <c r="H8087" s="5"/>
      <c r="I8087" s="5"/>
      <c r="J8087" s="5"/>
      <c r="K8087" s="5"/>
      <c r="L8087" s="5"/>
      <c r="M8087" s="5"/>
      <c r="N8087" s="5"/>
      <c r="O8087" s="5"/>
      <c r="P8087" s="5"/>
      <c r="Q8087" s="5"/>
      <c r="R8087" s="5"/>
      <c r="S8087" s="5"/>
      <c r="T8087" s="5"/>
      <c r="U8087" s="5"/>
      <c r="V8087" s="5"/>
      <c r="W8087" s="5"/>
      <c r="X8087" s="5"/>
      <c r="Y8087" s="5"/>
      <c r="Z8087" s="5"/>
    </row>
    <row r="8088" spans="1:26" ht="15" x14ac:dyDescent="0.25">
      <c r="A8088" s="4" t="s">
        <v>8086</v>
      </c>
      <c r="B8088" s="4" t="s">
        <v>4550</v>
      </c>
      <c r="C8088" s="2" t="str">
        <f ca="1">IFERROR(__xludf.DUMMYFUNCTION("GOOGLETRANSLATE(A8088,""bn"",""en"")"),"They participated in the football match")</f>
        <v>They participated in the football match</v>
      </c>
      <c r="D8088" s="5"/>
      <c r="E8088" s="5"/>
      <c r="F8088" s="5"/>
      <c r="G8088" s="5"/>
      <c r="H8088" s="5"/>
      <c r="I8088" s="5"/>
      <c r="J8088" s="5"/>
      <c r="K8088" s="5"/>
      <c r="L8088" s="5"/>
      <c r="M8088" s="5"/>
      <c r="N8088" s="5"/>
      <c r="O8088" s="5"/>
      <c r="P8088" s="5"/>
      <c r="Q8088" s="5"/>
      <c r="R8088" s="5"/>
      <c r="S8088" s="5"/>
      <c r="T8088" s="5"/>
      <c r="U8088" s="5"/>
      <c r="V8088" s="5"/>
      <c r="W8088" s="5"/>
      <c r="X8088" s="5"/>
      <c r="Y8088" s="5"/>
      <c r="Z8088" s="5"/>
    </row>
    <row r="8089" spans="1:26" ht="15" x14ac:dyDescent="0.25">
      <c r="A8089" s="4" t="s">
        <v>8087</v>
      </c>
      <c r="B8089" s="4" t="s">
        <v>4550</v>
      </c>
      <c r="C8089" s="2" t="str">
        <f ca="1">IFERROR(__xludf.DUMMYFUNCTION("GOOGLETRANSLATE(A8089,""bn"",""en"")"),"The Prime Minister had a meeting with the President")</f>
        <v>The Prime Minister had a meeting with the President</v>
      </c>
      <c r="D8089" s="5"/>
      <c r="E8089" s="5"/>
      <c r="F8089" s="5"/>
      <c r="G8089" s="5"/>
      <c r="H8089" s="5"/>
      <c r="I8089" s="5"/>
      <c r="J8089" s="5"/>
      <c r="K8089" s="5"/>
      <c r="L8089" s="5"/>
      <c r="M8089" s="5"/>
      <c r="N8089" s="5"/>
      <c r="O8089" s="5"/>
      <c r="P8089" s="5"/>
      <c r="Q8089" s="5"/>
      <c r="R8089" s="5"/>
      <c r="S8089" s="5"/>
      <c r="T8089" s="5"/>
      <c r="U8089" s="5"/>
      <c r="V8089" s="5"/>
      <c r="W8089" s="5"/>
      <c r="X8089" s="5"/>
      <c r="Y8089" s="5"/>
      <c r="Z8089" s="5"/>
    </row>
    <row r="8090" spans="1:26" ht="15" x14ac:dyDescent="0.25">
      <c r="A8090" s="4" t="s">
        <v>8088</v>
      </c>
      <c r="B8090" s="4" t="s">
        <v>4550</v>
      </c>
      <c r="C8090" s="2" t="str">
        <f ca="1">IFERROR(__xludf.DUMMYFUNCTION("GOOGLETRANSLATE(A8090,""bn"",""en"")"),"He saw the new dance")</f>
        <v>He saw the new dance</v>
      </c>
      <c r="D8090" s="5"/>
      <c r="E8090" s="5"/>
      <c r="F8090" s="5"/>
      <c r="G8090" s="5"/>
      <c r="H8090" s="5"/>
      <c r="I8090" s="5"/>
      <c r="J8090" s="5"/>
      <c r="K8090" s="5"/>
      <c r="L8090" s="5"/>
      <c r="M8090" s="5"/>
      <c r="N8090" s="5"/>
      <c r="O8090" s="5"/>
      <c r="P8090" s="5"/>
      <c r="Q8090" s="5"/>
      <c r="R8090" s="5"/>
      <c r="S8090" s="5"/>
      <c r="T8090" s="5"/>
      <c r="U8090" s="5"/>
      <c r="V8090" s="5"/>
      <c r="W8090" s="5"/>
      <c r="X8090" s="5"/>
      <c r="Y8090" s="5"/>
      <c r="Z8090" s="5"/>
    </row>
    <row r="8091" spans="1:26" ht="15" x14ac:dyDescent="0.25">
      <c r="A8091" s="4" t="s">
        <v>8089</v>
      </c>
      <c r="B8091" s="4" t="s">
        <v>4550</v>
      </c>
      <c r="C8091" s="2" t="str">
        <f ca="1">IFERROR(__xludf.DUMMYFUNCTION("GOOGLETRANSLATE(A8091,""bn"",""en"")"),"I wanted to donate to the poor")</f>
        <v>I wanted to donate to the poor</v>
      </c>
      <c r="D8091" s="5"/>
      <c r="E8091" s="5"/>
      <c r="F8091" s="5"/>
      <c r="G8091" s="5"/>
      <c r="H8091" s="5"/>
      <c r="I8091" s="5"/>
      <c r="J8091" s="5"/>
      <c r="K8091" s="5"/>
      <c r="L8091" s="5"/>
      <c r="M8091" s="5"/>
      <c r="N8091" s="5"/>
      <c r="O8091" s="5"/>
      <c r="P8091" s="5"/>
      <c r="Q8091" s="5"/>
      <c r="R8091" s="5"/>
      <c r="S8091" s="5"/>
      <c r="T8091" s="5"/>
      <c r="U8091" s="5"/>
      <c r="V8091" s="5"/>
      <c r="W8091" s="5"/>
      <c r="X8091" s="5"/>
      <c r="Y8091" s="5"/>
      <c r="Z8091" s="5"/>
    </row>
    <row r="8092" spans="1:26" ht="15" x14ac:dyDescent="0.25">
      <c r="A8092" s="4" t="s">
        <v>8090</v>
      </c>
      <c r="B8092" s="4" t="s">
        <v>4550</v>
      </c>
      <c r="C8092" s="2" t="str">
        <f ca="1">IFERROR(__xludf.DUMMYFUNCTION("GOOGLETRANSLATE(A8092,""bn"",""en"")"),"The price increased in three months")</f>
        <v>The price increased in three months</v>
      </c>
      <c r="D8092" s="5"/>
      <c r="E8092" s="5"/>
      <c r="F8092" s="5"/>
      <c r="G8092" s="5"/>
      <c r="H8092" s="5"/>
      <c r="I8092" s="5"/>
      <c r="J8092" s="5"/>
      <c r="K8092" s="5"/>
      <c r="L8092" s="5"/>
      <c r="M8092" s="5"/>
      <c r="N8092" s="5"/>
      <c r="O8092" s="5"/>
      <c r="P8092" s="5"/>
      <c r="Q8092" s="5"/>
      <c r="R8092" s="5"/>
      <c r="S8092" s="5"/>
      <c r="T8092" s="5"/>
      <c r="U8092" s="5"/>
      <c r="V8092" s="5"/>
      <c r="W8092" s="5"/>
      <c r="X8092" s="5"/>
      <c r="Y8092" s="5"/>
      <c r="Z8092" s="5"/>
    </row>
    <row r="8093" spans="1:26" ht="15" x14ac:dyDescent="0.25">
      <c r="A8093" s="4" t="s">
        <v>8091</v>
      </c>
      <c r="B8093" s="4" t="s">
        <v>4550</v>
      </c>
      <c r="C8093" s="2" t="str">
        <f ca="1">IFERROR(__xludf.DUMMYFUNCTION("GOOGLETRANSLATE(A8093,""bn"",""en"")"),"You saw an ancient picture")</f>
        <v>You saw an ancient picture</v>
      </c>
      <c r="D8093" s="5"/>
      <c r="E8093" s="5"/>
      <c r="F8093" s="5"/>
      <c r="G8093" s="5"/>
      <c r="H8093" s="5"/>
      <c r="I8093" s="5"/>
      <c r="J8093" s="5"/>
      <c r="K8093" s="5"/>
      <c r="L8093" s="5"/>
      <c r="M8093" s="5"/>
      <c r="N8093" s="5"/>
      <c r="O8093" s="5"/>
      <c r="P8093" s="5"/>
      <c r="Q8093" s="5"/>
      <c r="R8093" s="5"/>
      <c r="S8093" s="5"/>
      <c r="T8093" s="5"/>
      <c r="U8093" s="5"/>
      <c r="V8093" s="5"/>
      <c r="W8093" s="5"/>
      <c r="X8093" s="5"/>
      <c r="Y8093" s="5"/>
      <c r="Z8093" s="5"/>
    </row>
    <row r="8094" spans="1:26" ht="15" x14ac:dyDescent="0.25">
      <c r="A8094" s="4" t="s">
        <v>8092</v>
      </c>
      <c r="B8094" s="4" t="s">
        <v>4550</v>
      </c>
      <c r="C8094" s="2" t="str">
        <f ca="1">IFERROR(__xludf.DUMMYFUNCTION("GOOGLETRANSLATE(A8094,""bn"",""en"")"),"They ate potato chips")</f>
        <v>They ate potato chips</v>
      </c>
      <c r="D8094" s="5"/>
      <c r="E8094" s="5"/>
      <c r="F8094" s="5"/>
      <c r="G8094" s="5"/>
      <c r="H8094" s="5"/>
      <c r="I8094" s="5"/>
      <c r="J8094" s="5"/>
      <c r="K8094" s="5"/>
      <c r="L8094" s="5"/>
      <c r="M8094" s="5"/>
      <c r="N8094" s="5"/>
      <c r="O8094" s="5"/>
      <c r="P8094" s="5"/>
      <c r="Q8094" s="5"/>
      <c r="R8094" s="5"/>
      <c r="S8094" s="5"/>
      <c r="T8094" s="5"/>
      <c r="U8094" s="5"/>
      <c r="V8094" s="5"/>
      <c r="W8094" s="5"/>
      <c r="X8094" s="5"/>
      <c r="Y8094" s="5"/>
      <c r="Z8094" s="5"/>
    </row>
    <row r="8095" spans="1:26" ht="15" x14ac:dyDescent="0.25">
      <c r="A8095" s="4" t="s">
        <v>8093</v>
      </c>
      <c r="B8095" s="4" t="s">
        <v>4550</v>
      </c>
      <c r="C8095" s="2" t="str">
        <f ca="1">IFERROR(__xludf.DUMMYFUNCTION("GOOGLETRANSLATE(A8095,""bn"",""en"")"),"I was studying at night for preparation")</f>
        <v>I was studying at night for preparation</v>
      </c>
      <c r="D8095" s="5"/>
      <c r="E8095" s="5"/>
      <c r="F8095" s="5"/>
      <c r="G8095" s="5"/>
      <c r="H8095" s="5"/>
      <c r="I8095" s="5"/>
      <c r="J8095" s="5"/>
      <c r="K8095" s="5"/>
      <c r="L8095" s="5"/>
      <c r="M8095" s="5"/>
      <c r="N8095" s="5"/>
      <c r="O8095" s="5"/>
      <c r="P8095" s="5"/>
      <c r="Q8095" s="5"/>
      <c r="R8095" s="5"/>
      <c r="S8095" s="5"/>
      <c r="T8095" s="5"/>
      <c r="U8095" s="5"/>
      <c r="V8095" s="5"/>
      <c r="W8095" s="5"/>
      <c r="X8095" s="5"/>
      <c r="Y8095" s="5"/>
      <c r="Z8095" s="5"/>
    </row>
    <row r="8096" spans="1:26" ht="15" x14ac:dyDescent="0.25">
      <c r="A8096" s="4" t="s">
        <v>8094</v>
      </c>
      <c r="B8096" s="4" t="s">
        <v>4550</v>
      </c>
      <c r="C8096" s="2" t="str">
        <f ca="1">IFERROR(__xludf.DUMMYFUNCTION("GOOGLETRANSLATE(A8096,""bn"",""en"")"),"Students built new robots")</f>
        <v>Students built new robots</v>
      </c>
      <c r="D8096" s="5"/>
      <c r="E8096" s="5"/>
      <c r="F8096" s="5"/>
      <c r="G8096" s="5"/>
      <c r="H8096" s="5"/>
      <c r="I8096" s="5"/>
      <c r="J8096" s="5"/>
      <c r="K8096" s="5"/>
      <c r="L8096" s="5"/>
      <c r="M8096" s="5"/>
      <c r="N8096" s="5"/>
      <c r="O8096" s="5"/>
      <c r="P8096" s="5"/>
      <c r="Q8096" s="5"/>
      <c r="R8096" s="5"/>
      <c r="S8096" s="5"/>
      <c r="T8096" s="5"/>
      <c r="U8096" s="5"/>
      <c r="V8096" s="5"/>
      <c r="W8096" s="5"/>
      <c r="X8096" s="5"/>
      <c r="Y8096" s="5"/>
      <c r="Z8096" s="5"/>
    </row>
    <row r="8097" spans="1:26" ht="15" x14ac:dyDescent="0.25">
      <c r="A8097" s="4" t="s">
        <v>8095</v>
      </c>
      <c r="B8097" s="4" t="s">
        <v>4550</v>
      </c>
      <c r="C8097" s="2" t="str">
        <f ca="1">IFERROR(__xludf.DUMMYFUNCTION("GOOGLETRANSLATE(A8097,""bn"",""en"")"),"The game of cricket was going on non-stop")</f>
        <v>The game of cricket was going on non-stop</v>
      </c>
      <c r="D8097" s="5"/>
      <c r="E8097" s="5"/>
      <c r="F8097" s="5"/>
      <c r="G8097" s="5"/>
      <c r="H8097" s="5"/>
      <c r="I8097" s="5"/>
      <c r="J8097" s="5"/>
      <c r="K8097" s="5"/>
      <c r="L8097" s="5"/>
      <c r="M8097" s="5"/>
      <c r="N8097" s="5"/>
      <c r="O8097" s="5"/>
      <c r="P8097" s="5"/>
      <c r="Q8097" s="5"/>
      <c r="R8097" s="5"/>
      <c r="S8097" s="5"/>
      <c r="T8097" s="5"/>
      <c r="U8097" s="5"/>
      <c r="V8097" s="5"/>
      <c r="W8097" s="5"/>
      <c r="X8097" s="5"/>
      <c r="Y8097" s="5"/>
      <c r="Z8097" s="5"/>
    </row>
    <row r="8098" spans="1:26" ht="15" x14ac:dyDescent="0.25">
      <c r="A8098" s="4" t="s">
        <v>8096</v>
      </c>
      <c r="B8098" s="4" t="s">
        <v>4550</v>
      </c>
      <c r="C8098" s="2" t="str">
        <f ca="1">IFERROR(__xludf.DUMMYFUNCTION("GOOGLETRANSLATE(A8098,""bn"",""en"")"),"You were doing research in science")</f>
        <v>You were doing research in science</v>
      </c>
      <c r="D8098" s="5"/>
      <c r="E8098" s="5"/>
      <c r="F8098" s="5"/>
      <c r="G8098" s="5"/>
      <c r="H8098" s="5"/>
      <c r="I8098" s="5"/>
      <c r="J8098" s="5"/>
      <c r="K8098" s="5"/>
      <c r="L8098" s="5"/>
      <c r="M8098" s="5"/>
      <c r="N8098" s="5"/>
      <c r="O8098" s="5"/>
      <c r="P8098" s="5"/>
      <c r="Q8098" s="5"/>
      <c r="R8098" s="5"/>
      <c r="S8098" s="5"/>
      <c r="T8098" s="5"/>
      <c r="U8098" s="5"/>
      <c r="V8098" s="5"/>
      <c r="W8098" s="5"/>
      <c r="X8098" s="5"/>
      <c r="Y8098" s="5"/>
      <c r="Z8098" s="5"/>
    </row>
    <row r="8099" spans="1:26" ht="15" x14ac:dyDescent="0.25">
      <c r="A8099" s="4" t="s">
        <v>8097</v>
      </c>
      <c r="B8099" s="4" t="s">
        <v>4550</v>
      </c>
      <c r="C8099" s="2" t="str">
        <f ca="1">IFERROR(__xludf.DUMMYFUNCTION("GOOGLETRANSLATE(A8099,""bn"",""en"")"),"Computer problem solved")</f>
        <v>Computer problem solved</v>
      </c>
      <c r="D8099" s="5"/>
      <c r="E8099" s="5"/>
      <c r="F8099" s="5"/>
      <c r="G8099" s="5"/>
      <c r="H8099" s="5"/>
      <c r="I8099" s="5"/>
      <c r="J8099" s="5"/>
      <c r="K8099" s="5"/>
      <c r="L8099" s="5"/>
      <c r="M8099" s="5"/>
      <c r="N8099" s="5"/>
      <c r="O8099" s="5"/>
      <c r="P8099" s="5"/>
      <c r="Q8099" s="5"/>
      <c r="R8099" s="5"/>
      <c r="S8099" s="5"/>
      <c r="T8099" s="5"/>
      <c r="U8099" s="5"/>
      <c r="V8099" s="5"/>
      <c r="W8099" s="5"/>
      <c r="X8099" s="5"/>
      <c r="Y8099" s="5"/>
      <c r="Z8099" s="5"/>
    </row>
    <row r="8100" spans="1:26" ht="15" x14ac:dyDescent="0.25">
      <c r="A8100" s="4" t="s">
        <v>8098</v>
      </c>
      <c r="B8100" s="4" t="s">
        <v>4550</v>
      </c>
      <c r="C8100" s="2" t="str">
        <f ca="1">IFERROR(__xludf.DUMMYFUNCTION("GOOGLETRANSLATE(A8100,""bn"",""en"")"),"The capital decreased in the last year")</f>
        <v>The capital decreased in the last year</v>
      </c>
      <c r="D8100" s="5"/>
      <c r="E8100" s="5"/>
      <c r="F8100" s="5"/>
      <c r="G8100" s="5"/>
      <c r="H8100" s="5"/>
      <c r="I8100" s="5"/>
      <c r="J8100" s="5"/>
      <c r="K8100" s="5"/>
      <c r="L8100" s="5"/>
      <c r="M8100" s="5"/>
      <c r="N8100" s="5"/>
      <c r="O8100" s="5"/>
      <c r="P8100" s="5"/>
      <c r="Q8100" s="5"/>
      <c r="R8100" s="5"/>
      <c r="S8100" s="5"/>
      <c r="T8100" s="5"/>
      <c r="U8100" s="5"/>
      <c r="V8100" s="5"/>
      <c r="W8100" s="5"/>
      <c r="X8100" s="5"/>
      <c r="Y8100" s="5"/>
      <c r="Z8100" s="5"/>
    </row>
    <row r="8101" spans="1:26" ht="15" x14ac:dyDescent="0.25">
      <c r="A8101" s="4" t="s">
        <v>8099</v>
      </c>
      <c r="B8101" s="4" t="s">
        <v>4550</v>
      </c>
      <c r="C8101" s="2" t="str">
        <f ca="1">IFERROR(__xludf.DUMMYFUNCTION("GOOGLETRANSLATE(A8101,""bn"",""en"")"),"I would make a deposit")</f>
        <v>I would make a deposit</v>
      </c>
      <c r="D8101" s="5"/>
      <c r="E8101" s="5"/>
      <c r="F8101" s="5"/>
      <c r="G8101" s="5"/>
      <c r="H8101" s="5"/>
      <c r="I8101" s="5"/>
      <c r="J8101" s="5"/>
      <c r="K8101" s="5"/>
      <c r="L8101" s="5"/>
      <c r="M8101" s="5"/>
      <c r="N8101" s="5"/>
      <c r="O8101" s="5"/>
      <c r="P8101" s="5"/>
      <c r="Q8101" s="5"/>
      <c r="R8101" s="5"/>
      <c r="S8101" s="5"/>
      <c r="T8101" s="5"/>
      <c r="U8101" s="5"/>
      <c r="V8101" s="5"/>
      <c r="W8101" s="5"/>
      <c r="X8101" s="5"/>
      <c r="Y8101" s="5"/>
      <c r="Z8101" s="5"/>
    </row>
    <row r="8102" spans="1:26" ht="15" x14ac:dyDescent="0.25">
      <c r="A8102" s="4" t="s">
        <v>8100</v>
      </c>
      <c r="B8102" s="4" t="s">
        <v>4550</v>
      </c>
      <c r="C8102" s="2" t="str">
        <f ca="1">IFERROR(__xludf.DUMMYFUNCTION("GOOGLETRANSLATE(A8102,""bn"",""en"")"),"He was cutting dates and mangoes")</f>
        <v>He was cutting dates and mangoes</v>
      </c>
      <c r="D8102" s="5"/>
      <c r="E8102" s="5"/>
      <c r="F8102" s="5"/>
      <c r="G8102" s="5"/>
      <c r="H8102" s="5"/>
      <c r="I8102" s="5"/>
      <c r="J8102" s="5"/>
      <c r="K8102" s="5"/>
      <c r="L8102" s="5"/>
      <c r="M8102" s="5"/>
      <c r="N8102" s="5"/>
      <c r="O8102" s="5"/>
      <c r="P8102" s="5"/>
      <c r="Q8102" s="5"/>
      <c r="R8102" s="5"/>
      <c r="S8102" s="5"/>
      <c r="T8102" s="5"/>
      <c r="U8102" s="5"/>
      <c r="V8102" s="5"/>
      <c r="W8102" s="5"/>
      <c r="X8102" s="5"/>
      <c r="Y8102" s="5"/>
      <c r="Z8102" s="5"/>
    </row>
    <row r="8103" spans="1:26" ht="15" x14ac:dyDescent="0.25">
      <c r="A8103" s="4" t="s">
        <v>8101</v>
      </c>
      <c r="B8103" s="4" t="s">
        <v>4550</v>
      </c>
      <c r="C8103" s="2" t="str">
        <f ca="1">IFERROR(__xludf.DUMMYFUNCTION("GOOGLETRANSLATE(A8103,""bn"",""en"")"),"He got the bank statement")</f>
        <v>He got the bank statement</v>
      </c>
      <c r="D8103" s="5"/>
      <c r="E8103" s="5"/>
      <c r="F8103" s="5"/>
      <c r="G8103" s="5"/>
      <c r="H8103" s="5"/>
      <c r="I8103" s="5"/>
      <c r="J8103" s="5"/>
      <c r="K8103" s="5"/>
      <c r="L8103" s="5"/>
      <c r="M8103" s="5"/>
      <c r="N8103" s="5"/>
      <c r="O8103" s="5"/>
      <c r="P8103" s="5"/>
      <c r="Q8103" s="5"/>
      <c r="R8103" s="5"/>
      <c r="S8103" s="5"/>
      <c r="T8103" s="5"/>
      <c r="U8103" s="5"/>
      <c r="V8103" s="5"/>
      <c r="W8103" s="5"/>
      <c r="X8103" s="5"/>
      <c r="Y8103" s="5"/>
      <c r="Z8103" s="5"/>
    </row>
    <row r="8104" spans="1:26" ht="15" x14ac:dyDescent="0.25">
      <c r="A8104" s="4" t="s">
        <v>8102</v>
      </c>
      <c r="B8104" s="4" t="s">
        <v>4550</v>
      </c>
      <c r="C8104" s="2" t="str">
        <f ca="1">IFERROR(__xludf.DUMMYFUNCTION("GOOGLETRANSLATE(A8104,""bn"",""en"")"),"Water bugs were rampant")</f>
        <v>Water bugs were rampant</v>
      </c>
      <c r="D8104" s="5"/>
      <c r="E8104" s="5"/>
      <c r="F8104" s="5"/>
      <c r="G8104" s="5"/>
      <c r="H8104" s="5"/>
      <c r="I8104" s="5"/>
      <c r="J8104" s="5"/>
      <c r="K8104" s="5"/>
      <c r="L8104" s="5"/>
      <c r="M8104" s="5"/>
      <c r="N8104" s="5"/>
      <c r="O8104" s="5"/>
      <c r="P8104" s="5"/>
      <c r="Q8104" s="5"/>
      <c r="R8104" s="5"/>
      <c r="S8104" s="5"/>
      <c r="T8104" s="5"/>
      <c r="U8104" s="5"/>
      <c r="V8104" s="5"/>
      <c r="W8104" s="5"/>
      <c r="X8104" s="5"/>
      <c r="Y8104" s="5"/>
      <c r="Z8104" s="5"/>
    </row>
    <row r="8105" spans="1:26" ht="15" x14ac:dyDescent="0.25">
      <c r="A8105" s="4" t="s">
        <v>8103</v>
      </c>
      <c r="B8105" s="4" t="s">
        <v>4550</v>
      </c>
      <c r="C8105" s="2" t="str">
        <f ca="1">IFERROR(__xludf.DUMMYFUNCTION("GOOGLETRANSLATE(A8105,""bn"",""en"")"),"News was being delivered in Bangladesh")</f>
        <v>News was being delivered in Bangladesh</v>
      </c>
      <c r="D8105" s="5"/>
      <c r="E8105" s="5"/>
      <c r="F8105" s="5"/>
      <c r="G8105" s="5"/>
      <c r="H8105" s="5"/>
      <c r="I8105" s="5"/>
      <c r="J8105" s="5"/>
      <c r="K8105" s="5"/>
      <c r="L8105" s="5"/>
      <c r="M8105" s="5"/>
      <c r="N8105" s="5"/>
      <c r="O8105" s="5"/>
      <c r="P8105" s="5"/>
      <c r="Q8105" s="5"/>
      <c r="R8105" s="5"/>
      <c r="S8105" s="5"/>
      <c r="T8105" s="5"/>
      <c r="U8105" s="5"/>
      <c r="V8105" s="5"/>
      <c r="W8105" s="5"/>
      <c r="X8105" s="5"/>
      <c r="Y8105" s="5"/>
      <c r="Z8105" s="5"/>
    </row>
    <row r="8106" spans="1:26" ht="15" x14ac:dyDescent="0.25">
      <c r="A8106" s="4" t="s">
        <v>8104</v>
      </c>
      <c r="B8106" s="4" t="s">
        <v>4550</v>
      </c>
      <c r="C8106" s="2" t="str">
        <f ca="1">IFERROR(__xludf.DUMMYFUNCTION("GOOGLETRANSLATE(A8106,""bn"",""en"")"),"Rice seeds were sown")</f>
        <v>Rice seeds were sown</v>
      </c>
      <c r="D8106" s="5"/>
      <c r="E8106" s="5"/>
      <c r="F8106" s="5"/>
      <c r="G8106" s="5"/>
      <c r="H8106" s="5"/>
      <c r="I8106" s="5"/>
      <c r="J8106" s="5"/>
      <c r="K8106" s="5"/>
      <c r="L8106" s="5"/>
      <c r="M8106" s="5"/>
      <c r="N8106" s="5"/>
      <c r="O8106" s="5"/>
      <c r="P8106" s="5"/>
      <c r="Q8106" s="5"/>
      <c r="R8106" s="5"/>
      <c r="S8106" s="5"/>
      <c r="T8106" s="5"/>
      <c r="U8106" s="5"/>
      <c r="V8106" s="5"/>
      <c r="W8106" s="5"/>
      <c r="X8106" s="5"/>
      <c r="Y8106" s="5"/>
      <c r="Z8106" s="5"/>
    </row>
    <row r="8107" spans="1:26" ht="15" x14ac:dyDescent="0.25">
      <c r="A8107" s="4" t="s">
        <v>8105</v>
      </c>
      <c r="B8107" s="4" t="s">
        <v>4550</v>
      </c>
      <c r="C8107" s="2" t="str">
        <f ca="1">IFERROR(__xludf.DUMMYFUNCTION("GOOGLETRANSLATE(A8107,""bn"",""en"")"),"The radio program was playing repeatedly")</f>
        <v>The radio program was playing repeatedly</v>
      </c>
      <c r="D8107" s="5"/>
      <c r="E8107" s="5"/>
      <c r="F8107" s="5"/>
      <c r="G8107" s="5"/>
      <c r="H8107" s="5"/>
      <c r="I8107" s="5"/>
      <c r="J8107" s="5"/>
      <c r="K8107" s="5"/>
      <c r="L8107" s="5"/>
      <c r="M8107" s="5"/>
      <c r="N8107" s="5"/>
      <c r="O8107" s="5"/>
      <c r="P8107" s="5"/>
      <c r="Q8107" s="5"/>
      <c r="R8107" s="5"/>
      <c r="S8107" s="5"/>
      <c r="T8107" s="5"/>
      <c r="U8107" s="5"/>
      <c r="V8107" s="5"/>
      <c r="W8107" s="5"/>
      <c r="X8107" s="5"/>
      <c r="Y8107" s="5"/>
      <c r="Z8107" s="5"/>
    </row>
    <row r="8108" spans="1:26" ht="15" x14ac:dyDescent="0.25">
      <c r="A8108" s="4" t="s">
        <v>8106</v>
      </c>
      <c r="B8108" s="4" t="s">
        <v>4550</v>
      </c>
      <c r="C8108" s="2" t="str">
        <f ca="1">IFERROR(__xludf.DUMMYFUNCTION("GOOGLETRANSLATE(A8108,""bn"",""en"")"),"The government formulated a new policy")</f>
        <v>The government formulated a new policy</v>
      </c>
      <c r="D8108" s="5"/>
      <c r="E8108" s="5"/>
      <c r="F8108" s="5"/>
      <c r="G8108" s="5"/>
      <c r="H8108" s="5"/>
      <c r="I8108" s="5"/>
      <c r="J8108" s="5"/>
      <c r="K8108" s="5"/>
      <c r="L8108" s="5"/>
      <c r="M8108" s="5"/>
      <c r="N8108" s="5"/>
      <c r="O8108" s="5"/>
      <c r="P8108" s="5"/>
      <c r="Q8108" s="5"/>
      <c r="R8108" s="5"/>
      <c r="S8108" s="5"/>
      <c r="T8108" s="5"/>
      <c r="U8108" s="5"/>
      <c r="V8108" s="5"/>
      <c r="W8108" s="5"/>
      <c r="X8108" s="5"/>
      <c r="Y8108" s="5"/>
      <c r="Z8108" s="5"/>
    </row>
    <row r="8109" spans="1:26" ht="15" x14ac:dyDescent="0.25">
      <c r="A8109" s="4" t="s">
        <v>8107</v>
      </c>
      <c r="B8109" s="4" t="s">
        <v>4550</v>
      </c>
      <c r="C8109" s="2" t="str">
        <f ca="1">IFERROR(__xludf.DUMMYFUNCTION("GOOGLETRANSLATE(A8109,""bn"",""en"")"),"The Home Government resigned")</f>
        <v>The Home Government resigned</v>
      </c>
      <c r="D8109" s="5"/>
      <c r="E8109" s="5"/>
      <c r="F8109" s="5"/>
      <c r="G8109" s="5"/>
      <c r="H8109" s="5"/>
      <c r="I8109" s="5"/>
      <c r="J8109" s="5"/>
      <c r="K8109" s="5"/>
      <c r="L8109" s="5"/>
      <c r="M8109" s="5"/>
      <c r="N8109" s="5"/>
      <c r="O8109" s="5"/>
      <c r="P8109" s="5"/>
      <c r="Q8109" s="5"/>
      <c r="R8109" s="5"/>
      <c r="S8109" s="5"/>
      <c r="T8109" s="5"/>
      <c r="U8109" s="5"/>
      <c r="V8109" s="5"/>
      <c r="W8109" s="5"/>
      <c r="X8109" s="5"/>
      <c r="Y8109" s="5"/>
      <c r="Z8109" s="5"/>
    </row>
    <row r="8110" spans="1:26" ht="15" x14ac:dyDescent="0.25">
      <c r="A8110" s="4" t="s">
        <v>8108</v>
      </c>
      <c r="B8110" s="4" t="s">
        <v>4550</v>
      </c>
      <c r="C8110" s="2" t="str">
        <f ca="1">IFERROR(__xludf.DUMMYFUNCTION("GOOGLETRANSLATE(A8110,""bn"",""en"")"),"Who did you see it with?")</f>
        <v>Who did you see it with?</v>
      </c>
      <c r="D8110" s="5"/>
      <c r="E8110" s="5"/>
      <c r="F8110" s="5"/>
      <c r="G8110" s="5"/>
      <c r="H8110" s="5"/>
      <c r="I8110" s="5"/>
      <c r="J8110" s="5"/>
      <c r="K8110" s="5"/>
      <c r="L8110" s="5"/>
      <c r="M8110" s="5"/>
      <c r="N8110" s="5"/>
      <c r="O8110" s="5"/>
      <c r="P8110" s="5"/>
      <c r="Q8110" s="5"/>
      <c r="R8110" s="5"/>
      <c r="S8110" s="5"/>
      <c r="T8110" s="5"/>
      <c r="U8110" s="5"/>
      <c r="V8110" s="5"/>
      <c r="W8110" s="5"/>
      <c r="X8110" s="5"/>
      <c r="Y8110" s="5"/>
      <c r="Z8110" s="5"/>
    </row>
    <row r="8111" spans="1:26" ht="15" x14ac:dyDescent="0.25">
      <c r="A8111" s="4" t="s">
        <v>8109</v>
      </c>
      <c r="B8111" s="4" t="s">
        <v>4550</v>
      </c>
      <c r="C8111" s="2" t="str">
        <f ca="1">IFERROR(__xludf.DUMMYFUNCTION("GOOGLETRANSLATE(A8111,""bn"",""en"")"),"Sports were needed in leisure")</f>
        <v>Sports were needed in leisure</v>
      </c>
      <c r="D8111" s="5"/>
      <c r="E8111" s="5"/>
      <c r="F8111" s="5"/>
      <c r="G8111" s="5"/>
      <c r="H8111" s="5"/>
      <c r="I8111" s="5"/>
      <c r="J8111" s="5"/>
      <c r="K8111" s="5"/>
      <c r="L8111" s="5"/>
      <c r="M8111" s="5"/>
      <c r="N8111" s="5"/>
      <c r="O8111" s="5"/>
      <c r="P8111" s="5"/>
      <c r="Q8111" s="5"/>
      <c r="R8111" s="5"/>
      <c r="S8111" s="5"/>
      <c r="T8111" s="5"/>
      <c r="U8111" s="5"/>
      <c r="V8111" s="5"/>
      <c r="W8111" s="5"/>
      <c r="X8111" s="5"/>
      <c r="Y8111" s="5"/>
      <c r="Z8111" s="5"/>
    </row>
    <row r="8112" spans="1:26" ht="15" x14ac:dyDescent="0.25">
      <c r="A8112" s="4" t="s">
        <v>8110</v>
      </c>
      <c r="B8112" s="4" t="s">
        <v>4550</v>
      </c>
      <c r="C8112" s="2" t="str">
        <f ca="1">IFERROR(__xludf.DUMMYFUNCTION("GOOGLETRANSLATE(A8112,""bn"",""en"")"),"New ideas would come")</f>
        <v>New ideas would come</v>
      </c>
      <c r="D8112" s="5"/>
      <c r="E8112" s="5"/>
      <c r="F8112" s="5"/>
      <c r="G8112" s="5"/>
      <c r="H8112" s="5"/>
      <c r="I8112" s="5"/>
      <c r="J8112" s="5"/>
      <c r="K8112" s="5"/>
      <c r="L8112" s="5"/>
      <c r="M8112" s="5"/>
      <c r="N8112" s="5"/>
      <c r="O8112" s="5"/>
      <c r="P8112" s="5"/>
      <c r="Q8112" s="5"/>
      <c r="R8112" s="5"/>
      <c r="S8112" s="5"/>
      <c r="T8112" s="5"/>
      <c r="U8112" s="5"/>
      <c r="V8112" s="5"/>
      <c r="W8112" s="5"/>
      <c r="X8112" s="5"/>
      <c r="Y8112" s="5"/>
      <c r="Z8112" s="5"/>
    </row>
    <row r="8113" spans="1:26" ht="15" x14ac:dyDescent="0.25">
      <c r="A8113" s="4" t="s">
        <v>8111</v>
      </c>
      <c r="B8113" s="4" t="s">
        <v>4550</v>
      </c>
      <c r="C8113" s="2" t="str">
        <f ca="1">IFERROR(__xludf.DUMMYFUNCTION("GOOGLETRANSLATE(A8113,""bn"",""en"")"),"He was sitting by the sea")</f>
        <v>He was sitting by the sea</v>
      </c>
      <c r="D8113" s="5"/>
      <c r="E8113" s="5"/>
      <c r="F8113" s="5"/>
      <c r="G8113" s="5"/>
      <c r="H8113" s="5"/>
      <c r="I8113" s="5"/>
      <c r="J8113" s="5"/>
      <c r="K8113" s="5"/>
      <c r="L8113" s="5"/>
      <c r="M8113" s="5"/>
      <c r="N8113" s="5"/>
      <c r="O8113" s="5"/>
      <c r="P8113" s="5"/>
      <c r="Q8113" s="5"/>
      <c r="R8113" s="5"/>
      <c r="S8113" s="5"/>
      <c r="T8113" s="5"/>
      <c r="U8113" s="5"/>
      <c r="V8113" s="5"/>
      <c r="W8113" s="5"/>
      <c r="X8113" s="5"/>
      <c r="Y8113" s="5"/>
      <c r="Z8113" s="5"/>
    </row>
    <row r="8114" spans="1:26" ht="15" x14ac:dyDescent="0.25">
      <c r="A8114" s="4" t="s">
        <v>8112</v>
      </c>
      <c r="B8114" s="4" t="s">
        <v>4550</v>
      </c>
      <c r="C8114" s="2" t="str">
        <f ca="1">IFERROR(__xludf.DUMMYFUNCTION("GOOGLETRANSLATE(A8114,""bn"",""en"")"),"Criticism of the institution was ongoing")</f>
        <v>Criticism of the institution was ongoing</v>
      </c>
      <c r="D8114" s="5"/>
      <c r="E8114" s="5"/>
      <c r="F8114" s="5"/>
      <c r="G8114" s="5"/>
      <c r="H8114" s="5"/>
      <c r="I8114" s="5"/>
      <c r="J8114" s="5"/>
      <c r="K8114" s="5"/>
      <c r="L8114" s="5"/>
      <c r="M8114" s="5"/>
      <c r="N8114" s="5"/>
      <c r="O8114" s="5"/>
      <c r="P8114" s="5"/>
      <c r="Q8114" s="5"/>
      <c r="R8114" s="5"/>
      <c r="S8114" s="5"/>
      <c r="T8114" s="5"/>
      <c r="U8114" s="5"/>
      <c r="V8114" s="5"/>
      <c r="W8114" s="5"/>
      <c r="X8114" s="5"/>
      <c r="Y8114" s="5"/>
      <c r="Z8114" s="5"/>
    </row>
    <row r="8115" spans="1:26" ht="15" x14ac:dyDescent="0.25">
      <c r="A8115" s="4" t="s">
        <v>8113</v>
      </c>
      <c r="B8115" s="4" t="s">
        <v>4550</v>
      </c>
      <c r="C8115" s="2" t="str">
        <f ca="1">IFERROR(__xludf.DUMMYFUNCTION("GOOGLETRANSLATE(A8115,""bn"",""en"")"),"The week they got the loan")</f>
        <v>The week they got the loan</v>
      </c>
      <c r="D8115" s="5"/>
      <c r="E8115" s="5"/>
      <c r="F8115" s="5"/>
      <c r="G8115" s="5"/>
      <c r="H8115" s="5"/>
      <c r="I8115" s="5"/>
      <c r="J8115" s="5"/>
      <c r="K8115" s="5"/>
      <c r="L8115" s="5"/>
      <c r="M8115" s="5"/>
      <c r="N8115" s="5"/>
      <c r="O8115" s="5"/>
      <c r="P8115" s="5"/>
      <c r="Q8115" s="5"/>
      <c r="R8115" s="5"/>
      <c r="S8115" s="5"/>
      <c r="T8115" s="5"/>
      <c r="U8115" s="5"/>
      <c r="V8115" s="5"/>
      <c r="W8115" s="5"/>
      <c r="X8115" s="5"/>
      <c r="Y8115" s="5"/>
      <c r="Z8115" s="5"/>
    </row>
    <row r="8116" spans="1:26" ht="15" x14ac:dyDescent="0.25">
      <c r="A8116" s="4" t="s">
        <v>8114</v>
      </c>
      <c r="B8116" s="4" t="s">
        <v>4550</v>
      </c>
      <c r="C8116" s="2" t="str">
        <f ca="1">IFERROR(__xludf.DUMMYFUNCTION("GOOGLETRANSLATE(A8116,""bn"",""en"")"),"A special committee was formed")</f>
        <v>A special committee was formed</v>
      </c>
      <c r="D8116" s="5"/>
      <c r="E8116" s="5"/>
      <c r="F8116" s="5"/>
      <c r="G8116" s="5"/>
      <c r="H8116" s="5"/>
      <c r="I8116" s="5"/>
      <c r="J8116" s="5"/>
      <c r="K8116" s="5"/>
      <c r="L8116" s="5"/>
      <c r="M8116" s="5"/>
      <c r="N8116" s="5"/>
      <c r="O8116" s="5"/>
      <c r="P8116" s="5"/>
      <c r="Q8116" s="5"/>
      <c r="R8116" s="5"/>
      <c r="S8116" s="5"/>
      <c r="T8116" s="5"/>
      <c r="U8116" s="5"/>
      <c r="V8116" s="5"/>
      <c r="W8116" s="5"/>
      <c r="X8116" s="5"/>
      <c r="Y8116" s="5"/>
      <c r="Z8116" s="5"/>
    </row>
    <row r="8117" spans="1:26" ht="15" x14ac:dyDescent="0.25">
      <c r="A8117" s="4" t="s">
        <v>8115</v>
      </c>
      <c r="B8117" s="4" t="s">
        <v>4550</v>
      </c>
      <c r="C8117" s="2" t="str">
        <f ca="1">IFERROR(__xludf.DUMMYFUNCTION("GOOGLETRANSLATE(A8117,""bn"",""en"")"),"The Prime Minister was elected in a public meeting")</f>
        <v>The Prime Minister was elected in a public meeting</v>
      </c>
      <c r="D8117" s="5"/>
      <c r="E8117" s="5"/>
      <c r="F8117" s="5"/>
      <c r="G8117" s="5"/>
      <c r="H8117" s="5"/>
      <c r="I8117" s="5"/>
      <c r="J8117" s="5"/>
      <c r="K8117" s="5"/>
      <c r="L8117" s="5"/>
      <c r="M8117" s="5"/>
      <c r="N8117" s="5"/>
      <c r="O8117" s="5"/>
      <c r="P8117" s="5"/>
      <c r="Q8117" s="5"/>
      <c r="R8117" s="5"/>
      <c r="S8117" s="5"/>
      <c r="T8117" s="5"/>
      <c r="U8117" s="5"/>
      <c r="V8117" s="5"/>
      <c r="W8117" s="5"/>
      <c r="X8117" s="5"/>
      <c r="Y8117" s="5"/>
      <c r="Z8117" s="5"/>
    </row>
    <row r="8118" spans="1:26" ht="15" x14ac:dyDescent="0.25">
      <c r="A8118" s="4" t="s">
        <v>8116</v>
      </c>
      <c r="B8118" s="4" t="s">
        <v>4550</v>
      </c>
      <c r="C8118" s="2" t="str">
        <f ca="1">IFERROR(__xludf.DUMMYFUNCTION("GOOGLETRANSLATE(A8118,""bn"",""en"")"),"Mobile technology has increased")</f>
        <v>Mobile technology has increased</v>
      </c>
      <c r="D8118" s="5"/>
      <c r="E8118" s="5"/>
      <c r="F8118" s="5"/>
      <c r="G8118" s="5"/>
      <c r="H8118" s="5"/>
      <c r="I8118" s="5"/>
      <c r="J8118" s="5"/>
      <c r="K8118" s="5"/>
      <c r="L8118" s="5"/>
      <c r="M8118" s="5"/>
      <c r="N8118" s="5"/>
      <c r="O8118" s="5"/>
      <c r="P8118" s="5"/>
      <c r="Q8118" s="5"/>
      <c r="R8118" s="5"/>
      <c r="S8118" s="5"/>
      <c r="T8118" s="5"/>
      <c r="U8118" s="5"/>
      <c r="V8118" s="5"/>
      <c r="W8118" s="5"/>
      <c r="X8118" s="5"/>
      <c r="Y8118" s="5"/>
      <c r="Z8118" s="5"/>
    </row>
    <row r="8119" spans="1:26" ht="15" x14ac:dyDescent="0.25">
      <c r="A8119" s="4" t="s">
        <v>8117</v>
      </c>
      <c r="B8119" s="4" t="s">
        <v>4550</v>
      </c>
      <c r="C8119" s="2" t="str">
        <f ca="1">IFERROR(__xludf.DUMMYFUNCTION("GOOGLETRANSLATE(A8119,""bn"",""en"")"),"Stayed in a hotel at night")</f>
        <v>Stayed in a hotel at night</v>
      </c>
      <c r="D8119" s="5"/>
      <c r="E8119" s="5"/>
      <c r="F8119" s="5"/>
      <c r="G8119" s="5"/>
      <c r="H8119" s="5"/>
      <c r="I8119" s="5"/>
      <c r="J8119" s="5"/>
      <c r="K8119" s="5"/>
      <c r="L8119" s="5"/>
      <c r="M8119" s="5"/>
      <c r="N8119" s="5"/>
      <c r="O8119" s="5"/>
      <c r="P8119" s="5"/>
      <c r="Q8119" s="5"/>
      <c r="R8119" s="5"/>
      <c r="S8119" s="5"/>
      <c r="T8119" s="5"/>
      <c r="U8119" s="5"/>
      <c r="V8119" s="5"/>
      <c r="W8119" s="5"/>
      <c r="X8119" s="5"/>
      <c r="Y8119" s="5"/>
      <c r="Z8119" s="5"/>
    </row>
    <row r="8120" spans="1:26" ht="15" x14ac:dyDescent="0.25">
      <c r="A8120" s="4" t="s">
        <v>8118</v>
      </c>
      <c r="B8120" s="4" t="s">
        <v>4550</v>
      </c>
      <c r="C8120" s="2" t="str">
        <f ca="1">IFERROR(__xludf.DUMMYFUNCTION("GOOGLETRANSLATE(A8120,""bn"",""en"")"),"You were eating vanilla ice cream")</f>
        <v>You were eating vanilla ice cream</v>
      </c>
      <c r="D8120" s="5"/>
      <c r="E8120" s="5"/>
      <c r="F8120" s="5"/>
      <c r="G8120" s="5"/>
      <c r="H8120" s="5"/>
      <c r="I8120" s="5"/>
      <c r="J8120" s="5"/>
      <c r="K8120" s="5"/>
      <c r="L8120" s="5"/>
      <c r="M8120" s="5"/>
      <c r="N8120" s="5"/>
      <c r="O8120" s="5"/>
      <c r="P8120" s="5"/>
      <c r="Q8120" s="5"/>
      <c r="R8120" s="5"/>
      <c r="S8120" s="5"/>
      <c r="T8120" s="5"/>
      <c r="U8120" s="5"/>
      <c r="V8120" s="5"/>
      <c r="W8120" s="5"/>
      <c r="X8120" s="5"/>
      <c r="Y8120" s="5"/>
      <c r="Z8120" s="5"/>
    </row>
    <row r="8121" spans="1:26" ht="15" x14ac:dyDescent="0.25">
      <c r="A8121" s="4" t="s">
        <v>8119</v>
      </c>
      <c r="B8121" s="4" t="s">
        <v>4550</v>
      </c>
      <c r="C8121" s="2" t="str">
        <f ca="1">IFERROR(__xludf.DUMMYFUNCTION("GOOGLETRANSLATE(A8121,""bn"",""en"")"),"He was trekking in the Himalayas")</f>
        <v>He was trekking in the Himalayas</v>
      </c>
      <c r="D8121" s="5"/>
      <c r="E8121" s="5"/>
      <c r="F8121" s="5"/>
      <c r="G8121" s="5"/>
      <c r="H8121" s="5"/>
      <c r="I8121" s="5"/>
      <c r="J8121" s="5"/>
      <c r="K8121" s="5"/>
      <c r="L8121" s="5"/>
      <c r="M8121" s="5"/>
      <c r="N8121" s="5"/>
      <c r="O8121" s="5"/>
      <c r="P8121" s="5"/>
      <c r="Q8121" s="5"/>
      <c r="R8121" s="5"/>
      <c r="S8121" s="5"/>
      <c r="T8121" s="5"/>
      <c r="U8121" s="5"/>
      <c r="V8121" s="5"/>
      <c r="W8121" s="5"/>
      <c r="X8121" s="5"/>
      <c r="Y8121" s="5"/>
      <c r="Z8121" s="5"/>
    </row>
    <row r="8122" spans="1:26" ht="15" x14ac:dyDescent="0.25">
      <c r="A8122" s="4" t="s">
        <v>8120</v>
      </c>
      <c r="B8122" s="4" t="s">
        <v>4550</v>
      </c>
      <c r="C8122" s="2" t="str">
        <f ca="1">IFERROR(__xludf.DUMMYFUNCTION("GOOGLETRANSLATE(A8122,""bn"",""en"")"),"I went to the stadium to watch the game")</f>
        <v>I went to the stadium to watch the game</v>
      </c>
      <c r="D8122" s="5"/>
      <c r="E8122" s="5"/>
      <c r="F8122" s="5"/>
      <c r="G8122" s="5"/>
      <c r="H8122" s="5"/>
      <c r="I8122" s="5"/>
      <c r="J8122" s="5"/>
      <c r="K8122" s="5"/>
      <c r="L8122" s="5"/>
      <c r="M8122" s="5"/>
      <c r="N8122" s="5"/>
      <c r="O8122" s="5"/>
      <c r="P8122" s="5"/>
      <c r="Q8122" s="5"/>
      <c r="R8122" s="5"/>
      <c r="S8122" s="5"/>
      <c r="T8122" s="5"/>
      <c r="U8122" s="5"/>
      <c r="V8122" s="5"/>
      <c r="W8122" s="5"/>
      <c r="X8122" s="5"/>
      <c r="Y8122" s="5"/>
      <c r="Z8122" s="5"/>
    </row>
    <row r="8123" spans="1:26" ht="15" x14ac:dyDescent="0.25">
      <c r="A8123" s="4" t="s">
        <v>8121</v>
      </c>
      <c r="B8123" s="4" t="s">
        <v>4550</v>
      </c>
      <c r="C8123" s="2" t="str">
        <f ca="1">IFERROR(__xludf.DUMMYFUNCTION("GOOGLETRANSLATE(A8123,""bn"",""en"")"),"Watch fantasy movies at night")</f>
        <v>Watch fantasy movies at night</v>
      </c>
      <c r="D8123" s="5"/>
      <c r="E8123" s="5"/>
      <c r="F8123" s="5"/>
      <c r="G8123" s="5"/>
      <c r="H8123" s="5"/>
      <c r="I8123" s="5"/>
      <c r="J8123" s="5"/>
      <c r="K8123" s="5"/>
      <c r="L8123" s="5"/>
      <c r="M8123" s="5"/>
      <c r="N8123" s="5"/>
      <c r="O8123" s="5"/>
      <c r="P8123" s="5"/>
      <c r="Q8123" s="5"/>
      <c r="R8123" s="5"/>
      <c r="S8123" s="5"/>
      <c r="T8123" s="5"/>
      <c r="U8123" s="5"/>
      <c r="V8123" s="5"/>
      <c r="W8123" s="5"/>
      <c r="X8123" s="5"/>
      <c r="Y8123" s="5"/>
      <c r="Z8123" s="5"/>
    </row>
    <row r="8124" spans="1:26" ht="15" x14ac:dyDescent="0.25">
      <c r="A8124" s="4" t="s">
        <v>8122</v>
      </c>
      <c r="B8124" s="4" t="s">
        <v>4550</v>
      </c>
      <c r="C8124" s="2" t="str">
        <f ca="1">IFERROR(__xludf.DUMMYFUNCTION("GOOGLETRANSLATE(A8124,""bn"",""en"")"),"Joined the new government")</f>
        <v>Joined the new government</v>
      </c>
      <c r="D8124" s="5"/>
      <c r="E8124" s="5"/>
      <c r="F8124" s="5"/>
      <c r="G8124" s="5"/>
      <c r="H8124" s="5"/>
      <c r="I8124" s="5"/>
      <c r="J8124" s="5"/>
      <c r="K8124" s="5"/>
      <c r="L8124" s="5"/>
      <c r="M8124" s="5"/>
      <c r="N8124" s="5"/>
      <c r="O8124" s="5"/>
      <c r="P8124" s="5"/>
      <c r="Q8124" s="5"/>
      <c r="R8124" s="5"/>
      <c r="S8124" s="5"/>
      <c r="T8124" s="5"/>
      <c r="U8124" s="5"/>
      <c r="V8124" s="5"/>
      <c r="W8124" s="5"/>
      <c r="X8124" s="5"/>
      <c r="Y8124" s="5"/>
      <c r="Z8124" s="5"/>
    </row>
    <row r="8125" spans="1:26" ht="15" x14ac:dyDescent="0.25">
      <c r="A8125" s="4" t="s">
        <v>8123</v>
      </c>
      <c r="B8125" s="4" t="s">
        <v>4550</v>
      </c>
      <c r="C8125" s="2" t="str">
        <f ca="1">IFERROR(__xludf.DUMMYFUNCTION("GOOGLETRANSLATE(A8125,""bn"",""en"")"),"Golf was played on beautiful greens")</f>
        <v>Golf was played on beautiful greens</v>
      </c>
      <c r="D8125" s="5"/>
      <c r="E8125" s="5"/>
      <c r="F8125" s="5"/>
      <c r="G8125" s="5"/>
      <c r="H8125" s="5"/>
      <c r="I8125" s="5"/>
      <c r="J8125" s="5"/>
      <c r="K8125" s="5"/>
      <c r="L8125" s="5"/>
      <c r="M8125" s="5"/>
      <c r="N8125" s="5"/>
      <c r="O8125" s="5"/>
      <c r="P8125" s="5"/>
      <c r="Q8125" s="5"/>
      <c r="R8125" s="5"/>
      <c r="S8125" s="5"/>
      <c r="T8125" s="5"/>
      <c r="U8125" s="5"/>
      <c r="V8125" s="5"/>
      <c r="W8125" s="5"/>
      <c r="X8125" s="5"/>
      <c r="Y8125" s="5"/>
      <c r="Z8125" s="5"/>
    </row>
    <row r="8126" spans="1:26" ht="15" x14ac:dyDescent="0.25">
      <c r="A8126" s="4" t="s">
        <v>8124</v>
      </c>
      <c r="B8126" s="4" t="s">
        <v>4550</v>
      </c>
      <c r="C8126" s="2" t="str">
        <f ca="1">IFERROR(__xludf.DUMMYFUNCTION("GOOGLETRANSLATE(A8126,""bn"",""en"")"),"I was frying beef strips")</f>
        <v>I was frying beef strips</v>
      </c>
      <c r="D8126" s="5"/>
      <c r="E8126" s="5"/>
      <c r="F8126" s="5"/>
      <c r="G8126" s="5"/>
      <c r="H8126" s="5"/>
      <c r="I8126" s="5"/>
      <c r="J8126" s="5"/>
      <c r="K8126" s="5"/>
      <c r="L8126" s="5"/>
      <c r="M8126" s="5"/>
      <c r="N8126" s="5"/>
      <c r="O8126" s="5"/>
      <c r="P8126" s="5"/>
      <c r="Q8126" s="5"/>
      <c r="R8126" s="5"/>
      <c r="S8126" s="5"/>
      <c r="T8126" s="5"/>
      <c r="U8126" s="5"/>
      <c r="V8126" s="5"/>
      <c r="W8126" s="5"/>
      <c r="X8126" s="5"/>
      <c r="Y8126" s="5"/>
      <c r="Z8126" s="5"/>
    </row>
    <row r="8127" spans="1:26" ht="15" x14ac:dyDescent="0.25">
      <c r="A8127" s="4" t="s">
        <v>8125</v>
      </c>
      <c r="B8127" s="4" t="s">
        <v>4550</v>
      </c>
      <c r="C8127" s="2" t="str">
        <f ca="1">IFERROR(__xludf.DUMMYFUNCTION("GOOGLETRANSLATE(A8127,""bn"",""en"")"),"I saw many animals in the Sundarbans")</f>
        <v>I saw many animals in the Sundarbans</v>
      </c>
      <c r="D8127" s="5"/>
      <c r="E8127" s="5"/>
      <c r="F8127" s="5"/>
      <c r="G8127" s="5"/>
      <c r="H8127" s="5"/>
      <c r="I8127" s="5"/>
      <c r="J8127" s="5"/>
      <c r="K8127" s="5"/>
      <c r="L8127" s="5"/>
      <c r="M8127" s="5"/>
      <c r="N8127" s="5"/>
      <c r="O8127" s="5"/>
      <c r="P8127" s="5"/>
      <c r="Q8127" s="5"/>
      <c r="R8127" s="5"/>
      <c r="S8127" s="5"/>
      <c r="T8127" s="5"/>
      <c r="U8127" s="5"/>
      <c r="V8127" s="5"/>
      <c r="W8127" s="5"/>
      <c r="X8127" s="5"/>
      <c r="Y8127" s="5"/>
      <c r="Z8127" s="5"/>
    </row>
    <row r="8128" spans="1:26" ht="15" x14ac:dyDescent="0.25">
      <c r="A8128" s="4" t="s">
        <v>8126</v>
      </c>
      <c r="B8128" s="4" t="s">
        <v>4550</v>
      </c>
      <c r="C8128" s="2" t="str">
        <f ca="1">IFERROR(__xludf.DUMMYFUNCTION("GOOGLETRANSLATE(A8128,""bn"",""en"")"),"He ate beef")</f>
        <v>He ate beef</v>
      </c>
      <c r="D8128" s="5"/>
      <c r="E8128" s="5"/>
      <c r="F8128" s="5"/>
      <c r="G8128" s="5"/>
      <c r="H8128" s="5"/>
      <c r="I8128" s="5"/>
      <c r="J8128" s="5"/>
      <c r="K8128" s="5"/>
      <c r="L8128" s="5"/>
      <c r="M8128" s="5"/>
      <c r="N8128" s="5"/>
      <c r="O8128" s="5"/>
      <c r="P8128" s="5"/>
      <c r="Q8128" s="5"/>
      <c r="R8128" s="5"/>
      <c r="S8128" s="5"/>
      <c r="T8128" s="5"/>
      <c r="U8128" s="5"/>
      <c r="V8128" s="5"/>
      <c r="W8128" s="5"/>
      <c r="X8128" s="5"/>
      <c r="Y8128" s="5"/>
      <c r="Z8128" s="5"/>
    </row>
    <row r="8129" spans="1:26" ht="15" x14ac:dyDescent="0.25">
      <c r="A8129" s="4" t="s">
        <v>8127</v>
      </c>
      <c r="B8129" s="4" t="s">
        <v>4550</v>
      </c>
      <c r="C8129" s="2" t="str">
        <f ca="1">IFERROR(__xludf.DUMMYFUNCTION("GOOGLETRANSLATE(A8129,""bn"",""en"")"),"The land was cultivated with rice")</f>
        <v>The land was cultivated with rice</v>
      </c>
      <c r="D8129" s="5"/>
      <c r="E8129" s="5"/>
      <c r="F8129" s="5"/>
      <c r="G8129" s="5"/>
      <c r="H8129" s="5"/>
      <c r="I8129" s="5"/>
      <c r="J8129" s="5"/>
      <c r="K8129" s="5"/>
      <c r="L8129" s="5"/>
      <c r="M8129" s="5"/>
      <c r="N8129" s="5"/>
      <c r="O8129" s="5"/>
      <c r="P8129" s="5"/>
      <c r="Q8129" s="5"/>
      <c r="R8129" s="5"/>
      <c r="S8129" s="5"/>
      <c r="T8129" s="5"/>
      <c r="U8129" s="5"/>
      <c r="V8129" s="5"/>
      <c r="W8129" s="5"/>
      <c r="X8129" s="5"/>
      <c r="Y8129" s="5"/>
      <c r="Z8129" s="5"/>
    </row>
    <row r="8130" spans="1:26" ht="15" x14ac:dyDescent="0.25">
      <c r="A8130" s="4" t="s">
        <v>8128</v>
      </c>
      <c r="B8130" s="4" t="s">
        <v>4550</v>
      </c>
      <c r="C8130" s="2" t="str">
        <f ca="1">IFERROR(__xludf.DUMMYFUNCTION("GOOGLETRANSLATE(A8130,""bn"",""en"")"),"I went to Agra to see the Taj Mahal")</f>
        <v>I went to Agra to see the Taj Mahal</v>
      </c>
      <c r="D8130" s="5"/>
      <c r="E8130" s="5"/>
      <c r="F8130" s="5"/>
      <c r="G8130" s="5"/>
      <c r="H8130" s="5"/>
      <c r="I8130" s="5"/>
      <c r="J8130" s="5"/>
      <c r="K8130" s="5"/>
      <c r="L8130" s="5"/>
      <c r="M8130" s="5"/>
      <c r="N8130" s="5"/>
      <c r="O8130" s="5"/>
      <c r="P8130" s="5"/>
      <c r="Q8130" s="5"/>
      <c r="R8130" s="5"/>
      <c r="S8130" s="5"/>
      <c r="T8130" s="5"/>
      <c r="U8130" s="5"/>
      <c r="V8130" s="5"/>
      <c r="W8130" s="5"/>
      <c r="X8130" s="5"/>
      <c r="Y8130" s="5"/>
      <c r="Z8130" s="5"/>
    </row>
    <row r="8131" spans="1:26" ht="15" x14ac:dyDescent="0.25">
      <c r="A8131" s="4" t="s">
        <v>8129</v>
      </c>
      <c r="B8131" s="4" t="s">
        <v>4550</v>
      </c>
      <c r="C8131" s="2" t="str">
        <f ca="1">IFERROR(__xludf.DUMMYFUNCTION("GOOGLETRANSLATE(A8131,""bn"",""en"")"),"The market price was increasing last month")</f>
        <v>The market price was increasing last month</v>
      </c>
      <c r="D8131" s="5"/>
      <c r="E8131" s="5"/>
      <c r="F8131" s="5"/>
      <c r="G8131" s="5"/>
      <c r="H8131" s="5"/>
      <c r="I8131" s="5"/>
      <c r="J8131" s="5"/>
      <c r="K8131" s="5"/>
      <c r="L8131" s="5"/>
      <c r="M8131" s="5"/>
      <c r="N8131" s="5"/>
      <c r="O8131" s="5"/>
      <c r="P8131" s="5"/>
      <c r="Q8131" s="5"/>
      <c r="R8131" s="5"/>
      <c r="S8131" s="5"/>
      <c r="T8131" s="5"/>
      <c r="U8131" s="5"/>
      <c r="V8131" s="5"/>
      <c r="W8131" s="5"/>
      <c r="X8131" s="5"/>
      <c r="Y8131" s="5"/>
      <c r="Z8131" s="5"/>
    </row>
    <row r="8132" spans="1:26" ht="15" x14ac:dyDescent="0.25">
      <c r="A8132" s="4" t="s">
        <v>8130</v>
      </c>
      <c r="B8132" s="4" t="s">
        <v>4550</v>
      </c>
      <c r="C8132" s="2" t="str">
        <f ca="1">IFERROR(__xludf.DUMMYFUNCTION("GOOGLETRANSLATE(A8132,""bn"",""en"")"),"I presented a new design")</f>
        <v>I presented a new design</v>
      </c>
      <c r="D8132" s="5"/>
      <c r="E8132" s="5"/>
      <c r="F8132" s="5"/>
      <c r="G8132" s="5"/>
      <c r="H8132" s="5"/>
      <c r="I8132" s="5"/>
      <c r="J8132" s="5"/>
      <c r="K8132" s="5"/>
      <c r="L8132" s="5"/>
      <c r="M8132" s="5"/>
      <c r="N8132" s="5"/>
      <c r="O8132" s="5"/>
      <c r="P8132" s="5"/>
      <c r="Q8132" s="5"/>
      <c r="R8132" s="5"/>
      <c r="S8132" s="5"/>
      <c r="T8132" s="5"/>
      <c r="U8132" s="5"/>
      <c r="V8132" s="5"/>
      <c r="W8132" s="5"/>
      <c r="X8132" s="5"/>
      <c r="Y8132" s="5"/>
      <c r="Z8132" s="5"/>
    </row>
    <row r="8133" spans="1:26" ht="15" x14ac:dyDescent="0.25">
      <c r="A8133" s="4" t="s">
        <v>8131</v>
      </c>
      <c r="B8133" s="4" t="s">
        <v>4550</v>
      </c>
      <c r="C8133" s="2" t="str">
        <f ca="1">IFERROR(__xludf.DUMMYFUNCTION("GOOGLETRANSLATE(A8133,""bn"",""en"")"),"He ate soup today")</f>
        <v>He ate soup today</v>
      </c>
      <c r="D8133" s="5"/>
      <c r="E8133" s="5"/>
      <c r="F8133" s="5"/>
      <c r="G8133" s="5"/>
      <c r="H8133" s="5"/>
      <c r="I8133" s="5"/>
      <c r="J8133" s="5"/>
      <c r="K8133" s="5"/>
      <c r="L8133" s="5"/>
      <c r="M8133" s="5"/>
      <c r="N8133" s="5"/>
      <c r="O8133" s="5"/>
      <c r="P8133" s="5"/>
      <c r="Q8133" s="5"/>
      <c r="R8133" s="5"/>
      <c r="S8133" s="5"/>
      <c r="T8133" s="5"/>
      <c r="U8133" s="5"/>
      <c r="V8133" s="5"/>
      <c r="W8133" s="5"/>
      <c r="X8133" s="5"/>
      <c r="Y8133" s="5"/>
      <c r="Z8133" s="5"/>
    </row>
    <row r="8134" spans="1:26" ht="15" x14ac:dyDescent="0.25">
      <c r="A8134" s="4" t="s">
        <v>8132</v>
      </c>
      <c r="B8134" s="4" t="s">
        <v>4550</v>
      </c>
      <c r="C8134" s="2" t="str">
        <f ca="1">IFERROR(__xludf.DUMMYFUNCTION("GOOGLETRANSLATE(A8134,""bn"",""en"")"),"The beauty of Agra was mesmerizing")</f>
        <v>The beauty of Agra was mesmerizing</v>
      </c>
      <c r="D8134" s="5"/>
      <c r="E8134" s="5"/>
      <c r="F8134" s="5"/>
      <c r="G8134" s="5"/>
      <c r="H8134" s="5"/>
      <c r="I8134" s="5"/>
      <c r="J8134" s="5"/>
      <c r="K8134" s="5"/>
      <c r="L8134" s="5"/>
      <c r="M8134" s="5"/>
      <c r="N8134" s="5"/>
      <c r="O8134" s="5"/>
      <c r="P8134" s="5"/>
      <c r="Q8134" s="5"/>
      <c r="R8134" s="5"/>
      <c r="S8134" s="5"/>
      <c r="T8134" s="5"/>
      <c r="U8134" s="5"/>
      <c r="V8134" s="5"/>
      <c r="W8134" s="5"/>
      <c r="X8134" s="5"/>
      <c r="Y8134" s="5"/>
      <c r="Z8134" s="5"/>
    </row>
    <row r="8135" spans="1:26" ht="15" x14ac:dyDescent="0.25">
      <c r="A8135" s="4" t="s">
        <v>8133</v>
      </c>
      <c r="B8135" s="4" t="s">
        <v>4550</v>
      </c>
      <c r="C8135" s="2" t="str">
        <f ca="1">IFERROR(__xludf.DUMMYFUNCTION("GOOGLETRANSLATE(A8135,""bn"",""en"")"),"We lost money")</f>
        <v>We lost money</v>
      </c>
      <c r="D8135" s="5"/>
      <c r="E8135" s="5"/>
      <c r="F8135" s="5"/>
      <c r="G8135" s="5"/>
      <c r="H8135" s="5"/>
      <c r="I8135" s="5"/>
      <c r="J8135" s="5"/>
      <c r="K8135" s="5"/>
      <c r="L8135" s="5"/>
      <c r="M8135" s="5"/>
      <c r="N8135" s="5"/>
      <c r="O8135" s="5"/>
      <c r="P8135" s="5"/>
      <c r="Q8135" s="5"/>
      <c r="R8135" s="5"/>
      <c r="S8135" s="5"/>
      <c r="T8135" s="5"/>
      <c r="U8135" s="5"/>
      <c r="V8135" s="5"/>
      <c r="W8135" s="5"/>
      <c r="X8135" s="5"/>
      <c r="Y8135" s="5"/>
      <c r="Z8135" s="5"/>
    </row>
    <row r="8136" spans="1:26" ht="15" x14ac:dyDescent="0.25">
      <c r="A8136" s="4" t="s">
        <v>8134</v>
      </c>
      <c r="B8136" s="4" t="s">
        <v>4550</v>
      </c>
      <c r="C8136" s="2" t="str">
        <f ca="1">IFERROR(__xludf.DUMMYFUNCTION("GOOGLETRANSLATE(A8136,""bn"",""en"")"),"New applications were developed")</f>
        <v>New applications were developed</v>
      </c>
      <c r="D8136" s="5"/>
      <c r="E8136" s="5"/>
      <c r="F8136" s="5"/>
      <c r="G8136" s="5"/>
      <c r="H8136" s="5"/>
      <c r="I8136" s="5"/>
      <c r="J8136" s="5"/>
      <c r="K8136" s="5"/>
      <c r="L8136" s="5"/>
      <c r="M8136" s="5"/>
      <c r="N8136" s="5"/>
      <c r="O8136" s="5"/>
      <c r="P8136" s="5"/>
      <c r="Q8136" s="5"/>
      <c r="R8136" s="5"/>
      <c r="S8136" s="5"/>
      <c r="T8136" s="5"/>
      <c r="U8136" s="5"/>
      <c r="V8136" s="5"/>
      <c r="W8136" s="5"/>
      <c r="X8136" s="5"/>
      <c r="Y8136" s="5"/>
      <c r="Z8136" s="5"/>
    </row>
    <row r="8137" spans="1:26" ht="15" x14ac:dyDescent="0.25">
      <c r="A8137" s="4" t="s">
        <v>8135</v>
      </c>
      <c r="B8137" s="4" t="s">
        <v>4550</v>
      </c>
      <c r="C8137" s="2" t="str">
        <f ca="1">IFERROR(__xludf.DUMMYFUNCTION("GOOGLETRANSLATE(A8137,""bn"",""en"")"),"Played badminton last month")</f>
        <v>Played badminton last month</v>
      </c>
      <c r="D8137" s="5"/>
      <c r="E8137" s="5"/>
      <c r="F8137" s="5"/>
      <c r="G8137" s="5"/>
      <c r="H8137" s="5"/>
      <c r="I8137" s="5"/>
      <c r="J8137" s="5"/>
      <c r="K8137" s="5"/>
      <c r="L8137" s="5"/>
      <c r="M8137" s="5"/>
      <c r="N8137" s="5"/>
      <c r="O8137" s="5"/>
      <c r="P8137" s="5"/>
      <c r="Q8137" s="5"/>
      <c r="R8137" s="5"/>
      <c r="S8137" s="5"/>
      <c r="T8137" s="5"/>
      <c r="U8137" s="5"/>
      <c r="V8137" s="5"/>
      <c r="W8137" s="5"/>
      <c r="X8137" s="5"/>
      <c r="Y8137" s="5"/>
      <c r="Z8137" s="5"/>
    </row>
    <row r="8138" spans="1:26" ht="15" x14ac:dyDescent="0.25">
      <c r="A8138" s="4" t="s">
        <v>8136</v>
      </c>
      <c r="B8138" s="4" t="s">
        <v>4550</v>
      </c>
      <c r="C8138" s="2" t="str">
        <f ca="1">IFERROR(__xludf.DUMMYFUNCTION("GOOGLETRANSLATE(A8138,""bn"",""en"")"),"You were making fish curry")</f>
        <v>You were making fish curry</v>
      </c>
      <c r="D8138" s="5"/>
      <c r="E8138" s="5"/>
      <c r="F8138" s="5"/>
      <c r="G8138" s="5"/>
      <c r="H8138" s="5"/>
      <c r="I8138" s="5"/>
      <c r="J8138" s="5"/>
      <c r="K8138" s="5"/>
      <c r="L8138" s="5"/>
      <c r="M8138" s="5"/>
      <c r="N8138" s="5"/>
      <c r="O8138" s="5"/>
      <c r="P8138" s="5"/>
      <c r="Q8138" s="5"/>
      <c r="R8138" s="5"/>
      <c r="S8138" s="5"/>
      <c r="T8138" s="5"/>
      <c r="U8138" s="5"/>
      <c r="V8138" s="5"/>
      <c r="W8138" s="5"/>
      <c r="X8138" s="5"/>
      <c r="Y8138" s="5"/>
      <c r="Z8138" s="5"/>
    </row>
    <row r="8139" spans="1:26" ht="15" x14ac:dyDescent="0.25">
      <c r="A8139" s="4" t="s">
        <v>8137</v>
      </c>
      <c r="B8139" s="4" t="s">
        <v>4550</v>
      </c>
      <c r="C8139" s="2" t="str">
        <f ca="1">IFERROR(__xludf.DUMMYFUNCTION("GOOGLETRANSLATE(A8139,""bn"",""en"")"),"Watched old movies last week")</f>
        <v>Watched old movies last week</v>
      </c>
      <c r="D8139" s="5"/>
      <c r="E8139" s="5"/>
      <c r="F8139" s="5"/>
      <c r="G8139" s="5"/>
      <c r="H8139" s="5"/>
      <c r="I8139" s="5"/>
      <c r="J8139" s="5"/>
      <c r="K8139" s="5"/>
      <c r="L8139" s="5"/>
      <c r="M8139" s="5"/>
      <c r="N8139" s="5"/>
      <c r="O8139" s="5"/>
      <c r="P8139" s="5"/>
      <c r="Q8139" s="5"/>
      <c r="R8139" s="5"/>
      <c r="S8139" s="5"/>
      <c r="T8139" s="5"/>
      <c r="U8139" s="5"/>
      <c r="V8139" s="5"/>
      <c r="W8139" s="5"/>
      <c r="X8139" s="5"/>
      <c r="Y8139" s="5"/>
      <c r="Z8139" s="5"/>
    </row>
    <row r="8140" spans="1:26" ht="15" x14ac:dyDescent="0.25">
      <c r="A8140" s="4" t="s">
        <v>8138</v>
      </c>
      <c r="B8140" s="4" t="s">
        <v>4550</v>
      </c>
      <c r="C8140" s="2" t="str">
        <f ca="1">IFERROR(__xludf.DUMMYFUNCTION("GOOGLETRANSLATE(A8140,""bn"",""en"")"),"New hotel reviewed")</f>
        <v>New hotel reviewed</v>
      </c>
      <c r="D8140" s="5"/>
      <c r="E8140" s="5"/>
      <c r="F8140" s="5"/>
      <c r="G8140" s="5"/>
      <c r="H8140" s="5"/>
      <c r="I8140" s="5"/>
      <c r="J8140" s="5"/>
      <c r="K8140" s="5"/>
      <c r="L8140" s="5"/>
      <c r="M8140" s="5"/>
      <c r="N8140" s="5"/>
      <c r="O8140" s="5"/>
      <c r="P8140" s="5"/>
      <c r="Q8140" s="5"/>
      <c r="R8140" s="5"/>
      <c r="S8140" s="5"/>
      <c r="T8140" s="5"/>
      <c r="U8140" s="5"/>
      <c r="V8140" s="5"/>
      <c r="W8140" s="5"/>
      <c r="X8140" s="5"/>
      <c r="Y8140" s="5"/>
      <c r="Z8140" s="5"/>
    </row>
    <row r="8141" spans="1:26" ht="15" x14ac:dyDescent="0.25">
      <c r="A8141" s="4" t="s">
        <v>8139</v>
      </c>
      <c r="B8141" s="4" t="s">
        <v>4550</v>
      </c>
      <c r="C8141" s="2" t="str">
        <f ca="1">IFERROR(__xludf.DUMMYFUNCTION("GOOGLETRANSLATE(A8141,""bn"",""en"")"),"The army was defeated in cricket")</f>
        <v>The army was defeated in cricket</v>
      </c>
      <c r="D8141" s="5"/>
      <c r="E8141" s="5"/>
      <c r="F8141" s="5"/>
      <c r="G8141" s="5"/>
      <c r="H8141" s="5"/>
      <c r="I8141" s="5"/>
      <c r="J8141" s="5"/>
      <c r="K8141" s="5"/>
      <c r="L8141" s="5"/>
      <c r="M8141" s="5"/>
      <c r="N8141" s="5"/>
      <c r="O8141" s="5"/>
      <c r="P8141" s="5"/>
      <c r="Q8141" s="5"/>
      <c r="R8141" s="5"/>
      <c r="S8141" s="5"/>
      <c r="T8141" s="5"/>
      <c r="U8141" s="5"/>
      <c r="V8141" s="5"/>
      <c r="W8141" s="5"/>
      <c r="X8141" s="5"/>
      <c r="Y8141" s="5"/>
      <c r="Z8141" s="5"/>
    </row>
    <row r="8142" spans="1:26" ht="15" x14ac:dyDescent="0.25">
      <c r="A8142" s="4" t="s">
        <v>8140</v>
      </c>
      <c r="B8142" s="4" t="s">
        <v>4550</v>
      </c>
      <c r="C8142" s="2" t="str">
        <f ca="1">IFERROR(__xludf.DUMMYFUNCTION("GOOGLETRANSLATE(A8142,""bn"",""en"")"),"The test was held last week")</f>
        <v>The test was held last week</v>
      </c>
      <c r="D8142" s="5"/>
      <c r="E8142" s="5"/>
      <c r="F8142" s="5"/>
      <c r="G8142" s="5"/>
      <c r="H8142" s="5"/>
      <c r="I8142" s="5"/>
      <c r="J8142" s="5"/>
      <c r="K8142" s="5"/>
      <c r="L8142" s="5"/>
      <c r="M8142" s="5"/>
      <c r="N8142" s="5"/>
      <c r="O8142" s="5"/>
      <c r="P8142" s="5"/>
      <c r="Q8142" s="5"/>
      <c r="R8142" s="5"/>
      <c r="S8142" s="5"/>
      <c r="T8142" s="5"/>
      <c r="U8142" s="5"/>
      <c r="V8142" s="5"/>
      <c r="W8142" s="5"/>
      <c r="X8142" s="5"/>
      <c r="Y8142" s="5"/>
      <c r="Z8142" s="5"/>
    </row>
    <row r="8143" spans="1:26" ht="15" x14ac:dyDescent="0.25">
      <c r="A8143" s="4" t="s">
        <v>8141</v>
      </c>
      <c r="B8143" s="4" t="s">
        <v>4550</v>
      </c>
      <c r="C8143" s="2" t="str">
        <f ca="1">IFERROR(__xludf.DUMMYFUNCTION("GOOGLETRANSLATE(A8143,""bn"",""en"")"),"You read all the books")</f>
        <v>You read all the books</v>
      </c>
      <c r="D8143" s="5"/>
      <c r="E8143" s="5"/>
      <c r="F8143" s="5"/>
      <c r="G8143" s="5"/>
      <c r="H8143" s="5"/>
      <c r="I8143" s="5"/>
      <c r="J8143" s="5"/>
      <c r="K8143" s="5"/>
      <c r="L8143" s="5"/>
      <c r="M8143" s="5"/>
      <c r="N8143" s="5"/>
      <c r="O8143" s="5"/>
      <c r="P8143" s="5"/>
      <c r="Q8143" s="5"/>
      <c r="R8143" s="5"/>
      <c r="S8143" s="5"/>
      <c r="T8143" s="5"/>
      <c r="U8143" s="5"/>
      <c r="V8143" s="5"/>
      <c r="W8143" s="5"/>
      <c r="X8143" s="5"/>
      <c r="Y8143" s="5"/>
      <c r="Z8143" s="5"/>
    </row>
    <row r="8144" spans="1:26" ht="15" x14ac:dyDescent="0.25">
      <c r="A8144" s="4" t="s">
        <v>8142</v>
      </c>
      <c r="B8144" s="4" t="s">
        <v>4550</v>
      </c>
      <c r="C8144" s="2" t="str">
        <f ca="1">IFERROR(__xludf.DUMMYFUNCTION("GOOGLETRANSLATE(A8144,""bn"",""en"")"),"I kept an eye on the development")</f>
        <v>I kept an eye on the development</v>
      </c>
      <c r="D8144" s="5"/>
      <c r="E8144" s="5"/>
      <c r="F8144" s="5"/>
      <c r="G8144" s="5"/>
      <c r="H8144" s="5"/>
      <c r="I8144" s="5"/>
      <c r="J8144" s="5"/>
      <c r="K8144" s="5"/>
      <c r="L8144" s="5"/>
      <c r="M8144" s="5"/>
      <c r="N8144" s="5"/>
      <c r="O8144" s="5"/>
      <c r="P8144" s="5"/>
      <c r="Q8144" s="5"/>
      <c r="R8144" s="5"/>
      <c r="S8144" s="5"/>
      <c r="T8144" s="5"/>
      <c r="U8144" s="5"/>
      <c r="V8144" s="5"/>
      <c r="W8144" s="5"/>
      <c r="X8144" s="5"/>
      <c r="Y8144" s="5"/>
      <c r="Z8144" s="5"/>
    </row>
    <row r="8145" spans="1:26" ht="15" x14ac:dyDescent="0.25">
      <c r="A8145" s="4" t="s">
        <v>8143</v>
      </c>
      <c r="B8145" s="4" t="s">
        <v>4550</v>
      </c>
      <c r="C8145" s="2" t="str">
        <f ca="1">IFERROR(__xludf.DUMMYFUNCTION("GOOGLETRANSLATE(A8145,""bn"",""en"")"),"You eat fried shrimp")</f>
        <v>You eat fried shrimp</v>
      </c>
      <c r="D8145" s="5"/>
      <c r="E8145" s="5"/>
      <c r="F8145" s="5"/>
      <c r="G8145" s="5"/>
      <c r="H8145" s="5"/>
      <c r="I8145" s="5"/>
      <c r="J8145" s="5"/>
      <c r="K8145" s="5"/>
      <c r="L8145" s="5"/>
      <c r="M8145" s="5"/>
      <c r="N8145" s="5"/>
      <c r="O8145" s="5"/>
      <c r="P8145" s="5"/>
      <c r="Q8145" s="5"/>
      <c r="R8145" s="5"/>
      <c r="S8145" s="5"/>
      <c r="T8145" s="5"/>
      <c r="U8145" s="5"/>
      <c r="V8145" s="5"/>
      <c r="W8145" s="5"/>
      <c r="X8145" s="5"/>
      <c r="Y8145" s="5"/>
      <c r="Z8145" s="5"/>
    </row>
    <row r="8146" spans="1:26" ht="15" x14ac:dyDescent="0.25">
      <c r="A8146" s="4" t="s">
        <v>8144</v>
      </c>
      <c r="B8146" s="4" t="s">
        <v>4550</v>
      </c>
      <c r="C8146" s="2" t="str">
        <f ca="1">IFERROR(__xludf.DUMMYFUNCTION("GOOGLETRANSLATE(A8146,""bn"",""en"")"),"I observed the beauty of spring")</f>
        <v>I observed the beauty of spring</v>
      </c>
      <c r="D8146" s="5"/>
      <c r="E8146" s="5"/>
      <c r="F8146" s="5"/>
      <c r="G8146" s="5"/>
      <c r="H8146" s="5"/>
      <c r="I8146" s="5"/>
      <c r="J8146" s="5"/>
      <c r="K8146" s="5"/>
      <c r="L8146" s="5"/>
      <c r="M8146" s="5"/>
      <c r="N8146" s="5"/>
      <c r="O8146" s="5"/>
      <c r="P8146" s="5"/>
      <c r="Q8146" s="5"/>
      <c r="R8146" s="5"/>
      <c r="S8146" s="5"/>
      <c r="T8146" s="5"/>
      <c r="U8146" s="5"/>
      <c r="V8146" s="5"/>
      <c r="W8146" s="5"/>
      <c r="X8146" s="5"/>
      <c r="Y8146" s="5"/>
      <c r="Z8146" s="5"/>
    </row>
    <row r="8147" spans="1:26" ht="15" x14ac:dyDescent="0.25">
      <c r="A8147" s="4" t="s">
        <v>8145</v>
      </c>
      <c r="B8147" s="4" t="s">
        <v>4550</v>
      </c>
      <c r="C8147" s="2" t="str">
        <f ca="1">IFERROR(__xludf.DUMMYFUNCTION("GOOGLETRANSLATE(A8147,""bn"",""en"")"),"There was a debate in Parliament")</f>
        <v>There was a debate in Parliament</v>
      </c>
      <c r="D8147" s="5"/>
      <c r="E8147" s="5"/>
      <c r="F8147" s="5"/>
      <c r="G8147" s="5"/>
      <c r="H8147" s="5"/>
      <c r="I8147" s="5"/>
      <c r="J8147" s="5"/>
      <c r="K8147" s="5"/>
      <c r="L8147" s="5"/>
      <c r="M8147" s="5"/>
      <c r="N8147" s="5"/>
      <c r="O8147" s="5"/>
      <c r="P8147" s="5"/>
      <c r="Q8147" s="5"/>
      <c r="R8147" s="5"/>
      <c r="S8147" s="5"/>
      <c r="T8147" s="5"/>
      <c r="U8147" s="5"/>
      <c r="V8147" s="5"/>
      <c r="W8147" s="5"/>
      <c r="X8147" s="5"/>
      <c r="Y8147" s="5"/>
      <c r="Z8147" s="5"/>
    </row>
    <row r="8148" spans="1:26" ht="15" x14ac:dyDescent="0.25">
      <c r="A8148" s="4" t="s">
        <v>8146</v>
      </c>
      <c r="B8148" s="4" t="s">
        <v>4550</v>
      </c>
      <c r="C8148" s="2" t="str">
        <f ca="1">IFERROR(__xludf.DUMMYFUNCTION("GOOGLETRANSLATE(A8148,""bn"",""en"")"),"Saw the movie from the book")</f>
        <v>Saw the movie from the book</v>
      </c>
      <c r="D8148" s="5"/>
      <c r="E8148" s="5"/>
      <c r="F8148" s="5"/>
      <c r="G8148" s="5"/>
      <c r="H8148" s="5"/>
      <c r="I8148" s="5"/>
      <c r="J8148" s="5"/>
      <c r="K8148" s="5"/>
      <c r="L8148" s="5"/>
      <c r="M8148" s="5"/>
      <c r="N8148" s="5"/>
      <c r="O8148" s="5"/>
      <c r="P8148" s="5"/>
      <c r="Q8148" s="5"/>
      <c r="R8148" s="5"/>
      <c r="S8148" s="5"/>
      <c r="T8148" s="5"/>
      <c r="U8148" s="5"/>
      <c r="V8148" s="5"/>
      <c r="W8148" s="5"/>
      <c r="X8148" s="5"/>
      <c r="Y8148" s="5"/>
      <c r="Z8148" s="5"/>
    </row>
    <row r="8149" spans="1:26" ht="15" x14ac:dyDescent="0.25">
      <c r="A8149" s="4" t="s">
        <v>8147</v>
      </c>
      <c r="B8149" s="4" t="s">
        <v>4550</v>
      </c>
      <c r="C8149" s="2" t="str">
        <f ca="1">IFERROR(__xludf.DUMMYFUNCTION("GOOGLETRANSLATE(A8149,""bn"",""en"")"),"I implemented the design pattern")</f>
        <v>I implemented the design pattern</v>
      </c>
      <c r="D8149" s="5"/>
      <c r="E8149" s="5"/>
      <c r="F8149" s="5"/>
      <c r="G8149" s="5"/>
      <c r="H8149" s="5"/>
      <c r="I8149" s="5"/>
      <c r="J8149" s="5"/>
      <c r="K8149" s="5"/>
      <c r="L8149" s="5"/>
      <c r="M8149" s="5"/>
      <c r="N8149" s="5"/>
      <c r="O8149" s="5"/>
      <c r="P8149" s="5"/>
      <c r="Q8149" s="5"/>
      <c r="R8149" s="5"/>
      <c r="S8149" s="5"/>
      <c r="T8149" s="5"/>
      <c r="U8149" s="5"/>
      <c r="V8149" s="5"/>
      <c r="W8149" s="5"/>
      <c r="X8149" s="5"/>
      <c r="Y8149" s="5"/>
      <c r="Z8149" s="5"/>
    </row>
    <row r="8150" spans="1:26" ht="15" x14ac:dyDescent="0.25">
      <c r="A8150" s="4" t="s">
        <v>8148</v>
      </c>
      <c r="B8150" s="4" t="s">
        <v>4550</v>
      </c>
      <c r="C8150" s="2" t="str">
        <f ca="1">IFERROR(__xludf.DUMMYFUNCTION("GOOGLETRANSLATE(A8150,""bn"",""en"")"),"We created a script")</f>
        <v>We created a script</v>
      </c>
      <c r="D8150" s="5"/>
      <c r="E8150" s="5"/>
      <c r="F8150" s="5"/>
      <c r="G8150" s="5"/>
      <c r="H8150" s="5"/>
      <c r="I8150" s="5"/>
      <c r="J8150" s="5"/>
      <c r="K8150" s="5"/>
      <c r="L8150" s="5"/>
      <c r="M8150" s="5"/>
      <c r="N8150" s="5"/>
      <c r="O8150" s="5"/>
      <c r="P8150" s="5"/>
      <c r="Q8150" s="5"/>
      <c r="R8150" s="5"/>
      <c r="S8150" s="5"/>
      <c r="T8150" s="5"/>
      <c r="U8150" s="5"/>
      <c r="V8150" s="5"/>
      <c r="W8150" s="5"/>
      <c r="X8150" s="5"/>
      <c r="Y8150" s="5"/>
      <c r="Z8150" s="5"/>
    </row>
    <row r="8151" spans="1:26" ht="15" x14ac:dyDescent="0.25">
      <c r="A8151" s="4" t="s">
        <v>8149</v>
      </c>
      <c r="B8151" s="4" t="s">
        <v>4550</v>
      </c>
      <c r="C8151" s="2" t="str">
        <f ca="1">IFERROR(__xludf.DUMMYFUNCTION("GOOGLETRANSLATE(A8151,""bn"",""en"")"),"The tax period was too long")</f>
        <v>The tax period was too long</v>
      </c>
      <c r="D8151" s="5"/>
      <c r="E8151" s="5"/>
      <c r="F8151" s="5"/>
      <c r="G8151" s="5"/>
      <c r="H8151" s="5"/>
      <c r="I8151" s="5"/>
      <c r="J8151" s="5"/>
      <c r="K8151" s="5"/>
      <c r="L8151" s="5"/>
      <c r="M8151" s="5"/>
      <c r="N8151" s="5"/>
      <c r="O8151" s="5"/>
      <c r="P8151" s="5"/>
      <c r="Q8151" s="5"/>
      <c r="R8151" s="5"/>
      <c r="S8151" s="5"/>
      <c r="T8151" s="5"/>
      <c r="U8151" s="5"/>
      <c r="V8151" s="5"/>
      <c r="W8151" s="5"/>
      <c r="X8151" s="5"/>
      <c r="Y8151" s="5"/>
      <c r="Z8151" s="5"/>
    </row>
    <row r="8152" spans="1:26" ht="15" x14ac:dyDescent="0.25">
      <c r="A8152" s="4" t="s">
        <v>8150</v>
      </c>
      <c r="B8152" s="4" t="s">
        <v>4550</v>
      </c>
      <c r="C8152" s="2" t="str">
        <f ca="1">IFERROR(__xludf.DUMMYFUNCTION("GOOGLETRANSLATE(A8152,""bn"",""en"")"),"National leaders announced")</f>
        <v>National leaders announced</v>
      </c>
      <c r="D8152" s="5"/>
      <c r="E8152" s="5"/>
      <c r="F8152" s="5"/>
      <c r="G8152" s="5"/>
      <c r="H8152" s="5"/>
      <c r="I8152" s="5"/>
      <c r="J8152" s="5"/>
      <c r="K8152" s="5"/>
      <c r="L8152" s="5"/>
      <c r="M8152" s="5"/>
      <c r="N8152" s="5"/>
      <c r="O8152" s="5"/>
      <c r="P8152" s="5"/>
      <c r="Q8152" s="5"/>
      <c r="R8152" s="5"/>
      <c r="S8152" s="5"/>
      <c r="T8152" s="5"/>
      <c r="U8152" s="5"/>
      <c r="V8152" s="5"/>
      <c r="W8152" s="5"/>
      <c r="X8152" s="5"/>
      <c r="Y8152" s="5"/>
      <c r="Z8152" s="5"/>
    </row>
    <row r="8153" spans="1:26" ht="15" x14ac:dyDescent="0.25">
      <c r="A8153" s="4" t="s">
        <v>8151</v>
      </c>
      <c r="B8153" s="4" t="s">
        <v>4550</v>
      </c>
      <c r="C8153" s="2" t="str">
        <f ca="1">IFERROR(__xludf.DUMMYFUNCTION("GOOGLETRANSLATE(A8153,""bn"",""en"")"),"The football game was won")</f>
        <v>The football game was won</v>
      </c>
      <c r="D8153" s="5"/>
      <c r="E8153" s="5"/>
      <c r="F8153" s="5"/>
      <c r="G8153" s="5"/>
      <c r="H8153" s="5"/>
      <c r="I8153" s="5"/>
      <c r="J8153" s="5"/>
      <c r="K8153" s="5"/>
      <c r="L8153" s="5"/>
      <c r="M8153" s="5"/>
      <c r="N8153" s="5"/>
      <c r="O8153" s="5"/>
      <c r="P8153" s="5"/>
      <c r="Q8153" s="5"/>
      <c r="R8153" s="5"/>
      <c r="S8153" s="5"/>
      <c r="T8153" s="5"/>
      <c r="U8153" s="5"/>
      <c r="V8153" s="5"/>
      <c r="W8153" s="5"/>
      <c r="X8153" s="5"/>
      <c r="Y8153" s="5"/>
      <c r="Z8153" s="5"/>
    </row>
    <row r="8154" spans="1:26" ht="15" x14ac:dyDescent="0.25">
      <c r="A8154" s="4" t="s">
        <v>8152</v>
      </c>
      <c r="B8154" s="4" t="s">
        <v>4550</v>
      </c>
      <c r="C8154" s="2" t="str">
        <f ca="1">IFERROR(__xludf.DUMMYFUNCTION("GOOGLETRANSLATE(A8154,""bn"",""en"")"),"He ate chowmein today")</f>
        <v>He ate chowmein today</v>
      </c>
      <c r="D8154" s="5"/>
      <c r="E8154" s="5"/>
      <c r="F8154" s="5"/>
      <c r="G8154" s="5"/>
      <c r="H8154" s="5"/>
      <c r="I8154" s="5"/>
      <c r="J8154" s="5"/>
      <c r="K8154" s="5"/>
      <c r="L8154" s="5"/>
      <c r="M8154" s="5"/>
      <c r="N8154" s="5"/>
      <c r="O8154" s="5"/>
      <c r="P8154" s="5"/>
      <c r="Q8154" s="5"/>
      <c r="R8154" s="5"/>
      <c r="S8154" s="5"/>
      <c r="T8154" s="5"/>
      <c r="U8154" s="5"/>
      <c r="V8154" s="5"/>
      <c r="W8154" s="5"/>
      <c r="X8154" s="5"/>
      <c r="Y8154" s="5"/>
      <c r="Z8154" s="5"/>
    </row>
    <row r="8155" spans="1:26" ht="15" x14ac:dyDescent="0.25">
      <c r="A8155" s="4" t="s">
        <v>8153</v>
      </c>
      <c r="B8155" s="4" t="s">
        <v>4550</v>
      </c>
      <c r="C8155" s="2" t="str">
        <f ca="1">IFERROR(__xludf.DUMMYFUNCTION("GOOGLETRANSLATE(A8155,""bn"",""en"")"),"Students read old stories")</f>
        <v>Students read old stories</v>
      </c>
      <c r="D8155" s="5"/>
      <c r="E8155" s="5"/>
      <c r="F8155" s="5"/>
      <c r="G8155" s="5"/>
      <c r="H8155" s="5"/>
      <c r="I8155" s="5"/>
      <c r="J8155" s="5"/>
      <c r="K8155" s="5"/>
      <c r="L8155" s="5"/>
      <c r="M8155" s="5"/>
      <c r="N8155" s="5"/>
      <c r="O8155" s="5"/>
      <c r="P8155" s="5"/>
      <c r="Q8155" s="5"/>
      <c r="R8155" s="5"/>
      <c r="S8155" s="5"/>
      <c r="T8155" s="5"/>
      <c r="U8155" s="5"/>
      <c r="V8155" s="5"/>
      <c r="W8155" s="5"/>
      <c r="X8155" s="5"/>
      <c r="Y8155" s="5"/>
      <c r="Z8155" s="5"/>
    </row>
    <row r="8156" spans="1:26" ht="15" x14ac:dyDescent="0.25">
      <c r="A8156" s="4" t="s">
        <v>8154</v>
      </c>
      <c r="B8156" s="4" t="s">
        <v>4550</v>
      </c>
      <c r="C8156" s="2" t="str">
        <f ca="1">IFERROR(__xludf.DUMMYFUNCTION("GOOGLETRANSLATE(A8156,""bn"",""en"")"),"He ate pasta at home")</f>
        <v>He ate pasta at home</v>
      </c>
      <c r="D8156" s="5"/>
      <c r="E8156" s="5"/>
      <c r="F8156" s="5"/>
      <c r="G8156" s="5"/>
      <c r="H8156" s="5"/>
      <c r="I8156" s="5"/>
      <c r="J8156" s="5"/>
      <c r="K8156" s="5"/>
      <c r="L8156" s="5"/>
      <c r="M8156" s="5"/>
      <c r="N8156" s="5"/>
      <c r="O8156" s="5"/>
      <c r="P8156" s="5"/>
      <c r="Q8156" s="5"/>
      <c r="R8156" s="5"/>
      <c r="S8156" s="5"/>
      <c r="T8156" s="5"/>
      <c r="U8156" s="5"/>
      <c r="V8156" s="5"/>
      <c r="W8156" s="5"/>
      <c r="X8156" s="5"/>
      <c r="Y8156" s="5"/>
      <c r="Z8156" s="5"/>
    </row>
    <row r="8157" spans="1:26" ht="15" x14ac:dyDescent="0.25">
      <c r="A8157" s="4" t="s">
        <v>8155</v>
      </c>
      <c r="B8157" s="4" t="s">
        <v>4550</v>
      </c>
      <c r="C8157" s="2" t="str">
        <f ca="1">IFERROR(__xludf.DUMMYFUNCTION("GOOGLETRANSLATE(A8157,""bn"",""en"")"),"There were complaints about the election")</f>
        <v>There were complaints about the election</v>
      </c>
      <c r="D8157" s="5"/>
      <c r="E8157" s="5"/>
      <c r="F8157" s="5"/>
      <c r="G8157" s="5"/>
      <c r="H8157" s="5"/>
      <c r="I8157" s="5"/>
      <c r="J8157" s="5"/>
      <c r="K8157" s="5"/>
      <c r="L8157" s="5"/>
      <c r="M8157" s="5"/>
      <c r="N8157" s="5"/>
      <c r="O8157" s="5"/>
      <c r="P8157" s="5"/>
      <c r="Q8157" s="5"/>
      <c r="R8157" s="5"/>
      <c r="S8157" s="5"/>
      <c r="T8157" s="5"/>
      <c r="U8157" s="5"/>
      <c r="V8157" s="5"/>
      <c r="W8157" s="5"/>
      <c r="X8157" s="5"/>
      <c r="Y8157" s="5"/>
      <c r="Z8157" s="5"/>
    </row>
    <row r="8158" spans="1:26" ht="15" x14ac:dyDescent="0.25">
      <c r="A8158" s="4" t="s">
        <v>8156</v>
      </c>
      <c r="B8158" s="4" t="s">
        <v>4550</v>
      </c>
      <c r="C8158" s="2" t="str">
        <f ca="1">IFERROR(__xludf.DUMMYFUNCTION("GOOGLETRANSLATE(A8158,""bn"",""en"")"),"You were learning technology from morning")</f>
        <v>You were learning technology from morning</v>
      </c>
      <c r="D8158" s="5"/>
      <c r="E8158" s="5"/>
      <c r="F8158" s="5"/>
      <c r="G8158" s="5"/>
      <c r="H8158" s="5"/>
      <c r="I8158" s="5"/>
      <c r="J8158" s="5"/>
      <c r="K8158" s="5"/>
      <c r="L8158" s="5"/>
      <c r="M8158" s="5"/>
      <c r="N8158" s="5"/>
      <c r="O8158" s="5"/>
      <c r="P8158" s="5"/>
      <c r="Q8158" s="5"/>
      <c r="R8158" s="5"/>
      <c r="S8158" s="5"/>
      <c r="T8158" s="5"/>
      <c r="U8158" s="5"/>
      <c r="V8158" s="5"/>
      <c r="W8158" s="5"/>
      <c r="X8158" s="5"/>
      <c r="Y8158" s="5"/>
      <c r="Z8158" s="5"/>
    </row>
    <row r="8159" spans="1:26" ht="15" x14ac:dyDescent="0.25">
      <c r="A8159" s="4" t="s">
        <v>8157</v>
      </c>
      <c r="B8159" s="4" t="s">
        <v>4550</v>
      </c>
      <c r="C8159" s="2" t="str">
        <f ca="1">IFERROR(__xludf.DUMMYFUNCTION("GOOGLETRANSLATE(A8159,""bn"",""en"")"),"The share price fell last week")</f>
        <v>The share price fell last week</v>
      </c>
      <c r="D8159" s="5"/>
      <c r="E8159" s="5"/>
      <c r="F8159" s="5"/>
      <c r="G8159" s="5"/>
      <c r="H8159" s="5"/>
      <c r="I8159" s="5"/>
      <c r="J8159" s="5"/>
      <c r="K8159" s="5"/>
      <c r="L8159" s="5"/>
      <c r="M8159" s="5"/>
      <c r="N8159" s="5"/>
      <c r="O8159" s="5"/>
      <c r="P8159" s="5"/>
      <c r="Q8159" s="5"/>
      <c r="R8159" s="5"/>
      <c r="S8159" s="5"/>
      <c r="T8159" s="5"/>
      <c r="U8159" s="5"/>
      <c r="V8159" s="5"/>
      <c r="W8159" s="5"/>
      <c r="X8159" s="5"/>
      <c r="Y8159" s="5"/>
      <c r="Z8159" s="5"/>
    </row>
    <row r="8160" spans="1:26" ht="15" x14ac:dyDescent="0.25">
      <c r="A8160" s="4" t="s">
        <v>8158</v>
      </c>
      <c r="B8160" s="4" t="s">
        <v>4550</v>
      </c>
      <c r="C8160" s="2" t="str">
        <f ca="1">IFERROR(__xludf.DUMMYFUNCTION("GOOGLETRANSLATE(A8160,""bn"",""en"")"),"Everyone was excited about the song")</f>
        <v>Everyone was excited about the song</v>
      </c>
      <c r="D8160" s="5"/>
      <c r="E8160" s="5"/>
      <c r="F8160" s="5"/>
      <c r="G8160" s="5"/>
      <c r="H8160" s="5"/>
      <c r="I8160" s="5"/>
      <c r="J8160" s="5"/>
      <c r="K8160" s="5"/>
      <c r="L8160" s="5"/>
      <c r="M8160" s="5"/>
      <c r="N8160" s="5"/>
      <c r="O8160" s="5"/>
      <c r="P8160" s="5"/>
      <c r="Q8160" s="5"/>
      <c r="R8160" s="5"/>
      <c r="S8160" s="5"/>
      <c r="T8160" s="5"/>
      <c r="U8160" s="5"/>
      <c r="V8160" s="5"/>
      <c r="W8160" s="5"/>
      <c r="X8160" s="5"/>
      <c r="Y8160" s="5"/>
      <c r="Z8160" s="5"/>
    </row>
    <row r="8161" spans="1:26" ht="15" x14ac:dyDescent="0.25">
      <c r="A8161" s="4" t="s">
        <v>8159</v>
      </c>
      <c r="B8161" s="4" t="s">
        <v>4550</v>
      </c>
      <c r="C8161" s="2" t="str">
        <f ca="1">IFERROR(__xludf.DUMMYFUNCTION("GOOGLETRANSLATE(A8161,""bn"",""en"")"),"The fielder was clearly catching the ball")</f>
        <v>The fielder was clearly catching the ball</v>
      </c>
      <c r="D8161" s="5"/>
      <c r="E8161" s="5"/>
      <c r="F8161" s="5"/>
      <c r="G8161" s="5"/>
      <c r="H8161" s="5"/>
      <c r="I8161" s="5"/>
      <c r="J8161" s="5"/>
      <c r="K8161" s="5"/>
      <c r="L8161" s="5"/>
      <c r="M8161" s="5"/>
      <c r="N8161" s="5"/>
      <c r="O8161" s="5"/>
      <c r="P8161" s="5"/>
      <c r="Q8161" s="5"/>
      <c r="R8161" s="5"/>
      <c r="S8161" s="5"/>
      <c r="T8161" s="5"/>
      <c r="U8161" s="5"/>
      <c r="V8161" s="5"/>
      <c r="W8161" s="5"/>
      <c r="X8161" s="5"/>
      <c r="Y8161" s="5"/>
      <c r="Z8161" s="5"/>
    </row>
    <row r="8162" spans="1:26" ht="15" x14ac:dyDescent="0.25">
      <c r="A8162" s="4" t="s">
        <v>8160</v>
      </c>
      <c r="B8162" s="4" t="s">
        <v>4550</v>
      </c>
      <c r="C8162" s="2" t="str">
        <f ca="1">IFERROR(__xludf.DUMMYFUNCTION("GOOGLETRANSLATE(A8162,""bn"",""en"")"),"won the vote")</f>
        <v>won the vote</v>
      </c>
      <c r="D8162" s="5"/>
      <c r="E8162" s="5"/>
      <c r="F8162" s="5"/>
      <c r="G8162" s="5"/>
      <c r="H8162" s="5"/>
      <c r="I8162" s="5"/>
      <c r="J8162" s="5"/>
      <c r="K8162" s="5"/>
      <c r="L8162" s="5"/>
      <c r="M8162" s="5"/>
      <c r="N8162" s="5"/>
      <c r="O8162" s="5"/>
      <c r="P8162" s="5"/>
      <c r="Q8162" s="5"/>
      <c r="R8162" s="5"/>
      <c r="S8162" s="5"/>
      <c r="T8162" s="5"/>
      <c r="U8162" s="5"/>
      <c r="V8162" s="5"/>
      <c r="W8162" s="5"/>
      <c r="X8162" s="5"/>
      <c r="Y8162" s="5"/>
      <c r="Z8162" s="5"/>
    </row>
    <row r="8163" spans="1:26" ht="15" x14ac:dyDescent="0.25">
      <c r="A8163" s="4" t="s">
        <v>8161</v>
      </c>
      <c r="B8163" s="4" t="s">
        <v>4550</v>
      </c>
      <c r="C8163" s="2" t="str">
        <f ca="1">IFERROR(__xludf.DUMMYFUNCTION("GOOGLETRANSLATE(A8163,""bn"",""en"")"),"I asked to have bread for breakfast")</f>
        <v>I asked to have bread for breakfast</v>
      </c>
      <c r="D8163" s="5"/>
      <c r="E8163" s="5"/>
      <c r="F8163" s="5"/>
      <c r="G8163" s="5"/>
      <c r="H8163" s="5"/>
      <c r="I8163" s="5"/>
      <c r="J8163" s="5"/>
      <c r="K8163" s="5"/>
      <c r="L8163" s="5"/>
      <c r="M8163" s="5"/>
      <c r="N8163" s="5"/>
      <c r="O8163" s="5"/>
      <c r="P8163" s="5"/>
      <c r="Q8163" s="5"/>
      <c r="R8163" s="5"/>
      <c r="S8163" s="5"/>
      <c r="T8163" s="5"/>
      <c r="U8163" s="5"/>
      <c r="V8163" s="5"/>
      <c r="W8163" s="5"/>
      <c r="X8163" s="5"/>
      <c r="Y8163" s="5"/>
      <c r="Z8163" s="5"/>
    </row>
    <row r="8164" spans="1:26" ht="15" x14ac:dyDescent="0.25">
      <c r="A8164" s="4" t="s">
        <v>8162</v>
      </c>
      <c r="B8164" s="4" t="s">
        <v>4550</v>
      </c>
      <c r="C8164" s="2" t="str">
        <f ca="1">IFERROR(__xludf.DUMMYFUNCTION("GOOGLETRANSLATE(A8164,""bn"",""en"")"),"They ate white chocolate")</f>
        <v>They ate white chocolate</v>
      </c>
      <c r="D8164" s="5"/>
      <c r="E8164" s="5"/>
      <c r="F8164" s="5"/>
      <c r="G8164" s="5"/>
      <c r="H8164" s="5"/>
      <c r="I8164" s="5"/>
      <c r="J8164" s="5"/>
      <c r="K8164" s="5"/>
      <c r="L8164" s="5"/>
      <c r="M8164" s="5"/>
      <c r="N8164" s="5"/>
      <c r="O8164" s="5"/>
      <c r="P8164" s="5"/>
      <c r="Q8164" s="5"/>
      <c r="R8164" s="5"/>
      <c r="S8164" s="5"/>
      <c r="T8164" s="5"/>
      <c r="U8164" s="5"/>
      <c r="V8164" s="5"/>
      <c r="W8164" s="5"/>
      <c r="X8164" s="5"/>
      <c r="Y8164" s="5"/>
      <c r="Z8164" s="5"/>
    </row>
    <row r="8165" spans="1:26" ht="15" x14ac:dyDescent="0.25">
      <c r="A8165" s="4" t="s">
        <v>8163</v>
      </c>
      <c r="B8165" s="4" t="s">
        <v>4550</v>
      </c>
      <c r="C8165" s="2" t="str">
        <f ca="1">IFERROR(__xludf.DUMMYFUNCTION("GOOGLETRANSLATE(A8165,""bn"",""en"")"),"We went to the bank in the month")</f>
        <v>We went to the bank in the month</v>
      </c>
      <c r="D8165" s="5"/>
      <c r="E8165" s="5"/>
      <c r="F8165" s="5"/>
      <c r="G8165" s="5"/>
      <c r="H8165" s="5"/>
      <c r="I8165" s="5"/>
      <c r="J8165" s="5"/>
      <c r="K8165" s="5"/>
      <c r="L8165" s="5"/>
      <c r="M8165" s="5"/>
      <c r="N8165" s="5"/>
      <c r="O8165" s="5"/>
      <c r="P8165" s="5"/>
      <c r="Q8165" s="5"/>
      <c r="R8165" s="5"/>
      <c r="S8165" s="5"/>
      <c r="T8165" s="5"/>
      <c r="U8165" s="5"/>
      <c r="V8165" s="5"/>
      <c r="W8165" s="5"/>
      <c r="X8165" s="5"/>
      <c r="Y8165" s="5"/>
      <c r="Z8165" s="5"/>
    </row>
    <row r="8166" spans="1:26" ht="15" x14ac:dyDescent="0.25">
      <c r="A8166" s="4" t="s">
        <v>8164</v>
      </c>
      <c r="B8166" s="4" t="s">
        <v>4550</v>
      </c>
      <c r="C8166" s="2" t="str">
        <f ca="1">IFERROR(__xludf.DUMMYFUNCTION("GOOGLETRANSLATE(A8166,""bn"",""en"")"),"Went to market for cooking")</f>
        <v>Went to market for cooking</v>
      </c>
      <c r="D8166" s="5"/>
      <c r="E8166" s="5"/>
      <c r="F8166" s="5"/>
      <c r="G8166" s="5"/>
      <c r="H8166" s="5"/>
      <c r="I8166" s="5"/>
      <c r="J8166" s="5"/>
      <c r="K8166" s="5"/>
      <c r="L8166" s="5"/>
      <c r="M8166" s="5"/>
      <c r="N8166" s="5"/>
      <c r="O8166" s="5"/>
      <c r="P8166" s="5"/>
      <c r="Q8166" s="5"/>
      <c r="R8166" s="5"/>
      <c r="S8166" s="5"/>
      <c r="T8166" s="5"/>
      <c r="U8166" s="5"/>
      <c r="V8166" s="5"/>
      <c r="W8166" s="5"/>
      <c r="X8166" s="5"/>
      <c r="Y8166" s="5"/>
      <c r="Z8166" s="5"/>
    </row>
    <row r="8167" spans="1:26" ht="15" x14ac:dyDescent="0.25">
      <c r="A8167" s="4" t="s">
        <v>8165</v>
      </c>
      <c r="B8167" s="4" t="s">
        <v>4550</v>
      </c>
      <c r="C8167" s="2" t="str">
        <f ca="1">IFERROR(__xludf.DUMMYFUNCTION("GOOGLETRANSLATE(A8167,""bn"",""en"")"),"The best was in the tennis match")</f>
        <v>The best was in the tennis match</v>
      </c>
      <c r="D8167" s="5"/>
      <c r="E8167" s="5"/>
      <c r="F8167" s="5"/>
      <c r="G8167" s="5"/>
      <c r="H8167" s="5"/>
      <c r="I8167" s="5"/>
      <c r="J8167" s="5"/>
      <c r="K8167" s="5"/>
      <c r="L8167" s="5"/>
      <c r="M8167" s="5"/>
      <c r="N8167" s="5"/>
      <c r="O8167" s="5"/>
      <c r="P8167" s="5"/>
      <c r="Q8167" s="5"/>
      <c r="R8167" s="5"/>
      <c r="S8167" s="5"/>
      <c r="T8167" s="5"/>
      <c r="U8167" s="5"/>
      <c r="V8167" s="5"/>
      <c r="W8167" s="5"/>
      <c r="X8167" s="5"/>
      <c r="Y8167" s="5"/>
      <c r="Z8167" s="5"/>
    </row>
    <row r="8168" spans="1:26" ht="15" x14ac:dyDescent="0.25">
      <c r="A8168" s="4" t="s">
        <v>8166</v>
      </c>
      <c r="B8168" s="4" t="s">
        <v>4550</v>
      </c>
      <c r="C8168" s="2" t="str">
        <f ca="1">IFERROR(__xludf.DUMMYFUNCTION("GOOGLETRANSLATE(A8168,""bn"",""en"")"),"The bowling team trained")</f>
        <v>The bowling team trained</v>
      </c>
      <c r="D8168" s="5"/>
      <c r="E8168" s="5"/>
      <c r="F8168" s="5"/>
      <c r="G8168" s="5"/>
      <c r="H8168" s="5"/>
      <c r="I8168" s="5"/>
      <c r="J8168" s="5"/>
      <c r="K8168" s="5"/>
      <c r="L8168" s="5"/>
      <c r="M8168" s="5"/>
      <c r="N8168" s="5"/>
      <c r="O8168" s="5"/>
      <c r="P8168" s="5"/>
      <c r="Q8168" s="5"/>
      <c r="R8168" s="5"/>
      <c r="S8168" s="5"/>
      <c r="T8168" s="5"/>
      <c r="U8168" s="5"/>
      <c r="V8168" s="5"/>
      <c r="W8168" s="5"/>
      <c r="X8168" s="5"/>
      <c r="Y8168" s="5"/>
      <c r="Z8168" s="5"/>
    </row>
    <row r="8169" spans="1:26" ht="15" x14ac:dyDescent="0.25">
      <c r="A8169" s="4" t="s">
        <v>8167</v>
      </c>
      <c r="B8169" s="4" t="s">
        <v>4550</v>
      </c>
      <c r="C8169" s="2" t="str">
        <f ca="1">IFERROR(__xludf.DUMMYFUNCTION("GOOGLETRANSLATE(A8169,""bn"",""en"")"),"It was reintroduced in country after country")</f>
        <v>It was reintroduced in country after country</v>
      </c>
      <c r="D8169" s="5"/>
      <c r="E8169" s="5"/>
      <c r="F8169" s="5"/>
      <c r="G8169" s="5"/>
      <c r="H8169" s="5"/>
      <c r="I8169" s="5"/>
      <c r="J8169" s="5"/>
      <c r="K8169" s="5"/>
      <c r="L8169" s="5"/>
      <c r="M8169" s="5"/>
      <c r="N8169" s="5"/>
      <c r="O8169" s="5"/>
      <c r="P8169" s="5"/>
      <c r="Q8169" s="5"/>
      <c r="R8169" s="5"/>
      <c r="S8169" s="5"/>
      <c r="T8169" s="5"/>
      <c r="U8169" s="5"/>
      <c r="V8169" s="5"/>
      <c r="W8169" s="5"/>
      <c r="X8169" s="5"/>
      <c r="Y8169" s="5"/>
      <c r="Z8169" s="5"/>
    </row>
    <row r="8170" spans="1:26" ht="15" x14ac:dyDescent="0.25">
      <c r="A8170" s="4" t="s">
        <v>8168</v>
      </c>
      <c r="B8170" s="4" t="s">
        <v>4550</v>
      </c>
      <c r="C8170" s="2" t="str">
        <f ca="1">IFERROR(__xludf.DUMMYFUNCTION("GOOGLETRANSLATE(A8170,""bn"",""en"")"),"Farmers manage crops")</f>
        <v>Farmers manage crops</v>
      </c>
      <c r="D8170" s="5"/>
      <c r="E8170" s="5"/>
      <c r="F8170" s="5"/>
      <c r="G8170" s="5"/>
      <c r="H8170" s="5"/>
      <c r="I8170" s="5"/>
      <c r="J8170" s="5"/>
      <c r="K8170" s="5"/>
      <c r="L8170" s="5"/>
      <c r="M8170" s="5"/>
      <c r="N8170" s="5"/>
      <c r="O8170" s="5"/>
      <c r="P8170" s="5"/>
      <c r="Q8170" s="5"/>
      <c r="R8170" s="5"/>
      <c r="S8170" s="5"/>
      <c r="T8170" s="5"/>
      <c r="U8170" s="5"/>
      <c r="V8170" s="5"/>
      <c r="W8170" s="5"/>
      <c r="X8170" s="5"/>
      <c r="Y8170" s="5"/>
      <c r="Z8170" s="5"/>
    </row>
    <row r="8171" spans="1:26" ht="15" x14ac:dyDescent="0.25">
      <c r="A8171" s="4" t="s">
        <v>8169</v>
      </c>
      <c r="B8171" s="4" t="s">
        <v>4550</v>
      </c>
      <c r="C8171" s="2" t="str">
        <f ca="1">IFERROR(__xludf.DUMMYFUNCTION("GOOGLETRANSLATE(A8171,""bn"",""en"")"),"Tennis was being played on the roof")</f>
        <v>Tennis was being played on the roof</v>
      </c>
      <c r="D8171" s="5"/>
      <c r="E8171" s="5"/>
      <c r="F8171" s="5"/>
      <c r="G8171" s="5"/>
      <c r="H8171" s="5"/>
      <c r="I8171" s="5"/>
      <c r="J8171" s="5"/>
      <c r="K8171" s="5"/>
      <c r="L8171" s="5"/>
      <c r="M8171" s="5"/>
      <c r="N8171" s="5"/>
      <c r="O8171" s="5"/>
      <c r="P8171" s="5"/>
      <c r="Q8171" s="5"/>
      <c r="R8171" s="5"/>
      <c r="S8171" s="5"/>
      <c r="T8171" s="5"/>
      <c r="U8171" s="5"/>
      <c r="V8171" s="5"/>
      <c r="W8171" s="5"/>
      <c r="X8171" s="5"/>
      <c r="Y8171" s="5"/>
      <c r="Z8171" s="5"/>
    </row>
    <row r="8172" spans="1:26" ht="15" x14ac:dyDescent="0.25">
      <c r="A8172" s="4" t="s">
        <v>8170</v>
      </c>
      <c r="B8172" s="4" t="s">
        <v>4550</v>
      </c>
      <c r="C8172" s="2" t="str">
        <f ca="1">IFERROR(__xludf.DUMMYFUNCTION("GOOGLETRANSLATE(A8172,""bn"",""en"")"),"I saw my favorite picture")</f>
        <v>I saw my favorite picture</v>
      </c>
      <c r="D8172" s="5"/>
      <c r="E8172" s="5"/>
      <c r="F8172" s="5"/>
      <c r="G8172" s="5"/>
      <c r="H8172" s="5"/>
      <c r="I8172" s="5"/>
      <c r="J8172" s="5"/>
      <c r="K8172" s="5"/>
      <c r="L8172" s="5"/>
      <c r="M8172" s="5"/>
      <c r="N8172" s="5"/>
      <c r="O8172" s="5"/>
      <c r="P8172" s="5"/>
      <c r="Q8172" s="5"/>
      <c r="R8172" s="5"/>
      <c r="S8172" s="5"/>
      <c r="T8172" s="5"/>
      <c r="U8172" s="5"/>
      <c r="V8172" s="5"/>
      <c r="W8172" s="5"/>
      <c r="X8172" s="5"/>
      <c r="Y8172" s="5"/>
      <c r="Z8172" s="5"/>
    </row>
    <row r="8173" spans="1:26" ht="15" x14ac:dyDescent="0.25">
      <c r="A8173" s="4" t="s">
        <v>8171</v>
      </c>
      <c r="B8173" s="4" t="s">
        <v>4550</v>
      </c>
      <c r="C8173" s="2" t="str">
        <f ca="1">IFERROR(__xludf.DUMMYFUNCTION("GOOGLETRANSLATE(A8173,""bn"",""en"")"),"Business was closed during the week")</f>
        <v>Business was closed during the week</v>
      </c>
      <c r="D8173" s="5"/>
      <c r="E8173" s="5"/>
      <c r="F8173" s="5"/>
      <c r="G8173" s="5"/>
      <c r="H8173" s="5"/>
      <c r="I8173" s="5"/>
      <c r="J8173" s="5"/>
      <c r="K8173" s="5"/>
      <c r="L8173" s="5"/>
      <c r="M8173" s="5"/>
      <c r="N8173" s="5"/>
      <c r="O8173" s="5"/>
      <c r="P8173" s="5"/>
      <c r="Q8173" s="5"/>
      <c r="R8173" s="5"/>
      <c r="S8173" s="5"/>
      <c r="T8173" s="5"/>
      <c r="U8173" s="5"/>
      <c r="V8173" s="5"/>
      <c r="W8173" s="5"/>
      <c r="X8173" s="5"/>
      <c r="Y8173" s="5"/>
      <c r="Z8173" s="5"/>
    </row>
    <row r="8174" spans="1:26" ht="15" x14ac:dyDescent="0.25">
      <c r="A8174" s="4" t="s">
        <v>8172</v>
      </c>
      <c r="B8174" s="4" t="s">
        <v>4550</v>
      </c>
      <c r="C8174" s="2" t="str">
        <f ca="1">IFERROR(__xludf.DUMMYFUNCTION("GOOGLETRANSLATE(A8174,""bn"",""en"")"),"Vegetables were planted in winter")</f>
        <v>Vegetables were planted in winter</v>
      </c>
      <c r="D8174" s="5"/>
      <c r="E8174" s="5"/>
      <c r="F8174" s="5"/>
      <c r="G8174" s="5"/>
      <c r="H8174" s="5"/>
      <c r="I8174" s="5"/>
      <c r="J8174" s="5"/>
      <c r="K8174" s="5"/>
      <c r="L8174" s="5"/>
      <c r="M8174" s="5"/>
      <c r="N8174" s="5"/>
      <c r="O8174" s="5"/>
      <c r="P8174" s="5"/>
      <c r="Q8174" s="5"/>
      <c r="R8174" s="5"/>
      <c r="S8174" s="5"/>
      <c r="T8174" s="5"/>
      <c r="U8174" s="5"/>
      <c r="V8174" s="5"/>
      <c r="W8174" s="5"/>
      <c r="X8174" s="5"/>
      <c r="Y8174" s="5"/>
      <c r="Z8174" s="5"/>
    </row>
    <row r="8175" spans="1:26" ht="15" x14ac:dyDescent="0.25">
      <c r="A8175" s="4" t="s">
        <v>8173</v>
      </c>
      <c r="B8175" s="4" t="s">
        <v>4550</v>
      </c>
      <c r="C8175" s="2" t="str">
        <f ca="1">IFERROR(__xludf.DUMMYFUNCTION("GOOGLETRANSLATE(A8175,""bn"",""en"")"),"The new wrapper has been unveiled")</f>
        <v>The new wrapper has been unveiled</v>
      </c>
      <c r="D8175" s="5"/>
      <c r="E8175" s="5"/>
      <c r="F8175" s="5"/>
      <c r="G8175" s="5"/>
      <c r="H8175" s="5"/>
      <c r="I8175" s="5"/>
      <c r="J8175" s="5"/>
      <c r="K8175" s="5"/>
      <c r="L8175" s="5"/>
      <c r="M8175" s="5"/>
      <c r="N8175" s="5"/>
      <c r="O8175" s="5"/>
      <c r="P8175" s="5"/>
      <c r="Q8175" s="5"/>
      <c r="R8175" s="5"/>
      <c r="S8175" s="5"/>
      <c r="T8175" s="5"/>
      <c r="U8175" s="5"/>
      <c r="V8175" s="5"/>
      <c r="W8175" s="5"/>
      <c r="X8175" s="5"/>
      <c r="Y8175" s="5"/>
      <c r="Z8175" s="5"/>
    </row>
    <row r="8176" spans="1:26" ht="15" x14ac:dyDescent="0.25">
      <c r="A8176" s="4" t="s">
        <v>8174</v>
      </c>
      <c r="B8176" s="4" t="s">
        <v>4550</v>
      </c>
      <c r="C8176" s="2" t="str">
        <f ca="1">IFERROR(__xludf.DUMMYFUNCTION("GOOGLETRANSLATE(A8176,""bn"",""en"")"),"Mase was showing pictures")</f>
        <v>Mase was showing pictures</v>
      </c>
      <c r="D8176" s="5"/>
      <c r="E8176" s="5"/>
      <c r="F8176" s="5"/>
      <c r="G8176" s="5"/>
      <c r="H8176" s="5"/>
      <c r="I8176" s="5"/>
      <c r="J8176" s="5"/>
      <c r="K8176" s="5"/>
      <c r="L8176" s="5"/>
      <c r="M8176" s="5"/>
      <c r="N8176" s="5"/>
      <c r="O8176" s="5"/>
      <c r="P8176" s="5"/>
      <c r="Q8176" s="5"/>
      <c r="R8176" s="5"/>
      <c r="S8176" s="5"/>
      <c r="T8176" s="5"/>
      <c r="U8176" s="5"/>
      <c r="V8176" s="5"/>
      <c r="W8176" s="5"/>
      <c r="X8176" s="5"/>
      <c r="Y8176" s="5"/>
      <c r="Z8176" s="5"/>
    </row>
    <row r="8177" spans="1:26" ht="15" x14ac:dyDescent="0.25">
      <c r="A8177" s="4" t="s">
        <v>8175</v>
      </c>
      <c r="B8177" s="4" t="s">
        <v>4550</v>
      </c>
      <c r="C8177" s="2" t="str">
        <f ca="1">IFERROR(__xludf.DUMMYFUNCTION("GOOGLETRANSLATE(A8177,""bn"",""en"")"),"The Prime Minister used to make the rounds on Saturdays")</f>
        <v>The Prime Minister used to make the rounds on Saturdays</v>
      </c>
      <c r="D8177" s="5"/>
      <c r="E8177" s="5"/>
      <c r="F8177" s="5"/>
      <c r="G8177" s="5"/>
      <c r="H8177" s="5"/>
      <c r="I8177" s="5"/>
      <c r="J8177" s="5"/>
      <c r="K8177" s="5"/>
      <c r="L8177" s="5"/>
      <c r="M8177" s="5"/>
      <c r="N8177" s="5"/>
      <c r="O8177" s="5"/>
      <c r="P8177" s="5"/>
      <c r="Q8177" s="5"/>
      <c r="R8177" s="5"/>
      <c r="S8177" s="5"/>
      <c r="T8177" s="5"/>
      <c r="U8177" s="5"/>
      <c r="V8177" s="5"/>
      <c r="W8177" s="5"/>
      <c r="X8177" s="5"/>
      <c r="Y8177" s="5"/>
      <c r="Z8177" s="5"/>
    </row>
    <row r="8178" spans="1:26" ht="15" x14ac:dyDescent="0.25">
      <c r="A8178" s="4" t="s">
        <v>8176</v>
      </c>
      <c r="B8178" s="4" t="s">
        <v>4550</v>
      </c>
      <c r="C8178" s="2" t="str">
        <f ca="1">IFERROR(__xludf.DUMMYFUNCTION("GOOGLETRANSLATE(A8178,""bn"",""en"")"),"The match was repeatedly interrupted")</f>
        <v>The match was repeatedly interrupted</v>
      </c>
      <c r="D8178" s="5"/>
      <c r="E8178" s="5"/>
      <c r="F8178" s="5"/>
      <c r="G8178" s="5"/>
      <c r="H8178" s="5"/>
      <c r="I8178" s="5"/>
      <c r="J8178" s="5"/>
      <c r="K8178" s="5"/>
      <c r="L8178" s="5"/>
      <c r="M8178" s="5"/>
      <c r="N8178" s="5"/>
      <c r="O8178" s="5"/>
      <c r="P8178" s="5"/>
      <c r="Q8178" s="5"/>
      <c r="R8178" s="5"/>
      <c r="S8178" s="5"/>
      <c r="T8178" s="5"/>
      <c r="U8178" s="5"/>
      <c r="V8178" s="5"/>
      <c r="W8178" s="5"/>
      <c r="X8178" s="5"/>
      <c r="Y8178" s="5"/>
      <c r="Z8178" s="5"/>
    </row>
    <row r="8179" spans="1:26" ht="15" x14ac:dyDescent="0.25">
      <c r="A8179" s="4" t="s">
        <v>8177</v>
      </c>
      <c r="B8179" s="4" t="s">
        <v>4550</v>
      </c>
      <c r="C8179" s="2" t="str">
        <f ca="1">IFERROR(__xludf.DUMMYFUNCTION("GOOGLETRANSLATE(A8179,""bn"",""en"")"),"I ate sweets in the afternoon")</f>
        <v>I ate sweets in the afternoon</v>
      </c>
      <c r="D8179" s="5"/>
      <c r="E8179" s="5"/>
      <c r="F8179" s="5"/>
      <c r="G8179" s="5"/>
      <c r="H8179" s="5"/>
      <c r="I8179" s="5"/>
      <c r="J8179" s="5"/>
      <c r="K8179" s="5"/>
      <c r="L8179" s="5"/>
      <c r="M8179" s="5"/>
      <c r="N8179" s="5"/>
      <c r="O8179" s="5"/>
      <c r="P8179" s="5"/>
      <c r="Q8179" s="5"/>
      <c r="R8179" s="5"/>
      <c r="S8179" s="5"/>
      <c r="T8179" s="5"/>
      <c r="U8179" s="5"/>
      <c r="V8179" s="5"/>
      <c r="W8179" s="5"/>
      <c r="X8179" s="5"/>
      <c r="Y8179" s="5"/>
      <c r="Z8179" s="5"/>
    </row>
    <row r="8180" spans="1:26" ht="15" x14ac:dyDescent="0.25">
      <c r="A8180" s="4" t="s">
        <v>8178</v>
      </c>
      <c r="B8180" s="4" t="s">
        <v>4550</v>
      </c>
      <c r="C8180" s="2" t="str">
        <f ca="1">IFERROR(__xludf.DUMMYFUNCTION("GOOGLETRANSLATE(A8180,""bn"",""en"")"),"I watched a drama movie in the morning")</f>
        <v>I watched a drama movie in the morning</v>
      </c>
      <c r="D8180" s="5"/>
      <c r="E8180" s="5"/>
      <c r="F8180" s="5"/>
      <c r="G8180" s="5"/>
      <c r="H8180" s="5"/>
      <c r="I8180" s="5"/>
      <c r="J8180" s="5"/>
      <c r="K8180" s="5"/>
      <c r="L8180" s="5"/>
      <c r="M8180" s="5"/>
      <c r="N8180" s="5"/>
      <c r="O8180" s="5"/>
      <c r="P8180" s="5"/>
      <c r="Q8180" s="5"/>
      <c r="R8180" s="5"/>
      <c r="S8180" s="5"/>
      <c r="T8180" s="5"/>
      <c r="U8180" s="5"/>
      <c r="V8180" s="5"/>
      <c r="W8180" s="5"/>
      <c r="X8180" s="5"/>
      <c r="Y8180" s="5"/>
      <c r="Z8180" s="5"/>
    </row>
    <row r="8181" spans="1:26" ht="15" x14ac:dyDescent="0.25">
      <c r="A8181" s="4" t="s">
        <v>8179</v>
      </c>
      <c r="B8181" s="4" t="s">
        <v>4550</v>
      </c>
      <c r="C8181" s="2" t="str">
        <f ca="1">IFERROR(__xludf.DUMMYFUNCTION("GOOGLETRANSLATE(A8181,""bn"",""en"")"),"The website design was completed")</f>
        <v>The website design was completed</v>
      </c>
      <c r="D8181" s="5"/>
      <c r="E8181" s="5"/>
      <c r="F8181" s="5"/>
      <c r="G8181" s="5"/>
      <c r="H8181" s="5"/>
      <c r="I8181" s="5"/>
      <c r="J8181" s="5"/>
      <c r="K8181" s="5"/>
      <c r="L8181" s="5"/>
      <c r="M8181" s="5"/>
      <c r="N8181" s="5"/>
      <c r="O8181" s="5"/>
      <c r="P8181" s="5"/>
      <c r="Q8181" s="5"/>
      <c r="R8181" s="5"/>
      <c r="S8181" s="5"/>
      <c r="T8181" s="5"/>
      <c r="U8181" s="5"/>
      <c r="V8181" s="5"/>
      <c r="W8181" s="5"/>
      <c r="X8181" s="5"/>
      <c r="Y8181" s="5"/>
      <c r="Z8181" s="5"/>
    </row>
    <row r="8182" spans="1:26" ht="15" x14ac:dyDescent="0.25">
      <c r="A8182" s="4" t="s">
        <v>8180</v>
      </c>
      <c r="B8182" s="4" t="s">
        <v>4550</v>
      </c>
      <c r="C8182" s="2" t="str">
        <f ca="1">IFERROR(__xludf.DUMMYFUNCTION("GOOGLETRANSLATE(A8182,""bn"",""en"")"),"You were trying to understand")</f>
        <v>You were trying to understand</v>
      </c>
      <c r="D8182" s="5"/>
      <c r="E8182" s="5"/>
      <c r="F8182" s="5"/>
      <c r="G8182" s="5"/>
      <c r="H8182" s="5"/>
      <c r="I8182" s="5"/>
      <c r="J8182" s="5"/>
      <c r="K8182" s="5"/>
      <c r="L8182" s="5"/>
      <c r="M8182" s="5"/>
      <c r="N8182" s="5"/>
      <c r="O8182" s="5"/>
      <c r="P8182" s="5"/>
      <c r="Q8182" s="5"/>
      <c r="R8182" s="5"/>
      <c r="S8182" s="5"/>
      <c r="T8182" s="5"/>
      <c r="U8182" s="5"/>
      <c r="V8182" s="5"/>
      <c r="W8182" s="5"/>
      <c r="X8182" s="5"/>
      <c r="Y8182" s="5"/>
      <c r="Z8182" s="5"/>
    </row>
    <row r="8183" spans="1:26" ht="15" x14ac:dyDescent="0.25">
      <c r="A8183" s="4" t="s">
        <v>8181</v>
      </c>
      <c r="B8183" s="4" t="s">
        <v>4550</v>
      </c>
      <c r="C8183" s="2" t="str">
        <f ca="1">IFERROR(__xludf.DUMMYFUNCTION("GOOGLETRANSLATE(A8183,""bn"",""en"")"),"He was roasting meat")</f>
        <v>He was roasting meat</v>
      </c>
      <c r="D8183" s="5"/>
      <c r="E8183" s="5"/>
      <c r="F8183" s="5"/>
      <c r="G8183" s="5"/>
      <c r="H8183" s="5"/>
      <c r="I8183" s="5"/>
      <c r="J8183" s="5"/>
      <c r="K8183" s="5"/>
      <c r="L8183" s="5"/>
      <c r="M8183" s="5"/>
      <c r="N8183" s="5"/>
      <c r="O8183" s="5"/>
      <c r="P8183" s="5"/>
      <c r="Q8183" s="5"/>
      <c r="R8183" s="5"/>
      <c r="S8183" s="5"/>
      <c r="T8183" s="5"/>
      <c r="U8183" s="5"/>
      <c r="V8183" s="5"/>
      <c r="W8183" s="5"/>
      <c r="X8183" s="5"/>
      <c r="Y8183" s="5"/>
      <c r="Z8183" s="5"/>
    </row>
    <row r="8184" spans="1:26" ht="15" x14ac:dyDescent="0.25">
      <c r="A8184" s="4" t="s">
        <v>8182</v>
      </c>
      <c r="B8184" s="4" t="s">
        <v>4550</v>
      </c>
      <c r="C8184" s="2" t="str">
        <f ca="1">IFERROR(__xludf.DUMMYFUNCTION("GOOGLETRANSLATE(A8184,""bn"",""en"")"),"I struggled in my student life for success")</f>
        <v>I struggled in my student life for success</v>
      </c>
      <c r="D8184" s="5"/>
      <c r="E8184" s="5"/>
      <c r="F8184" s="5"/>
      <c r="G8184" s="5"/>
      <c r="H8184" s="5"/>
      <c r="I8184" s="5"/>
      <c r="J8184" s="5"/>
      <c r="K8184" s="5"/>
      <c r="L8184" s="5"/>
      <c r="M8184" s="5"/>
      <c r="N8184" s="5"/>
      <c r="O8184" s="5"/>
      <c r="P8184" s="5"/>
      <c r="Q8184" s="5"/>
      <c r="R8184" s="5"/>
      <c r="S8184" s="5"/>
      <c r="T8184" s="5"/>
      <c r="U8184" s="5"/>
      <c r="V8184" s="5"/>
      <c r="W8184" s="5"/>
      <c r="X8184" s="5"/>
      <c r="Y8184" s="5"/>
      <c r="Z8184" s="5"/>
    </row>
    <row r="8185" spans="1:26" ht="15" x14ac:dyDescent="0.25">
      <c r="A8185" s="4" t="s">
        <v>8183</v>
      </c>
      <c r="B8185" s="4" t="s">
        <v>4550</v>
      </c>
      <c r="C8185" s="2" t="str">
        <f ca="1">IFERROR(__xludf.DUMMYFUNCTION("GOOGLETRANSLATE(A8185,""bn"",""en"")"),"Had to suffer in student life")</f>
        <v>Had to suffer in student life</v>
      </c>
      <c r="D8185" s="5"/>
      <c r="E8185" s="5"/>
      <c r="F8185" s="5"/>
      <c r="G8185" s="5"/>
      <c r="H8185" s="5"/>
      <c r="I8185" s="5"/>
      <c r="J8185" s="5"/>
      <c r="K8185" s="5"/>
      <c r="L8185" s="5"/>
      <c r="M8185" s="5"/>
      <c r="N8185" s="5"/>
      <c r="O8185" s="5"/>
      <c r="P8185" s="5"/>
      <c r="Q8185" s="5"/>
      <c r="R8185" s="5"/>
      <c r="S8185" s="5"/>
      <c r="T8185" s="5"/>
      <c r="U8185" s="5"/>
      <c r="V8185" s="5"/>
      <c r="W8185" s="5"/>
      <c r="X8185" s="5"/>
      <c r="Y8185" s="5"/>
      <c r="Z8185" s="5"/>
    </row>
    <row r="8186" spans="1:26" ht="15" x14ac:dyDescent="0.25">
      <c r="A8186" s="4" t="s">
        <v>8184</v>
      </c>
      <c r="B8186" s="4" t="s">
        <v>4550</v>
      </c>
      <c r="C8186" s="2" t="str">
        <f ca="1">IFERROR(__xludf.DUMMYFUNCTION("GOOGLETRANSLATE(A8186,""bn"",""en"")"),"A ship was on Saturday")</f>
        <v>A ship was on Saturday</v>
      </c>
      <c r="D8186" s="5"/>
      <c r="E8186" s="5"/>
      <c r="F8186" s="5"/>
      <c r="G8186" s="5"/>
      <c r="H8186" s="5"/>
      <c r="I8186" s="5"/>
      <c r="J8186" s="5"/>
      <c r="K8186" s="5"/>
      <c r="L8186" s="5"/>
      <c r="M8186" s="5"/>
      <c r="N8186" s="5"/>
      <c r="O8186" s="5"/>
      <c r="P8186" s="5"/>
      <c r="Q8186" s="5"/>
      <c r="R8186" s="5"/>
      <c r="S8186" s="5"/>
      <c r="T8186" s="5"/>
      <c r="U8186" s="5"/>
      <c r="V8186" s="5"/>
      <c r="W8186" s="5"/>
      <c r="X8186" s="5"/>
      <c r="Y8186" s="5"/>
      <c r="Z8186" s="5"/>
    </row>
    <row r="8187" spans="1:26" ht="15" x14ac:dyDescent="0.25">
      <c r="A8187" s="4" t="s">
        <v>8185</v>
      </c>
      <c r="B8187" s="4" t="s">
        <v>4550</v>
      </c>
      <c r="C8187" s="2" t="str">
        <f ca="1">IFERROR(__xludf.DUMMYFUNCTION("GOOGLETRANSLATE(A8187,""bn"",""en"")"),"I used to read classic Bengali literature")</f>
        <v>I used to read classic Bengali literature</v>
      </c>
      <c r="D8187" s="5"/>
      <c r="E8187" s="5"/>
      <c r="F8187" s="5"/>
      <c r="G8187" s="5"/>
      <c r="H8187" s="5"/>
      <c r="I8187" s="5"/>
      <c r="J8187" s="5"/>
      <c r="K8187" s="5"/>
      <c r="L8187" s="5"/>
      <c r="M8187" s="5"/>
      <c r="N8187" s="5"/>
      <c r="O8187" s="5"/>
      <c r="P8187" s="5"/>
      <c r="Q8187" s="5"/>
      <c r="R8187" s="5"/>
      <c r="S8187" s="5"/>
      <c r="T8187" s="5"/>
      <c r="U8187" s="5"/>
      <c r="V8187" s="5"/>
      <c r="W8187" s="5"/>
      <c r="X8187" s="5"/>
      <c r="Y8187" s="5"/>
      <c r="Z8187" s="5"/>
    </row>
    <row r="8188" spans="1:26" ht="15" x14ac:dyDescent="0.25">
      <c r="A8188" s="4" t="s">
        <v>8186</v>
      </c>
      <c r="B8188" s="4" t="s">
        <v>4550</v>
      </c>
      <c r="C8188" s="2" t="str">
        <f ca="1">IFERROR(__xludf.DUMMYFUNCTION("GOOGLETRANSLATE(A8188,""bn"",""en"")"),"Shah Jahan built the Taj Mahal")</f>
        <v>Shah Jahan built the Taj Mahal</v>
      </c>
      <c r="D8188" s="5"/>
      <c r="E8188" s="5"/>
      <c r="F8188" s="5"/>
      <c r="G8188" s="5"/>
      <c r="H8188" s="5"/>
      <c r="I8188" s="5"/>
      <c r="J8188" s="5"/>
      <c r="K8188" s="5"/>
      <c r="L8188" s="5"/>
      <c r="M8188" s="5"/>
      <c r="N8188" s="5"/>
      <c r="O8188" s="5"/>
      <c r="P8188" s="5"/>
      <c r="Q8188" s="5"/>
      <c r="R8188" s="5"/>
      <c r="S8188" s="5"/>
      <c r="T8188" s="5"/>
      <c r="U8188" s="5"/>
      <c r="V8188" s="5"/>
      <c r="W8188" s="5"/>
      <c r="X8188" s="5"/>
      <c r="Y8188" s="5"/>
      <c r="Z8188" s="5"/>
    </row>
    <row r="8189" spans="1:26" ht="15" x14ac:dyDescent="0.25">
      <c r="A8189" s="4" t="s">
        <v>8187</v>
      </c>
      <c r="B8189" s="4" t="s">
        <v>4550</v>
      </c>
      <c r="C8189" s="2" t="str">
        <f ca="1">IFERROR(__xludf.DUMMYFUNCTION("GOOGLETRANSLATE(A8189,""bn"",""en"")"),"Significant protests were underway in politics")</f>
        <v>Significant protests were underway in politics</v>
      </c>
      <c r="D8189" s="5"/>
      <c r="E8189" s="5"/>
      <c r="F8189" s="5"/>
      <c r="G8189" s="5"/>
      <c r="H8189" s="5"/>
      <c r="I8189" s="5"/>
      <c r="J8189" s="5"/>
      <c r="K8189" s="5"/>
      <c r="L8189" s="5"/>
      <c r="M8189" s="5"/>
      <c r="N8189" s="5"/>
      <c r="O8189" s="5"/>
      <c r="P8189" s="5"/>
      <c r="Q8189" s="5"/>
      <c r="R8189" s="5"/>
      <c r="S8189" s="5"/>
      <c r="T8189" s="5"/>
      <c r="U8189" s="5"/>
      <c r="V8189" s="5"/>
      <c r="W8189" s="5"/>
      <c r="X8189" s="5"/>
      <c r="Y8189" s="5"/>
      <c r="Z8189" s="5"/>
    </row>
    <row r="8190" spans="1:26" ht="15" x14ac:dyDescent="0.25">
      <c r="A8190" s="4" t="s">
        <v>8188</v>
      </c>
      <c r="B8190" s="4" t="s">
        <v>4550</v>
      </c>
      <c r="C8190" s="2" t="str">
        <f ca="1">IFERROR(__xludf.DUMMYFUNCTION("GOOGLETRANSLATE(A8190,""bn"",""en"")"),"He checked the account")</f>
        <v>He checked the account</v>
      </c>
      <c r="D8190" s="5"/>
      <c r="E8190" s="5"/>
      <c r="F8190" s="5"/>
      <c r="G8190" s="5"/>
      <c r="H8190" s="5"/>
      <c r="I8190" s="5"/>
      <c r="J8190" s="5"/>
      <c r="K8190" s="5"/>
      <c r="L8190" s="5"/>
      <c r="M8190" s="5"/>
      <c r="N8190" s="5"/>
      <c r="O8190" s="5"/>
      <c r="P8190" s="5"/>
      <c r="Q8190" s="5"/>
      <c r="R8190" s="5"/>
      <c r="S8190" s="5"/>
      <c r="T8190" s="5"/>
      <c r="U8190" s="5"/>
      <c r="V8190" s="5"/>
      <c r="W8190" s="5"/>
      <c r="X8190" s="5"/>
      <c r="Y8190" s="5"/>
      <c r="Z8190" s="5"/>
    </row>
    <row r="8191" spans="1:26" ht="15" x14ac:dyDescent="0.25">
      <c r="A8191" s="4" t="s">
        <v>8189</v>
      </c>
      <c r="B8191" s="4" t="s">
        <v>4550</v>
      </c>
      <c r="C8191" s="2" t="str">
        <f ca="1">IFERROR(__xludf.DUMMYFUNCTION("GOOGLETRANSLATE(A8191,""bn"",""en"")"),"Hockey was played in the morning")</f>
        <v>Hockey was played in the morning</v>
      </c>
      <c r="D8191" s="5"/>
      <c r="E8191" s="5"/>
      <c r="F8191" s="5"/>
      <c r="G8191" s="5"/>
      <c r="H8191" s="5"/>
      <c r="I8191" s="5"/>
      <c r="J8191" s="5"/>
      <c r="K8191" s="5"/>
      <c r="L8191" s="5"/>
      <c r="M8191" s="5"/>
      <c r="N8191" s="5"/>
      <c r="O8191" s="5"/>
      <c r="P8191" s="5"/>
      <c r="Q8191" s="5"/>
      <c r="R8191" s="5"/>
      <c r="S8191" s="5"/>
      <c r="T8191" s="5"/>
      <c r="U8191" s="5"/>
      <c r="V8191" s="5"/>
      <c r="W8191" s="5"/>
      <c r="X8191" s="5"/>
      <c r="Y8191" s="5"/>
      <c r="Z8191" s="5"/>
    </row>
    <row r="8192" spans="1:26" ht="15" x14ac:dyDescent="0.25">
      <c r="A8192" s="4" t="s">
        <v>8190</v>
      </c>
      <c r="B8192" s="4" t="s">
        <v>4550</v>
      </c>
      <c r="C8192" s="2" t="str">
        <f ca="1">IFERROR(__xludf.DUMMYFUNCTION("GOOGLETRANSLATE(A8192,""bn"",""en"")"),"Watched the play in the evening")</f>
        <v>Watched the play in the evening</v>
      </c>
      <c r="D8192" s="5"/>
      <c r="E8192" s="5"/>
      <c r="F8192" s="5"/>
      <c r="G8192" s="5"/>
      <c r="H8192" s="5"/>
      <c r="I8192" s="5"/>
      <c r="J8192" s="5"/>
      <c r="K8192" s="5"/>
      <c r="L8192" s="5"/>
      <c r="M8192" s="5"/>
      <c r="N8192" s="5"/>
      <c r="O8192" s="5"/>
      <c r="P8192" s="5"/>
      <c r="Q8192" s="5"/>
      <c r="R8192" s="5"/>
      <c r="S8192" s="5"/>
      <c r="T8192" s="5"/>
      <c r="U8192" s="5"/>
      <c r="V8192" s="5"/>
      <c r="W8192" s="5"/>
      <c r="X8192" s="5"/>
      <c r="Y8192" s="5"/>
      <c r="Z8192" s="5"/>
    </row>
    <row r="8193" spans="1:26" ht="15" x14ac:dyDescent="0.25">
      <c r="A8193" s="4" t="s">
        <v>8191</v>
      </c>
      <c r="B8193" s="4" t="s">
        <v>4550</v>
      </c>
      <c r="C8193" s="2" t="str">
        <f ca="1">IFERROR(__xludf.DUMMYFUNCTION("GOOGLETRANSLATE(A8193,""bn"",""en"")"),"Students were enjoying football")</f>
        <v>Students were enjoying football</v>
      </c>
      <c r="D8193" s="5"/>
      <c r="E8193" s="5"/>
      <c r="F8193" s="5"/>
      <c r="G8193" s="5"/>
      <c r="H8193" s="5"/>
      <c r="I8193" s="5"/>
      <c r="J8193" s="5"/>
      <c r="K8193" s="5"/>
      <c r="L8193" s="5"/>
      <c r="M8193" s="5"/>
      <c r="N8193" s="5"/>
      <c r="O8193" s="5"/>
      <c r="P8193" s="5"/>
      <c r="Q8193" s="5"/>
      <c r="R8193" s="5"/>
      <c r="S8193" s="5"/>
      <c r="T8193" s="5"/>
      <c r="U8193" s="5"/>
      <c r="V8193" s="5"/>
      <c r="W8193" s="5"/>
      <c r="X8193" s="5"/>
      <c r="Y8193" s="5"/>
      <c r="Z8193" s="5"/>
    </row>
    <row r="8194" spans="1:26" ht="15" x14ac:dyDescent="0.25">
      <c r="A8194" s="4" t="s">
        <v>8192</v>
      </c>
      <c r="B8194" s="4" t="s">
        <v>4550</v>
      </c>
      <c r="C8194" s="2" t="str">
        <f ca="1">IFERROR(__xludf.DUMMYFUNCTION("GOOGLETRANSLATE(A8194,""bn"",""en"")"),"The Cabinet approved the proposal")</f>
        <v>The Cabinet approved the proposal</v>
      </c>
      <c r="D8194" s="5"/>
      <c r="E8194" s="5"/>
      <c r="F8194" s="5"/>
      <c r="G8194" s="5"/>
      <c r="H8194" s="5"/>
      <c r="I8194" s="5"/>
      <c r="J8194" s="5"/>
      <c r="K8194" s="5"/>
      <c r="L8194" s="5"/>
      <c r="M8194" s="5"/>
      <c r="N8194" s="5"/>
      <c r="O8194" s="5"/>
      <c r="P8194" s="5"/>
      <c r="Q8194" s="5"/>
      <c r="R8194" s="5"/>
      <c r="S8194" s="5"/>
      <c r="T8194" s="5"/>
      <c r="U8194" s="5"/>
      <c r="V8194" s="5"/>
      <c r="W8194" s="5"/>
      <c r="X8194" s="5"/>
      <c r="Y8194" s="5"/>
      <c r="Z8194" s="5"/>
    </row>
    <row r="8195" spans="1:26" ht="15" x14ac:dyDescent="0.25">
      <c r="A8195" s="4" t="s">
        <v>8193</v>
      </c>
      <c r="B8195" s="4" t="s">
        <v>4550</v>
      </c>
      <c r="C8195" s="2" t="str">
        <f ca="1">IFERROR(__xludf.DUMMYFUNCTION("GOOGLETRANSLATE(A8195,""bn"",""en"")"),"I used to see his picture")</f>
        <v>I used to see his picture</v>
      </c>
      <c r="D8195" s="5"/>
      <c r="E8195" s="5"/>
      <c r="F8195" s="5"/>
      <c r="G8195" s="5"/>
      <c r="H8195" s="5"/>
      <c r="I8195" s="5"/>
      <c r="J8195" s="5"/>
      <c r="K8195" s="5"/>
      <c r="L8195" s="5"/>
      <c r="M8195" s="5"/>
      <c r="N8195" s="5"/>
      <c r="O8195" s="5"/>
      <c r="P8195" s="5"/>
      <c r="Q8195" s="5"/>
      <c r="R8195" s="5"/>
      <c r="S8195" s="5"/>
      <c r="T8195" s="5"/>
      <c r="U8195" s="5"/>
      <c r="V8195" s="5"/>
      <c r="W8195" s="5"/>
      <c r="X8195" s="5"/>
      <c r="Y8195" s="5"/>
      <c r="Z8195" s="5"/>
    </row>
    <row r="8196" spans="1:26" ht="15" x14ac:dyDescent="0.25">
      <c r="A8196" s="4" t="s">
        <v>8194</v>
      </c>
      <c r="B8196" s="4" t="s">
        <v>4550</v>
      </c>
      <c r="C8196" s="2" t="str">
        <f ca="1">IFERROR(__xludf.DUMMYFUNCTION("GOOGLETRANSLATE(A8196,""bn"",""en"")"),"Had to learn cyber security")</f>
        <v>Had to learn cyber security</v>
      </c>
      <c r="D8196" s="5"/>
      <c r="E8196" s="5"/>
      <c r="F8196" s="5"/>
      <c r="G8196" s="5"/>
      <c r="H8196" s="5"/>
      <c r="I8196" s="5"/>
      <c r="J8196" s="5"/>
      <c r="K8196" s="5"/>
      <c r="L8196" s="5"/>
      <c r="M8196" s="5"/>
      <c r="N8196" s="5"/>
      <c r="O8196" s="5"/>
      <c r="P8196" s="5"/>
      <c r="Q8196" s="5"/>
      <c r="R8196" s="5"/>
      <c r="S8196" s="5"/>
      <c r="T8196" s="5"/>
      <c r="U8196" s="5"/>
      <c r="V8196" s="5"/>
      <c r="W8196" s="5"/>
      <c r="X8196" s="5"/>
      <c r="Y8196" s="5"/>
      <c r="Z8196" s="5"/>
    </row>
    <row r="8197" spans="1:26" ht="15" x14ac:dyDescent="0.25">
      <c r="A8197" s="4" t="s">
        <v>8195</v>
      </c>
      <c r="B8197" s="4" t="s">
        <v>4550</v>
      </c>
      <c r="C8197" s="2" t="str">
        <f ca="1">IFERROR(__xludf.DUMMYFUNCTION("GOOGLETRANSLATE(A8197,""bn"",""en"")"),"Coding technology emerged")</f>
        <v>Coding technology emerged</v>
      </c>
      <c r="D8197" s="5"/>
      <c r="E8197" s="5"/>
      <c r="F8197" s="5"/>
      <c r="G8197" s="5"/>
      <c r="H8197" s="5"/>
      <c r="I8197" s="5"/>
      <c r="J8197" s="5"/>
      <c r="K8197" s="5"/>
      <c r="L8197" s="5"/>
      <c r="M8197" s="5"/>
      <c r="N8197" s="5"/>
      <c r="O8197" s="5"/>
      <c r="P8197" s="5"/>
      <c r="Q8197" s="5"/>
      <c r="R8197" s="5"/>
      <c r="S8197" s="5"/>
      <c r="T8197" s="5"/>
      <c r="U8197" s="5"/>
      <c r="V8197" s="5"/>
      <c r="W8197" s="5"/>
      <c r="X8197" s="5"/>
      <c r="Y8197" s="5"/>
      <c r="Z8197" s="5"/>
    </row>
    <row r="8198" spans="1:26" ht="15" x14ac:dyDescent="0.25">
      <c r="A8198" s="4" t="s">
        <v>8196</v>
      </c>
      <c r="B8198" s="4" t="s">
        <v>4550</v>
      </c>
      <c r="C8198" s="2" t="str">
        <f ca="1">IFERROR(__xludf.DUMMYFUNCTION("GOOGLETRANSLATE(A8198,""bn"",""en"")"),"He learned the technique quickly")</f>
        <v>He learned the technique quickly</v>
      </c>
      <c r="D8198" s="5"/>
      <c r="E8198" s="5"/>
      <c r="F8198" s="5"/>
      <c r="G8198" s="5"/>
      <c r="H8198" s="5"/>
      <c r="I8198" s="5"/>
      <c r="J8198" s="5"/>
      <c r="K8198" s="5"/>
      <c r="L8198" s="5"/>
      <c r="M8198" s="5"/>
      <c r="N8198" s="5"/>
      <c r="O8198" s="5"/>
      <c r="P8198" s="5"/>
      <c r="Q8198" s="5"/>
      <c r="R8198" s="5"/>
      <c r="S8198" s="5"/>
      <c r="T8198" s="5"/>
      <c r="U8198" s="5"/>
      <c r="V8198" s="5"/>
      <c r="W8198" s="5"/>
      <c r="X8198" s="5"/>
      <c r="Y8198" s="5"/>
      <c r="Z8198" s="5"/>
    </row>
    <row r="8199" spans="1:26" ht="15" x14ac:dyDescent="0.25">
      <c r="A8199" s="4" t="s">
        <v>8197</v>
      </c>
      <c r="B8199" s="4" t="s">
        <v>4550</v>
      </c>
      <c r="C8199" s="2" t="str">
        <f ca="1">IFERROR(__xludf.DUMMYFUNCTION("GOOGLETRANSLATE(A8199,""bn"",""en"")"),"I advised Islamic life")</f>
        <v>I advised Islamic life</v>
      </c>
      <c r="D8199" s="5"/>
      <c r="E8199" s="5"/>
      <c r="F8199" s="5"/>
      <c r="G8199" s="5"/>
      <c r="H8199" s="5"/>
      <c r="I8199" s="5"/>
      <c r="J8199" s="5"/>
      <c r="K8199" s="5"/>
      <c r="L8199" s="5"/>
      <c r="M8199" s="5"/>
      <c r="N8199" s="5"/>
      <c r="O8199" s="5"/>
      <c r="P8199" s="5"/>
      <c r="Q8199" s="5"/>
      <c r="R8199" s="5"/>
      <c r="S8199" s="5"/>
      <c r="T8199" s="5"/>
      <c r="U8199" s="5"/>
      <c r="V8199" s="5"/>
      <c r="W8199" s="5"/>
      <c r="X8199" s="5"/>
      <c r="Y8199" s="5"/>
      <c r="Z8199" s="5"/>
    </row>
    <row r="8200" spans="1:26" ht="15" x14ac:dyDescent="0.25">
      <c r="A8200" s="4" t="s">
        <v>8198</v>
      </c>
      <c r="B8200" s="4" t="s">
        <v>4550</v>
      </c>
      <c r="C8200" s="2" t="str">
        <f ca="1">IFERROR(__xludf.DUMMYFUNCTION("GOOGLETRANSLATE(A8200,""bn"",""en"")"),"There were many tigers in the Sundarbans")</f>
        <v>There were many tigers in the Sundarbans</v>
      </c>
      <c r="D8200" s="5"/>
      <c r="E8200" s="5"/>
      <c r="F8200" s="5"/>
      <c r="G8200" s="5"/>
      <c r="H8200" s="5"/>
      <c r="I8200" s="5"/>
      <c r="J8200" s="5"/>
      <c r="K8200" s="5"/>
      <c r="L8200" s="5"/>
      <c r="M8200" s="5"/>
      <c r="N8200" s="5"/>
      <c r="O8200" s="5"/>
      <c r="P8200" s="5"/>
      <c r="Q8200" s="5"/>
      <c r="R8200" s="5"/>
      <c r="S8200" s="5"/>
      <c r="T8200" s="5"/>
      <c r="U8200" s="5"/>
      <c r="V8200" s="5"/>
      <c r="W8200" s="5"/>
      <c r="X8200" s="5"/>
      <c r="Y8200" s="5"/>
      <c r="Z8200" s="5"/>
    </row>
    <row r="8201" spans="1:26" ht="15" x14ac:dyDescent="0.25">
      <c r="A8201" s="4" t="s">
        <v>8199</v>
      </c>
      <c r="B8201" s="4" t="s">
        <v>4550</v>
      </c>
      <c r="C8201" s="2" t="str">
        <f ca="1">IFERROR(__xludf.DUMMYFUNCTION("GOOGLETRANSLATE(A8201,""bn"",""en"")"),"Improvements in transportation came at a cost")</f>
        <v>Improvements in transportation came at a cost</v>
      </c>
      <c r="D8201" s="5"/>
      <c r="E8201" s="5"/>
      <c r="F8201" s="5"/>
      <c r="G8201" s="5"/>
      <c r="H8201" s="5"/>
      <c r="I8201" s="5"/>
      <c r="J8201" s="5"/>
      <c r="K8201" s="5"/>
      <c r="L8201" s="5"/>
      <c r="M8201" s="5"/>
      <c r="N8201" s="5"/>
      <c r="O8201" s="5"/>
      <c r="P8201" s="5"/>
      <c r="Q8201" s="5"/>
      <c r="R8201" s="5"/>
      <c r="S8201" s="5"/>
      <c r="T8201" s="5"/>
      <c r="U8201" s="5"/>
      <c r="V8201" s="5"/>
      <c r="W8201" s="5"/>
      <c r="X8201" s="5"/>
      <c r="Y8201" s="5"/>
      <c r="Z8201" s="5"/>
    </row>
    <row r="8202" spans="1:26" ht="15" x14ac:dyDescent="0.25">
      <c r="A8202" s="4" t="s">
        <v>8200</v>
      </c>
      <c r="B8202" s="4" t="s">
        <v>4550</v>
      </c>
      <c r="C8202" s="2" t="str">
        <f ca="1">IFERROR(__xludf.DUMMYFUNCTION("GOOGLETRANSLATE(A8202,""bn"",""en"")"),"you were drinking tea")</f>
        <v>you were drinking tea</v>
      </c>
      <c r="D8202" s="5"/>
      <c r="E8202" s="5"/>
      <c r="F8202" s="5"/>
      <c r="G8202" s="5"/>
      <c r="H8202" s="5"/>
      <c r="I8202" s="5"/>
      <c r="J8202" s="5"/>
      <c r="K8202" s="5"/>
      <c r="L8202" s="5"/>
      <c r="M8202" s="5"/>
      <c r="N8202" s="5"/>
      <c r="O8202" s="5"/>
      <c r="P8202" s="5"/>
      <c r="Q8202" s="5"/>
      <c r="R8202" s="5"/>
      <c r="S8202" s="5"/>
      <c r="T8202" s="5"/>
      <c r="U8202" s="5"/>
      <c r="V8202" s="5"/>
      <c r="W8202" s="5"/>
      <c r="X8202" s="5"/>
      <c r="Y8202" s="5"/>
      <c r="Z8202" s="5"/>
    </row>
    <row r="8203" spans="1:26" ht="15" x14ac:dyDescent="0.25">
      <c r="A8203" s="4" t="s">
        <v>8201</v>
      </c>
      <c r="B8203" s="4" t="s">
        <v>4550</v>
      </c>
      <c r="C8203" s="2" t="str">
        <f ca="1">IFERROR(__xludf.DUMMYFUNCTION("GOOGLETRANSLATE(A8203,""bn"",""en"")"),"The atmosphere was beautiful in the spring")</f>
        <v>The atmosphere was beautiful in the spring</v>
      </c>
      <c r="D8203" s="5"/>
      <c r="E8203" s="5"/>
      <c r="F8203" s="5"/>
      <c r="G8203" s="5"/>
      <c r="H8203" s="5"/>
      <c r="I8203" s="5"/>
      <c r="J8203" s="5"/>
      <c r="K8203" s="5"/>
      <c r="L8203" s="5"/>
      <c r="M8203" s="5"/>
      <c r="N8203" s="5"/>
      <c r="O8203" s="5"/>
      <c r="P8203" s="5"/>
      <c r="Q8203" s="5"/>
      <c r="R8203" s="5"/>
      <c r="S8203" s="5"/>
      <c r="T8203" s="5"/>
      <c r="U8203" s="5"/>
      <c r="V8203" s="5"/>
      <c r="W8203" s="5"/>
      <c r="X8203" s="5"/>
      <c r="Y8203" s="5"/>
      <c r="Z8203" s="5"/>
    </row>
    <row r="8204" spans="1:26" ht="15" x14ac:dyDescent="0.25">
      <c r="A8204" s="4" t="s">
        <v>8202</v>
      </c>
      <c r="B8204" s="4" t="s">
        <v>4550</v>
      </c>
      <c r="C8204" s="2" t="str">
        <f ca="1">IFERROR(__xludf.DUMMYFUNCTION("GOOGLETRANSLATE(A8204,""bn"",""en"")"),"Breakfast was prepared in the morning")</f>
        <v>Breakfast was prepared in the morning</v>
      </c>
      <c r="D8204" s="5"/>
      <c r="E8204" s="5"/>
      <c r="F8204" s="5"/>
      <c r="G8204" s="5"/>
      <c r="H8204" s="5"/>
      <c r="I8204" s="5"/>
      <c r="J8204" s="5"/>
      <c r="K8204" s="5"/>
      <c r="L8204" s="5"/>
      <c r="M8204" s="5"/>
      <c r="N8204" s="5"/>
      <c r="O8204" s="5"/>
      <c r="P8204" s="5"/>
      <c r="Q8204" s="5"/>
      <c r="R8204" s="5"/>
      <c r="S8204" s="5"/>
      <c r="T8204" s="5"/>
      <c r="U8204" s="5"/>
      <c r="V8204" s="5"/>
      <c r="W8204" s="5"/>
      <c r="X8204" s="5"/>
      <c r="Y8204" s="5"/>
      <c r="Z8204" s="5"/>
    </row>
    <row r="8205" spans="1:26" ht="15" x14ac:dyDescent="0.25">
      <c r="A8205" s="4" t="s">
        <v>8203</v>
      </c>
      <c r="B8205" s="4" t="s">
        <v>4550</v>
      </c>
      <c r="C8205" s="2" t="str">
        <f ca="1">IFERROR(__xludf.DUMMYFUNCTION("GOOGLETRANSLATE(A8205,""bn"",""en"")"),"The game is developed by the developer")</f>
        <v>The game is developed by the developer</v>
      </c>
      <c r="D8205" s="5"/>
      <c r="E8205" s="5"/>
      <c r="F8205" s="5"/>
      <c r="G8205" s="5"/>
      <c r="H8205" s="5"/>
      <c r="I8205" s="5"/>
      <c r="J8205" s="5"/>
      <c r="K8205" s="5"/>
      <c r="L8205" s="5"/>
      <c r="M8205" s="5"/>
      <c r="N8205" s="5"/>
      <c r="O8205" s="5"/>
      <c r="P8205" s="5"/>
      <c r="Q8205" s="5"/>
      <c r="R8205" s="5"/>
      <c r="S8205" s="5"/>
      <c r="T8205" s="5"/>
      <c r="U8205" s="5"/>
      <c r="V8205" s="5"/>
      <c r="W8205" s="5"/>
      <c r="X8205" s="5"/>
      <c r="Y8205" s="5"/>
      <c r="Z8205" s="5"/>
    </row>
    <row r="8206" spans="1:26" ht="15" x14ac:dyDescent="0.25">
      <c r="A8206" s="4" t="s">
        <v>8204</v>
      </c>
      <c r="B8206" s="4" t="s">
        <v>4550</v>
      </c>
      <c r="C8206" s="2" t="str">
        <f ca="1">IFERROR(__xludf.DUMMYFUNCTION("GOOGLETRANSLATE(A8206,""bn"",""en"")"),"I did the root test temple")</f>
        <v>I did the root test temple</v>
      </c>
      <c r="D8206" s="5"/>
      <c r="E8206" s="5"/>
      <c r="F8206" s="5"/>
      <c r="G8206" s="5"/>
      <c r="H8206" s="5"/>
      <c r="I8206" s="5"/>
      <c r="J8206" s="5"/>
      <c r="K8206" s="5"/>
      <c r="L8206" s="5"/>
      <c r="M8206" s="5"/>
      <c r="N8206" s="5"/>
      <c r="O8206" s="5"/>
      <c r="P8206" s="5"/>
      <c r="Q8206" s="5"/>
      <c r="R8206" s="5"/>
      <c r="S8206" s="5"/>
      <c r="T8206" s="5"/>
      <c r="U8206" s="5"/>
      <c r="V8206" s="5"/>
      <c r="W8206" s="5"/>
      <c r="X8206" s="5"/>
      <c r="Y8206" s="5"/>
      <c r="Z8206" s="5"/>
    </row>
    <row r="8207" spans="1:26" ht="15" x14ac:dyDescent="0.25">
      <c r="A8207" s="4" t="s">
        <v>8205</v>
      </c>
      <c r="B8207" s="4" t="s">
        <v>4550</v>
      </c>
      <c r="C8207" s="2" t="str">
        <f ca="1">IFERROR(__xludf.DUMMYFUNCTION("GOOGLETRANSLATE(A8207,""bn"",""en"")"),"You did higher education last year")</f>
        <v>You did higher education last year</v>
      </c>
      <c r="D8207" s="5"/>
      <c r="E8207" s="5"/>
      <c r="F8207" s="5"/>
      <c r="G8207" s="5"/>
      <c r="H8207" s="5"/>
      <c r="I8207" s="5"/>
      <c r="J8207" s="5"/>
      <c r="K8207" s="5"/>
      <c r="L8207" s="5"/>
      <c r="M8207" s="5"/>
      <c r="N8207" s="5"/>
      <c r="O8207" s="5"/>
      <c r="P8207" s="5"/>
      <c r="Q8207" s="5"/>
      <c r="R8207" s="5"/>
      <c r="S8207" s="5"/>
      <c r="T8207" s="5"/>
      <c r="U8207" s="5"/>
      <c r="V8207" s="5"/>
      <c r="W8207" s="5"/>
      <c r="X8207" s="5"/>
      <c r="Y8207" s="5"/>
      <c r="Z8207" s="5"/>
    </row>
    <row r="8208" spans="1:26" ht="15" x14ac:dyDescent="0.25">
      <c r="A8208" s="4" t="s">
        <v>8206</v>
      </c>
      <c r="B8208" s="4" t="s">
        <v>4550</v>
      </c>
      <c r="C8208" s="2" t="str">
        <f ca="1">IFERROR(__xludf.DUMMYFUNCTION("GOOGLETRANSLATE(A8208,""bn"",""en"")"),"Society has moved on to digitization")</f>
        <v>Society has moved on to digitization</v>
      </c>
      <c r="D8208" s="5"/>
      <c r="E8208" s="5"/>
      <c r="F8208" s="5"/>
      <c r="G8208" s="5"/>
      <c r="H8208" s="5"/>
      <c r="I8208" s="5"/>
      <c r="J8208" s="5"/>
      <c r="K8208" s="5"/>
      <c r="L8208" s="5"/>
      <c r="M8208" s="5"/>
      <c r="N8208" s="5"/>
      <c r="O8208" s="5"/>
      <c r="P8208" s="5"/>
      <c r="Q8208" s="5"/>
      <c r="R8208" s="5"/>
      <c r="S8208" s="5"/>
      <c r="T8208" s="5"/>
      <c r="U8208" s="5"/>
      <c r="V8208" s="5"/>
      <c r="W8208" s="5"/>
      <c r="X8208" s="5"/>
      <c r="Y8208" s="5"/>
      <c r="Z8208" s="5"/>
    </row>
    <row r="8209" spans="1:26" ht="15" x14ac:dyDescent="0.25">
      <c r="A8209" s="4" t="s">
        <v>8207</v>
      </c>
      <c r="B8209" s="4" t="s">
        <v>4550</v>
      </c>
      <c r="C8209" s="2" t="str">
        <f ca="1">IFERROR(__xludf.DUMMYFUNCTION("GOOGLETRANSLATE(A8209,""bn"",""en"")"),"Used headphones in meetings")</f>
        <v>Used headphones in meetings</v>
      </c>
      <c r="D8209" s="5"/>
      <c r="E8209" s="5"/>
      <c r="F8209" s="5"/>
      <c r="G8209" s="5"/>
      <c r="H8209" s="5"/>
      <c r="I8209" s="5"/>
      <c r="J8209" s="5"/>
      <c r="K8209" s="5"/>
      <c r="L8209" s="5"/>
      <c r="M8209" s="5"/>
      <c r="N8209" s="5"/>
      <c r="O8209" s="5"/>
      <c r="P8209" s="5"/>
      <c r="Q8209" s="5"/>
      <c r="R8209" s="5"/>
      <c r="S8209" s="5"/>
      <c r="T8209" s="5"/>
      <c r="U8209" s="5"/>
      <c r="V8209" s="5"/>
      <c r="W8209" s="5"/>
      <c r="X8209" s="5"/>
      <c r="Y8209" s="5"/>
      <c r="Z8209" s="5"/>
    </row>
    <row r="8210" spans="1:26" ht="15" x14ac:dyDescent="0.25">
      <c r="A8210" s="4" t="s">
        <v>8208</v>
      </c>
      <c r="B8210" s="4" t="s">
        <v>4550</v>
      </c>
      <c r="C8210" s="2" t="str">
        <f ca="1">IFERROR(__xludf.DUMMYFUNCTION("GOOGLETRANSLATE(A8210,""bn"",""en"")"),"We were in the mountains")</f>
        <v>We were in the mountains</v>
      </c>
      <c r="D8210" s="5"/>
      <c r="E8210" s="5"/>
      <c r="F8210" s="5"/>
      <c r="G8210" s="5"/>
      <c r="H8210" s="5"/>
      <c r="I8210" s="5"/>
      <c r="J8210" s="5"/>
      <c r="K8210" s="5"/>
      <c r="L8210" s="5"/>
      <c r="M8210" s="5"/>
      <c r="N8210" s="5"/>
      <c r="O8210" s="5"/>
      <c r="P8210" s="5"/>
      <c r="Q8210" s="5"/>
      <c r="R8210" s="5"/>
      <c r="S8210" s="5"/>
      <c r="T8210" s="5"/>
      <c r="U8210" s="5"/>
      <c r="V8210" s="5"/>
      <c r="W8210" s="5"/>
      <c r="X8210" s="5"/>
      <c r="Y8210" s="5"/>
      <c r="Z8210" s="5"/>
    </row>
    <row r="8211" spans="1:26" ht="15" x14ac:dyDescent="0.25">
      <c r="A8211" s="4" t="s">
        <v>8209</v>
      </c>
      <c r="B8211" s="4" t="s">
        <v>4550</v>
      </c>
      <c r="C8211" s="2" t="str">
        <f ca="1">IFERROR(__xludf.DUMMYFUNCTION("GOOGLETRANSLATE(A8211,""bn"",""en"")"),"There were unorganized trade routes")</f>
        <v>There were unorganized trade routes</v>
      </c>
      <c r="D8211" s="5"/>
      <c r="E8211" s="5"/>
      <c r="F8211" s="5"/>
      <c r="G8211" s="5"/>
      <c r="H8211" s="5"/>
      <c r="I8211" s="5"/>
      <c r="J8211" s="5"/>
      <c r="K8211" s="5"/>
      <c r="L8211" s="5"/>
      <c r="M8211" s="5"/>
      <c r="N8211" s="5"/>
      <c r="O8211" s="5"/>
      <c r="P8211" s="5"/>
      <c r="Q8211" s="5"/>
      <c r="R8211" s="5"/>
      <c r="S8211" s="5"/>
      <c r="T8211" s="5"/>
      <c r="U8211" s="5"/>
      <c r="V8211" s="5"/>
      <c r="W8211" s="5"/>
      <c r="X8211" s="5"/>
      <c r="Y8211" s="5"/>
      <c r="Z8211" s="5"/>
    </row>
    <row r="8212" spans="1:26" ht="15" x14ac:dyDescent="0.25">
      <c r="A8212" s="4" t="s">
        <v>8210</v>
      </c>
      <c r="B8212" s="4" t="s">
        <v>4550</v>
      </c>
      <c r="C8212" s="2" t="str">
        <f ca="1">IFERROR(__xludf.DUMMYFUNCTION("GOOGLETRANSLATE(A8212,""bn"",""en"")"),"Visited the old mosque")</f>
        <v>Visited the old mosque</v>
      </c>
      <c r="D8212" s="5"/>
      <c r="E8212" s="5"/>
      <c r="F8212" s="5"/>
      <c r="G8212" s="5"/>
      <c r="H8212" s="5"/>
      <c r="I8212" s="5"/>
      <c r="J8212" s="5"/>
      <c r="K8212" s="5"/>
      <c r="L8212" s="5"/>
      <c r="M8212" s="5"/>
      <c r="N8212" s="5"/>
      <c r="O8212" s="5"/>
      <c r="P8212" s="5"/>
      <c r="Q8212" s="5"/>
      <c r="R8212" s="5"/>
      <c r="S8212" s="5"/>
      <c r="T8212" s="5"/>
      <c r="U8212" s="5"/>
      <c r="V8212" s="5"/>
      <c r="W8212" s="5"/>
      <c r="X8212" s="5"/>
      <c r="Y8212" s="5"/>
      <c r="Z8212" s="5"/>
    </row>
    <row r="8213" spans="1:26" ht="15" x14ac:dyDescent="0.25">
      <c r="A8213" s="4" t="s">
        <v>8211</v>
      </c>
      <c r="B8213" s="4" t="s">
        <v>4550</v>
      </c>
      <c r="C8213" s="2" t="str">
        <f ca="1">IFERROR(__xludf.DUMMYFUNCTION("GOOGLETRANSLATE(A8213,""bn"",""en"")"),"The application encountered a bug")</f>
        <v>The application encountered a bug</v>
      </c>
      <c r="D8213" s="5"/>
      <c r="E8213" s="5"/>
      <c r="F8213" s="5"/>
      <c r="G8213" s="5"/>
      <c r="H8213" s="5"/>
      <c r="I8213" s="5"/>
      <c r="J8213" s="5"/>
      <c r="K8213" s="5"/>
      <c r="L8213" s="5"/>
      <c r="M8213" s="5"/>
      <c r="N8213" s="5"/>
      <c r="O8213" s="5"/>
      <c r="P8213" s="5"/>
      <c r="Q8213" s="5"/>
      <c r="R8213" s="5"/>
      <c r="S8213" s="5"/>
      <c r="T8213" s="5"/>
      <c r="U8213" s="5"/>
      <c r="V8213" s="5"/>
      <c r="W8213" s="5"/>
      <c r="X8213" s="5"/>
      <c r="Y8213" s="5"/>
      <c r="Z8213" s="5"/>
    </row>
    <row r="8214" spans="1:26" ht="15" x14ac:dyDescent="0.25">
      <c r="A8214" s="4" t="s">
        <v>8212</v>
      </c>
      <c r="B8214" s="4" t="s">
        <v>4550</v>
      </c>
      <c r="C8214" s="2" t="str">
        <f ca="1">IFERROR(__xludf.DUMMYFUNCTION("GOOGLETRANSLATE(A8214,""bn"",""en"")"),"Members of Parliament came to Parliament")</f>
        <v>Members of Parliament came to Parliament</v>
      </c>
      <c r="D8214" s="5"/>
      <c r="E8214" s="5"/>
      <c r="F8214" s="5"/>
      <c r="G8214" s="5"/>
      <c r="H8214" s="5"/>
      <c r="I8214" s="5"/>
      <c r="J8214" s="5"/>
      <c r="K8214" s="5"/>
      <c r="L8214" s="5"/>
      <c r="M8214" s="5"/>
      <c r="N8214" s="5"/>
      <c r="O8214" s="5"/>
      <c r="P8214" s="5"/>
      <c r="Q8214" s="5"/>
      <c r="R8214" s="5"/>
      <c r="S8214" s="5"/>
      <c r="T8214" s="5"/>
      <c r="U8214" s="5"/>
      <c r="V8214" s="5"/>
      <c r="W8214" s="5"/>
      <c r="X8214" s="5"/>
      <c r="Y8214" s="5"/>
      <c r="Z8214" s="5"/>
    </row>
    <row r="8215" spans="1:26" ht="15" x14ac:dyDescent="0.25">
      <c r="A8215" s="4" t="s">
        <v>8213</v>
      </c>
      <c r="B8215" s="4" t="s">
        <v>4550</v>
      </c>
      <c r="C8215" s="2" t="str">
        <f ca="1">IFERROR(__xludf.DUMMYFUNCTION("GOOGLETRANSLATE(A8215,""bn"",""en"")"),"Budget preparation is the government")</f>
        <v>Budget preparation is the government</v>
      </c>
      <c r="D8215" s="5"/>
      <c r="E8215" s="5"/>
      <c r="F8215" s="5"/>
      <c r="G8215" s="5"/>
      <c r="H8215" s="5"/>
      <c r="I8215" s="5"/>
      <c r="J8215" s="5"/>
      <c r="K8215" s="5"/>
      <c r="L8215" s="5"/>
      <c r="M8215" s="5"/>
      <c r="N8215" s="5"/>
      <c r="O8215" s="5"/>
      <c r="P8215" s="5"/>
      <c r="Q8215" s="5"/>
      <c r="R8215" s="5"/>
      <c r="S8215" s="5"/>
      <c r="T8215" s="5"/>
      <c r="U8215" s="5"/>
      <c r="V8215" s="5"/>
      <c r="W8215" s="5"/>
      <c r="X8215" s="5"/>
      <c r="Y8215" s="5"/>
      <c r="Z8215" s="5"/>
    </row>
    <row r="8216" spans="1:26" ht="15" x14ac:dyDescent="0.25">
      <c r="A8216" s="4" t="s">
        <v>8214</v>
      </c>
      <c r="B8216" s="4" t="s">
        <v>4550</v>
      </c>
      <c r="C8216" s="2" t="str">
        <f ca="1">IFERROR(__xludf.DUMMYFUNCTION("GOOGLETRANSLATE(A8216,""bn"",""en"")"),"Everyone came to the field to play")</f>
        <v>Everyone came to the field to play</v>
      </c>
      <c r="D8216" s="5"/>
      <c r="E8216" s="5"/>
      <c r="F8216" s="5"/>
      <c r="G8216" s="5"/>
      <c r="H8216" s="5"/>
      <c r="I8216" s="5"/>
      <c r="J8216" s="5"/>
      <c r="K8216" s="5"/>
      <c r="L8216" s="5"/>
      <c r="M8216" s="5"/>
      <c r="N8216" s="5"/>
      <c r="O8216" s="5"/>
      <c r="P8216" s="5"/>
      <c r="Q8216" s="5"/>
      <c r="R8216" s="5"/>
      <c r="S8216" s="5"/>
      <c r="T8216" s="5"/>
      <c r="U8216" s="5"/>
      <c r="V8216" s="5"/>
      <c r="W8216" s="5"/>
      <c r="X8216" s="5"/>
      <c r="Y8216" s="5"/>
      <c r="Z8216" s="5"/>
    </row>
    <row r="8217" spans="1:26" ht="15" x14ac:dyDescent="0.25">
      <c r="A8217" s="4" t="s">
        <v>8215</v>
      </c>
      <c r="B8217" s="4" t="s">
        <v>4550</v>
      </c>
      <c r="C8217" s="2" t="str">
        <f ca="1">IFERROR(__xludf.DUMMYFUNCTION("GOOGLETRANSLATE(A8217,""bn"",""en"")"),"I had a monthly bank dispute")</f>
        <v>I had a monthly bank dispute</v>
      </c>
      <c r="D8217" s="5"/>
      <c r="E8217" s="5"/>
      <c r="F8217" s="5"/>
      <c r="G8217" s="5"/>
      <c r="H8217" s="5"/>
      <c r="I8217" s="5"/>
      <c r="J8217" s="5"/>
      <c r="K8217" s="5"/>
      <c r="L8217" s="5"/>
      <c r="M8217" s="5"/>
      <c r="N8217" s="5"/>
      <c r="O8217" s="5"/>
      <c r="P8217" s="5"/>
      <c r="Q8217" s="5"/>
      <c r="R8217" s="5"/>
      <c r="S8217" s="5"/>
      <c r="T8217" s="5"/>
      <c r="U8217" s="5"/>
      <c r="V8217" s="5"/>
      <c r="W8217" s="5"/>
      <c r="X8217" s="5"/>
      <c r="Y8217" s="5"/>
      <c r="Z8217" s="5"/>
    </row>
    <row r="8218" spans="1:26" ht="15" x14ac:dyDescent="0.25">
      <c r="A8218" s="4" t="s">
        <v>8216</v>
      </c>
      <c r="B8218" s="4" t="s">
        <v>4550</v>
      </c>
      <c r="C8218" s="2" t="str">
        <f ca="1">IFERROR(__xludf.DUMMYFUNCTION("GOOGLETRANSLATE(A8218,""bn"",""en"")"),"The level of competition has increased")</f>
        <v>The level of competition has increased</v>
      </c>
      <c r="D8218" s="5"/>
      <c r="E8218" s="5"/>
      <c r="F8218" s="5"/>
      <c r="G8218" s="5"/>
      <c r="H8218" s="5"/>
      <c r="I8218" s="5"/>
      <c r="J8218" s="5"/>
      <c r="K8218" s="5"/>
      <c r="L8218" s="5"/>
      <c r="M8218" s="5"/>
      <c r="N8218" s="5"/>
      <c r="O8218" s="5"/>
      <c r="P8218" s="5"/>
      <c r="Q8218" s="5"/>
      <c r="R8218" s="5"/>
      <c r="S8218" s="5"/>
      <c r="T8218" s="5"/>
      <c r="U8218" s="5"/>
      <c r="V8218" s="5"/>
      <c r="W8218" s="5"/>
      <c r="X8218" s="5"/>
      <c r="Y8218" s="5"/>
      <c r="Z8218" s="5"/>
    </row>
    <row r="8219" spans="1:26" ht="15" x14ac:dyDescent="0.25">
      <c r="A8219" s="4" t="s">
        <v>8217</v>
      </c>
      <c r="B8219" s="4" t="s">
        <v>4550</v>
      </c>
      <c r="C8219" s="2" t="str">
        <f ca="1">IFERROR(__xludf.DUMMYFUNCTION("GOOGLETRANSLATE(A8219,""bn"",""en"")"),"The Muslims were praying")</f>
        <v>The Muslims were praying</v>
      </c>
      <c r="D8219" s="5"/>
      <c r="E8219" s="5"/>
      <c r="F8219" s="5"/>
      <c r="G8219" s="5"/>
      <c r="H8219" s="5"/>
      <c r="I8219" s="5"/>
      <c r="J8219" s="5"/>
      <c r="K8219" s="5"/>
      <c r="L8219" s="5"/>
      <c r="M8219" s="5"/>
      <c r="N8219" s="5"/>
      <c r="O8219" s="5"/>
      <c r="P8219" s="5"/>
      <c r="Q8219" s="5"/>
      <c r="R8219" s="5"/>
      <c r="S8219" s="5"/>
      <c r="T8219" s="5"/>
      <c r="U8219" s="5"/>
      <c r="V8219" s="5"/>
      <c r="W8219" s="5"/>
      <c r="X8219" s="5"/>
      <c r="Y8219" s="5"/>
      <c r="Z8219" s="5"/>
    </row>
    <row r="8220" spans="1:26" ht="15" x14ac:dyDescent="0.25">
      <c r="A8220" s="4" t="s">
        <v>8218</v>
      </c>
      <c r="B8220" s="4" t="s">
        <v>4550</v>
      </c>
      <c r="C8220" s="2" t="str">
        <f ca="1">IFERROR(__xludf.DUMMYFUNCTION("GOOGLETRANSLATE(A8220,""bn"",""en"")"),"Everyone was reading classic literature")</f>
        <v>Everyone was reading classic literature</v>
      </c>
      <c r="D8220" s="5"/>
      <c r="E8220" s="5"/>
      <c r="F8220" s="5"/>
      <c r="G8220" s="5"/>
      <c r="H8220" s="5"/>
      <c r="I8220" s="5"/>
      <c r="J8220" s="5"/>
      <c r="K8220" s="5"/>
      <c r="L8220" s="5"/>
      <c r="M8220" s="5"/>
      <c r="N8220" s="5"/>
      <c r="O8220" s="5"/>
      <c r="P8220" s="5"/>
      <c r="Q8220" s="5"/>
      <c r="R8220" s="5"/>
      <c r="S8220" s="5"/>
      <c r="T8220" s="5"/>
      <c r="U8220" s="5"/>
      <c r="V8220" s="5"/>
      <c r="W8220" s="5"/>
      <c r="X8220" s="5"/>
      <c r="Y8220" s="5"/>
      <c r="Z8220" s="5"/>
    </row>
    <row r="8221" spans="1:26" ht="15" x14ac:dyDescent="0.25">
      <c r="A8221" s="4" t="s">
        <v>8219</v>
      </c>
      <c r="B8221" s="4" t="s">
        <v>4550</v>
      </c>
      <c r="C8221" s="2" t="str">
        <f ca="1">IFERROR(__xludf.DUMMYFUNCTION("GOOGLETRANSLATE(A8221,""bn"",""en"")"),"Went on annual education tour")</f>
        <v>Went on annual education tour</v>
      </c>
      <c r="D8221" s="5"/>
      <c r="E8221" s="5"/>
      <c r="F8221" s="5"/>
      <c r="G8221" s="5"/>
      <c r="H8221" s="5"/>
      <c r="I8221" s="5"/>
      <c r="J8221" s="5"/>
      <c r="K8221" s="5"/>
      <c r="L8221" s="5"/>
      <c r="M8221" s="5"/>
      <c r="N8221" s="5"/>
      <c r="O8221" s="5"/>
      <c r="P8221" s="5"/>
      <c r="Q8221" s="5"/>
      <c r="R8221" s="5"/>
      <c r="S8221" s="5"/>
      <c r="T8221" s="5"/>
      <c r="U8221" s="5"/>
      <c r="V8221" s="5"/>
      <c r="W8221" s="5"/>
      <c r="X8221" s="5"/>
      <c r="Y8221" s="5"/>
      <c r="Z8221" s="5"/>
    </row>
    <row r="8222" spans="1:26" ht="15" x14ac:dyDescent="0.25">
      <c r="A8222" s="4" t="s">
        <v>8220</v>
      </c>
      <c r="B8222" s="4" t="s">
        <v>4550</v>
      </c>
      <c r="C8222" s="2" t="str">
        <f ca="1">IFERROR(__xludf.DUMMYFUNCTION("GOOGLETRANSLATE(A8222,""bn"",""en"")"),"He dropped the egg in the pan")</f>
        <v>He dropped the egg in the pan</v>
      </c>
      <c r="D8222" s="5"/>
      <c r="E8222" s="5"/>
      <c r="F8222" s="5"/>
      <c r="G8222" s="5"/>
      <c r="H8222" s="5"/>
      <c r="I8222" s="5"/>
      <c r="J8222" s="5"/>
      <c r="K8222" s="5"/>
      <c r="L8222" s="5"/>
      <c r="M8222" s="5"/>
      <c r="N8222" s="5"/>
      <c r="O8222" s="5"/>
      <c r="P8222" s="5"/>
      <c r="Q8222" s="5"/>
      <c r="R8222" s="5"/>
      <c r="S8222" s="5"/>
      <c r="T8222" s="5"/>
      <c r="U8222" s="5"/>
      <c r="V8222" s="5"/>
      <c r="W8222" s="5"/>
      <c r="X8222" s="5"/>
      <c r="Y8222" s="5"/>
      <c r="Z8222" s="5"/>
    </row>
    <row r="8223" spans="1:26" ht="15" x14ac:dyDescent="0.25">
      <c r="A8223" s="4" t="s">
        <v>8221</v>
      </c>
      <c r="B8223" s="4" t="s">
        <v>4550</v>
      </c>
      <c r="C8223" s="2" t="str">
        <f ca="1">IFERROR(__xludf.DUMMYFUNCTION("GOOGLETRANSLATE(A8223,""bn"",""en"")"),"Mangoes were produced as a result")</f>
        <v>Mangoes were produced as a result</v>
      </c>
      <c r="D8223" s="5"/>
      <c r="E8223" s="5"/>
      <c r="F8223" s="5"/>
      <c r="G8223" s="5"/>
      <c r="H8223" s="5"/>
      <c r="I8223" s="5"/>
      <c r="J8223" s="5"/>
      <c r="K8223" s="5"/>
      <c r="L8223" s="5"/>
      <c r="M8223" s="5"/>
      <c r="N8223" s="5"/>
      <c r="O8223" s="5"/>
      <c r="P8223" s="5"/>
      <c r="Q8223" s="5"/>
      <c r="R8223" s="5"/>
      <c r="S8223" s="5"/>
      <c r="T8223" s="5"/>
      <c r="U8223" s="5"/>
      <c r="V8223" s="5"/>
      <c r="W8223" s="5"/>
      <c r="X8223" s="5"/>
      <c r="Y8223" s="5"/>
      <c r="Z8223" s="5"/>
    </row>
    <row r="8224" spans="1:26" ht="15" x14ac:dyDescent="0.25">
      <c r="A8224" s="4" t="s">
        <v>8222</v>
      </c>
      <c r="B8224" s="4" t="s">
        <v>4550</v>
      </c>
      <c r="C8224" s="2" t="str">
        <f ca="1">IFERROR(__xludf.DUMMYFUNCTION("GOOGLETRANSLATE(A8224,""bn"",""en"")"),"I ate roast chicken at the festival")</f>
        <v>I ate roast chicken at the festival</v>
      </c>
      <c r="D8224" s="5"/>
      <c r="E8224" s="5"/>
      <c r="F8224" s="5"/>
      <c r="G8224" s="5"/>
      <c r="H8224" s="5"/>
      <c r="I8224" s="5"/>
      <c r="J8224" s="5"/>
      <c r="K8224" s="5"/>
      <c r="L8224" s="5"/>
      <c r="M8224" s="5"/>
      <c r="N8224" s="5"/>
      <c r="O8224" s="5"/>
      <c r="P8224" s="5"/>
      <c r="Q8224" s="5"/>
      <c r="R8224" s="5"/>
      <c r="S8224" s="5"/>
      <c r="T8224" s="5"/>
      <c r="U8224" s="5"/>
      <c r="V8224" s="5"/>
      <c r="W8224" s="5"/>
      <c r="X8224" s="5"/>
      <c r="Y8224" s="5"/>
      <c r="Z8224" s="5"/>
    </row>
    <row r="8225" spans="1:26" ht="15" x14ac:dyDescent="0.25">
      <c r="A8225" s="4" t="s">
        <v>8223</v>
      </c>
      <c r="B8225" s="4" t="s">
        <v>4550</v>
      </c>
      <c r="C8225" s="2" t="str">
        <f ca="1">IFERROR(__xludf.DUMMYFUNCTION("GOOGLETRANSLATE(A8225,""bn"",""en"")"),"Had pizza last afternoon")</f>
        <v>Had pizza last afternoon</v>
      </c>
      <c r="D8225" s="5"/>
      <c r="E8225" s="5"/>
      <c r="F8225" s="5"/>
      <c r="G8225" s="5"/>
      <c r="H8225" s="5"/>
      <c r="I8225" s="5"/>
      <c r="J8225" s="5"/>
      <c r="K8225" s="5"/>
      <c r="L8225" s="5"/>
      <c r="M8225" s="5"/>
      <c r="N8225" s="5"/>
      <c r="O8225" s="5"/>
      <c r="P8225" s="5"/>
      <c r="Q8225" s="5"/>
      <c r="R8225" s="5"/>
      <c r="S8225" s="5"/>
      <c r="T8225" s="5"/>
      <c r="U8225" s="5"/>
      <c r="V8225" s="5"/>
      <c r="W8225" s="5"/>
      <c r="X8225" s="5"/>
      <c r="Y8225" s="5"/>
      <c r="Z8225" s="5"/>
    </row>
    <row r="8226" spans="1:26" ht="15" x14ac:dyDescent="0.25">
      <c r="A8226" s="4" t="s">
        <v>8224</v>
      </c>
      <c r="B8226" s="4" t="s">
        <v>4550</v>
      </c>
      <c r="C8226" s="2" t="str">
        <f ca="1">IFERROR(__xludf.DUMMYFUNCTION("GOOGLETRANSLATE(A8226,""bn"",""en"")"),"Went to see natural attractions")</f>
        <v>Went to see natural attractions</v>
      </c>
      <c r="D8226" s="5"/>
      <c r="E8226" s="5"/>
      <c r="F8226" s="5"/>
      <c r="G8226" s="5"/>
      <c r="H8226" s="5"/>
      <c r="I8226" s="5"/>
      <c r="J8226" s="5"/>
      <c r="K8226" s="5"/>
      <c r="L8226" s="5"/>
      <c r="M8226" s="5"/>
      <c r="N8226" s="5"/>
      <c r="O8226" s="5"/>
      <c r="P8226" s="5"/>
      <c r="Q8226" s="5"/>
      <c r="R8226" s="5"/>
      <c r="S8226" s="5"/>
      <c r="T8226" s="5"/>
      <c r="U8226" s="5"/>
      <c r="V8226" s="5"/>
      <c r="W8226" s="5"/>
      <c r="X8226" s="5"/>
      <c r="Y8226" s="5"/>
      <c r="Z8226" s="5"/>
    </row>
    <row r="8227" spans="1:26" ht="15" x14ac:dyDescent="0.25">
      <c r="A8227" s="4" t="s">
        <v>8225</v>
      </c>
      <c r="B8227" s="4" t="s">
        <v>4550</v>
      </c>
      <c r="C8227" s="2" t="str">
        <f ca="1">IFERROR(__xludf.DUMMYFUNCTION("GOOGLETRANSLATE(A8227,""bn"",""en"")"),"The singers went to the ceremony in retirement")</f>
        <v>The singers went to the ceremony in retirement</v>
      </c>
      <c r="D8227" s="5"/>
      <c r="E8227" s="5"/>
      <c r="F8227" s="5"/>
      <c r="G8227" s="5"/>
      <c r="H8227" s="5"/>
      <c r="I8227" s="5"/>
      <c r="J8227" s="5"/>
      <c r="K8227" s="5"/>
      <c r="L8227" s="5"/>
      <c r="M8227" s="5"/>
      <c r="N8227" s="5"/>
      <c r="O8227" s="5"/>
      <c r="P8227" s="5"/>
      <c r="Q8227" s="5"/>
      <c r="R8227" s="5"/>
      <c r="S8227" s="5"/>
      <c r="T8227" s="5"/>
      <c r="U8227" s="5"/>
      <c r="V8227" s="5"/>
      <c r="W8227" s="5"/>
      <c r="X8227" s="5"/>
      <c r="Y8227" s="5"/>
      <c r="Z8227" s="5"/>
    </row>
    <row r="8228" spans="1:26" ht="15" x14ac:dyDescent="0.25">
      <c r="A8228" s="4" t="s">
        <v>8226</v>
      </c>
      <c r="B8228" s="4" t="s">
        <v>4550</v>
      </c>
      <c r="C8228" s="2" t="str">
        <f ca="1">IFERROR(__xludf.DUMMYFUNCTION("GOOGLETRANSLATE(A8228,""bn"",""en"")"),"India lost to Australia")</f>
        <v>India lost to Australia</v>
      </c>
      <c r="D8228" s="5"/>
      <c r="E8228" s="5"/>
      <c r="F8228" s="5"/>
      <c r="G8228" s="5"/>
      <c r="H8228" s="5"/>
      <c r="I8228" s="5"/>
      <c r="J8228" s="5"/>
      <c r="K8228" s="5"/>
      <c r="L8228" s="5"/>
      <c r="M8228" s="5"/>
      <c r="N8228" s="5"/>
      <c r="O8228" s="5"/>
      <c r="P8228" s="5"/>
      <c r="Q8228" s="5"/>
      <c r="R8228" s="5"/>
      <c r="S8228" s="5"/>
      <c r="T8228" s="5"/>
      <c r="U8228" s="5"/>
      <c r="V8228" s="5"/>
      <c r="W8228" s="5"/>
      <c r="X8228" s="5"/>
      <c r="Y8228" s="5"/>
      <c r="Z8228" s="5"/>
    </row>
    <row r="8229" spans="1:26" ht="15" x14ac:dyDescent="0.25">
      <c r="A8229" s="4" t="s">
        <v>8227</v>
      </c>
      <c r="B8229" s="4" t="s">
        <v>4550</v>
      </c>
      <c r="C8229" s="2" t="str">
        <f ca="1">IFERROR(__xludf.DUMMYFUNCTION("GOOGLETRANSLATE(A8229,""bn"",""en"")"),"The tournament started on Saturday")</f>
        <v>The tournament started on Saturday</v>
      </c>
      <c r="D8229" s="5"/>
      <c r="E8229" s="5"/>
      <c r="F8229" s="5"/>
      <c r="G8229" s="5"/>
      <c r="H8229" s="5"/>
      <c r="I8229" s="5"/>
      <c r="J8229" s="5"/>
      <c r="K8229" s="5"/>
      <c r="L8229" s="5"/>
      <c r="M8229" s="5"/>
      <c r="N8229" s="5"/>
      <c r="O8229" s="5"/>
      <c r="P8229" s="5"/>
      <c r="Q8229" s="5"/>
      <c r="R8229" s="5"/>
      <c r="S8229" s="5"/>
      <c r="T8229" s="5"/>
      <c r="U8229" s="5"/>
      <c r="V8229" s="5"/>
      <c r="W8229" s="5"/>
      <c r="X8229" s="5"/>
      <c r="Y8229" s="5"/>
      <c r="Z8229" s="5"/>
    </row>
    <row r="8230" spans="1:26" ht="15" x14ac:dyDescent="0.25">
      <c r="A8230" s="4" t="s">
        <v>8228</v>
      </c>
      <c r="B8230" s="4" t="s">
        <v>4550</v>
      </c>
      <c r="C8230" s="2" t="str">
        <f ca="1">IFERROR(__xludf.DUMMYFUNCTION("GOOGLETRANSLATE(A8230,""bn"",""en"")"),"I brought everything from the market")</f>
        <v>I brought everything from the market</v>
      </c>
      <c r="D8230" s="5"/>
      <c r="E8230" s="5"/>
      <c r="F8230" s="5"/>
      <c r="G8230" s="5"/>
      <c r="H8230" s="5"/>
      <c r="I8230" s="5"/>
      <c r="J8230" s="5"/>
      <c r="K8230" s="5"/>
      <c r="L8230" s="5"/>
      <c r="M8230" s="5"/>
      <c r="N8230" s="5"/>
      <c r="O8230" s="5"/>
      <c r="P8230" s="5"/>
      <c r="Q8230" s="5"/>
      <c r="R8230" s="5"/>
      <c r="S8230" s="5"/>
      <c r="T8230" s="5"/>
      <c r="U8230" s="5"/>
      <c r="V8230" s="5"/>
      <c r="W8230" s="5"/>
      <c r="X8230" s="5"/>
      <c r="Y8230" s="5"/>
      <c r="Z8230" s="5"/>
    </row>
    <row r="8231" spans="1:26" ht="15" x14ac:dyDescent="0.25">
      <c r="A8231" s="4" t="s">
        <v>8229</v>
      </c>
      <c r="B8231" s="4" t="s">
        <v>4550</v>
      </c>
      <c r="C8231" s="2" t="str">
        <f ca="1">IFERROR(__xludf.DUMMYFUNCTION("GOOGLETRANSLATE(A8231,""bn"",""en"")"),"Showed speed in the market")</f>
        <v>Showed speed in the market</v>
      </c>
      <c r="D8231" s="5"/>
      <c r="E8231" s="5"/>
      <c r="F8231" s="5"/>
      <c r="G8231" s="5"/>
      <c r="H8231" s="5"/>
      <c r="I8231" s="5"/>
      <c r="J8231" s="5"/>
      <c r="K8231" s="5"/>
      <c r="L8231" s="5"/>
      <c r="M8231" s="5"/>
      <c r="N8231" s="5"/>
      <c r="O8231" s="5"/>
      <c r="P8231" s="5"/>
      <c r="Q8231" s="5"/>
      <c r="R8231" s="5"/>
      <c r="S8231" s="5"/>
      <c r="T8231" s="5"/>
      <c r="U8231" s="5"/>
      <c r="V8231" s="5"/>
      <c r="W8231" s="5"/>
      <c r="X8231" s="5"/>
      <c r="Y8231" s="5"/>
      <c r="Z8231" s="5"/>
    </row>
    <row r="8232" spans="1:26" ht="15" x14ac:dyDescent="0.25">
      <c r="A8232" s="4" t="s">
        <v>8230</v>
      </c>
      <c r="B8232" s="4" t="s">
        <v>4550</v>
      </c>
      <c r="C8232" s="2" t="str">
        <f ca="1">IFERROR(__xludf.DUMMYFUNCTION("GOOGLETRANSLATE(A8232,""bn"",""en"")"),"I lived in the park on special days")</f>
        <v>I lived in the park on special days</v>
      </c>
      <c r="D8232" s="5"/>
      <c r="E8232" s="5"/>
      <c r="F8232" s="5"/>
      <c r="G8232" s="5"/>
      <c r="H8232" s="5"/>
      <c r="I8232" s="5"/>
      <c r="J8232" s="5"/>
      <c r="K8232" s="5"/>
      <c r="L8232" s="5"/>
      <c r="M8232" s="5"/>
      <c r="N8232" s="5"/>
      <c r="O8232" s="5"/>
      <c r="P8232" s="5"/>
      <c r="Q8232" s="5"/>
      <c r="R8232" s="5"/>
      <c r="S8232" s="5"/>
      <c r="T8232" s="5"/>
      <c r="U8232" s="5"/>
      <c r="V8232" s="5"/>
      <c r="W8232" s="5"/>
      <c r="X8232" s="5"/>
      <c r="Y8232" s="5"/>
      <c r="Z8232" s="5"/>
    </row>
    <row r="8233" spans="1:26" ht="15" x14ac:dyDescent="0.25">
      <c r="A8233" s="4" t="s">
        <v>8231</v>
      </c>
      <c r="B8233" s="4" t="s">
        <v>4550</v>
      </c>
      <c r="C8233" s="2" t="str">
        <f ca="1">IFERROR(__xludf.DUMMYFUNCTION("GOOGLETRANSLATE(A8233,""bn"",""en"")"),"We did a debug")</f>
        <v>We did a debug</v>
      </c>
      <c r="D8233" s="5"/>
      <c r="E8233" s="5"/>
      <c r="F8233" s="5"/>
      <c r="G8233" s="5"/>
      <c r="H8233" s="5"/>
      <c r="I8233" s="5"/>
      <c r="J8233" s="5"/>
      <c r="K8233" s="5"/>
      <c r="L8233" s="5"/>
      <c r="M8233" s="5"/>
      <c r="N8233" s="5"/>
      <c r="O8233" s="5"/>
      <c r="P8233" s="5"/>
      <c r="Q8233" s="5"/>
      <c r="R8233" s="5"/>
      <c r="S8233" s="5"/>
      <c r="T8233" s="5"/>
      <c r="U8233" s="5"/>
      <c r="V8233" s="5"/>
      <c r="W8233" s="5"/>
      <c r="X8233" s="5"/>
      <c r="Y8233" s="5"/>
      <c r="Z8233" s="5"/>
    </row>
    <row r="8234" spans="1:26" ht="15" x14ac:dyDescent="0.25">
      <c r="A8234" s="4" t="s">
        <v>8232</v>
      </c>
      <c r="B8234" s="4" t="s">
        <v>4550</v>
      </c>
      <c r="C8234" s="2" t="str">
        <f ca="1">IFERROR(__xludf.DUMMYFUNCTION("GOOGLETRANSLATE(A8234,""bn"",""en"")"),"Tablets were used in studies")</f>
        <v>Tablets were used in studies</v>
      </c>
      <c r="D8234" s="5"/>
      <c r="E8234" s="5"/>
      <c r="F8234" s="5"/>
      <c r="G8234" s="5"/>
      <c r="H8234" s="5"/>
      <c r="I8234" s="5"/>
      <c r="J8234" s="5"/>
      <c r="K8234" s="5"/>
      <c r="L8234" s="5"/>
      <c r="M8234" s="5"/>
      <c r="N8234" s="5"/>
      <c r="O8234" s="5"/>
      <c r="P8234" s="5"/>
      <c r="Q8234" s="5"/>
      <c r="R8234" s="5"/>
      <c r="S8234" s="5"/>
      <c r="T8234" s="5"/>
      <c r="U8234" s="5"/>
      <c r="V8234" s="5"/>
      <c r="W8234" s="5"/>
      <c r="X8234" s="5"/>
      <c r="Y8234" s="5"/>
      <c r="Z8234" s="5"/>
    </row>
    <row r="8235" spans="1:26" ht="15" x14ac:dyDescent="0.25">
      <c r="A8235" s="4" t="s">
        <v>8233</v>
      </c>
      <c r="B8235" s="4" t="s">
        <v>4550</v>
      </c>
      <c r="C8235" s="2" t="str">
        <f ca="1">IFERROR(__xludf.DUMMYFUNCTION("GOOGLETRANSLATE(A8235,""bn"",""en"")"),"He played the match enthusiastically for a long time")</f>
        <v>He played the match enthusiastically for a long time</v>
      </c>
      <c r="D8235" s="5"/>
      <c r="E8235" s="5"/>
      <c r="F8235" s="5"/>
      <c r="G8235" s="5"/>
      <c r="H8235" s="5"/>
      <c r="I8235" s="5"/>
      <c r="J8235" s="5"/>
      <c r="K8235" s="5"/>
      <c r="L8235" s="5"/>
      <c r="M8235" s="5"/>
      <c r="N8235" s="5"/>
      <c r="O8235" s="5"/>
      <c r="P8235" s="5"/>
      <c r="Q8235" s="5"/>
      <c r="R8235" s="5"/>
      <c r="S8235" s="5"/>
      <c r="T8235" s="5"/>
      <c r="U8235" s="5"/>
      <c r="V8235" s="5"/>
      <c r="W8235" s="5"/>
      <c r="X8235" s="5"/>
      <c r="Y8235" s="5"/>
      <c r="Z8235" s="5"/>
    </row>
    <row r="8236" spans="1:26" ht="15" x14ac:dyDescent="0.25">
      <c r="A8236" s="4" t="s">
        <v>8234</v>
      </c>
      <c r="B8236" s="4" t="s">
        <v>4550</v>
      </c>
      <c r="C8236" s="2" t="str">
        <f ca="1">IFERROR(__xludf.DUMMYFUNCTION("GOOGLETRANSLATE(A8236,""bn"",""en"")"),"I was making chicken korma")</f>
        <v>I was making chicken korma</v>
      </c>
      <c r="D8236" s="5"/>
      <c r="E8236" s="5"/>
      <c r="F8236" s="5"/>
      <c r="G8236" s="5"/>
      <c r="H8236" s="5"/>
      <c r="I8236" s="5"/>
      <c r="J8236" s="5"/>
      <c r="K8236" s="5"/>
      <c r="L8236" s="5"/>
      <c r="M8236" s="5"/>
      <c r="N8236" s="5"/>
      <c r="O8236" s="5"/>
      <c r="P8236" s="5"/>
      <c r="Q8236" s="5"/>
      <c r="R8236" s="5"/>
      <c r="S8236" s="5"/>
      <c r="T8236" s="5"/>
      <c r="U8236" s="5"/>
      <c r="V8236" s="5"/>
      <c r="W8236" s="5"/>
      <c r="X8236" s="5"/>
      <c r="Y8236" s="5"/>
      <c r="Z8236" s="5"/>
    </row>
    <row r="8237" spans="1:26" ht="15" x14ac:dyDescent="0.25">
      <c r="A8237" s="4" t="s">
        <v>8235</v>
      </c>
      <c r="B8237" s="4" t="s">
        <v>4550</v>
      </c>
      <c r="C8237" s="2" t="str">
        <f ca="1">IFERROR(__xludf.DUMMYFUNCTION("GOOGLETRANSLATE(A8237,""bn"",""en"")"),"Had pizza last week")</f>
        <v>Had pizza last week</v>
      </c>
      <c r="D8237" s="5"/>
      <c r="E8237" s="5"/>
      <c r="F8237" s="5"/>
      <c r="G8237" s="5"/>
      <c r="H8237" s="5"/>
      <c r="I8237" s="5"/>
      <c r="J8237" s="5"/>
      <c r="K8237" s="5"/>
      <c r="L8237" s="5"/>
      <c r="M8237" s="5"/>
      <c r="N8237" s="5"/>
      <c r="O8237" s="5"/>
      <c r="P8237" s="5"/>
      <c r="Q8237" s="5"/>
      <c r="R8237" s="5"/>
      <c r="S8237" s="5"/>
      <c r="T8237" s="5"/>
      <c r="U8237" s="5"/>
      <c r="V8237" s="5"/>
      <c r="W8237" s="5"/>
      <c r="X8237" s="5"/>
      <c r="Y8237" s="5"/>
      <c r="Z8237" s="5"/>
    </row>
    <row r="8238" spans="1:26" ht="15" x14ac:dyDescent="0.25">
      <c r="A8238" s="4" t="s">
        <v>8236</v>
      </c>
      <c r="B8238" s="4" t="s">
        <v>4550</v>
      </c>
      <c r="C8238" s="2" t="str">
        <f ca="1">IFERROR(__xludf.DUMMYFUNCTION("GOOGLETRANSLATE(A8238,""bn"",""en"")"),"Made meat korma specially")</f>
        <v>Made meat korma specially</v>
      </c>
      <c r="D8238" s="5"/>
      <c r="E8238" s="5"/>
      <c r="F8238" s="5"/>
      <c r="G8238" s="5"/>
      <c r="H8238" s="5"/>
      <c r="I8238" s="5"/>
      <c r="J8238" s="5"/>
      <c r="K8238" s="5"/>
      <c r="L8238" s="5"/>
      <c r="M8238" s="5"/>
      <c r="N8238" s="5"/>
      <c r="O8238" s="5"/>
      <c r="P8238" s="5"/>
      <c r="Q8238" s="5"/>
      <c r="R8238" s="5"/>
      <c r="S8238" s="5"/>
      <c r="T8238" s="5"/>
      <c r="U8238" s="5"/>
      <c r="V8238" s="5"/>
      <c r="W8238" s="5"/>
      <c r="X8238" s="5"/>
      <c r="Y8238" s="5"/>
      <c r="Z8238" s="5"/>
    </row>
    <row r="8239" spans="1:26" ht="15" x14ac:dyDescent="0.25">
      <c r="A8239" s="4" t="s">
        <v>8237</v>
      </c>
      <c r="B8239" s="4" t="s">
        <v>4550</v>
      </c>
      <c r="C8239" s="2" t="str">
        <f ca="1">IFERROR(__xludf.DUMMYFUNCTION("GOOGLETRANSLATE(A8239,""bn"",""en"")"),"The design pattern follows")</f>
        <v>The design pattern follows</v>
      </c>
      <c r="D8239" s="5"/>
      <c r="E8239" s="5"/>
      <c r="F8239" s="5"/>
      <c r="G8239" s="5"/>
      <c r="H8239" s="5"/>
      <c r="I8239" s="5"/>
      <c r="J8239" s="5"/>
      <c r="K8239" s="5"/>
      <c r="L8239" s="5"/>
      <c r="M8239" s="5"/>
      <c r="N8239" s="5"/>
      <c r="O8239" s="5"/>
      <c r="P8239" s="5"/>
      <c r="Q8239" s="5"/>
      <c r="R8239" s="5"/>
      <c r="S8239" s="5"/>
      <c r="T8239" s="5"/>
      <c r="U8239" s="5"/>
      <c r="V8239" s="5"/>
      <c r="W8239" s="5"/>
      <c r="X8239" s="5"/>
      <c r="Y8239" s="5"/>
      <c r="Z8239" s="5"/>
    </row>
    <row r="8240" spans="1:26" ht="15" x14ac:dyDescent="0.25">
      <c r="A8240" s="4" t="s">
        <v>8238</v>
      </c>
      <c r="B8240" s="4" t="s">
        <v>4550</v>
      </c>
      <c r="C8240" s="2" t="str">
        <f ca="1">IFERROR(__xludf.DUMMYFUNCTION("GOOGLETRANSLATE(A8240,""bn"",""en"")"),"The country's house was held in Mantralaya")</f>
        <v>The country's house was held in Mantralaya</v>
      </c>
      <c r="D8240" s="5"/>
      <c r="E8240" s="5"/>
      <c r="F8240" s="5"/>
      <c r="G8240" s="5"/>
      <c r="H8240" s="5"/>
      <c r="I8240" s="5"/>
      <c r="J8240" s="5"/>
      <c r="K8240" s="5"/>
      <c r="L8240" s="5"/>
      <c r="M8240" s="5"/>
      <c r="N8240" s="5"/>
      <c r="O8240" s="5"/>
      <c r="P8240" s="5"/>
      <c r="Q8240" s="5"/>
      <c r="R8240" s="5"/>
      <c r="S8240" s="5"/>
      <c r="T8240" s="5"/>
      <c r="U8240" s="5"/>
      <c r="V8240" s="5"/>
      <c r="W8240" s="5"/>
      <c r="X8240" s="5"/>
      <c r="Y8240" s="5"/>
      <c r="Z8240" s="5"/>
    </row>
    <row r="8241" spans="1:26" ht="15" x14ac:dyDescent="0.25">
      <c r="A8241" s="4" t="s">
        <v>8239</v>
      </c>
      <c r="B8241" s="4" t="s">
        <v>4550</v>
      </c>
      <c r="C8241" s="2" t="str">
        <f ca="1">IFERROR(__xludf.DUMMYFUNCTION("GOOGLETRANSLATE(A8241,""bn"",""en"")"),"They opened the bank in the month")</f>
        <v>They opened the bank in the month</v>
      </c>
      <c r="D8241" s="5"/>
      <c r="E8241" s="5"/>
      <c r="F8241" s="5"/>
      <c r="G8241" s="5"/>
      <c r="H8241" s="5"/>
      <c r="I8241" s="5"/>
      <c r="J8241" s="5"/>
      <c r="K8241" s="5"/>
      <c r="L8241" s="5"/>
      <c r="M8241" s="5"/>
      <c r="N8241" s="5"/>
      <c r="O8241" s="5"/>
      <c r="P8241" s="5"/>
      <c r="Q8241" s="5"/>
      <c r="R8241" s="5"/>
      <c r="S8241" s="5"/>
      <c r="T8241" s="5"/>
      <c r="U8241" s="5"/>
      <c r="V8241" s="5"/>
      <c r="W8241" s="5"/>
      <c r="X8241" s="5"/>
      <c r="Y8241" s="5"/>
      <c r="Z8241" s="5"/>
    </row>
    <row r="8242" spans="1:26" ht="15" x14ac:dyDescent="0.25">
      <c r="A8242" s="4" t="s">
        <v>8240</v>
      </c>
      <c r="B8242" s="4" t="s">
        <v>4550</v>
      </c>
      <c r="C8242" s="2" t="str">
        <f ca="1">IFERROR(__xludf.DUMMYFUNCTION("GOOGLETRANSLATE(A8242,""bn"",""en"")"),"The crops were harvested last year")</f>
        <v>The crops were harvested last year</v>
      </c>
      <c r="D8242" s="5"/>
      <c r="E8242" s="5"/>
      <c r="F8242" s="5"/>
      <c r="G8242" s="5"/>
      <c r="H8242" s="5"/>
      <c r="I8242" s="5"/>
      <c r="J8242" s="5"/>
      <c r="K8242" s="5"/>
      <c r="L8242" s="5"/>
      <c r="M8242" s="5"/>
      <c r="N8242" s="5"/>
      <c r="O8242" s="5"/>
      <c r="P8242" s="5"/>
      <c r="Q8242" s="5"/>
      <c r="R8242" s="5"/>
      <c r="S8242" s="5"/>
      <c r="T8242" s="5"/>
      <c r="U8242" s="5"/>
      <c r="V8242" s="5"/>
      <c r="W8242" s="5"/>
      <c r="X8242" s="5"/>
      <c r="Y8242" s="5"/>
      <c r="Z8242" s="5"/>
    </row>
    <row r="8243" spans="1:26" ht="15" x14ac:dyDescent="0.25">
      <c r="A8243" s="4" t="s">
        <v>8241</v>
      </c>
      <c r="B8243" s="4" t="s">
        <v>4550</v>
      </c>
      <c r="C8243" s="2" t="str">
        <f ca="1">IFERROR(__xludf.DUMMYFUNCTION("GOOGLETRANSLATE(A8243,""bn"",""en"")"),"The interview of the company manager was done")</f>
        <v>The interview of the company manager was done</v>
      </c>
      <c r="D8243" s="5"/>
      <c r="E8243" s="5"/>
      <c r="F8243" s="5"/>
      <c r="G8243" s="5"/>
      <c r="H8243" s="5"/>
      <c r="I8243" s="5"/>
      <c r="J8243" s="5"/>
      <c r="K8243" s="5"/>
      <c r="L8243" s="5"/>
      <c r="M8243" s="5"/>
      <c r="N8243" s="5"/>
      <c r="O8243" s="5"/>
      <c r="P8243" s="5"/>
      <c r="Q8243" s="5"/>
      <c r="R8243" s="5"/>
      <c r="S8243" s="5"/>
      <c r="T8243" s="5"/>
      <c r="U8243" s="5"/>
      <c r="V8243" s="5"/>
      <c r="W8243" s="5"/>
      <c r="X8243" s="5"/>
      <c r="Y8243" s="5"/>
      <c r="Z8243" s="5"/>
    </row>
    <row r="8244" spans="1:26" ht="15" x14ac:dyDescent="0.25">
      <c r="A8244" s="4" t="s">
        <v>8242</v>
      </c>
      <c r="B8244" s="4" t="s">
        <v>4550</v>
      </c>
      <c r="C8244" s="2" t="str">
        <f ca="1">IFERROR(__xludf.DUMMYFUNCTION("GOOGLETRANSLATE(A8244,""bn"",""en"")"),"New courses came in education")</f>
        <v>New courses came in education</v>
      </c>
      <c r="D8244" s="5"/>
      <c r="E8244" s="5"/>
      <c r="F8244" s="5"/>
      <c r="G8244" s="5"/>
      <c r="H8244" s="5"/>
      <c r="I8244" s="5"/>
      <c r="J8244" s="5"/>
      <c r="K8244" s="5"/>
      <c r="L8244" s="5"/>
      <c r="M8244" s="5"/>
      <c r="N8244" s="5"/>
      <c r="O8244" s="5"/>
      <c r="P8244" s="5"/>
      <c r="Q8244" s="5"/>
      <c r="R8244" s="5"/>
      <c r="S8244" s="5"/>
      <c r="T8244" s="5"/>
      <c r="U8244" s="5"/>
      <c r="V8244" s="5"/>
      <c r="W8244" s="5"/>
      <c r="X8244" s="5"/>
      <c r="Y8244" s="5"/>
      <c r="Z8244" s="5"/>
    </row>
    <row r="8245" spans="1:26" ht="15" x14ac:dyDescent="0.25">
      <c r="A8245" s="4" t="s">
        <v>8243</v>
      </c>
      <c r="B8245" s="4" t="s">
        <v>4550</v>
      </c>
      <c r="C8245" s="2" t="str">
        <f ca="1">IFERROR(__xludf.DUMMYFUNCTION("GOOGLETRANSLATE(A8245,""bn"",""en"")"),"I was in a museum on Saturday")</f>
        <v>I was in a museum on Saturday</v>
      </c>
      <c r="D8245" s="5"/>
      <c r="E8245" s="5"/>
      <c r="F8245" s="5"/>
      <c r="G8245" s="5"/>
      <c r="H8245" s="5"/>
      <c r="I8245" s="5"/>
      <c r="J8245" s="5"/>
      <c r="K8245" s="5"/>
      <c r="L8245" s="5"/>
      <c r="M8245" s="5"/>
      <c r="N8245" s="5"/>
      <c r="O8245" s="5"/>
      <c r="P8245" s="5"/>
      <c r="Q8245" s="5"/>
      <c r="R8245" s="5"/>
      <c r="S8245" s="5"/>
      <c r="T8245" s="5"/>
      <c r="U8245" s="5"/>
      <c r="V8245" s="5"/>
      <c r="W8245" s="5"/>
      <c r="X8245" s="5"/>
      <c r="Y8245" s="5"/>
      <c r="Z8245" s="5"/>
    </row>
    <row r="8246" spans="1:26" ht="15" x14ac:dyDescent="0.25">
      <c r="A8246" s="4" t="s">
        <v>8244</v>
      </c>
      <c r="B8246" s="4" t="s">
        <v>4550</v>
      </c>
      <c r="C8246" s="2" t="str">
        <f ca="1">IFERROR(__xludf.DUMMYFUNCTION("GOOGLETRANSLATE(A8246,""bn"",""en"")"),"The salad was made")</f>
        <v>The salad was made</v>
      </c>
      <c r="D8246" s="5"/>
      <c r="E8246" s="5"/>
      <c r="F8246" s="5"/>
      <c r="G8246" s="5"/>
      <c r="H8246" s="5"/>
      <c r="I8246" s="5"/>
      <c r="J8246" s="5"/>
      <c r="K8246" s="5"/>
      <c r="L8246" s="5"/>
      <c r="M8246" s="5"/>
      <c r="N8246" s="5"/>
      <c r="O8246" s="5"/>
      <c r="P8246" s="5"/>
      <c r="Q8246" s="5"/>
      <c r="R8246" s="5"/>
      <c r="S8246" s="5"/>
      <c r="T8246" s="5"/>
      <c r="U8246" s="5"/>
      <c r="V8246" s="5"/>
      <c r="W8246" s="5"/>
      <c r="X8246" s="5"/>
      <c r="Y8246" s="5"/>
      <c r="Z8246" s="5"/>
    </row>
    <row r="8247" spans="1:26" ht="15" x14ac:dyDescent="0.25">
      <c r="A8247" s="4" t="s">
        <v>8245</v>
      </c>
      <c r="B8247" s="4" t="s">
        <v>4550</v>
      </c>
      <c r="C8247" s="2" t="str">
        <f ca="1">IFERROR(__xludf.DUMMYFUNCTION("GOOGLETRANSLATE(A8247,""bn"",""en"")"),"Business increased during the month")</f>
        <v>Business increased during the month</v>
      </c>
      <c r="D8247" s="5"/>
      <c r="E8247" s="5"/>
      <c r="F8247" s="5"/>
      <c r="G8247" s="5"/>
      <c r="H8247" s="5"/>
      <c r="I8247" s="5"/>
      <c r="J8247" s="5"/>
      <c r="K8247" s="5"/>
      <c r="L8247" s="5"/>
      <c r="M8247" s="5"/>
      <c r="N8247" s="5"/>
      <c r="O8247" s="5"/>
      <c r="P8247" s="5"/>
      <c r="Q8247" s="5"/>
      <c r="R8247" s="5"/>
      <c r="S8247" s="5"/>
      <c r="T8247" s="5"/>
      <c r="U8247" s="5"/>
      <c r="V8247" s="5"/>
      <c r="W8247" s="5"/>
      <c r="X8247" s="5"/>
      <c r="Y8247" s="5"/>
      <c r="Z8247" s="5"/>
    </row>
    <row r="8248" spans="1:26" ht="15" x14ac:dyDescent="0.25">
      <c r="A8248" s="4" t="s">
        <v>8246</v>
      </c>
      <c r="B8248" s="4" t="s">
        <v>4550</v>
      </c>
      <c r="C8248" s="2" t="str">
        <f ca="1">IFERROR(__xludf.DUMMYFUNCTION("GOOGLETRANSLATE(A8248,""bn"",""en"")"),"The government resigned in the council")</f>
        <v>The government resigned in the council</v>
      </c>
      <c r="D8248" s="5"/>
      <c r="E8248" s="5"/>
      <c r="F8248" s="5"/>
      <c r="G8248" s="5"/>
      <c r="H8248" s="5"/>
      <c r="I8248" s="5"/>
      <c r="J8248" s="5"/>
      <c r="K8248" s="5"/>
      <c r="L8248" s="5"/>
      <c r="M8248" s="5"/>
      <c r="N8248" s="5"/>
      <c r="O8248" s="5"/>
      <c r="P8248" s="5"/>
      <c r="Q8248" s="5"/>
      <c r="R8248" s="5"/>
      <c r="S8248" s="5"/>
      <c r="T8248" s="5"/>
      <c r="U8248" s="5"/>
      <c r="V8248" s="5"/>
      <c r="W8248" s="5"/>
      <c r="X8248" s="5"/>
      <c r="Y8248" s="5"/>
      <c r="Z8248" s="5"/>
    </row>
    <row r="8249" spans="1:26" ht="15" x14ac:dyDescent="0.25">
      <c r="A8249" s="4" t="s">
        <v>8247</v>
      </c>
      <c r="B8249" s="4" t="s">
        <v>4550</v>
      </c>
      <c r="C8249" s="2" t="str">
        <f ca="1">IFERROR(__xludf.DUMMYFUNCTION("GOOGLETRANSLATE(A8249,""bn"",""en"")"),"Politics was discussed in the council")</f>
        <v>Politics was discussed in the council</v>
      </c>
      <c r="D8249" s="5"/>
      <c r="E8249" s="5"/>
      <c r="F8249" s="5"/>
      <c r="G8249" s="5"/>
      <c r="H8249" s="5"/>
      <c r="I8249" s="5"/>
      <c r="J8249" s="5"/>
      <c r="K8249" s="5"/>
      <c r="L8249" s="5"/>
      <c r="M8249" s="5"/>
      <c r="N8249" s="5"/>
      <c r="O8249" s="5"/>
      <c r="P8249" s="5"/>
      <c r="Q8249" s="5"/>
      <c r="R8249" s="5"/>
      <c r="S8249" s="5"/>
      <c r="T8249" s="5"/>
      <c r="U8249" s="5"/>
      <c r="V8249" s="5"/>
      <c r="W8249" s="5"/>
      <c r="X8249" s="5"/>
      <c r="Y8249" s="5"/>
      <c r="Z8249" s="5"/>
    </row>
    <row r="8250" spans="1:26" ht="15" x14ac:dyDescent="0.25">
      <c r="A8250" s="4" t="s">
        <v>8248</v>
      </c>
      <c r="B8250" s="4" t="s">
        <v>4550</v>
      </c>
      <c r="C8250" s="2" t="str">
        <f ca="1">IFERROR(__xludf.DUMMYFUNCTION("GOOGLETRANSLATE(A8250,""bn"",""en"")"),"The leader was elected in the campaign")</f>
        <v>The leader was elected in the campaign</v>
      </c>
      <c r="D8250" s="5"/>
      <c r="E8250" s="5"/>
      <c r="F8250" s="5"/>
      <c r="G8250" s="5"/>
      <c r="H8250" s="5"/>
      <c r="I8250" s="5"/>
      <c r="J8250" s="5"/>
      <c r="K8250" s="5"/>
      <c r="L8250" s="5"/>
      <c r="M8250" s="5"/>
      <c r="N8250" s="5"/>
      <c r="O8250" s="5"/>
      <c r="P8250" s="5"/>
      <c r="Q8250" s="5"/>
      <c r="R8250" s="5"/>
      <c r="S8250" s="5"/>
      <c r="T8250" s="5"/>
      <c r="U8250" s="5"/>
      <c r="V8250" s="5"/>
      <c r="W8250" s="5"/>
      <c r="X8250" s="5"/>
      <c r="Y8250" s="5"/>
      <c r="Z8250" s="5"/>
    </row>
    <row r="8251" spans="1:26" ht="15" x14ac:dyDescent="0.25">
      <c r="A8251" s="4" t="s">
        <v>8249</v>
      </c>
      <c r="B8251" s="4" t="s">
        <v>4550</v>
      </c>
      <c r="C8251" s="2" t="str">
        <f ca="1">IFERROR(__xludf.DUMMYFUNCTION("GOOGLETRANSLATE(A8251,""bn"",""en"")"),"Fry the prawns well")</f>
        <v>Fry the prawns well</v>
      </c>
      <c r="D8251" s="5"/>
      <c r="E8251" s="5"/>
      <c r="F8251" s="5"/>
      <c r="G8251" s="5"/>
      <c r="H8251" s="5"/>
      <c r="I8251" s="5"/>
      <c r="J8251" s="5"/>
      <c r="K8251" s="5"/>
      <c r="L8251" s="5"/>
      <c r="M8251" s="5"/>
      <c r="N8251" s="5"/>
      <c r="O8251" s="5"/>
      <c r="P8251" s="5"/>
      <c r="Q8251" s="5"/>
      <c r="R8251" s="5"/>
      <c r="S8251" s="5"/>
      <c r="T8251" s="5"/>
      <c r="U8251" s="5"/>
      <c r="V8251" s="5"/>
      <c r="W8251" s="5"/>
      <c r="X8251" s="5"/>
      <c r="Y8251" s="5"/>
      <c r="Z8251" s="5"/>
    </row>
    <row r="8252" spans="1:26" ht="15" x14ac:dyDescent="0.25">
      <c r="A8252" s="4" t="s">
        <v>8250</v>
      </c>
      <c r="B8252" s="4" t="s">
        <v>4550</v>
      </c>
      <c r="C8252" s="2" t="str">
        <f ca="1">IFERROR(__xludf.DUMMYFUNCTION("GOOGLETRANSLATE(A8252,""bn"",""en"")"),"Messi scored in the match")</f>
        <v>Messi scored in the match</v>
      </c>
      <c r="D8252" s="5"/>
      <c r="E8252" s="5"/>
      <c r="F8252" s="5"/>
      <c r="G8252" s="5"/>
      <c r="H8252" s="5"/>
      <c r="I8252" s="5"/>
      <c r="J8252" s="5"/>
      <c r="K8252" s="5"/>
      <c r="L8252" s="5"/>
      <c r="M8252" s="5"/>
      <c r="N8252" s="5"/>
      <c r="O8252" s="5"/>
      <c r="P8252" s="5"/>
      <c r="Q8252" s="5"/>
      <c r="R8252" s="5"/>
      <c r="S8252" s="5"/>
      <c r="T8252" s="5"/>
      <c r="U8252" s="5"/>
      <c r="V8252" s="5"/>
      <c r="W8252" s="5"/>
      <c r="X8252" s="5"/>
      <c r="Y8252" s="5"/>
      <c r="Z8252" s="5"/>
    </row>
    <row r="8253" spans="1:26" ht="15" x14ac:dyDescent="0.25">
      <c r="A8253" s="4" t="s">
        <v>8251</v>
      </c>
      <c r="B8253" s="4" t="s">
        <v>4550</v>
      </c>
      <c r="C8253" s="2" t="str">
        <f ca="1">IFERROR(__xludf.DUMMYFUNCTION("GOOGLETRANSLATE(A8253,""bn"",""en"")"),"Cyber ​​security has increased")</f>
        <v>Cyber ​​security has increased</v>
      </c>
      <c r="D8253" s="5"/>
      <c r="E8253" s="5"/>
      <c r="F8253" s="5"/>
      <c r="G8253" s="5"/>
      <c r="H8253" s="5"/>
      <c r="I8253" s="5"/>
      <c r="J8253" s="5"/>
      <c r="K8253" s="5"/>
      <c r="L8253" s="5"/>
      <c r="M8253" s="5"/>
      <c r="N8253" s="5"/>
      <c r="O8253" s="5"/>
      <c r="P8253" s="5"/>
      <c r="Q8253" s="5"/>
      <c r="R8253" s="5"/>
      <c r="S8253" s="5"/>
      <c r="T8253" s="5"/>
      <c r="U8253" s="5"/>
      <c r="V8253" s="5"/>
      <c r="W8253" s="5"/>
      <c r="X8253" s="5"/>
      <c r="Y8253" s="5"/>
      <c r="Z8253" s="5"/>
    </row>
    <row r="8254" spans="1:26" ht="15" x14ac:dyDescent="0.25">
      <c r="A8254" s="4" t="s">
        <v>8252</v>
      </c>
      <c r="B8254" s="4" t="s">
        <v>4550</v>
      </c>
      <c r="C8254" s="2" t="str">
        <f ca="1">IFERROR(__xludf.DUMMYFUNCTION("GOOGLETRANSLATE(A8254,""bn"",""en"")"),"He was grilling the barbeque")</f>
        <v>He was grilling the barbeque</v>
      </c>
      <c r="D8254" s="5"/>
      <c r="E8254" s="5"/>
      <c r="F8254" s="5"/>
      <c r="G8254" s="5"/>
      <c r="H8254" s="5"/>
      <c r="I8254" s="5"/>
      <c r="J8254" s="5"/>
      <c r="K8254" s="5"/>
      <c r="L8254" s="5"/>
      <c r="M8254" s="5"/>
      <c r="N8254" s="5"/>
      <c r="O8254" s="5"/>
      <c r="P8254" s="5"/>
      <c r="Q8254" s="5"/>
      <c r="R8254" s="5"/>
      <c r="S8254" s="5"/>
      <c r="T8254" s="5"/>
      <c r="U8254" s="5"/>
      <c r="V8254" s="5"/>
      <c r="W8254" s="5"/>
      <c r="X8254" s="5"/>
      <c r="Y8254" s="5"/>
      <c r="Z8254" s="5"/>
    </row>
    <row r="8255" spans="1:26" ht="15" x14ac:dyDescent="0.25">
      <c r="A8255" s="4" t="s">
        <v>8253</v>
      </c>
      <c r="B8255" s="4" t="s">
        <v>4550</v>
      </c>
      <c r="C8255" s="2" t="str">
        <f ca="1">IFERROR(__xludf.DUMMYFUNCTION("GOOGLETRANSLATE(A8255,""bn"",""en"")"),"I was injured in sports")</f>
        <v>I was injured in sports</v>
      </c>
      <c r="D8255" s="5"/>
      <c r="E8255" s="5"/>
      <c r="F8255" s="5"/>
      <c r="G8255" s="5"/>
      <c r="H8255" s="5"/>
      <c r="I8255" s="5"/>
      <c r="J8255" s="5"/>
      <c r="K8255" s="5"/>
      <c r="L8255" s="5"/>
      <c r="M8255" s="5"/>
      <c r="N8255" s="5"/>
      <c r="O8255" s="5"/>
      <c r="P8255" s="5"/>
      <c r="Q8255" s="5"/>
      <c r="R8255" s="5"/>
      <c r="S8255" s="5"/>
      <c r="T8255" s="5"/>
      <c r="U8255" s="5"/>
      <c r="V8255" s="5"/>
      <c r="W8255" s="5"/>
      <c r="X8255" s="5"/>
      <c r="Y8255" s="5"/>
      <c r="Z8255" s="5"/>
    </row>
    <row r="8256" spans="1:26" ht="15" x14ac:dyDescent="0.25">
      <c r="A8256" s="4" t="s">
        <v>8254</v>
      </c>
      <c r="B8256" s="4" t="s">
        <v>4550</v>
      </c>
      <c r="C8256" s="2" t="str">
        <f ca="1">IFERROR(__xludf.DUMMYFUNCTION("GOOGLETRANSLATE(A8256,""bn"",""en"")"),"Roses bloomed in the garden")</f>
        <v>Roses bloomed in the garden</v>
      </c>
      <c r="D8256" s="5"/>
      <c r="E8256" s="5"/>
      <c r="F8256" s="5"/>
      <c r="G8256" s="5"/>
      <c r="H8256" s="5"/>
      <c r="I8256" s="5"/>
      <c r="J8256" s="5"/>
      <c r="K8256" s="5"/>
      <c r="L8256" s="5"/>
      <c r="M8256" s="5"/>
      <c r="N8256" s="5"/>
      <c r="O8256" s="5"/>
      <c r="P8256" s="5"/>
      <c r="Q8256" s="5"/>
      <c r="R8256" s="5"/>
      <c r="S8256" s="5"/>
      <c r="T8256" s="5"/>
      <c r="U8256" s="5"/>
      <c r="V8256" s="5"/>
      <c r="W8256" s="5"/>
      <c r="X8256" s="5"/>
      <c r="Y8256" s="5"/>
      <c r="Z8256" s="5"/>
    </row>
    <row r="8257" spans="1:26" ht="15" x14ac:dyDescent="0.25">
      <c r="A8257" s="4" t="s">
        <v>8255</v>
      </c>
      <c r="B8257" s="4" t="s">
        <v>4550</v>
      </c>
      <c r="C8257" s="2" t="str">
        <f ca="1">IFERROR(__xludf.DUMMYFUNCTION("GOOGLETRANSLATE(A8257,""bn"",""en"")"),"Played with great determination")</f>
        <v>Played with great determination</v>
      </c>
      <c r="D8257" s="5"/>
      <c r="E8257" s="5"/>
      <c r="F8257" s="5"/>
      <c r="G8257" s="5"/>
      <c r="H8257" s="5"/>
      <c r="I8257" s="5"/>
      <c r="J8257" s="5"/>
      <c r="K8257" s="5"/>
      <c r="L8257" s="5"/>
      <c r="M8257" s="5"/>
      <c r="N8257" s="5"/>
      <c r="O8257" s="5"/>
      <c r="P8257" s="5"/>
      <c r="Q8257" s="5"/>
      <c r="R8257" s="5"/>
      <c r="S8257" s="5"/>
      <c r="T8257" s="5"/>
      <c r="U8257" s="5"/>
      <c r="V8257" s="5"/>
      <c r="W8257" s="5"/>
      <c r="X8257" s="5"/>
      <c r="Y8257" s="5"/>
      <c r="Z8257" s="5"/>
    </row>
    <row r="8258" spans="1:26" ht="15" x14ac:dyDescent="0.25">
      <c r="A8258" s="4" t="s">
        <v>8256</v>
      </c>
      <c r="B8258" s="4" t="s">
        <v>4550</v>
      </c>
      <c r="C8258" s="2" t="str">
        <f ca="1">IFERROR(__xludf.DUMMYFUNCTION("GOOGLETRANSLATE(A8258,""bn"",""en"")"),"Made for a party")</f>
        <v>Made for a party</v>
      </c>
      <c r="D8258" s="5"/>
      <c r="E8258" s="5"/>
      <c r="F8258" s="5"/>
      <c r="G8258" s="5"/>
      <c r="H8258" s="5"/>
      <c r="I8258" s="5"/>
      <c r="J8258" s="5"/>
      <c r="K8258" s="5"/>
      <c r="L8258" s="5"/>
      <c r="M8258" s="5"/>
      <c r="N8258" s="5"/>
      <c r="O8258" s="5"/>
      <c r="P8258" s="5"/>
      <c r="Q8258" s="5"/>
      <c r="R8258" s="5"/>
      <c r="S8258" s="5"/>
      <c r="T8258" s="5"/>
      <c r="U8258" s="5"/>
      <c r="V8258" s="5"/>
      <c r="W8258" s="5"/>
      <c r="X8258" s="5"/>
      <c r="Y8258" s="5"/>
      <c r="Z8258" s="5"/>
    </row>
    <row r="8259" spans="1:26" ht="15" x14ac:dyDescent="0.25">
      <c r="A8259" s="4" t="s">
        <v>8257</v>
      </c>
      <c r="B8259" s="4" t="s">
        <v>4550</v>
      </c>
      <c r="C8259" s="2" t="str">
        <f ca="1">IFERROR(__xludf.DUMMYFUNCTION("GOOGLETRANSLATE(A8259,""bn"",""en"")"),"The government was declared farewell")</f>
        <v>The government was declared farewell</v>
      </c>
      <c r="D8259" s="5"/>
      <c r="E8259" s="5"/>
      <c r="F8259" s="5"/>
      <c r="G8259" s="5"/>
      <c r="H8259" s="5"/>
      <c r="I8259" s="5"/>
      <c r="J8259" s="5"/>
      <c r="K8259" s="5"/>
      <c r="L8259" s="5"/>
      <c r="M8259" s="5"/>
      <c r="N8259" s="5"/>
      <c r="O8259" s="5"/>
      <c r="P8259" s="5"/>
      <c r="Q8259" s="5"/>
      <c r="R8259" s="5"/>
      <c r="S8259" s="5"/>
      <c r="T8259" s="5"/>
      <c r="U8259" s="5"/>
      <c r="V8259" s="5"/>
      <c r="W8259" s="5"/>
      <c r="X8259" s="5"/>
      <c r="Y8259" s="5"/>
      <c r="Z8259" s="5"/>
    </row>
    <row r="8260" spans="1:26" ht="15" x14ac:dyDescent="0.25">
      <c r="A8260" s="4" t="s">
        <v>8258</v>
      </c>
      <c r="B8260" s="4" t="s">
        <v>4550</v>
      </c>
      <c r="C8260" s="2" t="str">
        <f ca="1">IFERROR(__xludf.DUMMYFUNCTION("GOOGLETRANSLATE(A8260,""bn"",""en"")"),"I was roasting chicken")</f>
        <v>I was roasting chicken</v>
      </c>
      <c r="D8260" s="5"/>
      <c r="E8260" s="5"/>
      <c r="F8260" s="5"/>
      <c r="G8260" s="5"/>
      <c r="H8260" s="5"/>
      <c r="I8260" s="5"/>
      <c r="J8260" s="5"/>
      <c r="K8260" s="5"/>
      <c r="L8260" s="5"/>
      <c r="M8260" s="5"/>
      <c r="N8260" s="5"/>
      <c r="O8260" s="5"/>
      <c r="P8260" s="5"/>
      <c r="Q8260" s="5"/>
      <c r="R8260" s="5"/>
      <c r="S8260" s="5"/>
      <c r="T8260" s="5"/>
      <c r="U8260" s="5"/>
      <c r="V8260" s="5"/>
      <c r="W8260" s="5"/>
      <c r="X8260" s="5"/>
      <c r="Y8260" s="5"/>
      <c r="Z8260" s="5"/>
    </row>
    <row r="8261" spans="1:26" ht="15" x14ac:dyDescent="0.25">
      <c r="A8261" s="4" t="s">
        <v>8259</v>
      </c>
      <c r="B8261" s="4" t="s">
        <v>4550</v>
      </c>
      <c r="C8261" s="2" t="str">
        <f ca="1">IFERROR(__xludf.DUMMYFUNCTION("GOOGLETRANSLATE(A8261,""bn"",""en"")"),"Automation system was installed")</f>
        <v>Automation system was installed</v>
      </c>
      <c r="D8261" s="5"/>
      <c r="E8261" s="5"/>
      <c r="F8261" s="5"/>
      <c r="G8261" s="5"/>
      <c r="H8261" s="5"/>
      <c r="I8261" s="5"/>
      <c r="J8261" s="5"/>
      <c r="K8261" s="5"/>
      <c r="L8261" s="5"/>
      <c r="M8261" s="5"/>
      <c r="N8261" s="5"/>
      <c r="O8261" s="5"/>
      <c r="P8261" s="5"/>
      <c r="Q8261" s="5"/>
      <c r="R8261" s="5"/>
      <c r="S8261" s="5"/>
      <c r="T8261" s="5"/>
      <c r="U8261" s="5"/>
      <c r="V8261" s="5"/>
      <c r="W8261" s="5"/>
      <c r="X8261" s="5"/>
      <c r="Y8261" s="5"/>
      <c r="Z8261" s="5"/>
    </row>
    <row r="8262" spans="1:26" ht="15" x14ac:dyDescent="0.25">
      <c r="A8262" s="4" t="s">
        <v>8260</v>
      </c>
      <c r="B8262" s="4" t="s">
        <v>4550</v>
      </c>
      <c r="C8262" s="2" t="str">
        <f ca="1">IFERROR(__xludf.DUMMYFUNCTION("GOOGLETRANSLATE(A8262,""bn"",""en"")"),"I enjoyed the sea trip")</f>
        <v>I enjoyed the sea trip</v>
      </c>
      <c r="D8262" s="5"/>
      <c r="E8262" s="5"/>
      <c r="F8262" s="5"/>
      <c r="G8262" s="5"/>
      <c r="H8262" s="5"/>
      <c r="I8262" s="5"/>
      <c r="J8262" s="5"/>
      <c r="K8262" s="5"/>
      <c r="L8262" s="5"/>
      <c r="M8262" s="5"/>
      <c r="N8262" s="5"/>
      <c r="O8262" s="5"/>
      <c r="P8262" s="5"/>
      <c r="Q8262" s="5"/>
      <c r="R8262" s="5"/>
      <c r="S8262" s="5"/>
      <c r="T8262" s="5"/>
      <c r="U8262" s="5"/>
      <c r="V8262" s="5"/>
      <c r="W8262" s="5"/>
      <c r="X8262" s="5"/>
      <c r="Y8262" s="5"/>
      <c r="Z8262" s="5"/>
    </row>
    <row r="8263" spans="1:26" ht="15" x14ac:dyDescent="0.25">
      <c r="A8263" s="4" t="s">
        <v>8261</v>
      </c>
      <c r="B8263" s="4" t="s">
        <v>4550</v>
      </c>
      <c r="C8263" s="2" t="str">
        <f ca="1">IFERROR(__xludf.DUMMYFUNCTION("GOOGLETRANSLATE(A8263,""bn"",""en"")"),"I was hiking in the mountains last year")</f>
        <v>I was hiking in the mountains last year</v>
      </c>
      <c r="D8263" s="5"/>
      <c r="E8263" s="5"/>
      <c r="F8263" s="5"/>
      <c r="G8263" s="5"/>
      <c r="H8263" s="5"/>
      <c r="I8263" s="5"/>
      <c r="J8263" s="5"/>
      <c r="K8263" s="5"/>
      <c r="L8263" s="5"/>
      <c r="M8263" s="5"/>
      <c r="N8263" s="5"/>
      <c r="O8263" s="5"/>
      <c r="P8263" s="5"/>
      <c r="Q8263" s="5"/>
      <c r="R8263" s="5"/>
      <c r="S8263" s="5"/>
      <c r="T8263" s="5"/>
      <c r="U8263" s="5"/>
      <c r="V8263" s="5"/>
      <c r="W8263" s="5"/>
      <c r="X8263" s="5"/>
      <c r="Y8263" s="5"/>
      <c r="Z8263" s="5"/>
    </row>
    <row r="8264" spans="1:26" ht="15" x14ac:dyDescent="0.25">
      <c r="A8264" s="4" t="s">
        <v>8262</v>
      </c>
      <c r="B8264" s="4" t="s">
        <v>4550</v>
      </c>
      <c r="C8264" s="2" t="str">
        <f ca="1">IFERROR(__xludf.DUMMYFUNCTION("GOOGLETRANSLATE(A8264,""bn"",""en"")"),"They watched movies at night")</f>
        <v>They watched movies at night</v>
      </c>
      <c r="D8264" s="5"/>
      <c r="E8264" s="5"/>
      <c r="F8264" s="5"/>
      <c r="G8264" s="5"/>
      <c r="H8264" s="5"/>
      <c r="I8264" s="5"/>
      <c r="J8264" s="5"/>
      <c r="K8264" s="5"/>
      <c r="L8264" s="5"/>
      <c r="M8264" s="5"/>
      <c r="N8264" s="5"/>
      <c r="O8264" s="5"/>
      <c r="P8264" s="5"/>
      <c r="Q8264" s="5"/>
      <c r="R8264" s="5"/>
      <c r="S8264" s="5"/>
      <c r="T8264" s="5"/>
      <c r="U8264" s="5"/>
      <c r="V8264" s="5"/>
      <c r="W8264" s="5"/>
      <c r="X8264" s="5"/>
      <c r="Y8264" s="5"/>
      <c r="Z8264" s="5"/>
    </row>
    <row r="8265" spans="1:26" ht="15" x14ac:dyDescent="0.25">
      <c r="A8265" s="4" t="s">
        <v>8263</v>
      </c>
      <c r="B8265" s="4" t="s">
        <v>4550</v>
      </c>
      <c r="C8265" s="2" t="str">
        <f ca="1">IFERROR(__xludf.DUMMYFUNCTION("GOOGLETRANSLATE(A8265,""bn"",""en"")"),"The team always worked")</f>
        <v>The team always worked</v>
      </c>
      <c r="D8265" s="5"/>
      <c r="E8265" s="5"/>
      <c r="F8265" s="5"/>
      <c r="G8265" s="5"/>
      <c r="H8265" s="5"/>
      <c r="I8265" s="5"/>
      <c r="J8265" s="5"/>
      <c r="K8265" s="5"/>
      <c r="L8265" s="5"/>
      <c r="M8265" s="5"/>
      <c r="N8265" s="5"/>
      <c r="O8265" s="5"/>
      <c r="P8265" s="5"/>
      <c r="Q8265" s="5"/>
      <c r="R8265" s="5"/>
      <c r="S8265" s="5"/>
      <c r="T8265" s="5"/>
      <c r="U8265" s="5"/>
      <c r="V8265" s="5"/>
      <c r="W8265" s="5"/>
      <c r="X8265" s="5"/>
      <c r="Y8265" s="5"/>
      <c r="Z8265" s="5"/>
    </row>
    <row r="8266" spans="1:26" ht="15" x14ac:dyDescent="0.25">
      <c r="A8266" s="4" t="s">
        <v>8264</v>
      </c>
      <c r="B8266" s="4" t="s">
        <v>4550</v>
      </c>
      <c r="C8266" s="2" t="str">
        <f ca="1">IFERROR(__xludf.DUMMYFUNCTION("GOOGLETRANSLATE(A8266,""bn"",""en"")"),"The team scored first")</f>
        <v>The team scored first</v>
      </c>
      <c r="D8266" s="5"/>
      <c r="E8266" s="5"/>
      <c r="F8266" s="5"/>
      <c r="G8266" s="5"/>
      <c r="H8266" s="5"/>
      <c r="I8266" s="5"/>
      <c r="J8266" s="5"/>
      <c r="K8266" s="5"/>
      <c r="L8266" s="5"/>
      <c r="M8266" s="5"/>
      <c r="N8266" s="5"/>
      <c r="O8266" s="5"/>
      <c r="P8266" s="5"/>
      <c r="Q8266" s="5"/>
      <c r="R8266" s="5"/>
      <c r="S8266" s="5"/>
      <c r="T8266" s="5"/>
      <c r="U8266" s="5"/>
      <c r="V8266" s="5"/>
      <c r="W8266" s="5"/>
      <c r="X8266" s="5"/>
      <c r="Y8266" s="5"/>
      <c r="Z8266" s="5"/>
    </row>
    <row r="8267" spans="1:26" ht="15" x14ac:dyDescent="0.25">
      <c r="A8267" s="4" t="s">
        <v>8265</v>
      </c>
      <c r="B8267" s="4" t="s">
        <v>4550</v>
      </c>
      <c r="C8267" s="2" t="str">
        <f ca="1">IFERROR(__xludf.DUMMYFUNCTION("GOOGLETRANSLATE(A8267,""bn"",""en"")"),"It lasted all day")</f>
        <v>It lasted all day</v>
      </c>
      <c r="D8267" s="5"/>
      <c r="E8267" s="5"/>
      <c r="F8267" s="5"/>
      <c r="G8267" s="5"/>
      <c r="H8267" s="5"/>
      <c r="I8267" s="5"/>
      <c r="J8267" s="5"/>
      <c r="K8267" s="5"/>
      <c r="L8267" s="5"/>
      <c r="M8267" s="5"/>
      <c r="N8267" s="5"/>
      <c r="O8267" s="5"/>
      <c r="P8267" s="5"/>
      <c r="Q8267" s="5"/>
      <c r="R8267" s="5"/>
      <c r="S8267" s="5"/>
      <c r="T8267" s="5"/>
      <c r="U8267" s="5"/>
      <c r="V8267" s="5"/>
      <c r="W8267" s="5"/>
      <c r="X8267" s="5"/>
      <c r="Y8267" s="5"/>
      <c r="Z8267" s="5"/>
    </row>
    <row r="8268" spans="1:26" ht="15" x14ac:dyDescent="0.25">
      <c r="A8268" s="4" t="s">
        <v>8266</v>
      </c>
      <c r="B8268" s="4" t="s">
        <v>4550</v>
      </c>
      <c r="C8268" s="2" t="str">
        <f ca="1">IFERROR(__xludf.DUMMYFUNCTION("GOOGLETRANSLATE(A8268,""bn"",""en"")"),"Puishak was cultivated")</f>
        <v>Puishak was cultivated</v>
      </c>
      <c r="D8268" s="5"/>
      <c r="E8268" s="5"/>
      <c r="F8268" s="5"/>
      <c r="G8268" s="5"/>
      <c r="H8268" s="5"/>
      <c r="I8268" s="5"/>
      <c r="J8268" s="5"/>
      <c r="K8268" s="5"/>
      <c r="L8268" s="5"/>
      <c r="M8268" s="5"/>
      <c r="N8268" s="5"/>
      <c r="O8268" s="5"/>
      <c r="P8268" s="5"/>
      <c r="Q8268" s="5"/>
      <c r="R8268" s="5"/>
      <c r="S8268" s="5"/>
      <c r="T8268" s="5"/>
      <c r="U8268" s="5"/>
      <c r="V8268" s="5"/>
      <c r="W8268" s="5"/>
      <c r="X8268" s="5"/>
      <c r="Y8268" s="5"/>
      <c r="Z8268" s="5"/>
    </row>
    <row r="8269" spans="1:26" ht="15" x14ac:dyDescent="0.25">
      <c r="A8269" s="4" t="s">
        <v>8267</v>
      </c>
      <c r="B8269" s="4" t="s">
        <v>4550</v>
      </c>
      <c r="C8269" s="2" t="str">
        <f ca="1">IFERROR(__xludf.DUMMYFUNCTION("GOOGLETRANSLATE(A8269,""bn"",""en"")"),"was interested in publishing")</f>
        <v>was interested in publishing</v>
      </c>
      <c r="D8269" s="5"/>
      <c r="E8269" s="5"/>
      <c r="F8269" s="5"/>
      <c r="G8269" s="5"/>
      <c r="H8269" s="5"/>
      <c r="I8269" s="5"/>
      <c r="J8269" s="5"/>
      <c r="K8269" s="5"/>
      <c r="L8269" s="5"/>
      <c r="M8269" s="5"/>
      <c r="N8269" s="5"/>
      <c r="O8269" s="5"/>
      <c r="P8269" s="5"/>
      <c r="Q8269" s="5"/>
      <c r="R8269" s="5"/>
      <c r="S8269" s="5"/>
      <c r="T8269" s="5"/>
      <c r="U8269" s="5"/>
      <c r="V8269" s="5"/>
      <c r="W8269" s="5"/>
      <c r="X8269" s="5"/>
      <c r="Y8269" s="5"/>
      <c r="Z8269" s="5"/>
    </row>
    <row r="8270" spans="1:26" ht="15" x14ac:dyDescent="0.25">
      <c r="A8270" s="4" t="s">
        <v>8268</v>
      </c>
      <c r="B8270" s="4" t="s">
        <v>4550</v>
      </c>
      <c r="C8270" s="2" t="str">
        <f ca="1">IFERROR(__xludf.DUMMYFUNCTION("GOOGLETRANSLATE(A8270,""bn"",""en"")"),"A meeting was held with the President")</f>
        <v>A meeting was held with the President</v>
      </c>
      <c r="D8270" s="5"/>
      <c r="E8270" s="5"/>
      <c r="F8270" s="5"/>
      <c r="G8270" s="5"/>
      <c r="H8270" s="5"/>
      <c r="I8270" s="5"/>
      <c r="J8270" s="5"/>
      <c r="K8270" s="5"/>
      <c r="L8270" s="5"/>
      <c r="M8270" s="5"/>
      <c r="N8270" s="5"/>
      <c r="O8270" s="5"/>
      <c r="P8270" s="5"/>
      <c r="Q8270" s="5"/>
      <c r="R8270" s="5"/>
      <c r="S8270" s="5"/>
      <c r="T8270" s="5"/>
      <c r="U8270" s="5"/>
      <c r="V8270" s="5"/>
      <c r="W8270" s="5"/>
      <c r="X8270" s="5"/>
      <c r="Y8270" s="5"/>
      <c r="Z8270" s="5"/>
    </row>
    <row r="8271" spans="1:26" ht="15" x14ac:dyDescent="0.25">
      <c r="A8271" s="4" t="s">
        <v>8269</v>
      </c>
      <c r="B8271" s="4" t="s">
        <v>4550</v>
      </c>
      <c r="C8271" s="2" t="str">
        <f ca="1">IFERROR(__xludf.DUMMYFUNCTION("GOOGLETRANSLATE(A8271,""bn"",""en"")"),"We were going by car on Saturday")</f>
        <v>We were going by car on Saturday</v>
      </c>
      <c r="D8271" s="5"/>
      <c r="E8271" s="5"/>
      <c r="F8271" s="5"/>
      <c r="G8271" s="5"/>
      <c r="H8271" s="5"/>
      <c r="I8271" s="5"/>
      <c r="J8271" s="5"/>
      <c r="K8271" s="5"/>
      <c r="L8271" s="5"/>
      <c r="M8271" s="5"/>
      <c r="N8271" s="5"/>
      <c r="O8271" s="5"/>
      <c r="P8271" s="5"/>
      <c r="Q8271" s="5"/>
      <c r="R8271" s="5"/>
      <c r="S8271" s="5"/>
      <c r="T8271" s="5"/>
      <c r="U8271" s="5"/>
      <c r="V8271" s="5"/>
      <c r="W8271" s="5"/>
      <c r="X8271" s="5"/>
      <c r="Y8271" s="5"/>
      <c r="Z8271" s="5"/>
    </row>
    <row r="8272" spans="1:26" ht="15" x14ac:dyDescent="0.25">
      <c r="A8272" s="4" t="s">
        <v>8270</v>
      </c>
      <c r="B8272" s="4" t="s">
        <v>4550</v>
      </c>
      <c r="C8272" s="2" t="str">
        <f ca="1">IFERROR(__xludf.DUMMYFUNCTION("GOOGLETRANSLATE(A8272,""bn"",""en"")"),"The garden was managed")</f>
        <v>The garden was managed</v>
      </c>
      <c r="D8272" s="5"/>
      <c r="E8272" s="5"/>
      <c r="F8272" s="5"/>
      <c r="G8272" s="5"/>
      <c r="H8272" s="5"/>
      <c r="I8272" s="5"/>
      <c r="J8272" s="5"/>
      <c r="K8272" s="5"/>
      <c r="L8272" s="5"/>
      <c r="M8272" s="5"/>
      <c r="N8272" s="5"/>
      <c r="O8272" s="5"/>
      <c r="P8272" s="5"/>
      <c r="Q8272" s="5"/>
      <c r="R8272" s="5"/>
      <c r="S8272" s="5"/>
      <c r="T8272" s="5"/>
      <c r="U8272" s="5"/>
      <c r="V8272" s="5"/>
      <c r="W8272" s="5"/>
      <c r="X8272" s="5"/>
      <c r="Y8272" s="5"/>
      <c r="Z8272" s="5"/>
    </row>
    <row r="8273" spans="1:26" ht="15" x14ac:dyDescent="0.25">
      <c r="A8273" s="4" t="s">
        <v>8271</v>
      </c>
      <c r="B8273" s="4" t="s">
        <v>4550</v>
      </c>
      <c r="C8273" s="2" t="str">
        <f ca="1">IFERROR(__xludf.DUMMYFUNCTION("GOOGLETRANSLATE(A8273,""bn"",""en"")"),"There are different types of cooking")</f>
        <v>There are different types of cooking</v>
      </c>
      <c r="D8273" s="5"/>
      <c r="E8273" s="5"/>
      <c r="F8273" s="5"/>
      <c r="G8273" s="5"/>
      <c r="H8273" s="5"/>
      <c r="I8273" s="5"/>
      <c r="J8273" s="5"/>
      <c r="K8273" s="5"/>
      <c r="L8273" s="5"/>
      <c r="M8273" s="5"/>
      <c r="N8273" s="5"/>
      <c r="O8273" s="5"/>
      <c r="P8273" s="5"/>
      <c r="Q8273" s="5"/>
      <c r="R8273" s="5"/>
      <c r="S8273" s="5"/>
      <c r="T8273" s="5"/>
      <c r="U8273" s="5"/>
      <c r="V8273" s="5"/>
      <c r="W8273" s="5"/>
      <c r="X8273" s="5"/>
      <c r="Y8273" s="5"/>
      <c r="Z8273" s="5"/>
    </row>
    <row r="8274" spans="1:26" ht="15" x14ac:dyDescent="0.25">
      <c r="A8274" s="4" t="s">
        <v>8272</v>
      </c>
      <c r="B8274" s="4" t="s">
        <v>4550</v>
      </c>
      <c r="C8274" s="2" t="str">
        <f ca="1">IFERROR(__xludf.DUMMYFUNCTION("GOOGLETRANSLATE(A8274,""bn"",""en"")"),"Due to the situation the market was falling")</f>
        <v>Due to the situation the market was falling</v>
      </c>
      <c r="D8274" s="5"/>
      <c r="E8274" s="5"/>
      <c r="F8274" s="5"/>
      <c r="G8274" s="5"/>
      <c r="H8274" s="5"/>
      <c r="I8274" s="5"/>
      <c r="J8274" s="5"/>
      <c r="K8274" s="5"/>
      <c r="L8274" s="5"/>
      <c r="M8274" s="5"/>
      <c r="N8274" s="5"/>
      <c r="O8274" s="5"/>
      <c r="P8274" s="5"/>
      <c r="Q8274" s="5"/>
      <c r="R8274" s="5"/>
      <c r="S8274" s="5"/>
      <c r="T8274" s="5"/>
      <c r="U8274" s="5"/>
      <c r="V8274" s="5"/>
      <c r="W8274" s="5"/>
      <c r="X8274" s="5"/>
      <c r="Y8274" s="5"/>
      <c r="Z8274" s="5"/>
    </row>
    <row r="8275" spans="1:26" ht="15" x14ac:dyDescent="0.25">
      <c r="A8275" s="4" t="s">
        <v>8273</v>
      </c>
      <c r="B8275" s="4" t="s">
        <v>4550</v>
      </c>
      <c r="C8275" s="2" t="str">
        <f ca="1">IFERROR(__xludf.DUMMYFUNCTION("GOOGLETRANSLATE(A8275,""bn"",""en"")"),"Initially bought a digital camera")</f>
        <v>Initially bought a digital camera</v>
      </c>
      <c r="D8275" s="5"/>
      <c r="E8275" s="5"/>
      <c r="F8275" s="5"/>
      <c r="G8275" s="5"/>
      <c r="H8275" s="5"/>
      <c r="I8275" s="5"/>
      <c r="J8275" s="5"/>
      <c r="K8275" s="5"/>
      <c r="L8275" s="5"/>
      <c r="M8275" s="5"/>
      <c r="N8275" s="5"/>
      <c r="O8275" s="5"/>
      <c r="P8275" s="5"/>
      <c r="Q8275" s="5"/>
      <c r="R8275" s="5"/>
      <c r="S8275" s="5"/>
      <c r="T8275" s="5"/>
      <c r="U8275" s="5"/>
      <c r="V8275" s="5"/>
      <c r="W8275" s="5"/>
      <c r="X8275" s="5"/>
      <c r="Y8275" s="5"/>
      <c r="Z8275" s="5"/>
    </row>
    <row r="8276" spans="1:26" ht="15" x14ac:dyDescent="0.25">
      <c r="A8276" s="4" t="s">
        <v>8274</v>
      </c>
      <c r="B8276" s="4" t="s">
        <v>4550</v>
      </c>
      <c r="C8276" s="2" t="str">
        <f ca="1">IFERROR(__xludf.DUMMYFUNCTION("GOOGLETRANSLATE(A8276,""bn"",""en"")"),"Transport received an increase in three months")</f>
        <v>Transport received an increase in three months</v>
      </c>
      <c r="D8276" s="5"/>
      <c r="E8276" s="5"/>
      <c r="F8276" s="5"/>
      <c r="G8276" s="5"/>
      <c r="H8276" s="5"/>
      <c r="I8276" s="5"/>
      <c r="J8276" s="5"/>
      <c r="K8276" s="5"/>
      <c r="L8276" s="5"/>
      <c r="M8276" s="5"/>
      <c r="N8276" s="5"/>
      <c r="O8276" s="5"/>
      <c r="P8276" s="5"/>
      <c r="Q8276" s="5"/>
      <c r="R8276" s="5"/>
      <c r="S8276" s="5"/>
      <c r="T8276" s="5"/>
      <c r="U8276" s="5"/>
      <c r="V8276" s="5"/>
      <c r="W8276" s="5"/>
      <c r="X8276" s="5"/>
      <c r="Y8276" s="5"/>
      <c r="Z8276" s="5"/>
    </row>
    <row r="8277" spans="1:26" ht="15" x14ac:dyDescent="0.25">
      <c r="A8277" s="4" t="s">
        <v>8275</v>
      </c>
      <c r="B8277" s="4" t="s">
        <v>4550</v>
      </c>
      <c r="C8277" s="2" t="str">
        <f ca="1">IFERROR(__xludf.DUMMYFUNCTION("GOOGLETRANSLATE(A8277,""bn"",""en"")"),"Management improved in management")</f>
        <v>Management improved in management</v>
      </c>
      <c r="D8277" s="5"/>
      <c r="E8277" s="5"/>
      <c r="F8277" s="5"/>
      <c r="G8277" s="5"/>
      <c r="H8277" s="5"/>
      <c r="I8277" s="5"/>
      <c r="J8277" s="5"/>
      <c r="K8277" s="5"/>
      <c r="L8277" s="5"/>
      <c r="M8277" s="5"/>
      <c r="N8277" s="5"/>
      <c r="O8277" s="5"/>
      <c r="P8277" s="5"/>
      <c r="Q8277" s="5"/>
      <c r="R8277" s="5"/>
      <c r="S8277" s="5"/>
      <c r="T8277" s="5"/>
      <c r="U8277" s="5"/>
      <c r="V8277" s="5"/>
      <c r="W8277" s="5"/>
      <c r="X8277" s="5"/>
      <c r="Y8277" s="5"/>
      <c r="Z8277" s="5"/>
    </row>
    <row r="8278" spans="1:26" ht="15" x14ac:dyDescent="0.25">
      <c r="A8278" s="4" t="s">
        <v>8276</v>
      </c>
      <c r="B8278" s="4" t="s">
        <v>4550</v>
      </c>
      <c r="C8278" s="2" t="str">
        <f ca="1">IFERROR(__xludf.DUMMYFUNCTION("GOOGLETRANSLATE(A8278,""bn"",""en"")"),"Saw a special picture")</f>
        <v>Saw a special picture</v>
      </c>
      <c r="D8278" s="5"/>
      <c r="E8278" s="5"/>
      <c r="F8278" s="5"/>
      <c r="G8278" s="5"/>
      <c r="H8278" s="5"/>
      <c r="I8278" s="5"/>
      <c r="J8278" s="5"/>
      <c r="K8278" s="5"/>
      <c r="L8278" s="5"/>
      <c r="M8278" s="5"/>
      <c r="N8278" s="5"/>
      <c r="O8278" s="5"/>
      <c r="P8278" s="5"/>
      <c r="Q8278" s="5"/>
      <c r="R8278" s="5"/>
      <c r="S8278" s="5"/>
      <c r="T8278" s="5"/>
      <c r="U8278" s="5"/>
      <c r="V8278" s="5"/>
      <c r="W8278" s="5"/>
      <c r="X8278" s="5"/>
      <c r="Y8278" s="5"/>
      <c r="Z8278" s="5"/>
    </row>
    <row r="8279" spans="1:26" ht="15" x14ac:dyDescent="0.25">
      <c r="A8279" s="4" t="s">
        <v>8277</v>
      </c>
      <c r="B8279" s="4" t="s">
        <v>4550</v>
      </c>
      <c r="C8279" s="2" t="str">
        <f ca="1">IFERROR(__xludf.DUMMYFUNCTION("GOOGLETRANSLATE(A8279,""bn"",""en"")"),"The president was elected in a public meeting")</f>
        <v>The president was elected in a public meeting</v>
      </c>
      <c r="D8279" s="5"/>
      <c r="E8279" s="5"/>
      <c r="F8279" s="5"/>
      <c r="G8279" s="5"/>
      <c r="H8279" s="5"/>
      <c r="I8279" s="5"/>
      <c r="J8279" s="5"/>
      <c r="K8279" s="5"/>
      <c r="L8279" s="5"/>
      <c r="M8279" s="5"/>
      <c r="N8279" s="5"/>
      <c r="O8279" s="5"/>
      <c r="P8279" s="5"/>
      <c r="Q8279" s="5"/>
      <c r="R8279" s="5"/>
      <c r="S8279" s="5"/>
      <c r="T8279" s="5"/>
      <c r="U8279" s="5"/>
      <c r="V8279" s="5"/>
      <c r="W8279" s="5"/>
      <c r="X8279" s="5"/>
      <c r="Y8279" s="5"/>
      <c r="Z8279" s="5"/>
    </row>
    <row r="8280" spans="1:26" ht="15" x14ac:dyDescent="0.25">
      <c r="A8280" s="4" t="s">
        <v>8278</v>
      </c>
      <c r="B8280" s="4" t="s">
        <v>4550</v>
      </c>
      <c r="C8280" s="2" t="str">
        <f ca="1">IFERROR(__xludf.DUMMYFUNCTION("GOOGLETRANSLATE(A8280,""bn"",""en"")"),"He planted trees in the village")</f>
        <v>He planted trees in the village</v>
      </c>
      <c r="D8280" s="5"/>
      <c r="E8280" s="5"/>
      <c r="F8280" s="5"/>
      <c r="G8280" s="5"/>
      <c r="H8280" s="5"/>
      <c r="I8280" s="5"/>
      <c r="J8280" s="5"/>
      <c r="K8280" s="5"/>
      <c r="L8280" s="5"/>
      <c r="M8280" s="5"/>
      <c r="N8280" s="5"/>
      <c r="O8280" s="5"/>
      <c r="P8280" s="5"/>
      <c r="Q8280" s="5"/>
      <c r="R8280" s="5"/>
      <c r="S8280" s="5"/>
      <c r="T8280" s="5"/>
      <c r="U8280" s="5"/>
      <c r="V8280" s="5"/>
      <c r="W8280" s="5"/>
      <c r="X8280" s="5"/>
      <c r="Y8280" s="5"/>
      <c r="Z8280" s="5"/>
    </row>
    <row r="8281" spans="1:26" ht="15" x14ac:dyDescent="0.25">
      <c r="A8281" s="4" t="s">
        <v>8279</v>
      </c>
      <c r="B8281" s="4" t="s">
        <v>4550</v>
      </c>
      <c r="C8281" s="2" t="str">
        <f ca="1">IFERROR(__xludf.DUMMYFUNCTION("GOOGLETRANSLATE(A8281,""bn"",""en"")"),"They won the match on promise")</f>
        <v>They won the match on promise</v>
      </c>
      <c r="D8281" s="5"/>
      <c r="E8281" s="5"/>
      <c r="F8281" s="5"/>
      <c r="G8281" s="5"/>
      <c r="H8281" s="5"/>
      <c r="I8281" s="5"/>
      <c r="J8281" s="5"/>
      <c r="K8281" s="5"/>
      <c r="L8281" s="5"/>
      <c r="M8281" s="5"/>
      <c r="N8281" s="5"/>
      <c r="O8281" s="5"/>
      <c r="P8281" s="5"/>
      <c r="Q8281" s="5"/>
      <c r="R8281" s="5"/>
      <c r="S8281" s="5"/>
      <c r="T8281" s="5"/>
      <c r="U8281" s="5"/>
      <c r="V8281" s="5"/>
      <c r="W8281" s="5"/>
      <c r="X8281" s="5"/>
      <c r="Y8281" s="5"/>
      <c r="Z8281" s="5"/>
    </row>
    <row r="8282" spans="1:26" ht="15" x14ac:dyDescent="0.25">
      <c r="A8282" s="4" t="s">
        <v>8280</v>
      </c>
      <c r="B8282" s="4" t="s">
        <v>4550</v>
      </c>
      <c r="C8282" s="2" t="str">
        <f ca="1">IFERROR(__xludf.DUMMYFUNCTION("GOOGLETRANSLATE(A8282,""bn"",""en"")"),"Bioinformatics specialist has been added")</f>
        <v>Bioinformatics specialist has been added</v>
      </c>
      <c r="D8282" s="5"/>
      <c r="E8282" s="5"/>
      <c r="F8282" s="5"/>
      <c r="G8282" s="5"/>
      <c r="H8282" s="5"/>
      <c r="I8282" s="5"/>
      <c r="J8282" s="5"/>
      <c r="K8282" s="5"/>
      <c r="L8282" s="5"/>
      <c r="M8282" s="5"/>
      <c r="N8282" s="5"/>
      <c r="O8282" s="5"/>
      <c r="P8282" s="5"/>
      <c r="Q8282" s="5"/>
      <c r="R8282" s="5"/>
      <c r="S8282" s="5"/>
      <c r="T8282" s="5"/>
      <c r="U8282" s="5"/>
      <c r="V8282" s="5"/>
      <c r="W8282" s="5"/>
      <c r="X8282" s="5"/>
      <c r="Y8282" s="5"/>
      <c r="Z8282" s="5"/>
    </row>
    <row r="8283" spans="1:26" ht="15" x14ac:dyDescent="0.25">
      <c r="A8283" s="4" t="s">
        <v>8281</v>
      </c>
      <c r="B8283" s="4" t="s">
        <v>4550</v>
      </c>
      <c r="C8283" s="2" t="str">
        <f ca="1">IFERROR(__xludf.DUMMYFUNCTION("GOOGLETRANSLATE(A8283,""bn"",""en"")"),"I got visa last year")</f>
        <v>I got visa last year</v>
      </c>
      <c r="D8283" s="5"/>
      <c r="E8283" s="5"/>
      <c r="F8283" s="5"/>
      <c r="G8283" s="5"/>
      <c r="H8283" s="5"/>
      <c r="I8283" s="5"/>
      <c r="J8283" s="5"/>
      <c r="K8283" s="5"/>
      <c r="L8283" s="5"/>
      <c r="M8283" s="5"/>
      <c r="N8283" s="5"/>
      <c r="O8283" s="5"/>
      <c r="P8283" s="5"/>
      <c r="Q8283" s="5"/>
      <c r="R8283" s="5"/>
      <c r="S8283" s="5"/>
      <c r="T8283" s="5"/>
      <c r="U8283" s="5"/>
      <c r="V8283" s="5"/>
      <c r="W8283" s="5"/>
      <c r="X8283" s="5"/>
      <c r="Y8283" s="5"/>
      <c r="Z8283" s="5"/>
    </row>
    <row r="8284" spans="1:26" ht="15" x14ac:dyDescent="0.25">
      <c r="A8284" s="4" t="s">
        <v>8282</v>
      </c>
      <c r="B8284" s="4" t="s">
        <v>4550</v>
      </c>
      <c r="C8284" s="2" t="str">
        <f ca="1">IFERROR(__xludf.DUMMYFUNCTION("GOOGLETRANSLATE(A8284,""bn"",""en"")"),"I went to stay in the forest at night")</f>
        <v>I went to stay in the forest at night</v>
      </c>
      <c r="D8284" s="5"/>
      <c r="E8284" s="5"/>
      <c r="F8284" s="5"/>
      <c r="G8284" s="5"/>
      <c r="H8284" s="5"/>
      <c r="I8284" s="5"/>
      <c r="J8284" s="5"/>
      <c r="K8284" s="5"/>
      <c r="L8284" s="5"/>
      <c r="M8284" s="5"/>
      <c r="N8284" s="5"/>
      <c r="O8284" s="5"/>
      <c r="P8284" s="5"/>
      <c r="Q8284" s="5"/>
      <c r="R8284" s="5"/>
      <c r="S8284" s="5"/>
      <c r="T8284" s="5"/>
      <c r="U8284" s="5"/>
      <c r="V8284" s="5"/>
      <c r="W8284" s="5"/>
      <c r="X8284" s="5"/>
      <c r="Y8284" s="5"/>
      <c r="Z8284" s="5"/>
    </row>
    <row r="8285" spans="1:26" ht="15" x14ac:dyDescent="0.25">
      <c r="A8285" s="4" t="s">
        <v>8283</v>
      </c>
      <c r="B8285" s="4" t="s">
        <v>4550</v>
      </c>
      <c r="C8285" s="2" t="str">
        <f ca="1">IFERROR(__xludf.DUMMYFUNCTION("GOOGLETRANSLATE(A8285,""bn"",""en"")"),"I made a permanent deposit")</f>
        <v>I made a permanent deposit</v>
      </c>
      <c r="D8285" s="5"/>
      <c r="E8285" s="5"/>
      <c r="F8285" s="5"/>
      <c r="G8285" s="5"/>
      <c r="H8285" s="5"/>
      <c r="I8285" s="5"/>
      <c r="J8285" s="5"/>
      <c r="K8285" s="5"/>
      <c r="L8285" s="5"/>
      <c r="M8285" s="5"/>
      <c r="N8285" s="5"/>
      <c r="O8285" s="5"/>
      <c r="P8285" s="5"/>
      <c r="Q8285" s="5"/>
      <c r="R8285" s="5"/>
      <c r="S8285" s="5"/>
      <c r="T8285" s="5"/>
      <c r="U8285" s="5"/>
      <c r="V8285" s="5"/>
      <c r="W8285" s="5"/>
      <c r="X8285" s="5"/>
      <c r="Y8285" s="5"/>
      <c r="Z8285" s="5"/>
    </row>
    <row r="8286" spans="1:26" ht="15" x14ac:dyDescent="0.25">
      <c r="A8286" s="4" t="s">
        <v>8284</v>
      </c>
      <c r="B8286" s="4" t="s">
        <v>4550</v>
      </c>
      <c r="C8286" s="2" t="str">
        <f ca="1">IFERROR(__xludf.DUMMYFUNCTION("GOOGLETRANSLATE(A8286,""bn"",""en"")"),"Stayed in a nice hotel")</f>
        <v>Stayed in a nice hotel</v>
      </c>
      <c r="D8286" s="5"/>
      <c r="E8286" s="5"/>
      <c r="F8286" s="5"/>
      <c r="G8286" s="5"/>
      <c r="H8286" s="5"/>
      <c r="I8286" s="5"/>
      <c r="J8286" s="5"/>
      <c r="K8286" s="5"/>
      <c r="L8286" s="5"/>
      <c r="M8286" s="5"/>
      <c r="N8286" s="5"/>
      <c r="O8286" s="5"/>
      <c r="P8286" s="5"/>
      <c r="Q8286" s="5"/>
      <c r="R8286" s="5"/>
      <c r="S8286" s="5"/>
      <c r="T8286" s="5"/>
      <c r="U8286" s="5"/>
      <c r="V8286" s="5"/>
      <c r="W8286" s="5"/>
      <c r="X8286" s="5"/>
      <c r="Y8286" s="5"/>
      <c r="Z8286" s="5"/>
    </row>
    <row r="8287" spans="1:26" ht="15" x14ac:dyDescent="0.25">
      <c r="A8287" s="4" t="s">
        <v>8285</v>
      </c>
      <c r="B8287" s="4" t="s">
        <v>4550</v>
      </c>
      <c r="C8287" s="2" t="str">
        <f ca="1">IFERROR(__xludf.DUMMYFUNCTION("GOOGLETRANSLATE(A8287,""bn"",""en"")"),"I used to read economics books")</f>
        <v>I used to read economics books</v>
      </c>
      <c r="D8287" s="5"/>
      <c r="E8287" s="5"/>
      <c r="F8287" s="5"/>
      <c r="G8287" s="5"/>
      <c r="H8287" s="5"/>
      <c r="I8287" s="5"/>
      <c r="J8287" s="5"/>
      <c r="K8287" s="5"/>
      <c r="L8287" s="5"/>
      <c r="M8287" s="5"/>
      <c r="N8287" s="5"/>
      <c r="O8287" s="5"/>
      <c r="P8287" s="5"/>
      <c r="Q8287" s="5"/>
      <c r="R8287" s="5"/>
      <c r="S8287" s="5"/>
      <c r="T8287" s="5"/>
      <c r="U8287" s="5"/>
      <c r="V8287" s="5"/>
      <c r="W8287" s="5"/>
      <c r="X8287" s="5"/>
      <c r="Y8287" s="5"/>
      <c r="Z8287" s="5"/>
    </row>
    <row r="8288" spans="1:26" ht="15" x14ac:dyDescent="0.25">
      <c r="A8288" s="4" t="s">
        <v>8286</v>
      </c>
      <c r="B8288" s="4" t="s">
        <v>4550</v>
      </c>
      <c r="C8288" s="2" t="str">
        <f ca="1">IFERROR(__xludf.DUMMYFUNCTION("GOOGLETRANSLATE(A8288,""bn"",""en"")"),"We saw the dance last week")</f>
        <v>We saw the dance last week</v>
      </c>
      <c r="D8288" s="5"/>
      <c r="E8288" s="5"/>
      <c r="F8288" s="5"/>
      <c r="G8288" s="5"/>
      <c r="H8288" s="5"/>
      <c r="I8288" s="5"/>
      <c r="J8288" s="5"/>
      <c r="K8288" s="5"/>
      <c r="L8288" s="5"/>
      <c r="M8288" s="5"/>
      <c r="N8288" s="5"/>
      <c r="O8288" s="5"/>
      <c r="P8288" s="5"/>
      <c r="Q8288" s="5"/>
      <c r="R8288" s="5"/>
      <c r="S8288" s="5"/>
      <c r="T8288" s="5"/>
      <c r="U8288" s="5"/>
      <c r="V8288" s="5"/>
      <c r="W8288" s="5"/>
      <c r="X8288" s="5"/>
      <c r="Y8288" s="5"/>
      <c r="Z8288" s="5"/>
    </row>
    <row r="8289" spans="1:26" ht="15" x14ac:dyDescent="0.25">
      <c r="A8289" s="4" t="s">
        <v>8287</v>
      </c>
      <c r="B8289" s="4" t="s">
        <v>4550</v>
      </c>
      <c r="C8289" s="2" t="str">
        <f ca="1">IFERROR(__xludf.DUMMYFUNCTION("GOOGLETRANSLATE(A8289,""bn"",""en"")"),"The Prime Minister's news was being circulated")</f>
        <v>The Prime Minister's news was being circulated</v>
      </c>
      <c r="D8289" s="5"/>
      <c r="E8289" s="5"/>
      <c r="F8289" s="5"/>
      <c r="G8289" s="5"/>
      <c r="H8289" s="5"/>
      <c r="I8289" s="5"/>
      <c r="J8289" s="5"/>
      <c r="K8289" s="5"/>
      <c r="L8289" s="5"/>
      <c r="M8289" s="5"/>
      <c r="N8289" s="5"/>
      <c r="O8289" s="5"/>
      <c r="P8289" s="5"/>
      <c r="Q8289" s="5"/>
      <c r="R8289" s="5"/>
      <c r="S8289" s="5"/>
      <c r="T8289" s="5"/>
      <c r="U8289" s="5"/>
      <c r="V8289" s="5"/>
      <c r="W8289" s="5"/>
      <c r="X8289" s="5"/>
      <c r="Y8289" s="5"/>
      <c r="Z8289" s="5"/>
    </row>
    <row r="8290" spans="1:26" ht="15" x14ac:dyDescent="0.25">
      <c r="A8290" s="4" t="s">
        <v>8288</v>
      </c>
      <c r="B8290" s="4" t="s">
        <v>4550</v>
      </c>
      <c r="C8290" s="2" t="str">
        <f ca="1">IFERROR(__xludf.DUMMYFUNCTION("GOOGLETRANSLATE(A8290,""bn"",""en"")"),"I was listening to new music")</f>
        <v>I was listening to new music</v>
      </c>
      <c r="D8290" s="5"/>
      <c r="E8290" s="5"/>
      <c r="F8290" s="5"/>
      <c r="G8290" s="5"/>
      <c r="H8290" s="5"/>
      <c r="I8290" s="5"/>
      <c r="J8290" s="5"/>
      <c r="K8290" s="5"/>
      <c r="L8290" s="5"/>
      <c r="M8290" s="5"/>
      <c r="N8290" s="5"/>
      <c r="O8290" s="5"/>
      <c r="P8290" s="5"/>
      <c r="Q8290" s="5"/>
      <c r="R8290" s="5"/>
      <c r="S8290" s="5"/>
      <c r="T8290" s="5"/>
      <c r="U8290" s="5"/>
      <c r="V8290" s="5"/>
      <c r="W8290" s="5"/>
      <c r="X8290" s="5"/>
      <c r="Y8290" s="5"/>
      <c r="Z8290" s="5"/>
    </row>
    <row r="8291" spans="1:26" ht="15" x14ac:dyDescent="0.25">
      <c r="A8291" s="4" t="s">
        <v>8289</v>
      </c>
      <c r="B8291" s="4" t="s">
        <v>4550</v>
      </c>
      <c r="C8291" s="2" t="str">
        <f ca="1">IFERROR(__xludf.DUMMYFUNCTION("GOOGLETRANSLATE(A8291,""bn"",""en"")"),"I bought the ingredients for making the cake")</f>
        <v>I bought the ingredients for making the cake</v>
      </c>
      <c r="D8291" s="5"/>
      <c r="E8291" s="5"/>
      <c r="F8291" s="5"/>
      <c r="G8291" s="5"/>
      <c r="H8291" s="5"/>
      <c r="I8291" s="5"/>
      <c r="J8291" s="5"/>
      <c r="K8291" s="5"/>
      <c r="L8291" s="5"/>
      <c r="M8291" s="5"/>
      <c r="N8291" s="5"/>
      <c r="O8291" s="5"/>
      <c r="P8291" s="5"/>
      <c r="Q8291" s="5"/>
      <c r="R8291" s="5"/>
      <c r="S8291" s="5"/>
      <c r="T8291" s="5"/>
      <c r="U8291" s="5"/>
      <c r="V8291" s="5"/>
      <c r="W8291" s="5"/>
      <c r="X8291" s="5"/>
      <c r="Y8291" s="5"/>
      <c r="Z8291" s="5"/>
    </row>
    <row r="8292" spans="1:26" ht="15" x14ac:dyDescent="0.25">
      <c r="A8292" s="4" t="s">
        <v>8290</v>
      </c>
      <c r="B8292" s="4" t="s">
        <v>4550</v>
      </c>
      <c r="C8292" s="2" t="str">
        <f ca="1">IFERROR(__xludf.DUMMYFUNCTION("GOOGLETRANSLATE(A8292,""bn"",""en"")"),"The seed was sown at the right time")</f>
        <v>The seed was sown at the right time</v>
      </c>
      <c r="D8292" s="5"/>
      <c r="E8292" s="5"/>
      <c r="F8292" s="5"/>
      <c r="G8292" s="5"/>
      <c r="H8292" s="5"/>
      <c r="I8292" s="5"/>
      <c r="J8292" s="5"/>
      <c r="K8292" s="5"/>
      <c r="L8292" s="5"/>
      <c r="M8292" s="5"/>
      <c r="N8292" s="5"/>
      <c r="O8292" s="5"/>
      <c r="P8292" s="5"/>
      <c r="Q8292" s="5"/>
      <c r="R8292" s="5"/>
      <c r="S8292" s="5"/>
      <c r="T8292" s="5"/>
      <c r="U8292" s="5"/>
      <c r="V8292" s="5"/>
      <c r="W8292" s="5"/>
      <c r="X8292" s="5"/>
      <c r="Y8292" s="5"/>
      <c r="Z8292" s="5"/>
    </row>
    <row r="8293" spans="1:26" ht="15" x14ac:dyDescent="0.25">
      <c r="A8293" s="4" t="s">
        <v>8291</v>
      </c>
      <c r="B8293" s="4" t="s">
        <v>4550</v>
      </c>
      <c r="C8293" s="2" t="str">
        <f ca="1">IFERROR(__xludf.DUMMYFUNCTION("GOOGLETRANSLATE(A8293,""bn"",""en"")"),"Smartwatches were worn while driving")</f>
        <v>Smartwatches were worn while driving</v>
      </c>
      <c r="D8293" s="5"/>
      <c r="E8293" s="5"/>
      <c r="F8293" s="5"/>
      <c r="G8293" s="5"/>
      <c r="H8293" s="5"/>
      <c r="I8293" s="5"/>
      <c r="J8293" s="5"/>
      <c r="K8293" s="5"/>
      <c r="L8293" s="5"/>
      <c r="M8293" s="5"/>
      <c r="N8293" s="5"/>
      <c r="O8293" s="5"/>
      <c r="P8293" s="5"/>
      <c r="Q8293" s="5"/>
      <c r="R8293" s="5"/>
      <c r="S8293" s="5"/>
      <c r="T8293" s="5"/>
      <c r="U8293" s="5"/>
      <c r="V8293" s="5"/>
      <c r="W8293" s="5"/>
      <c r="X8293" s="5"/>
      <c r="Y8293" s="5"/>
      <c r="Z8293" s="5"/>
    </row>
    <row r="8294" spans="1:26" ht="15" x14ac:dyDescent="0.25">
      <c r="A8294" s="4" t="s">
        <v>8292</v>
      </c>
      <c r="B8294" s="4" t="s">
        <v>4550</v>
      </c>
      <c r="C8294" s="2" t="str">
        <f ca="1">IFERROR(__xludf.DUMMYFUNCTION("GOOGLETRANSLATE(A8294,""bn"",""en"")"),"Cabinet approved the budget")</f>
        <v>Cabinet approved the budget</v>
      </c>
      <c r="D8294" s="5"/>
      <c r="E8294" s="5"/>
      <c r="F8294" s="5"/>
      <c r="G8294" s="5"/>
      <c r="H8294" s="5"/>
      <c r="I8294" s="5"/>
      <c r="J8294" s="5"/>
      <c r="K8294" s="5"/>
      <c r="L8294" s="5"/>
      <c r="M8294" s="5"/>
      <c r="N8294" s="5"/>
      <c r="O8294" s="5"/>
      <c r="P8294" s="5"/>
      <c r="Q8294" s="5"/>
      <c r="R8294" s="5"/>
      <c r="S8294" s="5"/>
      <c r="T8294" s="5"/>
      <c r="U8294" s="5"/>
      <c r="V8294" s="5"/>
      <c r="W8294" s="5"/>
      <c r="X8294" s="5"/>
      <c r="Y8294" s="5"/>
      <c r="Z8294" s="5"/>
    </row>
    <row r="8295" spans="1:26" ht="15" x14ac:dyDescent="0.25">
      <c r="A8295" s="4" t="s">
        <v>8293</v>
      </c>
      <c r="B8295" s="4" t="s">
        <v>4550</v>
      </c>
      <c r="C8295" s="2" t="str">
        <f ca="1">IFERROR(__xludf.DUMMYFUNCTION("GOOGLETRANSLATE(A8295,""bn"",""en"")"),"I returned after winning the World Cup")</f>
        <v>I returned after winning the World Cup</v>
      </c>
      <c r="D8295" s="5"/>
      <c r="E8295" s="5"/>
      <c r="F8295" s="5"/>
      <c r="G8295" s="5"/>
      <c r="H8295" s="5"/>
      <c r="I8295" s="5"/>
      <c r="J8295" s="5"/>
      <c r="K8295" s="5"/>
      <c r="L8295" s="5"/>
      <c r="M8295" s="5"/>
      <c r="N8295" s="5"/>
      <c r="O8295" s="5"/>
      <c r="P8295" s="5"/>
      <c r="Q8295" s="5"/>
      <c r="R8295" s="5"/>
      <c r="S8295" s="5"/>
      <c r="T8295" s="5"/>
      <c r="U8295" s="5"/>
      <c r="V8295" s="5"/>
      <c r="W8295" s="5"/>
      <c r="X8295" s="5"/>
      <c r="Y8295" s="5"/>
      <c r="Z8295" s="5"/>
    </row>
    <row r="8296" spans="1:26" ht="15" x14ac:dyDescent="0.25">
      <c r="A8296" s="4" t="s">
        <v>8294</v>
      </c>
      <c r="B8296" s="4" t="s">
        <v>4550</v>
      </c>
      <c r="C8296" s="2" t="str">
        <f ca="1">IFERROR(__xludf.DUMMYFUNCTION("GOOGLETRANSLATE(A8296,""bn"",""en"")"),"I was looking at a picture")</f>
        <v>I was looking at a picture</v>
      </c>
      <c r="D8296" s="5"/>
      <c r="E8296" s="5"/>
      <c r="F8296" s="5"/>
      <c r="G8296" s="5"/>
      <c r="H8296" s="5"/>
      <c r="I8296" s="5"/>
      <c r="J8296" s="5"/>
      <c r="K8296" s="5"/>
      <c r="L8296" s="5"/>
      <c r="M8296" s="5"/>
      <c r="N8296" s="5"/>
      <c r="O8296" s="5"/>
      <c r="P8296" s="5"/>
      <c r="Q8296" s="5"/>
      <c r="R8296" s="5"/>
      <c r="S8296" s="5"/>
      <c r="T8296" s="5"/>
      <c r="U8296" s="5"/>
      <c r="V8296" s="5"/>
      <c r="W8296" s="5"/>
      <c r="X8296" s="5"/>
      <c r="Y8296" s="5"/>
      <c r="Z8296" s="5"/>
    </row>
    <row r="8297" spans="1:26" ht="15" x14ac:dyDescent="0.25">
      <c r="A8297" s="4" t="s">
        <v>8295</v>
      </c>
      <c r="B8297" s="4" t="s">
        <v>4550</v>
      </c>
      <c r="C8297" s="2" t="str">
        <f ca="1">IFERROR(__xludf.DUMMYFUNCTION("GOOGLETRANSLATE(A8297,""bn"",""en"")"),"The leaders canceled the meeting")</f>
        <v>The leaders canceled the meeting</v>
      </c>
      <c r="D8297" s="5"/>
      <c r="E8297" s="5"/>
      <c r="F8297" s="5"/>
      <c r="G8297" s="5"/>
      <c r="H8297" s="5"/>
      <c r="I8297" s="5"/>
      <c r="J8297" s="5"/>
      <c r="K8297" s="5"/>
      <c r="L8297" s="5"/>
      <c r="M8297" s="5"/>
      <c r="N8297" s="5"/>
      <c r="O8297" s="5"/>
      <c r="P8297" s="5"/>
      <c r="Q8297" s="5"/>
      <c r="R8297" s="5"/>
      <c r="S8297" s="5"/>
      <c r="T8297" s="5"/>
      <c r="U8297" s="5"/>
      <c r="V8297" s="5"/>
      <c r="W8297" s="5"/>
      <c r="X8297" s="5"/>
      <c r="Y8297" s="5"/>
      <c r="Z8297" s="5"/>
    </row>
    <row r="8298" spans="1:26" ht="15" x14ac:dyDescent="0.25">
      <c r="A8298" s="4" t="s">
        <v>8296</v>
      </c>
      <c r="B8298" s="4" t="s">
        <v>4550</v>
      </c>
      <c r="C8298" s="2" t="str">
        <f ca="1">IFERROR(__xludf.DUMMYFUNCTION("GOOGLETRANSLATE(A8298,""bn"",""en"")"),"I was in a park")</f>
        <v>I was in a park</v>
      </c>
      <c r="D8298" s="5"/>
      <c r="E8298" s="5"/>
      <c r="F8298" s="5"/>
      <c r="G8298" s="5"/>
      <c r="H8298" s="5"/>
      <c r="I8298" s="5"/>
      <c r="J8298" s="5"/>
      <c r="K8298" s="5"/>
      <c r="L8298" s="5"/>
      <c r="M8298" s="5"/>
      <c r="N8298" s="5"/>
      <c r="O8298" s="5"/>
      <c r="P8298" s="5"/>
      <c r="Q8298" s="5"/>
      <c r="R8298" s="5"/>
      <c r="S8298" s="5"/>
      <c r="T8298" s="5"/>
      <c r="U8298" s="5"/>
      <c r="V8298" s="5"/>
      <c r="W8298" s="5"/>
      <c r="X8298" s="5"/>
      <c r="Y8298" s="5"/>
      <c r="Z8298" s="5"/>
    </row>
    <row r="8299" spans="1:26" ht="15" x14ac:dyDescent="0.25">
      <c r="A8299" s="4" t="s">
        <v>8297</v>
      </c>
      <c r="B8299" s="4" t="s">
        <v>4550</v>
      </c>
      <c r="C8299" s="2" t="str">
        <f ca="1">IFERROR(__xludf.DUMMYFUNCTION("GOOGLETRANSLATE(A8299,""bn"",""en"")"),"A lot of journalists were reporting")</f>
        <v>A lot of journalists were reporting</v>
      </c>
      <c r="D8299" s="5"/>
      <c r="E8299" s="5"/>
      <c r="F8299" s="5"/>
      <c r="G8299" s="5"/>
      <c r="H8299" s="5"/>
      <c r="I8299" s="5"/>
      <c r="J8299" s="5"/>
      <c r="K8299" s="5"/>
      <c r="L8299" s="5"/>
      <c r="M8299" s="5"/>
      <c r="N8299" s="5"/>
      <c r="O8299" s="5"/>
      <c r="P8299" s="5"/>
      <c r="Q8299" s="5"/>
      <c r="R8299" s="5"/>
      <c r="S8299" s="5"/>
      <c r="T8299" s="5"/>
      <c r="U8299" s="5"/>
      <c r="V8299" s="5"/>
      <c r="W8299" s="5"/>
      <c r="X8299" s="5"/>
      <c r="Y8299" s="5"/>
      <c r="Z8299" s="5"/>
    </row>
    <row r="8300" spans="1:26" ht="15" x14ac:dyDescent="0.25">
      <c r="A8300" s="4" t="s">
        <v>8298</v>
      </c>
      <c r="B8300" s="4" t="s">
        <v>4550</v>
      </c>
      <c r="C8300" s="2" t="str">
        <f ca="1">IFERROR(__xludf.DUMMYFUNCTION("GOOGLETRANSLATE(A8300,""bn"",""en"")"),"Hadith was read regularly in Madrasa")</f>
        <v>Hadith was read regularly in Madrasa</v>
      </c>
      <c r="D8300" s="5"/>
      <c r="E8300" s="5"/>
      <c r="F8300" s="5"/>
      <c r="G8300" s="5"/>
      <c r="H8300" s="5"/>
      <c r="I8300" s="5"/>
      <c r="J8300" s="5"/>
      <c r="K8300" s="5"/>
      <c r="L8300" s="5"/>
      <c r="M8300" s="5"/>
      <c r="N8300" s="5"/>
      <c r="O8300" s="5"/>
      <c r="P8300" s="5"/>
      <c r="Q8300" s="5"/>
      <c r="R8300" s="5"/>
      <c r="S8300" s="5"/>
      <c r="T8300" s="5"/>
      <c r="U8300" s="5"/>
      <c r="V8300" s="5"/>
      <c r="W8300" s="5"/>
      <c r="X8300" s="5"/>
      <c r="Y8300" s="5"/>
      <c r="Z8300" s="5"/>
    </row>
    <row r="8301" spans="1:26" ht="15" x14ac:dyDescent="0.25">
      <c r="A8301" s="4" t="s">
        <v>8299</v>
      </c>
      <c r="B8301" s="4" t="s">
        <v>4550</v>
      </c>
      <c r="C8301" s="2" t="str">
        <f ca="1">IFERROR(__xludf.DUMMYFUNCTION("GOOGLETRANSLATE(A8301,""bn"",""en"")"),"The believers talked about the Hereafter")</f>
        <v>The believers talked about the Hereafter</v>
      </c>
      <c r="D8301" s="5"/>
      <c r="E8301" s="5"/>
      <c r="F8301" s="5"/>
      <c r="G8301" s="5"/>
      <c r="H8301" s="5"/>
      <c r="I8301" s="5"/>
      <c r="J8301" s="5"/>
      <c r="K8301" s="5"/>
      <c r="L8301" s="5"/>
      <c r="M8301" s="5"/>
      <c r="N8301" s="5"/>
      <c r="O8301" s="5"/>
      <c r="P8301" s="5"/>
      <c r="Q8301" s="5"/>
      <c r="R8301" s="5"/>
      <c r="S8301" s="5"/>
      <c r="T8301" s="5"/>
      <c r="U8301" s="5"/>
      <c r="V8301" s="5"/>
      <c r="W8301" s="5"/>
      <c r="X8301" s="5"/>
      <c r="Y8301" s="5"/>
      <c r="Z8301" s="5"/>
    </row>
    <row r="8302" spans="1:26" ht="15" x14ac:dyDescent="0.25">
      <c r="A8302" s="4" t="s">
        <v>8300</v>
      </c>
      <c r="B8302" s="4" t="s">
        <v>4550</v>
      </c>
      <c r="C8302" s="2" t="str">
        <f ca="1">IFERROR(__xludf.DUMMYFUNCTION("GOOGLETRANSLATE(A8302,""bn"",""en"")"),"Code has to be commented")</f>
        <v>Code has to be commented</v>
      </c>
      <c r="D8302" s="5"/>
      <c r="E8302" s="5"/>
      <c r="F8302" s="5"/>
      <c r="G8302" s="5"/>
      <c r="H8302" s="5"/>
      <c r="I8302" s="5"/>
      <c r="J8302" s="5"/>
      <c r="K8302" s="5"/>
      <c r="L8302" s="5"/>
      <c r="M8302" s="5"/>
      <c r="N8302" s="5"/>
      <c r="O8302" s="5"/>
      <c r="P8302" s="5"/>
      <c r="Q8302" s="5"/>
      <c r="R8302" s="5"/>
      <c r="S8302" s="5"/>
      <c r="T8302" s="5"/>
      <c r="U8302" s="5"/>
      <c r="V8302" s="5"/>
      <c r="W8302" s="5"/>
      <c r="X8302" s="5"/>
      <c r="Y8302" s="5"/>
      <c r="Z8302" s="5"/>
    </row>
    <row r="8303" spans="1:26" ht="15" x14ac:dyDescent="0.25">
      <c r="A8303" s="4" t="s">
        <v>8301</v>
      </c>
      <c r="B8303" s="4" t="s">
        <v>4550</v>
      </c>
      <c r="C8303" s="2" t="str">
        <f ca="1">IFERROR(__xludf.DUMMYFUNCTION("GOOGLETRANSLATE(A8303,""bn"",""en"")"),"The rivals lost in the city elections")</f>
        <v>The rivals lost in the city elections</v>
      </c>
      <c r="D8303" s="5"/>
      <c r="E8303" s="5"/>
      <c r="F8303" s="5"/>
      <c r="G8303" s="5"/>
      <c r="H8303" s="5"/>
      <c r="I8303" s="5"/>
      <c r="J8303" s="5"/>
      <c r="K8303" s="5"/>
      <c r="L8303" s="5"/>
      <c r="M8303" s="5"/>
      <c r="N8303" s="5"/>
      <c r="O8303" s="5"/>
      <c r="P8303" s="5"/>
      <c r="Q8303" s="5"/>
      <c r="R8303" s="5"/>
      <c r="S8303" s="5"/>
      <c r="T8303" s="5"/>
      <c r="U8303" s="5"/>
      <c r="V8303" s="5"/>
      <c r="W8303" s="5"/>
      <c r="X8303" s="5"/>
      <c r="Y8303" s="5"/>
      <c r="Z8303" s="5"/>
    </row>
    <row r="8304" spans="1:26" ht="15" x14ac:dyDescent="0.25">
      <c r="A8304" s="4" t="s">
        <v>8302</v>
      </c>
      <c r="B8304" s="4" t="s">
        <v>4550</v>
      </c>
      <c r="C8304" s="2" t="str">
        <f ca="1">IFERROR(__xludf.DUMMYFUNCTION("GOOGLETRANSLATE(A8304,""bn"",""en"")"),"The use of social media was prohibited")</f>
        <v>The use of social media was prohibited</v>
      </c>
      <c r="D8304" s="5"/>
      <c r="E8304" s="5"/>
      <c r="F8304" s="5"/>
      <c r="G8304" s="5"/>
      <c r="H8304" s="5"/>
      <c r="I8304" s="5"/>
      <c r="J8304" s="5"/>
      <c r="K8304" s="5"/>
      <c r="L8304" s="5"/>
      <c r="M8304" s="5"/>
      <c r="N8304" s="5"/>
      <c r="O8304" s="5"/>
      <c r="P8304" s="5"/>
      <c r="Q8304" s="5"/>
      <c r="R8304" s="5"/>
      <c r="S8304" s="5"/>
      <c r="T8304" s="5"/>
      <c r="U8304" s="5"/>
      <c r="V8304" s="5"/>
      <c r="W8304" s="5"/>
      <c r="X8304" s="5"/>
      <c r="Y8304" s="5"/>
      <c r="Z8304" s="5"/>
    </row>
    <row r="8305" spans="1:26" ht="15" x14ac:dyDescent="0.25">
      <c r="A8305" s="4" t="s">
        <v>8303</v>
      </c>
      <c r="B8305" s="4" t="s">
        <v>4550</v>
      </c>
      <c r="C8305" s="2" t="str">
        <f ca="1">IFERROR(__xludf.DUMMYFUNCTION("GOOGLETRANSLATE(A8305,""bn"",""en"")"),"Rewatched old movies")</f>
        <v>Rewatched old movies</v>
      </c>
      <c r="D8305" s="5"/>
      <c r="E8305" s="5"/>
      <c r="F8305" s="5"/>
      <c r="G8305" s="5"/>
      <c r="H8305" s="5"/>
      <c r="I8305" s="5"/>
      <c r="J8305" s="5"/>
      <c r="K8305" s="5"/>
      <c r="L8305" s="5"/>
      <c r="M8305" s="5"/>
      <c r="N8305" s="5"/>
      <c r="O8305" s="5"/>
      <c r="P8305" s="5"/>
      <c r="Q8305" s="5"/>
      <c r="R8305" s="5"/>
      <c r="S8305" s="5"/>
      <c r="T8305" s="5"/>
      <c r="U8305" s="5"/>
      <c r="V8305" s="5"/>
      <c r="W8305" s="5"/>
      <c r="X8305" s="5"/>
      <c r="Y8305" s="5"/>
      <c r="Z8305" s="5"/>
    </row>
    <row r="8306" spans="1:26" ht="15" x14ac:dyDescent="0.25">
      <c r="A8306" s="4" t="s">
        <v>8304</v>
      </c>
      <c r="B8306" s="4" t="s">
        <v>4550</v>
      </c>
      <c r="C8306" s="2" t="str">
        <f ca="1">IFERROR(__xludf.DUMMYFUNCTION("GOOGLETRANSLATE(A8306,""bn"",""en"")"),"They paid their debts")</f>
        <v>They paid their debts</v>
      </c>
      <c r="D8306" s="5"/>
      <c r="E8306" s="5"/>
      <c r="F8306" s="5"/>
      <c r="G8306" s="5"/>
      <c r="H8306" s="5"/>
      <c r="I8306" s="5"/>
      <c r="J8306" s="5"/>
      <c r="K8306" s="5"/>
      <c r="L8306" s="5"/>
      <c r="M8306" s="5"/>
      <c r="N8306" s="5"/>
      <c r="O8306" s="5"/>
      <c r="P8306" s="5"/>
      <c r="Q8306" s="5"/>
      <c r="R8306" s="5"/>
      <c r="S8306" s="5"/>
      <c r="T8306" s="5"/>
      <c r="U8306" s="5"/>
      <c r="V8306" s="5"/>
      <c r="W8306" s="5"/>
      <c r="X8306" s="5"/>
      <c r="Y8306" s="5"/>
      <c r="Z8306" s="5"/>
    </row>
    <row r="8307" spans="1:26" ht="15" x14ac:dyDescent="0.25">
      <c r="A8307" s="4" t="s">
        <v>8305</v>
      </c>
      <c r="B8307" s="4" t="s">
        <v>4550</v>
      </c>
      <c r="C8307" s="2" t="str">
        <f ca="1">IFERROR(__xludf.DUMMYFUNCTION("GOOGLETRANSLATE(A8307,""bn"",""en"")"),"The cricket match was defeated")</f>
        <v>The cricket match was defeated</v>
      </c>
      <c r="D8307" s="5"/>
      <c r="E8307" s="5"/>
      <c r="F8307" s="5"/>
      <c r="G8307" s="5"/>
      <c r="H8307" s="5"/>
      <c r="I8307" s="5"/>
      <c r="J8307" s="5"/>
      <c r="K8307" s="5"/>
      <c r="L8307" s="5"/>
      <c r="M8307" s="5"/>
      <c r="N8307" s="5"/>
      <c r="O8307" s="5"/>
      <c r="P8307" s="5"/>
      <c r="Q8307" s="5"/>
      <c r="R8307" s="5"/>
      <c r="S8307" s="5"/>
      <c r="T8307" s="5"/>
      <c r="U8307" s="5"/>
      <c r="V8307" s="5"/>
      <c r="W8307" s="5"/>
      <c r="X8307" s="5"/>
      <c r="Y8307" s="5"/>
      <c r="Z8307" s="5"/>
    </row>
    <row r="8308" spans="1:26" ht="15" x14ac:dyDescent="0.25">
      <c r="A8308" s="4" t="s">
        <v>8306</v>
      </c>
      <c r="B8308" s="4" t="s">
        <v>4550</v>
      </c>
      <c r="C8308" s="2" t="str">
        <f ca="1">IFERROR(__xludf.DUMMYFUNCTION("GOOGLETRANSLATE(A8308,""bn"",""en"")"),"The Prime Minister discussed in the meeting")</f>
        <v>The Prime Minister discussed in the meeting</v>
      </c>
      <c r="D8308" s="5"/>
      <c r="E8308" s="5"/>
      <c r="F8308" s="5"/>
      <c r="G8308" s="5"/>
      <c r="H8308" s="5"/>
      <c r="I8308" s="5"/>
      <c r="J8308" s="5"/>
      <c r="K8308" s="5"/>
      <c r="L8308" s="5"/>
      <c r="M8308" s="5"/>
      <c r="N8308" s="5"/>
      <c r="O8308" s="5"/>
      <c r="P8308" s="5"/>
      <c r="Q8308" s="5"/>
      <c r="R8308" s="5"/>
      <c r="S8308" s="5"/>
      <c r="T8308" s="5"/>
      <c r="U8308" s="5"/>
      <c r="V8308" s="5"/>
      <c r="W8308" s="5"/>
      <c r="X8308" s="5"/>
      <c r="Y8308" s="5"/>
      <c r="Z8308" s="5"/>
    </row>
    <row r="8309" spans="1:26" ht="15" x14ac:dyDescent="0.25">
      <c r="A8309" s="4" t="s">
        <v>8307</v>
      </c>
      <c r="B8309" s="4" t="s">
        <v>4550</v>
      </c>
      <c r="C8309" s="2" t="str">
        <f ca="1">IFERROR(__xludf.DUMMYFUNCTION("GOOGLETRANSLATE(A8309,""bn"",""en"")"),"Politics was going on in the meeting")</f>
        <v>Politics was going on in the meeting</v>
      </c>
      <c r="D8309" s="5"/>
      <c r="E8309" s="5"/>
      <c r="F8309" s="5"/>
      <c r="G8309" s="5"/>
      <c r="H8309" s="5"/>
      <c r="I8309" s="5"/>
      <c r="J8309" s="5"/>
      <c r="K8309" s="5"/>
      <c r="L8309" s="5"/>
      <c r="M8309" s="5"/>
      <c r="N8309" s="5"/>
      <c r="O8309" s="5"/>
      <c r="P8309" s="5"/>
      <c r="Q8309" s="5"/>
      <c r="R8309" s="5"/>
      <c r="S8309" s="5"/>
      <c r="T8309" s="5"/>
      <c r="U8309" s="5"/>
      <c r="V8309" s="5"/>
      <c r="W8309" s="5"/>
      <c r="X8309" s="5"/>
      <c r="Y8309" s="5"/>
      <c r="Z8309" s="5"/>
    </row>
    <row r="8310" spans="1:26" ht="15" x14ac:dyDescent="0.25">
      <c r="A8310" s="4" t="s">
        <v>8308</v>
      </c>
      <c r="B8310" s="4" t="s">
        <v>4550</v>
      </c>
      <c r="C8310" s="2" t="str">
        <f ca="1">IFERROR(__xludf.DUMMYFUNCTION("GOOGLETRANSLATE(A8310,""bn"",""en"")"),"You take vitamin shots")</f>
        <v>You take vitamin shots</v>
      </c>
      <c r="D8310" s="5"/>
      <c r="E8310" s="5"/>
      <c r="F8310" s="5"/>
      <c r="G8310" s="5"/>
      <c r="H8310" s="5"/>
      <c r="I8310" s="5"/>
      <c r="J8310" s="5"/>
      <c r="K8310" s="5"/>
      <c r="L8310" s="5"/>
      <c r="M8310" s="5"/>
      <c r="N8310" s="5"/>
      <c r="O8310" s="5"/>
      <c r="P8310" s="5"/>
      <c r="Q8310" s="5"/>
      <c r="R8310" s="5"/>
      <c r="S8310" s="5"/>
      <c r="T8310" s="5"/>
      <c r="U8310" s="5"/>
      <c r="V8310" s="5"/>
      <c r="W8310" s="5"/>
      <c r="X8310" s="5"/>
      <c r="Y8310" s="5"/>
      <c r="Z8310" s="5"/>
    </row>
    <row r="8311" spans="1:26" ht="15" x14ac:dyDescent="0.25">
      <c r="A8311" s="4" t="s">
        <v>8309</v>
      </c>
      <c r="B8311" s="4" t="s">
        <v>4550</v>
      </c>
      <c r="C8311" s="2" t="str">
        <f ca="1">IFERROR(__xludf.DUMMYFUNCTION("GOOGLETRANSLATE(A8311,""bn"",""en"")"),"Played efficiently and consistently")</f>
        <v>Played efficiently and consistently</v>
      </c>
      <c r="D8311" s="5"/>
      <c r="E8311" s="5"/>
      <c r="F8311" s="5"/>
      <c r="G8311" s="5"/>
      <c r="H8311" s="5"/>
      <c r="I8311" s="5"/>
      <c r="J8311" s="5"/>
      <c r="K8311" s="5"/>
      <c r="L8311" s="5"/>
      <c r="M8311" s="5"/>
      <c r="N8311" s="5"/>
      <c r="O8311" s="5"/>
      <c r="P8311" s="5"/>
      <c r="Q8311" s="5"/>
      <c r="R8311" s="5"/>
      <c r="S8311" s="5"/>
      <c r="T8311" s="5"/>
      <c r="U8311" s="5"/>
      <c r="V8311" s="5"/>
      <c r="W8311" s="5"/>
      <c r="X8311" s="5"/>
      <c r="Y8311" s="5"/>
      <c r="Z8311" s="5"/>
    </row>
    <row r="8312" spans="1:26" ht="15" x14ac:dyDescent="0.25">
      <c r="A8312" s="4" t="s">
        <v>8310</v>
      </c>
      <c r="B8312" s="4" t="s">
        <v>4550</v>
      </c>
      <c r="C8312" s="2" t="str">
        <f ca="1">IFERROR(__xludf.DUMMYFUNCTION("GOOGLETRANSLATE(A8312,""bn"",""en"")"),"Inaugurated the post of Prime Minister")</f>
        <v>Inaugurated the post of Prime Minister</v>
      </c>
      <c r="D8312" s="5"/>
      <c r="E8312" s="5"/>
      <c r="F8312" s="5"/>
      <c r="G8312" s="5"/>
      <c r="H8312" s="5"/>
      <c r="I8312" s="5"/>
      <c r="J8312" s="5"/>
      <c r="K8312" s="5"/>
      <c r="L8312" s="5"/>
      <c r="M8312" s="5"/>
      <c r="N8312" s="5"/>
      <c r="O8312" s="5"/>
      <c r="P8312" s="5"/>
      <c r="Q8312" s="5"/>
      <c r="R8312" s="5"/>
      <c r="S8312" s="5"/>
      <c r="T8312" s="5"/>
      <c r="U8312" s="5"/>
      <c r="V8312" s="5"/>
      <c r="W8312" s="5"/>
      <c r="X8312" s="5"/>
      <c r="Y8312" s="5"/>
      <c r="Z8312" s="5"/>
    </row>
    <row r="8313" spans="1:26" ht="15" x14ac:dyDescent="0.25">
      <c r="A8313" s="4" t="s">
        <v>8311</v>
      </c>
      <c r="B8313" s="4" t="s">
        <v>4550</v>
      </c>
      <c r="C8313" s="2" t="str">
        <f ca="1">IFERROR(__xludf.DUMMYFUNCTION("GOOGLETRANSLATE(A8313,""bn"",""en"")"),"Why did you lose the game?")</f>
        <v>Why did you lose the game?</v>
      </c>
      <c r="D8313" s="5"/>
      <c r="E8313" s="5"/>
      <c r="F8313" s="5"/>
      <c r="G8313" s="5"/>
      <c r="H8313" s="5"/>
      <c r="I8313" s="5"/>
      <c r="J8313" s="5"/>
      <c r="K8313" s="5"/>
      <c r="L8313" s="5"/>
      <c r="M8313" s="5"/>
      <c r="N8313" s="5"/>
      <c r="O8313" s="5"/>
      <c r="P8313" s="5"/>
      <c r="Q8313" s="5"/>
      <c r="R8313" s="5"/>
      <c r="S8313" s="5"/>
      <c r="T8313" s="5"/>
      <c r="U8313" s="5"/>
      <c r="V8313" s="5"/>
      <c r="W8313" s="5"/>
      <c r="X8313" s="5"/>
      <c r="Y8313" s="5"/>
      <c r="Z8313" s="5"/>
    </row>
    <row r="8314" spans="1:26" ht="15" x14ac:dyDescent="0.25">
      <c r="A8314" s="4" t="s">
        <v>8312</v>
      </c>
      <c r="B8314" s="4" t="s">
        <v>4550</v>
      </c>
      <c r="C8314" s="2" t="str">
        <f ca="1">IFERROR(__xludf.DUMMYFUNCTION("GOOGLETRANSLATE(A8314,""bn"",""en"")"),"The sound of the melody rang in the heart")</f>
        <v>The sound of the melody rang in the heart</v>
      </c>
      <c r="D8314" s="5"/>
      <c r="E8314" s="5"/>
      <c r="F8314" s="5"/>
      <c r="G8314" s="5"/>
      <c r="H8314" s="5"/>
      <c r="I8314" s="5"/>
      <c r="J8314" s="5"/>
      <c r="K8314" s="5"/>
      <c r="L8314" s="5"/>
      <c r="M8314" s="5"/>
      <c r="N8314" s="5"/>
      <c r="O8314" s="5"/>
      <c r="P8314" s="5"/>
      <c r="Q8314" s="5"/>
      <c r="R8314" s="5"/>
      <c r="S8314" s="5"/>
      <c r="T8314" s="5"/>
      <c r="U8314" s="5"/>
      <c r="V8314" s="5"/>
      <c r="W8314" s="5"/>
      <c r="X8314" s="5"/>
      <c r="Y8314" s="5"/>
      <c r="Z8314" s="5"/>
    </row>
    <row r="8315" spans="1:26" ht="15" x14ac:dyDescent="0.25">
      <c r="A8315" s="4" t="s">
        <v>8313</v>
      </c>
      <c r="B8315" s="4" t="s">
        <v>4550</v>
      </c>
      <c r="C8315" s="2" t="str">
        <f ca="1">IFERROR(__xludf.DUMMYFUNCTION("GOOGLETRANSLATE(A8315,""bn"",""en"")"),"It was held on the initiative of the party")</f>
        <v>It was held on the initiative of the party</v>
      </c>
      <c r="D8315" s="5"/>
      <c r="E8315" s="5"/>
      <c r="F8315" s="5"/>
      <c r="G8315" s="5"/>
      <c r="H8315" s="5"/>
      <c r="I8315" s="5"/>
      <c r="J8315" s="5"/>
      <c r="K8315" s="5"/>
      <c r="L8315" s="5"/>
      <c r="M8315" s="5"/>
      <c r="N8315" s="5"/>
      <c r="O8315" s="5"/>
      <c r="P8315" s="5"/>
      <c r="Q8315" s="5"/>
      <c r="R8315" s="5"/>
      <c r="S8315" s="5"/>
      <c r="T8315" s="5"/>
      <c r="U8315" s="5"/>
      <c r="V8315" s="5"/>
      <c r="W8315" s="5"/>
      <c r="X8315" s="5"/>
      <c r="Y8315" s="5"/>
      <c r="Z8315" s="5"/>
    </row>
    <row r="8316" spans="1:26" ht="15" x14ac:dyDescent="0.25">
      <c r="A8316" s="4" t="s">
        <v>8314</v>
      </c>
      <c r="B8316" s="4" t="s">
        <v>4550</v>
      </c>
      <c r="C8316" s="2" t="str">
        <f ca="1">IFERROR(__xludf.DUMMYFUNCTION("GOOGLETRANSLATE(A8316,""bn"",""en"")"),"I used to look at analytics on social media")</f>
        <v>I used to look at analytics on social media</v>
      </c>
      <c r="D8316" s="5"/>
      <c r="E8316" s="5"/>
      <c r="F8316" s="5"/>
      <c r="G8316" s="5"/>
      <c r="H8316" s="5"/>
      <c r="I8316" s="5"/>
      <c r="J8316" s="5"/>
      <c r="K8316" s="5"/>
      <c r="L8316" s="5"/>
      <c r="M8316" s="5"/>
      <c r="N8316" s="5"/>
      <c r="O8316" s="5"/>
      <c r="P8316" s="5"/>
      <c r="Q8316" s="5"/>
      <c r="R8316" s="5"/>
      <c r="S8316" s="5"/>
      <c r="T8316" s="5"/>
      <c r="U8316" s="5"/>
      <c r="V8316" s="5"/>
      <c r="W8316" s="5"/>
      <c r="X8316" s="5"/>
      <c r="Y8316" s="5"/>
      <c r="Z8316" s="5"/>
    </row>
    <row r="8317" spans="1:26" ht="15" x14ac:dyDescent="0.25">
      <c r="A8317" s="4" t="s">
        <v>8315</v>
      </c>
      <c r="B8317" s="4" t="s">
        <v>4550</v>
      </c>
      <c r="C8317" s="2" t="str">
        <f ca="1">IFERROR(__xludf.DUMMYFUNCTION("GOOGLETRANSLATE(A8317,""bn"",""en"")"),"I was studying for a month")</f>
        <v>I was studying for a month</v>
      </c>
      <c r="D8317" s="5"/>
      <c r="E8317" s="5"/>
      <c r="F8317" s="5"/>
      <c r="G8317" s="5"/>
      <c r="H8317" s="5"/>
      <c r="I8317" s="5"/>
      <c r="J8317" s="5"/>
      <c r="K8317" s="5"/>
      <c r="L8317" s="5"/>
      <c r="M8317" s="5"/>
      <c r="N8317" s="5"/>
      <c r="O8317" s="5"/>
      <c r="P8317" s="5"/>
      <c r="Q8317" s="5"/>
      <c r="R8317" s="5"/>
      <c r="S8317" s="5"/>
      <c r="T8317" s="5"/>
      <c r="U8317" s="5"/>
      <c r="V8317" s="5"/>
      <c r="W8317" s="5"/>
      <c r="X8317" s="5"/>
      <c r="Y8317" s="5"/>
      <c r="Z8317" s="5"/>
    </row>
    <row r="8318" spans="1:26" ht="15" x14ac:dyDescent="0.25">
      <c r="A8318" s="4" t="s">
        <v>8316</v>
      </c>
      <c r="B8318" s="4" t="s">
        <v>4550</v>
      </c>
      <c r="C8318" s="2" t="str">
        <f ca="1">IFERROR(__xludf.DUMMYFUNCTION("GOOGLETRANSLATE(A8318,""bn"",""en"")"),"Military power should be increased")</f>
        <v>Military power should be increased</v>
      </c>
      <c r="D8318" s="5"/>
      <c r="E8318" s="5"/>
      <c r="F8318" s="5"/>
      <c r="G8318" s="5"/>
      <c r="H8318" s="5"/>
      <c r="I8318" s="5"/>
      <c r="J8318" s="5"/>
      <c r="K8318" s="5"/>
      <c r="L8318" s="5"/>
      <c r="M8318" s="5"/>
      <c r="N8318" s="5"/>
      <c r="O8318" s="5"/>
      <c r="P8318" s="5"/>
      <c r="Q8318" s="5"/>
      <c r="R8318" s="5"/>
      <c r="S8318" s="5"/>
      <c r="T8318" s="5"/>
      <c r="U8318" s="5"/>
      <c r="V8318" s="5"/>
      <c r="W8318" s="5"/>
      <c r="X8318" s="5"/>
      <c r="Y8318" s="5"/>
      <c r="Z8318" s="5"/>
    </row>
    <row r="8319" spans="1:26" ht="15" x14ac:dyDescent="0.25">
      <c r="A8319" s="4" t="s">
        <v>8317</v>
      </c>
      <c r="B8319" s="4" t="s">
        <v>4550</v>
      </c>
      <c r="C8319" s="2" t="str">
        <f ca="1">IFERROR(__xludf.DUMMYFUNCTION("GOOGLETRANSLATE(A8319,""bn"",""en"")"),"I traveled to new places")</f>
        <v>I traveled to new places</v>
      </c>
      <c r="D8319" s="5"/>
      <c r="E8319" s="5"/>
      <c r="F8319" s="5"/>
      <c r="G8319" s="5"/>
      <c r="H8319" s="5"/>
      <c r="I8319" s="5"/>
      <c r="J8319" s="5"/>
      <c r="K8319" s="5"/>
      <c r="L8319" s="5"/>
      <c r="M8319" s="5"/>
      <c r="N8319" s="5"/>
      <c r="O8319" s="5"/>
      <c r="P8319" s="5"/>
      <c r="Q8319" s="5"/>
      <c r="R8319" s="5"/>
      <c r="S8319" s="5"/>
      <c r="T8319" s="5"/>
      <c r="U8319" s="5"/>
      <c r="V8319" s="5"/>
      <c r="W8319" s="5"/>
      <c r="X8319" s="5"/>
      <c r="Y8319" s="5"/>
      <c r="Z8319" s="5"/>
    </row>
    <row r="8320" spans="1:26" ht="15" x14ac:dyDescent="0.25">
      <c r="A8320" s="4" t="s">
        <v>8318</v>
      </c>
      <c r="B8320" s="4" t="s">
        <v>4550</v>
      </c>
      <c r="C8320" s="2" t="str">
        <f ca="1">IFERROR(__xludf.DUMMYFUNCTION("GOOGLETRANSLATE(A8320,""bn"",""en"")"),"I made fish kacchi")</f>
        <v>I made fish kacchi</v>
      </c>
      <c r="D8320" s="5"/>
      <c r="E8320" s="5"/>
      <c r="F8320" s="5"/>
      <c r="G8320" s="5"/>
      <c r="H8320" s="5"/>
      <c r="I8320" s="5"/>
      <c r="J8320" s="5"/>
      <c r="K8320" s="5"/>
      <c r="L8320" s="5"/>
      <c r="M8320" s="5"/>
      <c r="N8320" s="5"/>
      <c r="O8320" s="5"/>
      <c r="P8320" s="5"/>
      <c r="Q8320" s="5"/>
      <c r="R8320" s="5"/>
      <c r="S8320" s="5"/>
      <c r="T8320" s="5"/>
      <c r="U8320" s="5"/>
      <c r="V8320" s="5"/>
      <c r="W8320" s="5"/>
      <c r="X8320" s="5"/>
      <c r="Y8320" s="5"/>
      <c r="Z8320" s="5"/>
    </row>
    <row r="8321" spans="1:26" ht="15" x14ac:dyDescent="0.25">
      <c r="A8321" s="4" t="s">
        <v>8319</v>
      </c>
      <c r="B8321" s="4" t="s">
        <v>4550</v>
      </c>
      <c r="C8321" s="2" t="str">
        <f ca="1">IFERROR(__xludf.DUMMYFUNCTION("GOOGLETRANSLATE(A8321,""bn"",""en"")"),"I had a delicious meal last night")</f>
        <v>I had a delicious meal last night</v>
      </c>
      <c r="D8321" s="5"/>
      <c r="E8321" s="5"/>
      <c r="F8321" s="5"/>
      <c r="G8321" s="5"/>
      <c r="H8321" s="5"/>
      <c r="I8321" s="5"/>
      <c r="J8321" s="5"/>
      <c r="K8321" s="5"/>
      <c r="L8321" s="5"/>
      <c r="M8321" s="5"/>
      <c r="N8321" s="5"/>
      <c r="O8321" s="5"/>
      <c r="P8321" s="5"/>
      <c r="Q8321" s="5"/>
      <c r="R8321" s="5"/>
      <c r="S8321" s="5"/>
      <c r="T8321" s="5"/>
      <c r="U8321" s="5"/>
      <c r="V8321" s="5"/>
      <c r="W8321" s="5"/>
      <c r="X8321" s="5"/>
      <c r="Y8321" s="5"/>
      <c r="Z8321" s="5"/>
    </row>
    <row r="8322" spans="1:26" ht="15" x14ac:dyDescent="0.25">
      <c r="A8322" s="4" t="s">
        <v>8320</v>
      </c>
      <c r="B8322" s="4" t="s">
        <v>4550</v>
      </c>
      <c r="C8322" s="2" t="str">
        <f ca="1">IFERROR(__xludf.DUMMYFUNCTION("GOOGLETRANSLATE(A8322,""bn"",""en"")"),"A transaction took place in the notes")</f>
        <v>A transaction took place in the notes</v>
      </c>
      <c r="D8322" s="5"/>
      <c r="E8322" s="5"/>
      <c r="F8322" s="5"/>
      <c r="G8322" s="5"/>
      <c r="H8322" s="5"/>
      <c r="I8322" s="5"/>
      <c r="J8322" s="5"/>
      <c r="K8322" s="5"/>
      <c r="L8322" s="5"/>
      <c r="M8322" s="5"/>
      <c r="N8322" s="5"/>
      <c r="O8322" s="5"/>
      <c r="P8322" s="5"/>
      <c r="Q8322" s="5"/>
      <c r="R8322" s="5"/>
      <c r="S8322" s="5"/>
      <c r="T8322" s="5"/>
      <c r="U8322" s="5"/>
      <c r="V8322" s="5"/>
      <c r="W8322" s="5"/>
      <c r="X8322" s="5"/>
      <c r="Y8322" s="5"/>
      <c r="Z8322" s="5"/>
    </row>
    <row r="8323" spans="1:26" ht="15" x14ac:dyDescent="0.25">
      <c r="A8323" s="4" t="s">
        <v>8321</v>
      </c>
      <c r="B8323" s="4" t="s">
        <v>4550</v>
      </c>
      <c r="C8323" s="2" t="str">
        <f ca="1">IFERROR(__xludf.DUMMYFUNCTION("GOOGLETRANSLATE(A8323,""bn"",""en"")"),"The player who scored a century")</f>
        <v>The player who scored a century</v>
      </c>
      <c r="D8323" s="5"/>
      <c r="E8323" s="5"/>
      <c r="F8323" s="5"/>
      <c r="G8323" s="5"/>
      <c r="H8323" s="5"/>
      <c r="I8323" s="5"/>
      <c r="J8323" s="5"/>
      <c r="K8323" s="5"/>
      <c r="L8323" s="5"/>
      <c r="M8323" s="5"/>
      <c r="N8323" s="5"/>
      <c r="O8323" s="5"/>
      <c r="P8323" s="5"/>
      <c r="Q8323" s="5"/>
      <c r="R8323" s="5"/>
      <c r="S8323" s="5"/>
      <c r="T8323" s="5"/>
      <c r="U8323" s="5"/>
      <c r="V8323" s="5"/>
      <c r="W8323" s="5"/>
      <c r="X8323" s="5"/>
      <c r="Y8323" s="5"/>
      <c r="Z8323" s="5"/>
    </row>
    <row r="8324" spans="1:26" ht="15" x14ac:dyDescent="0.25">
      <c r="A8324" s="4" t="s">
        <v>8322</v>
      </c>
      <c r="B8324" s="4" t="s">
        <v>4550</v>
      </c>
      <c r="C8324" s="2" t="str">
        <f ca="1">IFERROR(__xludf.DUMMYFUNCTION("GOOGLETRANSLATE(A8324,""bn"",""en"")"),"The library received an update")</f>
        <v>The library received an update</v>
      </c>
      <c r="D8324" s="5"/>
      <c r="E8324" s="5"/>
      <c r="F8324" s="5"/>
      <c r="G8324" s="5"/>
      <c r="H8324" s="5"/>
      <c r="I8324" s="5"/>
      <c r="J8324" s="5"/>
      <c r="K8324" s="5"/>
      <c r="L8324" s="5"/>
      <c r="M8324" s="5"/>
      <c r="N8324" s="5"/>
      <c r="O8324" s="5"/>
      <c r="P8324" s="5"/>
      <c r="Q8324" s="5"/>
      <c r="R8324" s="5"/>
      <c r="S8324" s="5"/>
      <c r="T8324" s="5"/>
      <c r="U8324" s="5"/>
      <c r="V8324" s="5"/>
      <c r="W8324" s="5"/>
      <c r="X8324" s="5"/>
      <c r="Y8324" s="5"/>
      <c r="Z8324" s="5"/>
    </row>
    <row r="8325" spans="1:26" ht="15" x14ac:dyDescent="0.25">
      <c r="A8325" s="4" t="s">
        <v>8323</v>
      </c>
      <c r="B8325" s="4" t="s">
        <v>4550</v>
      </c>
      <c r="C8325" s="2" t="str">
        <f ca="1">IFERROR(__xludf.DUMMYFUNCTION("GOOGLETRANSLATE(A8325,""bn"",""en"")"),"Trekked on a new route")</f>
        <v>Trekked on a new route</v>
      </c>
      <c r="D8325" s="5"/>
      <c r="E8325" s="5"/>
      <c r="F8325" s="5"/>
      <c r="G8325" s="5"/>
      <c r="H8325" s="5"/>
      <c r="I8325" s="5"/>
      <c r="J8325" s="5"/>
      <c r="K8325" s="5"/>
      <c r="L8325" s="5"/>
      <c r="M8325" s="5"/>
      <c r="N8325" s="5"/>
      <c r="O8325" s="5"/>
      <c r="P8325" s="5"/>
      <c r="Q8325" s="5"/>
      <c r="R8325" s="5"/>
      <c r="S8325" s="5"/>
      <c r="T8325" s="5"/>
      <c r="U8325" s="5"/>
      <c r="V8325" s="5"/>
      <c r="W8325" s="5"/>
      <c r="X8325" s="5"/>
      <c r="Y8325" s="5"/>
      <c r="Z8325" s="5"/>
    </row>
    <row r="8326" spans="1:26" ht="15" x14ac:dyDescent="0.25">
      <c r="A8326" s="4" t="s">
        <v>8324</v>
      </c>
      <c r="B8326" s="4" t="s">
        <v>4550</v>
      </c>
      <c r="C8326" s="2" t="str">
        <f ca="1">IFERROR(__xludf.DUMMYFUNCTION("GOOGLETRANSLATE(A8326,""bn"",""en"")"),"Party members were discussing")</f>
        <v>Party members were discussing</v>
      </c>
      <c r="D8326" s="5"/>
      <c r="E8326" s="5"/>
      <c r="F8326" s="5"/>
      <c r="G8326" s="5"/>
      <c r="H8326" s="5"/>
      <c r="I8326" s="5"/>
      <c r="J8326" s="5"/>
      <c r="K8326" s="5"/>
      <c r="L8326" s="5"/>
      <c r="M8326" s="5"/>
      <c r="N8326" s="5"/>
      <c r="O8326" s="5"/>
      <c r="P8326" s="5"/>
      <c r="Q8326" s="5"/>
      <c r="R8326" s="5"/>
      <c r="S8326" s="5"/>
      <c r="T8326" s="5"/>
      <c r="U8326" s="5"/>
      <c r="V8326" s="5"/>
      <c r="W8326" s="5"/>
      <c r="X8326" s="5"/>
      <c r="Y8326" s="5"/>
      <c r="Z8326" s="5"/>
    </row>
    <row r="8327" spans="1:26" ht="15" x14ac:dyDescent="0.25">
      <c r="A8327" s="4" t="s">
        <v>8325</v>
      </c>
      <c r="B8327" s="4" t="s">
        <v>4550</v>
      </c>
      <c r="C8327" s="2" t="str">
        <f ca="1">IFERROR(__xludf.DUMMYFUNCTION("GOOGLETRANSLATE(A8327,""bn"",""en"")"),"We were learning popular codes")</f>
        <v>We were learning popular codes</v>
      </c>
      <c r="D8327" s="5"/>
      <c r="E8327" s="5"/>
      <c r="F8327" s="5"/>
      <c r="G8327" s="5"/>
      <c r="H8327" s="5"/>
      <c r="I8327" s="5"/>
      <c r="J8327" s="5"/>
      <c r="K8327" s="5"/>
      <c r="L8327" s="5"/>
      <c r="M8327" s="5"/>
      <c r="N8327" s="5"/>
      <c r="O8327" s="5"/>
      <c r="P8327" s="5"/>
      <c r="Q8327" s="5"/>
      <c r="R8327" s="5"/>
      <c r="S8327" s="5"/>
      <c r="T8327" s="5"/>
      <c r="U8327" s="5"/>
      <c r="V8327" s="5"/>
      <c r="W8327" s="5"/>
      <c r="X8327" s="5"/>
      <c r="Y8327" s="5"/>
      <c r="Z8327" s="5"/>
    </row>
    <row r="8328" spans="1:26" ht="15" x14ac:dyDescent="0.25">
      <c r="A8328" s="4" t="s">
        <v>8326</v>
      </c>
      <c r="B8328" s="4" t="s">
        <v>4550</v>
      </c>
      <c r="C8328" s="2" t="str">
        <f ca="1">IFERROR(__xludf.DUMMYFUNCTION("GOOGLETRANSLATE(A8328,""bn"",""en"")"),"I finished reading the book")</f>
        <v>I finished reading the book</v>
      </c>
      <c r="D8328" s="5"/>
      <c r="E8328" s="5"/>
      <c r="F8328" s="5"/>
      <c r="G8328" s="5"/>
      <c r="H8328" s="5"/>
      <c r="I8328" s="5"/>
      <c r="J8328" s="5"/>
      <c r="K8328" s="5"/>
      <c r="L8328" s="5"/>
      <c r="M8328" s="5"/>
      <c r="N8328" s="5"/>
      <c r="O8328" s="5"/>
      <c r="P8328" s="5"/>
      <c r="Q8328" s="5"/>
      <c r="R8328" s="5"/>
      <c r="S8328" s="5"/>
      <c r="T8328" s="5"/>
      <c r="U8328" s="5"/>
      <c r="V8328" s="5"/>
      <c r="W8328" s="5"/>
      <c r="X8328" s="5"/>
      <c r="Y8328" s="5"/>
      <c r="Z8328" s="5"/>
    </row>
    <row r="8329" spans="1:26" ht="15" x14ac:dyDescent="0.25">
      <c r="A8329" s="4" t="s">
        <v>8327</v>
      </c>
      <c r="B8329" s="4" t="s">
        <v>4550</v>
      </c>
      <c r="C8329" s="2" t="str">
        <f ca="1">IFERROR(__xludf.DUMMYFUNCTION("GOOGLETRANSLATE(A8329,""bn"",""en"")"),"Played hockey calmly")</f>
        <v>Played hockey calmly</v>
      </c>
      <c r="D8329" s="5"/>
      <c r="E8329" s="5"/>
      <c r="F8329" s="5"/>
      <c r="G8329" s="5"/>
      <c r="H8329" s="5"/>
      <c r="I8329" s="5"/>
      <c r="J8329" s="5"/>
      <c r="K8329" s="5"/>
      <c r="L8329" s="5"/>
      <c r="M8329" s="5"/>
      <c r="N8329" s="5"/>
      <c r="O8329" s="5"/>
      <c r="P8329" s="5"/>
      <c r="Q8329" s="5"/>
      <c r="R8329" s="5"/>
      <c r="S8329" s="5"/>
      <c r="T8329" s="5"/>
      <c r="U8329" s="5"/>
      <c r="V8329" s="5"/>
      <c r="W8329" s="5"/>
      <c r="X8329" s="5"/>
      <c r="Y8329" s="5"/>
      <c r="Z8329" s="5"/>
    </row>
    <row r="8330" spans="1:26" ht="15" x14ac:dyDescent="0.25">
      <c r="A8330" s="4" t="s">
        <v>8328</v>
      </c>
      <c r="B8330" s="4" t="s">
        <v>4550</v>
      </c>
      <c r="C8330" s="2" t="str">
        <f ca="1">IFERROR(__xludf.DUMMYFUNCTION("GOOGLETRANSLATE(A8330,""bn"",""en"")"),"Government policy discussions were going on")</f>
        <v>Government policy discussions were going on</v>
      </c>
      <c r="D8330" s="5"/>
      <c r="E8330" s="5"/>
      <c r="F8330" s="5"/>
      <c r="G8330" s="5"/>
      <c r="H8330" s="5"/>
      <c r="I8330" s="5"/>
      <c r="J8330" s="5"/>
      <c r="K8330" s="5"/>
      <c r="L8330" s="5"/>
      <c r="M8330" s="5"/>
      <c r="N8330" s="5"/>
      <c r="O8330" s="5"/>
      <c r="P8330" s="5"/>
      <c r="Q8330" s="5"/>
      <c r="R8330" s="5"/>
      <c r="S8330" s="5"/>
      <c r="T8330" s="5"/>
      <c r="U8330" s="5"/>
      <c r="V8330" s="5"/>
      <c r="W8330" s="5"/>
      <c r="X8330" s="5"/>
      <c r="Y8330" s="5"/>
      <c r="Z8330" s="5"/>
    </row>
    <row r="8331" spans="1:26" ht="15" x14ac:dyDescent="0.25">
      <c r="A8331" s="4" t="s">
        <v>8329</v>
      </c>
      <c r="B8331" s="4" t="s">
        <v>4550</v>
      </c>
      <c r="C8331" s="2" t="str">
        <f ca="1">IFERROR(__xludf.DUMMYFUNCTION("GOOGLETRANSLATE(A8331,""bn"",""en"")"),"The batsman was using new techniques")</f>
        <v>The batsman was using new techniques</v>
      </c>
      <c r="D8331" s="5"/>
      <c r="E8331" s="5"/>
      <c r="F8331" s="5"/>
      <c r="G8331" s="5"/>
      <c r="H8331" s="5"/>
      <c r="I8331" s="5"/>
      <c r="J8331" s="5"/>
      <c r="K8331" s="5"/>
      <c r="L8331" s="5"/>
      <c r="M8331" s="5"/>
      <c r="N8331" s="5"/>
      <c r="O8331" s="5"/>
      <c r="P8331" s="5"/>
      <c r="Q8331" s="5"/>
      <c r="R8331" s="5"/>
      <c r="S8331" s="5"/>
      <c r="T8331" s="5"/>
      <c r="U8331" s="5"/>
      <c r="V8331" s="5"/>
      <c r="W8331" s="5"/>
      <c r="X8331" s="5"/>
      <c r="Y8331" s="5"/>
      <c r="Z8331" s="5"/>
    </row>
    <row r="8332" spans="1:26" ht="15" x14ac:dyDescent="0.25">
      <c r="A8332" s="4" t="s">
        <v>8330</v>
      </c>
      <c r="B8332" s="4" t="s">
        <v>4550</v>
      </c>
      <c r="C8332" s="2" t="str">
        <f ca="1">IFERROR(__xludf.DUMMYFUNCTION("GOOGLETRANSLATE(A8332,""bn"",""en"")"),"I used to work in an insurance company")</f>
        <v>I used to work in an insurance company</v>
      </c>
      <c r="D8332" s="5"/>
      <c r="E8332" s="5"/>
      <c r="F8332" s="5"/>
      <c r="G8332" s="5"/>
      <c r="H8332" s="5"/>
      <c r="I8332" s="5"/>
      <c r="J8332" s="5"/>
      <c r="K8332" s="5"/>
      <c r="L8332" s="5"/>
      <c r="M8332" s="5"/>
      <c r="N8332" s="5"/>
      <c r="O8332" s="5"/>
      <c r="P8332" s="5"/>
      <c r="Q8332" s="5"/>
      <c r="R8332" s="5"/>
      <c r="S8332" s="5"/>
      <c r="T8332" s="5"/>
      <c r="U8332" s="5"/>
      <c r="V8332" s="5"/>
      <c r="W8332" s="5"/>
      <c r="X8332" s="5"/>
      <c r="Y8332" s="5"/>
      <c r="Z8332" s="5"/>
    </row>
    <row r="8333" spans="1:26" ht="15" x14ac:dyDescent="0.25">
      <c r="A8333" s="4" t="s">
        <v>8331</v>
      </c>
      <c r="B8333" s="4" t="s">
        <v>4550</v>
      </c>
      <c r="C8333" s="2" t="str">
        <f ca="1">IFERROR(__xludf.DUMMYFUNCTION("GOOGLETRANSLATE(A8333,""bn"",""en"")"),"Went to the beach on a rainy day")</f>
        <v>Went to the beach on a rainy day</v>
      </c>
      <c r="D8333" s="5"/>
      <c r="E8333" s="5"/>
      <c r="F8333" s="5"/>
      <c r="G8333" s="5"/>
      <c r="H8333" s="5"/>
      <c r="I8333" s="5"/>
      <c r="J8333" s="5"/>
      <c r="K8333" s="5"/>
      <c r="L8333" s="5"/>
      <c r="M8333" s="5"/>
      <c r="N8333" s="5"/>
      <c r="O8333" s="5"/>
      <c r="P8333" s="5"/>
      <c r="Q8333" s="5"/>
      <c r="R8333" s="5"/>
      <c r="S8333" s="5"/>
      <c r="T8333" s="5"/>
      <c r="U8333" s="5"/>
      <c r="V8333" s="5"/>
      <c r="W8333" s="5"/>
      <c r="X8333" s="5"/>
      <c r="Y8333" s="5"/>
      <c r="Z8333" s="5"/>
    </row>
    <row r="8334" spans="1:26" ht="15" x14ac:dyDescent="0.25">
      <c r="A8334" s="4" t="s">
        <v>8332</v>
      </c>
      <c r="B8334" s="4" t="s">
        <v>4550</v>
      </c>
      <c r="C8334" s="2" t="str">
        <f ca="1">IFERROR(__xludf.DUMMYFUNCTION("GOOGLETRANSLATE(A8334,""bn"",""en"")"),"Students exhibited posters")</f>
        <v>Students exhibited posters</v>
      </c>
      <c r="D8334" s="5"/>
      <c r="E8334" s="5"/>
      <c r="F8334" s="5"/>
      <c r="G8334" s="5"/>
      <c r="H8334" s="5"/>
      <c r="I8334" s="5"/>
      <c r="J8334" s="5"/>
      <c r="K8334" s="5"/>
      <c r="L8334" s="5"/>
      <c r="M8334" s="5"/>
      <c r="N8334" s="5"/>
      <c r="O8334" s="5"/>
      <c r="P8334" s="5"/>
      <c r="Q8334" s="5"/>
      <c r="R8334" s="5"/>
      <c r="S8334" s="5"/>
      <c r="T8334" s="5"/>
      <c r="U8334" s="5"/>
      <c r="V8334" s="5"/>
      <c r="W8334" s="5"/>
      <c r="X8334" s="5"/>
      <c r="Y8334" s="5"/>
      <c r="Z8334" s="5"/>
    </row>
    <row r="8335" spans="1:26" ht="15" x14ac:dyDescent="0.25">
      <c r="A8335" s="4" t="s">
        <v>8333</v>
      </c>
      <c r="B8335" s="4" t="s">
        <v>4550</v>
      </c>
      <c r="C8335" s="2" t="str">
        <f ca="1">IFERROR(__xludf.DUMMYFUNCTION("GOOGLETRANSLATE(A8335,""bn"",""en"")"),"I ate after class")</f>
        <v>I ate after class</v>
      </c>
      <c r="D8335" s="5"/>
      <c r="E8335" s="5"/>
      <c r="F8335" s="5"/>
      <c r="G8335" s="5"/>
      <c r="H8335" s="5"/>
      <c r="I8335" s="5"/>
      <c r="J8335" s="5"/>
      <c r="K8335" s="5"/>
      <c r="L8335" s="5"/>
      <c r="M8335" s="5"/>
      <c r="N8335" s="5"/>
      <c r="O8335" s="5"/>
      <c r="P8335" s="5"/>
      <c r="Q8335" s="5"/>
      <c r="R8335" s="5"/>
      <c r="S8335" s="5"/>
      <c r="T8335" s="5"/>
      <c r="U8335" s="5"/>
      <c r="V8335" s="5"/>
      <c r="W8335" s="5"/>
      <c r="X8335" s="5"/>
      <c r="Y8335" s="5"/>
      <c r="Z8335" s="5"/>
    </row>
    <row r="8336" spans="1:26" ht="15" x14ac:dyDescent="0.25">
      <c r="A8336" s="4" t="s">
        <v>8334</v>
      </c>
      <c r="B8336" s="4" t="s">
        <v>4550</v>
      </c>
      <c r="C8336" s="2" t="str">
        <f ca="1">IFERROR(__xludf.DUMMYFUNCTION("GOOGLETRANSLATE(A8336,""bn"",""en"")"),"Development is on new frameworks")</f>
        <v>Development is on new frameworks</v>
      </c>
      <c r="D8336" s="5"/>
      <c r="E8336" s="5"/>
      <c r="F8336" s="5"/>
      <c r="G8336" s="5"/>
      <c r="H8336" s="5"/>
      <c r="I8336" s="5"/>
      <c r="J8336" s="5"/>
      <c r="K8336" s="5"/>
      <c r="L8336" s="5"/>
      <c r="M8336" s="5"/>
      <c r="N8336" s="5"/>
      <c r="O8336" s="5"/>
      <c r="P8336" s="5"/>
      <c r="Q8336" s="5"/>
      <c r="R8336" s="5"/>
      <c r="S8336" s="5"/>
      <c r="T8336" s="5"/>
      <c r="U8336" s="5"/>
      <c r="V8336" s="5"/>
      <c r="W8336" s="5"/>
      <c r="X8336" s="5"/>
      <c r="Y8336" s="5"/>
      <c r="Z8336" s="5"/>
    </row>
    <row r="8337" spans="1:26" ht="15" x14ac:dyDescent="0.25">
      <c r="A8337" s="4" t="s">
        <v>8335</v>
      </c>
      <c r="B8337" s="4" t="s">
        <v>4550</v>
      </c>
      <c r="C8337" s="2" t="str">
        <f ca="1">IFERROR(__xludf.DUMMYFUNCTION("GOOGLETRANSLATE(A8337,""bn"",""en"")"),"Social media was being used")</f>
        <v>Social media was being used</v>
      </c>
      <c r="D8337" s="5"/>
      <c r="E8337" s="5"/>
      <c r="F8337" s="5"/>
      <c r="G8337" s="5"/>
      <c r="H8337" s="5"/>
      <c r="I8337" s="5"/>
      <c r="J8337" s="5"/>
      <c r="K8337" s="5"/>
      <c r="L8337" s="5"/>
      <c r="M8337" s="5"/>
      <c r="N8337" s="5"/>
      <c r="O8337" s="5"/>
      <c r="P8337" s="5"/>
      <c r="Q8337" s="5"/>
      <c r="R8337" s="5"/>
      <c r="S8337" s="5"/>
      <c r="T8337" s="5"/>
      <c r="U8337" s="5"/>
      <c r="V8337" s="5"/>
      <c r="W8337" s="5"/>
      <c r="X8337" s="5"/>
      <c r="Y8337" s="5"/>
      <c r="Z8337" s="5"/>
    </row>
    <row r="8338" spans="1:26" ht="15" x14ac:dyDescent="0.25">
      <c r="A8338" s="4" t="s">
        <v>8336</v>
      </c>
      <c r="B8338" s="4" t="s">
        <v>4550</v>
      </c>
      <c r="C8338" s="2" t="str">
        <f ca="1">IFERROR(__xludf.DUMMYFUNCTION("GOOGLETRANSLATE(A8338,""bn"",""en"")"),"I saw the movie Thriller")</f>
        <v>I saw the movie Thriller</v>
      </c>
      <c r="D8338" s="5"/>
      <c r="E8338" s="5"/>
      <c r="F8338" s="5"/>
      <c r="G8338" s="5"/>
      <c r="H8338" s="5"/>
      <c r="I8338" s="5"/>
      <c r="J8338" s="5"/>
      <c r="K8338" s="5"/>
      <c r="L8338" s="5"/>
      <c r="M8338" s="5"/>
      <c r="N8338" s="5"/>
      <c r="O8338" s="5"/>
      <c r="P8338" s="5"/>
      <c r="Q8338" s="5"/>
      <c r="R8338" s="5"/>
      <c r="S8338" s="5"/>
      <c r="T8338" s="5"/>
      <c r="U8338" s="5"/>
      <c r="V8338" s="5"/>
      <c r="W8338" s="5"/>
      <c r="X8338" s="5"/>
      <c r="Y8338" s="5"/>
      <c r="Z8338" s="5"/>
    </row>
    <row r="8339" spans="1:26" ht="15" x14ac:dyDescent="0.25">
      <c r="A8339" s="4" t="s">
        <v>8337</v>
      </c>
      <c r="B8339" s="4" t="s">
        <v>4550</v>
      </c>
      <c r="C8339" s="2" t="str">
        <f ca="1">IFERROR(__xludf.DUMMYFUNCTION("GOOGLETRANSLATE(A8339,""bn"",""en"")"),"The judges were elected in the public meeting")</f>
        <v>The judges were elected in the public meeting</v>
      </c>
      <c r="D8339" s="5"/>
      <c r="E8339" s="5"/>
      <c r="F8339" s="5"/>
      <c r="G8339" s="5"/>
      <c r="H8339" s="5"/>
      <c r="I8339" s="5"/>
      <c r="J8339" s="5"/>
      <c r="K8339" s="5"/>
      <c r="L8339" s="5"/>
      <c r="M8339" s="5"/>
      <c r="N8339" s="5"/>
      <c r="O8339" s="5"/>
      <c r="P8339" s="5"/>
      <c r="Q8339" s="5"/>
      <c r="R8339" s="5"/>
      <c r="S8339" s="5"/>
      <c r="T8339" s="5"/>
      <c r="U8339" s="5"/>
      <c r="V8339" s="5"/>
      <c r="W8339" s="5"/>
      <c r="X8339" s="5"/>
      <c r="Y8339" s="5"/>
      <c r="Z8339" s="5"/>
    </row>
    <row r="8340" spans="1:26" ht="15" x14ac:dyDescent="0.25">
      <c r="A8340" s="4" t="s">
        <v>8338</v>
      </c>
      <c r="B8340" s="4" t="s">
        <v>4550</v>
      </c>
      <c r="C8340" s="2" t="str">
        <f ca="1">IFERROR(__xludf.DUMMYFUNCTION("GOOGLETRANSLATE(A8340,""bn"",""en"")"),"was properly stored")</f>
        <v>was properly stored</v>
      </c>
      <c r="D8340" s="5"/>
      <c r="E8340" s="5"/>
      <c r="F8340" s="5"/>
      <c r="G8340" s="5"/>
      <c r="H8340" s="5"/>
      <c r="I8340" s="5"/>
      <c r="J8340" s="5"/>
      <c r="K8340" s="5"/>
      <c r="L8340" s="5"/>
      <c r="M8340" s="5"/>
      <c r="N8340" s="5"/>
      <c r="O8340" s="5"/>
      <c r="P8340" s="5"/>
      <c r="Q8340" s="5"/>
      <c r="R8340" s="5"/>
      <c r="S8340" s="5"/>
      <c r="T8340" s="5"/>
      <c r="U8340" s="5"/>
      <c r="V8340" s="5"/>
      <c r="W8340" s="5"/>
      <c r="X8340" s="5"/>
      <c r="Y8340" s="5"/>
      <c r="Z8340" s="5"/>
    </row>
    <row r="8341" spans="1:26" ht="15" x14ac:dyDescent="0.25">
      <c r="A8341" s="4" t="s">
        <v>8339</v>
      </c>
      <c r="B8341" s="4" t="s">
        <v>4550</v>
      </c>
      <c r="C8341" s="2" t="str">
        <f ca="1">IFERROR(__xludf.DUMMYFUNCTION("GOOGLETRANSLATE(A8341,""bn"",""en"")"),"I saw the new image")</f>
        <v>I saw the new image</v>
      </c>
      <c r="D8341" s="5"/>
      <c r="E8341" s="5"/>
      <c r="F8341" s="5"/>
      <c r="G8341" s="5"/>
      <c r="H8341" s="5"/>
      <c r="I8341" s="5"/>
      <c r="J8341" s="5"/>
      <c r="K8341" s="5"/>
      <c r="L8341" s="5"/>
      <c r="M8341" s="5"/>
      <c r="N8341" s="5"/>
      <c r="O8341" s="5"/>
      <c r="P8341" s="5"/>
      <c r="Q8341" s="5"/>
      <c r="R8341" s="5"/>
      <c r="S8341" s="5"/>
      <c r="T8341" s="5"/>
      <c r="U8341" s="5"/>
      <c r="V8341" s="5"/>
      <c r="W8341" s="5"/>
      <c r="X8341" s="5"/>
      <c r="Y8341" s="5"/>
      <c r="Z8341" s="5"/>
    </row>
    <row r="8342" spans="1:26" ht="15" x14ac:dyDescent="0.25">
      <c r="A8342" s="4" t="s">
        <v>8340</v>
      </c>
      <c r="B8342" s="4" t="s">
        <v>4550</v>
      </c>
      <c r="C8342" s="2" t="str">
        <f ca="1">IFERROR(__xludf.DUMMYFUNCTION("GOOGLETRANSLATE(A8342,""bn"",""en"")"),"The football tournament started")</f>
        <v>The football tournament started</v>
      </c>
      <c r="D8342" s="5"/>
      <c r="E8342" s="5"/>
      <c r="F8342" s="5"/>
      <c r="G8342" s="5"/>
      <c r="H8342" s="5"/>
      <c r="I8342" s="5"/>
      <c r="J8342" s="5"/>
      <c r="K8342" s="5"/>
      <c r="L8342" s="5"/>
      <c r="M8342" s="5"/>
      <c r="N8342" s="5"/>
      <c r="O8342" s="5"/>
      <c r="P8342" s="5"/>
      <c r="Q8342" s="5"/>
      <c r="R8342" s="5"/>
      <c r="S8342" s="5"/>
      <c r="T8342" s="5"/>
      <c r="U8342" s="5"/>
      <c r="V8342" s="5"/>
      <c r="W8342" s="5"/>
      <c r="X8342" s="5"/>
      <c r="Y8342" s="5"/>
      <c r="Z8342" s="5"/>
    </row>
    <row r="8343" spans="1:26" ht="15" x14ac:dyDescent="0.25">
      <c r="A8343" s="4" t="s">
        <v>8341</v>
      </c>
      <c r="B8343" s="4" t="s">
        <v>4550</v>
      </c>
      <c r="C8343" s="2" t="str">
        <f ca="1">IFERROR(__xludf.DUMMYFUNCTION("GOOGLETRANSLATE(A8343,""bn"",""en"")"),"I made pasta for fun")</f>
        <v>I made pasta for fun</v>
      </c>
      <c r="D8343" s="5"/>
      <c r="E8343" s="5"/>
      <c r="F8343" s="5"/>
      <c r="G8343" s="5"/>
      <c r="H8343" s="5"/>
      <c r="I8343" s="5"/>
      <c r="J8343" s="5"/>
      <c r="K8343" s="5"/>
      <c r="L8343" s="5"/>
      <c r="M8343" s="5"/>
      <c r="N8343" s="5"/>
      <c r="O8343" s="5"/>
      <c r="P8343" s="5"/>
      <c r="Q8343" s="5"/>
      <c r="R8343" s="5"/>
      <c r="S8343" s="5"/>
      <c r="T8343" s="5"/>
      <c r="U8343" s="5"/>
      <c r="V8343" s="5"/>
      <c r="W8343" s="5"/>
      <c r="X8343" s="5"/>
      <c r="Y8343" s="5"/>
      <c r="Z8343" s="5"/>
    </row>
    <row r="8344" spans="1:26" ht="15" x14ac:dyDescent="0.25">
      <c r="A8344" s="4" t="s">
        <v>8342</v>
      </c>
      <c r="B8344" s="4" t="s">
        <v>4550</v>
      </c>
      <c r="C8344" s="2" t="str">
        <f ca="1">IFERROR(__xludf.DUMMYFUNCTION("GOOGLETRANSLATE(A8344,""bn"",""en"")"),"The bank went bankrupt")</f>
        <v>The bank went bankrupt</v>
      </c>
      <c r="D8344" s="5"/>
      <c r="E8344" s="5"/>
      <c r="F8344" s="5"/>
      <c r="G8344" s="5"/>
      <c r="H8344" s="5"/>
      <c r="I8344" s="5"/>
      <c r="J8344" s="5"/>
      <c r="K8344" s="5"/>
      <c r="L8344" s="5"/>
      <c r="M8344" s="5"/>
      <c r="N8344" s="5"/>
      <c r="O8344" s="5"/>
      <c r="P8344" s="5"/>
      <c r="Q8344" s="5"/>
      <c r="R8344" s="5"/>
      <c r="S8344" s="5"/>
      <c r="T8344" s="5"/>
      <c r="U8344" s="5"/>
      <c r="V8344" s="5"/>
      <c r="W8344" s="5"/>
      <c r="X8344" s="5"/>
      <c r="Y8344" s="5"/>
      <c r="Z8344" s="5"/>
    </row>
    <row r="8345" spans="1:26" ht="15" x14ac:dyDescent="0.25">
      <c r="A8345" s="4" t="s">
        <v>8343</v>
      </c>
      <c r="B8345" s="4" t="s">
        <v>4550</v>
      </c>
      <c r="C8345" s="2" t="str">
        <f ca="1">IFERROR(__xludf.DUMMYFUNCTION("GOOGLETRANSLATE(A8345,""bn"",""en"")"),"The people were on the side of the soldiers")</f>
        <v>The people were on the side of the soldiers</v>
      </c>
      <c r="D8345" s="5"/>
      <c r="E8345" s="5"/>
      <c r="F8345" s="5"/>
      <c r="G8345" s="5"/>
      <c r="H8345" s="5"/>
      <c r="I8345" s="5"/>
      <c r="J8345" s="5"/>
      <c r="K8345" s="5"/>
      <c r="L8345" s="5"/>
      <c r="M8345" s="5"/>
      <c r="N8345" s="5"/>
      <c r="O8345" s="5"/>
      <c r="P8345" s="5"/>
      <c r="Q8345" s="5"/>
      <c r="R8345" s="5"/>
      <c r="S8345" s="5"/>
      <c r="T8345" s="5"/>
      <c r="U8345" s="5"/>
      <c r="V8345" s="5"/>
      <c r="W8345" s="5"/>
      <c r="X8345" s="5"/>
      <c r="Y8345" s="5"/>
      <c r="Z8345" s="5"/>
    </row>
    <row r="8346" spans="1:26" ht="15" x14ac:dyDescent="0.25">
      <c r="A8346" s="4" t="s">
        <v>8344</v>
      </c>
      <c r="B8346" s="4" t="s">
        <v>4550</v>
      </c>
      <c r="C8346" s="2" t="str">
        <f ca="1">IFERROR(__xludf.DUMMYFUNCTION("GOOGLETRANSLATE(A8346,""bn"",""en"")"),"You were frying beef in a pan")</f>
        <v>You were frying beef in a pan</v>
      </c>
      <c r="D8346" s="5"/>
      <c r="E8346" s="5"/>
      <c r="F8346" s="5"/>
      <c r="G8346" s="5"/>
      <c r="H8346" s="5"/>
      <c r="I8346" s="5"/>
      <c r="J8346" s="5"/>
      <c r="K8346" s="5"/>
      <c r="L8346" s="5"/>
      <c r="M8346" s="5"/>
      <c r="N8346" s="5"/>
      <c r="O8346" s="5"/>
      <c r="P8346" s="5"/>
      <c r="Q8346" s="5"/>
      <c r="R8346" s="5"/>
      <c r="S8346" s="5"/>
      <c r="T8346" s="5"/>
      <c r="U8346" s="5"/>
      <c r="V8346" s="5"/>
      <c r="W8346" s="5"/>
      <c r="X8346" s="5"/>
      <c r="Y8346" s="5"/>
      <c r="Z8346" s="5"/>
    </row>
    <row r="8347" spans="1:26" ht="15" x14ac:dyDescent="0.25">
      <c r="A8347" s="4" t="s">
        <v>8345</v>
      </c>
      <c r="B8347" s="4" t="s">
        <v>4550</v>
      </c>
      <c r="C8347" s="2" t="str">
        <f ca="1">IFERROR(__xludf.DUMMYFUNCTION("GOOGLETRANSLATE(A8347,""bn"",""en"")"),"There were many flowers in the garden")</f>
        <v>There were many flowers in the garden</v>
      </c>
      <c r="D8347" s="5"/>
      <c r="E8347" s="5"/>
      <c r="F8347" s="5"/>
      <c r="G8347" s="5"/>
      <c r="H8347" s="5"/>
      <c r="I8347" s="5"/>
      <c r="J8347" s="5"/>
      <c r="K8347" s="5"/>
      <c r="L8347" s="5"/>
      <c r="M8347" s="5"/>
      <c r="N8347" s="5"/>
      <c r="O8347" s="5"/>
      <c r="P8347" s="5"/>
      <c r="Q8347" s="5"/>
      <c r="R8347" s="5"/>
      <c r="S8347" s="5"/>
      <c r="T8347" s="5"/>
      <c r="U8347" s="5"/>
      <c r="V8347" s="5"/>
      <c r="W8347" s="5"/>
      <c r="X8347" s="5"/>
      <c r="Y8347" s="5"/>
      <c r="Z8347" s="5"/>
    </row>
    <row r="8348" spans="1:26" ht="15" x14ac:dyDescent="0.25">
      <c r="A8348" s="4" t="s">
        <v>8346</v>
      </c>
      <c r="B8348" s="4" t="s">
        <v>4550</v>
      </c>
      <c r="C8348" s="2" t="str">
        <f ca="1">IFERROR(__xludf.DUMMYFUNCTION("GOOGLETRANSLATE(A8348,""bn"",""en"")"),"I finally bought the laptop")</f>
        <v>I finally bought the laptop</v>
      </c>
      <c r="D8348" s="5"/>
      <c r="E8348" s="5"/>
      <c r="F8348" s="5"/>
      <c r="G8348" s="5"/>
      <c r="H8348" s="5"/>
      <c r="I8348" s="5"/>
      <c r="J8348" s="5"/>
      <c r="K8348" s="5"/>
      <c r="L8348" s="5"/>
      <c r="M8348" s="5"/>
      <c r="N8348" s="5"/>
      <c r="O8348" s="5"/>
      <c r="P8348" s="5"/>
      <c r="Q8348" s="5"/>
      <c r="R8348" s="5"/>
      <c r="S8348" s="5"/>
      <c r="T8348" s="5"/>
      <c r="U8348" s="5"/>
      <c r="V8348" s="5"/>
      <c r="W8348" s="5"/>
      <c r="X8348" s="5"/>
      <c r="Y8348" s="5"/>
      <c r="Z8348" s="5"/>
    </row>
    <row r="8349" spans="1:26" ht="15" x14ac:dyDescent="0.25">
      <c r="A8349" s="4" t="s">
        <v>8347</v>
      </c>
      <c r="B8349" s="4" t="s">
        <v>4550</v>
      </c>
      <c r="C8349" s="2" t="str">
        <f ca="1">IFERROR(__xludf.DUMMYFUNCTION("GOOGLETRANSLATE(A8349,""bn"",""en"")"),"The restaurant chef was cooking")</f>
        <v>The restaurant chef was cooking</v>
      </c>
      <c r="D8349" s="5"/>
      <c r="E8349" s="5"/>
      <c r="F8349" s="5"/>
      <c r="G8349" s="5"/>
      <c r="H8349" s="5"/>
      <c r="I8349" s="5"/>
      <c r="J8349" s="5"/>
      <c r="K8349" s="5"/>
      <c r="L8349" s="5"/>
      <c r="M8349" s="5"/>
      <c r="N8349" s="5"/>
      <c r="O8349" s="5"/>
      <c r="P8349" s="5"/>
      <c r="Q8349" s="5"/>
      <c r="R8349" s="5"/>
      <c r="S8349" s="5"/>
      <c r="T8349" s="5"/>
      <c r="U8349" s="5"/>
      <c r="V8349" s="5"/>
      <c r="W8349" s="5"/>
      <c r="X8349" s="5"/>
      <c r="Y8349" s="5"/>
      <c r="Z8349" s="5"/>
    </row>
    <row r="8350" spans="1:26" ht="15" x14ac:dyDescent="0.25">
      <c r="A8350" s="4" t="s">
        <v>8348</v>
      </c>
      <c r="B8350" s="4" t="s">
        <v>4550</v>
      </c>
      <c r="C8350" s="2" t="str">
        <f ca="1">IFERROR(__xludf.DUMMYFUNCTION("GOOGLETRANSLATE(A8350,""bn"",""en"")"),"The code had to be backed up")</f>
        <v>The code had to be backed up</v>
      </c>
      <c r="D8350" s="5"/>
      <c r="E8350" s="5"/>
      <c r="F8350" s="5"/>
      <c r="G8350" s="5"/>
      <c r="H8350" s="5"/>
      <c r="I8350" s="5"/>
      <c r="J8350" s="5"/>
      <c r="K8350" s="5"/>
      <c r="L8350" s="5"/>
      <c r="M8350" s="5"/>
      <c r="N8350" s="5"/>
      <c r="O8350" s="5"/>
      <c r="P8350" s="5"/>
      <c r="Q8350" s="5"/>
      <c r="R8350" s="5"/>
      <c r="S8350" s="5"/>
      <c r="T8350" s="5"/>
      <c r="U8350" s="5"/>
      <c r="V8350" s="5"/>
      <c r="W8350" s="5"/>
      <c r="X8350" s="5"/>
      <c r="Y8350" s="5"/>
      <c r="Z8350" s="5"/>
    </row>
    <row r="8351" spans="1:26" ht="15" x14ac:dyDescent="0.25">
      <c r="A8351" s="4" t="s">
        <v>8349</v>
      </c>
      <c r="B8351" s="4" t="s">
        <v>4550</v>
      </c>
      <c r="C8351" s="2" t="str">
        <f ca="1">IFERROR(__xludf.DUMMYFUNCTION("GOOGLETRANSLATE(A8351,""bn"",""en"")"),"They developed the application")</f>
        <v>They developed the application</v>
      </c>
      <c r="D8351" s="5"/>
      <c r="E8351" s="5"/>
      <c r="F8351" s="5"/>
      <c r="G8351" s="5"/>
      <c r="H8351" s="5"/>
      <c r="I8351" s="5"/>
      <c r="J8351" s="5"/>
      <c r="K8351" s="5"/>
      <c r="L8351" s="5"/>
      <c r="M8351" s="5"/>
      <c r="N8351" s="5"/>
      <c r="O8351" s="5"/>
      <c r="P8351" s="5"/>
      <c r="Q8351" s="5"/>
      <c r="R8351" s="5"/>
      <c r="S8351" s="5"/>
      <c r="T8351" s="5"/>
      <c r="U8351" s="5"/>
      <c r="V8351" s="5"/>
      <c r="W8351" s="5"/>
      <c r="X8351" s="5"/>
      <c r="Y8351" s="5"/>
      <c r="Z8351" s="5"/>
    </row>
    <row r="8352" spans="1:26" ht="15" x14ac:dyDescent="0.25">
      <c r="A8352" s="4" t="s">
        <v>8350</v>
      </c>
      <c r="B8352" s="4" t="s">
        <v>4550</v>
      </c>
      <c r="C8352" s="2" t="str">
        <f ca="1">IFERROR(__xludf.DUMMYFUNCTION("GOOGLETRANSLATE(A8352,""bn"",""en"")"),"I used to make reprinted pictures")</f>
        <v>I used to make reprinted pictures</v>
      </c>
      <c r="D8352" s="5"/>
      <c r="E8352" s="5"/>
      <c r="F8352" s="5"/>
      <c r="G8352" s="5"/>
      <c r="H8352" s="5"/>
      <c r="I8352" s="5"/>
      <c r="J8352" s="5"/>
      <c r="K8352" s="5"/>
      <c r="L8352" s="5"/>
      <c r="M8352" s="5"/>
      <c r="N8352" s="5"/>
      <c r="O8352" s="5"/>
      <c r="P8352" s="5"/>
      <c r="Q8352" s="5"/>
      <c r="R8352" s="5"/>
      <c r="S8352" s="5"/>
      <c r="T8352" s="5"/>
      <c r="U8352" s="5"/>
      <c r="V8352" s="5"/>
      <c r="W8352" s="5"/>
      <c r="X8352" s="5"/>
      <c r="Y8352" s="5"/>
      <c r="Z8352" s="5"/>
    </row>
    <row r="8353" spans="1:26" ht="15" x14ac:dyDescent="0.25">
      <c r="A8353" s="4" t="s">
        <v>8351</v>
      </c>
      <c r="B8353" s="4" t="s">
        <v>4550</v>
      </c>
      <c r="C8353" s="2" t="str">
        <f ca="1">IFERROR(__xludf.DUMMYFUNCTION("GOOGLETRANSLATE(A8353,""bn"",""en"")"),"It took about an hour")</f>
        <v>It took about an hour</v>
      </c>
      <c r="D8353" s="5"/>
      <c r="E8353" s="5"/>
      <c r="F8353" s="5"/>
      <c r="G8353" s="5"/>
      <c r="H8353" s="5"/>
      <c r="I8353" s="5"/>
      <c r="J8353" s="5"/>
      <c r="K8353" s="5"/>
      <c r="L8353" s="5"/>
      <c r="M8353" s="5"/>
      <c r="N8353" s="5"/>
      <c r="O8353" s="5"/>
      <c r="P8353" s="5"/>
      <c r="Q8353" s="5"/>
      <c r="R8353" s="5"/>
      <c r="S8353" s="5"/>
      <c r="T8353" s="5"/>
      <c r="U8353" s="5"/>
      <c r="V8353" s="5"/>
      <c r="W8353" s="5"/>
      <c r="X8353" s="5"/>
      <c r="Y8353" s="5"/>
      <c r="Z8353" s="5"/>
    </row>
    <row r="8354" spans="1:26" ht="15" x14ac:dyDescent="0.25">
      <c r="A8354" s="4" t="s">
        <v>8352</v>
      </c>
      <c r="B8354" s="4" t="s">
        <v>4550</v>
      </c>
      <c r="C8354" s="2" t="str">
        <f ca="1">IFERROR(__xludf.DUMMYFUNCTION("GOOGLETRANSLATE(A8354,""bn"",""en"")"),"I put money in the new insurance")</f>
        <v>I put money in the new insurance</v>
      </c>
      <c r="D8354" s="5"/>
      <c r="E8354" s="5"/>
      <c r="F8354" s="5"/>
      <c r="G8354" s="5"/>
      <c r="H8354" s="5"/>
      <c r="I8354" s="5"/>
      <c r="J8354" s="5"/>
      <c r="K8354" s="5"/>
      <c r="L8354" s="5"/>
      <c r="M8354" s="5"/>
      <c r="N8354" s="5"/>
      <c r="O8354" s="5"/>
      <c r="P8354" s="5"/>
      <c r="Q8354" s="5"/>
      <c r="R8354" s="5"/>
      <c r="S8354" s="5"/>
      <c r="T8354" s="5"/>
      <c r="U8354" s="5"/>
      <c r="V8354" s="5"/>
      <c r="W8354" s="5"/>
      <c r="X8354" s="5"/>
      <c r="Y8354" s="5"/>
      <c r="Z8354" s="5"/>
    </row>
    <row r="8355" spans="1:26" ht="15" x14ac:dyDescent="0.25">
      <c r="A8355" s="4" t="s">
        <v>8353</v>
      </c>
      <c r="B8355" s="4" t="s">
        <v>4550</v>
      </c>
      <c r="C8355" s="2" t="str">
        <f ca="1">IFERROR(__xludf.DUMMYFUNCTION("GOOGLETRANSLATE(A8355,""bn"",""en"")"),"He practiced with determination")</f>
        <v>He practiced with determination</v>
      </c>
      <c r="D8355" s="5"/>
      <c r="E8355" s="5"/>
      <c r="F8355" s="5"/>
      <c r="G8355" s="5"/>
      <c r="H8355" s="5"/>
      <c r="I8355" s="5"/>
      <c r="J8355" s="5"/>
      <c r="K8355" s="5"/>
      <c r="L8355" s="5"/>
      <c r="M8355" s="5"/>
      <c r="N8355" s="5"/>
      <c r="O8355" s="5"/>
      <c r="P8355" s="5"/>
      <c r="Q8355" s="5"/>
      <c r="R8355" s="5"/>
      <c r="S8355" s="5"/>
      <c r="T8355" s="5"/>
      <c r="U8355" s="5"/>
      <c r="V8355" s="5"/>
      <c r="W8355" s="5"/>
      <c r="X8355" s="5"/>
      <c r="Y8355" s="5"/>
      <c r="Z8355" s="5"/>
    </row>
    <row r="8356" spans="1:26" ht="15" x14ac:dyDescent="0.25">
      <c r="A8356" s="4" t="s">
        <v>8354</v>
      </c>
      <c r="B8356" s="4" t="s">
        <v>4550</v>
      </c>
      <c r="C8356" s="2" t="str">
        <f ca="1">IFERROR(__xludf.DUMMYFUNCTION("GOOGLETRANSLATE(A8356,""bn"",""en"")"),"The educational trip was beautiful")</f>
        <v>The educational trip was beautiful</v>
      </c>
      <c r="D8356" s="5"/>
      <c r="E8356" s="5"/>
      <c r="F8356" s="5"/>
      <c r="G8356" s="5"/>
      <c r="H8356" s="5"/>
      <c r="I8356" s="5"/>
      <c r="J8356" s="5"/>
      <c r="K8356" s="5"/>
      <c r="L8356" s="5"/>
      <c r="M8356" s="5"/>
      <c r="N8356" s="5"/>
      <c r="O8356" s="5"/>
      <c r="P8356" s="5"/>
      <c r="Q8356" s="5"/>
      <c r="R8356" s="5"/>
      <c r="S8356" s="5"/>
      <c r="T8356" s="5"/>
      <c r="U8356" s="5"/>
      <c r="V8356" s="5"/>
      <c r="W8356" s="5"/>
      <c r="X8356" s="5"/>
      <c r="Y8356" s="5"/>
      <c r="Z8356" s="5"/>
    </row>
    <row r="8357" spans="1:26" ht="15" x14ac:dyDescent="0.25">
      <c r="A8357" s="4" t="s">
        <v>8355</v>
      </c>
      <c r="B8357" s="4" t="s">
        <v>4550</v>
      </c>
      <c r="C8357" s="2" t="str">
        <f ca="1">IFERROR(__xludf.DUMMYFUNCTION("GOOGLETRANSLATE(A8357,""bn"",""en"")"),"while he was frying fish")</f>
        <v>while he was frying fish</v>
      </c>
      <c r="D8357" s="5"/>
      <c r="E8357" s="5"/>
      <c r="F8357" s="5"/>
      <c r="G8357" s="5"/>
      <c r="H8357" s="5"/>
      <c r="I8357" s="5"/>
      <c r="J8357" s="5"/>
      <c r="K8357" s="5"/>
      <c r="L8357" s="5"/>
      <c r="M8357" s="5"/>
      <c r="N8357" s="5"/>
      <c r="O8357" s="5"/>
      <c r="P8357" s="5"/>
      <c r="Q8357" s="5"/>
      <c r="R8357" s="5"/>
      <c r="S8357" s="5"/>
      <c r="T8357" s="5"/>
      <c r="U8357" s="5"/>
      <c r="V8357" s="5"/>
      <c r="W8357" s="5"/>
      <c r="X8357" s="5"/>
      <c r="Y8357" s="5"/>
      <c r="Z8357" s="5"/>
    </row>
    <row r="8358" spans="1:26" ht="15" x14ac:dyDescent="0.25">
      <c r="A8358" s="4" t="s">
        <v>8356</v>
      </c>
      <c r="B8358" s="4" t="s">
        <v>4550</v>
      </c>
      <c r="C8358" s="2" t="str">
        <f ca="1">IFERROR(__xludf.DUMMYFUNCTION("GOOGLETRANSLATE(A8358,""bn"",""en"")"),"I got the result from the test")</f>
        <v>I got the result from the test</v>
      </c>
      <c r="D8358" s="5"/>
      <c r="E8358" s="5"/>
      <c r="F8358" s="5"/>
      <c r="G8358" s="5"/>
      <c r="H8358" s="5"/>
      <c r="I8358" s="5"/>
      <c r="J8358" s="5"/>
      <c r="K8358" s="5"/>
      <c r="L8358" s="5"/>
      <c r="M8358" s="5"/>
      <c r="N8358" s="5"/>
      <c r="O8358" s="5"/>
      <c r="P8358" s="5"/>
      <c r="Q8358" s="5"/>
      <c r="R8358" s="5"/>
      <c r="S8358" s="5"/>
      <c r="T8358" s="5"/>
      <c r="U8358" s="5"/>
      <c r="V8358" s="5"/>
      <c r="W8358" s="5"/>
      <c r="X8358" s="5"/>
      <c r="Y8358" s="5"/>
      <c r="Z8358" s="5"/>
    </row>
    <row r="8359" spans="1:26" ht="15" x14ac:dyDescent="0.25">
      <c r="A8359" s="4" t="s">
        <v>8357</v>
      </c>
      <c r="B8359" s="4" t="s">
        <v>4550</v>
      </c>
      <c r="C8359" s="2" t="str">
        <f ca="1">IFERROR(__xludf.DUMMYFUNCTION("GOOGLETRANSLATE(A8359,""bn"",""en"")"),"He gave an increase in the month")</f>
        <v>He gave an increase in the month</v>
      </c>
      <c r="D8359" s="5"/>
      <c r="E8359" s="5"/>
      <c r="F8359" s="5"/>
      <c r="G8359" s="5"/>
      <c r="H8359" s="5"/>
      <c r="I8359" s="5"/>
      <c r="J8359" s="5"/>
      <c r="K8359" s="5"/>
      <c r="L8359" s="5"/>
      <c r="M8359" s="5"/>
      <c r="N8359" s="5"/>
      <c r="O8359" s="5"/>
      <c r="P8359" s="5"/>
      <c r="Q8359" s="5"/>
      <c r="R8359" s="5"/>
      <c r="S8359" s="5"/>
      <c r="T8359" s="5"/>
      <c r="U8359" s="5"/>
      <c r="V8359" s="5"/>
      <c r="W8359" s="5"/>
      <c r="X8359" s="5"/>
      <c r="Y8359" s="5"/>
      <c r="Z8359" s="5"/>
    </row>
    <row r="8360" spans="1:26" ht="15" x14ac:dyDescent="0.25">
      <c r="A8360" s="4" t="s">
        <v>8358</v>
      </c>
      <c r="B8360" s="4" t="s">
        <v>4550</v>
      </c>
      <c r="C8360" s="2" t="str">
        <f ca="1">IFERROR(__xludf.DUMMYFUNCTION("GOOGLETRANSLATE(A8360,""bn"",""en"")"),"The football game was going on at night")</f>
        <v>The football game was going on at night</v>
      </c>
      <c r="D8360" s="5"/>
      <c r="E8360" s="5"/>
      <c r="F8360" s="5"/>
      <c r="G8360" s="5"/>
      <c r="H8360" s="5"/>
      <c r="I8360" s="5"/>
      <c r="J8360" s="5"/>
      <c r="K8360" s="5"/>
      <c r="L8360" s="5"/>
      <c r="M8360" s="5"/>
      <c r="N8360" s="5"/>
      <c r="O8360" s="5"/>
      <c r="P8360" s="5"/>
      <c r="Q8360" s="5"/>
      <c r="R8360" s="5"/>
      <c r="S8360" s="5"/>
      <c r="T8360" s="5"/>
      <c r="U8360" s="5"/>
      <c r="V8360" s="5"/>
      <c r="W8360" s="5"/>
      <c r="X8360" s="5"/>
      <c r="Y8360" s="5"/>
      <c r="Z8360" s="5"/>
    </row>
    <row r="8361" spans="1:26" ht="15" x14ac:dyDescent="0.25">
      <c r="A8361" s="4" t="s">
        <v>8359</v>
      </c>
      <c r="B8361" s="4" t="s">
        <v>4550</v>
      </c>
      <c r="C8361" s="2" t="str">
        <f ca="1">IFERROR(__xludf.DUMMYFUNCTION("GOOGLETRANSLATE(A8361,""bn"",""en"")"),"Watched the favorite actor's movie")</f>
        <v>Watched the favorite actor's movie</v>
      </c>
      <c r="D8361" s="5"/>
      <c r="E8361" s="5"/>
      <c r="F8361" s="5"/>
      <c r="G8361" s="5"/>
      <c r="H8361" s="5"/>
      <c r="I8361" s="5"/>
      <c r="J8361" s="5"/>
      <c r="K8361" s="5"/>
      <c r="L8361" s="5"/>
      <c r="M8361" s="5"/>
      <c r="N8361" s="5"/>
      <c r="O8361" s="5"/>
      <c r="P8361" s="5"/>
      <c r="Q8361" s="5"/>
      <c r="R8361" s="5"/>
      <c r="S8361" s="5"/>
      <c r="T8361" s="5"/>
      <c r="U8361" s="5"/>
      <c r="V8361" s="5"/>
      <c r="W8361" s="5"/>
      <c r="X8361" s="5"/>
      <c r="Y8361" s="5"/>
      <c r="Z8361" s="5"/>
    </row>
    <row r="8362" spans="1:26" ht="15" x14ac:dyDescent="0.25">
      <c r="A8362" s="4" t="s">
        <v>8360</v>
      </c>
      <c r="B8362" s="4" t="s">
        <v>4550</v>
      </c>
      <c r="C8362" s="2" t="str">
        <f ca="1">IFERROR(__xludf.DUMMYFUNCTION("GOOGLETRANSLATE(A8362,""bn"",""en"")"),"He learned the new framework")</f>
        <v>He learned the new framework</v>
      </c>
      <c r="D8362" s="5"/>
      <c r="E8362" s="5"/>
      <c r="F8362" s="5"/>
      <c r="G8362" s="5"/>
      <c r="H8362" s="5"/>
      <c r="I8362" s="5"/>
      <c r="J8362" s="5"/>
      <c r="K8362" s="5"/>
      <c r="L8362" s="5"/>
      <c r="M8362" s="5"/>
      <c r="N8362" s="5"/>
      <c r="O8362" s="5"/>
      <c r="P8362" s="5"/>
      <c r="Q8362" s="5"/>
      <c r="R8362" s="5"/>
      <c r="S8362" s="5"/>
      <c r="T8362" s="5"/>
      <c r="U8362" s="5"/>
      <c r="V8362" s="5"/>
      <c r="W8362" s="5"/>
      <c r="X8362" s="5"/>
      <c r="Y8362" s="5"/>
      <c r="Z8362" s="5"/>
    </row>
    <row r="8363" spans="1:26" ht="15" x14ac:dyDescent="0.25">
      <c r="A8363" s="4" t="s">
        <v>8361</v>
      </c>
      <c r="B8363" s="4" t="s">
        <v>4550</v>
      </c>
      <c r="C8363" s="2" t="str">
        <f ca="1">IFERROR(__xludf.DUMMYFUNCTION("GOOGLETRANSLATE(A8363,""bn"",""en"")"),"I would open an account")</f>
        <v>I would open an account</v>
      </c>
      <c r="D8363" s="5"/>
      <c r="E8363" s="5"/>
      <c r="F8363" s="5"/>
      <c r="G8363" s="5"/>
      <c r="H8363" s="5"/>
      <c r="I8363" s="5"/>
      <c r="J8363" s="5"/>
      <c r="K8363" s="5"/>
      <c r="L8363" s="5"/>
      <c r="M8363" s="5"/>
      <c r="N8363" s="5"/>
      <c r="O8363" s="5"/>
      <c r="P8363" s="5"/>
      <c r="Q8363" s="5"/>
      <c r="R8363" s="5"/>
      <c r="S8363" s="5"/>
      <c r="T8363" s="5"/>
      <c r="U8363" s="5"/>
      <c r="V8363" s="5"/>
      <c r="W8363" s="5"/>
      <c r="X8363" s="5"/>
      <c r="Y8363" s="5"/>
      <c r="Z8363" s="5"/>
    </row>
    <row r="8364" spans="1:26" ht="15" x14ac:dyDescent="0.25">
      <c r="A8364" s="4" t="s">
        <v>8362</v>
      </c>
      <c r="B8364" s="4" t="s">
        <v>4550</v>
      </c>
      <c r="C8364" s="2" t="str">
        <f ca="1">IFERROR(__xludf.DUMMYFUNCTION("GOOGLETRANSLATE(A8364,""bn"",""en"")"),"He was going to the bird fair on Saturday")</f>
        <v>He was going to the bird fair on Saturday</v>
      </c>
      <c r="D8364" s="5"/>
      <c r="E8364" s="5"/>
      <c r="F8364" s="5"/>
      <c r="G8364" s="5"/>
      <c r="H8364" s="5"/>
      <c r="I8364" s="5"/>
      <c r="J8364" s="5"/>
      <c r="K8364" s="5"/>
      <c r="L8364" s="5"/>
      <c r="M8364" s="5"/>
      <c r="N8364" s="5"/>
      <c r="O8364" s="5"/>
      <c r="P8364" s="5"/>
      <c r="Q8364" s="5"/>
      <c r="R8364" s="5"/>
      <c r="S8364" s="5"/>
      <c r="T8364" s="5"/>
      <c r="U8364" s="5"/>
      <c r="V8364" s="5"/>
      <c r="W8364" s="5"/>
      <c r="X8364" s="5"/>
      <c r="Y8364" s="5"/>
      <c r="Z8364" s="5"/>
    </row>
    <row r="8365" spans="1:26" ht="15" x14ac:dyDescent="0.25">
      <c r="A8365" s="4" t="s">
        <v>8363</v>
      </c>
      <c r="B8365" s="4" t="s">
        <v>4550</v>
      </c>
      <c r="C8365" s="2" t="str">
        <f ca="1">IFERROR(__xludf.DUMMYFUNCTION("GOOGLETRANSLATE(A8365,""bn"",""en"")"),"The assembly was held in the college cafeteria")</f>
        <v>The assembly was held in the college cafeteria</v>
      </c>
      <c r="D8365" s="5"/>
      <c r="E8365" s="5"/>
      <c r="F8365" s="5"/>
      <c r="G8365" s="5"/>
      <c r="H8365" s="5"/>
      <c r="I8365" s="5"/>
      <c r="J8365" s="5"/>
      <c r="K8365" s="5"/>
      <c r="L8365" s="5"/>
      <c r="M8365" s="5"/>
      <c r="N8365" s="5"/>
      <c r="O8365" s="5"/>
      <c r="P8365" s="5"/>
      <c r="Q8365" s="5"/>
      <c r="R8365" s="5"/>
      <c r="S8365" s="5"/>
      <c r="T8365" s="5"/>
      <c r="U8365" s="5"/>
      <c r="V8365" s="5"/>
      <c r="W8365" s="5"/>
      <c r="X8365" s="5"/>
      <c r="Y8365" s="5"/>
      <c r="Z8365" s="5"/>
    </row>
    <row r="8366" spans="1:26" ht="15" x14ac:dyDescent="0.25">
      <c r="A8366" s="4" t="s">
        <v>8364</v>
      </c>
      <c r="B8366" s="4" t="s">
        <v>4550</v>
      </c>
      <c r="C8366" s="2" t="str">
        <f ca="1">IFERROR(__xludf.DUMMYFUNCTION("GOOGLETRANSLATE(A8366,""bn"",""en"")"),"We were in the car at night")</f>
        <v>We were in the car at night</v>
      </c>
      <c r="D8366" s="5"/>
      <c r="E8366" s="5"/>
      <c r="F8366" s="5"/>
      <c r="G8366" s="5"/>
      <c r="H8366" s="5"/>
      <c r="I8366" s="5"/>
      <c r="J8366" s="5"/>
      <c r="K8366" s="5"/>
      <c r="L8366" s="5"/>
      <c r="M8366" s="5"/>
      <c r="N8366" s="5"/>
      <c r="O8366" s="5"/>
      <c r="P8366" s="5"/>
      <c r="Q8366" s="5"/>
      <c r="R8366" s="5"/>
      <c r="S8366" s="5"/>
      <c r="T8366" s="5"/>
      <c r="U8366" s="5"/>
      <c r="V8366" s="5"/>
      <c r="W8366" s="5"/>
      <c r="X8366" s="5"/>
      <c r="Y8366" s="5"/>
      <c r="Z8366" s="5"/>
    </row>
    <row r="8367" spans="1:26" ht="15" x14ac:dyDescent="0.25">
      <c r="A8367" s="4" t="s">
        <v>8365</v>
      </c>
      <c r="B8367" s="4" t="s">
        <v>4550</v>
      </c>
      <c r="C8367" s="2" t="str">
        <f ca="1">IFERROR(__xludf.DUMMYFUNCTION("GOOGLETRANSLATE(A8367,""bn"",""en"")"),"The capital increase was arranged")</f>
        <v>The capital increase was arranged</v>
      </c>
      <c r="D8367" s="5"/>
      <c r="E8367" s="5"/>
      <c r="F8367" s="5"/>
      <c r="G8367" s="5"/>
      <c r="H8367" s="5"/>
      <c r="I8367" s="5"/>
      <c r="J8367" s="5"/>
      <c r="K8367" s="5"/>
      <c r="L8367" s="5"/>
      <c r="M8367" s="5"/>
      <c r="N8367" s="5"/>
      <c r="O8367" s="5"/>
      <c r="P8367" s="5"/>
      <c r="Q8367" s="5"/>
      <c r="R8367" s="5"/>
      <c r="S8367" s="5"/>
      <c r="T8367" s="5"/>
      <c r="U8367" s="5"/>
      <c r="V8367" s="5"/>
      <c r="W8367" s="5"/>
      <c r="X8367" s="5"/>
      <c r="Y8367" s="5"/>
      <c r="Z8367" s="5"/>
    </row>
    <row r="8368" spans="1:26" ht="15" x14ac:dyDescent="0.25">
      <c r="A8368" s="4" t="s">
        <v>8366</v>
      </c>
      <c r="B8368" s="4" t="s">
        <v>4550</v>
      </c>
      <c r="C8368" s="2" t="str">
        <f ca="1">IFERROR(__xludf.DUMMYFUNCTION("GOOGLETRANSLATE(A8368,""bn"",""en"")"),"Potatoes were produced by the Khushis")</f>
        <v>Potatoes were produced by the Khushis</v>
      </c>
      <c r="D8368" s="5"/>
      <c r="E8368" s="5"/>
      <c r="F8368" s="5"/>
      <c r="G8368" s="5"/>
      <c r="H8368" s="5"/>
      <c r="I8368" s="5"/>
      <c r="J8368" s="5"/>
      <c r="K8368" s="5"/>
      <c r="L8368" s="5"/>
      <c r="M8368" s="5"/>
      <c r="N8368" s="5"/>
      <c r="O8368" s="5"/>
      <c r="P8368" s="5"/>
      <c r="Q8368" s="5"/>
      <c r="R8368" s="5"/>
      <c r="S8368" s="5"/>
      <c r="T8368" s="5"/>
      <c r="U8368" s="5"/>
      <c r="V8368" s="5"/>
      <c r="W8368" s="5"/>
      <c r="X8368" s="5"/>
      <c r="Y8368" s="5"/>
      <c r="Z8368" s="5"/>
    </row>
    <row r="8369" spans="1:26" ht="15" x14ac:dyDescent="0.25">
      <c r="A8369" s="4" t="s">
        <v>8367</v>
      </c>
      <c r="B8369" s="4" t="s">
        <v>4550</v>
      </c>
      <c r="C8369" s="2" t="str">
        <f ca="1">IFERROR(__xludf.DUMMYFUNCTION("GOOGLETRANSLATE(A8369,""bn"",""en"")"),"You saw the new movie")</f>
        <v>You saw the new movie</v>
      </c>
      <c r="D8369" s="5"/>
      <c r="E8369" s="5"/>
      <c r="F8369" s="5"/>
      <c r="G8369" s="5"/>
      <c r="H8369" s="5"/>
      <c r="I8369" s="5"/>
      <c r="J8369" s="5"/>
      <c r="K8369" s="5"/>
      <c r="L8369" s="5"/>
      <c r="M8369" s="5"/>
      <c r="N8369" s="5"/>
      <c r="O8369" s="5"/>
      <c r="P8369" s="5"/>
      <c r="Q8369" s="5"/>
      <c r="R8369" s="5"/>
      <c r="S8369" s="5"/>
      <c r="T8369" s="5"/>
      <c r="U8369" s="5"/>
      <c r="V8369" s="5"/>
      <c r="W8369" s="5"/>
      <c r="X8369" s="5"/>
      <c r="Y8369" s="5"/>
      <c r="Z8369" s="5"/>
    </row>
    <row r="8370" spans="1:26" ht="15" x14ac:dyDescent="0.25">
      <c r="A8370" s="4" t="s">
        <v>8368</v>
      </c>
      <c r="B8370" s="4" t="s">
        <v>4550</v>
      </c>
      <c r="C8370" s="2" t="str">
        <f ca="1">IFERROR(__xludf.DUMMYFUNCTION("GOOGLETRANSLATE(A8370,""bn"",""en"")"),"If you focus on the project")</f>
        <v>If you focus on the project</v>
      </c>
      <c r="D8370" s="5"/>
      <c r="E8370" s="5"/>
      <c r="F8370" s="5"/>
      <c r="G8370" s="5"/>
      <c r="H8370" s="5"/>
      <c r="I8370" s="5"/>
      <c r="J8370" s="5"/>
      <c r="K8370" s="5"/>
      <c r="L8370" s="5"/>
      <c r="M8370" s="5"/>
      <c r="N8370" s="5"/>
      <c r="O8370" s="5"/>
      <c r="P8370" s="5"/>
      <c r="Q8370" s="5"/>
      <c r="R8370" s="5"/>
      <c r="S8370" s="5"/>
      <c r="T8370" s="5"/>
      <c r="U8370" s="5"/>
      <c r="V8370" s="5"/>
      <c r="W8370" s="5"/>
      <c r="X8370" s="5"/>
      <c r="Y8370" s="5"/>
      <c r="Z8370" s="5"/>
    </row>
    <row r="8371" spans="1:26" ht="15" x14ac:dyDescent="0.25">
      <c r="A8371" s="4" t="s">
        <v>8369</v>
      </c>
      <c r="B8371" s="4" t="s">
        <v>4550</v>
      </c>
      <c r="C8371" s="2" t="str">
        <f ca="1">IFERROR(__xludf.DUMMYFUNCTION("GOOGLETRANSLATE(A8371,""bn"",""en"")"),"The players were exercising on the field")</f>
        <v>The players were exercising on the field</v>
      </c>
      <c r="D8371" s="5"/>
      <c r="E8371" s="5"/>
      <c r="F8371" s="5"/>
      <c r="G8371" s="5"/>
      <c r="H8371" s="5"/>
      <c r="I8371" s="5"/>
      <c r="J8371" s="5"/>
      <c r="K8371" s="5"/>
      <c r="L8371" s="5"/>
      <c r="M8371" s="5"/>
      <c r="N8371" s="5"/>
      <c r="O8371" s="5"/>
      <c r="P8371" s="5"/>
      <c r="Q8371" s="5"/>
      <c r="R8371" s="5"/>
      <c r="S8371" s="5"/>
      <c r="T8371" s="5"/>
      <c r="U8371" s="5"/>
      <c r="V8371" s="5"/>
      <c r="W8371" s="5"/>
      <c r="X8371" s="5"/>
      <c r="Y8371" s="5"/>
      <c r="Z8371" s="5"/>
    </row>
    <row r="8372" spans="1:26" ht="15" x14ac:dyDescent="0.25">
      <c r="A8372" s="4" t="s">
        <v>8370</v>
      </c>
      <c r="B8372" s="4" t="s">
        <v>4550</v>
      </c>
      <c r="C8372" s="2" t="str">
        <f ca="1">IFERROR(__xludf.DUMMYFUNCTION("GOOGLETRANSLATE(A8372,""bn"",""en"")"),"Students sought honest advice")</f>
        <v>Students sought honest advice</v>
      </c>
      <c r="D8372" s="5"/>
      <c r="E8372" s="5"/>
      <c r="F8372" s="5"/>
      <c r="G8372" s="5"/>
      <c r="H8372" s="5"/>
      <c r="I8372" s="5"/>
      <c r="J8372" s="5"/>
      <c r="K8372" s="5"/>
      <c r="L8372" s="5"/>
      <c r="M8372" s="5"/>
      <c r="N8372" s="5"/>
      <c r="O8372" s="5"/>
      <c r="P8372" s="5"/>
      <c r="Q8372" s="5"/>
      <c r="R8372" s="5"/>
      <c r="S8372" s="5"/>
      <c r="T8372" s="5"/>
      <c r="U8372" s="5"/>
      <c r="V8372" s="5"/>
      <c r="W8372" s="5"/>
      <c r="X8372" s="5"/>
      <c r="Y8372" s="5"/>
      <c r="Z8372" s="5"/>
    </row>
    <row r="8373" spans="1:26" ht="15" x14ac:dyDescent="0.25">
      <c r="A8373" s="4" t="s">
        <v>8371</v>
      </c>
      <c r="B8373" s="4" t="s">
        <v>4550</v>
      </c>
      <c r="C8373" s="2" t="str">
        <f ca="1">IFERROR(__xludf.DUMMYFUNCTION("GOOGLETRANSLATE(A8373,""bn"",""en"")"),"Market prices fell last month")</f>
        <v>Market prices fell last month</v>
      </c>
      <c r="D8373" s="5"/>
      <c r="E8373" s="5"/>
      <c r="F8373" s="5"/>
      <c r="G8373" s="5"/>
      <c r="H8373" s="5"/>
      <c r="I8373" s="5"/>
      <c r="J8373" s="5"/>
      <c r="K8373" s="5"/>
      <c r="L8373" s="5"/>
      <c r="M8373" s="5"/>
      <c r="N8373" s="5"/>
      <c r="O8373" s="5"/>
      <c r="P8373" s="5"/>
      <c r="Q8373" s="5"/>
      <c r="R8373" s="5"/>
      <c r="S8373" s="5"/>
      <c r="T8373" s="5"/>
      <c r="U8373" s="5"/>
      <c r="V8373" s="5"/>
      <c r="W8373" s="5"/>
      <c r="X8373" s="5"/>
      <c r="Y8373" s="5"/>
      <c r="Z8373" s="5"/>
    </row>
    <row r="8374" spans="1:26" ht="15" x14ac:dyDescent="0.25">
      <c r="A8374" s="4" t="s">
        <v>8372</v>
      </c>
      <c r="B8374" s="4" t="s">
        <v>4550</v>
      </c>
      <c r="C8374" s="2" t="str">
        <f ca="1">IFERROR(__xludf.DUMMYFUNCTION("GOOGLETRANSLATE(A8374,""bn"",""en"")"),"The runner was pushing the fastest")</f>
        <v>The runner was pushing the fastest</v>
      </c>
      <c r="D8374" s="5"/>
      <c r="E8374" s="5"/>
      <c r="F8374" s="5"/>
      <c r="G8374" s="5"/>
      <c r="H8374" s="5"/>
      <c r="I8374" s="5"/>
      <c r="J8374" s="5"/>
      <c r="K8374" s="5"/>
      <c r="L8374" s="5"/>
      <c r="M8374" s="5"/>
      <c r="N8374" s="5"/>
      <c r="O8374" s="5"/>
      <c r="P8374" s="5"/>
      <c r="Q8374" s="5"/>
      <c r="R8374" s="5"/>
      <c r="S8374" s="5"/>
      <c r="T8374" s="5"/>
      <c r="U8374" s="5"/>
      <c r="V8374" s="5"/>
      <c r="W8374" s="5"/>
      <c r="X8374" s="5"/>
      <c r="Y8374" s="5"/>
      <c r="Z8374" s="5"/>
    </row>
    <row r="8375" spans="1:26" ht="15" x14ac:dyDescent="0.25">
      <c r="A8375" s="4" t="s">
        <v>8373</v>
      </c>
      <c r="B8375" s="4" t="s">
        <v>4550</v>
      </c>
      <c r="C8375" s="2" t="str">
        <f ca="1">IFERROR(__xludf.DUMMYFUNCTION("GOOGLETRANSLATE(A8375,""bn"",""en"")"),"Looking at social media analytics")</f>
        <v>Looking at social media analytics</v>
      </c>
      <c r="D8375" s="5"/>
      <c r="E8375" s="5"/>
      <c r="F8375" s="5"/>
      <c r="G8375" s="5"/>
      <c r="H8375" s="5"/>
      <c r="I8375" s="5"/>
      <c r="J8375" s="5"/>
      <c r="K8375" s="5"/>
      <c r="L8375" s="5"/>
      <c r="M8375" s="5"/>
      <c r="N8375" s="5"/>
      <c r="O8375" s="5"/>
      <c r="P8375" s="5"/>
      <c r="Q8375" s="5"/>
      <c r="R8375" s="5"/>
      <c r="S8375" s="5"/>
      <c r="T8375" s="5"/>
      <c r="U8375" s="5"/>
      <c r="V8375" s="5"/>
      <c r="W8375" s="5"/>
      <c r="X8375" s="5"/>
      <c r="Y8375" s="5"/>
      <c r="Z8375" s="5"/>
    </row>
    <row r="8376" spans="1:26" ht="15" x14ac:dyDescent="0.25">
      <c r="A8376" s="4" t="s">
        <v>8374</v>
      </c>
      <c r="B8376" s="4" t="s">
        <v>4550</v>
      </c>
      <c r="C8376" s="2" t="str">
        <f ca="1">IFERROR(__xludf.DUMMYFUNCTION("GOOGLETRANSLATE(A8376,""bn"",""en"")"),"Everyone was looking for a good friend")</f>
        <v>Everyone was looking for a good friend</v>
      </c>
      <c r="D8376" s="5"/>
      <c r="E8376" s="5"/>
      <c r="F8376" s="5"/>
      <c r="G8376" s="5"/>
      <c r="H8376" s="5"/>
      <c r="I8376" s="5"/>
      <c r="J8376" s="5"/>
      <c r="K8376" s="5"/>
      <c r="L8376" s="5"/>
      <c r="M8376" s="5"/>
      <c r="N8376" s="5"/>
      <c r="O8376" s="5"/>
      <c r="P8376" s="5"/>
      <c r="Q8376" s="5"/>
      <c r="R8376" s="5"/>
      <c r="S8376" s="5"/>
      <c r="T8376" s="5"/>
      <c r="U8376" s="5"/>
      <c r="V8376" s="5"/>
      <c r="W8376" s="5"/>
      <c r="X8376" s="5"/>
      <c r="Y8376" s="5"/>
      <c r="Z8376" s="5"/>
    </row>
    <row r="8377" spans="1:26" ht="15" x14ac:dyDescent="0.25">
      <c r="A8377" s="4" t="s">
        <v>8375</v>
      </c>
      <c r="B8377" s="4" t="s">
        <v>4550</v>
      </c>
      <c r="C8377" s="2" t="str">
        <f ca="1">IFERROR(__xludf.DUMMYFUNCTION("GOOGLETRANSLATE(A8377,""bn"",""en"")"),"Watching movies with friends")</f>
        <v>Watching movies with friends</v>
      </c>
      <c r="D8377" s="5"/>
      <c r="E8377" s="5"/>
      <c r="F8377" s="5"/>
      <c r="G8377" s="5"/>
      <c r="H8377" s="5"/>
      <c r="I8377" s="5"/>
      <c r="J8377" s="5"/>
      <c r="K8377" s="5"/>
      <c r="L8377" s="5"/>
      <c r="M8377" s="5"/>
      <c r="N8377" s="5"/>
      <c r="O8377" s="5"/>
      <c r="P8377" s="5"/>
      <c r="Q8377" s="5"/>
      <c r="R8377" s="5"/>
      <c r="S8377" s="5"/>
      <c r="T8377" s="5"/>
      <c r="U8377" s="5"/>
      <c r="V8377" s="5"/>
      <c r="W8377" s="5"/>
      <c r="X8377" s="5"/>
      <c r="Y8377" s="5"/>
      <c r="Z8377" s="5"/>
    </row>
    <row r="8378" spans="1:26" ht="15" x14ac:dyDescent="0.25">
      <c r="A8378" s="4" t="s">
        <v>8376</v>
      </c>
      <c r="B8378" s="4" t="s">
        <v>4550</v>
      </c>
      <c r="C8378" s="2" t="str">
        <f ca="1">IFERROR(__xludf.DUMMYFUNCTION("GOOGLETRANSLATE(A8378,""bn"",""en"")"),"Bioinformatics technology event was held")</f>
        <v>Bioinformatics technology event was held</v>
      </c>
      <c r="D8378" s="5"/>
      <c r="E8378" s="5"/>
      <c r="F8378" s="5"/>
      <c r="G8378" s="5"/>
      <c r="H8378" s="5"/>
      <c r="I8378" s="5"/>
      <c r="J8378" s="5"/>
      <c r="K8378" s="5"/>
      <c r="L8378" s="5"/>
      <c r="M8378" s="5"/>
      <c r="N8378" s="5"/>
      <c r="O8378" s="5"/>
      <c r="P8378" s="5"/>
      <c r="Q8378" s="5"/>
      <c r="R8378" s="5"/>
      <c r="S8378" s="5"/>
      <c r="T8378" s="5"/>
      <c r="U8378" s="5"/>
      <c r="V8378" s="5"/>
      <c r="W8378" s="5"/>
      <c r="X8378" s="5"/>
      <c r="Y8378" s="5"/>
      <c r="Z8378" s="5"/>
    </row>
    <row r="8379" spans="1:26" ht="15" x14ac:dyDescent="0.25">
      <c r="A8379" s="4" t="s">
        <v>8377</v>
      </c>
      <c r="B8379" s="4" t="s">
        <v>4550</v>
      </c>
      <c r="C8379" s="2" t="str">
        <f ca="1">IFERROR(__xludf.DUMMYFUNCTION("GOOGLETRANSLATE(A8379,""bn"",""en"")"),"MPs were elected to the Rajya Sabha")</f>
        <v>MPs were elected to the Rajya Sabha</v>
      </c>
      <c r="D8379" s="5"/>
      <c r="E8379" s="5"/>
      <c r="F8379" s="5"/>
      <c r="G8379" s="5"/>
      <c r="H8379" s="5"/>
      <c r="I8379" s="5"/>
      <c r="J8379" s="5"/>
      <c r="K8379" s="5"/>
      <c r="L8379" s="5"/>
      <c r="M8379" s="5"/>
      <c r="N8379" s="5"/>
      <c r="O8379" s="5"/>
      <c r="P8379" s="5"/>
      <c r="Q8379" s="5"/>
      <c r="R8379" s="5"/>
      <c r="S8379" s="5"/>
      <c r="T8379" s="5"/>
      <c r="U8379" s="5"/>
      <c r="V8379" s="5"/>
      <c r="W8379" s="5"/>
      <c r="X8379" s="5"/>
      <c r="Y8379" s="5"/>
      <c r="Z8379" s="5"/>
    </row>
    <row r="8380" spans="1:26" ht="15" x14ac:dyDescent="0.25">
      <c r="A8380" s="4" t="s">
        <v>8378</v>
      </c>
      <c r="B8380" s="4" t="s">
        <v>4550</v>
      </c>
      <c r="C8380" s="2" t="str">
        <f ca="1">IFERROR(__xludf.DUMMYFUNCTION("GOOGLETRANSLATE(A8380,""bn"",""en"")"),"Golf was never easy")</f>
        <v>Golf was never easy</v>
      </c>
      <c r="D8380" s="5"/>
      <c r="E8380" s="5"/>
      <c r="F8380" s="5"/>
      <c r="G8380" s="5"/>
      <c r="H8380" s="5"/>
      <c r="I8380" s="5"/>
      <c r="J8380" s="5"/>
      <c r="K8380" s="5"/>
      <c r="L8380" s="5"/>
      <c r="M8380" s="5"/>
      <c r="N8380" s="5"/>
      <c r="O8380" s="5"/>
      <c r="P8380" s="5"/>
      <c r="Q8380" s="5"/>
      <c r="R8380" s="5"/>
      <c r="S8380" s="5"/>
      <c r="T8380" s="5"/>
      <c r="U8380" s="5"/>
      <c r="V8380" s="5"/>
      <c r="W8380" s="5"/>
      <c r="X8380" s="5"/>
      <c r="Y8380" s="5"/>
      <c r="Z8380" s="5"/>
    </row>
    <row r="8381" spans="1:26" ht="15" x14ac:dyDescent="0.25">
      <c r="A8381" s="4" t="s">
        <v>8379</v>
      </c>
      <c r="B8381" s="4" t="s">
        <v>4550</v>
      </c>
      <c r="C8381" s="2" t="str">
        <f ca="1">IFERROR(__xludf.DUMMYFUNCTION("GOOGLETRANSLATE(A8381,""bn"",""en"")"),"Smartwatch wearables in healthcare")</f>
        <v>Smartwatch wearables in healthcare</v>
      </c>
      <c r="D8381" s="5"/>
      <c r="E8381" s="5"/>
      <c r="F8381" s="5"/>
      <c r="G8381" s="5"/>
      <c r="H8381" s="5"/>
      <c r="I8381" s="5"/>
      <c r="J8381" s="5"/>
      <c r="K8381" s="5"/>
      <c r="L8381" s="5"/>
      <c r="M8381" s="5"/>
      <c r="N8381" s="5"/>
      <c r="O8381" s="5"/>
      <c r="P8381" s="5"/>
      <c r="Q8381" s="5"/>
      <c r="R8381" s="5"/>
      <c r="S8381" s="5"/>
      <c r="T8381" s="5"/>
      <c r="U8381" s="5"/>
      <c r="V8381" s="5"/>
      <c r="W8381" s="5"/>
      <c r="X8381" s="5"/>
      <c r="Y8381" s="5"/>
      <c r="Z8381" s="5"/>
    </row>
    <row r="8382" spans="1:26" ht="15" x14ac:dyDescent="0.25">
      <c r="A8382" s="4" t="s">
        <v>8380</v>
      </c>
      <c r="B8382" s="4" t="s">
        <v>4550</v>
      </c>
      <c r="C8382" s="2" t="str">
        <f ca="1">IFERROR(__xludf.DUMMYFUNCTION("GOOGLETRANSLATE(A8382,""bn"",""en"")"),"Sports required physical activity")</f>
        <v>Sports required physical activity</v>
      </c>
      <c r="D8382" s="5"/>
      <c r="E8382" s="5"/>
      <c r="F8382" s="5"/>
      <c r="G8382" s="5"/>
      <c r="H8382" s="5"/>
      <c r="I8382" s="5"/>
      <c r="J8382" s="5"/>
      <c r="K8382" s="5"/>
      <c r="L8382" s="5"/>
      <c r="M8382" s="5"/>
      <c r="N8382" s="5"/>
      <c r="O8382" s="5"/>
      <c r="P8382" s="5"/>
      <c r="Q8382" s="5"/>
      <c r="R8382" s="5"/>
      <c r="S8382" s="5"/>
      <c r="T8382" s="5"/>
      <c r="U8382" s="5"/>
      <c r="V8382" s="5"/>
      <c r="W8382" s="5"/>
      <c r="X8382" s="5"/>
      <c r="Y8382" s="5"/>
      <c r="Z8382" s="5"/>
    </row>
    <row r="8383" spans="1:26" ht="15" x14ac:dyDescent="0.25">
      <c r="A8383" s="4" t="s">
        <v>8381</v>
      </c>
      <c r="B8383" s="4" t="s">
        <v>4550</v>
      </c>
      <c r="C8383" s="2" t="str">
        <f ca="1">IFERROR(__xludf.DUMMYFUNCTION("GOOGLETRANSLATE(A8383,""bn"",""en"")"),"Cyber ​​security improved")</f>
        <v>Cyber ​​security improved</v>
      </c>
      <c r="D8383" s="5"/>
      <c r="E8383" s="5"/>
      <c r="F8383" s="5"/>
      <c r="G8383" s="5"/>
      <c r="H8383" s="5"/>
      <c r="I8383" s="5"/>
      <c r="J8383" s="5"/>
      <c r="K8383" s="5"/>
      <c r="L8383" s="5"/>
      <c r="M8383" s="5"/>
      <c r="N8383" s="5"/>
      <c r="O8383" s="5"/>
      <c r="P8383" s="5"/>
      <c r="Q8383" s="5"/>
      <c r="R8383" s="5"/>
      <c r="S8383" s="5"/>
      <c r="T8383" s="5"/>
      <c r="U8383" s="5"/>
      <c r="V8383" s="5"/>
      <c r="W8383" s="5"/>
      <c r="X8383" s="5"/>
      <c r="Y8383" s="5"/>
      <c r="Z8383" s="5"/>
    </row>
    <row r="8384" spans="1:26" ht="15" x14ac:dyDescent="0.25">
      <c r="A8384" s="4" t="s">
        <v>8382</v>
      </c>
      <c r="B8384" s="4" t="s">
        <v>4550</v>
      </c>
      <c r="C8384" s="2" t="str">
        <f ca="1">IFERROR(__xludf.DUMMYFUNCTION("GOOGLETRANSLATE(A8384,""bn"",""en"")"),"He was painting his picture")</f>
        <v>He was painting his picture</v>
      </c>
      <c r="D8384" s="5"/>
      <c r="E8384" s="5"/>
      <c r="F8384" s="5"/>
      <c r="G8384" s="5"/>
      <c r="H8384" s="5"/>
      <c r="I8384" s="5"/>
      <c r="J8384" s="5"/>
      <c r="K8384" s="5"/>
      <c r="L8384" s="5"/>
      <c r="M8384" s="5"/>
      <c r="N8384" s="5"/>
      <c r="O8384" s="5"/>
      <c r="P8384" s="5"/>
      <c r="Q8384" s="5"/>
      <c r="R8384" s="5"/>
      <c r="S8384" s="5"/>
      <c r="T8384" s="5"/>
      <c r="U8384" s="5"/>
      <c r="V8384" s="5"/>
      <c r="W8384" s="5"/>
      <c r="X8384" s="5"/>
      <c r="Y8384" s="5"/>
      <c r="Z8384" s="5"/>
    </row>
    <row r="8385" spans="1:26" ht="15" x14ac:dyDescent="0.25">
      <c r="A8385" s="4" t="s">
        <v>8383</v>
      </c>
      <c r="B8385" s="4" t="s">
        <v>4550</v>
      </c>
      <c r="C8385" s="2" t="str">
        <f ca="1">IFERROR(__xludf.DUMMYFUNCTION("GOOGLETRANSLATE(A8385,""bn"",""en"")"),"He was elected as a member")</f>
        <v>He was elected as a member</v>
      </c>
      <c r="D8385" s="5"/>
      <c r="E8385" s="5"/>
      <c r="F8385" s="5"/>
      <c r="G8385" s="5"/>
      <c r="H8385" s="5"/>
      <c r="I8385" s="5"/>
      <c r="J8385" s="5"/>
      <c r="K8385" s="5"/>
      <c r="L8385" s="5"/>
      <c r="M8385" s="5"/>
      <c r="N8385" s="5"/>
      <c r="O8385" s="5"/>
      <c r="P8385" s="5"/>
      <c r="Q8385" s="5"/>
      <c r="R8385" s="5"/>
      <c r="S8385" s="5"/>
      <c r="T8385" s="5"/>
      <c r="U8385" s="5"/>
      <c r="V8385" s="5"/>
      <c r="W8385" s="5"/>
      <c r="X8385" s="5"/>
      <c r="Y8385" s="5"/>
      <c r="Z8385" s="5"/>
    </row>
    <row r="8386" spans="1:26" ht="15" x14ac:dyDescent="0.25">
      <c r="A8386" s="4" t="s">
        <v>8384</v>
      </c>
      <c r="B8386" s="4" t="s">
        <v>4550</v>
      </c>
      <c r="C8386" s="2" t="str">
        <f ca="1">IFERROR(__xludf.DUMMYFUNCTION("GOOGLETRANSLATE(A8386,""bn"",""en"")"),"Taught programming courses")</f>
        <v>Taught programming courses</v>
      </c>
      <c r="D8386" s="5"/>
      <c r="E8386" s="5"/>
      <c r="F8386" s="5"/>
      <c r="G8386" s="5"/>
      <c r="H8386" s="5"/>
      <c r="I8386" s="5"/>
      <c r="J8386" s="5"/>
      <c r="K8386" s="5"/>
      <c r="L8386" s="5"/>
      <c r="M8386" s="5"/>
      <c r="N8386" s="5"/>
      <c r="O8386" s="5"/>
      <c r="P8386" s="5"/>
      <c r="Q8386" s="5"/>
      <c r="R8386" s="5"/>
      <c r="S8386" s="5"/>
      <c r="T8386" s="5"/>
      <c r="U8386" s="5"/>
      <c r="V8386" s="5"/>
      <c r="W8386" s="5"/>
      <c r="X8386" s="5"/>
      <c r="Y8386" s="5"/>
      <c r="Z8386" s="5"/>
    </row>
    <row r="8387" spans="1:26" ht="15" x14ac:dyDescent="0.25">
      <c r="A8387" s="4" t="s">
        <v>8385</v>
      </c>
      <c r="B8387" s="4" t="s">
        <v>4550</v>
      </c>
      <c r="C8387" s="2" t="str">
        <f ca="1">IFERROR(__xludf.DUMMYFUNCTION("GOOGLETRANSLATE(A8387,""bn"",""en"")"),"The game was being played in the city club")</f>
        <v>The game was being played in the city club</v>
      </c>
      <c r="D8387" s="5"/>
      <c r="E8387" s="5"/>
      <c r="F8387" s="5"/>
      <c r="G8387" s="5"/>
      <c r="H8387" s="5"/>
      <c r="I8387" s="5"/>
      <c r="J8387" s="5"/>
      <c r="K8387" s="5"/>
      <c r="L8387" s="5"/>
      <c r="M8387" s="5"/>
      <c r="N8387" s="5"/>
      <c r="O8387" s="5"/>
      <c r="P8387" s="5"/>
      <c r="Q8387" s="5"/>
      <c r="R8387" s="5"/>
      <c r="S8387" s="5"/>
      <c r="T8387" s="5"/>
      <c r="U8387" s="5"/>
      <c r="V8387" s="5"/>
      <c r="W8387" s="5"/>
      <c r="X8387" s="5"/>
      <c r="Y8387" s="5"/>
      <c r="Z8387" s="5"/>
    </row>
    <row r="8388" spans="1:26" ht="15" x14ac:dyDescent="0.25">
      <c r="A8388" s="4" t="s">
        <v>8386</v>
      </c>
      <c r="B8388" s="4" t="s">
        <v>4550</v>
      </c>
      <c r="C8388" s="2" t="str">
        <f ca="1">IFERROR(__xludf.DUMMYFUNCTION("GOOGLETRANSLATE(A8388,""bn"",""en"")"),"We wrote test cases")</f>
        <v>We wrote test cases</v>
      </c>
      <c r="D8388" s="5"/>
      <c r="E8388" s="5"/>
      <c r="F8388" s="5"/>
      <c r="G8388" s="5"/>
      <c r="H8388" s="5"/>
      <c r="I8388" s="5"/>
      <c r="J8388" s="5"/>
      <c r="K8388" s="5"/>
      <c r="L8388" s="5"/>
      <c r="M8388" s="5"/>
      <c r="N8388" s="5"/>
      <c r="O8388" s="5"/>
      <c r="P8388" s="5"/>
      <c r="Q8388" s="5"/>
      <c r="R8388" s="5"/>
      <c r="S8388" s="5"/>
      <c r="T8388" s="5"/>
      <c r="U8388" s="5"/>
      <c r="V8388" s="5"/>
      <c r="W8388" s="5"/>
      <c r="X8388" s="5"/>
      <c r="Y8388" s="5"/>
      <c r="Z8388" s="5"/>
    </row>
    <row r="8389" spans="1:26" ht="15" x14ac:dyDescent="0.25">
      <c r="A8389" s="4" t="s">
        <v>8387</v>
      </c>
      <c r="B8389" s="4" t="s">
        <v>4550</v>
      </c>
      <c r="C8389" s="2" t="str">
        <f ca="1">IFERROR(__xludf.DUMMYFUNCTION("GOOGLETRANSLATE(A8389,""bn"",""en"")"),"There was improvement in own production")</f>
        <v>There was improvement in own production</v>
      </c>
      <c r="D8389" s="5"/>
      <c r="E8389" s="5"/>
      <c r="F8389" s="5"/>
      <c r="G8389" s="5"/>
      <c r="H8389" s="5"/>
      <c r="I8389" s="5"/>
      <c r="J8389" s="5"/>
      <c r="K8389" s="5"/>
      <c r="L8389" s="5"/>
      <c r="M8389" s="5"/>
      <c r="N8389" s="5"/>
      <c r="O8389" s="5"/>
      <c r="P8389" s="5"/>
      <c r="Q8389" s="5"/>
      <c r="R8389" s="5"/>
      <c r="S8389" s="5"/>
      <c r="T8389" s="5"/>
      <c r="U8389" s="5"/>
      <c r="V8389" s="5"/>
      <c r="W8389" s="5"/>
      <c r="X8389" s="5"/>
      <c r="Y8389" s="5"/>
      <c r="Z8389" s="5"/>
    </row>
    <row r="8390" spans="1:26" ht="15" x14ac:dyDescent="0.25">
      <c r="A8390" s="4" t="s">
        <v>8388</v>
      </c>
      <c r="B8390" s="4" t="s">
        <v>4550</v>
      </c>
      <c r="C8390" s="2" t="str">
        <f ca="1">IFERROR(__xludf.DUMMYFUNCTION("GOOGLETRANSLATE(A8390,""bn"",""en"")"),"The government ensured security")</f>
        <v>The government ensured security</v>
      </c>
      <c r="D8390" s="5"/>
      <c r="E8390" s="5"/>
      <c r="F8390" s="5"/>
      <c r="G8390" s="5"/>
      <c r="H8390" s="5"/>
      <c r="I8390" s="5"/>
      <c r="J8390" s="5"/>
      <c r="K8390" s="5"/>
      <c r="L8390" s="5"/>
      <c r="M8390" s="5"/>
      <c r="N8390" s="5"/>
      <c r="O8390" s="5"/>
      <c r="P8390" s="5"/>
      <c r="Q8390" s="5"/>
      <c r="R8390" s="5"/>
      <c r="S8390" s="5"/>
      <c r="T8390" s="5"/>
      <c r="U8390" s="5"/>
      <c r="V8390" s="5"/>
      <c r="W8390" s="5"/>
      <c r="X8390" s="5"/>
      <c r="Y8390" s="5"/>
      <c r="Z8390" s="5"/>
    </row>
    <row r="8391" spans="1:26" ht="15" x14ac:dyDescent="0.25">
      <c r="A8391" s="4" t="s">
        <v>8389</v>
      </c>
      <c r="B8391" s="4" t="s">
        <v>4550</v>
      </c>
      <c r="C8391" s="2" t="str">
        <f ca="1">IFERROR(__xludf.DUMMYFUNCTION("GOOGLETRANSLATE(A8391,""bn"",""en"")"),"The market grew exponentially")</f>
        <v>The market grew exponentially</v>
      </c>
      <c r="D8391" s="5"/>
      <c r="E8391" s="5"/>
      <c r="F8391" s="5"/>
      <c r="G8391" s="5"/>
      <c r="H8391" s="5"/>
      <c r="I8391" s="5"/>
      <c r="J8391" s="5"/>
      <c r="K8391" s="5"/>
      <c r="L8391" s="5"/>
      <c r="M8391" s="5"/>
      <c r="N8391" s="5"/>
      <c r="O8391" s="5"/>
      <c r="P8391" s="5"/>
      <c r="Q8391" s="5"/>
      <c r="R8391" s="5"/>
      <c r="S8391" s="5"/>
      <c r="T8391" s="5"/>
      <c r="U8391" s="5"/>
      <c r="V8391" s="5"/>
      <c r="W8391" s="5"/>
      <c r="X8391" s="5"/>
      <c r="Y8391" s="5"/>
      <c r="Z8391" s="5"/>
    </row>
    <row r="8392" spans="1:26" ht="15" x14ac:dyDescent="0.25">
      <c r="A8392" s="4" t="s">
        <v>8390</v>
      </c>
      <c r="B8392" s="4" t="s">
        <v>4550</v>
      </c>
      <c r="C8392" s="2" t="str">
        <f ca="1">IFERROR(__xludf.DUMMYFUNCTION("GOOGLETRANSLATE(A8392,""bn"",""en"")"),"He accepted the statement of the representatives")</f>
        <v>He accepted the statement of the representatives</v>
      </c>
      <c r="D8392" s="5"/>
      <c r="E8392" s="5"/>
      <c r="F8392" s="5"/>
      <c r="G8392" s="5"/>
      <c r="H8392" s="5"/>
      <c r="I8392" s="5"/>
      <c r="J8392" s="5"/>
      <c r="K8392" s="5"/>
      <c r="L8392" s="5"/>
      <c r="M8392" s="5"/>
      <c r="N8392" s="5"/>
      <c r="O8392" s="5"/>
      <c r="P8392" s="5"/>
      <c r="Q8392" s="5"/>
      <c r="R8392" s="5"/>
      <c r="S8392" s="5"/>
      <c r="T8392" s="5"/>
      <c r="U8392" s="5"/>
      <c r="V8392" s="5"/>
      <c r="W8392" s="5"/>
      <c r="X8392" s="5"/>
      <c r="Y8392" s="5"/>
      <c r="Z8392" s="5"/>
    </row>
    <row r="8393" spans="1:26" ht="15" x14ac:dyDescent="0.25">
      <c r="A8393" s="4" t="s">
        <v>8391</v>
      </c>
      <c r="B8393" s="4" t="s">
        <v>4550</v>
      </c>
      <c r="C8393" s="2" t="str">
        <f ca="1">IFERROR(__xludf.DUMMYFUNCTION("GOOGLETRANSLATE(A8393,""bn"",""en"")"),"Capital fell last week")</f>
        <v>Capital fell last week</v>
      </c>
      <c r="D8393" s="5"/>
      <c r="E8393" s="5"/>
      <c r="F8393" s="5"/>
      <c r="G8393" s="5"/>
      <c r="H8393" s="5"/>
      <c r="I8393" s="5"/>
      <c r="J8393" s="5"/>
      <c r="K8393" s="5"/>
      <c r="L8393" s="5"/>
      <c r="M8393" s="5"/>
      <c r="N8393" s="5"/>
      <c r="O8393" s="5"/>
      <c r="P8393" s="5"/>
      <c r="Q8393" s="5"/>
      <c r="R8393" s="5"/>
      <c r="S8393" s="5"/>
      <c r="T8393" s="5"/>
      <c r="U8393" s="5"/>
      <c r="V8393" s="5"/>
      <c r="W8393" s="5"/>
      <c r="X8393" s="5"/>
      <c r="Y8393" s="5"/>
      <c r="Z8393" s="5"/>
    </row>
    <row r="8394" spans="1:26" ht="15" x14ac:dyDescent="0.25">
      <c r="A8394" s="4" t="s">
        <v>8392</v>
      </c>
      <c r="B8394" s="4" t="s">
        <v>4550</v>
      </c>
      <c r="C8394" s="2" t="str">
        <f ca="1">IFERROR(__xludf.DUMMYFUNCTION("GOOGLETRANSLATE(A8394,""bn"",""en"")"),"The share price rose in two days")</f>
        <v>The share price rose in two days</v>
      </c>
      <c r="D8394" s="5"/>
      <c r="E8394" s="5"/>
      <c r="F8394" s="5"/>
      <c r="G8394" s="5"/>
      <c r="H8394" s="5"/>
      <c r="I8394" s="5"/>
      <c r="J8394" s="5"/>
      <c r="K8394" s="5"/>
      <c r="L8394" s="5"/>
      <c r="M8394" s="5"/>
      <c r="N8394" s="5"/>
      <c r="O8394" s="5"/>
      <c r="P8394" s="5"/>
      <c r="Q8394" s="5"/>
      <c r="R8394" s="5"/>
      <c r="S8394" s="5"/>
      <c r="T8394" s="5"/>
      <c r="U8394" s="5"/>
      <c r="V8394" s="5"/>
      <c r="W8394" s="5"/>
      <c r="X8394" s="5"/>
      <c r="Y8394" s="5"/>
      <c r="Z8394" s="5"/>
    </row>
    <row r="8395" spans="1:26" ht="15" x14ac:dyDescent="0.25">
      <c r="A8395" s="4" t="s">
        <v>8393</v>
      </c>
      <c r="B8395" s="4" t="s">
        <v>4550</v>
      </c>
      <c r="C8395" s="2" t="str">
        <f ca="1">IFERROR(__xludf.DUMMYFUNCTION("GOOGLETRANSLATE(A8395,""bn"",""en"")"),"It was discussed in Parliament last month")</f>
        <v>It was discussed in Parliament last month</v>
      </c>
      <c r="D8395" s="5"/>
      <c r="E8395" s="5"/>
      <c r="F8395" s="5"/>
      <c r="G8395" s="5"/>
      <c r="H8395" s="5"/>
      <c r="I8395" s="5"/>
      <c r="J8395" s="5"/>
      <c r="K8395" s="5"/>
      <c r="L8395" s="5"/>
      <c r="M8395" s="5"/>
      <c r="N8395" s="5"/>
      <c r="O8395" s="5"/>
      <c r="P8395" s="5"/>
      <c r="Q8395" s="5"/>
      <c r="R8395" s="5"/>
      <c r="S8395" s="5"/>
      <c r="T8395" s="5"/>
      <c r="U8395" s="5"/>
      <c r="V8395" s="5"/>
      <c r="W8395" s="5"/>
      <c r="X8395" s="5"/>
      <c r="Y8395" s="5"/>
      <c r="Z8395" s="5"/>
    </row>
    <row r="8396" spans="1:26" ht="15" x14ac:dyDescent="0.25">
      <c r="A8396" s="4" t="s">
        <v>8394</v>
      </c>
      <c r="B8396" s="4" t="s">
        <v>4550</v>
      </c>
      <c r="C8396" s="2" t="str">
        <f ca="1">IFERROR(__xludf.DUMMYFUNCTION("GOOGLETRANSLATE(A8396,""bn"",""en"")"),"Cybersecurity was the key issue")</f>
        <v>Cybersecurity was the key issue</v>
      </c>
      <c r="D8396" s="5"/>
      <c r="E8396" s="5"/>
      <c r="F8396" s="5"/>
      <c r="G8396" s="5"/>
      <c r="H8396" s="5"/>
      <c r="I8396" s="5"/>
      <c r="J8396" s="5"/>
      <c r="K8396" s="5"/>
      <c r="L8396" s="5"/>
      <c r="M8396" s="5"/>
      <c r="N8396" s="5"/>
      <c r="O8396" s="5"/>
      <c r="P8396" s="5"/>
      <c r="Q8396" s="5"/>
      <c r="R8396" s="5"/>
      <c r="S8396" s="5"/>
      <c r="T8396" s="5"/>
      <c r="U8396" s="5"/>
      <c r="V8396" s="5"/>
      <c r="W8396" s="5"/>
      <c r="X8396" s="5"/>
      <c r="Y8396" s="5"/>
      <c r="Z8396" s="5"/>
    </row>
    <row r="8397" spans="1:26" ht="15" x14ac:dyDescent="0.25">
      <c r="A8397" s="4" t="s">
        <v>8395</v>
      </c>
      <c r="B8397" s="4" t="s">
        <v>4550</v>
      </c>
      <c r="C8397" s="2" t="str">
        <f ca="1">IFERROR(__xludf.DUMMYFUNCTION("GOOGLETRANSLATE(A8397,""bn"",""en"")"),"was making chicken kacchi")</f>
        <v>was making chicken kacchi</v>
      </c>
      <c r="D8397" s="5"/>
      <c r="E8397" s="5"/>
      <c r="F8397" s="5"/>
      <c r="G8397" s="5"/>
      <c r="H8397" s="5"/>
      <c r="I8397" s="5"/>
      <c r="J8397" s="5"/>
      <c r="K8397" s="5"/>
      <c r="L8397" s="5"/>
      <c r="M8397" s="5"/>
      <c r="N8397" s="5"/>
      <c r="O8397" s="5"/>
      <c r="P8397" s="5"/>
      <c r="Q8397" s="5"/>
      <c r="R8397" s="5"/>
      <c r="S8397" s="5"/>
      <c r="T8397" s="5"/>
      <c r="U8397" s="5"/>
      <c r="V8397" s="5"/>
      <c r="W8397" s="5"/>
      <c r="X8397" s="5"/>
      <c r="Y8397" s="5"/>
      <c r="Z8397" s="5"/>
    </row>
    <row r="8398" spans="1:26" ht="15" x14ac:dyDescent="0.25">
      <c r="A8398" s="4" t="s">
        <v>8396</v>
      </c>
      <c r="B8398" s="4" t="s">
        <v>4550</v>
      </c>
      <c r="C8398" s="2" t="str">
        <f ca="1">IFERROR(__xludf.DUMMYFUNCTION("GOOGLETRANSLATE(A8398,""bn"",""en"")"),"He watched romantic films")</f>
        <v>He watched romantic films</v>
      </c>
      <c r="D8398" s="5"/>
      <c r="E8398" s="5"/>
      <c r="F8398" s="5"/>
      <c r="G8398" s="5"/>
      <c r="H8398" s="5"/>
      <c r="I8398" s="5"/>
      <c r="J8398" s="5"/>
      <c r="K8398" s="5"/>
      <c r="L8398" s="5"/>
      <c r="M8398" s="5"/>
      <c r="N8398" s="5"/>
      <c r="O8398" s="5"/>
      <c r="P8398" s="5"/>
      <c r="Q8398" s="5"/>
      <c r="R8398" s="5"/>
      <c r="S8398" s="5"/>
      <c r="T8398" s="5"/>
      <c r="U8398" s="5"/>
      <c r="V8398" s="5"/>
      <c r="W8398" s="5"/>
      <c r="X8398" s="5"/>
      <c r="Y8398" s="5"/>
      <c r="Z8398" s="5"/>
    </row>
    <row r="8399" spans="1:26" ht="15" x14ac:dyDescent="0.25">
      <c r="A8399" s="4" t="s">
        <v>8397</v>
      </c>
      <c r="B8399" s="4" t="s">
        <v>4550</v>
      </c>
      <c r="C8399" s="2" t="str">
        <f ca="1">IFERROR(__xludf.DUMMYFUNCTION("GOOGLETRANSLATE(A8399,""bn"",""en"")"),"Partnership done efficiently")</f>
        <v>Partnership done efficiently</v>
      </c>
      <c r="D8399" s="5"/>
      <c r="E8399" s="5"/>
      <c r="F8399" s="5"/>
      <c r="G8399" s="5"/>
      <c r="H8399" s="5"/>
      <c r="I8399" s="5"/>
      <c r="J8399" s="5"/>
      <c r="K8399" s="5"/>
      <c r="L8399" s="5"/>
      <c r="M8399" s="5"/>
      <c r="N8399" s="5"/>
      <c r="O8399" s="5"/>
      <c r="P8399" s="5"/>
      <c r="Q8399" s="5"/>
      <c r="R8399" s="5"/>
      <c r="S8399" s="5"/>
      <c r="T8399" s="5"/>
      <c r="U8399" s="5"/>
      <c r="V8399" s="5"/>
      <c r="W8399" s="5"/>
      <c r="X8399" s="5"/>
      <c r="Y8399" s="5"/>
      <c r="Z8399" s="5"/>
    </row>
    <row r="8400" spans="1:26" ht="15" x14ac:dyDescent="0.25">
      <c r="A8400" s="4" t="s">
        <v>8398</v>
      </c>
      <c r="B8400" s="4" t="s">
        <v>4550</v>
      </c>
      <c r="C8400" s="2" t="str">
        <f ca="1">IFERROR(__xludf.DUMMYFUNCTION("GOOGLETRANSLATE(A8400,""bn"",""en"")"),"There were more projects on GitHub")</f>
        <v>There were more projects on GitHub</v>
      </c>
      <c r="D8400" s="5"/>
      <c r="E8400" s="5"/>
      <c r="F8400" s="5"/>
      <c r="G8400" s="5"/>
      <c r="H8400" s="5"/>
      <c r="I8400" s="5"/>
      <c r="J8400" s="5"/>
      <c r="K8400" s="5"/>
      <c r="L8400" s="5"/>
      <c r="M8400" s="5"/>
      <c r="N8400" s="5"/>
      <c r="O8400" s="5"/>
      <c r="P8400" s="5"/>
      <c r="Q8400" s="5"/>
      <c r="R8400" s="5"/>
      <c r="S8400" s="5"/>
      <c r="T8400" s="5"/>
      <c r="U8400" s="5"/>
      <c r="V8400" s="5"/>
      <c r="W8400" s="5"/>
      <c r="X8400" s="5"/>
      <c r="Y8400" s="5"/>
      <c r="Z8400" s="5"/>
    </row>
    <row r="8401" spans="1:26" ht="15" x14ac:dyDescent="0.25">
      <c r="A8401" s="4" t="s">
        <v>8399</v>
      </c>
      <c r="B8401" s="4" t="s">
        <v>4550</v>
      </c>
      <c r="C8401" s="2" t="str">
        <f ca="1">IFERROR(__xludf.DUMMYFUNCTION("GOOGLETRANSLATE(A8401,""bn"",""en"")"),"There was improvement in the field of education")</f>
        <v>There was improvement in the field of education</v>
      </c>
      <c r="D8401" s="5"/>
      <c r="E8401" s="5"/>
      <c r="F8401" s="5"/>
      <c r="G8401" s="5"/>
      <c r="H8401" s="5"/>
      <c r="I8401" s="5"/>
      <c r="J8401" s="5"/>
      <c r="K8401" s="5"/>
      <c r="L8401" s="5"/>
      <c r="M8401" s="5"/>
      <c r="N8401" s="5"/>
      <c r="O8401" s="5"/>
      <c r="P8401" s="5"/>
      <c r="Q8401" s="5"/>
      <c r="R8401" s="5"/>
      <c r="S8401" s="5"/>
      <c r="T8401" s="5"/>
      <c r="U8401" s="5"/>
      <c r="V8401" s="5"/>
      <c r="W8401" s="5"/>
      <c r="X8401" s="5"/>
      <c r="Y8401" s="5"/>
      <c r="Z8401" s="5"/>
    </row>
    <row r="8402" spans="1:26" ht="15" x14ac:dyDescent="0.25">
      <c r="A8402" s="4" t="s">
        <v>8400</v>
      </c>
      <c r="B8402" s="4" t="s">
        <v>4550</v>
      </c>
      <c r="C8402" s="2" t="str">
        <f ca="1">IFERROR(__xludf.DUMMYFUNCTION("GOOGLETRANSLATE(A8402,""bn"",""en"")"),"You were making chicken korma")</f>
        <v>You were making chicken korma</v>
      </c>
      <c r="D8402" s="5"/>
      <c r="E8402" s="5"/>
      <c r="F8402" s="5"/>
      <c r="G8402" s="5"/>
      <c r="H8402" s="5"/>
      <c r="I8402" s="5"/>
      <c r="J8402" s="5"/>
      <c r="K8402" s="5"/>
      <c r="L8402" s="5"/>
      <c r="M8402" s="5"/>
      <c r="N8402" s="5"/>
      <c r="O8402" s="5"/>
      <c r="P8402" s="5"/>
      <c r="Q8402" s="5"/>
      <c r="R8402" s="5"/>
      <c r="S8402" s="5"/>
      <c r="T8402" s="5"/>
      <c r="U8402" s="5"/>
      <c r="V8402" s="5"/>
      <c r="W8402" s="5"/>
      <c r="X8402" s="5"/>
      <c r="Y8402" s="5"/>
      <c r="Z8402" s="5"/>
    </row>
    <row r="8403" spans="1:26" ht="15" x14ac:dyDescent="0.25">
      <c r="A8403" s="4" t="s">
        <v>8401</v>
      </c>
      <c r="B8403" s="4" t="s">
        <v>4550</v>
      </c>
      <c r="C8403" s="2" t="str">
        <f ca="1">IFERROR(__xludf.DUMMYFUNCTION("GOOGLETRANSLATE(A8403,""bn"",""en"")"),"Journalists were looking for topics to discuss")</f>
        <v>Journalists were looking for topics to discuss</v>
      </c>
      <c r="D8403" s="5"/>
      <c r="E8403" s="5"/>
      <c r="F8403" s="5"/>
      <c r="G8403" s="5"/>
      <c r="H8403" s="5"/>
      <c r="I8403" s="5"/>
      <c r="J8403" s="5"/>
      <c r="K8403" s="5"/>
      <c r="L8403" s="5"/>
      <c r="M8403" s="5"/>
      <c r="N8403" s="5"/>
      <c r="O8403" s="5"/>
      <c r="P8403" s="5"/>
      <c r="Q8403" s="5"/>
      <c r="R8403" s="5"/>
      <c r="S8403" s="5"/>
      <c r="T8403" s="5"/>
      <c r="U8403" s="5"/>
      <c r="V8403" s="5"/>
      <c r="W8403" s="5"/>
      <c r="X8403" s="5"/>
      <c r="Y8403" s="5"/>
      <c r="Z8403" s="5"/>
    </row>
    <row r="8404" spans="1:26" ht="15" x14ac:dyDescent="0.25">
      <c r="A8404" s="4" t="s">
        <v>8402</v>
      </c>
      <c r="B8404" s="4" t="s">
        <v>4550</v>
      </c>
      <c r="C8404" s="2" t="str">
        <f ca="1">IFERROR(__xludf.DUMMYFUNCTION("GOOGLETRANSLATE(A8404,""bn"",""en"")"),"First got priority")</f>
        <v>First got priority</v>
      </c>
      <c r="D8404" s="5"/>
      <c r="E8404" s="5"/>
      <c r="F8404" s="5"/>
      <c r="G8404" s="5"/>
      <c r="H8404" s="5"/>
      <c r="I8404" s="5"/>
      <c r="J8404" s="5"/>
      <c r="K8404" s="5"/>
      <c r="L8404" s="5"/>
      <c r="M8404" s="5"/>
      <c r="N8404" s="5"/>
      <c r="O8404" s="5"/>
      <c r="P8404" s="5"/>
      <c r="Q8404" s="5"/>
      <c r="R8404" s="5"/>
      <c r="S8404" s="5"/>
      <c r="T8404" s="5"/>
      <c r="U8404" s="5"/>
      <c r="V8404" s="5"/>
      <c r="W8404" s="5"/>
      <c r="X8404" s="5"/>
      <c r="Y8404" s="5"/>
      <c r="Z8404" s="5"/>
    </row>
    <row r="8405" spans="1:26" ht="15" x14ac:dyDescent="0.25">
      <c r="A8405" s="4" t="s">
        <v>8403</v>
      </c>
      <c r="B8405" s="4" t="s">
        <v>4550</v>
      </c>
      <c r="C8405" s="2" t="str">
        <f ca="1">IFERROR(__xludf.DUMMYFUNCTION("GOOGLETRANSLATE(A8405,""bn"",""en"")"),"A celebration was held in the college")</f>
        <v>A celebration was held in the college</v>
      </c>
      <c r="D8405" s="5"/>
      <c r="E8405" s="5"/>
      <c r="F8405" s="5"/>
      <c r="G8405" s="5"/>
      <c r="H8405" s="5"/>
      <c r="I8405" s="5"/>
      <c r="J8405" s="5"/>
      <c r="K8405" s="5"/>
      <c r="L8405" s="5"/>
      <c r="M8405" s="5"/>
      <c r="N8405" s="5"/>
      <c r="O8405" s="5"/>
      <c r="P8405" s="5"/>
      <c r="Q8405" s="5"/>
      <c r="R8405" s="5"/>
      <c r="S8405" s="5"/>
      <c r="T8405" s="5"/>
      <c r="U8405" s="5"/>
      <c r="V8405" s="5"/>
      <c r="W8405" s="5"/>
      <c r="X8405" s="5"/>
      <c r="Y8405" s="5"/>
      <c r="Z8405" s="5"/>
    </row>
    <row r="8406" spans="1:26" ht="15" x14ac:dyDescent="0.25">
      <c r="A8406" s="4" t="s">
        <v>8404</v>
      </c>
      <c r="B8406" s="4" t="s">
        <v>4550</v>
      </c>
      <c r="C8406" s="2" t="str">
        <f ca="1">IFERROR(__xludf.DUMMYFUNCTION("GOOGLETRANSLATE(A8406,""bn"",""en"")"),"He watched the movie last week")</f>
        <v>He watched the movie last week</v>
      </c>
      <c r="D8406" s="5"/>
      <c r="E8406" s="5"/>
      <c r="F8406" s="5"/>
      <c r="G8406" s="5"/>
      <c r="H8406" s="5"/>
      <c r="I8406" s="5"/>
      <c r="J8406" s="5"/>
      <c r="K8406" s="5"/>
      <c r="L8406" s="5"/>
      <c r="M8406" s="5"/>
      <c r="N8406" s="5"/>
      <c r="O8406" s="5"/>
      <c r="P8406" s="5"/>
      <c r="Q8406" s="5"/>
      <c r="R8406" s="5"/>
      <c r="S8406" s="5"/>
      <c r="T8406" s="5"/>
      <c r="U8406" s="5"/>
      <c r="V8406" s="5"/>
      <c r="W8406" s="5"/>
      <c r="X8406" s="5"/>
      <c r="Y8406" s="5"/>
      <c r="Z8406" s="5"/>
    </row>
    <row r="8407" spans="1:26" ht="15" x14ac:dyDescent="0.25">
      <c r="A8407" s="4" t="s">
        <v>8405</v>
      </c>
      <c r="B8407" s="4" t="s">
        <v>4550</v>
      </c>
      <c r="C8407" s="2" t="str">
        <f ca="1">IFERROR(__xludf.DUMMYFUNCTION("GOOGLETRANSLATE(A8407,""bn"",""en"")"),"We were frying bread")</f>
        <v>We were frying bread</v>
      </c>
      <c r="D8407" s="5"/>
      <c r="E8407" s="5"/>
      <c r="F8407" s="5"/>
      <c r="G8407" s="5"/>
      <c r="H8407" s="5"/>
      <c r="I8407" s="5"/>
      <c r="J8407" s="5"/>
      <c r="K8407" s="5"/>
      <c r="L8407" s="5"/>
      <c r="M8407" s="5"/>
      <c r="N8407" s="5"/>
      <c r="O8407" s="5"/>
      <c r="P8407" s="5"/>
      <c r="Q8407" s="5"/>
      <c r="R8407" s="5"/>
      <c r="S8407" s="5"/>
      <c r="T8407" s="5"/>
      <c r="U8407" s="5"/>
      <c r="V8407" s="5"/>
      <c r="W8407" s="5"/>
      <c r="X8407" s="5"/>
      <c r="Y8407" s="5"/>
      <c r="Z8407" s="5"/>
    </row>
    <row r="8408" spans="1:26" ht="15" x14ac:dyDescent="0.25">
      <c r="A8408" s="4" t="s">
        <v>8406</v>
      </c>
      <c r="B8408" s="4" t="s">
        <v>4550</v>
      </c>
      <c r="C8408" s="2" t="str">
        <f ca="1">IFERROR(__xludf.DUMMYFUNCTION("GOOGLETRANSLATE(A8408,""bn"",""en"")"),"His portrait was painted last month")</f>
        <v>His portrait was painted last month</v>
      </c>
      <c r="D8408" s="5"/>
      <c r="E8408" s="5"/>
      <c r="F8408" s="5"/>
      <c r="G8408" s="5"/>
      <c r="H8408" s="5"/>
      <c r="I8408" s="5"/>
      <c r="J8408" s="5"/>
      <c r="K8408" s="5"/>
      <c r="L8408" s="5"/>
      <c r="M8408" s="5"/>
      <c r="N8408" s="5"/>
      <c r="O8408" s="5"/>
      <c r="P8408" s="5"/>
      <c r="Q8408" s="5"/>
      <c r="R8408" s="5"/>
      <c r="S8408" s="5"/>
      <c r="T8408" s="5"/>
      <c r="U8408" s="5"/>
      <c r="V8408" s="5"/>
      <c r="W8408" s="5"/>
      <c r="X8408" s="5"/>
      <c r="Y8408" s="5"/>
      <c r="Z8408" s="5"/>
    </row>
    <row r="8409" spans="1:26" ht="15" x14ac:dyDescent="0.25">
      <c r="A8409" s="4" t="s">
        <v>8407</v>
      </c>
      <c r="B8409" s="4" t="s">
        <v>4550</v>
      </c>
      <c r="C8409" s="2" t="str">
        <f ca="1">IFERROR(__xludf.DUMMYFUNCTION("GOOGLETRANSLATE(A8409,""bn"",""en"")"),"They read new poems")</f>
        <v>They read new poems</v>
      </c>
      <c r="D8409" s="5"/>
      <c r="E8409" s="5"/>
      <c r="F8409" s="5"/>
      <c r="G8409" s="5"/>
      <c r="H8409" s="5"/>
      <c r="I8409" s="5"/>
      <c r="J8409" s="5"/>
      <c r="K8409" s="5"/>
      <c r="L8409" s="5"/>
      <c r="M8409" s="5"/>
      <c r="N8409" s="5"/>
      <c r="O8409" s="5"/>
      <c r="P8409" s="5"/>
      <c r="Q8409" s="5"/>
      <c r="R8409" s="5"/>
      <c r="S8409" s="5"/>
      <c r="T8409" s="5"/>
      <c r="U8409" s="5"/>
      <c r="V8409" s="5"/>
      <c r="W8409" s="5"/>
      <c r="X8409" s="5"/>
      <c r="Y8409" s="5"/>
      <c r="Z8409" s="5"/>
    </row>
    <row r="8410" spans="1:26" ht="15" x14ac:dyDescent="0.25">
      <c r="A8410" s="4" t="s">
        <v>8408</v>
      </c>
      <c r="B8410" s="4" t="s">
        <v>4550</v>
      </c>
      <c r="C8410" s="2" t="str">
        <f ca="1">IFERROR(__xludf.DUMMYFUNCTION("GOOGLETRANSLATE(A8410,""bn"",""en"")"),"Elected in the meeting of Parliament")</f>
        <v>Elected in the meeting of Parliament</v>
      </c>
      <c r="D8410" s="5"/>
      <c r="E8410" s="5"/>
      <c r="F8410" s="5"/>
      <c r="G8410" s="5"/>
      <c r="H8410" s="5"/>
      <c r="I8410" s="5"/>
      <c r="J8410" s="5"/>
      <c r="K8410" s="5"/>
      <c r="L8410" s="5"/>
      <c r="M8410" s="5"/>
      <c r="N8410" s="5"/>
      <c r="O8410" s="5"/>
      <c r="P8410" s="5"/>
      <c r="Q8410" s="5"/>
      <c r="R8410" s="5"/>
      <c r="S8410" s="5"/>
      <c r="T8410" s="5"/>
      <c r="U8410" s="5"/>
      <c r="V8410" s="5"/>
      <c r="W8410" s="5"/>
      <c r="X8410" s="5"/>
      <c r="Y8410" s="5"/>
      <c r="Z8410" s="5"/>
    </row>
    <row r="8411" spans="1:26" ht="15" x14ac:dyDescent="0.25">
      <c r="A8411" s="4" t="s">
        <v>8409</v>
      </c>
      <c r="B8411" s="4" t="s">
        <v>4550</v>
      </c>
      <c r="C8411" s="2" t="str">
        <f ca="1">IFERROR(__xludf.DUMMYFUNCTION("GOOGLETRANSLATE(A8411,""bn"",""en"")"),"I used to see a picture a month")</f>
        <v>I used to see a picture a month</v>
      </c>
      <c r="D8411" s="5"/>
      <c r="E8411" s="5"/>
      <c r="F8411" s="5"/>
      <c r="G8411" s="5"/>
      <c r="H8411" s="5"/>
      <c r="I8411" s="5"/>
      <c r="J8411" s="5"/>
      <c r="K8411" s="5"/>
      <c r="L8411" s="5"/>
      <c r="M8411" s="5"/>
      <c r="N8411" s="5"/>
      <c r="O8411" s="5"/>
      <c r="P8411" s="5"/>
      <c r="Q8411" s="5"/>
      <c r="R8411" s="5"/>
      <c r="S8411" s="5"/>
      <c r="T8411" s="5"/>
      <c r="U8411" s="5"/>
      <c r="V8411" s="5"/>
      <c r="W8411" s="5"/>
      <c r="X8411" s="5"/>
      <c r="Y8411" s="5"/>
      <c r="Z8411" s="5"/>
    </row>
    <row r="8412" spans="1:26" ht="15" x14ac:dyDescent="0.25">
      <c r="A8412" s="4" t="s">
        <v>8410</v>
      </c>
      <c r="B8412" s="4" t="s">
        <v>4550</v>
      </c>
      <c r="C8412" s="2" t="str">
        <f ca="1">IFERROR(__xludf.DUMMYFUNCTION("GOOGLETRANSLATE(A8412,""bn"",""en"")"),"Investments were made in valuable projects")</f>
        <v>Investments were made in valuable projects</v>
      </c>
      <c r="D8412" s="5"/>
      <c r="E8412" s="5"/>
      <c r="F8412" s="5"/>
      <c r="G8412" s="5"/>
      <c r="H8412" s="5"/>
      <c r="I8412" s="5"/>
      <c r="J8412" s="5"/>
      <c r="K8412" s="5"/>
      <c r="L8412" s="5"/>
      <c r="M8412" s="5"/>
      <c r="N8412" s="5"/>
      <c r="O8412" s="5"/>
      <c r="P8412" s="5"/>
      <c r="Q8412" s="5"/>
      <c r="R8412" s="5"/>
      <c r="S8412" s="5"/>
      <c r="T8412" s="5"/>
      <c r="U8412" s="5"/>
      <c r="V8412" s="5"/>
      <c r="W8412" s="5"/>
      <c r="X8412" s="5"/>
      <c r="Y8412" s="5"/>
      <c r="Z8412" s="5"/>
    </row>
    <row r="8413" spans="1:26" ht="15" x14ac:dyDescent="0.25">
      <c r="A8413" s="4" t="s">
        <v>8411</v>
      </c>
      <c r="B8413" s="4" t="s">
        <v>4550</v>
      </c>
      <c r="C8413" s="2" t="str">
        <f ca="1">IFERROR(__xludf.DUMMYFUNCTION("GOOGLETRANSLATE(A8413,""bn"",""en"")"),"Hourly news was being broadcast")</f>
        <v>Hourly news was being broadcast</v>
      </c>
      <c r="D8413" s="5"/>
      <c r="E8413" s="5"/>
      <c r="F8413" s="5"/>
      <c r="G8413" s="5"/>
      <c r="H8413" s="5"/>
      <c r="I8413" s="5"/>
      <c r="J8413" s="5"/>
      <c r="K8413" s="5"/>
      <c r="L8413" s="5"/>
      <c r="M8413" s="5"/>
      <c r="N8413" s="5"/>
      <c r="O8413" s="5"/>
      <c r="P8413" s="5"/>
      <c r="Q8413" s="5"/>
      <c r="R8413" s="5"/>
      <c r="S8413" s="5"/>
      <c r="T8413" s="5"/>
      <c r="U8413" s="5"/>
      <c r="V8413" s="5"/>
      <c r="W8413" s="5"/>
      <c r="X8413" s="5"/>
      <c r="Y8413" s="5"/>
      <c r="Z8413" s="5"/>
    </row>
    <row r="8414" spans="1:26" ht="15" x14ac:dyDescent="0.25">
      <c r="A8414" s="4" t="s">
        <v>8412</v>
      </c>
      <c r="B8414" s="4" t="s">
        <v>4550</v>
      </c>
      <c r="C8414" s="2" t="str">
        <f ca="1">IFERROR(__xludf.DUMMYFUNCTION("GOOGLETRANSLATE(A8414,""bn"",""en"")"),"They had to study in the past")</f>
        <v>They had to study in the past</v>
      </c>
      <c r="D8414" s="5"/>
      <c r="E8414" s="5"/>
      <c r="F8414" s="5"/>
      <c r="G8414" s="5"/>
      <c r="H8414" s="5"/>
      <c r="I8414" s="5"/>
      <c r="J8414" s="5"/>
      <c r="K8414" s="5"/>
      <c r="L8414" s="5"/>
      <c r="M8414" s="5"/>
      <c r="N8414" s="5"/>
      <c r="O8414" s="5"/>
      <c r="P8414" s="5"/>
      <c r="Q8414" s="5"/>
      <c r="R8414" s="5"/>
      <c r="S8414" s="5"/>
      <c r="T8414" s="5"/>
      <c r="U8414" s="5"/>
      <c r="V8414" s="5"/>
      <c r="W8414" s="5"/>
      <c r="X8414" s="5"/>
      <c r="Y8414" s="5"/>
      <c r="Z8414" s="5"/>
    </row>
    <row r="8415" spans="1:26" ht="15" x14ac:dyDescent="0.25">
      <c r="A8415" s="4" t="s">
        <v>8413</v>
      </c>
      <c r="B8415" s="4" t="s">
        <v>4550</v>
      </c>
      <c r="C8415" s="2" t="str">
        <f ca="1">IFERROR(__xludf.DUMMYFUNCTION("GOOGLETRANSLATE(A8415,""bn"",""en"")"),"Board Exams are given")</f>
        <v>Board Exams are given</v>
      </c>
      <c r="D8415" s="5"/>
      <c r="E8415" s="5"/>
      <c r="F8415" s="5"/>
      <c r="G8415" s="5"/>
      <c r="H8415" s="5"/>
      <c r="I8415" s="5"/>
      <c r="J8415" s="5"/>
      <c r="K8415" s="5"/>
      <c r="L8415" s="5"/>
      <c r="M8415" s="5"/>
      <c r="N8415" s="5"/>
      <c r="O8415" s="5"/>
      <c r="P8415" s="5"/>
      <c r="Q8415" s="5"/>
      <c r="R8415" s="5"/>
      <c r="S8415" s="5"/>
      <c r="T8415" s="5"/>
      <c r="U8415" s="5"/>
      <c r="V8415" s="5"/>
      <c r="W8415" s="5"/>
      <c r="X8415" s="5"/>
      <c r="Y8415" s="5"/>
      <c r="Z8415" s="5"/>
    </row>
    <row r="8416" spans="1:26" ht="15" x14ac:dyDescent="0.25">
      <c r="A8416" s="4" t="s">
        <v>8414</v>
      </c>
      <c r="B8416" s="4" t="s">
        <v>4550</v>
      </c>
      <c r="C8416" s="2" t="str">
        <f ca="1">IFERROR(__xludf.DUMMYFUNCTION("GOOGLETRANSLATE(A8416,""bn"",""en"")"),"Milky was making tea")</f>
        <v>Milky was making tea</v>
      </c>
      <c r="D8416" s="5"/>
      <c r="E8416" s="5"/>
      <c r="F8416" s="5"/>
      <c r="G8416" s="5"/>
      <c r="H8416" s="5"/>
      <c r="I8416" s="5"/>
      <c r="J8416" s="5"/>
      <c r="K8416" s="5"/>
      <c r="L8416" s="5"/>
      <c r="M8416" s="5"/>
      <c r="N8416" s="5"/>
      <c r="O8416" s="5"/>
      <c r="P8416" s="5"/>
      <c r="Q8416" s="5"/>
      <c r="R8416" s="5"/>
      <c r="S8416" s="5"/>
      <c r="T8416" s="5"/>
      <c r="U8416" s="5"/>
      <c r="V8416" s="5"/>
      <c r="W8416" s="5"/>
      <c r="X8416" s="5"/>
      <c r="Y8416" s="5"/>
      <c r="Z8416" s="5"/>
    </row>
    <row r="8417" spans="1:26" ht="15" x14ac:dyDescent="0.25">
      <c r="A8417" s="4" t="s">
        <v>8415</v>
      </c>
      <c r="B8417" s="4" t="s">
        <v>4550</v>
      </c>
      <c r="C8417" s="2" t="str">
        <f ca="1">IFERROR(__xludf.DUMMYFUNCTION("GOOGLETRANSLATE(A8417,""bn"",""en"")"),"You read all the books")</f>
        <v>You read all the books</v>
      </c>
      <c r="D8417" s="5"/>
      <c r="E8417" s="5"/>
      <c r="F8417" s="5"/>
      <c r="G8417" s="5"/>
      <c r="H8417" s="5"/>
      <c r="I8417" s="5"/>
      <c r="J8417" s="5"/>
      <c r="K8417" s="5"/>
      <c r="L8417" s="5"/>
      <c r="M8417" s="5"/>
      <c r="N8417" s="5"/>
      <c r="O8417" s="5"/>
      <c r="P8417" s="5"/>
      <c r="Q8417" s="5"/>
      <c r="R8417" s="5"/>
      <c r="S8417" s="5"/>
      <c r="T8417" s="5"/>
      <c r="U8417" s="5"/>
      <c r="V8417" s="5"/>
      <c r="W8417" s="5"/>
      <c r="X8417" s="5"/>
      <c r="Y8417" s="5"/>
      <c r="Z8417" s="5"/>
    </row>
    <row r="8418" spans="1:26" ht="15" x14ac:dyDescent="0.25">
      <c r="A8418" s="4" t="s">
        <v>8416</v>
      </c>
      <c r="B8418" s="4" t="s">
        <v>4550</v>
      </c>
      <c r="C8418" s="2" t="str">
        <f ca="1">IFERROR(__xludf.DUMMYFUNCTION("GOOGLETRANSLATE(A8418,""bn"",""en"")"),"Visited the ancient temple")</f>
        <v>Visited the ancient temple</v>
      </c>
      <c r="D8418" s="5"/>
      <c r="E8418" s="5"/>
      <c r="F8418" s="5"/>
      <c r="G8418" s="5"/>
      <c r="H8418" s="5"/>
      <c r="I8418" s="5"/>
      <c r="J8418" s="5"/>
      <c r="K8418" s="5"/>
      <c r="L8418" s="5"/>
      <c r="M8418" s="5"/>
      <c r="N8418" s="5"/>
      <c r="O8418" s="5"/>
      <c r="P8418" s="5"/>
      <c r="Q8418" s="5"/>
      <c r="R8418" s="5"/>
      <c r="S8418" s="5"/>
      <c r="T8418" s="5"/>
      <c r="U8418" s="5"/>
      <c r="V8418" s="5"/>
      <c r="W8418" s="5"/>
      <c r="X8418" s="5"/>
      <c r="Y8418" s="5"/>
      <c r="Z8418" s="5"/>
    </row>
    <row r="8419" spans="1:26" ht="15" x14ac:dyDescent="0.25">
      <c r="A8419" s="4" t="s">
        <v>8417</v>
      </c>
      <c r="B8419" s="4" t="s">
        <v>4550</v>
      </c>
      <c r="C8419" s="2" t="str">
        <f ca="1">IFERROR(__xludf.DUMMYFUNCTION("GOOGLETRANSLATE(A8419,""bn"",""en"")"),"I was following technology trends")</f>
        <v>I was following technology trends</v>
      </c>
      <c r="D8419" s="5"/>
      <c r="E8419" s="5"/>
      <c r="F8419" s="5"/>
      <c r="G8419" s="5"/>
      <c r="H8419" s="5"/>
      <c r="I8419" s="5"/>
      <c r="J8419" s="5"/>
      <c r="K8419" s="5"/>
      <c r="L8419" s="5"/>
      <c r="M8419" s="5"/>
      <c r="N8419" s="5"/>
      <c r="O8419" s="5"/>
      <c r="P8419" s="5"/>
      <c r="Q8419" s="5"/>
      <c r="R8419" s="5"/>
      <c r="S8419" s="5"/>
      <c r="T8419" s="5"/>
      <c r="U8419" s="5"/>
      <c r="V8419" s="5"/>
      <c r="W8419" s="5"/>
      <c r="X8419" s="5"/>
      <c r="Y8419" s="5"/>
      <c r="Z8419" s="5"/>
    </row>
    <row r="8420" spans="1:26" ht="15" x14ac:dyDescent="0.25">
      <c r="A8420" s="4" t="s">
        <v>8418</v>
      </c>
      <c r="B8420" s="4" t="s">
        <v>4550</v>
      </c>
      <c r="C8420" s="2" t="str">
        <f ca="1">IFERROR(__xludf.DUMMYFUNCTION("GOOGLETRANSLATE(A8420,""bn"",""en"")"),"The movie was appreciated")</f>
        <v>The movie was appreciated</v>
      </c>
      <c r="D8420" s="5"/>
      <c r="E8420" s="5"/>
      <c r="F8420" s="5"/>
      <c r="G8420" s="5"/>
      <c r="H8420" s="5"/>
      <c r="I8420" s="5"/>
      <c r="J8420" s="5"/>
      <c r="K8420" s="5"/>
      <c r="L8420" s="5"/>
      <c r="M8420" s="5"/>
      <c r="N8420" s="5"/>
      <c r="O8420" s="5"/>
      <c r="P8420" s="5"/>
      <c r="Q8420" s="5"/>
      <c r="R8420" s="5"/>
      <c r="S8420" s="5"/>
      <c r="T8420" s="5"/>
      <c r="U8420" s="5"/>
      <c r="V8420" s="5"/>
      <c r="W8420" s="5"/>
      <c r="X8420" s="5"/>
      <c r="Y8420" s="5"/>
      <c r="Z8420" s="5"/>
    </row>
    <row r="8421" spans="1:26" ht="15" x14ac:dyDescent="0.25">
      <c r="A8421" s="4" t="s">
        <v>8419</v>
      </c>
      <c r="B8421" s="4" t="s">
        <v>4550</v>
      </c>
      <c r="C8421" s="2" t="str">
        <f ca="1">IFERROR(__xludf.DUMMYFUNCTION("GOOGLETRANSLATE(A8421,""bn"",""en"")"),"Dances were held at retirement")</f>
        <v>Dances were held at retirement</v>
      </c>
      <c r="D8421" s="5"/>
      <c r="E8421" s="5"/>
      <c r="F8421" s="5"/>
      <c r="G8421" s="5"/>
      <c r="H8421" s="5"/>
      <c r="I8421" s="5"/>
      <c r="J8421" s="5"/>
      <c r="K8421" s="5"/>
      <c r="L8421" s="5"/>
      <c r="M8421" s="5"/>
      <c r="N8421" s="5"/>
      <c r="O8421" s="5"/>
      <c r="P8421" s="5"/>
      <c r="Q8421" s="5"/>
      <c r="R8421" s="5"/>
      <c r="S8421" s="5"/>
      <c r="T8421" s="5"/>
      <c r="U8421" s="5"/>
      <c r="V8421" s="5"/>
      <c r="W8421" s="5"/>
      <c r="X8421" s="5"/>
      <c r="Y8421" s="5"/>
      <c r="Z8421" s="5"/>
    </row>
    <row r="8422" spans="1:26" ht="15" x14ac:dyDescent="0.25">
      <c r="A8422" s="4" t="s">
        <v>8420</v>
      </c>
      <c r="B8422" s="4" t="s">
        <v>4550</v>
      </c>
      <c r="C8422" s="2" t="str">
        <f ca="1">IFERROR(__xludf.DUMMYFUNCTION("GOOGLETRANSLATE(A8422,""bn"",""en"")"),"Islamic music played during Ramadan")</f>
        <v>Islamic music played during Ramadan</v>
      </c>
      <c r="D8422" s="5"/>
      <c r="E8422" s="5"/>
      <c r="F8422" s="5"/>
      <c r="G8422" s="5"/>
      <c r="H8422" s="5"/>
      <c r="I8422" s="5"/>
      <c r="J8422" s="5"/>
      <c r="K8422" s="5"/>
      <c r="L8422" s="5"/>
      <c r="M8422" s="5"/>
      <c r="N8422" s="5"/>
      <c r="O8422" s="5"/>
      <c r="P8422" s="5"/>
      <c r="Q8422" s="5"/>
      <c r="R8422" s="5"/>
      <c r="S8422" s="5"/>
      <c r="T8422" s="5"/>
      <c r="U8422" s="5"/>
      <c r="V8422" s="5"/>
      <c r="W8422" s="5"/>
      <c r="X8422" s="5"/>
      <c r="Y8422" s="5"/>
      <c r="Z8422" s="5"/>
    </row>
    <row r="8423" spans="1:26" ht="15" x14ac:dyDescent="0.25">
      <c r="A8423" s="4" t="s">
        <v>8421</v>
      </c>
      <c r="B8423" s="4" t="s">
        <v>4550</v>
      </c>
      <c r="C8423" s="2" t="str">
        <f ca="1">IFERROR(__xludf.DUMMYFUNCTION("GOOGLETRANSLATE(A8423,""bn"",""en"")"),"He used an e-reader")</f>
        <v>He used an e-reader</v>
      </c>
      <c r="D8423" s="5"/>
      <c r="E8423" s="5"/>
      <c r="F8423" s="5"/>
      <c r="G8423" s="5"/>
      <c r="H8423" s="5"/>
      <c r="I8423" s="5"/>
      <c r="J8423" s="5"/>
      <c r="K8423" s="5"/>
      <c r="L8423" s="5"/>
      <c r="M8423" s="5"/>
      <c r="N8423" s="5"/>
      <c r="O8423" s="5"/>
      <c r="P8423" s="5"/>
      <c r="Q8423" s="5"/>
      <c r="R8423" s="5"/>
      <c r="S8423" s="5"/>
      <c r="T8423" s="5"/>
      <c r="U8423" s="5"/>
      <c r="V8423" s="5"/>
      <c r="W8423" s="5"/>
      <c r="X8423" s="5"/>
      <c r="Y8423" s="5"/>
      <c r="Z8423" s="5"/>
    </row>
    <row r="8424" spans="1:26" ht="15" x14ac:dyDescent="0.25">
      <c r="A8424" s="4" t="s">
        <v>8422</v>
      </c>
      <c r="B8424" s="4" t="s">
        <v>4550</v>
      </c>
      <c r="C8424" s="2" t="str">
        <f ca="1">IFERROR(__xludf.DUMMYFUNCTION("GOOGLETRANSLATE(A8424,""bn"",""en"")"),"Stayed in the hotel for the first week")</f>
        <v>Stayed in the hotel for the first week</v>
      </c>
      <c r="D8424" s="5"/>
      <c r="E8424" s="5"/>
      <c r="F8424" s="5"/>
      <c r="G8424" s="5"/>
      <c r="H8424" s="5"/>
      <c r="I8424" s="5"/>
      <c r="J8424" s="5"/>
      <c r="K8424" s="5"/>
      <c r="L8424" s="5"/>
      <c r="M8424" s="5"/>
      <c r="N8424" s="5"/>
      <c r="O8424" s="5"/>
      <c r="P8424" s="5"/>
      <c r="Q8424" s="5"/>
      <c r="R8424" s="5"/>
      <c r="S8424" s="5"/>
      <c r="T8424" s="5"/>
      <c r="U8424" s="5"/>
      <c r="V8424" s="5"/>
      <c r="W8424" s="5"/>
      <c r="X8424" s="5"/>
      <c r="Y8424" s="5"/>
      <c r="Z8424" s="5"/>
    </row>
    <row r="8425" spans="1:26" ht="15" x14ac:dyDescent="0.25">
      <c r="A8425" s="4" t="s">
        <v>8423</v>
      </c>
      <c r="B8425" s="4" t="s">
        <v>4550</v>
      </c>
      <c r="C8425" s="2" t="str">
        <f ca="1">IFERROR(__xludf.DUMMYFUNCTION("GOOGLETRANSLATE(A8425,""bn"",""en"")"),"They ate pieces of fish")</f>
        <v>They ate pieces of fish</v>
      </c>
      <c r="D8425" s="5"/>
      <c r="E8425" s="5"/>
      <c r="F8425" s="5"/>
      <c r="G8425" s="5"/>
      <c r="H8425" s="5"/>
      <c r="I8425" s="5"/>
      <c r="J8425" s="5"/>
      <c r="K8425" s="5"/>
      <c r="L8425" s="5"/>
      <c r="M8425" s="5"/>
      <c r="N8425" s="5"/>
      <c r="O8425" s="5"/>
      <c r="P8425" s="5"/>
      <c r="Q8425" s="5"/>
      <c r="R8425" s="5"/>
      <c r="S8425" s="5"/>
      <c r="T8425" s="5"/>
      <c r="U8425" s="5"/>
      <c r="V8425" s="5"/>
      <c r="W8425" s="5"/>
      <c r="X8425" s="5"/>
      <c r="Y8425" s="5"/>
      <c r="Z8425" s="5"/>
    </row>
    <row r="8426" spans="1:26" ht="15" x14ac:dyDescent="0.25">
      <c r="A8426" s="4" t="s">
        <v>8424</v>
      </c>
      <c r="B8426" s="4" t="s">
        <v>4550</v>
      </c>
      <c r="C8426" s="2" t="str">
        <f ca="1">IFERROR(__xludf.DUMMYFUNCTION("GOOGLETRANSLATE(A8426,""bn"",""en"")"),"Already received the new tablet")</f>
        <v>Already received the new tablet</v>
      </c>
      <c r="D8426" s="5"/>
      <c r="E8426" s="5"/>
      <c r="F8426" s="5"/>
      <c r="G8426" s="5"/>
      <c r="H8426" s="5"/>
      <c r="I8426" s="5"/>
      <c r="J8426" s="5"/>
      <c r="K8426" s="5"/>
      <c r="L8426" s="5"/>
      <c r="M8426" s="5"/>
      <c r="N8426" s="5"/>
      <c r="O8426" s="5"/>
      <c r="P8426" s="5"/>
      <c r="Q8426" s="5"/>
      <c r="R8426" s="5"/>
      <c r="S8426" s="5"/>
      <c r="T8426" s="5"/>
      <c r="U8426" s="5"/>
      <c r="V8426" s="5"/>
      <c r="W8426" s="5"/>
      <c r="X8426" s="5"/>
      <c r="Y8426" s="5"/>
      <c r="Z8426" s="5"/>
    </row>
    <row r="8427" spans="1:26" ht="15" x14ac:dyDescent="0.25">
      <c r="A8427" s="4" t="s">
        <v>8425</v>
      </c>
      <c r="B8427" s="4" t="s">
        <v>4550</v>
      </c>
      <c r="C8427" s="2" t="str">
        <f ca="1">IFERROR(__xludf.DUMMYFUNCTION("GOOGLETRANSLATE(A8427,""bn"",""en"")"),"Bowling skillfully")</f>
        <v>Bowling skillfully</v>
      </c>
      <c r="D8427" s="5"/>
      <c r="E8427" s="5"/>
      <c r="F8427" s="5"/>
      <c r="G8427" s="5"/>
      <c r="H8427" s="5"/>
      <c r="I8427" s="5"/>
      <c r="J8427" s="5"/>
      <c r="K8427" s="5"/>
      <c r="L8427" s="5"/>
      <c r="M8427" s="5"/>
      <c r="N8427" s="5"/>
      <c r="O8427" s="5"/>
      <c r="P8427" s="5"/>
      <c r="Q8427" s="5"/>
      <c r="R8427" s="5"/>
      <c r="S8427" s="5"/>
      <c r="T8427" s="5"/>
      <c r="U8427" s="5"/>
      <c r="V8427" s="5"/>
      <c r="W8427" s="5"/>
      <c r="X8427" s="5"/>
      <c r="Y8427" s="5"/>
      <c r="Z8427" s="5"/>
    </row>
    <row r="8428" spans="1:26" ht="15" x14ac:dyDescent="0.25">
      <c r="A8428" s="4" t="s">
        <v>8426</v>
      </c>
      <c r="B8428" s="4" t="s">
        <v>4550</v>
      </c>
      <c r="C8428" s="2" t="str">
        <f ca="1">IFERROR(__xludf.DUMMYFUNCTION("GOOGLETRANSLATE(A8428,""bn"",""en"")"),"He saw the film in Calcutta")</f>
        <v>He saw the film in Calcutta</v>
      </c>
      <c r="D8428" s="5"/>
      <c r="E8428" s="5"/>
      <c r="F8428" s="5"/>
      <c r="G8428" s="5"/>
      <c r="H8428" s="5"/>
      <c r="I8428" s="5"/>
      <c r="J8428" s="5"/>
      <c r="K8428" s="5"/>
      <c r="L8428" s="5"/>
      <c r="M8428" s="5"/>
      <c r="N8428" s="5"/>
      <c r="O8428" s="5"/>
      <c r="P8428" s="5"/>
      <c r="Q8428" s="5"/>
      <c r="R8428" s="5"/>
      <c r="S8428" s="5"/>
      <c r="T8428" s="5"/>
      <c r="U8428" s="5"/>
      <c r="V8428" s="5"/>
      <c r="W8428" s="5"/>
      <c r="X8428" s="5"/>
      <c r="Y8428" s="5"/>
      <c r="Z8428" s="5"/>
    </row>
    <row r="8429" spans="1:26" ht="15" x14ac:dyDescent="0.25">
      <c r="A8429" s="4" t="s">
        <v>8427</v>
      </c>
      <c r="B8429" s="4" t="s">
        <v>4550</v>
      </c>
      <c r="C8429" s="2" t="str">
        <f ca="1">IFERROR(__xludf.DUMMYFUNCTION("GOOGLETRANSLATE(A8429,""bn"",""en"")"),"Production ceased in the month")</f>
        <v>Production ceased in the month</v>
      </c>
      <c r="D8429" s="5"/>
      <c r="E8429" s="5"/>
      <c r="F8429" s="5"/>
      <c r="G8429" s="5"/>
      <c r="H8429" s="5"/>
      <c r="I8429" s="5"/>
      <c r="J8429" s="5"/>
      <c r="K8429" s="5"/>
      <c r="L8429" s="5"/>
      <c r="M8429" s="5"/>
      <c r="N8429" s="5"/>
      <c r="O8429" s="5"/>
      <c r="P8429" s="5"/>
      <c r="Q8429" s="5"/>
      <c r="R8429" s="5"/>
      <c r="S8429" s="5"/>
      <c r="T8429" s="5"/>
      <c r="U8429" s="5"/>
      <c r="V8429" s="5"/>
      <c r="W8429" s="5"/>
      <c r="X8429" s="5"/>
      <c r="Y8429" s="5"/>
      <c r="Z8429" s="5"/>
    </row>
    <row r="8430" spans="1:26" ht="15" x14ac:dyDescent="0.25">
      <c r="A8430" s="4" t="s">
        <v>8428</v>
      </c>
      <c r="B8430" s="4" t="s">
        <v>4550</v>
      </c>
      <c r="C8430" s="2" t="str">
        <f ca="1">IFERROR(__xludf.DUMMYFUNCTION("GOOGLETRANSLATE(A8430,""bn"",""en"")"),"Frying on eggs")</f>
        <v>Frying on eggs</v>
      </c>
      <c r="D8430" s="5"/>
      <c r="E8430" s="5"/>
      <c r="F8430" s="5"/>
      <c r="G8430" s="5"/>
      <c r="H8430" s="5"/>
      <c r="I8430" s="5"/>
      <c r="J8430" s="5"/>
      <c r="K8430" s="5"/>
      <c r="L8430" s="5"/>
      <c r="M8430" s="5"/>
      <c r="N8430" s="5"/>
      <c r="O8430" s="5"/>
      <c r="P8430" s="5"/>
      <c r="Q8430" s="5"/>
      <c r="R8430" s="5"/>
      <c r="S8430" s="5"/>
      <c r="T8430" s="5"/>
      <c r="U8430" s="5"/>
      <c r="V8430" s="5"/>
      <c r="W8430" s="5"/>
      <c r="X8430" s="5"/>
      <c r="Y8430" s="5"/>
      <c r="Z8430" s="5"/>
    </row>
    <row r="8431" spans="1:26" ht="15" x14ac:dyDescent="0.25">
      <c r="A8431" s="4" t="s">
        <v>8429</v>
      </c>
      <c r="B8431" s="4" t="s">
        <v>4550</v>
      </c>
      <c r="C8431" s="2" t="str">
        <f ca="1">IFERROR(__xludf.DUMMYFUNCTION("GOOGLETRANSLATE(A8431,""bn"",""en"")"),"There was growth in the field of research")</f>
        <v>There was growth in the field of research</v>
      </c>
      <c r="D8431" s="5"/>
      <c r="E8431" s="5"/>
      <c r="F8431" s="5"/>
      <c r="G8431" s="5"/>
      <c r="H8431" s="5"/>
      <c r="I8431" s="5"/>
      <c r="J8431" s="5"/>
      <c r="K8431" s="5"/>
      <c r="L8431" s="5"/>
      <c r="M8431" s="5"/>
      <c r="N8431" s="5"/>
      <c r="O8431" s="5"/>
      <c r="P8431" s="5"/>
      <c r="Q8431" s="5"/>
      <c r="R8431" s="5"/>
      <c r="S8431" s="5"/>
      <c r="T8431" s="5"/>
      <c r="U8431" s="5"/>
      <c r="V8431" s="5"/>
      <c r="W8431" s="5"/>
      <c r="X8431" s="5"/>
      <c r="Y8431" s="5"/>
      <c r="Z8431" s="5"/>
    </row>
    <row r="8432" spans="1:26" ht="15" x14ac:dyDescent="0.25">
      <c r="A8432" s="4" t="s">
        <v>8430</v>
      </c>
      <c r="B8432" s="4" t="s">
        <v>4550</v>
      </c>
      <c r="C8432" s="2" t="str">
        <f ca="1">IFERROR(__xludf.DUMMYFUNCTION("GOOGLETRANSLATE(A8432,""bn"",""en"")"),"The project was completed")</f>
        <v>The project was completed</v>
      </c>
      <c r="D8432" s="5"/>
      <c r="E8432" s="5"/>
      <c r="F8432" s="5"/>
      <c r="G8432" s="5"/>
      <c r="H8432" s="5"/>
      <c r="I8432" s="5"/>
      <c r="J8432" s="5"/>
      <c r="K8432" s="5"/>
      <c r="L8432" s="5"/>
      <c r="M8432" s="5"/>
      <c r="N8432" s="5"/>
      <c r="O8432" s="5"/>
      <c r="P8432" s="5"/>
      <c r="Q8432" s="5"/>
      <c r="R8432" s="5"/>
      <c r="S8432" s="5"/>
      <c r="T8432" s="5"/>
      <c r="U8432" s="5"/>
      <c r="V8432" s="5"/>
      <c r="W8432" s="5"/>
      <c r="X8432" s="5"/>
      <c r="Y8432" s="5"/>
      <c r="Z8432" s="5"/>
    </row>
    <row r="8433" spans="1:26" ht="15" x14ac:dyDescent="0.25">
      <c r="A8433" s="4" t="s">
        <v>8431</v>
      </c>
      <c r="B8433" s="4" t="s">
        <v>4550</v>
      </c>
      <c r="C8433" s="2" t="str">
        <f ca="1">IFERROR(__xludf.DUMMYFUNCTION("GOOGLETRANSLATE(A8433,""bn"",""en"")"),"They were showing pictures")</f>
        <v>They were showing pictures</v>
      </c>
      <c r="D8433" s="5"/>
      <c r="E8433" s="5"/>
      <c r="F8433" s="5"/>
      <c r="G8433" s="5"/>
      <c r="H8433" s="5"/>
      <c r="I8433" s="5"/>
      <c r="J8433" s="5"/>
      <c r="K8433" s="5"/>
      <c r="L8433" s="5"/>
      <c r="M8433" s="5"/>
      <c r="N8433" s="5"/>
      <c r="O8433" s="5"/>
      <c r="P8433" s="5"/>
      <c r="Q8433" s="5"/>
      <c r="R8433" s="5"/>
      <c r="S8433" s="5"/>
      <c r="T8433" s="5"/>
      <c r="U8433" s="5"/>
      <c r="V8433" s="5"/>
      <c r="W8433" s="5"/>
      <c r="X8433" s="5"/>
      <c r="Y8433" s="5"/>
      <c r="Z8433" s="5"/>
    </row>
    <row r="8434" spans="1:26" ht="15" x14ac:dyDescent="0.25">
      <c r="A8434" s="4" t="s">
        <v>8432</v>
      </c>
      <c r="B8434" s="4" t="s">
        <v>4550</v>
      </c>
      <c r="C8434" s="2" t="str">
        <f ca="1">IFERROR(__xludf.DUMMYFUNCTION("GOOGLETRANSLATE(A8434,""bn"",""en"")"),"Mobile started in the morning")</f>
        <v>Mobile started in the morning</v>
      </c>
      <c r="D8434" s="5"/>
      <c r="E8434" s="5"/>
      <c r="F8434" s="5"/>
      <c r="G8434" s="5"/>
      <c r="H8434" s="5"/>
      <c r="I8434" s="5"/>
      <c r="J8434" s="5"/>
      <c r="K8434" s="5"/>
      <c r="L8434" s="5"/>
      <c r="M8434" s="5"/>
      <c r="N8434" s="5"/>
      <c r="O8434" s="5"/>
      <c r="P8434" s="5"/>
      <c r="Q8434" s="5"/>
      <c r="R8434" s="5"/>
      <c r="S8434" s="5"/>
      <c r="T8434" s="5"/>
      <c r="U8434" s="5"/>
      <c r="V8434" s="5"/>
      <c r="W8434" s="5"/>
      <c r="X8434" s="5"/>
      <c r="Y8434" s="5"/>
      <c r="Z8434" s="5"/>
    </row>
    <row r="8435" spans="1:26" ht="15" x14ac:dyDescent="0.25">
      <c r="A8435" s="4" t="s">
        <v>8433</v>
      </c>
      <c r="B8435" s="4" t="s">
        <v>4550</v>
      </c>
      <c r="C8435" s="2" t="str">
        <f ca="1">IFERROR(__xludf.DUMMYFUNCTION("GOOGLETRANSLATE(A8435,""bn"",""en"")"),"Improvements were made in management")</f>
        <v>Improvements were made in management</v>
      </c>
      <c r="D8435" s="5"/>
      <c r="E8435" s="5"/>
      <c r="F8435" s="5"/>
      <c r="G8435" s="5"/>
      <c r="H8435" s="5"/>
      <c r="I8435" s="5"/>
      <c r="J8435" s="5"/>
      <c r="K8435" s="5"/>
      <c r="L8435" s="5"/>
      <c r="M8435" s="5"/>
      <c r="N8435" s="5"/>
      <c r="O8435" s="5"/>
      <c r="P8435" s="5"/>
      <c r="Q8435" s="5"/>
      <c r="R8435" s="5"/>
      <c r="S8435" s="5"/>
      <c r="T8435" s="5"/>
      <c r="U8435" s="5"/>
      <c r="V8435" s="5"/>
      <c r="W8435" s="5"/>
      <c r="X8435" s="5"/>
      <c r="Y8435" s="5"/>
      <c r="Z8435" s="5"/>
    </row>
    <row r="8436" spans="1:26" ht="15" x14ac:dyDescent="0.25">
      <c r="A8436" s="4" t="s">
        <v>8434</v>
      </c>
      <c r="B8436" s="4" t="s">
        <v>4550</v>
      </c>
      <c r="C8436" s="2" t="str">
        <f ca="1">IFERROR(__xludf.DUMMYFUNCTION("GOOGLETRANSLATE(A8436,""bn"",""en"")"),"We were cooking Italian pasta")</f>
        <v>We were cooking Italian pasta</v>
      </c>
      <c r="D8436" s="5"/>
      <c r="E8436" s="5"/>
      <c r="F8436" s="5"/>
      <c r="G8436" s="5"/>
      <c r="H8436" s="5"/>
      <c r="I8436" s="5"/>
      <c r="J8436" s="5"/>
      <c r="K8436" s="5"/>
      <c r="L8436" s="5"/>
      <c r="M8436" s="5"/>
      <c r="N8436" s="5"/>
      <c r="O8436" s="5"/>
      <c r="P8436" s="5"/>
      <c r="Q8436" s="5"/>
      <c r="R8436" s="5"/>
      <c r="S8436" s="5"/>
      <c r="T8436" s="5"/>
      <c r="U8436" s="5"/>
      <c r="V8436" s="5"/>
      <c r="W8436" s="5"/>
      <c r="X8436" s="5"/>
      <c r="Y8436" s="5"/>
      <c r="Z8436" s="5"/>
    </row>
    <row r="8437" spans="1:26" ht="15" x14ac:dyDescent="0.25">
      <c r="A8437" s="4" t="s">
        <v>8435</v>
      </c>
      <c r="B8437" s="4" t="s">
        <v>4550</v>
      </c>
      <c r="C8437" s="2" t="str">
        <f ca="1">IFERROR(__xludf.DUMMYFUNCTION("GOOGLETRANSLATE(A8437,""bn"",""en"")"),"They were walking in the park")</f>
        <v>They were walking in the park</v>
      </c>
      <c r="D8437" s="5"/>
      <c r="E8437" s="5"/>
      <c r="F8437" s="5"/>
      <c r="G8437" s="5"/>
      <c r="H8437" s="5"/>
      <c r="I8437" s="5"/>
      <c r="J8437" s="5"/>
      <c r="K8437" s="5"/>
      <c r="L8437" s="5"/>
      <c r="M8437" s="5"/>
      <c r="N8437" s="5"/>
      <c r="O8437" s="5"/>
      <c r="P8437" s="5"/>
      <c r="Q8437" s="5"/>
      <c r="R8437" s="5"/>
      <c r="S8437" s="5"/>
      <c r="T8437" s="5"/>
      <c r="U8437" s="5"/>
      <c r="V8437" s="5"/>
      <c r="W8437" s="5"/>
      <c r="X8437" s="5"/>
      <c r="Y8437" s="5"/>
      <c r="Z8437" s="5"/>
    </row>
    <row r="8438" spans="1:26" ht="15" x14ac:dyDescent="0.25">
      <c r="A8438" s="4" t="s">
        <v>8436</v>
      </c>
      <c r="B8438" s="4" t="s">
        <v>4550</v>
      </c>
      <c r="C8438" s="2" t="str">
        <f ca="1">IFERROR(__xludf.DUMMYFUNCTION("GOOGLETRANSLATE(A8438,""bn"",""en"")"),"It was cooked with potatoes")</f>
        <v>It was cooked with potatoes</v>
      </c>
      <c r="D8438" s="5"/>
      <c r="E8438" s="5"/>
      <c r="F8438" s="5"/>
      <c r="G8438" s="5"/>
      <c r="H8438" s="5"/>
      <c r="I8438" s="5"/>
      <c r="J8438" s="5"/>
      <c r="K8438" s="5"/>
      <c r="L8438" s="5"/>
      <c r="M8438" s="5"/>
      <c r="N8438" s="5"/>
      <c r="O8438" s="5"/>
      <c r="P8438" s="5"/>
      <c r="Q8438" s="5"/>
      <c r="R8438" s="5"/>
      <c r="S8438" s="5"/>
      <c r="T8438" s="5"/>
      <c r="U8438" s="5"/>
      <c r="V8438" s="5"/>
      <c r="W8438" s="5"/>
      <c r="X8438" s="5"/>
      <c r="Y8438" s="5"/>
      <c r="Z8438" s="5"/>
    </row>
    <row r="8439" spans="1:26" ht="15" x14ac:dyDescent="0.25">
      <c r="A8439" s="4" t="s">
        <v>8437</v>
      </c>
      <c r="B8439" s="4" t="s">
        <v>4550</v>
      </c>
      <c r="C8439" s="2" t="str">
        <f ca="1">IFERROR(__xludf.DUMMYFUNCTION("GOOGLETRANSLATE(A8439,""bn"",""en"")"),"Elected by popular vote")</f>
        <v>Elected by popular vote</v>
      </c>
      <c r="D8439" s="5"/>
      <c r="E8439" s="5"/>
      <c r="F8439" s="5"/>
      <c r="G8439" s="5"/>
      <c r="H8439" s="5"/>
      <c r="I8439" s="5"/>
      <c r="J8439" s="5"/>
      <c r="K8439" s="5"/>
      <c r="L8439" s="5"/>
      <c r="M8439" s="5"/>
      <c r="N8439" s="5"/>
      <c r="O8439" s="5"/>
      <c r="P8439" s="5"/>
      <c r="Q8439" s="5"/>
      <c r="R8439" s="5"/>
      <c r="S8439" s="5"/>
      <c r="T8439" s="5"/>
      <c r="U8439" s="5"/>
      <c r="V8439" s="5"/>
      <c r="W8439" s="5"/>
      <c r="X8439" s="5"/>
      <c r="Y8439" s="5"/>
      <c r="Z8439" s="5"/>
    </row>
    <row r="8440" spans="1:26" ht="15" x14ac:dyDescent="0.25">
      <c r="A8440" s="4" t="s">
        <v>8438</v>
      </c>
      <c r="B8440" s="4" t="s">
        <v>4550</v>
      </c>
      <c r="C8440" s="2" t="str">
        <f ca="1">IFERROR(__xludf.DUMMYFUNCTION("GOOGLETRANSLATE(A8440,""bn"",""en"")"),"I contributed well to the organization")</f>
        <v>I contributed well to the organization</v>
      </c>
      <c r="D8440" s="5"/>
      <c r="E8440" s="5"/>
      <c r="F8440" s="5"/>
      <c r="G8440" s="5"/>
      <c r="H8440" s="5"/>
      <c r="I8440" s="5"/>
      <c r="J8440" s="5"/>
      <c r="K8440" s="5"/>
      <c r="L8440" s="5"/>
      <c r="M8440" s="5"/>
      <c r="N8440" s="5"/>
      <c r="O8440" s="5"/>
      <c r="P8440" s="5"/>
      <c r="Q8440" s="5"/>
      <c r="R8440" s="5"/>
      <c r="S8440" s="5"/>
      <c r="T8440" s="5"/>
      <c r="U8440" s="5"/>
      <c r="V8440" s="5"/>
      <c r="W8440" s="5"/>
      <c r="X8440" s="5"/>
      <c r="Y8440" s="5"/>
      <c r="Z8440" s="5"/>
    </row>
    <row r="8441" spans="1:26" ht="15" x14ac:dyDescent="0.25">
      <c r="A8441" s="4" t="s">
        <v>8439</v>
      </c>
      <c r="B8441" s="4" t="s">
        <v>4550</v>
      </c>
      <c r="C8441" s="2" t="str">
        <f ca="1">IFERROR(__xludf.DUMMYFUNCTION("GOOGLETRANSLATE(A8441,""bn"",""en"")"),"The soil was almost fertile")</f>
        <v>The soil was almost fertile</v>
      </c>
      <c r="D8441" s="5"/>
      <c r="E8441" s="5"/>
      <c r="F8441" s="5"/>
      <c r="G8441" s="5"/>
      <c r="H8441" s="5"/>
      <c r="I8441" s="5"/>
      <c r="J8441" s="5"/>
      <c r="K8441" s="5"/>
      <c r="L8441" s="5"/>
      <c r="M8441" s="5"/>
      <c r="N8441" s="5"/>
      <c r="O8441" s="5"/>
      <c r="P8441" s="5"/>
      <c r="Q8441" s="5"/>
      <c r="R8441" s="5"/>
      <c r="S8441" s="5"/>
      <c r="T8441" s="5"/>
      <c r="U8441" s="5"/>
      <c r="V8441" s="5"/>
      <c r="W8441" s="5"/>
      <c r="X8441" s="5"/>
      <c r="Y8441" s="5"/>
      <c r="Z8441" s="5"/>
    </row>
    <row r="8442" spans="1:26" ht="15" x14ac:dyDescent="0.25">
      <c r="A8442" s="4" t="s">
        <v>8440</v>
      </c>
      <c r="B8442" s="4" t="s">
        <v>4550</v>
      </c>
      <c r="C8442" s="2" t="str">
        <f ca="1">IFERROR(__xludf.DUMMYFUNCTION("GOOGLETRANSLATE(A8442,""bn"",""en"")"),"Social media was active for everyone")</f>
        <v>Social media was active for everyone</v>
      </c>
      <c r="D8442" s="5"/>
      <c r="E8442" s="5"/>
      <c r="F8442" s="5"/>
      <c r="G8442" s="5"/>
      <c r="H8442" s="5"/>
      <c r="I8442" s="5"/>
      <c r="J8442" s="5"/>
      <c r="K8442" s="5"/>
      <c r="L8442" s="5"/>
      <c r="M8442" s="5"/>
      <c r="N8442" s="5"/>
      <c r="O8442" s="5"/>
      <c r="P8442" s="5"/>
      <c r="Q8442" s="5"/>
      <c r="R8442" s="5"/>
      <c r="S8442" s="5"/>
      <c r="T8442" s="5"/>
      <c r="U8442" s="5"/>
      <c r="V8442" s="5"/>
      <c r="W8442" s="5"/>
      <c r="X8442" s="5"/>
      <c r="Y8442" s="5"/>
      <c r="Z8442" s="5"/>
    </row>
    <row r="8443" spans="1:26" ht="15" x14ac:dyDescent="0.25">
      <c r="A8443" s="4" t="s">
        <v>8441</v>
      </c>
      <c r="B8443" s="4" t="s">
        <v>4550</v>
      </c>
      <c r="C8443" s="2" t="str">
        <f ca="1">IFERROR(__xludf.DUMMYFUNCTION("GOOGLETRANSLATE(A8443,""bn"",""en"")"),"When have you seen a superhero movie?")</f>
        <v>When have you seen a superhero movie?</v>
      </c>
      <c r="D8443" s="5"/>
      <c r="E8443" s="5"/>
      <c r="F8443" s="5"/>
      <c r="G8443" s="5"/>
      <c r="H8443" s="5"/>
      <c r="I8443" s="5"/>
      <c r="J8443" s="5"/>
      <c r="K8443" s="5"/>
      <c r="L8443" s="5"/>
      <c r="M8443" s="5"/>
      <c r="N8443" s="5"/>
      <c r="O8443" s="5"/>
      <c r="P8443" s="5"/>
      <c r="Q8443" s="5"/>
      <c r="R8443" s="5"/>
      <c r="S8443" s="5"/>
      <c r="T8443" s="5"/>
      <c r="U8443" s="5"/>
      <c r="V8443" s="5"/>
      <c r="W8443" s="5"/>
      <c r="X8443" s="5"/>
      <c r="Y8443" s="5"/>
      <c r="Z8443" s="5"/>
    </row>
    <row r="8444" spans="1:26" ht="15" x14ac:dyDescent="0.25">
      <c r="A8444" s="4" t="s">
        <v>8442</v>
      </c>
      <c r="B8444" s="4" t="s">
        <v>4550</v>
      </c>
      <c r="C8444" s="2" t="str">
        <f ca="1">IFERROR(__xludf.DUMMYFUNCTION("GOOGLETRANSLATE(A8444,""bn"",""en"")"),"I went to the movies with my friends")</f>
        <v>I went to the movies with my friends</v>
      </c>
      <c r="D8444" s="5"/>
      <c r="E8444" s="5"/>
      <c r="F8444" s="5"/>
      <c r="G8444" s="5"/>
      <c r="H8444" s="5"/>
      <c r="I8444" s="5"/>
      <c r="J8444" s="5"/>
      <c r="K8444" s="5"/>
      <c r="L8444" s="5"/>
      <c r="M8444" s="5"/>
      <c r="N8444" s="5"/>
      <c r="O8444" s="5"/>
      <c r="P8444" s="5"/>
      <c r="Q8444" s="5"/>
      <c r="R8444" s="5"/>
      <c r="S8444" s="5"/>
      <c r="T8444" s="5"/>
      <c r="U8444" s="5"/>
      <c r="V8444" s="5"/>
      <c r="W8444" s="5"/>
      <c r="X8444" s="5"/>
      <c r="Y8444" s="5"/>
      <c r="Z8444" s="5"/>
    </row>
    <row r="8445" spans="1:26" ht="15" x14ac:dyDescent="0.25">
      <c r="A8445" s="4" t="s">
        <v>8443</v>
      </c>
      <c r="B8445" s="4" t="s">
        <v>4550</v>
      </c>
      <c r="C8445" s="2" t="str">
        <f ca="1">IFERROR(__xludf.DUMMYFUNCTION("GOOGLETRANSLATE(A8445,""bn"",""en"")"),"Went to submit")</f>
        <v>Went to submit</v>
      </c>
      <c r="D8445" s="5"/>
      <c r="E8445" s="5"/>
      <c r="F8445" s="5"/>
      <c r="G8445" s="5"/>
      <c r="H8445" s="5"/>
      <c r="I8445" s="5"/>
      <c r="J8445" s="5"/>
      <c r="K8445" s="5"/>
      <c r="L8445" s="5"/>
      <c r="M8445" s="5"/>
      <c r="N8445" s="5"/>
      <c r="O8445" s="5"/>
      <c r="P8445" s="5"/>
      <c r="Q8445" s="5"/>
      <c r="R8445" s="5"/>
      <c r="S8445" s="5"/>
      <c r="T8445" s="5"/>
      <c r="U8445" s="5"/>
      <c r="V8445" s="5"/>
      <c r="W8445" s="5"/>
      <c r="X8445" s="5"/>
      <c r="Y8445" s="5"/>
      <c r="Z8445" s="5"/>
    </row>
    <row r="8446" spans="1:26" ht="15" x14ac:dyDescent="0.25">
      <c r="A8446" s="4" t="s">
        <v>8444</v>
      </c>
      <c r="B8446" s="4" t="s">
        <v>4550</v>
      </c>
      <c r="C8446" s="2" t="str">
        <f ca="1">IFERROR(__xludf.DUMMYFUNCTION("GOOGLETRANSLATE(A8446,""bn"",""en"")"),"Computer technology increased")</f>
        <v>Computer technology increased</v>
      </c>
      <c r="D8446" s="5"/>
      <c r="E8446" s="5"/>
      <c r="F8446" s="5"/>
      <c r="G8446" s="5"/>
      <c r="H8446" s="5"/>
      <c r="I8446" s="5"/>
      <c r="J8446" s="5"/>
      <c r="K8446" s="5"/>
      <c r="L8446" s="5"/>
      <c r="M8446" s="5"/>
      <c r="N8446" s="5"/>
      <c r="O8446" s="5"/>
      <c r="P8446" s="5"/>
      <c r="Q8446" s="5"/>
      <c r="R8446" s="5"/>
      <c r="S8446" s="5"/>
      <c r="T8446" s="5"/>
      <c r="U8446" s="5"/>
      <c r="V8446" s="5"/>
      <c r="W8446" s="5"/>
      <c r="X8446" s="5"/>
      <c r="Y8446" s="5"/>
      <c r="Z8446" s="5"/>
    </row>
    <row r="8447" spans="1:26" ht="15" x14ac:dyDescent="0.25">
      <c r="A8447" s="4" t="s">
        <v>8445</v>
      </c>
      <c r="B8447" s="4" t="s">
        <v>4550</v>
      </c>
      <c r="C8447" s="2" t="str">
        <f ca="1">IFERROR(__xludf.DUMMYFUNCTION("GOOGLETRANSLATE(A8447,""bn"",""en"")"),"Broadcasting in remote areas")</f>
        <v>Broadcasting in remote areas</v>
      </c>
      <c r="D8447" s="5"/>
      <c r="E8447" s="5"/>
      <c r="F8447" s="5"/>
      <c r="G8447" s="5"/>
      <c r="H8447" s="5"/>
      <c r="I8447" s="5"/>
      <c r="J8447" s="5"/>
      <c r="K8447" s="5"/>
      <c r="L8447" s="5"/>
      <c r="M8447" s="5"/>
      <c r="N8447" s="5"/>
      <c r="O8447" s="5"/>
      <c r="P8447" s="5"/>
      <c r="Q8447" s="5"/>
      <c r="R8447" s="5"/>
      <c r="S8447" s="5"/>
      <c r="T8447" s="5"/>
      <c r="U8447" s="5"/>
      <c r="V8447" s="5"/>
      <c r="W8447" s="5"/>
      <c r="X8447" s="5"/>
      <c r="Y8447" s="5"/>
      <c r="Z8447" s="5"/>
    </row>
    <row r="8448" spans="1:26" ht="15" x14ac:dyDescent="0.25">
      <c r="A8448" s="4" t="s">
        <v>8446</v>
      </c>
      <c r="B8448" s="4" t="s">
        <v>4550</v>
      </c>
      <c r="C8448" s="2" t="str">
        <f ca="1">IFERROR(__xludf.DUMMYFUNCTION("GOOGLETRANSLATE(A8448,""bn"",""en"")"),"I went to buy a new book")</f>
        <v>I went to buy a new book</v>
      </c>
      <c r="D8448" s="5"/>
      <c r="E8448" s="5"/>
      <c r="F8448" s="5"/>
      <c r="G8448" s="5"/>
      <c r="H8448" s="5"/>
      <c r="I8448" s="5"/>
      <c r="J8448" s="5"/>
      <c r="K8448" s="5"/>
      <c r="L8448" s="5"/>
      <c r="M8448" s="5"/>
      <c r="N8448" s="5"/>
      <c r="O8448" s="5"/>
      <c r="P8448" s="5"/>
      <c r="Q8448" s="5"/>
      <c r="R8448" s="5"/>
      <c r="S8448" s="5"/>
      <c r="T8448" s="5"/>
      <c r="U8448" s="5"/>
      <c r="V8448" s="5"/>
      <c r="W8448" s="5"/>
      <c r="X8448" s="5"/>
      <c r="Y8448" s="5"/>
      <c r="Z8448" s="5"/>
    </row>
    <row r="8449" spans="1:26" ht="15" x14ac:dyDescent="0.25">
      <c r="A8449" s="4" t="s">
        <v>8447</v>
      </c>
      <c r="B8449" s="4" t="s">
        <v>4550</v>
      </c>
      <c r="C8449" s="2" t="str">
        <f ca="1">IFERROR(__xludf.DUMMYFUNCTION("GOOGLETRANSLATE(A8449,""bn"",""en"")"),"I cooked chicken korma")</f>
        <v>I cooked chicken korma</v>
      </c>
      <c r="D8449" s="5"/>
      <c r="E8449" s="5"/>
      <c r="F8449" s="5"/>
      <c r="G8449" s="5"/>
      <c r="H8449" s="5"/>
      <c r="I8449" s="5"/>
      <c r="J8449" s="5"/>
      <c r="K8449" s="5"/>
      <c r="L8449" s="5"/>
      <c r="M8449" s="5"/>
      <c r="N8449" s="5"/>
      <c r="O8449" s="5"/>
      <c r="P8449" s="5"/>
      <c r="Q8449" s="5"/>
      <c r="R8449" s="5"/>
      <c r="S8449" s="5"/>
      <c r="T8449" s="5"/>
      <c r="U8449" s="5"/>
      <c r="V8449" s="5"/>
      <c r="W8449" s="5"/>
      <c r="X8449" s="5"/>
      <c r="Y8449" s="5"/>
      <c r="Z8449" s="5"/>
    </row>
    <row r="8450" spans="1:26" ht="15" x14ac:dyDescent="0.25">
      <c r="A8450" s="4" t="s">
        <v>8448</v>
      </c>
      <c r="B8450" s="4" t="s">
        <v>4550</v>
      </c>
      <c r="C8450" s="2" t="str">
        <f ca="1">IFERROR(__xludf.DUMMYFUNCTION("GOOGLETRANSLATE(A8450,""bn"",""en"")"),"Singers participated in the event")</f>
        <v>Singers participated in the event</v>
      </c>
      <c r="D8450" s="5"/>
      <c r="E8450" s="5"/>
      <c r="F8450" s="5"/>
      <c r="G8450" s="5"/>
      <c r="H8450" s="5"/>
      <c r="I8450" s="5"/>
      <c r="J8450" s="5"/>
      <c r="K8450" s="5"/>
      <c r="L8450" s="5"/>
      <c r="M8450" s="5"/>
      <c r="N8450" s="5"/>
      <c r="O8450" s="5"/>
      <c r="P8450" s="5"/>
      <c r="Q8450" s="5"/>
      <c r="R8450" s="5"/>
      <c r="S8450" s="5"/>
      <c r="T8450" s="5"/>
      <c r="U8450" s="5"/>
      <c r="V8450" s="5"/>
      <c r="W8450" s="5"/>
      <c r="X8450" s="5"/>
      <c r="Y8450" s="5"/>
      <c r="Z8450" s="5"/>
    </row>
    <row r="8451" spans="1:26" ht="15" x14ac:dyDescent="0.25">
      <c r="A8451" s="4" t="s">
        <v>8449</v>
      </c>
      <c r="B8451" s="4" t="s">
        <v>4550</v>
      </c>
      <c r="C8451" s="2" t="str">
        <f ca="1">IFERROR(__xludf.DUMMYFUNCTION("GOOGLETRANSLATE(A8451,""bn"",""en"")"),"Military equipment")</f>
        <v>Military equipment</v>
      </c>
      <c r="D8451" s="5"/>
      <c r="E8451" s="5"/>
      <c r="F8451" s="5"/>
      <c r="G8451" s="5"/>
      <c r="H8451" s="5"/>
      <c r="I8451" s="5"/>
      <c r="J8451" s="5"/>
      <c r="K8451" s="5"/>
      <c r="L8451" s="5"/>
      <c r="M8451" s="5"/>
      <c r="N8451" s="5"/>
      <c r="O8451" s="5"/>
      <c r="P8451" s="5"/>
      <c r="Q8451" s="5"/>
      <c r="R8451" s="5"/>
      <c r="S8451" s="5"/>
      <c r="T8451" s="5"/>
      <c r="U8451" s="5"/>
      <c r="V8451" s="5"/>
      <c r="W8451" s="5"/>
      <c r="X8451" s="5"/>
      <c r="Y8451" s="5"/>
      <c r="Z8451" s="5"/>
    </row>
    <row r="8452" spans="1:26" ht="15" x14ac:dyDescent="0.25">
      <c r="A8452" s="4" t="s">
        <v>8450</v>
      </c>
      <c r="B8452" s="4" t="s">
        <v>4550</v>
      </c>
      <c r="C8452" s="2" t="str">
        <f ca="1">IFERROR(__xludf.DUMMYFUNCTION("GOOGLETRANSLATE(A8452,""bn"",""en"")"),"Vegetables were planted in the ground")</f>
        <v>Vegetables were planted in the ground</v>
      </c>
      <c r="D8452" s="5"/>
      <c r="E8452" s="5"/>
      <c r="F8452" s="5"/>
      <c r="G8452" s="5"/>
      <c r="H8452" s="5"/>
      <c r="I8452" s="5"/>
      <c r="J8452" s="5"/>
      <c r="K8452" s="5"/>
      <c r="L8452" s="5"/>
      <c r="M8452" s="5"/>
      <c r="N8452" s="5"/>
      <c r="O8452" s="5"/>
      <c r="P8452" s="5"/>
      <c r="Q8452" s="5"/>
      <c r="R8452" s="5"/>
      <c r="S8452" s="5"/>
      <c r="T8452" s="5"/>
      <c r="U8452" s="5"/>
      <c r="V8452" s="5"/>
      <c r="W8452" s="5"/>
      <c r="X8452" s="5"/>
      <c r="Y8452" s="5"/>
      <c r="Z8452" s="5"/>
    </row>
    <row r="8453" spans="1:26" ht="15" x14ac:dyDescent="0.25">
      <c r="A8453" s="4" t="s">
        <v>8451</v>
      </c>
      <c r="B8453" s="4" t="s">
        <v>4550</v>
      </c>
      <c r="C8453" s="2" t="str">
        <f ca="1">IFERROR(__xludf.DUMMYFUNCTION("GOOGLETRANSLATE(A8453,""bn"",""en"")"),"I never lost the game")</f>
        <v>I never lost the game</v>
      </c>
      <c r="D8453" s="5"/>
      <c r="E8453" s="5"/>
      <c r="F8453" s="5"/>
      <c r="G8453" s="5"/>
      <c r="H8453" s="5"/>
      <c r="I8453" s="5"/>
      <c r="J8453" s="5"/>
      <c r="K8453" s="5"/>
      <c r="L8453" s="5"/>
      <c r="M8453" s="5"/>
      <c r="N8453" s="5"/>
      <c r="O8453" s="5"/>
      <c r="P8453" s="5"/>
      <c r="Q8453" s="5"/>
      <c r="R8453" s="5"/>
      <c r="S8453" s="5"/>
      <c r="T8453" s="5"/>
      <c r="U8453" s="5"/>
      <c r="V8453" s="5"/>
      <c r="W8453" s="5"/>
      <c r="X8453" s="5"/>
      <c r="Y8453" s="5"/>
      <c r="Z8453" s="5"/>
    </row>
    <row r="8454" spans="1:26" ht="15" x14ac:dyDescent="0.25">
      <c r="A8454" s="4" t="s">
        <v>8452</v>
      </c>
      <c r="B8454" s="4" t="s">
        <v>4550</v>
      </c>
      <c r="C8454" s="2" t="str">
        <f ca="1">IFERROR(__xludf.DUMMYFUNCTION("GOOGLETRANSLATE(A8454,""bn"",""en"")"),"Students used to play football in school")</f>
        <v>Students used to play football in school</v>
      </c>
      <c r="D8454" s="5"/>
      <c r="E8454" s="5"/>
      <c r="F8454" s="5"/>
      <c r="G8454" s="5"/>
      <c r="H8454" s="5"/>
      <c r="I8454" s="5"/>
      <c r="J8454" s="5"/>
      <c r="K8454" s="5"/>
      <c r="L8454" s="5"/>
      <c r="M8454" s="5"/>
      <c r="N8454" s="5"/>
      <c r="O8454" s="5"/>
      <c r="P8454" s="5"/>
      <c r="Q8454" s="5"/>
      <c r="R8454" s="5"/>
      <c r="S8454" s="5"/>
      <c r="T8454" s="5"/>
      <c r="U8454" s="5"/>
      <c r="V8454" s="5"/>
      <c r="W8454" s="5"/>
      <c r="X8454" s="5"/>
      <c r="Y8454" s="5"/>
      <c r="Z8454" s="5"/>
    </row>
    <row r="8455" spans="1:26" ht="15" x14ac:dyDescent="0.25">
      <c r="A8455" s="4" t="s">
        <v>8453</v>
      </c>
      <c r="B8455" s="4" t="s">
        <v>4550</v>
      </c>
      <c r="C8455" s="2" t="str">
        <f ca="1">IFERROR(__xludf.DUMMYFUNCTION("GOOGLETRANSLATE(A8455,""bn"",""en"")"),"He traveled by watching movies")</f>
        <v>He traveled by watching movies</v>
      </c>
      <c r="D8455" s="5"/>
      <c r="E8455" s="5"/>
      <c r="F8455" s="5"/>
      <c r="G8455" s="5"/>
      <c r="H8455" s="5"/>
      <c r="I8455" s="5"/>
      <c r="J8455" s="5"/>
      <c r="K8455" s="5"/>
      <c r="L8455" s="5"/>
      <c r="M8455" s="5"/>
      <c r="N8455" s="5"/>
      <c r="O8455" s="5"/>
      <c r="P8455" s="5"/>
      <c r="Q8455" s="5"/>
      <c r="R8455" s="5"/>
      <c r="S8455" s="5"/>
      <c r="T8455" s="5"/>
      <c r="U8455" s="5"/>
      <c r="V8455" s="5"/>
      <c r="W8455" s="5"/>
      <c r="X8455" s="5"/>
      <c r="Y8455" s="5"/>
      <c r="Z8455" s="5"/>
    </row>
    <row r="8456" spans="1:26" ht="15" x14ac:dyDescent="0.25">
      <c r="A8456" s="4" t="s">
        <v>8454</v>
      </c>
      <c r="B8456" s="4" t="s">
        <v>4550</v>
      </c>
      <c r="C8456" s="2" t="str">
        <f ca="1">IFERROR(__xludf.DUMMYFUNCTION("GOOGLETRANSLATE(A8456,""bn"",""en"")"),"Went to the shop in the morning")</f>
        <v>Went to the shop in the morning</v>
      </c>
      <c r="D8456" s="5"/>
      <c r="E8456" s="5"/>
      <c r="F8456" s="5"/>
      <c r="G8456" s="5"/>
      <c r="H8456" s="5"/>
      <c r="I8456" s="5"/>
      <c r="J8456" s="5"/>
      <c r="K8456" s="5"/>
      <c r="L8456" s="5"/>
      <c r="M8456" s="5"/>
      <c r="N8456" s="5"/>
      <c r="O8456" s="5"/>
      <c r="P8456" s="5"/>
      <c r="Q8456" s="5"/>
      <c r="R8456" s="5"/>
      <c r="S8456" s="5"/>
      <c r="T8456" s="5"/>
      <c r="U8456" s="5"/>
      <c r="V8456" s="5"/>
      <c r="W8456" s="5"/>
      <c r="X8456" s="5"/>
      <c r="Y8456" s="5"/>
      <c r="Z8456" s="5"/>
    </row>
    <row r="8457" spans="1:26" ht="15" x14ac:dyDescent="0.25">
      <c r="A8457" s="4" t="s">
        <v>8455</v>
      </c>
      <c r="B8457" s="4" t="s">
        <v>4550</v>
      </c>
      <c r="C8457" s="2" t="str">
        <f ca="1">IFERROR(__xludf.DUMMYFUNCTION("GOOGLETRANSLATE(A8457,""bn"",""en"")"),"Watched business movie on Saturday")</f>
        <v>Watched business movie on Saturday</v>
      </c>
      <c r="D8457" s="5"/>
      <c r="E8457" s="5"/>
      <c r="F8457" s="5"/>
      <c r="G8457" s="5"/>
      <c r="H8457" s="5"/>
      <c r="I8457" s="5"/>
      <c r="J8457" s="5"/>
      <c r="K8457" s="5"/>
      <c r="L8457" s="5"/>
      <c r="M8457" s="5"/>
      <c r="N8457" s="5"/>
      <c r="O8457" s="5"/>
      <c r="P8457" s="5"/>
      <c r="Q8457" s="5"/>
      <c r="R8457" s="5"/>
      <c r="S8457" s="5"/>
      <c r="T8457" s="5"/>
      <c r="U8457" s="5"/>
      <c r="V8457" s="5"/>
      <c r="W8457" s="5"/>
      <c r="X8457" s="5"/>
      <c r="Y8457" s="5"/>
      <c r="Z8457" s="5"/>
    </row>
    <row r="8458" spans="1:26" ht="15" x14ac:dyDescent="0.25">
      <c r="A8458" s="4" t="s">
        <v>8456</v>
      </c>
      <c r="B8458" s="4" t="s">
        <v>4550</v>
      </c>
      <c r="C8458" s="2" t="str">
        <f ca="1">IFERROR(__xludf.DUMMYFUNCTION("GOOGLETRANSLATE(A8458,""bn"",""en"")"),"The minimum price is suggested")</f>
        <v>The minimum price is suggested</v>
      </c>
      <c r="D8458" s="5"/>
      <c r="E8458" s="5"/>
      <c r="F8458" s="5"/>
      <c r="G8458" s="5"/>
      <c r="H8458" s="5"/>
      <c r="I8458" s="5"/>
      <c r="J8458" s="5"/>
      <c r="K8458" s="5"/>
      <c r="L8458" s="5"/>
      <c r="M8458" s="5"/>
      <c r="N8458" s="5"/>
      <c r="O8458" s="5"/>
      <c r="P8458" s="5"/>
      <c r="Q8458" s="5"/>
      <c r="R8458" s="5"/>
      <c r="S8458" s="5"/>
      <c r="T8458" s="5"/>
      <c r="U8458" s="5"/>
      <c r="V8458" s="5"/>
      <c r="W8458" s="5"/>
      <c r="X8458" s="5"/>
      <c r="Y8458" s="5"/>
      <c r="Z8458" s="5"/>
    </row>
    <row r="8459" spans="1:26" ht="15" x14ac:dyDescent="0.25">
      <c r="A8459" s="4" t="s">
        <v>8457</v>
      </c>
      <c r="B8459" s="4" t="s">
        <v>4550</v>
      </c>
      <c r="C8459" s="2" t="str">
        <f ca="1">IFERROR(__xludf.DUMMYFUNCTION("GOOGLETRANSLATE(A8459,""bn"",""en"")"),"Software was developed adequately")</f>
        <v>Software was developed adequately</v>
      </c>
      <c r="D8459" s="5"/>
      <c r="E8459" s="5"/>
      <c r="F8459" s="5"/>
      <c r="G8459" s="5"/>
      <c r="H8459" s="5"/>
      <c r="I8459" s="5"/>
      <c r="J8459" s="5"/>
      <c r="K8459" s="5"/>
      <c r="L8459" s="5"/>
      <c r="M8459" s="5"/>
      <c r="N8459" s="5"/>
      <c r="O8459" s="5"/>
      <c r="P8459" s="5"/>
      <c r="Q8459" s="5"/>
      <c r="R8459" s="5"/>
      <c r="S8459" s="5"/>
      <c r="T8459" s="5"/>
      <c r="U8459" s="5"/>
      <c r="V8459" s="5"/>
      <c r="W8459" s="5"/>
      <c r="X8459" s="5"/>
      <c r="Y8459" s="5"/>
      <c r="Z8459" s="5"/>
    </row>
    <row r="8460" spans="1:26" ht="15" x14ac:dyDescent="0.25">
      <c r="A8460" s="4" t="s">
        <v>8458</v>
      </c>
      <c r="B8460" s="4" t="s">
        <v>4550</v>
      </c>
      <c r="C8460" s="2" t="str">
        <f ca="1">IFERROR(__xludf.DUMMYFUNCTION("GOOGLETRANSLATE(A8460,""bn"",""en"")"),"The project began soon after")</f>
        <v>The project began soon after</v>
      </c>
      <c r="D8460" s="5"/>
      <c r="E8460" s="5"/>
      <c r="F8460" s="5"/>
      <c r="G8460" s="5"/>
      <c r="H8460" s="5"/>
      <c r="I8460" s="5"/>
      <c r="J8460" s="5"/>
      <c r="K8460" s="5"/>
      <c r="L8460" s="5"/>
      <c r="M8460" s="5"/>
      <c r="N8460" s="5"/>
      <c r="O8460" s="5"/>
      <c r="P8460" s="5"/>
      <c r="Q8460" s="5"/>
      <c r="R8460" s="5"/>
      <c r="S8460" s="5"/>
      <c r="T8460" s="5"/>
      <c r="U8460" s="5"/>
      <c r="V8460" s="5"/>
      <c r="W8460" s="5"/>
      <c r="X8460" s="5"/>
      <c r="Y8460" s="5"/>
      <c r="Z8460" s="5"/>
    </row>
    <row r="8461" spans="1:26" ht="15" x14ac:dyDescent="0.25">
      <c r="A8461" s="4" t="s">
        <v>8459</v>
      </c>
      <c r="B8461" s="4" t="s">
        <v>4550</v>
      </c>
      <c r="C8461" s="2" t="str">
        <f ca="1">IFERROR(__xludf.DUMMYFUNCTION("GOOGLETRANSLATE(A8461,""bn"",""en"")"),"If you watch the latest movie")</f>
        <v>If you watch the latest movie</v>
      </c>
      <c r="D8461" s="5"/>
      <c r="E8461" s="5"/>
      <c r="F8461" s="5"/>
      <c r="G8461" s="5"/>
      <c r="H8461" s="5"/>
      <c r="I8461" s="5"/>
      <c r="J8461" s="5"/>
      <c r="K8461" s="5"/>
      <c r="L8461" s="5"/>
      <c r="M8461" s="5"/>
      <c r="N8461" s="5"/>
      <c r="O8461" s="5"/>
      <c r="P8461" s="5"/>
      <c r="Q8461" s="5"/>
      <c r="R8461" s="5"/>
      <c r="S8461" s="5"/>
      <c r="T8461" s="5"/>
      <c r="U8461" s="5"/>
      <c r="V8461" s="5"/>
      <c r="W8461" s="5"/>
      <c r="X8461" s="5"/>
      <c r="Y8461" s="5"/>
      <c r="Z8461" s="5"/>
    </row>
    <row r="8462" spans="1:26" ht="15" x14ac:dyDescent="0.25">
      <c r="A8462" s="4" t="s">
        <v>8460</v>
      </c>
      <c r="B8462" s="4" t="s">
        <v>4550</v>
      </c>
      <c r="C8462" s="2" t="str">
        <f ca="1">IFERROR(__xludf.DUMMYFUNCTION("GOOGLETRANSLATE(A8462,""bn"",""en"")"),"He managed the project")</f>
        <v>He managed the project</v>
      </c>
      <c r="D8462" s="5"/>
      <c r="E8462" s="5"/>
      <c r="F8462" s="5"/>
      <c r="G8462" s="5"/>
      <c r="H8462" s="5"/>
      <c r="I8462" s="5"/>
      <c r="J8462" s="5"/>
      <c r="K8462" s="5"/>
      <c r="L8462" s="5"/>
      <c r="M8462" s="5"/>
      <c r="N8462" s="5"/>
      <c r="O8462" s="5"/>
      <c r="P8462" s="5"/>
      <c r="Q8462" s="5"/>
      <c r="R8462" s="5"/>
      <c r="S8462" s="5"/>
      <c r="T8462" s="5"/>
      <c r="U8462" s="5"/>
      <c r="V8462" s="5"/>
      <c r="W8462" s="5"/>
      <c r="X8462" s="5"/>
      <c r="Y8462" s="5"/>
      <c r="Z8462" s="5"/>
    </row>
    <row r="8463" spans="1:26" ht="15" x14ac:dyDescent="0.25">
      <c r="A8463" s="4" t="s">
        <v>8461</v>
      </c>
      <c r="B8463" s="4" t="s">
        <v>4550</v>
      </c>
      <c r="C8463" s="2" t="str">
        <f ca="1">IFERROR(__xludf.DUMMYFUNCTION("GOOGLETRANSLATE(A8463,""bn"",""en"")"),"Children were busy studying")</f>
        <v>Children were busy studying</v>
      </c>
      <c r="D8463" s="5"/>
      <c r="E8463" s="5"/>
      <c r="F8463" s="5"/>
      <c r="G8463" s="5"/>
      <c r="H8463" s="5"/>
      <c r="I8463" s="5"/>
      <c r="J8463" s="5"/>
      <c r="K8463" s="5"/>
      <c r="L8463" s="5"/>
      <c r="M8463" s="5"/>
      <c r="N8463" s="5"/>
      <c r="O8463" s="5"/>
      <c r="P8463" s="5"/>
      <c r="Q8463" s="5"/>
      <c r="R8463" s="5"/>
      <c r="S8463" s="5"/>
      <c r="T8463" s="5"/>
      <c r="U8463" s="5"/>
      <c r="V8463" s="5"/>
      <c r="W8463" s="5"/>
      <c r="X8463" s="5"/>
      <c r="Y8463" s="5"/>
      <c r="Z8463" s="5"/>
    </row>
    <row r="8464" spans="1:26" ht="15" x14ac:dyDescent="0.25">
      <c r="A8464" s="4" t="s">
        <v>8462</v>
      </c>
      <c r="B8464" s="4" t="s">
        <v>4550</v>
      </c>
      <c r="C8464" s="2" t="str">
        <f ca="1">IFERROR(__xludf.DUMMYFUNCTION("GOOGLETRANSLATE(A8464,""bn"",""en"")"),"I was telling English stories to everyone")</f>
        <v>I was telling English stories to everyone</v>
      </c>
      <c r="D8464" s="5"/>
      <c r="E8464" s="5"/>
      <c r="F8464" s="5"/>
      <c r="G8464" s="5"/>
      <c r="H8464" s="5"/>
      <c r="I8464" s="5"/>
      <c r="J8464" s="5"/>
      <c r="K8464" s="5"/>
      <c r="L8464" s="5"/>
      <c r="M8464" s="5"/>
      <c r="N8464" s="5"/>
      <c r="O8464" s="5"/>
      <c r="P8464" s="5"/>
      <c r="Q8464" s="5"/>
      <c r="R8464" s="5"/>
      <c r="S8464" s="5"/>
      <c r="T8464" s="5"/>
      <c r="U8464" s="5"/>
      <c r="V8464" s="5"/>
      <c r="W8464" s="5"/>
      <c r="X8464" s="5"/>
      <c r="Y8464" s="5"/>
      <c r="Z8464" s="5"/>
    </row>
    <row r="8465" spans="1:26" ht="15" x14ac:dyDescent="0.25">
      <c r="A8465" s="4" t="s">
        <v>8463</v>
      </c>
      <c r="B8465" s="4" t="s">
        <v>4550</v>
      </c>
      <c r="C8465" s="2" t="str">
        <f ca="1">IFERROR(__xludf.DUMMYFUNCTION("GOOGLETRANSLATE(A8465,""bn"",""en"")"),"I took the initiative when necessary")</f>
        <v>I took the initiative when necessary</v>
      </c>
      <c r="D8465" s="5"/>
      <c r="E8465" s="5"/>
      <c r="F8465" s="5"/>
      <c r="G8465" s="5"/>
      <c r="H8465" s="5"/>
      <c r="I8465" s="5"/>
      <c r="J8465" s="5"/>
      <c r="K8465" s="5"/>
      <c r="L8465" s="5"/>
      <c r="M8465" s="5"/>
      <c r="N8465" s="5"/>
      <c r="O8465" s="5"/>
      <c r="P8465" s="5"/>
      <c r="Q8465" s="5"/>
      <c r="R8465" s="5"/>
      <c r="S8465" s="5"/>
      <c r="T8465" s="5"/>
      <c r="U8465" s="5"/>
      <c r="V8465" s="5"/>
      <c r="W8465" s="5"/>
      <c r="X8465" s="5"/>
      <c r="Y8465" s="5"/>
      <c r="Z8465" s="5"/>
    </row>
    <row r="8466" spans="1:26" ht="15" x14ac:dyDescent="0.25">
      <c r="A8466" s="4" t="s">
        <v>8464</v>
      </c>
      <c r="B8466" s="4" t="s">
        <v>4550</v>
      </c>
      <c r="C8466" s="2" t="str">
        <f ca="1">IFERROR(__xludf.DUMMYFUNCTION("GOOGLETRANSLATE(A8466,""bn"",""en"")"),"Greens were famous")</f>
        <v>Greens were famous</v>
      </c>
      <c r="D8466" s="5"/>
      <c r="E8466" s="5"/>
      <c r="F8466" s="5"/>
      <c r="G8466" s="5"/>
      <c r="H8466" s="5"/>
      <c r="I8466" s="5"/>
      <c r="J8466" s="5"/>
      <c r="K8466" s="5"/>
      <c r="L8466" s="5"/>
      <c r="M8466" s="5"/>
      <c r="N8466" s="5"/>
      <c r="O8466" s="5"/>
      <c r="P8466" s="5"/>
      <c r="Q8466" s="5"/>
      <c r="R8466" s="5"/>
      <c r="S8466" s="5"/>
      <c r="T8466" s="5"/>
      <c r="U8466" s="5"/>
      <c r="V8466" s="5"/>
      <c r="W8466" s="5"/>
      <c r="X8466" s="5"/>
      <c r="Y8466" s="5"/>
      <c r="Z8466" s="5"/>
    </row>
    <row r="8467" spans="1:26" ht="15" x14ac:dyDescent="0.25">
      <c r="A8467" s="4" t="s">
        <v>8465</v>
      </c>
      <c r="B8467" s="4" t="s">
        <v>4550</v>
      </c>
      <c r="C8467" s="2" t="str">
        <f ca="1">IFERROR(__xludf.DUMMYFUNCTION("GOOGLETRANSLATE(A8467,""bn"",""en"")"),"The fruit was invented in quantity")</f>
        <v>The fruit was invented in quantity</v>
      </c>
      <c r="D8467" s="5"/>
      <c r="E8467" s="5"/>
      <c r="F8467" s="5"/>
      <c r="G8467" s="5"/>
      <c r="H8467" s="5"/>
      <c r="I8467" s="5"/>
      <c r="J8467" s="5"/>
      <c r="K8467" s="5"/>
      <c r="L8467" s="5"/>
      <c r="M8467" s="5"/>
      <c r="N8467" s="5"/>
      <c r="O8467" s="5"/>
      <c r="P8467" s="5"/>
      <c r="Q8467" s="5"/>
      <c r="R8467" s="5"/>
      <c r="S8467" s="5"/>
      <c r="T8467" s="5"/>
      <c r="U8467" s="5"/>
      <c r="V8467" s="5"/>
      <c r="W8467" s="5"/>
      <c r="X8467" s="5"/>
      <c r="Y8467" s="5"/>
      <c r="Z8467" s="5"/>
    </row>
    <row r="8468" spans="1:26" ht="15" x14ac:dyDescent="0.25">
      <c r="A8468" s="4" t="s">
        <v>8466</v>
      </c>
      <c r="B8468" s="4" t="s">
        <v>4550</v>
      </c>
      <c r="C8468" s="2" t="str">
        <f ca="1">IFERROR(__xludf.DUMMYFUNCTION("GOOGLETRANSLATE(A8468,""bn"",""en"")"),"Various projects were showcased")</f>
        <v>Various projects were showcased</v>
      </c>
      <c r="D8468" s="5"/>
      <c r="E8468" s="5"/>
      <c r="F8468" s="5"/>
      <c r="G8468" s="5"/>
      <c r="H8468" s="5"/>
      <c r="I8468" s="5"/>
      <c r="J8468" s="5"/>
      <c r="K8468" s="5"/>
      <c r="L8468" s="5"/>
      <c r="M8468" s="5"/>
      <c r="N8468" s="5"/>
      <c r="O8468" s="5"/>
      <c r="P8468" s="5"/>
      <c r="Q8468" s="5"/>
      <c r="R8468" s="5"/>
      <c r="S8468" s="5"/>
      <c r="T8468" s="5"/>
      <c r="U8468" s="5"/>
      <c r="V8468" s="5"/>
      <c r="W8468" s="5"/>
      <c r="X8468" s="5"/>
      <c r="Y8468" s="5"/>
      <c r="Z8468" s="5"/>
    </row>
    <row r="8469" spans="1:26" ht="15" x14ac:dyDescent="0.25">
      <c r="A8469" s="4" t="s">
        <v>8467</v>
      </c>
      <c r="B8469" s="4" t="s">
        <v>4550</v>
      </c>
      <c r="C8469" s="2" t="str">
        <f ca="1">IFERROR(__xludf.DUMMYFUNCTION("GOOGLETRANSLATE(A8469,""bn"",""en"")"),"You eat lentils")</f>
        <v>You eat lentils</v>
      </c>
      <c r="D8469" s="5"/>
      <c r="E8469" s="5"/>
      <c r="F8469" s="5"/>
      <c r="G8469" s="5"/>
      <c r="H8469" s="5"/>
      <c r="I8469" s="5"/>
      <c r="J8469" s="5"/>
      <c r="K8469" s="5"/>
      <c r="L8469" s="5"/>
      <c r="M8469" s="5"/>
      <c r="N8469" s="5"/>
      <c r="O8469" s="5"/>
      <c r="P8469" s="5"/>
      <c r="Q8469" s="5"/>
      <c r="R8469" s="5"/>
      <c r="S8469" s="5"/>
      <c r="T8469" s="5"/>
      <c r="U8469" s="5"/>
      <c r="V8469" s="5"/>
      <c r="W8469" s="5"/>
      <c r="X8469" s="5"/>
      <c r="Y8469" s="5"/>
      <c r="Z8469" s="5"/>
    </row>
    <row r="8470" spans="1:26" ht="15" x14ac:dyDescent="0.25">
      <c r="A8470" s="4" t="s">
        <v>8468</v>
      </c>
      <c r="B8470" s="4" t="s">
        <v>4550</v>
      </c>
      <c r="C8470" s="2" t="str">
        <f ca="1">IFERROR(__xludf.DUMMYFUNCTION("GOOGLETRANSLATE(A8470,""bn"",""en"")"),"Wanted to go paragliding")</f>
        <v>Wanted to go paragliding</v>
      </c>
      <c r="D8470" s="5"/>
      <c r="E8470" s="5"/>
      <c r="F8470" s="5"/>
      <c r="G8470" s="5"/>
      <c r="H8470" s="5"/>
      <c r="I8470" s="5"/>
      <c r="J8470" s="5"/>
      <c r="K8470" s="5"/>
      <c r="L8470" s="5"/>
      <c r="M8470" s="5"/>
      <c r="N8470" s="5"/>
      <c r="O8470" s="5"/>
      <c r="P8470" s="5"/>
      <c r="Q8470" s="5"/>
      <c r="R8470" s="5"/>
      <c r="S8470" s="5"/>
      <c r="T8470" s="5"/>
      <c r="U8470" s="5"/>
      <c r="V8470" s="5"/>
      <c r="W8470" s="5"/>
      <c r="X8470" s="5"/>
      <c r="Y8470" s="5"/>
      <c r="Z8470" s="5"/>
    </row>
    <row r="8471" spans="1:26" ht="15" x14ac:dyDescent="0.25">
      <c r="A8471" s="4" t="s">
        <v>8469</v>
      </c>
      <c r="B8471" s="4" t="s">
        <v>4550</v>
      </c>
      <c r="C8471" s="2" t="str">
        <f ca="1">IFERROR(__xludf.DUMMYFUNCTION("GOOGLETRANSLATE(A8471,""bn"",""en"")"),"You were making meat pizza")</f>
        <v>You were making meat pizza</v>
      </c>
      <c r="D8471" s="5"/>
      <c r="E8471" s="5"/>
      <c r="F8471" s="5"/>
      <c r="G8471" s="5"/>
      <c r="H8471" s="5"/>
      <c r="I8471" s="5"/>
      <c r="J8471" s="5"/>
      <c r="K8471" s="5"/>
      <c r="L8471" s="5"/>
      <c r="M8471" s="5"/>
      <c r="N8471" s="5"/>
      <c r="O8471" s="5"/>
      <c r="P8471" s="5"/>
      <c r="Q8471" s="5"/>
      <c r="R8471" s="5"/>
      <c r="S8471" s="5"/>
      <c r="T8471" s="5"/>
      <c r="U8471" s="5"/>
      <c r="V8471" s="5"/>
      <c r="W8471" s="5"/>
      <c r="X8471" s="5"/>
      <c r="Y8471" s="5"/>
      <c r="Z8471" s="5"/>
    </row>
    <row r="8472" spans="1:26" ht="15" x14ac:dyDescent="0.25">
      <c r="A8472" s="4" t="s">
        <v>8470</v>
      </c>
      <c r="B8472" s="4" t="s">
        <v>4550</v>
      </c>
      <c r="C8472" s="2" t="str">
        <f ca="1">IFERROR(__xludf.DUMMYFUNCTION("GOOGLETRANSLATE(A8472,""bn"",""en"")"),"The game was stopped due to rain")</f>
        <v>The game was stopped due to rain</v>
      </c>
      <c r="D8472" s="5"/>
      <c r="E8472" s="5"/>
      <c r="F8472" s="5"/>
      <c r="G8472" s="5"/>
      <c r="H8472" s="5"/>
      <c r="I8472" s="5"/>
      <c r="J8472" s="5"/>
      <c r="K8472" s="5"/>
      <c r="L8472" s="5"/>
      <c r="M8472" s="5"/>
      <c r="N8472" s="5"/>
      <c r="O8472" s="5"/>
      <c r="P8472" s="5"/>
      <c r="Q8472" s="5"/>
      <c r="R8472" s="5"/>
      <c r="S8472" s="5"/>
      <c r="T8472" s="5"/>
      <c r="U8472" s="5"/>
      <c r="V8472" s="5"/>
      <c r="W8472" s="5"/>
      <c r="X8472" s="5"/>
      <c r="Y8472" s="5"/>
      <c r="Z8472" s="5"/>
    </row>
    <row r="8473" spans="1:26" ht="15" x14ac:dyDescent="0.25">
      <c r="A8473" s="4" t="s">
        <v>8471</v>
      </c>
      <c r="B8473" s="4" t="s">
        <v>4550</v>
      </c>
      <c r="C8473" s="2" t="str">
        <f ca="1">IFERROR(__xludf.DUMMYFUNCTION("GOOGLETRANSLATE(A8473,""bn"",""en"")"),"I was working on a new book")</f>
        <v>I was working on a new book</v>
      </c>
      <c r="D8473" s="5"/>
      <c r="E8473" s="5"/>
      <c r="F8473" s="5"/>
      <c r="G8473" s="5"/>
      <c r="H8473" s="5"/>
      <c r="I8473" s="5"/>
      <c r="J8473" s="5"/>
      <c r="K8473" s="5"/>
      <c r="L8473" s="5"/>
      <c r="M8473" s="5"/>
      <c r="N8473" s="5"/>
      <c r="O8473" s="5"/>
      <c r="P8473" s="5"/>
      <c r="Q8473" s="5"/>
      <c r="R8473" s="5"/>
      <c r="S8473" s="5"/>
      <c r="T8473" s="5"/>
      <c r="U8473" s="5"/>
      <c r="V8473" s="5"/>
      <c r="W8473" s="5"/>
      <c r="X8473" s="5"/>
      <c r="Y8473" s="5"/>
      <c r="Z8473" s="5"/>
    </row>
    <row r="8474" spans="1:26" ht="15" x14ac:dyDescent="0.25">
      <c r="A8474" s="4" t="s">
        <v>8472</v>
      </c>
      <c r="B8474" s="4" t="s">
        <v>4550</v>
      </c>
      <c r="C8474" s="2" t="str">
        <f ca="1">IFERROR(__xludf.DUMMYFUNCTION("GOOGLETRANSLATE(A8474,""bn"",""en"")"),"I was using security tools")</f>
        <v>I was using security tools</v>
      </c>
      <c r="D8474" s="5"/>
      <c r="E8474" s="5"/>
      <c r="F8474" s="5"/>
      <c r="G8474" s="5"/>
      <c r="H8474" s="5"/>
      <c r="I8474" s="5"/>
      <c r="J8474" s="5"/>
      <c r="K8474" s="5"/>
      <c r="L8474" s="5"/>
      <c r="M8474" s="5"/>
      <c r="N8474" s="5"/>
      <c r="O8474" s="5"/>
      <c r="P8474" s="5"/>
      <c r="Q8474" s="5"/>
      <c r="R8474" s="5"/>
      <c r="S8474" s="5"/>
      <c r="T8474" s="5"/>
      <c r="U8474" s="5"/>
      <c r="V8474" s="5"/>
      <c r="W8474" s="5"/>
      <c r="X8474" s="5"/>
      <c r="Y8474" s="5"/>
      <c r="Z8474" s="5"/>
    </row>
    <row r="8475" spans="1:26" ht="15" x14ac:dyDescent="0.25">
      <c r="A8475" s="4" t="s">
        <v>8473</v>
      </c>
      <c r="B8475" s="4" t="s">
        <v>4550</v>
      </c>
      <c r="C8475" s="2" t="str">
        <f ca="1">IFERROR(__xludf.DUMMYFUNCTION("GOOGLETRANSLATE(A8475,""bn"",""en"")"),"I went to take advice")</f>
        <v>I went to take advice</v>
      </c>
      <c r="D8475" s="5"/>
      <c r="E8475" s="5"/>
      <c r="F8475" s="5"/>
      <c r="G8475" s="5"/>
      <c r="H8475" s="5"/>
      <c r="I8475" s="5"/>
      <c r="J8475" s="5"/>
      <c r="K8475" s="5"/>
      <c r="L8475" s="5"/>
      <c r="M8475" s="5"/>
      <c r="N8475" s="5"/>
      <c r="O8475" s="5"/>
      <c r="P8475" s="5"/>
      <c r="Q8475" s="5"/>
      <c r="R8475" s="5"/>
      <c r="S8475" s="5"/>
      <c r="T8475" s="5"/>
      <c r="U8475" s="5"/>
      <c r="V8475" s="5"/>
      <c r="W8475" s="5"/>
      <c r="X8475" s="5"/>
      <c r="Y8475" s="5"/>
      <c r="Z8475" s="5"/>
    </row>
    <row r="8476" spans="1:26" ht="15" x14ac:dyDescent="0.25">
      <c r="A8476" s="4" t="s">
        <v>8474</v>
      </c>
      <c r="B8476" s="4" t="s">
        <v>4550</v>
      </c>
      <c r="C8476" s="2" t="str">
        <f ca="1">IFERROR(__xludf.DUMMYFUNCTION("GOOGLETRANSLATE(A8476,""bn"",""en"")"),"Most goals were on Monday")</f>
        <v>Most goals were on Monday</v>
      </c>
      <c r="D8476" s="5"/>
      <c r="E8476" s="5"/>
      <c r="F8476" s="5"/>
      <c r="G8476" s="5"/>
      <c r="H8476" s="5"/>
      <c r="I8476" s="5"/>
      <c r="J8476" s="5"/>
      <c r="K8476" s="5"/>
      <c r="L8476" s="5"/>
      <c r="M8476" s="5"/>
      <c r="N8476" s="5"/>
      <c r="O8476" s="5"/>
      <c r="P8476" s="5"/>
      <c r="Q8476" s="5"/>
      <c r="R8476" s="5"/>
      <c r="S8476" s="5"/>
      <c r="T8476" s="5"/>
      <c r="U8476" s="5"/>
      <c r="V8476" s="5"/>
      <c r="W8476" s="5"/>
      <c r="X8476" s="5"/>
      <c r="Y8476" s="5"/>
      <c r="Z8476" s="5"/>
    </row>
    <row r="8477" spans="1:26" ht="15" x14ac:dyDescent="0.25">
      <c r="A8477" s="4" t="s">
        <v>8475</v>
      </c>
      <c r="B8477" s="4" t="s">
        <v>4550</v>
      </c>
      <c r="C8477" s="2" t="str">
        <f ca="1">IFERROR(__xludf.DUMMYFUNCTION("GOOGLETRANSLATE(A8477,""bn"",""en"")"),"He watched Bengali drama")</f>
        <v>He watched Bengali drama</v>
      </c>
      <c r="D8477" s="5"/>
      <c r="E8477" s="5"/>
      <c r="F8477" s="5"/>
      <c r="G8477" s="5"/>
      <c r="H8477" s="5"/>
      <c r="I8477" s="5"/>
      <c r="J8477" s="5"/>
      <c r="K8477" s="5"/>
      <c r="L8477" s="5"/>
      <c r="M8477" s="5"/>
      <c r="N8477" s="5"/>
      <c r="O8477" s="5"/>
      <c r="P8477" s="5"/>
      <c r="Q8477" s="5"/>
      <c r="R8477" s="5"/>
      <c r="S8477" s="5"/>
      <c r="T8477" s="5"/>
      <c r="U8477" s="5"/>
      <c r="V8477" s="5"/>
      <c r="W8477" s="5"/>
      <c r="X8477" s="5"/>
      <c r="Y8477" s="5"/>
      <c r="Z8477" s="5"/>
    </row>
    <row r="8478" spans="1:26" ht="15" x14ac:dyDescent="0.25">
      <c r="A8478" s="4" t="s">
        <v>8476</v>
      </c>
      <c r="B8478" s="4" t="s">
        <v>4550</v>
      </c>
      <c r="C8478" s="2" t="str">
        <f ca="1">IFERROR(__xludf.DUMMYFUNCTION("GOOGLETRANSLATE(A8478,""bn"",""en"")"),"I had breakfast with bread")</f>
        <v>I had breakfast with bread</v>
      </c>
      <c r="D8478" s="5"/>
      <c r="E8478" s="5"/>
      <c r="F8478" s="5"/>
      <c r="G8478" s="5"/>
      <c r="H8478" s="5"/>
      <c r="I8478" s="5"/>
      <c r="J8478" s="5"/>
      <c r="K8478" s="5"/>
      <c r="L8478" s="5"/>
      <c r="M8478" s="5"/>
      <c r="N8478" s="5"/>
      <c r="O8478" s="5"/>
      <c r="P8478" s="5"/>
      <c r="Q8478" s="5"/>
      <c r="R8478" s="5"/>
      <c r="S8478" s="5"/>
      <c r="T8478" s="5"/>
      <c r="U8478" s="5"/>
      <c r="V8478" s="5"/>
      <c r="W8478" s="5"/>
      <c r="X8478" s="5"/>
      <c r="Y8478" s="5"/>
      <c r="Z8478" s="5"/>
    </row>
    <row r="8479" spans="1:26" ht="15" x14ac:dyDescent="0.25">
      <c r="A8479" s="4" t="s">
        <v>8477</v>
      </c>
      <c r="B8479" s="4" t="s">
        <v>4550</v>
      </c>
      <c r="C8479" s="2" t="str">
        <f ca="1">IFERROR(__xludf.DUMMYFUNCTION("GOOGLETRANSLATE(A8479,""bn"",""en"")"),"You learn a programming language")</f>
        <v>You learn a programming language</v>
      </c>
      <c r="D8479" s="5"/>
      <c r="E8479" s="5"/>
      <c r="F8479" s="5"/>
      <c r="G8479" s="5"/>
      <c r="H8479" s="5"/>
      <c r="I8479" s="5"/>
      <c r="J8479" s="5"/>
      <c r="K8479" s="5"/>
      <c r="L8479" s="5"/>
      <c r="M8479" s="5"/>
      <c r="N8479" s="5"/>
      <c r="O8479" s="5"/>
      <c r="P8479" s="5"/>
      <c r="Q8479" s="5"/>
      <c r="R8479" s="5"/>
      <c r="S8479" s="5"/>
      <c r="T8479" s="5"/>
      <c r="U8479" s="5"/>
      <c r="V8479" s="5"/>
      <c r="W8479" s="5"/>
      <c r="X8479" s="5"/>
      <c r="Y8479" s="5"/>
      <c r="Z8479" s="5"/>
    </row>
    <row r="8480" spans="1:26" ht="15" x14ac:dyDescent="0.25">
      <c r="A8480" s="4" t="s">
        <v>8478</v>
      </c>
      <c r="B8480" s="4" t="s">
        <v>4550</v>
      </c>
      <c r="C8480" s="2" t="str">
        <f ca="1">IFERROR(__xludf.DUMMYFUNCTION("GOOGLETRANSLATE(A8480,""bn"",""en"")"),"They were frying eggs")</f>
        <v>They were frying eggs</v>
      </c>
      <c r="D8480" s="5"/>
      <c r="E8480" s="5"/>
      <c r="F8480" s="5"/>
      <c r="G8480" s="5"/>
      <c r="H8480" s="5"/>
      <c r="I8480" s="5"/>
      <c r="J8480" s="5"/>
      <c r="K8480" s="5"/>
      <c r="L8480" s="5"/>
      <c r="M8480" s="5"/>
      <c r="N8480" s="5"/>
      <c r="O8480" s="5"/>
      <c r="P8480" s="5"/>
      <c r="Q8480" s="5"/>
      <c r="R8480" s="5"/>
      <c r="S8480" s="5"/>
      <c r="T8480" s="5"/>
      <c r="U8480" s="5"/>
      <c r="V8480" s="5"/>
      <c r="W8480" s="5"/>
      <c r="X8480" s="5"/>
      <c r="Y8480" s="5"/>
      <c r="Z8480" s="5"/>
    </row>
    <row r="8481" spans="1:26" ht="15" x14ac:dyDescent="0.25">
      <c r="A8481" s="4" t="s">
        <v>8479</v>
      </c>
      <c r="B8481" s="4" t="s">
        <v>4550</v>
      </c>
      <c r="C8481" s="2" t="str">
        <f ca="1">IFERROR(__xludf.DUMMYFUNCTION("GOOGLETRANSLATE(A8481,""bn"",""en"")"),"I watched the movie with them")</f>
        <v>I watched the movie with them</v>
      </c>
      <c r="D8481" s="5"/>
      <c r="E8481" s="5"/>
      <c r="F8481" s="5"/>
      <c r="G8481" s="5"/>
      <c r="H8481" s="5"/>
      <c r="I8481" s="5"/>
      <c r="J8481" s="5"/>
      <c r="K8481" s="5"/>
      <c r="L8481" s="5"/>
      <c r="M8481" s="5"/>
      <c r="N8481" s="5"/>
      <c r="O8481" s="5"/>
      <c r="P8481" s="5"/>
      <c r="Q8481" s="5"/>
      <c r="R8481" s="5"/>
      <c r="S8481" s="5"/>
      <c r="T8481" s="5"/>
      <c r="U8481" s="5"/>
      <c r="V8481" s="5"/>
      <c r="W8481" s="5"/>
      <c r="X8481" s="5"/>
      <c r="Y8481" s="5"/>
      <c r="Z8481" s="5"/>
    </row>
    <row r="8482" spans="1:26" ht="15" x14ac:dyDescent="0.25">
      <c r="A8482" s="4" t="s">
        <v>8480</v>
      </c>
      <c r="B8482" s="4" t="s">
        <v>4550</v>
      </c>
      <c r="C8482" s="2" t="str">
        <f ca="1">IFERROR(__xludf.DUMMYFUNCTION("GOOGLETRANSLATE(A8482,""bn"",""en"")"),"He validated the data")</f>
        <v>He validated the data</v>
      </c>
      <c r="D8482" s="5"/>
      <c r="E8482" s="5"/>
      <c r="F8482" s="5"/>
      <c r="G8482" s="5"/>
      <c r="H8482" s="5"/>
      <c r="I8482" s="5"/>
      <c r="J8482" s="5"/>
      <c r="K8482" s="5"/>
      <c r="L8482" s="5"/>
      <c r="M8482" s="5"/>
      <c r="N8482" s="5"/>
      <c r="O8482" s="5"/>
      <c r="P8482" s="5"/>
      <c r="Q8482" s="5"/>
      <c r="R8482" s="5"/>
      <c r="S8482" s="5"/>
      <c r="T8482" s="5"/>
      <c r="U8482" s="5"/>
      <c r="V8482" s="5"/>
      <c r="W8482" s="5"/>
      <c r="X8482" s="5"/>
      <c r="Y8482" s="5"/>
      <c r="Z8482" s="5"/>
    </row>
    <row r="8483" spans="1:26" ht="15" x14ac:dyDescent="0.25">
      <c r="A8483" s="4" t="s">
        <v>8481</v>
      </c>
      <c r="B8483" s="4" t="s">
        <v>4550</v>
      </c>
      <c r="C8483" s="2" t="str">
        <f ca="1">IFERROR(__xludf.DUMMYFUNCTION("GOOGLETRANSLATE(A8483,""bn"",""en"")"),"Ordered healthy soup")</f>
        <v>Ordered healthy soup</v>
      </c>
      <c r="D8483" s="5"/>
      <c r="E8483" s="5"/>
      <c r="F8483" s="5"/>
      <c r="G8483" s="5"/>
      <c r="H8483" s="5"/>
      <c r="I8483" s="5"/>
      <c r="J8483" s="5"/>
      <c r="K8483" s="5"/>
      <c r="L8483" s="5"/>
      <c r="M8483" s="5"/>
      <c r="N8483" s="5"/>
      <c r="O8483" s="5"/>
      <c r="P8483" s="5"/>
      <c r="Q8483" s="5"/>
      <c r="R8483" s="5"/>
      <c r="S8483" s="5"/>
      <c r="T8483" s="5"/>
      <c r="U8483" s="5"/>
      <c r="V8483" s="5"/>
      <c r="W8483" s="5"/>
      <c r="X8483" s="5"/>
      <c r="Y8483" s="5"/>
      <c r="Z8483" s="5"/>
    </row>
    <row r="8484" spans="1:26" ht="15" x14ac:dyDescent="0.25">
      <c r="A8484" s="4" t="s">
        <v>8482</v>
      </c>
      <c r="B8484" s="4" t="s">
        <v>4550</v>
      </c>
      <c r="C8484" s="2" t="str">
        <f ca="1">IFERROR(__xludf.DUMMYFUNCTION("GOOGLETRANSLATE(A8484,""bn"",""en"")"),"They were making pictures")</f>
        <v>They were making pictures</v>
      </c>
      <c r="D8484" s="5"/>
      <c r="E8484" s="5"/>
      <c r="F8484" s="5"/>
      <c r="G8484" s="5"/>
      <c r="H8484" s="5"/>
      <c r="I8484" s="5"/>
      <c r="J8484" s="5"/>
      <c r="K8484" s="5"/>
      <c r="L8484" s="5"/>
      <c r="M8484" s="5"/>
      <c r="N8484" s="5"/>
      <c r="O8484" s="5"/>
      <c r="P8484" s="5"/>
      <c r="Q8484" s="5"/>
      <c r="R8484" s="5"/>
      <c r="S8484" s="5"/>
      <c r="T8484" s="5"/>
      <c r="U8484" s="5"/>
      <c r="V8484" s="5"/>
      <c r="W8484" s="5"/>
      <c r="X8484" s="5"/>
      <c r="Y8484" s="5"/>
      <c r="Z8484" s="5"/>
    </row>
    <row r="8485" spans="1:26" ht="15" x14ac:dyDescent="0.25">
      <c r="A8485" s="4" t="s">
        <v>8483</v>
      </c>
      <c r="B8485" s="4" t="s">
        <v>4550</v>
      </c>
      <c r="C8485" s="2" t="str">
        <f ca="1">IFERROR(__xludf.DUMMYFUNCTION("GOOGLETRANSLATE(A8485,""bn"",""en"")"),"He watched Hollywood movies")</f>
        <v>He watched Hollywood movies</v>
      </c>
      <c r="D8485" s="5"/>
      <c r="E8485" s="5"/>
      <c r="F8485" s="5"/>
      <c r="G8485" s="5"/>
      <c r="H8485" s="5"/>
      <c r="I8485" s="5"/>
      <c r="J8485" s="5"/>
      <c r="K8485" s="5"/>
      <c r="L8485" s="5"/>
      <c r="M8485" s="5"/>
      <c r="N8485" s="5"/>
      <c r="O8485" s="5"/>
      <c r="P8485" s="5"/>
      <c r="Q8485" s="5"/>
      <c r="R8485" s="5"/>
      <c r="S8485" s="5"/>
      <c r="T8485" s="5"/>
      <c r="U8485" s="5"/>
      <c r="V8485" s="5"/>
      <c r="W8485" s="5"/>
      <c r="X8485" s="5"/>
      <c r="Y8485" s="5"/>
      <c r="Z8485" s="5"/>
    </row>
    <row r="8486" spans="1:26" ht="15" x14ac:dyDescent="0.25">
      <c r="A8486" s="4" t="s">
        <v>8484</v>
      </c>
      <c r="B8486" s="4" t="s">
        <v>4550</v>
      </c>
      <c r="C8486" s="2" t="str">
        <f ca="1">IFERROR(__xludf.DUMMYFUNCTION("GOOGLETRANSLATE(A8486,""bn"",""en"")"),"Leaders and ministers used to come to parliament")</f>
        <v>Leaders and ministers used to come to parliament</v>
      </c>
      <c r="D8486" s="5"/>
      <c r="E8486" s="5"/>
      <c r="F8486" s="5"/>
      <c r="G8486" s="5"/>
      <c r="H8486" s="5"/>
      <c r="I8486" s="5"/>
      <c r="J8486" s="5"/>
      <c r="K8486" s="5"/>
      <c r="L8486" s="5"/>
      <c r="M8486" s="5"/>
      <c r="N8486" s="5"/>
      <c r="O8486" s="5"/>
      <c r="P8486" s="5"/>
      <c r="Q8486" s="5"/>
      <c r="R8486" s="5"/>
      <c r="S8486" s="5"/>
      <c r="T8486" s="5"/>
      <c r="U8486" s="5"/>
      <c r="V8486" s="5"/>
      <c r="W8486" s="5"/>
      <c r="X8486" s="5"/>
      <c r="Y8486" s="5"/>
      <c r="Z8486" s="5"/>
    </row>
    <row r="8487" spans="1:26" ht="15" x14ac:dyDescent="0.25">
      <c r="A8487" s="4" t="s">
        <v>8485</v>
      </c>
      <c r="B8487" s="4" t="s">
        <v>4550</v>
      </c>
      <c r="C8487" s="2" t="str">
        <f ca="1">IFERROR(__xludf.DUMMYFUNCTION("GOOGLETRANSLATE(A8487,""bn"",""en"")"),"You were making pasta")</f>
        <v>You were making pasta</v>
      </c>
      <c r="D8487" s="5"/>
      <c r="E8487" s="5"/>
      <c r="F8487" s="5"/>
      <c r="G8487" s="5"/>
      <c r="H8487" s="5"/>
      <c r="I8487" s="5"/>
      <c r="J8487" s="5"/>
      <c r="K8487" s="5"/>
      <c r="L8487" s="5"/>
      <c r="M8487" s="5"/>
      <c r="N8487" s="5"/>
      <c r="O8487" s="5"/>
      <c r="P8487" s="5"/>
      <c r="Q8487" s="5"/>
      <c r="R8487" s="5"/>
      <c r="S8487" s="5"/>
      <c r="T8487" s="5"/>
      <c r="U8487" s="5"/>
      <c r="V8487" s="5"/>
      <c r="W8487" s="5"/>
      <c r="X8487" s="5"/>
      <c r="Y8487" s="5"/>
      <c r="Z8487" s="5"/>
    </row>
    <row r="8488" spans="1:26" ht="15" x14ac:dyDescent="0.25">
      <c r="A8488" s="4" t="s">
        <v>8486</v>
      </c>
      <c r="B8488" s="4" t="s">
        <v>4550</v>
      </c>
      <c r="C8488" s="2" t="str">
        <f ca="1">IFERROR(__xludf.DUMMYFUNCTION("GOOGLETRANSLATE(A8488,""bn"",""en"")"),"Data scientists were in demand")</f>
        <v>Data scientists were in demand</v>
      </c>
      <c r="D8488" s="5"/>
      <c r="E8488" s="5"/>
      <c r="F8488" s="5"/>
      <c r="G8488" s="5"/>
      <c r="H8488" s="5"/>
      <c r="I8488" s="5"/>
      <c r="J8488" s="5"/>
      <c r="K8488" s="5"/>
      <c r="L8488" s="5"/>
      <c r="M8488" s="5"/>
      <c r="N8488" s="5"/>
      <c r="O8488" s="5"/>
      <c r="P8488" s="5"/>
      <c r="Q8488" s="5"/>
      <c r="R8488" s="5"/>
      <c r="S8488" s="5"/>
      <c r="T8488" s="5"/>
      <c r="U8488" s="5"/>
      <c r="V8488" s="5"/>
      <c r="W8488" s="5"/>
      <c r="X8488" s="5"/>
      <c r="Y8488" s="5"/>
      <c r="Z8488" s="5"/>
    </row>
    <row r="8489" spans="1:26" ht="15" x14ac:dyDescent="0.25">
      <c r="A8489" s="4" t="s">
        <v>8487</v>
      </c>
      <c r="B8489" s="4" t="s">
        <v>4550</v>
      </c>
      <c r="C8489" s="2" t="str">
        <f ca="1">IFERROR(__xludf.DUMMYFUNCTION("GOOGLETRANSLATE(A8489,""bn"",""en"")"),"I used to read new poems every week")</f>
        <v>I used to read new poems every week</v>
      </c>
      <c r="D8489" s="5"/>
      <c r="E8489" s="5"/>
      <c r="F8489" s="5"/>
      <c r="G8489" s="5"/>
      <c r="H8489" s="5"/>
      <c r="I8489" s="5"/>
      <c r="J8489" s="5"/>
      <c r="K8489" s="5"/>
      <c r="L8489" s="5"/>
      <c r="M8489" s="5"/>
      <c r="N8489" s="5"/>
      <c r="O8489" s="5"/>
      <c r="P8489" s="5"/>
      <c r="Q8489" s="5"/>
      <c r="R8489" s="5"/>
      <c r="S8489" s="5"/>
      <c r="T8489" s="5"/>
      <c r="U8489" s="5"/>
      <c r="V8489" s="5"/>
      <c r="W8489" s="5"/>
      <c r="X8489" s="5"/>
      <c r="Y8489" s="5"/>
      <c r="Z8489" s="5"/>
    </row>
    <row r="8490" spans="1:26" ht="15" x14ac:dyDescent="0.25">
      <c r="A8490" s="4" t="s">
        <v>8488</v>
      </c>
      <c r="B8490" s="4" t="s">
        <v>4550</v>
      </c>
      <c r="C8490" s="2" t="str">
        <f ca="1">IFERROR(__xludf.DUMMYFUNCTION("GOOGLETRANSLATE(A8490,""bn"",""en"")"),"I was designing a website")</f>
        <v>I was designing a website</v>
      </c>
      <c r="D8490" s="5"/>
      <c r="E8490" s="5"/>
      <c r="F8490" s="5"/>
      <c r="G8490" s="5"/>
      <c r="H8490" s="5"/>
      <c r="I8490" s="5"/>
      <c r="J8490" s="5"/>
      <c r="K8490" s="5"/>
      <c r="L8490" s="5"/>
      <c r="M8490" s="5"/>
      <c r="N8490" s="5"/>
      <c r="O8490" s="5"/>
      <c r="P8490" s="5"/>
      <c r="Q8490" s="5"/>
      <c r="R8490" s="5"/>
      <c r="S8490" s="5"/>
      <c r="T8490" s="5"/>
      <c r="U8490" s="5"/>
      <c r="V8490" s="5"/>
      <c r="W8490" s="5"/>
      <c r="X8490" s="5"/>
      <c r="Y8490" s="5"/>
      <c r="Z8490" s="5"/>
    </row>
    <row r="8491" spans="1:26" ht="15" x14ac:dyDescent="0.25">
      <c r="A8491" s="4" t="s">
        <v>8489</v>
      </c>
      <c r="B8491" s="4" t="s">
        <v>4550</v>
      </c>
      <c r="C8491" s="2" t="str">
        <f ca="1">IFERROR(__xludf.DUMMYFUNCTION("GOOGLETRANSLATE(A8491,""bn"",""en"")"),"New windows were released")</f>
        <v>New windows were released</v>
      </c>
      <c r="D8491" s="5"/>
      <c r="E8491" s="5"/>
      <c r="F8491" s="5"/>
      <c r="G8491" s="5"/>
      <c r="H8491" s="5"/>
      <c r="I8491" s="5"/>
      <c r="J8491" s="5"/>
      <c r="K8491" s="5"/>
      <c r="L8491" s="5"/>
      <c r="M8491" s="5"/>
      <c r="N8491" s="5"/>
      <c r="O8491" s="5"/>
      <c r="P8491" s="5"/>
      <c r="Q8491" s="5"/>
      <c r="R8491" s="5"/>
      <c r="S8491" s="5"/>
      <c r="T8491" s="5"/>
      <c r="U8491" s="5"/>
      <c r="V8491" s="5"/>
      <c r="W8491" s="5"/>
      <c r="X8491" s="5"/>
      <c r="Y8491" s="5"/>
      <c r="Z8491" s="5"/>
    </row>
    <row r="8492" spans="1:26" ht="15" x14ac:dyDescent="0.25">
      <c r="A8492" s="4" t="s">
        <v>8490</v>
      </c>
      <c r="B8492" s="4" t="s">
        <v>4550</v>
      </c>
      <c r="C8492" s="2" t="str">
        <f ca="1">IFERROR(__xludf.DUMMYFUNCTION("GOOGLETRANSLATE(A8492,""bn"",""en"")"),"A computer virus was spreading")</f>
        <v>A computer virus was spreading</v>
      </c>
      <c r="D8492" s="5"/>
      <c r="E8492" s="5"/>
      <c r="F8492" s="5"/>
      <c r="G8492" s="5"/>
      <c r="H8492" s="5"/>
      <c r="I8492" s="5"/>
      <c r="J8492" s="5"/>
      <c r="K8492" s="5"/>
      <c r="L8492" s="5"/>
      <c r="M8492" s="5"/>
      <c r="N8492" s="5"/>
      <c r="O8492" s="5"/>
      <c r="P8492" s="5"/>
      <c r="Q8492" s="5"/>
      <c r="R8492" s="5"/>
      <c r="S8492" s="5"/>
      <c r="T8492" s="5"/>
      <c r="U8492" s="5"/>
      <c r="V8492" s="5"/>
      <c r="W8492" s="5"/>
      <c r="X8492" s="5"/>
      <c r="Y8492" s="5"/>
      <c r="Z8492" s="5"/>
    </row>
    <row r="8493" spans="1:26" ht="15" x14ac:dyDescent="0.25">
      <c r="A8493" s="4" t="s">
        <v>8491</v>
      </c>
      <c r="B8493" s="4" t="s">
        <v>4550</v>
      </c>
      <c r="C8493" s="2" t="str">
        <f ca="1">IFERROR(__xludf.DUMMYFUNCTION("GOOGLETRANSLATE(A8493,""bn"",""en"")"),"Crops were cultivated properly")</f>
        <v>Crops were cultivated properly</v>
      </c>
      <c r="D8493" s="5"/>
      <c r="E8493" s="5"/>
      <c r="F8493" s="5"/>
      <c r="G8493" s="5"/>
      <c r="H8493" s="5"/>
      <c r="I8493" s="5"/>
      <c r="J8493" s="5"/>
      <c r="K8493" s="5"/>
      <c r="L8493" s="5"/>
      <c r="M8493" s="5"/>
      <c r="N8493" s="5"/>
      <c r="O8493" s="5"/>
      <c r="P8493" s="5"/>
      <c r="Q8493" s="5"/>
      <c r="R8493" s="5"/>
      <c r="S8493" s="5"/>
      <c r="T8493" s="5"/>
      <c r="U8493" s="5"/>
      <c r="V8493" s="5"/>
      <c r="W8493" s="5"/>
      <c r="X8493" s="5"/>
      <c r="Y8493" s="5"/>
      <c r="Z8493" s="5"/>
    </row>
    <row r="8494" spans="1:26" ht="15" x14ac:dyDescent="0.25">
      <c r="A8494" s="4" t="s">
        <v>8492</v>
      </c>
      <c r="B8494" s="4" t="s">
        <v>4550</v>
      </c>
      <c r="C8494" s="2" t="str">
        <f ca="1">IFERROR(__xludf.DUMMYFUNCTION("GOOGLETRANSLATE(A8494,""bn"",""en"")"),"Once there was an internet disaster")</f>
        <v>Once there was an internet disaster</v>
      </c>
      <c r="D8494" s="5"/>
      <c r="E8494" s="5"/>
      <c r="F8494" s="5"/>
      <c r="G8494" s="5"/>
      <c r="H8494" s="5"/>
      <c r="I8494" s="5"/>
      <c r="J8494" s="5"/>
      <c r="K8494" s="5"/>
      <c r="L8494" s="5"/>
      <c r="M8494" s="5"/>
      <c r="N8494" s="5"/>
      <c r="O8494" s="5"/>
      <c r="P8494" s="5"/>
      <c r="Q8494" s="5"/>
      <c r="R8494" s="5"/>
      <c r="S8494" s="5"/>
      <c r="T8494" s="5"/>
      <c r="U8494" s="5"/>
      <c r="V8494" s="5"/>
      <c r="W8494" s="5"/>
      <c r="X8494" s="5"/>
      <c r="Y8494" s="5"/>
      <c r="Z8494" s="5"/>
    </row>
    <row r="8495" spans="1:26" ht="15" x14ac:dyDescent="0.25">
      <c r="A8495" s="4" t="s">
        <v>8493</v>
      </c>
      <c r="B8495" s="4" t="s">
        <v>4550</v>
      </c>
      <c r="C8495" s="2" t="str">
        <f ca="1">IFERROR(__xludf.DUMMYFUNCTION("GOOGLETRANSLATE(A8495,""bn"",""en"")"),"I planted new plants")</f>
        <v>I planted new plants</v>
      </c>
      <c r="D8495" s="5"/>
      <c r="E8495" s="5"/>
      <c r="F8495" s="5"/>
      <c r="G8495" s="5"/>
      <c r="H8495" s="5"/>
      <c r="I8495" s="5"/>
      <c r="J8495" s="5"/>
      <c r="K8495" s="5"/>
      <c r="L8495" s="5"/>
      <c r="M8495" s="5"/>
      <c r="N8495" s="5"/>
      <c r="O8495" s="5"/>
      <c r="P8495" s="5"/>
      <c r="Q8495" s="5"/>
      <c r="R8495" s="5"/>
      <c r="S8495" s="5"/>
      <c r="T8495" s="5"/>
      <c r="U8495" s="5"/>
      <c r="V8495" s="5"/>
      <c r="W8495" s="5"/>
      <c r="X8495" s="5"/>
      <c r="Y8495" s="5"/>
      <c r="Z8495" s="5"/>
    </row>
    <row r="8496" spans="1:26" ht="15" x14ac:dyDescent="0.25">
      <c r="A8496" s="4" t="s">
        <v>8494</v>
      </c>
      <c r="B8496" s="4" t="s">
        <v>4550</v>
      </c>
      <c r="C8496" s="2" t="str">
        <f ca="1">IFERROR(__xludf.DUMMYFUNCTION("GOOGLETRANSLATE(A8496,""bn"",""en"")"),"Watched favorite programs on television")</f>
        <v>Watched favorite programs on television</v>
      </c>
      <c r="D8496" s="5"/>
      <c r="E8496" s="5"/>
      <c r="F8496" s="5"/>
      <c r="G8496" s="5"/>
      <c r="H8496" s="5"/>
      <c r="I8496" s="5"/>
      <c r="J8496" s="5"/>
      <c r="K8496" s="5"/>
      <c r="L8496" s="5"/>
      <c r="M8496" s="5"/>
      <c r="N8496" s="5"/>
      <c r="O8496" s="5"/>
      <c r="P8496" s="5"/>
      <c r="Q8496" s="5"/>
      <c r="R8496" s="5"/>
      <c r="S8496" s="5"/>
      <c r="T8496" s="5"/>
      <c r="U8496" s="5"/>
      <c r="V8496" s="5"/>
      <c r="W8496" s="5"/>
      <c r="X8496" s="5"/>
      <c r="Y8496" s="5"/>
      <c r="Z8496" s="5"/>
    </row>
    <row r="8497" spans="1:26" ht="15" x14ac:dyDescent="0.25">
      <c r="A8497" s="4" t="s">
        <v>8495</v>
      </c>
      <c r="B8497" s="4" t="s">
        <v>4550</v>
      </c>
      <c r="C8497" s="2" t="str">
        <f ca="1">IFERROR(__xludf.DUMMYFUNCTION("GOOGLETRANSLATE(A8497,""bn"",""en"")"),"I tried to make kacchi")</f>
        <v>I tried to make kacchi</v>
      </c>
      <c r="D8497" s="5"/>
      <c r="E8497" s="5"/>
      <c r="F8497" s="5"/>
      <c r="G8497" s="5"/>
      <c r="H8497" s="5"/>
      <c r="I8497" s="5"/>
      <c r="J8497" s="5"/>
      <c r="K8497" s="5"/>
      <c r="L8497" s="5"/>
      <c r="M8497" s="5"/>
      <c r="N8497" s="5"/>
      <c r="O8497" s="5"/>
      <c r="P8497" s="5"/>
      <c r="Q8497" s="5"/>
      <c r="R8497" s="5"/>
      <c r="S8497" s="5"/>
      <c r="T8497" s="5"/>
      <c r="U8497" s="5"/>
      <c r="V8497" s="5"/>
      <c r="W8497" s="5"/>
      <c r="X8497" s="5"/>
      <c r="Y8497" s="5"/>
      <c r="Z8497" s="5"/>
    </row>
    <row r="8498" spans="1:26" ht="15" x14ac:dyDescent="0.25">
      <c r="A8498" s="4" t="s">
        <v>8496</v>
      </c>
      <c r="B8498" s="4" t="s">
        <v>4550</v>
      </c>
      <c r="C8498" s="2" t="str">
        <f ca="1">IFERROR(__xludf.DUMMYFUNCTION("GOOGLETRANSLATE(A8498,""bn"",""en"")"),"They were taking the train to the city")</f>
        <v>They were taking the train to the city</v>
      </c>
      <c r="D8498" s="5"/>
      <c r="E8498" s="5"/>
      <c r="F8498" s="5"/>
      <c r="G8498" s="5"/>
      <c r="H8498" s="5"/>
      <c r="I8498" s="5"/>
      <c r="J8498" s="5"/>
      <c r="K8498" s="5"/>
      <c r="L8498" s="5"/>
      <c r="M8498" s="5"/>
      <c r="N8498" s="5"/>
      <c r="O8498" s="5"/>
      <c r="P8498" s="5"/>
      <c r="Q8498" s="5"/>
      <c r="R8498" s="5"/>
      <c r="S8498" s="5"/>
      <c r="T8498" s="5"/>
      <c r="U8498" s="5"/>
      <c r="V8498" s="5"/>
      <c r="W8498" s="5"/>
      <c r="X8498" s="5"/>
      <c r="Y8498" s="5"/>
      <c r="Z8498" s="5"/>
    </row>
    <row r="8499" spans="1:26" ht="15" x14ac:dyDescent="0.25">
      <c r="A8499" s="4" t="s">
        <v>8497</v>
      </c>
      <c r="B8499" s="4" t="s">
        <v>4550</v>
      </c>
      <c r="C8499" s="2" t="str">
        <f ca="1">IFERROR(__xludf.DUMMYFUNCTION("GOOGLETRANSLATE(A8499,""bn"",""en"")"),"We wanted to deploy together")</f>
        <v>We wanted to deploy together</v>
      </c>
      <c r="D8499" s="5"/>
      <c r="E8499" s="5"/>
      <c r="F8499" s="5"/>
      <c r="G8499" s="5"/>
      <c r="H8499" s="5"/>
      <c r="I8499" s="5"/>
      <c r="J8499" s="5"/>
      <c r="K8499" s="5"/>
      <c r="L8499" s="5"/>
      <c r="M8499" s="5"/>
      <c r="N8499" s="5"/>
      <c r="O8499" s="5"/>
      <c r="P8499" s="5"/>
      <c r="Q8499" s="5"/>
      <c r="R8499" s="5"/>
      <c r="S8499" s="5"/>
      <c r="T8499" s="5"/>
      <c r="U8499" s="5"/>
      <c r="V8499" s="5"/>
      <c r="W8499" s="5"/>
      <c r="X8499" s="5"/>
      <c r="Y8499" s="5"/>
      <c r="Z8499" s="5"/>
    </row>
    <row r="8500" spans="1:26" ht="15" x14ac:dyDescent="0.25">
      <c r="A8500" s="4" t="s">
        <v>8498</v>
      </c>
      <c r="B8500" s="4" t="s">
        <v>4550</v>
      </c>
      <c r="C8500" s="2" t="str">
        <f ca="1">IFERROR(__xludf.DUMMYFUNCTION("GOOGLETRANSLATE(A8500,""bn"",""en"")"),"New gadgets came in winter")</f>
        <v>New gadgets came in winter</v>
      </c>
      <c r="D8500" s="5"/>
      <c r="E8500" s="5"/>
      <c r="F8500" s="5"/>
      <c r="G8500" s="5"/>
      <c r="H8500" s="5"/>
      <c r="I8500" s="5"/>
      <c r="J8500" s="5"/>
      <c r="K8500" s="5"/>
      <c r="L8500" s="5"/>
      <c r="M8500" s="5"/>
      <c r="N8500" s="5"/>
      <c r="O8500" s="5"/>
      <c r="P8500" s="5"/>
      <c r="Q8500" s="5"/>
      <c r="R8500" s="5"/>
      <c r="S8500" s="5"/>
      <c r="T8500" s="5"/>
      <c r="U8500" s="5"/>
      <c r="V8500" s="5"/>
      <c r="W8500" s="5"/>
      <c r="X8500" s="5"/>
      <c r="Y8500" s="5"/>
      <c r="Z8500" s="5"/>
    </row>
    <row r="8501" spans="1:26" ht="15" x14ac:dyDescent="0.25">
      <c r="A8501" s="4" t="s">
        <v>8499</v>
      </c>
      <c r="B8501" s="4" t="s">
        <v>4550</v>
      </c>
      <c r="C8501" s="2" t="str">
        <f ca="1">IFERROR(__xludf.DUMMYFUNCTION("GOOGLETRANSLATE(A8501,""bn"",""en"")"),"We had a college march")</f>
        <v>We had a college march</v>
      </c>
      <c r="D8501" s="5"/>
      <c r="E8501" s="5"/>
      <c r="F8501" s="5"/>
      <c r="G8501" s="5"/>
      <c r="H8501" s="5"/>
      <c r="I8501" s="5"/>
      <c r="J8501" s="5"/>
      <c r="K8501" s="5"/>
      <c r="L8501" s="5"/>
      <c r="M8501" s="5"/>
      <c r="N8501" s="5"/>
      <c r="O8501" s="5"/>
      <c r="P8501" s="5"/>
      <c r="Q8501" s="5"/>
      <c r="R8501" s="5"/>
      <c r="S8501" s="5"/>
      <c r="T8501" s="5"/>
      <c r="U8501" s="5"/>
      <c r="V8501" s="5"/>
      <c r="W8501" s="5"/>
      <c r="X8501" s="5"/>
      <c r="Y8501" s="5"/>
      <c r="Z8501" s="5"/>
    </row>
    <row r="8502" spans="1:26" ht="15" x14ac:dyDescent="0.25">
      <c r="A8502" s="4" t="s">
        <v>8500</v>
      </c>
      <c r="B8502" s="4" t="s">
        <v>4550</v>
      </c>
      <c r="C8502" s="2" t="str">
        <f ca="1">IFERROR(__xludf.DUMMYFUNCTION("GOOGLETRANSLATE(A8502,""bn"",""en"")"),"The game was pretty much over")</f>
        <v>The game was pretty much over</v>
      </c>
      <c r="D8502" s="5"/>
      <c r="E8502" s="5"/>
      <c r="F8502" s="5"/>
      <c r="G8502" s="5"/>
      <c r="H8502" s="5"/>
      <c r="I8502" s="5"/>
      <c r="J8502" s="5"/>
      <c r="K8502" s="5"/>
      <c r="L8502" s="5"/>
      <c r="M8502" s="5"/>
      <c r="N8502" s="5"/>
      <c r="O8502" s="5"/>
      <c r="P8502" s="5"/>
      <c r="Q8502" s="5"/>
      <c r="R8502" s="5"/>
      <c r="S8502" s="5"/>
      <c r="T8502" s="5"/>
      <c r="U8502" s="5"/>
      <c r="V8502" s="5"/>
      <c r="W8502" s="5"/>
      <c r="X8502" s="5"/>
      <c r="Y8502" s="5"/>
      <c r="Z8502" s="5"/>
    </row>
    <row r="8503" spans="1:26" ht="15" x14ac:dyDescent="0.25">
      <c r="A8503" s="4" t="s">
        <v>8501</v>
      </c>
      <c r="B8503" s="4" t="s">
        <v>4550</v>
      </c>
      <c r="C8503" s="2" t="str">
        <f ca="1">IFERROR(__xludf.DUMMYFUNCTION("GOOGLETRANSLATE(A8503,""bn"",""en"")"),"The stadium was played at night")</f>
        <v>The stadium was played at night</v>
      </c>
      <c r="D8503" s="5"/>
      <c r="E8503" s="5"/>
      <c r="F8503" s="5"/>
      <c r="G8503" s="5"/>
      <c r="H8503" s="5"/>
      <c r="I8503" s="5"/>
      <c r="J8503" s="5"/>
      <c r="K8503" s="5"/>
      <c r="L8503" s="5"/>
      <c r="M8503" s="5"/>
      <c r="N8503" s="5"/>
      <c r="O8503" s="5"/>
      <c r="P8503" s="5"/>
      <c r="Q8503" s="5"/>
      <c r="R8503" s="5"/>
      <c r="S8503" s="5"/>
      <c r="T8503" s="5"/>
      <c r="U8503" s="5"/>
      <c r="V8503" s="5"/>
      <c r="W8503" s="5"/>
      <c r="X8503" s="5"/>
      <c r="Y8503" s="5"/>
      <c r="Z8503" s="5"/>
    </row>
    <row r="8504" spans="1:26" ht="15" x14ac:dyDescent="0.25">
      <c r="A8504" s="4" t="s">
        <v>8502</v>
      </c>
      <c r="B8504" s="4" t="s">
        <v>4550</v>
      </c>
      <c r="C8504" s="2" t="str">
        <f ca="1">IFERROR(__xludf.DUMMYFUNCTION("GOOGLETRANSLATE(A8504,""bn"",""en"")"),"Radio news was being heard")</f>
        <v>Radio news was being heard</v>
      </c>
      <c r="D8504" s="5"/>
      <c r="E8504" s="5"/>
      <c r="F8504" s="5"/>
      <c r="G8504" s="5"/>
      <c r="H8504" s="5"/>
      <c r="I8504" s="5"/>
      <c r="J8504" s="5"/>
      <c r="K8504" s="5"/>
      <c r="L8504" s="5"/>
      <c r="M8504" s="5"/>
      <c r="N8504" s="5"/>
      <c r="O8504" s="5"/>
      <c r="P8504" s="5"/>
      <c r="Q8504" s="5"/>
      <c r="R8504" s="5"/>
      <c r="S8504" s="5"/>
      <c r="T8504" s="5"/>
      <c r="U8504" s="5"/>
      <c r="V8504" s="5"/>
      <c r="W8504" s="5"/>
      <c r="X8504" s="5"/>
      <c r="Y8504" s="5"/>
      <c r="Z8504" s="5"/>
    </row>
    <row r="8505" spans="1:26" ht="15" x14ac:dyDescent="0.25">
      <c r="A8505" s="4" t="s">
        <v>8503</v>
      </c>
      <c r="B8505" s="4" t="s">
        <v>4550</v>
      </c>
      <c r="C8505" s="2" t="str">
        <f ca="1">IFERROR(__xludf.DUMMYFUNCTION("GOOGLETRANSLATE(A8505,""bn"",""en"")"),"You booked the hotel")</f>
        <v>You booked the hotel</v>
      </c>
      <c r="D8505" s="5"/>
      <c r="E8505" s="5"/>
      <c r="F8505" s="5"/>
      <c r="G8505" s="5"/>
      <c r="H8505" s="5"/>
      <c r="I8505" s="5"/>
      <c r="J8505" s="5"/>
      <c r="K8505" s="5"/>
      <c r="L8505" s="5"/>
      <c r="M8505" s="5"/>
      <c r="N8505" s="5"/>
      <c r="O8505" s="5"/>
      <c r="P8505" s="5"/>
      <c r="Q8505" s="5"/>
      <c r="R8505" s="5"/>
      <c r="S8505" s="5"/>
      <c r="T8505" s="5"/>
      <c r="U8505" s="5"/>
      <c r="V8505" s="5"/>
      <c r="W8505" s="5"/>
      <c r="X8505" s="5"/>
      <c r="Y8505" s="5"/>
      <c r="Z8505" s="5"/>
    </row>
    <row r="8506" spans="1:26" ht="15" x14ac:dyDescent="0.25">
      <c r="A8506" s="4" t="s">
        <v>8504</v>
      </c>
      <c r="B8506" s="4" t="s">
        <v>4550</v>
      </c>
      <c r="C8506" s="2" t="str">
        <f ca="1">IFERROR(__xludf.DUMMYFUNCTION("GOOGLETRANSLATE(A8506,""bn"",""en"")"),"We got the loan in a week")</f>
        <v>We got the loan in a week</v>
      </c>
      <c r="D8506" s="5"/>
      <c r="E8506" s="5"/>
      <c r="F8506" s="5"/>
      <c r="G8506" s="5"/>
      <c r="H8506" s="5"/>
      <c r="I8506" s="5"/>
      <c r="J8506" s="5"/>
      <c r="K8506" s="5"/>
      <c r="L8506" s="5"/>
      <c r="M8506" s="5"/>
      <c r="N8506" s="5"/>
      <c r="O8506" s="5"/>
      <c r="P8506" s="5"/>
      <c r="Q8506" s="5"/>
      <c r="R8506" s="5"/>
      <c r="S8506" s="5"/>
      <c r="T8506" s="5"/>
      <c r="U8506" s="5"/>
      <c r="V8506" s="5"/>
      <c r="W8506" s="5"/>
      <c r="X8506" s="5"/>
      <c r="Y8506" s="5"/>
      <c r="Z8506" s="5"/>
    </row>
    <row r="8507" spans="1:26" ht="15" x14ac:dyDescent="0.25">
      <c r="A8507" s="4" t="s">
        <v>8505</v>
      </c>
      <c r="B8507" s="4" t="s">
        <v>4550</v>
      </c>
      <c r="C8507" s="2" t="str">
        <f ca="1">IFERROR(__xludf.DUMMYFUNCTION("GOOGLETRANSLATE(A8507,""bn"",""en"")"),"won the general election")</f>
        <v>won the general election</v>
      </c>
      <c r="D8507" s="5"/>
      <c r="E8507" s="5"/>
      <c r="F8507" s="5"/>
      <c r="G8507" s="5"/>
      <c r="H8507" s="5"/>
      <c r="I8507" s="5"/>
      <c r="J8507" s="5"/>
      <c r="K8507" s="5"/>
      <c r="L8507" s="5"/>
      <c r="M8507" s="5"/>
      <c r="N8507" s="5"/>
      <c r="O8507" s="5"/>
      <c r="P8507" s="5"/>
      <c r="Q8507" s="5"/>
      <c r="R8507" s="5"/>
      <c r="S8507" s="5"/>
      <c r="T8507" s="5"/>
      <c r="U8507" s="5"/>
      <c r="V8507" s="5"/>
      <c r="W8507" s="5"/>
      <c r="X8507" s="5"/>
      <c r="Y8507" s="5"/>
      <c r="Z8507" s="5"/>
    </row>
    <row r="8508" spans="1:26" ht="15" x14ac:dyDescent="0.25">
      <c r="A8508" s="4" t="s">
        <v>8506</v>
      </c>
      <c r="B8508" s="4" t="s">
        <v>4550</v>
      </c>
      <c r="C8508" s="2" t="str">
        <f ca="1">IFERROR(__xludf.DUMMYFUNCTION("GOOGLETRANSLATE(A8508,""bn"",""en"")"),"Backend framework was used")</f>
        <v>Backend framework was used</v>
      </c>
      <c r="D8508" s="5"/>
      <c r="E8508" s="5"/>
      <c r="F8508" s="5"/>
      <c r="G8508" s="5"/>
      <c r="H8508" s="5"/>
      <c r="I8508" s="5"/>
      <c r="J8508" s="5"/>
      <c r="K8508" s="5"/>
      <c r="L8508" s="5"/>
      <c r="M8508" s="5"/>
      <c r="N8508" s="5"/>
      <c r="O8508" s="5"/>
      <c r="P8508" s="5"/>
      <c r="Q8508" s="5"/>
      <c r="R8508" s="5"/>
      <c r="S8508" s="5"/>
      <c r="T8508" s="5"/>
      <c r="U8508" s="5"/>
      <c r="V8508" s="5"/>
      <c r="W8508" s="5"/>
      <c r="X8508" s="5"/>
      <c r="Y8508" s="5"/>
      <c r="Z8508" s="5"/>
    </row>
    <row r="8509" spans="1:26" ht="15" x14ac:dyDescent="0.25">
      <c r="A8509" s="4" t="s">
        <v>8507</v>
      </c>
      <c r="B8509" s="4" t="s">
        <v>4550</v>
      </c>
      <c r="C8509" s="2" t="str">
        <f ca="1">IFERROR(__xludf.DUMMYFUNCTION("GOOGLETRANSLATE(A8509,""bn"",""en"")"),"You were cooking lau bharta")</f>
        <v>You were cooking lau bharta</v>
      </c>
      <c r="D8509" s="5"/>
      <c r="E8509" s="5"/>
      <c r="F8509" s="5"/>
      <c r="G8509" s="5"/>
      <c r="H8509" s="5"/>
      <c r="I8509" s="5"/>
      <c r="J8509" s="5"/>
      <c r="K8509" s="5"/>
      <c r="L8509" s="5"/>
      <c r="M8509" s="5"/>
      <c r="N8509" s="5"/>
      <c r="O8509" s="5"/>
      <c r="P8509" s="5"/>
      <c r="Q8509" s="5"/>
      <c r="R8509" s="5"/>
      <c r="S8509" s="5"/>
      <c r="T8509" s="5"/>
      <c r="U8509" s="5"/>
      <c r="V8509" s="5"/>
      <c r="W8509" s="5"/>
      <c r="X8509" s="5"/>
      <c r="Y8509" s="5"/>
      <c r="Z8509" s="5"/>
    </row>
    <row r="8510" spans="1:26" ht="15" x14ac:dyDescent="0.25">
      <c r="A8510" s="4" t="s">
        <v>8508</v>
      </c>
      <c r="B8510" s="4" t="s">
        <v>4550</v>
      </c>
      <c r="C8510" s="2" t="str">
        <f ca="1">IFERROR(__xludf.DUMMYFUNCTION("GOOGLETRANSLATE(A8510,""bn"",""en"")"),"Saw sweet pictures at night")</f>
        <v>Saw sweet pictures at night</v>
      </c>
      <c r="D8510" s="5"/>
      <c r="E8510" s="5"/>
      <c r="F8510" s="5"/>
      <c r="G8510" s="5"/>
      <c r="H8510" s="5"/>
      <c r="I8510" s="5"/>
      <c r="J8510" s="5"/>
      <c r="K8510" s="5"/>
      <c r="L8510" s="5"/>
      <c r="M8510" s="5"/>
      <c r="N8510" s="5"/>
      <c r="O8510" s="5"/>
      <c r="P8510" s="5"/>
      <c r="Q8510" s="5"/>
      <c r="R8510" s="5"/>
      <c r="S8510" s="5"/>
      <c r="T8510" s="5"/>
      <c r="U8510" s="5"/>
      <c r="V8510" s="5"/>
      <c r="W8510" s="5"/>
      <c r="X8510" s="5"/>
      <c r="Y8510" s="5"/>
      <c r="Z8510" s="5"/>
    </row>
    <row r="8511" spans="1:26" ht="15" x14ac:dyDescent="0.25">
      <c r="A8511" s="4" t="s">
        <v>8509</v>
      </c>
      <c r="B8511" s="4" t="s">
        <v>4550</v>
      </c>
      <c r="C8511" s="2" t="str">
        <f ca="1">IFERROR(__xludf.DUMMYFUNCTION("GOOGLETRANSLATE(A8511,""bn"",""en"")"),"He played football skillfully")</f>
        <v>He played football skillfully</v>
      </c>
      <c r="D8511" s="5"/>
      <c r="E8511" s="5"/>
      <c r="F8511" s="5"/>
      <c r="G8511" s="5"/>
      <c r="H8511" s="5"/>
      <c r="I8511" s="5"/>
      <c r="J8511" s="5"/>
      <c r="K8511" s="5"/>
      <c r="L8511" s="5"/>
      <c r="M8511" s="5"/>
      <c r="N8511" s="5"/>
      <c r="O8511" s="5"/>
      <c r="P8511" s="5"/>
      <c r="Q8511" s="5"/>
      <c r="R8511" s="5"/>
      <c r="S8511" s="5"/>
      <c r="T8511" s="5"/>
      <c r="U8511" s="5"/>
      <c r="V8511" s="5"/>
      <c r="W8511" s="5"/>
      <c r="X8511" s="5"/>
      <c r="Y8511" s="5"/>
      <c r="Z8511" s="5"/>
    </row>
    <row r="8512" spans="1:26" ht="15" x14ac:dyDescent="0.25">
      <c r="A8512" s="4" t="s">
        <v>8510</v>
      </c>
      <c r="B8512" s="4" t="s">
        <v>4550</v>
      </c>
      <c r="C8512" s="2" t="str">
        <f ca="1">IFERROR(__xludf.DUMMYFUNCTION("GOOGLETRANSLATE(A8512,""bn"",""en"")"),"Software testing course was conducted")</f>
        <v>Software testing course was conducted</v>
      </c>
      <c r="D8512" s="5"/>
      <c r="E8512" s="5"/>
      <c r="F8512" s="5"/>
      <c r="G8512" s="5"/>
      <c r="H8512" s="5"/>
      <c r="I8512" s="5"/>
      <c r="J8512" s="5"/>
      <c r="K8512" s="5"/>
      <c r="L8512" s="5"/>
      <c r="M8512" s="5"/>
      <c r="N8512" s="5"/>
      <c r="O8512" s="5"/>
      <c r="P8512" s="5"/>
      <c r="Q8512" s="5"/>
      <c r="R8512" s="5"/>
      <c r="S8512" s="5"/>
      <c r="T8512" s="5"/>
      <c r="U8512" s="5"/>
      <c r="V8512" s="5"/>
      <c r="W8512" s="5"/>
      <c r="X8512" s="5"/>
      <c r="Y8512" s="5"/>
      <c r="Z8512" s="5"/>
    </row>
    <row r="8513" spans="1:26" ht="15" x14ac:dyDescent="0.25">
      <c r="A8513" s="4" t="s">
        <v>8511</v>
      </c>
      <c r="B8513" s="4" t="s">
        <v>4550</v>
      </c>
      <c r="C8513" s="2" t="str">
        <f ca="1">IFERROR(__xludf.DUMMYFUNCTION("GOOGLETRANSLATE(A8513,""bn"",""en"")"),"The leader won with the support of the people")</f>
        <v>The leader won with the support of the people</v>
      </c>
      <c r="D8513" s="5"/>
      <c r="E8513" s="5"/>
      <c r="F8513" s="5"/>
      <c r="G8513" s="5"/>
      <c r="H8513" s="5"/>
      <c r="I8513" s="5"/>
      <c r="J8513" s="5"/>
      <c r="K8513" s="5"/>
      <c r="L8513" s="5"/>
      <c r="M8513" s="5"/>
      <c r="N8513" s="5"/>
      <c r="O8513" s="5"/>
      <c r="P8513" s="5"/>
      <c r="Q8513" s="5"/>
      <c r="R8513" s="5"/>
      <c r="S8513" s="5"/>
      <c r="T8513" s="5"/>
      <c r="U8513" s="5"/>
      <c r="V8513" s="5"/>
      <c r="W8513" s="5"/>
      <c r="X8513" s="5"/>
      <c r="Y8513" s="5"/>
      <c r="Z8513" s="5"/>
    </row>
    <row r="8514" spans="1:26" ht="15" x14ac:dyDescent="0.25">
      <c r="A8514" s="4" t="s">
        <v>8512</v>
      </c>
      <c r="B8514" s="4" t="s">
        <v>4550</v>
      </c>
      <c r="C8514" s="2" t="str">
        <f ca="1">IFERROR(__xludf.DUMMYFUNCTION("GOOGLETRANSLATE(A8514,""bn"",""en"")"),"The bowler was injured while playing")</f>
        <v>The bowler was injured while playing</v>
      </c>
      <c r="D8514" s="5"/>
      <c r="E8514" s="5"/>
      <c r="F8514" s="5"/>
      <c r="G8514" s="5"/>
      <c r="H8514" s="5"/>
      <c r="I8514" s="5"/>
      <c r="J8514" s="5"/>
      <c r="K8514" s="5"/>
      <c r="L8514" s="5"/>
      <c r="M8514" s="5"/>
      <c r="N8514" s="5"/>
      <c r="O8514" s="5"/>
      <c r="P8514" s="5"/>
      <c r="Q8514" s="5"/>
      <c r="R8514" s="5"/>
      <c r="S8514" s="5"/>
      <c r="T8514" s="5"/>
      <c r="U8514" s="5"/>
      <c r="V8514" s="5"/>
      <c r="W8514" s="5"/>
      <c r="X8514" s="5"/>
      <c r="Y8514" s="5"/>
      <c r="Z8514" s="5"/>
    </row>
    <row r="8515" spans="1:26" ht="15" x14ac:dyDescent="0.25">
      <c r="A8515" s="4" t="s">
        <v>8513</v>
      </c>
      <c r="B8515" s="4" t="s">
        <v>4550</v>
      </c>
      <c r="C8515" s="2" t="str">
        <f ca="1">IFERROR(__xludf.DUMMYFUNCTION("GOOGLETRANSLATE(A8515,""bn"",""en"")"),"The opposition leader resigned")</f>
        <v>The opposition leader resigned</v>
      </c>
      <c r="D8515" s="5"/>
      <c r="E8515" s="5"/>
      <c r="F8515" s="5"/>
      <c r="G8515" s="5"/>
      <c r="H8515" s="5"/>
      <c r="I8515" s="5"/>
      <c r="J8515" s="5"/>
      <c r="K8515" s="5"/>
      <c r="L8515" s="5"/>
      <c r="M8515" s="5"/>
      <c r="N8515" s="5"/>
      <c r="O8515" s="5"/>
      <c r="P8515" s="5"/>
      <c r="Q8515" s="5"/>
      <c r="R8515" s="5"/>
      <c r="S8515" s="5"/>
      <c r="T8515" s="5"/>
      <c r="U8515" s="5"/>
      <c r="V8515" s="5"/>
      <c r="W8515" s="5"/>
      <c r="X8515" s="5"/>
      <c r="Y8515" s="5"/>
      <c r="Z8515" s="5"/>
    </row>
    <row r="8516" spans="1:26" ht="15" x14ac:dyDescent="0.25">
      <c r="A8516" s="4" t="s">
        <v>8514</v>
      </c>
      <c r="B8516" s="4" t="s">
        <v>4550</v>
      </c>
      <c r="C8516" s="2" t="str">
        <f ca="1">IFERROR(__xludf.DUMMYFUNCTION("GOOGLETRANSLATE(A8516,""bn"",""en"")"),"The match was very complicated")</f>
        <v>The match was very complicated</v>
      </c>
      <c r="D8516" s="5"/>
      <c r="E8516" s="5"/>
      <c r="F8516" s="5"/>
      <c r="G8516" s="5"/>
      <c r="H8516" s="5"/>
      <c r="I8516" s="5"/>
      <c r="J8516" s="5"/>
      <c r="K8516" s="5"/>
      <c r="L8516" s="5"/>
      <c r="M8516" s="5"/>
      <c r="N8516" s="5"/>
      <c r="O8516" s="5"/>
      <c r="P8516" s="5"/>
      <c r="Q8516" s="5"/>
      <c r="R8516" s="5"/>
      <c r="S8516" s="5"/>
      <c r="T8516" s="5"/>
      <c r="U8516" s="5"/>
      <c r="V8516" s="5"/>
      <c r="W8516" s="5"/>
      <c r="X8516" s="5"/>
      <c r="Y8516" s="5"/>
      <c r="Z8516" s="5"/>
    </row>
    <row r="8517" spans="1:26" ht="15" x14ac:dyDescent="0.25">
      <c r="A8517" s="4" t="s">
        <v>8515</v>
      </c>
      <c r="B8517" s="4" t="s">
        <v>4550</v>
      </c>
      <c r="C8517" s="2" t="str">
        <f ca="1">IFERROR(__xludf.DUMMYFUNCTION("GOOGLETRANSLATE(A8517,""bn"",""en"")"),"Trade deficit was increasing in China")</f>
        <v>Trade deficit was increasing in China</v>
      </c>
      <c r="D8517" s="5"/>
      <c r="E8517" s="5"/>
      <c r="F8517" s="5"/>
      <c r="G8517" s="5"/>
      <c r="H8517" s="5"/>
      <c r="I8517" s="5"/>
      <c r="J8517" s="5"/>
      <c r="K8517" s="5"/>
      <c r="L8517" s="5"/>
      <c r="M8517" s="5"/>
      <c r="N8517" s="5"/>
      <c r="O8517" s="5"/>
      <c r="P8517" s="5"/>
      <c r="Q8517" s="5"/>
      <c r="R8517" s="5"/>
      <c r="S8517" s="5"/>
      <c r="T8517" s="5"/>
      <c r="U8517" s="5"/>
      <c r="V8517" s="5"/>
      <c r="W8517" s="5"/>
      <c r="X8517" s="5"/>
      <c r="Y8517" s="5"/>
      <c r="Z8517" s="5"/>
    </row>
    <row r="8518" spans="1:26" ht="15" x14ac:dyDescent="0.25">
      <c r="A8518" s="4" t="s">
        <v>8516</v>
      </c>
      <c r="B8518" s="4" t="s">
        <v>4550</v>
      </c>
      <c r="C8518" s="2" t="str">
        <f ca="1">IFERROR(__xludf.DUMMYFUNCTION("GOOGLETRANSLATE(A8518,""bn"",""en"")"),"Business growth slowed in two months")</f>
        <v>Business growth slowed in two months</v>
      </c>
      <c r="D8518" s="5"/>
      <c r="E8518" s="5"/>
      <c r="F8518" s="5"/>
      <c r="G8518" s="5"/>
      <c r="H8518" s="5"/>
      <c r="I8518" s="5"/>
      <c r="J8518" s="5"/>
      <c r="K8518" s="5"/>
      <c r="L8518" s="5"/>
      <c r="M8518" s="5"/>
      <c r="N8518" s="5"/>
      <c r="O8518" s="5"/>
      <c r="P8518" s="5"/>
      <c r="Q8518" s="5"/>
      <c r="R8518" s="5"/>
      <c r="S8518" s="5"/>
      <c r="T8518" s="5"/>
      <c r="U8518" s="5"/>
      <c r="V8518" s="5"/>
      <c r="W8518" s="5"/>
      <c r="X8518" s="5"/>
      <c r="Y8518" s="5"/>
      <c r="Z8518" s="5"/>
    </row>
    <row r="8519" spans="1:26" ht="15" x14ac:dyDescent="0.25">
      <c r="A8519" s="4" t="s">
        <v>8517</v>
      </c>
      <c r="B8519" s="4" t="s">
        <v>4550</v>
      </c>
      <c r="C8519" s="2" t="str">
        <f ca="1">IFERROR(__xludf.DUMMYFUNCTION("GOOGLETRANSLATE(A8519,""bn"",""en"")"),"I was programming all night")</f>
        <v>I was programming all night</v>
      </c>
      <c r="D8519" s="5"/>
      <c r="E8519" s="5"/>
      <c r="F8519" s="5"/>
      <c r="G8519" s="5"/>
      <c r="H8519" s="5"/>
      <c r="I8519" s="5"/>
      <c r="J8519" s="5"/>
      <c r="K8519" s="5"/>
      <c r="L8519" s="5"/>
      <c r="M8519" s="5"/>
      <c r="N8519" s="5"/>
      <c r="O8519" s="5"/>
      <c r="P8519" s="5"/>
      <c r="Q8519" s="5"/>
      <c r="R8519" s="5"/>
      <c r="S8519" s="5"/>
      <c r="T8519" s="5"/>
      <c r="U8519" s="5"/>
      <c r="V8519" s="5"/>
      <c r="W8519" s="5"/>
      <c r="X8519" s="5"/>
      <c r="Y8519" s="5"/>
      <c r="Z8519" s="5"/>
    </row>
    <row r="8520" spans="1:26" ht="15" x14ac:dyDescent="0.25">
      <c r="A8520" s="4" t="s">
        <v>8518</v>
      </c>
      <c r="B8520" s="4" t="s">
        <v>4550</v>
      </c>
      <c r="C8520" s="2" t="str">
        <f ca="1">IFERROR(__xludf.DUMMYFUNCTION("GOOGLETRANSLATE(A8520,""bn"",""en"")"),"The market grew in competition")</f>
        <v>The market grew in competition</v>
      </c>
      <c r="D8520" s="5"/>
      <c r="E8520" s="5"/>
      <c r="F8520" s="5"/>
      <c r="G8520" s="5"/>
      <c r="H8520" s="5"/>
      <c r="I8520" s="5"/>
      <c r="J8520" s="5"/>
      <c r="K8520" s="5"/>
      <c r="L8520" s="5"/>
      <c r="M8520" s="5"/>
      <c r="N8520" s="5"/>
      <c r="O8520" s="5"/>
      <c r="P8520" s="5"/>
      <c r="Q8520" s="5"/>
      <c r="R8520" s="5"/>
      <c r="S8520" s="5"/>
      <c r="T8520" s="5"/>
      <c r="U8520" s="5"/>
      <c r="V8520" s="5"/>
      <c r="W8520" s="5"/>
      <c r="X8520" s="5"/>
      <c r="Y8520" s="5"/>
      <c r="Z8520" s="5"/>
    </row>
    <row r="8521" spans="1:26" ht="15" x14ac:dyDescent="0.25">
      <c r="A8521" s="4" t="s">
        <v>8519</v>
      </c>
      <c r="B8521" s="4" t="s">
        <v>4550</v>
      </c>
      <c r="C8521" s="2" t="str">
        <f ca="1">IFERROR(__xludf.DUMMYFUNCTION("GOOGLETRANSLATE(A8521,""bn"",""en"")"),"Excellent partnership")</f>
        <v>Excellent partnership</v>
      </c>
      <c r="D8521" s="5"/>
      <c r="E8521" s="5"/>
      <c r="F8521" s="5"/>
      <c r="G8521" s="5"/>
      <c r="H8521" s="5"/>
      <c r="I8521" s="5"/>
      <c r="J8521" s="5"/>
      <c r="K8521" s="5"/>
      <c r="L8521" s="5"/>
      <c r="M8521" s="5"/>
      <c r="N8521" s="5"/>
      <c r="O8521" s="5"/>
      <c r="P8521" s="5"/>
      <c r="Q8521" s="5"/>
      <c r="R8521" s="5"/>
      <c r="S8521" s="5"/>
      <c r="T8521" s="5"/>
      <c r="U8521" s="5"/>
      <c r="V8521" s="5"/>
      <c r="W8521" s="5"/>
      <c r="X8521" s="5"/>
      <c r="Y8521" s="5"/>
      <c r="Z8521" s="5"/>
    </row>
    <row r="8522" spans="1:26" ht="15" x14ac:dyDescent="0.25">
      <c r="A8522" s="4" t="s">
        <v>8520</v>
      </c>
      <c r="B8522" s="4" t="s">
        <v>4550</v>
      </c>
      <c r="C8522" s="2" t="str">
        <f ca="1">IFERROR(__xludf.DUMMYFUNCTION("GOOGLETRANSLATE(A8522,""bn"",""en"")"),"He taught English poetry")</f>
        <v>He taught English poetry</v>
      </c>
      <c r="D8522" s="5"/>
      <c r="E8522" s="5"/>
      <c r="F8522" s="5"/>
      <c r="G8522" s="5"/>
      <c r="H8522" s="5"/>
      <c r="I8522" s="5"/>
      <c r="J8522" s="5"/>
      <c r="K8522" s="5"/>
      <c r="L8522" s="5"/>
      <c r="M8522" s="5"/>
      <c r="N8522" s="5"/>
      <c r="O8522" s="5"/>
      <c r="P8522" s="5"/>
      <c r="Q8522" s="5"/>
      <c r="R8522" s="5"/>
      <c r="S8522" s="5"/>
      <c r="T8522" s="5"/>
      <c r="U8522" s="5"/>
      <c r="V8522" s="5"/>
      <c r="W8522" s="5"/>
      <c r="X8522" s="5"/>
      <c r="Y8522" s="5"/>
      <c r="Z8522" s="5"/>
    </row>
    <row r="8523" spans="1:26" ht="15" x14ac:dyDescent="0.25">
      <c r="A8523" s="4" t="s">
        <v>8521</v>
      </c>
      <c r="B8523" s="4" t="s">
        <v>4550</v>
      </c>
      <c r="C8523" s="2" t="str">
        <f ca="1">IFERROR(__xludf.DUMMYFUNCTION("GOOGLETRANSLATE(A8523,""bn"",""en"")"),"Learned to work on new frameworks")</f>
        <v>Learned to work on new frameworks</v>
      </c>
      <c r="D8523" s="5"/>
      <c r="E8523" s="5"/>
      <c r="F8523" s="5"/>
      <c r="G8523" s="5"/>
      <c r="H8523" s="5"/>
      <c r="I8523" s="5"/>
      <c r="J8523" s="5"/>
      <c r="K8523" s="5"/>
      <c r="L8523" s="5"/>
      <c r="M8523" s="5"/>
      <c r="N8523" s="5"/>
      <c r="O8523" s="5"/>
      <c r="P8523" s="5"/>
      <c r="Q8523" s="5"/>
      <c r="R8523" s="5"/>
      <c r="S8523" s="5"/>
      <c r="T8523" s="5"/>
      <c r="U8523" s="5"/>
      <c r="V8523" s="5"/>
      <c r="W8523" s="5"/>
      <c r="X8523" s="5"/>
      <c r="Y8523" s="5"/>
      <c r="Z8523" s="5"/>
    </row>
    <row r="8524" spans="1:26" ht="15" x14ac:dyDescent="0.25">
      <c r="A8524" s="4" t="s">
        <v>8522</v>
      </c>
      <c r="B8524" s="4" t="s">
        <v>4550</v>
      </c>
      <c r="C8524" s="2" t="str">
        <f ca="1">IFERROR(__xludf.DUMMYFUNCTION("GOOGLETRANSLATE(A8524,""bn"",""en"")"),"He was swimming in the river")</f>
        <v>He was swimming in the river</v>
      </c>
      <c r="D8524" s="5"/>
      <c r="E8524" s="5"/>
      <c r="F8524" s="5"/>
      <c r="G8524" s="5"/>
      <c r="H8524" s="5"/>
      <c r="I8524" s="5"/>
      <c r="J8524" s="5"/>
      <c r="K8524" s="5"/>
      <c r="L8524" s="5"/>
      <c r="M8524" s="5"/>
      <c r="N8524" s="5"/>
      <c r="O8524" s="5"/>
      <c r="P8524" s="5"/>
      <c r="Q8524" s="5"/>
      <c r="R8524" s="5"/>
      <c r="S8524" s="5"/>
      <c r="T8524" s="5"/>
      <c r="U8524" s="5"/>
      <c r="V8524" s="5"/>
      <c r="W8524" s="5"/>
      <c r="X8524" s="5"/>
      <c r="Y8524" s="5"/>
      <c r="Z8524" s="5"/>
    </row>
    <row r="8525" spans="1:26" ht="15" x14ac:dyDescent="0.25">
      <c r="A8525" s="4" t="s">
        <v>8523</v>
      </c>
      <c r="B8525" s="4" t="s">
        <v>4550</v>
      </c>
      <c r="C8525" s="2" t="str">
        <f ca="1">IFERROR(__xludf.DUMMYFUNCTION("GOOGLETRANSLATE(A8525,""bn"",""en"")"),"The audience at the Taj Mahal was in awe")</f>
        <v>The audience at the Taj Mahal was in awe</v>
      </c>
      <c r="D8525" s="5"/>
      <c r="E8525" s="5"/>
      <c r="F8525" s="5"/>
      <c r="G8525" s="5"/>
      <c r="H8525" s="5"/>
      <c r="I8525" s="5"/>
      <c r="J8525" s="5"/>
      <c r="K8525" s="5"/>
      <c r="L8525" s="5"/>
      <c r="M8525" s="5"/>
      <c r="N8525" s="5"/>
      <c r="O8525" s="5"/>
      <c r="P8525" s="5"/>
      <c r="Q8525" s="5"/>
      <c r="R8525" s="5"/>
      <c r="S8525" s="5"/>
      <c r="T8525" s="5"/>
      <c r="U8525" s="5"/>
      <c r="V8525" s="5"/>
      <c r="W8525" s="5"/>
      <c r="X8525" s="5"/>
      <c r="Y8525" s="5"/>
      <c r="Z8525" s="5"/>
    </row>
    <row r="8526" spans="1:26" ht="15" x14ac:dyDescent="0.25">
      <c r="A8526" s="4" t="s">
        <v>8524</v>
      </c>
      <c r="B8526" s="4" t="s">
        <v>4550</v>
      </c>
      <c r="C8526" s="2" t="str">
        <f ca="1">IFERROR(__xludf.DUMMYFUNCTION("GOOGLETRANSLATE(A8526,""bn"",""en"")"),"Produced food crops")</f>
        <v>Produced food crops</v>
      </c>
      <c r="D8526" s="5"/>
      <c r="E8526" s="5"/>
      <c r="F8526" s="5"/>
      <c r="G8526" s="5"/>
      <c r="H8526" s="5"/>
      <c r="I8526" s="5"/>
      <c r="J8526" s="5"/>
      <c r="K8526" s="5"/>
      <c r="L8526" s="5"/>
      <c r="M8526" s="5"/>
      <c r="N8526" s="5"/>
      <c r="O8526" s="5"/>
      <c r="P8526" s="5"/>
      <c r="Q8526" s="5"/>
      <c r="R8526" s="5"/>
      <c r="S8526" s="5"/>
      <c r="T8526" s="5"/>
      <c r="U8526" s="5"/>
      <c r="V8526" s="5"/>
      <c r="W8526" s="5"/>
      <c r="X8526" s="5"/>
      <c r="Y8526" s="5"/>
      <c r="Z8526" s="5"/>
    </row>
    <row r="8527" spans="1:26" ht="15" x14ac:dyDescent="0.25">
      <c r="A8527" s="4" t="s">
        <v>8525</v>
      </c>
      <c r="B8527" s="4" t="s">
        <v>4550</v>
      </c>
      <c r="C8527" s="2" t="str">
        <f ca="1">IFERROR(__xludf.DUMMYFUNCTION("GOOGLETRANSLATE(A8527,""bn"",""en"")"),"I saw his picture last month")</f>
        <v>I saw his picture last month</v>
      </c>
      <c r="D8527" s="5"/>
      <c r="E8527" s="5"/>
      <c r="F8527" s="5"/>
      <c r="G8527" s="5"/>
      <c r="H8527" s="5"/>
      <c r="I8527" s="5"/>
      <c r="J8527" s="5"/>
      <c r="K8527" s="5"/>
      <c r="L8527" s="5"/>
      <c r="M8527" s="5"/>
      <c r="N8527" s="5"/>
      <c r="O8527" s="5"/>
      <c r="P8527" s="5"/>
      <c r="Q8527" s="5"/>
      <c r="R8527" s="5"/>
      <c r="S8527" s="5"/>
      <c r="T8527" s="5"/>
      <c r="U8527" s="5"/>
      <c r="V8527" s="5"/>
      <c r="W8527" s="5"/>
      <c r="X8527" s="5"/>
      <c r="Y8527" s="5"/>
      <c r="Z8527" s="5"/>
    </row>
    <row r="8528" spans="1:26" ht="15" x14ac:dyDescent="0.25">
      <c r="A8528" s="4" t="s">
        <v>8526</v>
      </c>
      <c r="B8528" s="4" t="s">
        <v>4550</v>
      </c>
      <c r="C8528" s="2" t="str">
        <f ca="1">IFERROR(__xludf.DUMMYFUNCTION("GOOGLETRANSLATE(A8528,""bn"",""en"")"),"Social media was running on Google")</f>
        <v>Social media was running on Google</v>
      </c>
      <c r="D8528" s="5"/>
      <c r="E8528" s="5"/>
      <c r="F8528" s="5"/>
      <c r="G8528" s="5"/>
      <c r="H8528" s="5"/>
      <c r="I8528" s="5"/>
      <c r="J8528" s="5"/>
      <c r="K8528" s="5"/>
      <c r="L8528" s="5"/>
      <c r="M8528" s="5"/>
      <c r="N8528" s="5"/>
      <c r="O8528" s="5"/>
      <c r="P8528" s="5"/>
      <c r="Q8528" s="5"/>
      <c r="R8528" s="5"/>
      <c r="S8528" s="5"/>
      <c r="T8528" s="5"/>
      <c r="U8528" s="5"/>
      <c r="V8528" s="5"/>
      <c r="W8528" s="5"/>
      <c r="X8528" s="5"/>
      <c r="Y8528" s="5"/>
      <c r="Z8528" s="5"/>
    </row>
    <row r="8529" spans="1:26" ht="15" x14ac:dyDescent="0.25">
      <c r="A8529" s="4" t="s">
        <v>8527</v>
      </c>
      <c r="B8529" s="4" t="s">
        <v>4550</v>
      </c>
      <c r="C8529" s="2" t="str">
        <f ca="1">IFERROR(__xludf.DUMMYFUNCTION("GOOGLETRANSLATE(A8529,""bn"",""en"")"),"We went on a sky tour")</f>
        <v>We went on a sky tour</v>
      </c>
      <c r="D8529" s="5"/>
      <c r="E8529" s="5"/>
      <c r="F8529" s="5"/>
      <c r="G8529" s="5"/>
      <c r="H8529" s="5"/>
      <c r="I8529" s="5"/>
      <c r="J8529" s="5"/>
      <c r="K8529" s="5"/>
      <c r="L8529" s="5"/>
      <c r="M8529" s="5"/>
      <c r="N8529" s="5"/>
      <c r="O8529" s="5"/>
      <c r="P8529" s="5"/>
      <c r="Q8529" s="5"/>
      <c r="R8529" s="5"/>
      <c r="S8529" s="5"/>
      <c r="T8529" s="5"/>
      <c r="U8529" s="5"/>
      <c r="V8529" s="5"/>
      <c r="W8529" s="5"/>
      <c r="X8529" s="5"/>
      <c r="Y8529" s="5"/>
      <c r="Z8529" s="5"/>
    </row>
    <row r="8530" spans="1:26" ht="15" x14ac:dyDescent="0.25">
      <c r="A8530" s="4" t="s">
        <v>8528</v>
      </c>
      <c r="B8530" s="4" t="s">
        <v>4550</v>
      </c>
      <c r="C8530" s="2" t="str">
        <f ca="1">IFERROR(__xludf.DUMMYFUNCTION("GOOGLETRANSLATE(A8530,""bn"",""en"")"),"The council discussed it last week")</f>
        <v>The council discussed it last week</v>
      </c>
      <c r="D8530" s="5"/>
      <c r="E8530" s="5"/>
      <c r="F8530" s="5"/>
      <c r="G8530" s="5"/>
      <c r="H8530" s="5"/>
      <c r="I8530" s="5"/>
      <c r="J8530" s="5"/>
      <c r="K8530" s="5"/>
      <c r="L8530" s="5"/>
      <c r="M8530" s="5"/>
      <c r="N8530" s="5"/>
      <c r="O8530" s="5"/>
      <c r="P8530" s="5"/>
      <c r="Q8530" s="5"/>
      <c r="R8530" s="5"/>
      <c r="S8530" s="5"/>
      <c r="T8530" s="5"/>
      <c r="U8530" s="5"/>
      <c r="V8530" s="5"/>
      <c r="W8530" s="5"/>
      <c r="X8530" s="5"/>
      <c r="Y8530" s="5"/>
      <c r="Z8530" s="5"/>
    </row>
    <row r="8531" spans="1:26" ht="15" x14ac:dyDescent="0.25">
      <c r="A8531" s="4" t="s">
        <v>8529</v>
      </c>
      <c r="B8531" s="4" t="s">
        <v>4550</v>
      </c>
      <c r="C8531" s="2" t="str">
        <f ca="1">IFERROR(__xludf.DUMMYFUNCTION("GOOGLETRANSLATE(A8531,""bn"",""en"")"),"I ate chocolate at the wedding")</f>
        <v>I ate chocolate at the wedding</v>
      </c>
      <c r="D8531" s="5"/>
      <c r="E8531" s="5"/>
      <c r="F8531" s="5"/>
      <c r="G8531" s="5"/>
      <c r="H8531" s="5"/>
      <c r="I8531" s="5"/>
      <c r="J8531" s="5"/>
      <c r="K8531" s="5"/>
      <c r="L8531" s="5"/>
      <c r="M8531" s="5"/>
      <c r="N8531" s="5"/>
      <c r="O8531" s="5"/>
      <c r="P8531" s="5"/>
      <c r="Q8531" s="5"/>
      <c r="R8531" s="5"/>
      <c r="S8531" s="5"/>
      <c r="T8531" s="5"/>
      <c r="U8531" s="5"/>
      <c r="V8531" s="5"/>
      <c r="W8531" s="5"/>
      <c r="X8531" s="5"/>
      <c r="Y8531" s="5"/>
      <c r="Z8531" s="5"/>
    </row>
    <row r="8532" spans="1:26" ht="15" x14ac:dyDescent="0.25">
      <c r="A8532" s="4" t="s">
        <v>8530</v>
      </c>
      <c r="B8532" s="4" t="s">
        <v>4550</v>
      </c>
      <c r="C8532" s="2" t="str">
        <f ca="1">IFERROR(__xludf.DUMMYFUNCTION("GOOGLETRANSLATE(A8532,""bn"",""en"")"),"The family members were well dressed")</f>
        <v>The family members were well dressed</v>
      </c>
      <c r="D8532" s="5"/>
      <c r="E8532" s="5"/>
      <c r="F8532" s="5"/>
      <c r="G8532" s="5"/>
      <c r="H8532" s="5"/>
      <c r="I8532" s="5"/>
      <c r="J8532" s="5"/>
      <c r="K8532" s="5"/>
      <c r="L8532" s="5"/>
      <c r="M8532" s="5"/>
      <c r="N8532" s="5"/>
      <c r="O8532" s="5"/>
      <c r="P8532" s="5"/>
      <c r="Q8532" s="5"/>
      <c r="R8532" s="5"/>
      <c r="S8532" s="5"/>
      <c r="T8532" s="5"/>
      <c r="U8532" s="5"/>
      <c r="V8532" s="5"/>
      <c r="W8532" s="5"/>
      <c r="X8532" s="5"/>
      <c r="Y8532" s="5"/>
      <c r="Z8532" s="5"/>
    </row>
    <row r="8533" spans="1:26" ht="15" x14ac:dyDescent="0.25">
      <c r="A8533" s="4" t="s">
        <v>8531</v>
      </c>
      <c r="B8533" s="4" t="s">
        <v>4550</v>
      </c>
      <c r="C8533" s="2" t="str">
        <f ca="1">IFERROR(__xludf.DUMMYFUNCTION("GOOGLETRANSLATE(A8533,""bn"",""en"")"),"You were boiling milk tea")</f>
        <v>You were boiling milk tea</v>
      </c>
      <c r="D8533" s="5"/>
      <c r="E8533" s="5"/>
      <c r="F8533" s="5"/>
      <c r="G8533" s="5"/>
      <c r="H8533" s="5"/>
      <c r="I8533" s="5"/>
      <c r="J8533" s="5"/>
      <c r="K8533" s="5"/>
      <c r="L8533" s="5"/>
      <c r="M8533" s="5"/>
      <c r="N8533" s="5"/>
      <c r="O8533" s="5"/>
      <c r="P8533" s="5"/>
      <c r="Q8533" s="5"/>
      <c r="R8533" s="5"/>
      <c r="S8533" s="5"/>
      <c r="T8533" s="5"/>
      <c r="U8533" s="5"/>
      <c r="V8533" s="5"/>
      <c r="W8533" s="5"/>
      <c r="X8533" s="5"/>
      <c r="Y8533" s="5"/>
      <c r="Z8533" s="5"/>
    </row>
    <row r="8534" spans="1:26" ht="15" x14ac:dyDescent="0.25">
      <c r="A8534" s="4" t="s">
        <v>8532</v>
      </c>
      <c r="B8534" s="4" t="s">
        <v>4550</v>
      </c>
      <c r="C8534" s="2" t="str">
        <f ca="1">IFERROR(__xludf.DUMMYFUNCTION("GOOGLETRANSLATE(A8534,""bn"",""en"")"),"Cultivation preparations were completed")</f>
        <v>Cultivation preparations were completed</v>
      </c>
      <c r="D8534" s="5"/>
      <c r="E8534" s="5"/>
      <c r="F8534" s="5"/>
      <c r="G8534" s="5"/>
      <c r="H8534" s="5"/>
      <c r="I8534" s="5"/>
      <c r="J8534" s="5"/>
      <c r="K8534" s="5"/>
      <c r="L8534" s="5"/>
      <c r="M8534" s="5"/>
      <c r="N8534" s="5"/>
      <c r="O8534" s="5"/>
      <c r="P8534" s="5"/>
      <c r="Q8534" s="5"/>
      <c r="R8534" s="5"/>
      <c r="S8534" s="5"/>
      <c r="T8534" s="5"/>
      <c r="U8534" s="5"/>
      <c r="V8534" s="5"/>
      <c r="W8534" s="5"/>
      <c r="X8534" s="5"/>
      <c r="Y8534" s="5"/>
      <c r="Z8534" s="5"/>
    </row>
    <row r="8535" spans="1:26" ht="15" x14ac:dyDescent="0.25">
      <c r="A8535" s="4" t="s">
        <v>8533</v>
      </c>
      <c r="B8535" s="4" t="s">
        <v>4550</v>
      </c>
      <c r="C8535" s="2" t="str">
        <f ca="1">IFERROR(__xludf.DUMMYFUNCTION("GOOGLETRANSLATE(A8535,""bn"",""en"")"),"Badminton match was going on in the ground")</f>
        <v>Badminton match was going on in the ground</v>
      </c>
      <c r="D8535" s="5"/>
      <c r="E8535" s="5"/>
      <c r="F8535" s="5"/>
      <c r="G8535" s="5"/>
      <c r="H8535" s="5"/>
      <c r="I8535" s="5"/>
      <c r="J8535" s="5"/>
      <c r="K8535" s="5"/>
      <c r="L8535" s="5"/>
      <c r="M8535" s="5"/>
      <c r="N8535" s="5"/>
      <c r="O8535" s="5"/>
      <c r="P8535" s="5"/>
      <c r="Q8535" s="5"/>
      <c r="R8535" s="5"/>
      <c r="S8535" s="5"/>
      <c r="T8535" s="5"/>
      <c r="U8535" s="5"/>
      <c r="V8535" s="5"/>
      <c r="W8535" s="5"/>
      <c r="X8535" s="5"/>
      <c r="Y8535" s="5"/>
      <c r="Z8535" s="5"/>
    </row>
    <row r="8536" spans="1:26" ht="15" x14ac:dyDescent="0.25">
      <c r="A8536" s="4" t="s">
        <v>8534</v>
      </c>
      <c r="B8536" s="4" t="s">
        <v>4550</v>
      </c>
      <c r="C8536" s="2" t="str">
        <f ca="1">IFERROR(__xludf.DUMMYFUNCTION("GOOGLETRANSLATE(A8536,""bn"",""en"")"),"I participated in Bank Viva")</f>
        <v>I participated in Bank Viva</v>
      </c>
      <c r="D8536" s="5"/>
      <c r="E8536" s="5"/>
      <c r="F8536" s="5"/>
      <c r="G8536" s="5"/>
      <c r="H8536" s="5"/>
      <c r="I8536" s="5"/>
      <c r="J8536" s="5"/>
      <c r="K8536" s="5"/>
      <c r="L8536" s="5"/>
      <c r="M8536" s="5"/>
      <c r="N8536" s="5"/>
      <c r="O8536" s="5"/>
      <c r="P8536" s="5"/>
      <c r="Q8536" s="5"/>
      <c r="R8536" s="5"/>
      <c r="S8536" s="5"/>
      <c r="T8536" s="5"/>
      <c r="U8536" s="5"/>
      <c r="V8536" s="5"/>
      <c r="W8536" s="5"/>
      <c r="X8536" s="5"/>
      <c r="Y8536" s="5"/>
      <c r="Z8536" s="5"/>
    </row>
    <row r="8537" spans="1:26" ht="15" x14ac:dyDescent="0.25">
      <c r="A8537" s="4" t="s">
        <v>8535</v>
      </c>
      <c r="B8537" s="4" t="s">
        <v>4550</v>
      </c>
      <c r="C8537" s="2" t="str">
        <f ca="1">IFERROR(__xludf.DUMMYFUNCTION("GOOGLETRANSLATE(A8537,""bn"",""en"")"),"They were heating the soup")</f>
        <v>They were heating the soup</v>
      </c>
      <c r="D8537" s="5"/>
      <c r="E8537" s="5"/>
      <c r="F8537" s="5"/>
      <c r="G8537" s="5"/>
      <c r="H8537" s="5"/>
      <c r="I8537" s="5"/>
      <c r="J8537" s="5"/>
      <c r="K8537" s="5"/>
      <c r="L8537" s="5"/>
      <c r="M8537" s="5"/>
      <c r="N8537" s="5"/>
      <c r="O8537" s="5"/>
      <c r="P8537" s="5"/>
      <c r="Q8537" s="5"/>
      <c r="R8537" s="5"/>
      <c r="S8537" s="5"/>
      <c r="T8537" s="5"/>
      <c r="U8537" s="5"/>
      <c r="V8537" s="5"/>
      <c r="W8537" s="5"/>
      <c r="X8537" s="5"/>
      <c r="Y8537" s="5"/>
      <c r="Z8537" s="5"/>
    </row>
    <row r="8538" spans="1:26" ht="15" x14ac:dyDescent="0.25">
      <c r="A8538" s="4" t="s">
        <v>8536</v>
      </c>
      <c r="B8538" s="4" t="s">
        <v>4550</v>
      </c>
      <c r="C8538" s="2" t="str">
        <f ca="1">IFERROR(__xludf.DUMMYFUNCTION("GOOGLETRANSLATE(A8538,""bn"",""en"")"),"It was loud for three hours")</f>
        <v>It was loud for three hours</v>
      </c>
      <c r="D8538" s="5"/>
      <c r="E8538" s="5"/>
      <c r="F8538" s="5"/>
      <c r="G8538" s="5"/>
      <c r="H8538" s="5"/>
      <c r="I8538" s="5"/>
      <c r="J8538" s="5"/>
      <c r="K8538" s="5"/>
      <c r="L8538" s="5"/>
      <c r="M8538" s="5"/>
      <c r="N8538" s="5"/>
      <c r="O8538" s="5"/>
      <c r="P8538" s="5"/>
      <c r="Q8538" s="5"/>
      <c r="R8538" s="5"/>
      <c r="S8538" s="5"/>
      <c r="T8538" s="5"/>
      <c r="U8538" s="5"/>
      <c r="V8538" s="5"/>
      <c r="W8538" s="5"/>
      <c r="X8538" s="5"/>
      <c r="Y8538" s="5"/>
      <c r="Z8538" s="5"/>
    </row>
    <row r="8539" spans="1:26" ht="15" x14ac:dyDescent="0.25">
      <c r="A8539" s="4" t="s">
        <v>8537</v>
      </c>
      <c r="B8539" s="4" t="s">
        <v>4550</v>
      </c>
      <c r="C8539" s="2" t="str">
        <f ca="1">IFERROR(__xludf.DUMMYFUNCTION("GOOGLETRANSLATE(A8539,""bn"",""en"")"),"There was a match at the center last week")</f>
        <v>There was a match at the center last week</v>
      </c>
      <c r="D8539" s="5"/>
      <c r="E8539" s="5"/>
      <c r="F8539" s="5"/>
      <c r="G8539" s="5"/>
      <c r="H8539" s="5"/>
      <c r="I8539" s="5"/>
      <c r="J8539" s="5"/>
      <c r="K8539" s="5"/>
      <c r="L8539" s="5"/>
      <c r="M8539" s="5"/>
      <c r="N8539" s="5"/>
      <c r="O8539" s="5"/>
      <c r="P8539" s="5"/>
      <c r="Q8539" s="5"/>
      <c r="R8539" s="5"/>
      <c r="S8539" s="5"/>
      <c r="T8539" s="5"/>
      <c r="U8539" s="5"/>
      <c r="V8539" s="5"/>
      <c r="W8539" s="5"/>
      <c r="X8539" s="5"/>
      <c r="Y8539" s="5"/>
      <c r="Z8539" s="5"/>
    </row>
    <row r="8540" spans="1:26" ht="15" x14ac:dyDescent="0.25">
      <c r="A8540" s="4" t="s">
        <v>8538</v>
      </c>
      <c r="B8540" s="4" t="s">
        <v>4550</v>
      </c>
      <c r="C8540" s="2" t="str">
        <f ca="1">IFERROR(__xludf.DUMMYFUNCTION("GOOGLETRANSLATE(A8540,""bn"",""en"")"),"I was busy cooking")</f>
        <v>I was busy cooking</v>
      </c>
      <c r="D8540" s="5"/>
      <c r="E8540" s="5"/>
      <c r="F8540" s="5"/>
      <c r="G8540" s="5"/>
      <c r="H8540" s="5"/>
      <c r="I8540" s="5"/>
      <c r="J8540" s="5"/>
      <c r="K8540" s="5"/>
      <c r="L8540" s="5"/>
      <c r="M8540" s="5"/>
      <c r="N8540" s="5"/>
      <c r="O8540" s="5"/>
      <c r="P8540" s="5"/>
      <c r="Q8540" s="5"/>
      <c r="R8540" s="5"/>
      <c r="S8540" s="5"/>
      <c r="T8540" s="5"/>
      <c r="U8540" s="5"/>
      <c r="V8540" s="5"/>
      <c r="W8540" s="5"/>
      <c r="X8540" s="5"/>
      <c r="Y8540" s="5"/>
      <c r="Z8540" s="5"/>
    </row>
    <row r="8541" spans="1:26" ht="15" x14ac:dyDescent="0.25">
      <c r="A8541" s="4" t="s">
        <v>8539</v>
      </c>
      <c r="B8541" s="4" t="s">
        <v>4550</v>
      </c>
      <c r="C8541" s="2" t="str">
        <f ca="1">IFERROR(__xludf.DUMMYFUNCTION("GOOGLETRANSLATE(A8541,""bn"",""en"")"),"I made the eggs")</f>
        <v>I made the eggs</v>
      </c>
      <c r="D8541" s="5"/>
      <c r="E8541" s="5"/>
      <c r="F8541" s="5"/>
      <c r="G8541" s="5"/>
      <c r="H8541" s="5"/>
      <c r="I8541" s="5"/>
      <c r="J8541" s="5"/>
      <c r="K8541" s="5"/>
      <c r="L8541" s="5"/>
      <c r="M8541" s="5"/>
      <c r="N8541" s="5"/>
      <c r="O8541" s="5"/>
      <c r="P8541" s="5"/>
      <c r="Q8541" s="5"/>
      <c r="R8541" s="5"/>
      <c r="S8541" s="5"/>
      <c r="T8541" s="5"/>
      <c r="U8541" s="5"/>
      <c r="V8541" s="5"/>
      <c r="W8541" s="5"/>
      <c r="X8541" s="5"/>
      <c r="Y8541" s="5"/>
      <c r="Z8541" s="5"/>
    </row>
    <row r="8542" spans="1:26" ht="15" x14ac:dyDescent="0.25">
      <c r="A8542" s="4" t="s">
        <v>8540</v>
      </c>
      <c r="B8542" s="4" t="s">
        <v>4550</v>
      </c>
      <c r="C8542" s="2" t="str">
        <f ca="1">IFERROR(__xludf.DUMMYFUNCTION("GOOGLETRANSLATE(A8542,""bn"",""en"")"),"Security cell increased")</f>
        <v>Security cell increased</v>
      </c>
      <c r="D8542" s="5"/>
      <c r="E8542" s="5"/>
      <c r="F8542" s="5"/>
      <c r="G8542" s="5"/>
      <c r="H8542" s="5"/>
      <c r="I8542" s="5"/>
      <c r="J8542" s="5"/>
      <c r="K8542" s="5"/>
      <c r="L8542" s="5"/>
      <c r="M8542" s="5"/>
      <c r="N8542" s="5"/>
      <c r="O8542" s="5"/>
      <c r="P8542" s="5"/>
      <c r="Q8542" s="5"/>
      <c r="R8542" s="5"/>
      <c r="S8542" s="5"/>
      <c r="T8542" s="5"/>
      <c r="U8542" s="5"/>
      <c r="V8542" s="5"/>
      <c r="W8542" s="5"/>
      <c r="X8542" s="5"/>
      <c r="Y8542" s="5"/>
      <c r="Z8542" s="5"/>
    </row>
    <row r="8543" spans="1:26" ht="15" x14ac:dyDescent="0.25">
      <c r="A8543" s="4" t="s">
        <v>8541</v>
      </c>
      <c r="B8543" s="4" t="s">
        <v>4550</v>
      </c>
      <c r="C8543" s="2" t="str">
        <f ca="1">IFERROR(__xludf.DUMMYFUNCTION("GOOGLETRANSLATE(A8543,""bn"",""en"")"),"Watched the super match on television")</f>
        <v>Watched the super match on television</v>
      </c>
      <c r="D8543" s="5"/>
      <c r="E8543" s="5"/>
      <c r="F8543" s="5"/>
      <c r="G8543" s="5"/>
      <c r="H8543" s="5"/>
      <c r="I8543" s="5"/>
      <c r="J8543" s="5"/>
      <c r="K8543" s="5"/>
      <c r="L8543" s="5"/>
      <c r="M8543" s="5"/>
      <c r="N8543" s="5"/>
      <c r="O8543" s="5"/>
      <c r="P8543" s="5"/>
      <c r="Q8543" s="5"/>
      <c r="R8543" s="5"/>
      <c r="S8543" s="5"/>
      <c r="T8543" s="5"/>
      <c r="U8543" s="5"/>
      <c r="V8543" s="5"/>
      <c r="W8543" s="5"/>
      <c r="X8543" s="5"/>
      <c r="Y8543" s="5"/>
      <c r="Z8543" s="5"/>
    </row>
    <row r="8544" spans="1:26" ht="15" x14ac:dyDescent="0.25">
      <c r="A8544" s="4" t="s">
        <v>8542</v>
      </c>
      <c r="B8544" s="4" t="s">
        <v>4550</v>
      </c>
      <c r="C8544" s="2" t="str">
        <f ca="1">IFERROR(__xludf.DUMMYFUNCTION("GOOGLETRANSLATE(A8544,""bn"",""en"")"),"The inspector visited the college")</f>
        <v>The inspector visited the college</v>
      </c>
      <c r="D8544" s="5"/>
      <c r="E8544" s="5"/>
      <c r="F8544" s="5"/>
      <c r="G8544" s="5"/>
      <c r="H8544" s="5"/>
      <c r="I8544" s="5"/>
      <c r="J8544" s="5"/>
      <c r="K8544" s="5"/>
      <c r="L8544" s="5"/>
      <c r="M8544" s="5"/>
      <c r="N8544" s="5"/>
      <c r="O8544" s="5"/>
      <c r="P8544" s="5"/>
      <c r="Q8544" s="5"/>
      <c r="R8544" s="5"/>
      <c r="S8544" s="5"/>
      <c r="T8544" s="5"/>
      <c r="U8544" s="5"/>
      <c r="V8544" s="5"/>
      <c r="W8544" s="5"/>
      <c r="X8544" s="5"/>
      <c r="Y8544" s="5"/>
      <c r="Z8544" s="5"/>
    </row>
    <row r="8545" spans="1:26" ht="15" x14ac:dyDescent="0.25">
      <c r="A8545" s="4" t="s">
        <v>8543</v>
      </c>
      <c r="B8545" s="4" t="s">
        <v>4550</v>
      </c>
      <c r="C8545" s="2" t="str">
        <f ca="1">IFERROR(__xludf.DUMMYFUNCTION("GOOGLETRANSLATE(A8545,""bn"",""en"")"),"People loved cricket")</f>
        <v>People loved cricket</v>
      </c>
      <c r="D8545" s="5"/>
      <c r="E8545" s="5"/>
      <c r="F8545" s="5"/>
      <c r="G8545" s="5"/>
      <c r="H8545" s="5"/>
      <c r="I8545" s="5"/>
      <c r="J8545" s="5"/>
      <c r="K8545" s="5"/>
      <c r="L8545" s="5"/>
      <c r="M8545" s="5"/>
      <c r="N8545" s="5"/>
      <c r="O8545" s="5"/>
      <c r="P8545" s="5"/>
      <c r="Q8545" s="5"/>
      <c r="R8545" s="5"/>
      <c r="S8545" s="5"/>
      <c r="T8545" s="5"/>
      <c r="U8545" s="5"/>
      <c r="V8545" s="5"/>
      <c r="W8545" s="5"/>
      <c r="X8545" s="5"/>
      <c r="Y8545" s="5"/>
      <c r="Z8545" s="5"/>
    </row>
    <row r="8546" spans="1:26" ht="15" x14ac:dyDescent="0.25">
      <c r="A8546" s="4" t="s">
        <v>8544</v>
      </c>
      <c r="B8546" s="4" t="s">
        <v>4550</v>
      </c>
      <c r="C8546" s="2" t="str">
        <f ca="1">IFERROR(__xludf.DUMMYFUNCTION("GOOGLETRANSLATE(A8546,""bn"",""en"")"),"He watched Hollywood movies")</f>
        <v>He watched Hollywood movies</v>
      </c>
      <c r="D8546" s="5"/>
      <c r="E8546" s="5"/>
      <c r="F8546" s="5"/>
      <c r="G8546" s="5"/>
      <c r="H8546" s="5"/>
      <c r="I8546" s="5"/>
      <c r="J8546" s="5"/>
      <c r="K8546" s="5"/>
      <c r="L8546" s="5"/>
      <c r="M8546" s="5"/>
      <c r="N8546" s="5"/>
      <c r="O8546" s="5"/>
      <c r="P8546" s="5"/>
      <c r="Q8546" s="5"/>
      <c r="R8546" s="5"/>
      <c r="S8546" s="5"/>
      <c r="T8546" s="5"/>
      <c r="U8546" s="5"/>
      <c r="V8546" s="5"/>
      <c r="W8546" s="5"/>
      <c r="X8546" s="5"/>
      <c r="Y8546" s="5"/>
      <c r="Z8546" s="5"/>
    </row>
    <row r="8547" spans="1:26" ht="15" x14ac:dyDescent="0.25">
      <c r="A8547" s="4" t="s">
        <v>8545</v>
      </c>
      <c r="B8547" s="4" t="s">
        <v>4550</v>
      </c>
      <c r="C8547" s="2" t="str">
        <f ca="1">IFERROR(__xludf.DUMMYFUNCTION("GOOGLETRANSLATE(A8547,""bn"",""en"")"),"I was walking in a park")</f>
        <v>I was walking in a park</v>
      </c>
      <c r="D8547" s="5"/>
      <c r="E8547" s="5"/>
      <c r="F8547" s="5"/>
      <c r="G8547" s="5"/>
      <c r="H8547" s="5"/>
      <c r="I8547" s="5"/>
      <c r="J8547" s="5"/>
      <c r="K8547" s="5"/>
      <c r="L8547" s="5"/>
      <c r="M8547" s="5"/>
      <c r="N8547" s="5"/>
      <c r="O8547" s="5"/>
      <c r="P8547" s="5"/>
      <c r="Q8547" s="5"/>
      <c r="R8547" s="5"/>
      <c r="S8547" s="5"/>
      <c r="T8547" s="5"/>
      <c r="U8547" s="5"/>
      <c r="V8547" s="5"/>
      <c r="W8547" s="5"/>
      <c r="X8547" s="5"/>
      <c r="Y8547" s="5"/>
      <c r="Z8547" s="5"/>
    </row>
    <row r="8548" spans="1:26" ht="15" x14ac:dyDescent="0.25">
      <c r="A8548" s="4" t="s">
        <v>8546</v>
      </c>
      <c r="B8548" s="4" t="s">
        <v>4550</v>
      </c>
      <c r="C8548" s="2" t="str">
        <f ca="1">IFERROR(__xludf.DUMMYFUNCTION("GOOGLETRANSLATE(A8548,""bn"",""en"")"),"The party won the village elections")</f>
        <v>The party won the village elections</v>
      </c>
      <c r="D8548" s="5"/>
      <c r="E8548" s="5"/>
      <c r="F8548" s="5"/>
      <c r="G8548" s="5"/>
      <c r="H8548" s="5"/>
      <c r="I8548" s="5"/>
      <c r="J8548" s="5"/>
      <c r="K8548" s="5"/>
      <c r="L8548" s="5"/>
      <c r="M8548" s="5"/>
      <c r="N8548" s="5"/>
      <c r="O8548" s="5"/>
      <c r="P8548" s="5"/>
      <c r="Q8548" s="5"/>
      <c r="R8548" s="5"/>
      <c r="S8548" s="5"/>
      <c r="T8548" s="5"/>
      <c r="U8548" s="5"/>
      <c r="V8548" s="5"/>
      <c r="W8548" s="5"/>
      <c r="X8548" s="5"/>
      <c r="Y8548" s="5"/>
      <c r="Z8548" s="5"/>
    </row>
    <row r="8549" spans="1:26" ht="15" x14ac:dyDescent="0.25">
      <c r="A8549" s="4" t="s">
        <v>8547</v>
      </c>
      <c r="B8549" s="4" t="s">
        <v>4550</v>
      </c>
      <c r="C8549" s="2" t="str">
        <f ca="1">IFERROR(__xludf.DUMMYFUNCTION("GOOGLETRANSLATE(A8549,""bn"",""en"")"),"had to cross the sea")</f>
        <v>had to cross the sea</v>
      </c>
      <c r="D8549" s="5"/>
      <c r="E8549" s="5"/>
      <c r="F8549" s="5"/>
      <c r="G8549" s="5"/>
      <c r="H8549" s="5"/>
      <c r="I8549" s="5"/>
      <c r="J8549" s="5"/>
      <c r="K8549" s="5"/>
      <c r="L8549" s="5"/>
      <c r="M8549" s="5"/>
      <c r="N8549" s="5"/>
      <c r="O8549" s="5"/>
      <c r="P8549" s="5"/>
      <c r="Q8549" s="5"/>
      <c r="R8549" s="5"/>
      <c r="S8549" s="5"/>
      <c r="T8549" s="5"/>
      <c r="U8549" s="5"/>
      <c r="V8549" s="5"/>
      <c r="W8549" s="5"/>
      <c r="X8549" s="5"/>
      <c r="Y8549" s="5"/>
      <c r="Z8549" s="5"/>
    </row>
    <row r="8550" spans="1:26" ht="15" x14ac:dyDescent="0.25">
      <c r="A8550" s="4" t="s">
        <v>8548</v>
      </c>
      <c r="B8550" s="4" t="s">
        <v>4550</v>
      </c>
      <c r="C8550" s="2" t="str">
        <f ca="1">IFERROR(__xludf.DUMMYFUNCTION("GOOGLETRANSLATE(A8550,""bn"",""en"")"),"I enjoyed playing at the stadium")</f>
        <v>I enjoyed playing at the stadium</v>
      </c>
      <c r="D8550" s="5"/>
      <c r="E8550" s="5"/>
      <c r="F8550" s="5"/>
      <c r="G8550" s="5"/>
      <c r="H8550" s="5"/>
      <c r="I8550" s="5"/>
      <c r="J8550" s="5"/>
      <c r="K8550" s="5"/>
      <c r="L8550" s="5"/>
      <c r="M8550" s="5"/>
      <c r="N8550" s="5"/>
      <c r="O8550" s="5"/>
      <c r="P8550" s="5"/>
      <c r="Q8550" s="5"/>
      <c r="R8550" s="5"/>
      <c r="S8550" s="5"/>
      <c r="T8550" s="5"/>
      <c r="U8550" s="5"/>
      <c r="V8550" s="5"/>
      <c r="W8550" s="5"/>
      <c r="X8550" s="5"/>
      <c r="Y8550" s="5"/>
      <c r="Z8550" s="5"/>
    </row>
    <row r="8551" spans="1:26" ht="15" x14ac:dyDescent="0.25">
      <c r="A8551" s="4" t="s">
        <v>8549</v>
      </c>
      <c r="B8551" s="4" t="s">
        <v>4550</v>
      </c>
      <c r="C8551" s="2" t="str">
        <f ca="1">IFERROR(__xludf.DUMMYFUNCTION("GOOGLETRANSLATE(A8551,""bn"",""en"")"),"Beds were made")</f>
        <v>Beds were made</v>
      </c>
      <c r="D8551" s="5"/>
      <c r="E8551" s="5"/>
      <c r="F8551" s="5"/>
      <c r="G8551" s="5"/>
      <c r="H8551" s="5"/>
      <c r="I8551" s="5"/>
      <c r="J8551" s="5"/>
      <c r="K8551" s="5"/>
      <c r="L8551" s="5"/>
      <c r="M8551" s="5"/>
      <c r="N8551" s="5"/>
      <c r="O8551" s="5"/>
      <c r="P8551" s="5"/>
      <c r="Q8551" s="5"/>
      <c r="R8551" s="5"/>
      <c r="S8551" s="5"/>
      <c r="T8551" s="5"/>
      <c r="U8551" s="5"/>
      <c r="V8551" s="5"/>
      <c r="W8551" s="5"/>
      <c r="X8551" s="5"/>
      <c r="Y8551" s="5"/>
      <c r="Z8551" s="5"/>
    </row>
    <row r="8552" spans="1:26" ht="15" x14ac:dyDescent="0.25">
      <c r="A8552" s="4" t="s">
        <v>8550</v>
      </c>
      <c r="B8552" s="4" t="s">
        <v>4550</v>
      </c>
      <c r="C8552" s="2" t="str">
        <f ca="1">IFERROR(__xludf.DUMMYFUNCTION("GOOGLETRANSLATE(A8552,""bn"",""en"")"),"I was with a tour guide")</f>
        <v>I was with a tour guide</v>
      </c>
      <c r="D8552" s="5"/>
      <c r="E8552" s="5"/>
      <c r="F8552" s="5"/>
      <c r="G8552" s="5"/>
      <c r="H8552" s="5"/>
      <c r="I8552" s="5"/>
      <c r="J8552" s="5"/>
      <c r="K8552" s="5"/>
      <c r="L8552" s="5"/>
      <c r="M8552" s="5"/>
      <c r="N8552" s="5"/>
      <c r="O8552" s="5"/>
      <c r="P8552" s="5"/>
      <c r="Q8552" s="5"/>
      <c r="R8552" s="5"/>
      <c r="S8552" s="5"/>
      <c r="T8552" s="5"/>
      <c r="U8552" s="5"/>
      <c r="V8552" s="5"/>
      <c r="W8552" s="5"/>
      <c r="X8552" s="5"/>
      <c r="Y8552" s="5"/>
      <c r="Z8552" s="5"/>
    </row>
    <row r="8553" spans="1:26" ht="15" x14ac:dyDescent="0.25">
      <c r="A8553" s="4" t="s">
        <v>8551</v>
      </c>
      <c r="B8553" s="4" t="s">
        <v>4550</v>
      </c>
      <c r="C8553" s="2" t="str">
        <f ca="1">IFERROR(__xludf.DUMMYFUNCTION("GOOGLETRANSLATE(A8553,""bn"",""en"")"),"I never used to discuss politics")</f>
        <v>I never used to discuss politics</v>
      </c>
      <c r="D8553" s="5"/>
      <c r="E8553" s="5"/>
      <c r="F8553" s="5"/>
      <c r="G8553" s="5"/>
      <c r="H8553" s="5"/>
      <c r="I8553" s="5"/>
      <c r="J8553" s="5"/>
      <c r="K8553" s="5"/>
      <c r="L8553" s="5"/>
      <c r="M8553" s="5"/>
      <c r="N8553" s="5"/>
      <c r="O8553" s="5"/>
      <c r="P8553" s="5"/>
      <c r="Q8553" s="5"/>
      <c r="R8553" s="5"/>
      <c r="S8553" s="5"/>
      <c r="T8553" s="5"/>
      <c r="U8553" s="5"/>
      <c r="V8553" s="5"/>
      <c r="W8553" s="5"/>
      <c r="X8553" s="5"/>
      <c r="Y8553" s="5"/>
      <c r="Z8553" s="5"/>
    </row>
    <row r="8554" spans="1:26" ht="15" x14ac:dyDescent="0.25">
      <c r="A8554" s="4" t="s">
        <v>8552</v>
      </c>
      <c r="B8554" s="4" t="s">
        <v>4550</v>
      </c>
      <c r="C8554" s="2" t="str">
        <f ca="1">IFERROR(__xludf.DUMMYFUNCTION("GOOGLETRANSLATE(A8554,""bn"",""en"")"),"I walked in a park")</f>
        <v>I walked in a park</v>
      </c>
      <c r="D8554" s="5"/>
      <c r="E8554" s="5"/>
      <c r="F8554" s="5"/>
      <c r="G8554" s="5"/>
      <c r="H8554" s="5"/>
      <c r="I8554" s="5"/>
      <c r="J8554" s="5"/>
      <c r="K8554" s="5"/>
      <c r="L8554" s="5"/>
      <c r="M8554" s="5"/>
      <c r="N8554" s="5"/>
      <c r="O8554" s="5"/>
      <c r="P8554" s="5"/>
      <c r="Q8554" s="5"/>
      <c r="R8554" s="5"/>
      <c r="S8554" s="5"/>
      <c r="T8554" s="5"/>
      <c r="U8554" s="5"/>
      <c r="V8554" s="5"/>
      <c r="W8554" s="5"/>
      <c r="X8554" s="5"/>
      <c r="Y8554" s="5"/>
      <c r="Z8554" s="5"/>
    </row>
    <row r="8555" spans="1:26" ht="15" x14ac:dyDescent="0.25">
      <c r="A8555" s="4" t="s">
        <v>8553</v>
      </c>
      <c r="B8555" s="4" t="s">
        <v>4550</v>
      </c>
      <c r="C8555" s="2" t="str">
        <f ca="1">IFERROR(__xludf.DUMMYFUNCTION("GOOGLETRANSLATE(A8555,""bn"",""en"")"),"He excelled in athletics")</f>
        <v>He excelled in athletics</v>
      </c>
      <c r="D8555" s="5"/>
      <c r="E8555" s="5"/>
      <c r="F8555" s="5"/>
      <c r="G8555" s="5"/>
      <c r="H8555" s="5"/>
      <c r="I8555" s="5"/>
      <c r="J8555" s="5"/>
      <c r="K8555" s="5"/>
      <c r="L8555" s="5"/>
      <c r="M8555" s="5"/>
      <c r="N8555" s="5"/>
      <c r="O8555" s="5"/>
      <c r="P8555" s="5"/>
      <c r="Q8555" s="5"/>
      <c r="R8555" s="5"/>
      <c r="S8555" s="5"/>
      <c r="T8555" s="5"/>
      <c r="U8555" s="5"/>
      <c r="V8555" s="5"/>
      <c r="W8555" s="5"/>
      <c r="X8555" s="5"/>
      <c r="Y8555" s="5"/>
      <c r="Z8555" s="5"/>
    </row>
    <row r="8556" spans="1:26" ht="15" x14ac:dyDescent="0.25">
      <c r="A8556" s="4" t="s">
        <v>8554</v>
      </c>
      <c r="B8556" s="4" t="s">
        <v>4550</v>
      </c>
      <c r="C8556" s="2" t="str">
        <f ca="1">IFERROR(__xludf.DUMMYFUNCTION("GOOGLETRANSLATE(A8556,""bn"",""en"")"),"We stayed in a residential hotel")</f>
        <v>We stayed in a residential hotel</v>
      </c>
      <c r="D8556" s="5"/>
      <c r="E8556" s="5"/>
      <c r="F8556" s="5"/>
      <c r="G8556" s="5"/>
      <c r="H8556" s="5"/>
      <c r="I8556" s="5"/>
      <c r="J8556" s="5"/>
      <c r="K8556" s="5"/>
      <c r="L8556" s="5"/>
      <c r="M8556" s="5"/>
      <c r="N8556" s="5"/>
      <c r="O8556" s="5"/>
      <c r="P8556" s="5"/>
      <c r="Q8556" s="5"/>
      <c r="R8556" s="5"/>
      <c r="S8556" s="5"/>
      <c r="T8556" s="5"/>
      <c r="U8556" s="5"/>
      <c r="V8556" s="5"/>
      <c r="W8556" s="5"/>
      <c r="X8556" s="5"/>
      <c r="Y8556" s="5"/>
      <c r="Z8556" s="5"/>
    </row>
    <row r="8557" spans="1:26" ht="15" x14ac:dyDescent="0.25">
      <c r="A8557" s="4" t="s">
        <v>8555</v>
      </c>
      <c r="B8557" s="4" t="s">
        <v>4550</v>
      </c>
      <c r="C8557" s="2" t="str">
        <f ca="1">IFERROR(__xludf.DUMMYFUNCTION("GOOGLETRANSLATE(A8557,""bn"",""en"")"),"The problem was very complex")</f>
        <v>The problem was very complex</v>
      </c>
      <c r="D8557" s="5"/>
      <c r="E8557" s="5"/>
      <c r="F8557" s="5"/>
      <c r="G8557" s="5"/>
      <c r="H8557" s="5"/>
      <c r="I8557" s="5"/>
      <c r="J8557" s="5"/>
      <c r="K8557" s="5"/>
      <c r="L8557" s="5"/>
      <c r="M8557" s="5"/>
      <c r="N8557" s="5"/>
      <c r="O8557" s="5"/>
      <c r="P8557" s="5"/>
      <c r="Q8557" s="5"/>
      <c r="R8557" s="5"/>
      <c r="S8557" s="5"/>
      <c r="T8557" s="5"/>
      <c r="U8557" s="5"/>
      <c r="V8557" s="5"/>
      <c r="W8557" s="5"/>
      <c r="X8557" s="5"/>
      <c r="Y8557" s="5"/>
      <c r="Z8557" s="5"/>
    </row>
    <row r="8558" spans="1:26" ht="15" x14ac:dyDescent="0.25">
      <c r="A8558" s="4" t="s">
        <v>8556</v>
      </c>
      <c r="B8558" s="4" t="s">
        <v>4550</v>
      </c>
      <c r="C8558" s="2" t="str">
        <f ca="1">IFERROR(__xludf.DUMMYFUNCTION("GOOGLETRANSLATE(A8558,""bn"",""en"")"),"I made fun khichuri")</f>
        <v>I made fun khichuri</v>
      </c>
      <c r="D8558" s="5"/>
      <c r="E8558" s="5"/>
      <c r="F8558" s="5"/>
      <c r="G8558" s="5"/>
      <c r="H8558" s="5"/>
      <c r="I8558" s="5"/>
      <c r="J8558" s="5"/>
      <c r="K8558" s="5"/>
      <c r="L8558" s="5"/>
      <c r="M8558" s="5"/>
      <c r="N8558" s="5"/>
      <c r="O8558" s="5"/>
      <c r="P8558" s="5"/>
      <c r="Q8558" s="5"/>
      <c r="R8558" s="5"/>
      <c r="S8558" s="5"/>
      <c r="T8558" s="5"/>
      <c r="U8558" s="5"/>
      <c r="V8558" s="5"/>
      <c r="W8558" s="5"/>
      <c r="X8558" s="5"/>
      <c r="Y8558" s="5"/>
      <c r="Z8558" s="5"/>
    </row>
    <row r="8559" spans="1:26" ht="15" x14ac:dyDescent="0.25">
      <c r="A8559" s="4" t="s">
        <v>8557</v>
      </c>
      <c r="B8559" s="4" t="s">
        <v>4550</v>
      </c>
      <c r="C8559" s="2" t="str">
        <f ca="1">IFERROR(__xludf.DUMMYFUNCTION("GOOGLETRANSLATE(A8559,""bn"",""en"")"),"I used to watch plays every month")</f>
        <v>I used to watch plays every month</v>
      </c>
      <c r="D8559" s="5"/>
      <c r="E8559" s="5"/>
      <c r="F8559" s="5"/>
      <c r="G8559" s="5"/>
      <c r="H8559" s="5"/>
      <c r="I8559" s="5"/>
      <c r="J8559" s="5"/>
      <c r="K8559" s="5"/>
      <c r="L8559" s="5"/>
      <c r="M8559" s="5"/>
      <c r="N8559" s="5"/>
      <c r="O8559" s="5"/>
      <c r="P8559" s="5"/>
      <c r="Q8559" s="5"/>
      <c r="R8559" s="5"/>
      <c r="S8559" s="5"/>
      <c r="T8559" s="5"/>
      <c r="U8559" s="5"/>
      <c r="V8559" s="5"/>
      <c r="W8559" s="5"/>
      <c r="X8559" s="5"/>
      <c r="Y8559" s="5"/>
      <c r="Z8559" s="5"/>
    </row>
    <row r="8560" spans="1:26" ht="15" x14ac:dyDescent="0.25">
      <c r="A8560" s="4" t="s">
        <v>8558</v>
      </c>
      <c r="B8560" s="4" t="s">
        <v>4550</v>
      </c>
      <c r="C8560" s="2" t="str">
        <f ca="1">IFERROR(__xludf.DUMMYFUNCTION("GOOGLETRANSLATE(A8560,""bn"",""en"")"),"We saw the movie on Friday")</f>
        <v>We saw the movie on Friday</v>
      </c>
      <c r="D8560" s="5"/>
      <c r="E8560" s="5"/>
      <c r="F8560" s="5"/>
      <c r="G8560" s="5"/>
      <c r="H8560" s="5"/>
      <c r="I8560" s="5"/>
      <c r="J8560" s="5"/>
      <c r="K8560" s="5"/>
      <c r="L8560" s="5"/>
      <c r="M8560" s="5"/>
      <c r="N8560" s="5"/>
      <c r="O8560" s="5"/>
      <c r="P8560" s="5"/>
      <c r="Q8560" s="5"/>
      <c r="R8560" s="5"/>
      <c r="S8560" s="5"/>
      <c r="T8560" s="5"/>
      <c r="U8560" s="5"/>
      <c r="V8560" s="5"/>
      <c r="W8560" s="5"/>
      <c r="X8560" s="5"/>
      <c r="Y8560" s="5"/>
      <c r="Z8560" s="5"/>
    </row>
    <row r="8561" spans="1:26" ht="15" x14ac:dyDescent="0.25">
      <c r="A8561" s="4" t="s">
        <v>8559</v>
      </c>
      <c r="B8561" s="4" t="s">
        <v>4550</v>
      </c>
      <c r="C8561" s="2" t="str">
        <f ca="1">IFERROR(__xludf.DUMMYFUNCTION("GOOGLETRANSLATE(A8561,""bn"",""en"")"),"You were eating potato chips")</f>
        <v>You were eating potato chips</v>
      </c>
      <c r="D8561" s="5"/>
      <c r="E8561" s="5"/>
      <c r="F8561" s="5"/>
      <c r="G8561" s="5"/>
      <c r="H8561" s="5"/>
      <c r="I8561" s="5"/>
      <c r="J8561" s="5"/>
      <c r="K8561" s="5"/>
      <c r="L8561" s="5"/>
      <c r="M8561" s="5"/>
      <c r="N8561" s="5"/>
      <c r="O8561" s="5"/>
      <c r="P8561" s="5"/>
      <c r="Q8561" s="5"/>
      <c r="R8561" s="5"/>
      <c r="S8561" s="5"/>
      <c r="T8561" s="5"/>
      <c r="U8561" s="5"/>
      <c r="V8561" s="5"/>
      <c r="W8561" s="5"/>
      <c r="X8561" s="5"/>
      <c r="Y8561" s="5"/>
      <c r="Z8561" s="5"/>
    </row>
    <row r="8562" spans="1:26" ht="15" x14ac:dyDescent="0.25">
      <c r="A8562" s="4" t="s">
        <v>8560</v>
      </c>
      <c r="B8562" s="4" t="s">
        <v>4550</v>
      </c>
      <c r="C8562" s="2" t="str">
        <f ca="1">IFERROR(__xludf.DUMMYFUNCTION("GOOGLETRANSLATE(A8562,""bn"",""en"")"),"I used to prepare the bank")</f>
        <v>I used to prepare the bank</v>
      </c>
      <c r="D8562" s="5"/>
      <c r="E8562" s="5"/>
      <c r="F8562" s="5"/>
      <c r="G8562" s="5"/>
      <c r="H8562" s="5"/>
      <c r="I8562" s="5"/>
      <c r="J8562" s="5"/>
      <c r="K8562" s="5"/>
      <c r="L8562" s="5"/>
      <c r="M8562" s="5"/>
      <c r="N8562" s="5"/>
      <c r="O8562" s="5"/>
      <c r="P8562" s="5"/>
      <c r="Q8562" s="5"/>
      <c r="R8562" s="5"/>
      <c r="S8562" s="5"/>
      <c r="T8562" s="5"/>
      <c r="U8562" s="5"/>
      <c r="V8562" s="5"/>
      <c r="W8562" s="5"/>
      <c r="X8562" s="5"/>
      <c r="Y8562" s="5"/>
      <c r="Z8562" s="5"/>
    </row>
    <row r="8563" spans="1:26" ht="15" x14ac:dyDescent="0.25">
      <c r="A8563" s="4" t="s">
        <v>8561</v>
      </c>
      <c r="B8563" s="4" t="s">
        <v>4550</v>
      </c>
      <c r="C8563" s="2" t="str">
        <f ca="1">IFERROR(__xludf.DUMMYFUNCTION("GOOGLETRANSLATE(A8563,""bn"",""en"")"),"I promised to win the trophy")</f>
        <v>I promised to win the trophy</v>
      </c>
      <c r="D8563" s="5"/>
      <c r="E8563" s="5"/>
      <c r="F8563" s="5"/>
      <c r="G8563" s="5"/>
      <c r="H8563" s="5"/>
      <c r="I8563" s="5"/>
      <c r="J8563" s="5"/>
      <c r="K8563" s="5"/>
      <c r="L8563" s="5"/>
      <c r="M8563" s="5"/>
      <c r="N8563" s="5"/>
      <c r="O8563" s="5"/>
      <c r="P8563" s="5"/>
      <c r="Q8563" s="5"/>
      <c r="R8563" s="5"/>
      <c r="S8563" s="5"/>
      <c r="T8563" s="5"/>
      <c r="U8563" s="5"/>
      <c r="V8563" s="5"/>
      <c r="W8563" s="5"/>
      <c r="X8563" s="5"/>
      <c r="Y8563" s="5"/>
      <c r="Z8563" s="5"/>
    </row>
    <row r="8564" spans="1:26" ht="15" x14ac:dyDescent="0.25">
      <c r="A8564" s="4" t="s">
        <v>8562</v>
      </c>
      <c r="B8564" s="4" t="s">
        <v>4550</v>
      </c>
      <c r="C8564" s="2" t="str">
        <f ca="1">IFERROR(__xludf.DUMMYFUNCTION("GOOGLETRANSLATE(A8564,""bn"",""en"")"),"They won the hockey game")</f>
        <v>They won the hockey game</v>
      </c>
      <c r="D8564" s="5"/>
      <c r="E8564" s="5"/>
      <c r="F8564" s="5"/>
      <c r="G8564" s="5"/>
      <c r="H8564" s="5"/>
      <c r="I8564" s="5"/>
      <c r="J8564" s="5"/>
      <c r="K8564" s="5"/>
      <c r="L8564" s="5"/>
      <c r="M8564" s="5"/>
      <c r="N8564" s="5"/>
      <c r="O8564" s="5"/>
      <c r="P8564" s="5"/>
      <c r="Q8564" s="5"/>
      <c r="R8564" s="5"/>
      <c r="S8564" s="5"/>
      <c r="T8564" s="5"/>
      <c r="U8564" s="5"/>
      <c r="V8564" s="5"/>
      <c r="W8564" s="5"/>
      <c r="X8564" s="5"/>
      <c r="Y8564" s="5"/>
      <c r="Z8564" s="5"/>
    </row>
    <row r="8565" spans="1:26" ht="15" x14ac:dyDescent="0.25">
      <c r="A8565" s="4" t="s">
        <v>8563</v>
      </c>
      <c r="B8565" s="4" t="s">
        <v>4550</v>
      </c>
      <c r="C8565" s="2" t="str">
        <f ca="1">IFERROR(__xludf.DUMMYFUNCTION("GOOGLETRANSLATE(A8565,""bn"",""en"")"),"He got education incentive")</f>
        <v>He got education incentive</v>
      </c>
      <c r="D8565" s="5"/>
      <c r="E8565" s="5"/>
      <c r="F8565" s="5"/>
      <c r="G8565" s="5"/>
      <c r="H8565" s="5"/>
      <c r="I8565" s="5"/>
      <c r="J8565" s="5"/>
      <c r="K8565" s="5"/>
      <c r="L8565" s="5"/>
      <c r="M8565" s="5"/>
      <c r="N8565" s="5"/>
      <c r="O8565" s="5"/>
      <c r="P8565" s="5"/>
      <c r="Q8565" s="5"/>
      <c r="R8565" s="5"/>
      <c r="S8565" s="5"/>
      <c r="T8565" s="5"/>
      <c r="U8565" s="5"/>
      <c r="V8565" s="5"/>
      <c r="W8565" s="5"/>
      <c r="X8565" s="5"/>
      <c r="Y8565" s="5"/>
      <c r="Z8565" s="5"/>
    </row>
    <row r="8566" spans="1:26" ht="15" x14ac:dyDescent="0.25">
      <c r="A8566" s="4" t="s">
        <v>8564</v>
      </c>
      <c r="B8566" s="4" t="s">
        <v>4550</v>
      </c>
      <c r="C8566" s="2" t="str">
        <f ca="1">IFERROR(__xludf.DUMMYFUNCTION("GOOGLETRANSLATE(A8566,""bn"",""en"")"),"I made soup on a cold day")</f>
        <v>I made soup on a cold day</v>
      </c>
      <c r="D8566" s="5"/>
      <c r="E8566" s="5"/>
      <c r="F8566" s="5"/>
      <c r="G8566" s="5"/>
      <c r="H8566" s="5"/>
      <c r="I8566" s="5"/>
      <c r="J8566" s="5"/>
      <c r="K8566" s="5"/>
      <c r="L8566" s="5"/>
      <c r="M8566" s="5"/>
      <c r="N8566" s="5"/>
      <c r="O8566" s="5"/>
      <c r="P8566" s="5"/>
      <c r="Q8566" s="5"/>
      <c r="R8566" s="5"/>
      <c r="S8566" s="5"/>
      <c r="T8566" s="5"/>
      <c r="U8566" s="5"/>
      <c r="V8566" s="5"/>
      <c r="W8566" s="5"/>
      <c r="X8566" s="5"/>
      <c r="Y8566" s="5"/>
      <c r="Z8566" s="5"/>
    </row>
    <row r="8567" spans="1:26" ht="15" x14ac:dyDescent="0.25">
      <c r="A8567" s="4" t="s">
        <v>8565</v>
      </c>
      <c r="B8567" s="4" t="s">
        <v>4550</v>
      </c>
      <c r="C8567" s="2" t="str">
        <f ca="1">IFERROR(__xludf.DUMMYFUNCTION("GOOGLETRANSLATE(A8567,""bn"",""en"")"),"Finished reading the book")</f>
        <v>Finished reading the book</v>
      </c>
      <c r="D8567" s="5"/>
      <c r="E8567" s="5"/>
      <c r="F8567" s="5"/>
      <c r="G8567" s="5"/>
      <c r="H8567" s="5"/>
      <c r="I8567" s="5"/>
      <c r="J8567" s="5"/>
      <c r="K8567" s="5"/>
      <c r="L8567" s="5"/>
      <c r="M8567" s="5"/>
      <c r="N8567" s="5"/>
      <c r="O8567" s="5"/>
      <c r="P8567" s="5"/>
      <c r="Q8567" s="5"/>
      <c r="R8567" s="5"/>
      <c r="S8567" s="5"/>
      <c r="T8567" s="5"/>
      <c r="U8567" s="5"/>
      <c r="V8567" s="5"/>
      <c r="W8567" s="5"/>
      <c r="X8567" s="5"/>
      <c r="Y8567" s="5"/>
      <c r="Z8567" s="5"/>
    </row>
    <row r="8568" spans="1:26" ht="15" x14ac:dyDescent="0.25">
      <c r="A8568" s="4" t="s">
        <v>8566</v>
      </c>
      <c r="B8568" s="4" t="s">
        <v>4550</v>
      </c>
      <c r="C8568" s="2" t="str">
        <f ca="1">IFERROR(__xludf.DUMMYFUNCTION("GOOGLETRANSLATE(A8568,""bn"",""en"")"),"They were on the beach at sunset")</f>
        <v>They were on the beach at sunset</v>
      </c>
      <c r="D8568" s="5"/>
      <c r="E8568" s="5"/>
      <c r="F8568" s="5"/>
      <c r="G8568" s="5"/>
      <c r="H8568" s="5"/>
      <c r="I8568" s="5"/>
      <c r="J8568" s="5"/>
      <c r="K8568" s="5"/>
      <c r="L8568" s="5"/>
      <c r="M8568" s="5"/>
      <c r="N8568" s="5"/>
      <c r="O8568" s="5"/>
      <c r="P8568" s="5"/>
      <c r="Q8568" s="5"/>
      <c r="R8568" s="5"/>
      <c r="S8568" s="5"/>
      <c r="T8568" s="5"/>
      <c r="U8568" s="5"/>
      <c r="V8568" s="5"/>
      <c r="W8568" s="5"/>
      <c r="X8568" s="5"/>
      <c r="Y8568" s="5"/>
      <c r="Z8568" s="5"/>
    </row>
    <row r="8569" spans="1:26" ht="15" x14ac:dyDescent="0.25">
      <c r="A8569" s="4" t="s">
        <v>8567</v>
      </c>
      <c r="B8569" s="4" t="s">
        <v>4550</v>
      </c>
      <c r="C8569" s="2" t="str">
        <f ca="1">IFERROR(__xludf.DUMMYFUNCTION("GOOGLETRANSLATE(A8569,""bn"",""en"")"),"Laptop was used")</f>
        <v>Laptop was used</v>
      </c>
      <c r="D8569" s="5"/>
      <c r="E8569" s="5"/>
      <c r="F8569" s="5"/>
      <c r="G8569" s="5"/>
      <c r="H8569" s="5"/>
      <c r="I8569" s="5"/>
      <c r="J8569" s="5"/>
      <c r="K8569" s="5"/>
      <c r="L8569" s="5"/>
      <c r="M8569" s="5"/>
      <c r="N8569" s="5"/>
      <c r="O8569" s="5"/>
      <c r="P8569" s="5"/>
      <c r="Q8569" s="5"/>
      <c r="R8569" s="5"/>
      <c r="S8569" s="5"/>
      <c r="T8569" s="5"/>
      <c r="U8569" s="5"/>
      <c r="V8569" s="5"/>
      <c r="W8569" s="5"/>
      <c r="X8569" s="5"/>
      <c r="Y8569" s="5"/>
      <c r="Z8569" s="5"/>
    </row>
    <row r="8570" spans="1:26" ht="15" x14ac:dyDescent="0.25">
      <c r="A8570" s="4" t="s">
        <v>8568</v>
      </c>
      <c r="B8570" s="4" t="s">
        <v>4550</v>
      </c>
      <c r="C8570" s="2" t="str">
        <f ca="1">IFERROR(__xludf.DUMMYFUNCTION("GOOGLETRANSLATE(A8570,""bn"",""en"")"),"Worked for improvement")</f>
        <v>Worked for improvement</v>
      </c>
      <c r="D8570" s="5"/>
      <c r="E8570" s="5"/>
      <c r="F8570" s="5"/>
      <c r="G8570" s="5"/>
      <c r="H8570" s="5"/>
      <c r="I8570" s="5"/>
      <c r="J8570" s="5"/>
      <c r="K8570" s="5"/>
      <c r="L8570" s="5"/>
      <c r="M8570" s="5"/>
      <c r="N8570" s="5"/>
      <c r="O8570" s="5"/>
      <c r="P8570" s="5"/>
      <c r="Q8570" s="5"/>
      <c r="R8570" s="5"/>
      <c r="S8570" s="5"/>
      <c r="T8570" s="5"/>
      <c r="U8570" s="5"/>
      <c r="V8570" s="5"/>
      <c r="W8570" s="5"/>
      <c r="X8570" s="5"/>
      <c r="Y8570" s="5"/>
      <c r="Z8570" s="5"/>
    </row>
    <row r="8571" spans="1:26" ht="15" x14ac:dyDescent="0.25">
      <c r="A8571" s="4" t="s">
        <v>8569</v>
      </c>
      <c r="B8571" s="4" t="s">
        <v>4550</v>
      </c>
      <c r="C8571" s="2" t="str">
        <f ca="1">IFERROR(__xludf.DUMMYFUNCTION("GOOGLETRANSLATE(A8571,""bn"",""en"")"),"He left school last month")</f>
        <v>He left school last month</v>
      </c>
      <c r="D8571" s="5"/>
      <c r="E8571" s="5"/>
      <c r="F8571" s="5"/>
      <c r="G8571" s="5"/>
      <c r="H8571" s="5"/>
      <c r="I8571" s="5"/>
      <c r="J8571" s="5"/>
      <c r="K8571" s="5"/>
      <c r="L8571" s="5"/>
      <c r="M8571" s="5"/>
      <c r="N8571" s="5"/>
      <c r="O8571" s="5"/>
      <c r="P8571" s="5"/>
      <c r="Q8571" s="5"/>
      <c r="R8571" s="5"/>
      <c r="S8571" s="5"/>
      <c r="T8571" s="5"/>
      <c r="U8571" s="5"/>
      <c r="V8571" s="5"/>
      <c r="W8571" s="5"/>
      <c r="X8571" s="5"/>
      <c r="Y8571" s="5"/>
      <c r="Z8571" s="5"/>
    </row>
    <row r="8572" spans="1:26" ht="15" x14ac:dyDescent="0.25">
      <c r="A8572" s="4" t="s">
        <v>8570</v>
      </c>
      <c r="B8572" s="4" t="s">
        <v>4550</v>
      </c>
      <c r="C8572" s="2" t="str">
        <f ca="1">IFERROR(__xludf.DUMMYFUNCTION("GOOGLETRANSLATE(A8572,""bn"",""en"")"),"Chosen on the basis of opinion")</f>
        <v>Chosen on the basis of opinion</v>
      </c>
      <c r="D8572" s="5"/>
      <c r="E8572" s="5"/>
      <c r="F8572" s="5"/>
      <c r="G8572" s="5"/>
      <c r="H8572" s="5"/>
      <c r="I8572" s="5"/>
      <c r="J8572" s="5"/>
      <c r="K8572" s="5"/>
      <c r="L8572" s="5"/>
      <c r="M8572" s="5"/>
      <c r="N8572" s="5"/>
      <c r="O8572" s="5"/>
      <c r="P8572" s="5"/>
      <c r="Q8572" s="5"/>
      <c r="R8572" s="5"/>
      <c r="S8572" s="5"/>
      <c r="T8572" s="5"/>
      <c r="U8572" s="5"/>
      <c r="V8572" s="5"/>
      <c r="W8572" s="5"/>
      <c r="X8572" s="5"/>
      <c r="Y8572" s="5"/>
      <c r="Z8572" s="5"/>
    </row>
    <row r="8573" spans="1:26" ht="15" x14ac:dyDescent="0.25">
      <c r="A8573" s="4" t="s">
        <v>8571</v>
      </c>
      <c r="B8573" s="4" t="s">
        <v>4550</v>
      </c>
      <c r="C8573" s="2" t="str">
        <f ca="1">IFERROR(__xludf.DUMMYFUNCTION("GOOGLETRANSLATE(A8573,""bn"",""en"")"),"I saw the film of my favorite director")</f>
        <v>I saw the film of my favorite director</v>
      </c>
      <c r="D8573" s="5"/>
      <c r="E8573" s="5"/>
      <c r="F8573" s="5"/>
      <c r="G8573" s="5"/>
      <c r="H8573" s="5"/>
      <c r="I8573" s="5"/>
      <c r="J8573" s="5"/>
      <c r="K8573" s="5"/>
      <c r="L8573" s="5"/>
      <c r="M8573" s="5"/>
      <c r="N8573" s="5"/>
      <c r="O8573" s="5"/>
      <c r="P8573" s="5"/>
      <c r="Q8573" s="5"/>
      <c r="R8573" s="5"/>
      <c r="S8573" s="5"/>
      <c r="T8573" s="5"/>
      <c r="U8573" s="5"/>
      <c r="V8573" s="5"/>
      <c r="W8573" s="5"/>
      <c r="X8573" s="5"/>
      <c r="Y8573" s="5"/>
      <c r="Z8573" s="5"/>
    </row>
    <row r="8574" spans="1:26" ht="15" x14ac:dyDescent="0.25">
      <c r="A8574" s="4" t="s">
        <v>8572</v>
      </c>
      <c r="B8574" s="4" t="s">
        <v>4550</v>
      </c>
      <c r="C8574" s="2" t="str">
        <f ca="1">IFERROR(__xludf.DUMMYFUNCTION("GOOGLETRANSLATE(A8574,""bn"",""en"")"),"Leaders were present at the rally")</f>
        <v>Leaders were present at the rally</v>
      </c>
      <c r="D8574" s="5"/>
      <c r="E8574" s="5"/>
      <c r="F8574" s="5"/>
      <c r="G8574" s="5"/>
      <c r="H8574" s="5"/>
      <c r="I8574" s="5"/>
      <c r="J8574" s="5"/>
      <c r="K8574" s="5"/>
      <c r="L8574" s="5"/>
      <c r="M8574" s="5"/>
      <c r="N8574" s="5"/>
      <c r="O8574" s="5"/>
      <c r="P8574" s="5"/>
      <c r="Q8574" s="5"/>
      <c r="R8574" s="5"/>
      <c r="S8574" s="5"/>
      <c r="T8574" s="5"/>
      <c r="U8574" s="5"/>
      <c r="V8574" s="5"/>
      <c r="W8574" s="5"/>
      <c r="X8574" s="5"/>
      <c r="Y8574" s="5"/>
      <c r="Z8574" s="5"/>
    </row>
    <row r="8575" spans="1:26" ht="15" x14ac:dyDescent="0.25">
      <c r="A8575" s="4" t="s">
        <v>8573</v>
      </c>
      <c r="B8575" s="4" t="s">
        <v>4550</v>
      </c>
      <c r="C8575" s="2" t="str">
        <f ca="1">IFERROR(__xludf.DUMMYFUNCTION("GOOGLETRANSLATE(A8575,""bn"",""en"")"),"Application development preparation")</f>
        <v>Application development preparation</v>
      </c>
      <c r="D8575" s="5"/>
      <c r="E8575" s="5"/>
      <c r="F8575" s="5"/>
      <c r="G8575" s="5"/>
      <c r="H8575" s="5"/>
      <c r="I8575" s="5"/>
      <c r="J8575" s="5"/>
      <c r="K8575" s="5"/>
      <c r="L8575" s="5"/>
      <c r="M8575" s="5"/>
      <c r="N8575" s="5"/>
      <c r="O8575" s="5"/>
      <c r="P8575" s="5"/>
      <c r="Q8575" s="5"/>
      <c r="R8575" s="5"/>
      <c r="S8575" s="5"/>
      <c r="T8575" s="5"/>
      <c r="U8575" s="5"/>
      <c r="V8575" s="5"/>
      <c r="W8575" s="5"/>
      <c r="X8575" s="5"/>
      <c r="Y8575" s="5"/>
      <c r="Z8575" s="5"/>
    </row>
    <row r="8576" spans="1:26" ht="15" x14ac:dyDescent="0.25">
      <c r="A8576" s="4" t="s">
        <v>8574</v>
      </c>
      <c r="B8576" s="4" t="s">
        <v>4550</v>
      </c>
      <c r="C8576" s="2" t="str">
        <f ca="1">IFERROR(__xludf.DUMMYFUNCTION("GOOGLETRANSLATE(A8576,""bn"",""en"")"),"Members were elected in the meeting")</f>
        <v>Members were elected in the meeting</v>
      </c>
      <c r="D8576" s="5"/>
      <c r="E8576" s="5"/>
      <c r="F8576" s="5"/>
      <c r="G8576" s="5"/>
      <c r="H8576" s="5"/>
      <c r="I8576" s="5"/>
      <c r="J8576" s="5"/>
      <c r="K8576" s="5"/>
      <c r="L8576" s="5"/>
      <c r="M8576" s="5"/>
      <c r="N8576" s="5"/>
      <c r="O8576" s="5"/>
      <c r="P8576" s="5"/>
      <c r="Q8576" s="5"/>
      <c r="R8576" s="5"/>
      <c r="S8576" s="5"/>
      <c r="T8576" s="5"/>
      <c r="U8576" s="5"/>
      <c r="V8576" s="5"/>
      <c r="W8576" s="5"/>
      <c r="X8576" s="5"/>
      <c r="Y8576" s="5"/>
      <c r="Z8576" s="5"/>
    </row>
    <row r="8577" spans="1:26" ht="15" x14ac:dyDescent="0.25">
      <c r="A8577" s="4" t="s">
        <v>8575</v>
      </c>
      <c r="B8577" s="4" t="s">
        <v>4550</v>
      </c>
      <c r="C8577" s="2" t="str">
        <f ca="1">IFERROR(__xludf.DUMMYFUNCTION("GOOGLETRANSLATE(A8577,""bn"",""en"")"),"The Republic was proclaimed by the President")</f>
        <v>The Republic was proclaimed by the President</v>
      </c>
      <c r="D8577" s="5"/>
      <c r="E8577" s="5"/>
      <c r="F8577" s="5"/>
      <c r="G8577" s="5"/>
      <c r="H8577" s="5"/>
      <c r="I8577" s="5"/>
      <c r="J8577" s="5"/>
      <c r="K8577" s="5"/>
      <c r="L8577" s="5"/>
      <c r="M8577" s="5"/>
      <c r="N8577" s="5"/>
      <c r="O8577" s="5"/>
      <c r="P8577" s="5"/>
      <c r="Q8577" s="5"/>
      <c r="R8577" s="5"/>
      <c r="S8577" s="5"/>
      <c r="T8577" s="5"/>
      <c r="U8577" s="5"/>
      <c r="V8577" s="5"/>
      <c r="W8577" s="5"/>
      <c r="X8577" s="5"/>
      <c r="Y8577" s="5"/>
      <c r="Z8577" s="5"/>
    </row>
    <row r="8578" spans="1:26" ht="15" x14ac:dyDescent="0.25">
      <c r="A8578" s="4" t="s">
        <v>8576</v>
      </c>
      <c r="B8578" s="4" t="s">
        <v>4550</v>
      </c>
      <c r="C8578" s="2" t="str">
        <f ca="1">IFERROR(__xludf.DUMMYFUNCTION("GOOGLETRANSLATE(A8578,""bn"",""en"")"),"Prawns were cultivated in the river")</f>
        <v>Prawns were cultivated in the river</v>
      </c>
      <c r="D8578" s="5"/>
      <c r="E8578" s="5"/>
      <c r="F8578" s="5"/>
      <c r="G8578" s="5"/>
      <c r="H8578" s="5"/>
      <c r="I8578" s="5"/>
      <c r="J8578" s="5"/>
      <c r="K8578" s="5"/>
      <c r="L8578" s="5"/>
      <c r="M8578" s="5"/>
      <c r="N8578" s="5"/>
      <c r="O8578" s="5"/>
      <c r="P8578" s="5"/>
      <c r="Q8578" s="5"/>
      <c r="R8578" s="5"/>
      <c r="S8578" s="5"/>
      <c r="T8578" s="5"/>
      <c r="U8578" s="5"/>
      <c r="V8578" s="5"/>
      <c r="W8578" s="5"/>
      <c r="X8578" s="5"/>
      <c r="Y8578" s="5"/>
      <c r="Z8578" s="5"/>
    </row>
    <row r="8579" spans="1:26" ht="15" x14ac:dyDescent="0.25">
      <c r="A8579" s="4" t="s">
        <v>8577</v>
      </c>
      <c r="B8579" s="4" t="s">
        <v>4550</v>
      </c>
      <c r="C8579" s="2" t="str">
        <f ca="1">IFERROR(__xludf.DUMMYFUNCTION("GOOGLETRANSLATE(A8579,""bn"",""en"")"),"Danbir gave charity to the poor")</f>
        <v>Danbir gave charity to the poor</v>
      </c>
      <c r="D8579" s="5"/>
      <c r="E8579" s="5"/>
      <c r="F8579" s="5"/>
      <c r="G8579" s="5"/>
      <c r="H8579" s="5"/>
      <c r="I8579" s="5"/>
      <c r="J8579" s="5"/>
      <c r="K8579" s="5"/>
      <c r="L8579" s="5"/>
      <c r="M8579" s="5"/>
      <c r="N8579" s="5"/>
      <c r="O8579" s="5"/>
      <c r="P8579" s="5"/>
      <c r="Q8579" s="5"/>
      <c r="R8579" s="5"/>
      <c r="S8579" s="5"/>
      <c r="T8579" s="5"/>
      <c r="U8579" s="5"/>
      <c r="V8579" s="5"/>
      <c r="W8579" s="5"/>
      <c r="X8579" s="5"/>
      <c r="Y8579" s="5"/>
      <c r="Z8579" s="5"/>
    </row>
    <row r="8580" spans="1:26" ht="15" x14ac:dyDescent="0.25">
      <c r="A8580" s="4" t="s">
        <v>8578</v>
      </c>
      <c r="B8580" s="4" t="s">
        <v>4550</v>
      </c>
      <c r="C8580" s="2" t="str">
        <f ca="1">IFERROR(__xludf.DUMMYFUNCTION("GOOGLETRANSLATE(A8580,""bn"",""en"")"),"The market price increased in three days")</f>
        <v>The market price increased in three days</v>
      </c>
      <c r="D8580" s="5"/>
      <c r="E8580" s="5"/>
      <c r="F8580" s="5"/>
      <c r="G8580" s="5"/>
      <c r="H8580" s="5"/>
      <c r="I8580" s="5"/>
      <c r="J8580" s="5"/>
      <c r="K8580" s="5"/>
      <c r="L8580" s="5"/>
      <c r="M8580" s="5"/>
      <c r="N8580" s="5"/>
      <c r="O8580" s="5"/>
      <c r="P8580" s="5"/>
      <c r="Q8580" s="5"/>
      <c r="R8580" s="5"/>
      <c r="S8580" s="5"/>
      <c r="T8580" s="5"/>
      <c r="U8580" s="5"/>
      <c r="V8580" s="5"/>
      <c r="W8580" s="5"/>
      <c r="X8580" s="5"/>
      <c r="Y8580" s="5"/>
      <c r="Z8580" s="5"/>
    </row>
    <row r="8581" spans="1:26" ht="15" x14ac:dyDescent="0.25">
      <c r="A8581" s="4" t="s">
        <v>8579</v>
      </c>
      <c r="B8581" s="4" t="s">
        <v>4550</v>
      </c>
      <c r="C8581" s="2" t="str">
        <f ca="1">IFERROR(__xludf.DUMMYFUNCTION("GOOGLETRANSLATE(A8581,""bn"",""en"")"),"Minister was appointed in the institution")</f>
        <v>Minister was appointed in the institution</v>
      </c>
      <c r="D8581" s="5"/>
      <c r="E8581" s="5"/>
      <c r="F8581" s="5"/>
      <c r="G8581" s="5"/>
      <c r="H8581" s="5"/>
      <c r="I8581" s="5"/>
      <c r="J8581" s="5"/>
      <c r="K8581" s="5"/>
      <c r="L8581" s="5"/>
      <c r="M8581" s="5"/>
      <c r="N8581" s="5"/>
      <c r="O8581" s="5"/>
      <c r="P8581" s="5"/>
      <c r="Q8581" s="5"/>
      <c r="R8581" s="5"/>
      <c r="S8581" s="5"/>
      <c r="T8581" s="5"/>
      <c r="U8581" s="5"/>
      <c r="V8581" s="5"/>
      <c r="W8581" s="5"/>
      <c r="X8581" s="5"/>
      <c r="Y8581" s="5"/>
      <c r="Z8581" s="5"/>
    </row>
    <row r="8582" spans="1:26" ht="15" x14ac:dyDescent="0.25">
      <c r="A8582" s="4" t="s">
        <v>8580</v>
      </c>
      <c r="B8582" s="4" t="s">
        <v>4550</v>
      </c>
      <c r="C8582" s="2" t="str">
        <f ca="1">IFERROR(__xludf.DUMMYFUNCTION("GOOGLETRANSLATE(A8582,""bn"",""en"")"),"Television was being watched in the morning")</f>
        <v>Television was being watched in the morning</v>
      </c>
      <c r="D8582" s="5"/>
      <c r="E8582" s="5"/>
      <c r="F8582" s="5"/>
      <c r="G8582" s="5"/>
      <c r="H8582" s="5"/>
      <c r="I8582" s="5"/>
      <c r="J8582" s="5"/>
      <c r="K8582" s="5"/>
      <c r="L8582" s="5"/>
      <c r="M8582" s="5"/>
      <c r="N8582" s="5"/>
      <c r="O8582" s="5"/>
      <c r="P8582" s="5"/>
      <c r="Q8582" s="5"/>
      <c r="R8582" s="5"/>
      <c r="S8582" s="5"/>
      <c r="T8582" s="5"/>
      <c r="U8582" s="5"/>
      <c r="V8582" s="5"/>
      <c r="W8582" s="5"/>
      <c r="X8582" s="5"/>
      <c r="Y8582" s="5"/>
      <c r="Z8582" s="5"/>
    </row>
    <row r="8583" spans="1:26" ht="15" x14ac:dyDescent="0.25">
      <c r="A8583" s="4" t="s">
        <v>8581</v>
      </c>
      <c r="B8583" s="4" t="s">
        <v>4550</v>
      </c>
      <c r="C8583" s="2" t="str">
        <f ca="1">IFERROR(__xludf.DUMMYFUNCTION("GOOGLETRANSLATE(A8583,""bn"",""en"")"),"Municipal elections were held")</f>
        <v>Municipal elections were held</v>
      </c>
      <c r="D8583" s="5"/>
      <c r="E8583" s="5"/>
      <c r="F8583" s="5"/>
      <c r="G8583" s="5"/>
      <c r="H8583" s="5"/>
      <c r="I8583" s="5"/>
      <c r="J8583" s="5"/>
      <c r="K8583" s="5"/>
      <c r="L8583" s="5"/>
      <c r="M8583" s="5"/>
      <c r="N8583" s="5"/>
      <c r="O8583" s="5"/>
      <c r="P8583" s="5"/>
      <c r="Q8583" s="5"/>
      <c r="R8583" s="5"/>
      <c r="S8583" s="5"/>
      <c r="T8583" s="5"/>
      <c r="U8583" s="5"/>
      <c r="V8583" s="5"/>
      <c r="W8583" s="5"/>
      <c r="X8583" s="5"/>
      <c r="Y8583" s="5"/>
      <c r="Z8583" s="5"/>
    </row>
    <row r="8584" spans="1:26" ht="15" x14ac:dyDescent="0.25">
      <c r="A8584" s="4" t="s">
        <v>8582</v>
      </c>
      <c r="B8584" s="4" t="s">
        <v>4550</v>
      </c>
      <c r="C8584" s="2" t="str">
        <f ca="1">IFERROR(__xludf.DUMMYFUNCTION("GOOGLETRANSLATE(A8584,""bn"",""en"")"),"The government changed last year")</f>
        <v>The government changed last year</v>
      </c>
      <c r="D8584" s="5"/>
      <c r="E8584" s="5"/>
      <c r="F8584" s="5"/>
      <c r="G8584" s="5"/>
      <c r="H8584" s="5"/>
      <c r="I8584" s="5"/>
      <c r="J8584" s="5"/>
      <c r="K8584" s="5"/>
      <c r="L8584" s="5"/>
      <c r="M8584" s="5"/>
      <c r="N8584" s="5"/>
      <c r="O8584" s="5"/>
      <c r="P8584" s="5"/>
      <c r="Q8584" s="5"/>
      <c r="R8584" s="5"/>
      <c r="S8584" s="5"/>
      <c r="T8584" s="5"/>
      <c r="U8584" s="5"/>
      <c r="V8584" s="5"/>
      <c r="W8584" s="5"/>
      <c r="X8584" s="5"/>
      <c r="Y8584" s="5"/>
      <c r="Z8584" s="5"/>
    </row>
    <row r="8585" spans="1:26" ht="15" x14ac:dyDescent="0.25">
      <c r="A8585" s="4" t="s">
        <v>8583</v>
      </c>
      <c r="B8585" s="4" t="s">
        <v>4550</v>
      </c>
      <c r="C8585" s="2" t="str">
        <f ca="1">IFERROR(__xludf.DUMMYFUNCTION("GOOGLETRANSLATE(A8585,""bn"",""en"")"),"Children were always running around")</f>
        <v>Children were always running around</v>
      </c>
      <c r="D8585" s="5"/>
      <c r="E8585" s="5"/>
      <c r="F8585" s="5"/>
      <c r="G8585" s="5"/>
      <c r="H8585" s="5"/>
      <c r="I8585" s="5"/>
      <c r="J8585" s="5"/>
      <c r="K8585" s="5"/>
      <c r="L8585" s="5"/>
      <c r="M8585" s="5"/>
      <c r="N8585" s="5"/>
      <c r="O8585" s="5"/>
      <c r="P8585" s="5"/>
      <c r="Q8585" s="5"/>
      <c r="R8585" s="5"/>
      <c r="S8585" s="5"/>
      <c r="T8585" s="5"/>
      <c r="U8585" s="5"/>
      <c r="V8585" s="5"/>
      <c r="W8585" s="5"/>
      <c r="X8585" s="5"/>
      <c r="Y8585" s="5"/>
      <c r="Z8585" s="5"/>
    </row>
    <row r="8586" spans="1:26" ht="15" x14ac:dyDescent="0.25">
      <c r="A8586" s="4" t="s">
        <v>8584</v>
      </c>
      <c r="B8586" s="4" t="s">
        <v>4550</v>
      </c>
      <c r="C8586" s="2" t="str">
        <f ca="1">IFERROR(__xludf.DUMMYFUNCTION("GOOGLETRANSLATE(A8586,""bn"",""en"")"),"We ate Chinese at the restaurant")</f>
        <v>We ate Chinese at the restaurant</v>
      </c>
      <c r="D8586" s="5"/>
      <c r="E8586" s="5"/>
      <c r="F8586" s="5"/>
      <c r="G8586" s="5"/>
      <c r="H8586" s="5"/>
      <c r="I8586" s="5"/>
      <c r="J8586" s="5"/>
      <c r="K8586" s="5"/>
      <c r="L8586" s="5"/>
      <c r="M8586" s="5"/>
      <c r="N8586" s="5"/>
      <c r="O8586" s="5"/>
      <c r="P8586" s="5"/>
      <c r="Q8586" s="5"/>
      <c r="R8586" s="5"/>
      <c r="S8586" s="5"/>
      <c r="T8586" s="5"/>
      <c r="U8586" s="5"/>
      <c r="V8586" s="5"/>
      <c r="W8586" s="5"/>
      <c r="X8586" s="5"/>
      <c r="Y8586" s="5"/>
      <c r="Z8586" s="5"/>
    </row>
    <row r="8587" spans="1:26" ht="15" x14ac:dyDescent="0.25">
      <c r="A8587" s="4" t="s">
        <v>8585</v>
      </c>
      <c r="B8587" s="4" t="s">
        <v>4550</v>
      </c>
      <c r="C8587" s="2" t="str">
        <f ca="1">IFERROR(__xludf.DUMMYFUNCTION("GOOGLETRANSLATE(A8587,""bn"",""en"")"),"We used to listen to new music")</f>
        <v>We used to listen to new music</v>
      </c>
      <c r="D8587" s="5"/>
      <c r="E8587" s="5"/>
      <c r="F8587" s="5"/>
      <c r="G8587" s="5"/>
      <c r="H8587" s="5"/>
      <c r="I8587" s="5"/>
      <c r="J8587" s="5"/>
      <c r="K8587" s="5"/>
      <c r="L8587" s="5"/>
      <c r="M8587" s="5"/>
      <c r="N8587" s="5"/>
      <c r="O8587" s="5"/>
      <c r="P8587" s="5"/>
      <c r="Q8587" s="5"/>
      <c r="R8587" s="5"/>
      <c r="S8587" s="5"/>
      <c r="T8587" s="5"/>
      <c r="U8587" s="5"/>
      <c r="V8587" s="5"/>
      <c r="W8587" s="5"/>
      <c r="X8587" s="5"/>
      <c r="Y8587" s="5"/>
      <c r="Z8587" s="5"/>
    </row>
    <row r="8588" spans="1:26" ht="15" x14ac:dyDescent="0.25">
      <c r="A8588" s="4" t="s">
        <v>8586</v>
      </c>
      <c r="B8588" s="4" t="s">
        <v>4550</v>
      </c>
      <c r="C8588" s="2" t="str">
        <f ca="1">IFERROR(__xludf.DUMMYFUNCTION("GOOGLETRANSLATE(A8588,""bn"",""en"")"),"Students were playing football at school")</f>
        <v>Students were playing football at school</v>
      </c>
      <c r="D8588" s="5"/>
      <c r="E8588" s="5"/>
      <c r="F8588" s="5"/>
      <c r="G8588" s="5"/>
      <c r="H8588" s="5"/>
      <c r="I8588" s="5"/>
      <c r="J8588" s="5"/>
      <c r="K8588" s="5"/>
      <c r="L8588" s="5"/>
      <c r="M8588" s="5"/>
      <c r="N8588" s="5"/>
      <c r="O8588" s="5"/>
      <c r="P8588" s="5"/>
      <c r="Q8588" s="5"/>
      <c r="R8588" s="5"/>
      <c r="S8588" s="5"/>
      <c r="T8588" s="5"/>
      <c r="U8588" s="5"/>
      <c r="V8588" s="5"/>
      <c r="W8588" s="5"/>
      <c r="X8588" s="5"/>
      <c r="Y8588" s="5"/>
      <c r="Z8588" s="5"/>
    </row>
    <row r="8589" spans="1:26" ht="15" x14ac:dyDescent="0.25">
      <c r="A8589" s="4" t="s">
        <v>8587</v>
      </c>
      <c r="B8589" s="4" t="s">
        <v>4550</v>
      </c>
      <c r="C8589" s="2" t="str">
        <f ca="1">IFERROR(__xludf.DUMMYFUNCTION("GOOGLETRANSLATE(A8589,""bn"",""en"")"),"I enjoyed the football tournament")</f>
        <v>I enjoyed the football tournament</v>
      </c>
      <c r="D8589" s="5"/>
      <c r="E8589" s="5"/>
      <c r="F8589" s="5"/>
      <c r="G8589" s="5"/>
      <c r="H8589" s="5"/>
      <c r="I8589" s="5"/>
      <c r="J8589" s="5"/>
      <c r="K8589" s="5"/>
      <c r="L8589" s="5"/>
      <c r="M8589" s="5"/>
      <c r="N8589" s="5"/>
      <c r="O8589" s="5"/>
      <c r="P8589" s="5"/>
      <c r="Q8589" s="5"/>
      <c r="R8589" s="5"/>
      <c r="S8589" s="5"/>
      <c r="T8589" s="5"/>
      <c r="U8589" s="5"/>
      <c r="V8589" s="5"/>
      <c r="W8589" s="5"/>
      <c r="X8589" s="5"/>
      <c r="Y8589" s="5"/>
      <c r="Z8589" s="5"/>
    </row>
    <row r="8590" spans="1:26" ht="15" x14ac:dyDescent="0.25">
      <c r="A8590" s="4" t="s">
        <v>8588</v>
      </c>
      <c r="B8590" s="4" t="s">
        <v>4550</v>
      </c>
      <c r="C8590" s="2" t="str">
        <f ca="1">IFERROR(__xludf.DUMMYFUNCTION("GOOGLETRANSLATE(A8590,""bn"",""en"")"),"Played with high skill")</f>
        <v>Played with high skill</v>
      </c>
      <c r="D8590" s="5"/>
      <c r="E8590" s="5"/>
      <c r="F8590" s="5"/>
      <c r="G8590" s="5"/>
      <c r="H8590" s="5"/>
      <c r="I8590" s="5"/>
      <c r="J8590" s="5"/>
      <c r="K8590" s="5"/>
      <c r="L8590" s="5"/>
      <c r="M8590" s="5"/>
      <c r="N8590" s="5"/>
      <c r="O8590" s="5"/>
      <c r="P8590" s="5"/>
      <c r="Q8590" s="5"/>
      <c r="R8590" s="5"/>
      <c r="S8590" s="5"/>
      <c r="T8590" s="5"/>
      <c r="U8590" s="5"/>
      <c r="V8590" s="5"/>
      <c r="W8590" s="5"/>
      <c r="X8590" s="5"/>
      <c r="Y8590" s="5"/>
      <c r="Z8590" s="5"/>
    </row>
    <row r="8591" spans="1:26" ht="15" x14ac:dyDescent="0.25">
      <c r="A8591" s="4" t="s">
        <v>8589</v>
      </c>
      <c r="B8591" s="4" t="s">
        <v>4550</v>
      </c>
      <c r="C8591" s="2" t="str">
        <f ca="1">IFERROR(__xludf.DUMMYFUNCTION("GOOGLETRANSLATE(A8591,""bn"",""en"")"),"Watched the update news on television")</f>
        <v>Watched the update news on television</v>
      </c>
      <c r="D8591" s="5"/>
      <c r="E8591" s="5"/>
      <c r="F8591" s="5"/>
      <c r="G8591" s="5"/>
      <c r="H8591" s="5"/>
      <c r="I8591" s="5"/>
      <c r="J8591" s="5"/>
      <c r="K8591" s="5"/>
      <c r="L8591" s="5"/>
      <c r="M8591" s="5"/>
      <c r="N8591" s="5"/>
      <c r="O8591" s="5"/>
      <c r="P8591" s="5"/>
      <c r="Q8591" s="5"/>
      <c r="R8591" s="5"/>
      <c r="S8591" s="5"/>
      <c r="T8591" s="5"/>
      <c r="U8591" s="5"/>
      <c r="V8591" s="5"/>
      <c r="W8591" s="5"/>
      <c r="X8591" s="5"/>
      <c r="Y8591" s="5"/>
      <c r="Z8591" s="5"/>
    </row>
    <row r="8592" spans="1:26" ht="15" x14ac:dyDescent="0.25">
      <c r="A8592" s="4" t="s">
        <v>8590</v>
      </c>
      <c r="B8592" s="4" t="s">
        <v>4550</v>
      </c>
      <c r="C8592" s="2" t="str">
        <f ca="1">IFERROR(__xludf.DUMMYFUNCTION("GOOGLETRANSLATE(A8592,""bn"",""en"")"),"Biometrics technology was used")</f>
        <v>Biometrics technology was used</v>
      </c>
      <c r="D8592" s="5"/>
      <c r="E8592" s="5"/>
      <c r="F8592" s="5"/>
      <c r="G8592" s="5"/>
      <c r="H8592" s="5"/>
      <c r="I8592" s="5"/>
      <c r="J8592" s="5"/>
      <c r="K8592" s="5"/>
      <c r="L8592" s="5"/>
      <c r="M8592" s="5"/>
      <c r="N8592" s="5"/>
      <c r="O8592" s="5"/>
      <c r="P8592" s="5"/>
      <c r="Q8592" s="5"/>
      <c r="R8592" s="5"/>
      <c r="S8592" s="5"/>
      <c r="T8592" s="5"/>
      <c r="U8592" s="5"/>
      <c r="V8592" s="5"/>
      <c r="W8592" s="5"/>
      <c r="X8592" s="5"/>
      <c r="Y8592" s="5"/>
      <c r="Z8592" s="5"/>
    </row>
    <row r="8593" spans="1:26" ht="15" x14ac:dyDescent="0.25">
      <c r="A8593" s="4" t="s">
        <v>8591</v>
      </c>
      <c r="B8593" s="4" t="s">
        <v>4550</v>
      </c>
      <c r="C8593" s="2" t="str">
        <f ca="1">IFERROR(__xludf.DUMMYFUNCTION("GOOGLETRANSLATE(A8593,""bn"",""en"")"),"He was running the computer")</f>
        <v>He was running the computer</v>
      </c>
      <c r="D8593" s="5"/>
      <c r="E8593" s="5"/>
      <c r="F8593" s="5"/>
      <c r="G8593" s="5"/>
      <c r="H8593" s="5"/>
      <c r="I8593" s="5"/>
      <c r="J8593" s="5"/>
      <c r="K8593" s="5"/>
      <c r="L8593" s="5"/>
      <c r="M8593" s="5"/>
      <c r="N8593" s="5"/>
      <c r="O8593" s="5"/>
      <c r="P8593" s="5"/>
      <c r="Q8593" s="5"/>
      <c r="R8593" s="5"/>
      <c r="S8593" s="5"/>
      <c r="T8593" s="5"/>
      <c r="U8593" s="5"/>
      <c r="V8593" s="5"/>
      <c r="W8593" s="5"/>
      <c r="X8593" s="5"/>
      <c r="Y8593" s="5"/>
      <c r="Z8593" s="5"/>
    </row>
    <row r="8594" spans="1:26" ht="15" x14ac:dyDescent="0.25">
      <c r="A8594" s="4" t="s">
        <v>8592</v>
      </c>
      <c r="B8594" s="4" t="s">
        <v>4550</v>
      </c>
      <c r="C8594" s="2" t="str">
        <f ca="1">IFERROR(__xludf.DUMMYFUNCTION("GOOGLETRANSLATE(A8594,""bn"",""en"")"),"I used to buy expensive paintings")</f>
        <v>I used to buy expensive paintings</v>
      </c>
      <c r="D8594" s="5"/>
      <c r="E8594" s="5"/>
      <c r="F8594" s="5"/>
      <c r="G8594" s="5"/>
      <c r="H8594" s="5"/>
      <c r="I8594" s="5"/>
      <c r="J8594" s="5"/>
      <c r="K8594" s="5"/>
      <c r="L8594" s="5"/>
      <c r="M8594" s="5"/>
      <c r="N8594" s="5"/>
      <c r="O8594" s="5"/>
      <c r="P8594" s="5"/>
      <c r="Q8594" s="5"/>
      <c r="R8594" s="5"/>
      <c r="S8594" s="5"/>
      <c r="T8594" s="5"/>
      <c r="U8594" s="5"/>
      <c r="V8594" s="5"/>
      <c r="W8594" s="5"/>
      <c r="X8594" s="5"/>
      <c r="Y8594" s="5"/>
      <c r="Z8594" s="5"/>
    </row>
    <row r="8595" spans="1:26" ht="15" x14ac:dyDescent="0.25">
      <c r="A8595" s="4" t="s">
        <v>8593</v>
      </c>
      <c r="B8595" s="4" t="s">
        <v>4550</v>
      </c>
      <c r="C8595" s="2" t="str">
        <f ca="1">IFERROR(__xludf.DUMMYFUNCTION("GOOGLETRANSLATE(A8595,""bn"",""en"")"),"Everyone was watching the new film together")</f>
        <v>Everyone was watching the new film together</v>
      </c>
      <c r="D8595" s="5"/>
      <c r="E8595" s="5"/>
      <c r="F8595" s="5"/>
      <c r="G8595" s="5"/>
      <c r="H8595" s="5"/>
      <c r="I8595" s="5"/>
      <c r="J8595" s="5"/>
      <c r="K8595" s="5"/>
      <c r="L8595" s="5"/>
      <c r="M8595" s="5"/>
      <c r="N8595" s="5"/>
      <c r="O8595" s="5"/>
      <c r="P8595" s="5"/>
      <c r="Q8595" s="5"/>
      <c r="R8595" s="5"/>
      <c r="S8595" s="5"/>
      <c r="T8595" s="5"/>
      <c r="U8595" s="5"/>
      <c r="V8595" s="5"/>
      <c r="W8595" s="5"/>
      <c r="X8595" s="5"/>
      <c r="Y8595" s="5"/>
      <c r="Z8595" s="5"/>
    </row>
    <row r="8596" spans="1:26" ht="15" x14ac:dyDescent="0.25">
      <c r="A8596" s="4" t="s">
        <v>8594</v>
      </c>
      <c r="B8596" s="4" t="s">
        <v>4550</v>
      </c>
      <c r="C8596" s="2" t="str">
        <f ca="1">IFERROR(__xludf.DUMMYFUNCTION("GOOGLETRANSLATE(A8596,""bn"",""en"")"),"The research project was successful")</f>
        <v>The research project was successful</v>
      </c>
      <c r="D8596" s="5"/>
      <c r="E8596" s="5"/>
      <c r="F8596" s="5"/>
      <c r="G8596" s="5"/>
      <c r="H8596" s="5"/>
      <c r="I8596" s="5"/>
      <c r="J8596" s="5"/>
      <c r="K8596" s="5"/>
      <c r="L8596" s="5"/>
      <c r="M8596" s="5"/>
      <c r="N8596" s="5"/>
      <c r="O8596" s="5"/>
      <c r="P8596" s="5"/>
      <c r="Q8596" s="5"/>
      <c r="R8596" s="5"/>
      <c r="S8596" s="5"/>
      <c r="T8596" s="5"/>
      <c r="U8596" s="5"/>
      <c r="V8596" s="5"/>
      <c r="W8596" s="5"/>
      <c r="X8596" s="5"/>
      <c r="Y8596" s="5"/>
      <c r="Z8596" s="5"/>
    </row>
    <row r="8597" spans="1:26" ht="15" x14ac:dyDescent="0.25">
      <c r="A8597" s="4" t="s">
        <v>8595</v>
      </c>
      <c r="B8597" s="4" t="s">
        <v>4550</v>
      </c>
      <c r="C8597" s="2" t="str">
        <f ca="1">IFERROR(__xludf.DUMMYFUNCTION("GOOGLETRANSLATE(A8597,""bn"",""en"")"),"The World Cup created excitement")</f>
        <v>The World Cup created excitement</v>
      </c>
      <c r="D8597" s="5"/>
      <c r="E8597" s="5"/>
      <c r="F8597" s="5"/>
      <c r="G8597" s="5"/>
      <c r="H8597" s="5"/>
      <c r="I8597" s="5"/>
      <c r="J8597" s="5"/>
      <c r="K8597" s="5"/>
      <c r="L8597" s="5"/>
      <c r="M8597" s="5"/>
      <c r="N8597" s="5"/>
      <c r="O8597" s="5"/>
      <c r="P8597" s="5"/>
      <c r="Q8597" s="5"/>
      <c r="R8597" s="5"/>
      <c r="S8597" s="5"/>
      <c r="T8597" s="5"/>
      <c r="U8597" s="5"/>
      <c r="V8597" s="5"/>
      <c r="W8597" s="5"/>
      <c r="X8597" s="5"/>
      <c r="Y8597" s="5"/>
      <c r="Z8597" s="5"/>
    </row>
    <row r="8598" spans="1:26" ht="15" x14ac:dyDescent="0.25">
      <c r="A8598" s="4" t="s">
        <v>8596</v>
      </c>
      <c r="B8598" s="4" t="s">
        <v>4550</v>
      </c>
      <c r="C8598" s="2" t="str">
        <f ca="1">IFERROR(__xludf.DUMMYFUNCTION("GOOGLETRANSLATE(A8598,""bn"",""en"")"),"It was the new library")</f>
        <v>It was the new library</v>
      </c>
      <c r="D8598" s="5"/>
      <c r="E8598" s="5"/>
      <c r="F8598" s="5"/>
      <c r="G8598" s="5"/>
      <c r="H8598" s="5"/>
      <c r="I8598" s="5"/>
      <c r="J8598" s="5"/>
      <c r="K8598" s="5"/>
      <c r="L8598" s="5"/>
      <c r="M8598" s="5"/>
      <c r="N8598" s="5"/>
      <c r="O8598" s="5"/>
      <c r="P8598" s="5"/>
      <c r="Q8598" s="5"/>
      <c r="R8598" s="5"/>
      <c r="S8598" s="5"/>
      <c r="T8598" s="5"/>
      <c r="U8598" s="5"/>
      <c r="V8598" s="5"/>
      <c r="W8598" s="5"/>
      <c r="X8598" s="5"/>
      <c r="Y8598" s="5"/>
      <c r="Z8598" s="5"/>
    </row>
    <row r="8599" spans="1:26" ht="15" x14ac:dyDescent="0.25">
      <c r="A8599" s="4" t="s">
        <v>8597</v>
      </c>
      <c r="B8599" s="4" t="s">
        <v>4550</v>
      </c>
      <c r="C8599" s="2" t="str">
        <f ca="1">IFERROR(__xludf.DUMMYFUNCTION("GOOGLETRANSLATE(A8599,""bn"",""en"")"),"An interface design is")</f>
        <v>An interface design is</v>
      </c>
      <c r="D8599" s="5"/>
      <c r="E8599" s="5"/>
      <c r="F8599" s="5"/>
      <c r="G8599" s="5"/>
      <c r="H8599" s="5"/>
      <c r="I8599" s="5"/>
      <c r="J8599" s="5"/>
      <c r="K8599" s="5"/>
      <c r="L8599" s="5"/>
      <c r="M8599" s="5"/>
      <c r="N8599" s="5"/>
      <c r="O8599" s="5"/>
      <c r="P8599" s="5"/>
      <c r="Q8599" s="5"/>
      <c r="R8599" s="5"/>
      <c r="S8599" s="5"/>
      <c r="T8599" s="5"/>
      <c r="U8599" s="5"/>
      <c r="V8599" s="5"/>
      <c r="W8599" s="5"/>
      <c r="X8599" s="5"/>
      <c r="Y8599" s="5"/>
      <c r="Z8599" s="5"/>
    </row>
    <row r="8600" spans="1:26" ht="15" x14ac:dyDescent="0.25">
      <c r="A8600" s="4" t="s">
        <v>8598</v>
      </c>
      <c r="B8600" s="4" t="s">
        <v>4550</v>
      </c>
      <c r="C8600" s="2" t="str">
        <f ca="1">IFERROR(__xludf.DUMMYFUNCTION("GOOGLETRANSLATE(A8600,""bn"",""en"")"),"The team won the match well")</f>
        <v>The team won the match well</v>
      </c>
      <c r="D8600" s="5"/>
      <c r="E8600" s="5"/>
      <c r="F8600" s="5"/>
      <c r="G8600" s="5"/>
      <c r="H8600" s="5"/>
      <c r="I8600" s="5"/>
      <c r="J8600" s="5"/>
      <c r="K8600" s="5"/>
      <c r="L8600" s="5"/>
      <c r="M8600" s="5"/>
      <c r="N8600" s="5"/>
      <c r="O8600" s="5"/>
      <c r="P8600" s="5"/>
      <c r="Q8600" s="5"/>
      <c r="R8600" s="5"/>
      <c r="S8600" s="5"/>
      <c r="T8600" s="5"/>
      <c r="U8600" s="5"/>
      <c r="V8600" s="5"/>
      <c r="W8600" s="5"/>
      <c r="X8600" s="5"/>
      <c r="Y8600" s="5"/>
      <c r="Z8600" s="5"/>
    </row>
    <row r="8601" spans="1:26" ht="15" x14ac:dyDescent="0.25">
      <c r="A8601" s="4" t="s">
        <v>8599</v>
      </c>
      <c r="B8601" s="4" t="s">
        <v>4550</v>
      </c>
      <c r="C8601" s="2" t="str">
        <f ca="1">IFERROR(__xludf.DUMMYFUNCTION("GOOGLETRANSLATE(A8601,""bn"",""en"")"),"He was helping the teacher")</f>
        <v>He was helping the teacher</v>
      </c>
      <c r="D8601" s="5"/>
      <c r="E8601" s="5"/>
      <c r="F8601" s="5"/>
      <c r="G8601" s="5"/>
      <c r="H8601" s="5"/>
      <c r="I8601" s="5"/>
      <c r="J8601" s="5"/>
      <c r="K8601" s="5"/>
      <c r="L8601" s="5"/>
      <c r="M8601" s="5"/>
      <c r="N8601" s="5"/>
      <c r="O8601" s="5"/>
      <c r="P8601" s="5"/>
      <c r="Q8601" s="5"/>
      <c r="R8601" s="5"/>
      <c r="S8601" s="5"/>
      <c r="T8601" s="5"/>
      <c r="U8601" s="5"/>
      <c r="V8601" s="5"/>
      <c r="W8601" s="5"/>
      <c r="X8601" s="5"/>
      <c r="Y8601" s="5"/>
      <c r="Z8601" s="5"/>
    </row>
    <row r="8602" spans="1:26" ht="15" x14ac:dyDescent="0.25">
      <c r="A8602" s="4" t="s">
        <v>8600</v>
      </c>
      <c r="B8602" s="4" t="s">
        <v>4550</v>
      </c>
      <c r="C8602" s="2" t="str">
        <f ca="1">IFERROR(__xludf.DUMMYFUNCTION("GOOGLETRANSLATE(A8602,""bn"",""en"")"),"Software testing was taught")</f>
        <v>Software testing was taught</v>
      </c>
      <c r="D8602" s="5"/>
      <c r="E8602" s="5"/>
      <c r="F8602" s="5"/>
      <c r="G8602" s="5"/>
      <c r="H8602" s="5"/>
      <c r="I8602" s="5"/>
      <c r="J8602" s="5"/>
      <c r="K8602" s="5"/>
      <c r="L8602" s="5"/>
      <c r="M8602" s="5"/>
      <c r="N8602" s="5"/>
      <c r="O8602" s="5"/>
      <c r="P8602" s="5"/>
      <c r="Q8602" s="5"/>
      <c r="R8602" s="5"/>
      <c r="S8602" s="5"/>
      <c r="T8602" s="5"/>
      <c r="U8602" s="5"/>
      <c r="V8602" s="5"/>
      <c r="W8602" s="5"/>
      <c r="X8602" s="5"/>
      <c r="Y8602" s="5"/>
      <c r="Z8602" s="5"/>
    </row>
    <row r="8603" spans="1:26" ht="15" x14ac:dyDescent="0.25">
      <c r="A8603" s="4" t="s">
        <v>8601</v>
      </c>
      <c r="B8603" s="4" t="s">
        <v>4550</v>
      </c>
      <c r="C8603" s="2" t="str">
        <f ca="1">IFERROR(__xludf.DUMMYFUNCTION("GOOGLETRANSLATE(A8603,""bn"",""en"")"),"was elected at the administrative meeting")</f>
        <v>was elected at the administrative meeting</v>
      </c>
      <c r="D8603" s="5"/>
      <c r="E8603" s="5"/>
      <c r="F8603" s="5"/>
      <c r="G8603" s="5"/>
      <c r="H8603" s="5"/>
      <c r="I8603" s="5"/>
      <c r="J8603" s="5"/>
      <c r="K8603" s="5"/>
      <c r="L8603" s="5"/>
      <c r="M8603" s="5"/>
      <c r="N8603" s="5"/>
      <c r="O8603" s="5"/>
      <c r="P8603" s="5"/>
      <c r="Q8603" s="5"/>
      <c r="R8603" s="5"/>
      <c r="S8603" s="5"/>
      <c r="T8603" s="5"/>
      <c r="U8603" s="5"/>
      <c r="V8603" s="5"/>
      <c r="W8603" s="5"/>
      <c r="X8603" s="5"/>
      <c r="Y8603" s="5"/>
      <c r="Z8603" s="5"/>
    </row>
    <row r="8604" spans="1:26" ht="15" x14ac:dyDescent="0.25">
      <c r="A8604" s="4" t="s">
        <v>8602</v>
      </c>
      <c r="B8604" s="4" t="s">
        <v>4550</v>
      </c>
      <c r="C8604" s="2" t="str">
        <f ca="1">IFERROR(__xludf.DUMMYFUNCTION("GOOGLETRANSLATE(A8604,""bn"",""en"")"),"Everyone went for a picnic at leisure")</f>
        <v>Everyone went for a picnic at leisure</v>
      </c>
      <c r="D8604" s="5"/>
      <c r="E8604" s="5"/>
      <c r="F8604" s="5"/>
      <c r="G8604" s="5"/>
      <c r="H8604" s="5"/>
      <c r="I8604" s="5"/>
      <c r="J8604" s="5"/>
      <c r="K8604" s="5"/>
      <c r="L8604" s="5"/>
      <c r="M8604" s="5"/>
      <c r="N8604" s="5"/>
      <c r="O8604" s="5"/>
      <c r="P8604" s="5"/>
      <c r="Q8604" s="5"/>
      <c r="R8604" s="5"/>
      <c r="S8604" s="5"/>
      <c r="T8604" s="5"/>
      <c r="U8604" s="5"/>
      <c r="V8604" s="5"/>
      <c r="W8604" s="5"/>
      <c r="X8604" s="5"/>
      <c r="Y8604" s="5"/>
      <c r="Z8604" s="5"/>
    </row>
    <row r="8605" spans="1:26" ht="15" x14ac:dyDescent="0.25">
      <c r="A8605" s="4" t="s">
        <v>8603</v>
      </c>
      <c r="B8605" s="4" t="s">
        <v>4550</v>
      </c>
      <c r="C8605" s="2" t="str">
        <f ca="1">IFERROR(__xludf.DUMMYFUNCTION("GOOGLETRANSLATE(A8605,""bn"",""en"")"),"I watched more movies last year")</f>
        <v>I watched more movies last year</v>
      </c>
      <c r="D8605" s="5"/>
      <c r="E8605" s="5"/>
      <c r="F8605" s="5"/>
      <c r="G8605" s="5"/>
      <c r="H8605" s="5"/>
      <c r="I8605" s="5"/>
      <c r="J8605" s="5"/>
      <c r="K8605" s="5"/>
      <c r="L8605" s="5"/>
      <c r="M8605" s="5"/>
      <c r="N8605" s="5"/>
      <c r="O8605" s="5"/>
      <c r="P8605" s="5"/>
      <c r="Q8605" s="5"/>
      <c r="R8605" s="5"/>
      <c r="S8605" s="5"/>
      <c r="T8605" s="5"/>
      <c r="U8605" s="5"/>
      <c r="V8605" s="5"/>
      <c r="W8605" s="5"/>
      <c r="X8605" s="5"/>
      <c r="Y8605" s="5"/>
      <c r="Z8605" s="5"/>
    </row>
    <row r="8606" spans="1:26" ht="15" x14ac:dyDescent="0.25">
      <c r="A8606" s="4" t="s">
        <v>8604</v>
      </c>
      <c r="B8606" s="4" t="s">
        <v>4550</v>
      </c>
      <c r="C8606" s="2" t="str">
        <f ca="1">IFERROR(__xludf.DUMMYFUNCTION("GOOGLETRANSLATE(A8606,""bn"",""en"")"),"The minister joined the cabinet")</f>
        <v>The minister joined the cabinet</v>
      </c>
      <c r="D8606" s="5"/>
      <c r="E8606" s="5"/>
      <c r="F8606" s="5"/>
      <c r="G8606" s="5"/>
      <c r="H8606" s="5"/>
      <c r="I8606" s="5"/>
      <c r="J8606" s="5"/>
      <c r="K8606" s="5"/>
      <c r="L8606" s="5"/>
      <c r="M8606" s="5"/>
      <c r="N8606" s="5"/>
      <c r="O8606" s="5"/>
      <c r="P8606" s="5"/>
      <c r="Q8606" s="5"/>
      <c r="R8606" s="5"/>
      <c r="S8606" s="5"/>
      <c r="T8606" s="5"/>
      <c r="U8606" s="5"/>
      <c r="V8606" s="5"/>
      <c r="W8606" s="5"/>
      <c r="X8606" s="5"/>
      <c r="Y8606" s="5"/>
      <c r="Z8606" s="5"/>
    </row>
    <row r="8607" spans="1:26" ht="15" x14ac:dyDescent="0.25">
      <c r="A8607" s="4" t="s">
        <v>8605</v>
      </c>
      <c r="B8607" s="4" t="s">
        <v>4550</v>
      </c>
      <c r="C8607" s="2" t="str">
        <f ca="1">IFERROR(__xludf.DUMMYFUNCTION("GOOGLETRANSLATE(A8607,""bn"",""en"")"),"We were making sweet pies")</f>
        <v>We were making sweet pies</v>
      </c>
      <c r="D8607" s="5"/>
      <c r="E8607" s="5"/>
      <c r="F8607" s="5"/>
      <c r="G8607" s="5"/>
      <c r="H8607" s="5"/>
      <c r="I8607" s="5"/>
      <c r="J8607" s="5"/>
      <c r="K8607" s="5"/>
      <c r="L8607" s="5"/>
      <c r="M8607" s="5"/>
      <c r="N8607" s="5"/>
      <c r="O8607" s="5"/>
      <c r="P8607" s="5"/>
      <c r="Q8607" s="5"/>
      <c r="R8607" s="5"/>
      <c r="S8607" s="5"/>
      <c r="T8607" s="5"/>
      <c r="U8607" s="5"/>
      <c r="V8607" s="5"/>
      <c r="W8607" s="5"/>
      <c r="X8607" s="5"/>
      <c r="Y8607" s="5"/>
      <c r="Z8607" s="5"/>
    </row>
    <row r="8608" spans="1:26" ht="15" x14ac:dyDescent="0.25">
      <c r="A8608" s="4" t="s">
        <v>8606</v>
      </c>
      <c r="B8608" s="4" t="s">
        <v>4550</v>
      </c>
      <c r="C8608" s="2" t="str">
        <f ca="1">IFERROR(__xludf.DUMMYFUNCTION("GOOGLETRANSLATE(A8608,""bn"",""en"")"),"The Prime Minister was giving his farewell address")</f>
        <v>The Prime Minister was giving his farewell address</v>
      </c>
      <c r="D8608" s="5"/>
      <c r="E8608" s="5"/>
      <c r="F8608" s="5"/>
      <c r="G8608" s="5"/>
      <c r="H8608" s="5"/>
      <c r="I8608" s="5"/>
      <c r="J8608" s="5"/>
      <c r="K8608" s="5"/>
      <c r="L8608" s="5"/>
      <c r="M8608" s="5"/>
      <c r="N8608" s="5"/>
      <c r="O8608" s="5"/>
      <c r="P8608" s="5"/>
      <c r="Q8608" s="5"/>
      <c r="R8608" s="5"/>
      <c r="S8608" s="5"/>
      <c r="T8608" s="5"/>
      <c r="U8608" s="5"/>
      <c r="V8608" s="5"/>
      <c r="W8608" s="5"/>
      <c r="X8608" s="5"/>
      <c r="Y8608" s="5"/>
      <c r="Z8608" s="5"/>
    </row>
    <row r="8609" spans="1:26" ht="15" x14ac:dyDescent="0.25">
      <c r="A8609" s="4" t="s">
        <v>8607</v>
      </c>
      <c r="B8609" s="4" t="s">
        <v>4550</v>
      </c>
      <c r="C8609" s="2" t="str">
        <f ca="1">IFERROR(__xludf.DUMMYFUNCTION("GOOGLETRANSLATE(A8609,""bn"",""en"")"),"The cabinet was formed last month")</f>
        <v>The cabinet was formed last month</v>
      </c>
      <c r="D8609" s="5"/>
      <c r="E8609" s="5"/>
      <c r="F8609" s="5"/>
      <c r="G8609" s="5"/>
      <c r="H8609" s="5"/>
      <c r="I8609" s="5"/>
      <c r="J8609" s="5"/>
      <c r="K8609" s="5"/>
      <c r="L8609" s="5"/>
      <c r="M8609" s="5"/>
      <c r="N8609" s="5"/>
      <c r="O8609" s="5"/>
      <c r="P8609" s="5"/>
      <c r="Q8609" s="5"/>
      <c r="R8609" s="5"/>
      <c r="S8609" s="5"/>
      <c r="T8609" s="5"/>
      <c r="U8609" s="5"/>
      <c r="V8609" s="5"/>
      <c r="W8609" s="5"/>
      <c r="X8609" s="5"/>
      <c r="Y8609" s="5"/>
      <c r="Z8609" s="5"/>
    </row>
    <row r="8610" spans="1:26" ht="15" x14ac:dyDescent="0.25">
      <c r="A8610" s="4" t="s">
        <v>8608</v>
      </c>
      <c r="B8610" s="4" t="s">
        <v>4550</v>
      </c>
      <c r="C8610" s="2" t="str">
        <f ca="1">IFERROR(__xludf.DUMMYFUNCTION("GOOGLETRANSLATE(A8610,""bn"",""en"")"),"He turned on the mobile phone in the evening")</f>
        <v>He turned on the mobile phone in the evening</v>
      </c>
      <c r="D8610" s="5"/>
      <c r="E8610" s="5"/>
      <c r="F8610" s="5"/>
      <c r="G8610" s="5"/>
      <c r="H8610" s="5"/>
      <c r="I8610" s="5"/>
      <c r="J8610" s="5"/>
      <c r="K8610" s="5"/>
      <c r="L8610" s="5"/>
      <c r="M8610" s="5"/>
      <c r="N8610" s="5"/>
      <c r="O8610" s="5"/>
      <c r="P8610" s="5"/>
      <c r="Q8610" s="5"/>
      <c r="R8610" s="5"/>
      <c r="S8610" s="5"/>
      <c r="T8610" s="5"/>
      <c r="U8610" s="5"/>
      <c r="V8610" s="5"/>
      <c r="W8610" s="5"/>
      <c r="X8610" s="5"/>
      <c r="Y8610" s="5"/>
      <c r="Z8610" s="5"/>
    </row>
    <row r="8611" spans="1:26" ht="15" x14ac:dyDescent="0.25">
      <c r="A8611" s="4" t="s">
        <v>8609</v>
      </c>
      <c r="B8611" s="4" t="s">
        <v>4550</v>
      </c>
      <c r="C8611" s="2" t="str">
        <f ca="1">IFERROR(__xludf.DUMMYFUNCTION("GOOGLETRANSLATE(A8611,""bn"",""en"")"),"Your friend bought a laptop")</f>
        <v>Your friend bought a laptop</v>
      </c>
      <c r="D8611" s="5"/>
      <c r="E8611" s="5"/>
      <c r="F8611" s="5"/>
      <c r="G8611" s="5"/>
      <c r="H8611" s="5"/>
      <c r="I8611" s="5"/>
      <c r="J8611" s="5"/>
      <c r="K8611" s="5"/>
      <c r="L8611" s="5"/>
      <c r="M8611" s="5"/>
      <c r="N8611" s="5"/>
      <c r="O8611" s="5"/>
      <c r="P8611" s="5"/>
      <c r="Q8611" s="5"/>
      <c r="R8611" s="5"/>
      <c r="S8611" s="5"/>
      <c r="T8611" s="5"/>
      <c r="U8611" s="5"/>
      <c r="V8611" s="5"/>
      <c r="W8611" s="5"/>
      <c r="X8611" s="5"/>
      <c r="Y8611" s="5"/>
      <c r="Z8611" s="5"/>
    </row>
    <row r="8612" spans="1:26" ht="15" x14ac:dyDescent="0.25">
      <c r="A8612" s="4" t="s">
        <v>8610</v>
      </c>
      <c r="B8612" s="4" t="s">
        <v>4550</v>
      </c>
      <c r="C8612" s="2" t="str">
        <f ca="1">IFERROR(__xludf.DUMMYFUNCTION("GOOGLETRANSLATE(A8612,""bn"",""en"")"),"Clashes took place before the elections")</f>
        <v>Clashes took place before the elections</v>
      </c>
      <c r="D8612" s="5"/>
      <c r="E8612" s="5"/>
      <c r="F8612" s="5"/>
      <c r="G8612" s="5"/>
      <c r="H8612" s="5"/>
      <c r="I8612" s="5"/>
      <c r="J8612" s="5"/>
      <c r="K8612" s="5"/>
      <c r="L8612" s="5"/>
      <c r="M8612" s="5"/>
      <c r="N8612" s="5"/>
      <c r="O8612" s="5"/>
      <c r="P8612" s="5"/>
      <c r="Q8612" s="5"/>
      <c r="R8612" s="5"/>
      <c r="S8612" s="5"/>
      <c r="T8612" s="5"/>
      <c r="U8612" s="5"/>
      <c r="V8612" s="5"/>
      <c r="W8612" s="5"/>
      <c r="X8612" s="5"/>
      <c r="Y8612" s="5"/>
      <c r="Z8612" s="5"/>
    </row>
    <row r="8613" spans="1:26" ht="15" x14ac:dyDescent="0.25">
      <c r="A8613" s="4" t="s">
        <v>8611</v>
      </c>
      <c r="B8613" s="4" t="s">
        <v>4550</v>
      </c>
      <c r="C8613" s="2" t="str">
        <f ca="1">IFERROR(__xludf.DUMMYFUNCTION("GOOGLETRANSLATE(A8613,""bn"",""en"")"),"Rejected emotions increased in the customer")</f>
        <v>Rejected emotions increased in the customer</v>
      </c>
      <c r="D8613" s="5"/>
      <c r="E8613" s="5"/>
      <c r="F8613" s="5"/>
      <c r="G8613" s="5"/>
      <c r="H8613" s="5"/>
      <c r="I8613" s="5"/>
      <c r="J8613" s="5"/>
      <c r="K8613" s="5"/>
      <c r="L8613" s="5"/>
      <c r="M8613" s="5"/>
      <c r="N8613" s="5"/>
      <c r="O8613" s="5"/>
      <c r="P8613" s="5"/>
      <c r="Q8613" s="5"/>
      <c r="R8613" s="5"/>
      <c r="S8613" s="5"/>
      <c r="T8613" s="5"/>
      <c r="U8613" s="5"/>
      <c r="V8613" s="5"/>
      <c r="W8613" s="5"/>
      <c r="X8613" s="5"/>
      <c r="Y8613" s="5"/>
      <c r="Z8613" s="5"/>
    </row>
    <row r="8614" spans="1:26" ht="15" x14ac:dyDescent="0.25">
      <c r="A8614" s="4" t="s">
        <v>8612</v>
      </c>
      <c r="B8614" s="4" t="s">
        <v>4550</v>
      </c>
      <c r="C8614" s="2" t="str">
        <f ca="1">IFERROR(__xludf.DUMMYFUNCTION("GOOGLETRANSLATE(A8614,""bn"",""en"")"),"I excelled in the exam")</f>
        <v>I excelled in the exam</v>
      </c>
      <c r="D8614" s="5"/>
      <c r="E8614" s="5"/>
      <c r="F8614" s="5"/>
      <c r="G8614" s="5"/>
      <c r="H8614" s="5"/>
      <c r="I8614" s="5"/>
      <c r="J8614" s="5"/>
      <c r="K8614" s="5"/>
      <c r="L8614" s="5"/>
      <c r="M8614" s="5"/>
      <c r="N8614" s="5"/>
      <c r="O8614" s="5"/>
      <c r="P8614" s="5"/>
      <c r="Q8614" s="5"/>
      <c r="R8614" s="5"/>
      <c r="S8614" s="5"/>
      <c r="T8614" s="5"/>
      <c r="U8614" s="5"/>
      <c r="V8614" s="5"/>
      <c r="W8614" s="5"/>
      <c r="X8614" s="5"/>
      <c r="Y8614" s="5"/>
      <c r="Z8614" s="5"/>
    </row>
    <row r="8615" spans="1:26" ht="15" x14ac:dyDescent="0.25">
      <c r="A8615" s="4" t="s">
        <v>8613</v>
      </c>
      <c r="B8615" s="4" t="s">
        <v>4550</v>
      </c>
      <c r="C8615" s="2" t="str">
        <f ca="1">IFERROR(__xludf.DUMMYFUNCTION("GOOGLETRANSLATE(A8615,""bn"",""en"")"),"The tennis match was won")</f>
        <v>The tennis match was won</v>
      </c>
      <c r="D8615" s="5"/>
      <c r="E8615" s="5"/>
      <c r="F8615" s="5"/>
      <c r="G8615" s="5"/>
      <c r="H8615" s="5"/>
      <c r="I8615" s="5"/>
      <c r="J8615" s="5"/>
      <c r="K8615" s="5"/>
      <c r="L8615" s="5"/>
      <c r="M8615" s="5"/>
      <c r="N8615" s="5"/>
      <c r="O8615" s="5"/>
      <c r="P8615" s="5"/>
      <c r="Q8615" s="5"/>
      <c r="R8615" s="5"/>
      <c r="S8615" s="5"/>
      <c r="T8615" s="5"/>
      <c r="U8615" s="5"/>
      <c r="V8615" s="5"/>
      <c r="W8615" s="5"/>
      <c r="X8615" s="5"/>
      <c r="Y8615" s="5"/>
      <c r="Z8615" s="5"/>
    </row>
    <row r="8616" spans="1:26" ht="15" x14ac:dyDescent="0.25">
      <c r="A8616" s="4" t="s">
        <v>8614</v>
      </c>
      <c r="B8616" s="4" t="s">
        <v>4550</v>
      </c>
      <c r="C8616" s="2" t="str">
        <f ca="1">IFERROR(__xludf.DUMMYFUNCTION("GOOGLETRANSLATE(A8616,""bn"",""en"")"),"Collapsed on the river bank")</f>
        <v>Collapsed on the river bank</v>
      </c>
      <c r="D8616" s="5"/>
      <c r="E8616" s="5"/>
      <c r="F8616" s="5"/>
      <c r="G8616" s="5"/>
      <c r="H8616" s="5"/>
      <c r="I8616" s="5"/>
      <c r="J8616" s="5"/>
      <c r="K8616" s="5"/>
      <c r="L8616" s="5"/>
      <c r="M8616" s="5"/>
      <c r="N8616" s="5"/>
      <c r="O8616" s="5"/>
      <c r="P8616" s="5"/>
      <c r="Q8616" s="5"/>
      <c r="R8616" s="5"/>
      <c r="S8616" s="5"/>
      <c r="T8616" s="5"/>
      <c r="U8616" s="5"/>
      <c r="V8616" s="5"/>
      <c r="W8616" s="5"/>
      <c r="X8616" s="5"/>
      <c r="Y8616" s="5"/>
      <c r="Z8616" s="5"/>
    </row>
    <row r="8617" spans="1:26" ht="15" x14ac:dyDescent="0.25">
      <c r="A8617" s="4" t="s">
        <v>8615</v>
      </c>
      <c r="B8617" s="4" t="s">
        <v>4550</v>
      </c>
      <c r="C8617" s="2" t="str">
        <f ca="1">IFERROR(__xludf.DUMMYFUNCTION("GOOGLETRANSLATE(A8617,""bn"",""en"")"),"Children went to school")</f>
        <v>Children went to school</v>
      </c>
      <c r="D8617" s="5"/>
      <c r="E8617" s="5"/>
      <c r="F8617" s="5"/>
      <c r="G8617" s="5"/>
      <c r="H8617" s="5"/>
      <c r="I8617" s="5"/>
      <c r="J8617" s="5"/>
      <c r="K8617" s="5"/>
      <c r="L8617" s="5"/>
      <c r="M8617" s="5"/>
      <c r="N8617" s="5"/>
      <c r="O8617" s="5"/>
      <c r="P8617" s="5"/>
      <c r="Q8617" s="5"/>
      <c r="R8617" s="5"/>
      <c r="S8617" s="5"/>
      <c r="T8617" s="5"/>
      <c r="U8617" s="5"/>
      <c r="V8617" s="5"/>
      <c r="W8617" s="5"/>
      <c r="X8617" s="5"/>
      <c r="Y8617" s="5"/>
      <c r="Z8617" s="5"/>
    </row>
    <row r="8618" spans="1:26" ht="15" x14ac:dyDescent="0.25">
      <c r="A8618" s="4" t="s">
        <v>8616</v>
      </c>
      <c r="B8618" s="4" t="s">
        <v>4550</v>
      </c>
      <c r="C8618" s="2" t="str">
        <f ca="1">IFERROR(__xludf.DUMMYFUNCTION("GOOGLETRANSLATE(A8618,""bn"",""en"")"),"They had fun at the party")</f>
        <v>They had fun at the party</v>
      </c>
      <c r="D8618" s="5"/>
      <c r="E8618" s="5"/>
      <c r="F8618" s="5"/>
      <c r="G8618" s="5"/>
      <c r="H8618" s="5"/>
      <c r="I8618" s="5"/>
      <c r="J8618" s="5"/>
      <c r="K8618" s="5"/>
      <c r="L8618" s="5"/>
      <c r="M8618" s="5"/>
      <c r="N8618" s="5"/>
      <c r="O8618" s="5"/>
      <c r="P8618" s="5"/>
      <c r="Q8618" s="5"/>
      <c r="R8618" s="5"/>
      <c r="S8618" s="5"/>
      <c r="T8618" s="5"/>
      <c r="U8618" s="5"/>
      <c r="V8618" s="5"/>
      <c r="W8618" s="5"/>
      <c r="X8618" s="5"/>
      <c r="Y8618" s="5"/>
      <c r="Z8618" s="5"/>
    </row>
    <row r="8619" spans="1:26" ht="15" x14ac:dyDescent="0.25">
      <c r="A8619" s="4" t="s">
        <v>8617</v>
      </c>
      <c r="B8619" s="4" t="s">
        <v>4550</v>
      </c>
      <c r="C8619" s="2" t="str">
        <f ca="1">IFERROR(__xludf.DUMMYFUNCTION("GOOGLETRANSLATE(A8619,""bn"",""en"")"),"The delegates elected the captain")</f>
        <v>The delegates elected the captain</v>
      </c>
      <c r="D8619" s="5"/>
      <c r="E8619" s="5"/>
      <c r="F8619" s="5"/>
      <c r="G8619" s="5"/>
      <c r="H8619" s="5"/>
      <c r="I8619" s="5"/>
      <c r="J8619" s="5"/>
      <c r="K8619" s="5"/>
      <c r="L8619" s="5"/>
      <c r="M8619" s="5"/>
      <c r="N8619" s="5"/>
      <c r="O8619" s="5"/>
      <c r="P8619" s="5"/>
      <c r="Q8619" s="5"/>
      <c r="R8619" s="5"/>
      <c r="S8619" s="5"/>
      <c r="T8619" s="5"/>
      <c r="U8619" s="5"/>
      <c r="V8619" s="5"/>
      <c r="W8619" s="5"/>
      <c r="X8619" s="5"/>
      <c r="Y8619" s="5"/>
      <c r="Z8619" s="5"/>
    </row>
    <row r="8620" spans="1:26" ht="15" x14ac:dyDescent="0.25">
      <c r="A8620" s="4" t="s">
        <v>8618</v>
      </c>
      <c r="B8620" s="4" t="s">
        <v>4550</v>
      </c>
      <c r="C8620" s="2" t="str">
        <f ca="1">IFERROR(__xludf.DUMMYFUNCTION("GOOGLETRANSLATE(A8620,""bn"",""en"")"),"I ate beef")</f>
        <v>I ate beef</v>
      </c>
      <c r="D8620" s="5"/>
      <c r="E8620" s="5"/>
      <c r="F8620" s="5"/>
      <c r="G8620" s="5"/>
      <c r="H8620" s="5"/>
      <c r="I8620" s="5"/>
      <c r="J8620" s="5"/>
      <c r="K8620" s="5"/>
      <c r="L8620" s="5"/>
      <c r="M8620" s="5"/>
      <c r="N8620" s="5"/>
      <c r="O8620" s="5"/>
      <c r="P8620" s="5"/>
      <c r="Q8620" s="5"/>
      <c r="R8620" s="5"/>
      <c r="S8620" s="5"/>
      <c r="T8620" s="5"/>
      <c r="U8620" s="5"/>
      <c r="V8620" s="5"/>
      <c r="W8620" s="5"/>
      <c r="X8620" s="5"/>
      <c r="Y8620" s="5"/>
      <c r="Z8620" s="5"/>
    </row>
    <row r="8621" spans="1:26" ht="15" x14ac:dyDescent="0.25">
      <c r="A8621" s="4" t="s">
        <v>8619</v>
      </c>
      <c r="B8621" s="4" t="s">
        <v>4550</v>
      </c>
      <c r="C8621" s="2" t="str">
        <f ca="1">IFERROR(__xludf.DUMMYFUNCTION("GOOGLETRANSLATE(A8621,""bn"",""en"")"),"Newspapers were giving messages")</f>
        <v>Newspapers were giving messages</v>
      </c>
      <c r="D8621" s="5"/>
      <c r="E8621" s="5"/>
      <c r="F8621" s="5"/>
      <c r="G8621" s="5"/>
      <c r="H8621" s="5"/>
      <c r="I8621" s="5"/>
      <c r="J8621" s="5"/>
      <c r="K8621" s="5"/>
      <c r="L8621" s="5"/>
      <c r="M8621" s="5"/>
      <c r="N8621" s="5"/>
      <c r="O8621" s="5"/>
      <c r="P8621" s="5"/>
      <c r="Q8621" s="5"/>
      <c r="R8621" s="5"/>
      <c r="S8621" s="5"/>
      <c r="T8621" s="5"/>
      <c r="U8621" s="5"/>
      <c r="V8621" s="5"/>
      <c r="W8621" s="5"/>
      <c r="X8621" s="5"/>
      <c r="Y8621" s="5"/>
      <c r="Z8621" s="5"/>
    </row>
    <row r="8622" spans="1:26" ht="15" x14ac:dyDescent="0.25">
      <c r="A8622" s="4" t="s">
        <v>8620</v>
      </c>
      <c r="B8622" s="4" t="s">
        <v>4550</v>
      </c>
      <c r="C8622" s="2" t="str">
        <f ca="1">IFERROR(__xludf.DUMMYFUNCTION("GOOGLETRANSLATE(A8622,""bn"",""en"")"),"Saw his picture last week")</f>
        <v>Saw his picture last week</v>
      </c>
      <c r="D8622" s="5"/>
      <c r="E8622" s="5"/>
      <c r="F8622" s="5"/>
      <c r="G8622" s="5"/>
      <c r="H8622" s="5"/>
      <c r="I8622" s="5"/>
      <c r="J8622" s="5"/>
      <c r="K8622" s="5"/>
      <c r="L8622" s="5"/>
      <c r="M8622" s="5"/>
      <c r="N8622" s="5"/>
      <c r="O8622" s="5"/>
      <c r="P8622" s="5"/>
      <c r="Q8622" s="5"/>
      <c r="R8622" s="5"/>
      <c r="S8622" s="5"/>
      <c r="T8622" s="5"/>
      <c r="U8622" s="5"/>
      <c r="V8622" s="5"/>
      <c r="W8622" s="5"/>
      <c r="X8622" s="5"/>
      <c r="Y8622" s="5"/>
      <c r="Z8622" s="5"/>
    </row>
    <row r="8623" spans="1:26" ht="15" x14ac:dyDescent="0.25">
      <c r="A8623" s="4" t="s">
        <v>8621</v>
      </c>
      <c r="B8623" s="4" t="s">
        <v>4550</v>
      </c>
      <c r="C8623" s="2" t="str">
        <f ca="1">IFERROR(__xludf.DUMMYFUNCTION("GOOGLETRANSLATE(A8623,""bn"",""en"")"),"I made potato chips")</f>
        <v>I made potato chips</v>
      </c>
      <c r="D8623" s="5"/>
      <c r="E8623" s="5"/>
      <c r="F8623" s="5"/>
      <c r="G8623" s="5"/>
      <c r="H8623" s="5"/>
      <c r="I8623" s="5"/>
      <c r="J8623" s="5"/>
      <c r="K8623" s="5"/>
      <c r="L8623" s="5"/>
      <c r="M8623" s="5"/>
      <c r="N8623" s="5"/>
      <c r="O8623" s="5"/>
      <c r="P8623" s="5"/>
      <c r="Q8623" s="5"/>
      <c r="R8623" s="5"/>
      <c r="S8623" s="5"/>
      <c r="T8623" s="5"/>
      <c r="U8623" s="5"/>
      <c r="V8623" s="5"/>
      <c r="W8623" s="5"/>
      <c r="X8623" s="5"/>
      <c r="Y8623" s="5"/>
      <c r="Z8623" s="5"/>
    </row>
    <row r="8624" spans="1:26" ht="15" x14ac:dyDescent="0.25">
      <c r="A8624" s="4" t="s">
        <v>8622</v>
      </c>
      <c r="B8624" s="4" t="s">
        <v>4550</v>
      </c>
      <c r="C8624" s="2" t="str">
        <f ca="1">IFERROR(__xludf.DUMMYFUNCTION("GOOGLETRANSLATE(A8624,""bn"",""en"")"),"He took a personal loan")</f>
        <v>He took a personal loan</v>
      </c>
      <c r="D8624" s="5"/>
      <c r="E8624" s="5"/>
      <c r="F8624" s="5"/>
      <c r="G8624" s="5"/>
      <c r="H8624" s="5"/>
      <c r="I8624" s="5"/>
      <c r="J8624" s="5"/>
      <c r="K8624" s="5"/>
      <c r="L8624" s="5"/>
      <c r="M8624" s="5"/>
      <c r="N8624" s="5"/>
      <c r="O8624" s="5"/>
      <c r="P8624" s="5"/>
      <c r="Q8624" s="5"/>
      <c r="R8624" s="5"/>
      <c r="S8624" s="5"/>
      <c r="T8624" s="5"/>
      <c r="U8624" s="5"/>
      <c r="V8624" s="5"/>
      <c r="W8624" s="5"/>
      <c r="X8624" s="5"/>
      <c r="Y8624" s="5"/>
      <c r="Z8624" s="5"/>
    </row>
    <row r="8625" spans="1:26" ht="15" x14ac:dyDescent="0.25">
      <c r="A8625" s="4" t="s">
        <v>8623</v>
      </c>
      <c r="B8625" s="4" t="s">
        <v>4550</v>
      </c>
      <c r="C8625" s="2" t="str">
        <f ca="1">IFERROR(__xludf.DUMMYFUNCTION("GOOGLETRANSLATE(A8625,""bn"",""en"")"),"Elections were held by popular vote")</f>
        <v>Elections were held by popular vote</v>
      </c>
      <c r="D8625" s="5"/>
      <c r="E8625" s="5"/>
      <c r="F8625" s="5"/>
      <c r="G8625" s="5"/>
      <c r="H8625" s="5"/>
      <c r="I8625" s="5"/>
      <c r="J8625" s="5"/>
      <c r="K8625" s="5"/>
      <c r="L8625" s="5"/>
      <c r="M8625" s="5"/>
      <c r="N8625" s="5"/>
      <c r="O8625" s="5"/>
      <c r="P8625" s="5"/>
      <c r="Q8625" s="5"/>
      <c r="R8625" s="5"/>
      <c r="S8625" s="5"/>
      <c r="T8625" s="5"/>
      <c r="U8625" s="5"/>
      <c r="V8625" s="5"/>
      <c r="W8625" s="5"/>
      <c r="X8625" s="5"/>
      <c r="Y8625" s="5"/>
      <c r="Z8625" s="5"/>
    </row>
    <row r="8626" spans="1:26" ht="15" x14ac:dyDescent="0.25">
      <c r="A8626" s="4" t="s">
        <v>8624</v>
      </c>
      <c r="B8626" s="4" t="s">
        <v>4550</v>
      </c>
      <c r="C8626" s="2" t="str">
        <f ca="1">IFERROR(__xludf.DUMMYFUNCTION("GOOGLETRANSLATE(A8626,""bn"",""en"")"),"I roasted the fun cinnamon")</f>
        <v>I roasted the fun cinnamon</v>
      </c>
      <c r="D8626" s="5"/>
      <c r="E8626" s="5"/>
      <c r="F8626" s="5"/>
      <c r="G8626" s="5"/>
      <c r="H8626" s="5"/>
      <c r="I8626" s="5"/>
      <c r="J8626" s="5"/>
      <c r="K8626" s="5"/>
      <c r="L8626" s="5"/>
      <c r="M8626" s="5"/>
      <c r="N8626" s="5"/>
      <c r="O8626" s="5"/>
      <c r="P8626" s="5"/>
      <c r="Q8626" s="5"/>
      <c r="R8626" s="5"/>
      <c r="S8626" s="5"/>
      <c r="T8626" s="5"/>
      <c r="U8626" s="5"/>
      <c r="V8626" s="5"/>
      <c r="W8626" s="5"/>
      <c r="X8626" s="5"/>
      <c r="Y8626" s="5"/>
      <c r="Z8626" s="5"/>
    </row>
    <row r="8627" spans="1:26" ht="15" x14ac:dyDescent="0.25">
      <c r="A8627" s="4" t="s">
        <v>8625</v>
      </c>
      <c r="B8627" s="4" t="s">
        <v>4550</v>
      </c>
      <c r="C8627" s="2" t="str">
        <f ca="1">IFERROR(__xludf.DUMMYFUNCTION("GOOGLETRANSLATE(A8627,""bn"",""en"")"),"I was cooking meat korma")</f>
        <v>I was cooking meat korma</v>
      </c>
      <c r="D8627" s="5"/>
      <c r="E8627" s="5"/>
      <c r="F8627" s="5"/>
      <c r="G8627" s="5"/>
      <c r="H8627" s="5"/>
      <c r="I8627" s="5"/>
      <c r="J8627" s="5"/>
      <c r="K8627" s="5"/>
      <c r="L8627" s="5"/>
      <c r="M8627" s="5"/>
      <c r="N8627" s="5"/>
      <c r="O8627" s="5"/>
      <c r="P8627" s="5"/>
      <c r="Q8627" s="5"/>
      <c r="R8627" s="5"/>
      <c r="S8627" s="5"/>
      <c r="T8627" s="5"/>
      <c r="U8627" s="5"/>
      <c r="V8627" s="5"/>
      <c r="W8627" s="5"/>
      <c r="X8627" s="5"/>
      <c r="Y8627" s="5"/>
      <c r="Z8627" s="5"/>
    </row>
    <row r="8628" spans="1:26" ht="15" x14ac:dyDescent="0.25">
      <c r="A8628" s="4" t="s">
        <v>8626</v>
      </c>
      <c r="B8628" s="4" t="s">
        <v>4550</v>
      </c>
      <c r="C8628" s="2" t="str">
        <f ca="1">IFERROR(__xludf.DUMMYFUNCTION("GOOGLETRANSLATE(A8628,""bn"",""en"")"),"The players practiced at leisure")</f>
        <v>The players practiced at leisure</v>
      </c>
      <c r="D8628" s="5"/>
      <c r="E8628" s="5"/>
      <c r="F8628" s="5"/>
      <c r="G8628" s="5"/>
      <c r="H8628" s="5"/>
      <c r="I8628" s="5"/>
      <c r="J8628" s="5"/>
      <c r="K8628" s="5"/>
      <c r="L8628" s="5"/>
      <c r="M8628" s="5"/>
      <c r="N8628" s="5"/>
      <c r="O8628" s="5"/>
      <c r="P8628" s="5"/>
      <c r="Q8628" s="5"/>
      <c r="R8628" s="5"/>
      <c r="S8628" s="5"/>
      <c r="T8628" s="5"/>
      <c r="U8628" s="5"/>
      <c r="V8628" s="5"/>
      <c r="W8628" s="5"/>
      <c r="X8628" s="5"/>
      <c r="Y8628" s="5"/>
      <c r="Z8628" s="5"/>
    </row>
    <row r="8629" spans="1:26" ht="15" x14ac:dyDescent="0.25">
      <c r="A8629" s="4" t="s">
        <v>8627</v>
      </c>
      <c r="B8629" s="4" t="s">
        <v>4550</v>
      </c>
      <c r="C8629" s="2" t="str">
        <f ca="1">IFERROR(__xludf.DUMMYFUNCTION("GOOGLETRANSLATE(A8629,""bn"",""en"")"),"I mixed the butter in the bread")</f>
        <v>I mixed the butter in the bread</v>
      </c>
      <c r="D8629" s="5"/>
      <c r="E8629" s="5"/>
      <c r="F8629" s="5"/>
      <c r="G8629" s="5"/>
      <c r="H8629" s="5"/>
      <c r="I8629" s="5"/>
      <c r="J8629" s="5"/>
      <c r="K8629" s="5"/>
      <c r="L8629" s="5"/>
      <c r="M8629" s="5"/>
      <c r="N8629" s="5"/>
      <c r="O8629" s="5"/>
      <c r="P8629" s="5"/>
      <c r="Q8629" s="5"/>
      <c r="R8629" s="5"/>
      <c r="S8629" s="5"/>
      <c r="T8629" s="5"/>
      <c r="U8629" s="5"/>
      <c r="V8629" s="5"/>
      <c r="W8629" s="5"/>
      <c r="X8629" s="5"/>
      <c r="Y8629" s="5"/>
      <c r="Z8629" s="5"/>
    </row>
    <row r="8630" spans="1:26" ht="15" x14ac:dyDescent="0.25">
      <c r="A8630" s="4" t="s">
        <v>8628</v>
      </c>
      <c r="B8630" s="4" t="s">
        <v>4550</v>
      </c>
      <c r="C8630" s="2" t="str">
        <f ca="1">IFERROR(__xludf.DUMMYFUNCTION("GOOGLETRANSLATE(A8630,""bn"",""en"")"),"I eat fried fish at night")</f>
        <v>I eat fried fish at night</v>
      </c>
      <c r="D8630" s="5"/>
      <c r="E8630" s="5"/>
      <c r="F8630" s="5"/>
      <c r="G8630" s="5"/>
      <c r="H8630" s="5"/>
      <c r="I8630" s="5"/>
      <c r="J8630" s="5"/>
      <c r="K8630" s="5"/>
      <c r="L8630" s="5"/>
      <c r="M8630" s="5"/>
      <c r="N8630" s="5"/>
      <c r="O8630" s="5"/>
      <c r="P8630" s="5"/>
      <c r="Q8630" s="5"/>
      <c r="R8630" s="5"/>
      <c r="S8630" s="5"/>
      <c r="T8630" s="5"/>
      <c r="U8630" s="5"/>
      <c r="V8630" s="5"/>
      <c r="W8630" s="5"/>
      <c r="X8630" s="5"/>
      <c r="Y8630" s="5"/>
      <c r="Z8630" s="5"/>
    </row>
    <row r="8631" spans="1:26" ht="15" x14ac:dyDescent="0.25">
      <c r="A8631" s="4" t="s">
        <v>8629</v>
      </c>
      <c r="B8631" s="4" t="s">
        <v>4550</v>
      </c>
      <c r="C8631" s="2" t="str">
        <f ca="1">IFERROR(__xludf.DUMMYFUNCTION("GOOGLETRANSLATE(A8631,""bn"",""en"")"),"I used to study new techniques")</f>
        <v>I used to study new techniques</v>
      </c>
      <c r="D8631" s="5"/>
      <c r="E8631" s="5"/>
      <c r="F8631" s="5"/>
      <c r="G8631" s="5"/>
      <c r="H8631" s="5"/>
      <c r="I8631" s="5"/>
      <c r="J8631" s="5"/>
      <c r="K8631" s="5"/>
      <c r="L8631" s="5"/>
      <c r="M8631" s="5"/>
      <c r="N8631" s="5"/>
      <c r="O8631" s="5"/>
      <c r="P8631" s="5"/>
      <c r="Q8631" s="5"/>
      <c r="R8631" s="5"/>
      <c r="S8631" s="5"/>
      <c r="T8631" s="5"/>
      <c r="U8631" s="5"/>
      <c r="V8631" s="5"/>
      <c r="W8631" s="5"/>
      <c r="X8631" s="5"/>
      <c r="Y8631" s="5"/>
      <c r="Z8631" s="5"/>
    </row>
    <row r="8632" spans="1:26" ht="15" x14ac:dyDescent="0.25">
      <c r="A8632" s="4" t="s">
        <v>8630</v>
      </c>
      <c r="B8632" s="4" t="s">
        <v>4550</v>
      </c>
      <c r="C8632" s="2" t="str">
        <f ca="1">IFERROR(__xludf.DUMMYFUNCTION("GOOGLETRANSLATE(A8632,""bn"",""en"")"),"Watched amazing movies last year")</f>
        <v>Watched amazing movies last year</v>
      </c>
      <c r="D8632" s="5"/>
      <c r="E8632" s="5"/>
      <c r="F8632" s="5"/>
      <c r="G8632" s="5"/>
      <c r="H8632" s="5"/>
      <c r="I8632" s="5"/>
      <c r="J8632" s="5"/>
      <c r="K8632" s="5"/>
      <c r="L8632" s="5"/>
      <c r="M8632" s="5"/>
      <c r="N8632" s="5"/>
      <c r="O8632" s="5"/>
      <c r="P8632" s="5"/>
      <c r="Q8632" s="5"/>
      <c r="R8632" s="5"/>
      <c r="S8632" s="5"/>
      <c r="T8632" s="5"/>
      <c r="U8632" s="5"/>
      <c r="V8632" s="5"/>
      <c r="W8632" s="5"/>
      <c r="X8632" s="5"/>
      <c r="Y8632" s="5"/>
      <c r="Z8632" s="5"/>
    </row>
    <row r="8633" spans="1:26" ht="15" x14ac:dyDescent="0.25">
      <c r="A8633" s="4" t="s">
        <v>8631</v>
      </c>
      <c r="B8633" s="4" t="s">
        <v>4550</v>
      </c>
      <c r="C8633" s="2" t="str">
        <f ca="1">IFERROR(__xludf.DUMMYFUNCTION("GOOGLETRANSLATE(A8633,""bn"",""en"")"),"Smartwatch applied to fitness")</f>
        <v>Smartwatch applied to fitness</v>
      </c>
      <c r="D8633" s="5"/>
      <c r="E8633" s="5"/>
      <c r="F8633" s="5"/>
      <c r="G8633" s="5"/>
      <c r="H8633" s="5"/>
      <c r="I8633" s="5"/>
      <c r="J8633" s="5"/>
      <c r="K8633" s="5"/>
      <c r="L8633" s="5"/>
      <c r="M8633" s="5"/>
      <c r="N8633" s="5"/>
      <c r="O8633" s="5"/>
      <c r="P8633" s="5"/>
      <c r="Q8633" s="5"/>
      <c r="R8633" s="5"/>
      <c r="S8633" s="5"/>
      <c r="T8633" s="5"/>
      <c r="U8633" s="5"/>
      <c r="V8633" s="5"/>
      <c r="W8633" s="5"/>
      <c r="X8633" s="5"/>
      <c r="Y8633" s="5"/>
      <c r="Z8633" s="5"/>
    </row>
    <row r="8634" spans="1:26" ht="15" x14ac:dyDescent="0.25">
      <c r="A8634" s="4" t="s">
        <v>8632</v>
      </c>
      <c r="B8634" s="4" t="s">
        <v>4550</v>
      </c>
      <c r="C8634" s="2" t="str">
        <f ca="1">IFERROR(__xludf.DUMMYFUNCTION("GOOGLETRANSLATE(A8634,""bn"",""en"")"),"We have always loved football")</f>
        <v>We have always loved football</v>
      </c>
      <c r="D8634" s="5"/>
      <c r="E8634" s="5"/>
      <c r="F8634" s="5"/>
      <c r="G8634" s="5"/>
      <c r="H8634" s="5"/>
      <c r="I8634" s="5"/>
      <c r="J8634" s="5"/>
      <c r="K8634" s="5"/>
      <c r="L8634" s="5"/>
      <c r="M8634" s="5"/>
      <c r="N8634" s="5"/>
      <c r="O8634" s="5"/>
      <c r="P8634" s="5"/>
      <c r="Q8634" s="5"/>
      <c r="R8634" s="5"/>
      <c r="S8634" s="5"/>
      <c r="T8634" s="5"/>
      <c r="U8634" s="5"/>
      <c r="V8634" s="5"/>
      <c r="W8634" s="5"/>
      <c r="X8634" s="5"/>
      <c r="Y8634" s="5"/>
      <c r="Z8634" s="5"/>
    </row>
    <row r="8635" spans="1:26" ht="15" x14ac:dyDescent="0.25">
      <c r="A8635" s="4" t="s">
        <v>8633</v>
      </c>
      <c r="B8635" s="4" t="s">
        <v>4550</v>
      </c>
      <c r="C8635" s="2" t="str">
        <f ca="1">IFERROR(__xludf.DUMMYFUNCTION("GOOGLETRANSLATE(A8635,""bn"",""en"")"),"Film attendance was down")</f>
        <v>Film attendance was down</v>
      </c>
      <c r="D8635" s="5"/>
      <c r="E8635" s="5"/>
      <c r="F8635" s="5"/>
      <c r="G8635" s="5"/>
      <c r="H8635" s="5"/>
      <c r="I8635" s="5"/>
      <c r="J8635" s="5"/>
      <c r="K8635" s="5"/>
      <c r="L8635" s="5"/>
      <c r="M8635" s="5"/>
      <c r="N8635" s="5"/>
      <c r="O8635" s="5"/>
      <c r="P8635" s="5"/>
      <c r="Q8635" s="5"/>
      <c r="R8635" s="5"/>
      <c r="S8635" s="5"/>
      <c r="T8635" s="5"/>
      <c r="U8635" s="5"/>
      <c r="V8635" s="5"/>
      <c r="W8635" s="5"/>
      <c r="X8635" s="5"/>
      <c r="Y8635" s="5"/>
      <c r="Z8635" s="5"/>
    </row>
    <row r="8636" spans="1:26" ht="15" x14ac:dyDescent="0.25">
      <c r="A8636" s="4" t="s">
        <v>8634</v>
      </c>
      <c r="B8636" s="4" t="s">
        <v>4550</v>
      </c>
      <c r="C8636" s="2" t="str">
        <f ca="1">IFERROR(__xludf.DUMMYFUNCTION("GOOGLETRANSLATE(A8636,""bn"",""en"")"),"The price of potatoes increased a lot")</f>
        <v>The price of potatoes increased a lot</v>
      </c>
      <c r="D8636" s="5"/>
      <c r="E8636" s="5"/>
      <c r="F8636" s="5"/>
      <c r="G8636" s="5"/>
      <c r="H8636" s="5"/>
      <c r="I8636" s="5"/>
      <c r="J8636" s="5"/>
      <c r="K8636" s="5"/>
      <c r="L8636" s="5"/>
      <c r="M8636" s="5"/>
      <c r="N8636" s="5"/>
      <c r="O8636" s="5"/>
      <c r="P8636" s="5"/>
      <c r="Q8636" s="5"/>
      <c r="R8636" s="5"/>
      <c r="S8636" s="5"/>
      <c r="T8636" s="5"/>
      <c r="U8636" s="5"/>
      <c r="V8636" s="5"/>
      <c r="W8636" s="5"/>
      <c r="X8636" s="5"/>
      <c r="Y8636" s="5"/>
      <c r="Z8636" s="5"/>
    </row>
    <row r="8637" spans="1:26" ht="15" x14ac:dyDescent="0.25">
      <c r="A8637" s="4" t="s">
        <v>8635</v>
      </c>
      <c r="B8637" s="4" t="s">
        <v>4550</v>
      </c>
      <c r="C8637" s="2" t="str">
        <f ca="1">IFERROR(__xludf.DUMMYFUNCTION("GOOGLETRANSLATE(A8637,""bn"",""en"")"),"Cricket was playing in the rain")</f>
        <v>Cricket was playing in the rain</v>
      </c>
      <c r="D8637" s="5"/>
      <c r="E8637" s="5"/>
      <c r="F8637" s="5"/>
      <c r="G8637" s="5"/>
      <c r="H8637" s="5"/>
      <c r="I8637" s="5"/>
      <c r="J8637" s="5"/>
      <c r="K8637" s="5"/>
      <c r="L8637" s="5"/>
      <c r="M8637" s="5"/>
      <c r="N8637" s="5"/>
      <c r="O8637" s="5"/>
      <c r="P8637" s="5"/>
      <c r="Q8637" s="5"/>
      <c r="R8637" s="5"/>
      <c r="S8637" s="5"/>
      <c r="T8637" s="5"/>
      <c r="U8637" s="5"/>
      <c r="V8637" s="5"/>
      <c r="W8637" s="5"/>
      <c r="X8637" s="5"/>
      <c r="Y8637" s="5"/>
      <c r="Z8637" s="5"/>
    </row>
    <row r="8638" spans="1:26" ht="15" x14ac:dyDescent="0.25">
      <c r="A8638" s="4" t="s">
        <v>8636</v>
      </c>
      <c r="B8638" s="4" t="s">
        <v>4550</v>
      </c>
      <c r="C8638" s="2" t="str">
        <f ca="1">IFERROR(__xludf.DUMMYFUNCTION("GOOGLETRANSLATE(A8638,""bn"",""en"")"),"He watched movies all day")</f>
        <v>He watched movies all day</v>
      </c>
      <c r="D8638" s="5"/>
      <c r="E8638" s="5"/>
      <c r="F8638" s="5"/>
      <c r="G8638" s="5"/>
      <c r="H8638" s="5"/>
      <c r="I8638" s="5"/>
      <c r="J8638" s="5"/>
      <c r="K8638" s="5"/>
      <c r="L8638" s="5"/>
      <c r="M8638" s="5"/>
      <c r="N8638" s="5"/>
      <c r="O8638" s="5"/>
      <c r="P8638" s="5"/>
      <c r="Q8638" s="5"/>
      <c r="R8638" s="5"/>
      <c r="S8638" s="5"/>
      <c r="T8638" s="5"/>
      <c r="U8638" s="5"/>
      <c r="V8638" s="5"/>
      <c r="W8638" s="5"/>
      <c r="X8638" s="5"/>
      <c r="Y8638" s="5"/>
      <c r="Z8638" s="5"/>
    </row>
    <row r="8639" spans="1:26" ht="15" x14ac:dyDescent="0.25">
      <c r="A8639" s="4" t="s">
        <v>8637</v>
      </c>
      <c r="B8639" s="4" t="s">
        <v>4550</v>
      </c>
      <c r="C8639" s="2" t="str">
        <f ca="1">IFERROR(__xludf.DUMMYFUNCTION("GOOGLETRANSLATE(A8639,""bn"",""en"")"),"I developed an extension")</f>
        <v>I developed an extension</v>
      </c>
      <c r="D8639" s="5"/>
      <c r="E8639" s="5"/>
      <c r="F8639" s="5"/>
      <c r="G8639" s="5"/>
      <c r="H8639" s="5"/>
      <c r="I8639" s="5"/>
      <c r="J8639" s="5"/>
      <c r="K8639" s="5"/>
      <c r="L8639" s="5"/>
      <c r="M8639" s="5"/>
      <c r="N8639" s="5"/>
      <c r="O8639" s="5"/>
      <c r="P8639" s="5"/>
      <c r="Q8639" s="5"/>
      <c r="R8639" s="5"/>
      <c r="S8639" s="5"/>
      <c r="T8639" s="5"/>
      <c r="U8639" s="5"/>
      <c r="V8639" s="5"/>
      <c r="W8639" s="5"/>
      <c r="X8639" s="5"/>
      <c r="Y8639" s="5"/>
      <c r="Z8639" s="5"/>
    </row>
    <row r="8640" spans="1:26" ht="15" x14ac:dyDescent="0.25">
      <c r="A8640" s="4" t="s">
        <v>8638</v>
      </c>
      <c r="B8640" s="4" t="s">
        <v>4550</v>
      </c>
      <c r="C8640" s="2" t="str">
        <f ca="1">IFERROR(__xludf.DUMMYFUNCTION("GOOGLETRANSLATE(A8640,""bn"",""en"")"),"There were many crops last year")</f>
        <v>There were many crops last year</v>
      </c>
      <c r="D8640" s="5"/>
      <c r="E8640" s="5"/>
      <c r="F8640" s="5"/>
      <c r="G8640" s="5"/>
      <c r="H8640" s="5"/>
      <c r="I8640" s="5"/>
      <c r="J8640" s="5"/>
      <c r="K8640" s="5"/>
      <c r="L8640" s="5"/>
      <c r="M8640" s="5"/>
      <c r="N8640" s="5"/>
      <c r="O8640" s="5"/>
      <c r="P8640" s="5"/>
      <c r="Q8640" s="5"/>
      <c r="R8640" s="5"/>
      <c r="S8640" s="5"/>
      <c r="T8640" s="5"/>
      <c r="U8640" s="5"/>
      <c r="V8640" s="5"/>
      <c r="W8640" s="5"/>
      <c r="X8640" s="5"/>
      <c r="Y8640" s="5"/>
      <c r="Z8640" s="5"/>
    </row>
    <row r="8641" spans="1:26" ht="15" x14ac:dyDescent="0.25">
      <c r="A8641" s="4" t="s">
        <v>8639</v>
      </c>
      <c r="B8641" s="4" t="s">
        <v>4550</v>
      </c>
      <c r="C8641" s="2" t="str">
        <f ca="1">IFERROR(__xludf.DUMMYFUNCTION("GOOGLETRANSLATE(A8641,""bn"",""en"")"),"She was making pasta pancakes")</f>
        <v>She was making pasta pancakes</v>
      </c>
      <c r="D8641" s="5"/>
      <c r="E8641" s="5"/>
      <c r="F8641" s="5"/>
      <c r="G8641" s="5"/>
      <c r="H8641" s="5"/>
      <c r="I8641" s="5"/>
      <c r="J8641" s="5"/>
      <c r="K8641" s="5"/>
      <c r="L8641" s="5"/>
      <c r="M8641" s="5"/>
      <c r="N8641" s="5"/>
      <c r="O8641" s="5"/>
      <c r="P8641" s="5"/>
      <c r="Q8641" s="5"/>
      <c r="R8641" s="5"/>
      <c r="S8641" s="5"/>
      <c r="T8641" s="5"/>
      <c r="U8641" s="5"/>
      <c r="V8641" s="5"/>
      <c r="W8641" s="5"/>
      <c r="X8641" s="5"/>
      <c r="Y8641" s="5"/>
      <c r="Z8641" s="5"/>
    </row>
    <row r="8642" spans="1:26" ht="15" x14ac:dyDescent="0.25">
      <c r="A8642" s="4" t="s">
        <v>8640</v>
      </c>
      <c r="B8642" s="4" t="s">
        <v>4550</v>
      </c>
      <c r="C8642" s="2" t="str">
        <f ca="1">IFERROR(__xludf.DUMMYFUNCTION("GOOGLETRANSLATE(A8642,""bn"",""en"")"),"The competition was won by skill")</f>
        <v>The competition was won by skill</v>
      </c>
      <c r="D8642" s="5"/>
      <c r="E8642" s="5"/>
      <c r="F8642" s="5"/>
      <c r="G8642" s="5"/>
      <c r="H8642" s="5"/>
      <c r="I8642" s="5"/>
      <c r="J8642" s="5"/>
      <c r="K8642" s="5"/>
      <c r="L8642" s="5"/>
      <c r="M8642" s="5"/>
      <c r="N8642" s="5"/>
      <c r="O8642" s="5"/>
      <c r="P8642" s="5"/>
      <c r="Q8642" s="5"/>
      <c r="R8642" s="5"/>
      <c r="S8642" s="5"/>
      <c r="T8642" s="5"/>
      <c r="U8642" s="5"/>
      <c r="V8642" s="5"/>
      <c r="W8642" s="5"/>
      <c r="X8642" s="5"/>
      <c r="Y8642" s="5"/>
      <c r="Z8642" s="5"/>
    </row>
    <row r="8643" spans="1:26" ht="15" x14ac:dyDescent="0.25">
      <c r="A8643" s="4" t="s">
        <v>8641</v>
      </c>
      <c r="B8643" s="4" t="s">
        <v>4550</v>
      </c>
      <c r="C8643" s="2" t="str">
        <f ca="1">IFERROR(__xludf.DUMMYFUNCTION("GOOGLETRANSLATE(A8643,""bn"",""en"")"),"Prepared political speech")</f>
        <v>Prepared political speech</v>
      </c>
      <c r="D8643" s="5"/>
      <c r="E8643" s="5"/>
      <c r="F8643" s="5"/>
      <c r="G8643" s="5"/>
      <c r="H8643" s="5"/>
      <c r="I8643" s="5"/>
      <c r="J8643" s="5"/>
      <c r="K8643" s="5"/>
      <c r="L8643" s="5"/>
      <c r="M8643" s="5"/>
      <c r="N8643" s="5"/>
      <c r="O8643" s="5"/>
      <c r="P8643" s="5"/>
      <c r="Q8643" s="5"/>
      <c r="R8643" s="5"/>
      <c r="S8643" s="5"/>
      <c r="T8643" s="5"/>
      <c r="U8643" s="5"/>
      <c r="V8643" s="5"/>
      <c r="W8643" s="5"/>
      <c r="X8643" s="5"/>
      <c r="Y8643" s="5"/>
      <c r="Z8643" s="5"/>
    </row>
    <row r="8644" spans="1:26" ht="15" x14ac:dyDescent="0.25">
      <c r="A8644" s="4" t="s">
        <v>8642</v>
      </c>
      <c r="B8644" s="4" t="s">
        <v>4550</v>
      </c>
      <c r="C8644" s="2" t="str">
        <f ca="1">IFERROR(__xludf.DUMMYFUNCTION("GOOGLETRANSLATE(A8644,""bn"",""en"")"),"He presented the project")</f>
        <v>He presented the project</v>
      </c>
      <c r="D8644" s="5"/>
      <c r="E8644" s="5"/>
      <c r="F8644" s="5"/>
      <c r="G8644" s="5"/>
      <c r="H8644" s="5"/>
      <c r="I8644" s="5"/>
      <c r="J8644" s="5"/>
      <c r="K8644" s="5"/>
      <c r="L8644" s="5"/>
      <c r="M8644" s="5"/>
      <c r="N8644" s="5"/>
      <c r="O8644" s="5"/>
      <c r="P8644" s="5"/>
      <c r="Q8644" s="5"/>
      <c r="R8644" s="5"/>
      <c r="S8644" s="5"/>
      <c r="T8644" s="5"/>
      <c r="U8644" s="5"/>
      <c r="V8644" s="5"/>
      <c r="W8644" s="5"/>
      <c r="X8644" s="5"/>
      <c r="Y8644" s="5"/>
      <c r="Z8644" s="5"/>
    </row>
    <row r="8645" spans="1:26" ht="15" x14ac:dyDescent="0.25">
      <c r="A8645" s="4" t="s">
        <v>8643</v>
      </c>
      <c r="B8645" s="4" t="s">
        <v>4550</v>
      </c>
      <c r="C8645" s="2" t="str">
        <f ca="1">IFERROR(__xludf.DUMMYFUNCTION("GOOGLETRANSLATE(A8645,""bn"",""en"")"),"Improvements were made by advances in technology")</f>
        <v>Improvements were made by advances in technology</v>
      </c>
      <c r="D8645" s="5"/>
      <c r="E8645" s="5"/>
      <c r="F8645" s="5"/>
      <c r="G8645" s="5"/>
      <c r="H8645" s="5"/>
      <c r="I8645" s="5"/>
      <c r="J8645" s="5"/>
      <c r="K8645" s="5"/>
      <c r="L8645" s="5"/>
      <c r="M8645" s="5"/>
      <c r="N8645" s="5"/>
      <c r="O8645" s="5"/>
      <c r="P8645" s="5"/>
      <c r="Q8645" s="5"/>
      <c r="R8645" s="5"/>
      <c r="S8645" s="5"/>
      <c r="T8645" s="5"/>
      <c r="U8645" s="5"/>
      <c r="V8645" s="5"/>
      <c r="W8645" s="5"/>
      <c r="X8645" s="5"/>
      <c r="Y8645" s="5"/>
      <c r="Z8645" s="5"/>
    </row>
    <row r="8646" spans="1:26" ht="15" x14ac:dyDescent="0.25">
      <c r="A8646" s="4" t="s">
        <v>8644</v>
      </c>
      <c r="B8646" s="4" t="s">
        <v>4550</v>
      </c>
      <c r="C8646" s="2" t="str">
        <f ca="1">IFERROR(__xludf.DUMMYFUNCTION("GOOGLETRANSLATE(A8646,""bn"",""en"")"),"Their economy was good")</f>
        <v>Their economy was good</v>
      </c>
      <c r="D8646" s="5"/>
      <c r="E8646" s="5"/>
      <c r="F8646" s="5"/>
      <c r="G8646" s="5"/>
      <c r="H8646" s="5"/>
      <c r="I8646" s="5"/>
      <c r="J8646" s="5"/>
      <c r="K8646" s="5"/>
      <c r="L8646" s="5"/>
      <c r="M8646" s="5"/>
      <c r="N8646" s="5"/>
      <c r="O8646" s="5"/>
      <c r="P8646" s="5"/>
      <c r="Q8646" s="5"/>
      <c r="R8646" s="5"/>
      <c r="S8646" s="5"/>
      <c r="T8646" s="5"/>
      <c r="U8646" s="5"/>
      <c r="V8646" s="5"/>
      <c r="W8646" s="5"/>
      <c r="X8646" s="5"/>
      <c r="Y8646" s="5"/>
      <c r="Z8646" s="5"/>
    </row>
    <row r="8647" spans="1:26" ht="15" x14ac:dyDescent="0.25">
      <c r="A8647" s="4" t="s">
        <v>8645</v>
      </c>
      <c r="B8647" s="4" t="s">
        <v>4550</v>
      </c>
      <c r="C8647" s="2" t="str">
        <f ca="1">IFERROR(__xludf.DUMMYFUNCTION("GOOGLETRANSLATE(A8647,""bn"",""en"")"),"I was cooking shrimp and fish")</f>
        <v>I was cooking shrimp and fish</v>
      </c>
      <c r="D8647" s="5"/>
      <c r="E8647" s="5"/>
      <c r="F8647" s="5"/>
      <c r="G8647" s="5"/>
      <c r="H8647" s="5"/>
      <c r="I8647" s="5"/>
      <c r="J8647" s="5"/>
      <c r="K8647" s="5"/>
      <c r="L8647" s="5"/>
      <c r="M8647" s="5"/>
      <c r="N8647" s="5"/>
      <c r="O8647" s="5"/>
      <c r="P8647" s="5"/>
      <c r="Q8647" s="5"/>
      <c r="R8647" s="5"/>
      <c r="S8647" s="5"/>
      <c r="T8647" s="5"/>
      <c r="U8647" s="5"/>
      <c r="V8647" s="5"/>
      <c r="W8647" s="5"/>
      <c r="X8647" s="5"/>
      <c r="Y8647" s="5"/>
      <c r="Z8647" s="5"/>
    </row>
    <row r="8648" spans="1:26" ht="15" x14ac:dyDescent="0.25">
      <c r="A8648" s="4" t="s">
        <v>8646</v>
      </c>
      <c r="B8648" s="4" t="s">
        <v>4550</v>
      </c>
      <c r="C8648" s="2" t="str">
        <f ca="1">IFERROR(__xludf.DUMMYFUNCTION("GOOGLETRANSLATE(A8648,""bn"",""en"")"),"Oil was used")</f>
        <v>Oil was used</v>
      </c>
      <c r="D8648" s="5"/>
      <c r="E8648" s="5"/>
      <c r="F8648" s="5"/>
      <c r="G8648" s="5"/>
      <c r="H8648" s="5"/>
      <c r="I8648" s="5"/>
      <c r="J8648" s="5"/>
      <c r="K8648" s="5"/>
      <c r="L8648" s="5"/>
      <c r="M8648" s="5"/>
      <c r="N8648" s="5"/>
      <c r="O8648" s="5"/>
      <c r="P8648" s="5"/>
      <c r="Q8648" s="5"/>
      <c r="R8648" s="5"/>
      <c r="S8648" s="5"/>
      <c r="T8648" s="5"/>
      <c r="U8648" s="5"/>
      <c r="V8648" s="5"/>
      <c r="W8648" s="5"/>
      <c r="X8648" s="5"/>
      <c r="Y8648" s="5"/>
      <c r="Z8648" s="5"/>
    </row>
    <row r="8649" spans="1:26" ht="15" x14ac:dyDescent="0.25">
      <c r="A8649" s="4" t="s">
        <v>8647</v>
      </c>
      <c r="B8649" s="4" t="s">
        <v>4550</v>
      </c>
      <c r="C8649" s="2" t="str">
        <f ca="1">IFERROR(__xludf.DUMMYFUNCTION("GOOGLETRANSLATE(A8649,""bn"",""en"")"),"You caught fish in the pond")</f>
        <v>You caught fish in the pond</v>
      </c>
      <c r="D8649" s="5"/>
      <c r="E8649" s="5"/>
      <c r="F8649" s="5"/>
      <c r="G8649" s="5"/>
      <c r="H8649" s="5"/>
      <c r="I8649" s="5"/>
      <c r="J8649" s="5"/>
      <c r="K8649" s="5"/>
      <c r="L8649" s="5"/>
      <c r="M8649" s="5"/>
      <c r="N8649" s="5"/>
      <c r="O8649" s="5"/>
      <c r="P8649" s="5"/>
      <c r="Q8649" s="5"/>
      <c r="R8649" s="5"/>
      <c r="S8649" s="5"/>
      <c r="T8649" s="5"/>
      <c r="U8649" s="5"/>
      <c r="V8649" s="5"/>
      <c r="W8649" s="5"/>
      <c r="X8649" s="5"/>
      <c r="Y8649" s="5"/>
      <c r="Z8649" s="5"/>
    </row>
    <row r="8650" spans="1:26" ht="15" x14ac:dyDescent="0.25">
      <c r="A8650" s="4" t="s">
        <v>8648</v>
      </c>
      <c r="B8650" s="4" t="s">
        <v>4550</v>
      </c>
      <c r="C8650" s="2" t="str">
        <f ca="1">IFERROR(__xludf.DUMMYFUNCTION("GOOGLETRANSLATE(A8650,""bn"",""en"")"),"The price increase was in engineering")</f>
        <v>The price increase was in engineering</v>
      </c>
      <c r="D8650" s="5"/>
      <c r="E8650" s="5"/>
      <c r="F8650" s="5"/>
      <c r="G8650" s="5"/>
      <c r="H8650" s="5"/>
      <c r="I8650" s="5"/>
      <c r="J8650" s="5"/>
      <c r="K8650" s="5"/>
      <c r="L8650" s="5"/>
      <c r="M8650" s="5"/>
      <c r="N8650" s="5"/>
      <c r="O8650" s="5"/>
      <c r="P8650" s="5"/>
      <c r="Q8650" s="5"/>
      <c r="R8650" s="5"/>
      <c r="S8650" s="5"/>
      <c r="T8650" s="5"/>
      <c r="U8650" s="5"/>
      <c r="V8650" s="5"/>
      <c r="W8650" s="5"/>
      <c r="X8650" s="5"/>
      <c r="Y8650" s="5"/>
      <c r="Z8650" s="5"/>
    </row>
    <row r="8651" spans="1:26" ht="15" x14ac:dyDescent="0.25">
      <c r="A8651" s="4" t="s">
        <v>8649</v>
      </c>
      <c r="B8651" s="4" t="s">
        <v>4550</v>
      </c>
      <c r="C8651" s="2" t="str">
        <f ca="1">IFERROR(__xludf.DUMMYFUNCTION("GOOGLETRANSLATE(A8651,""bn"",""en"")"),"Design technology was advanced")</f>
        <v>Design technology was advanced</v>
      </c>
      <c r="D8651" s="5"/>
      <c r="E8651" s="5"/>
      <c r="F8651" s="5"/>
      <c r="G8651" s="5"/>
      <c r="H8651" s="5"/>
      <c r="I8651" s="5"/>
      <c r="J8651" s="5"/>
      <c r="K8651" s="5"/>
      <c r="L8651" s="5"/>
      <c r="M8651" s="5"/>
      <c r="N8651" s="5"/>
      <c r="O8651" s="5"/>
      <c r="P8651" s="5"/>
      <c r="Q8651" s="5"/>
      <c r="R8651" s="5"/>
      <c r="S8651" s="5"/>
      <c r="T8651" s="5"/>
      <c r="U8651" s="5"/>
      <c r="V8651" s="5"/>
      <c r="W8651" s="5"/>
      <c r="X8651" s="5"/>
      <c r="Y8651" s="5"/>
      <c r="Z8651" s="5"/>
    </row>
    <row r="8652" spans="1:26" ht="15" x14ac:dyDescent="0.25">
      <c r="A8652" s="4" t="s">
        <v>8650</v>
      </c>
      <c r="B8652" s="4" t="s">
        <v>4550</v>
      </c>
      <c r="C8652" s="2" t="str">
        <f ca="1">IFERROR(__xludf.DUMMYFUNCTION("GOOGLETRANSLATE(A8652,""bn"",""en"")"),"In summer I wanted rain")</f>
        <v>In summer I wanted rain</v>
      </c>
      <c r="D8652" s="5"/>
      <c r="E8652" s="5"/>
      <c r="F8652" s="5"/>
      <c r="G8652" s="5"/>
      <c r="H8652" s="5"/>
      <c r="I8652" s="5"/>
      <c r="J8652" s="5"/>
      <c r="K8652" s="5"/>
      <c r="L8652" s="5"/>
      <c r="M8652" s="5"/>
      <c r="N8652" s="5"/>
      <c r="O8652" s="5"/>
      <c r="P8652" s="5"/>
      <c r="Q8652" s="5"/>
      <c r="R8652" s="5"/>
      <c r="S8652" s="5"/>
      <c r="T8652" s="5"/>
      <c r="U8652" s="5"/>
      <c r="V8652" s="5"/>
      <c r="W8652" s="5"/>
      <c r="X8652" s="5"/>
      <c r="Y8652" s="5"/>
      <c r="Z8652" s="5"/>
    </row>
    <row r="8653" spans="1:26" ht="15" x14ac:dyDescent="0.25">
      <c r="A8653" s="4" t="s">
        <v>8651</v>
      </c>
      <c r="B8653" s="4" t="s">
        <v>4550</v>
      </c>
      <c r="C8653" s="2" t="str">
        <f ca="1">IFERROR(__xludf.DUMMYFUNCTION("GOOGLETRANSLATE(A8653,""bn"",""en"")"),"Crops were being harvested by flies")</f>
        <v>Crops were being harvested by flies</v>
      </c>
      <c r="D8653" s="5"/>
      <c r="E8653" s="5"/>
      <c r="F8653" s="5"/>
      <c r="G8653" s="5"/>
      <c r="H8653" s="5"/>
      <c r="I8653" s="5"/>
      <c r="J8653" s="5"/>
      <c r="K8653" s="5"/>
      <c r="L8653" s="5"/>
      <c r="M8653" s="5"/>
      <c r="N8653" s="5"/>
      <c r="O8653" s="5"/>
      <c r="P8653" s="5"/>
      <c r="Q8653" s="5"/>
      <c r="R8653" s="5"/>
      <c r="S8653" s="5"/>
      <c r="T8653" s="5"/>
      <c r="U8653" s="5"/>
      <c r="V8653" s="5"/>
      <c r="W8653" s="5"/>
      <c r="X8653" s="5"/>
      <c r="Y8653" s="5"/>
      <c r="Z8653" s="5"/>
    </row>
    <row r="8654" spans="1:26" ht="15" x14ac:dyDescent="0.25">
      <c r="A8654" s="4" t="s">
        <v>8652</v>
      </c>
      <c r="B8654" s="4" t="s">
        <v>4550</v>
      </c>
      <c r="C8654" s="2" t="str">
        <f ca="1">IFERROR(__xludf.DUMMYFUNCTION("GOOGLETRANSLATE(A8654,""bn"",""en"")"),"They had breakfast")</f>
        <v>They had breakfast</v>
      </c>
      <c r="D8654" s="5"/>
      <c r="E8654" s="5"/>
      <c r="F8654" s="5"/>
      <c r="G8654" s="5"/>
      <c r="H8654" s="5"/>
      <c r="I8654" s="5"/>
      <c r="J8654" s="5"/>
      <c r="K8654" s="5"/>
      <c r="L8654" s="5"/>
      <c r="M8654" s="5"/>
      <c r="N8654" s="5"/>
      <c r="O8654" s="5"/>
      <c r="P8654" s="5"/>
      <c r="Q8654" s="5"/>
      <c r="R8654" s="5"/>
      <c r="S8654" s="5"/>
      <c r="T8654" s="5"/>
      <c r="U8654" s="5"/>
      <c r="V8654" s="5"/>
      <c r="W8654" s="5"/>
      <c r="X8654" s="5"/>
      <c r="Y8654" s="5"/>
      <c r="Z8654" s="5"/>
    </row>
    <row r="8655" spans="1:26" ht="15" x14ac:dyDescent="0.25">
      <c r="A8655" s="4" t="s">
        <v>8653</v>
      </c>
      <c r="B8655" s="4" t="s">
        <v>4550</v>
      </c>
      <c r="C8655" s="2" t="str">
        <f ca="1">IFERROR(__xludf.DUMMYFUNCTION("GOOGLETRANSLATE(A8655,""bn"",""en"")"),"I went to Japan to play tennis")</f>
        <v>I went to Japan to play tennis</v>
      </c>
      <c r="D8655" s="5"/>
      <c r="E8655" s="5"/>
      <c r="F8655" s="5"/>
      <c r="G8655" s="5"/>
      <c r="H8655" s="5"/>
      <c r="I8655" s="5"/>
      <c r="J8655" s="5"/>
      <c r="K8655" s="5"/>
      <c r="L8655" s="5"/>
      <c r="M8655" s="5"/>
      <c r="N8655" s="5"/>
      <c r="O8655" s="5"/>
      <c r="P8655" s="5"/>
      <c r="Q8655" s="5"/>
      <c r="R8655" s="5"/>
      <c r="S8655" s="5"/>
      <c r="T8655" s="5"/>
      <c r="U8655" s="5"/>
      <c r="V8655" s="5"/>
      <c r="W8655" s="5"/>
      <c r="X8655" s="5"/>
      <c r="Y8655" s="5"/>
      <c r="Z8655" s="5"/>
    </row>
    <row r="8656" spans="1:26" ht="15" x14ac:dyDescent="0.25">
      <c r="A8656" s="4" t="s">
        <v>8654</v>
      </c>
      <c r="B8656" s="4" t="s">
        <v>4550</v>
      </c>
      <c r="C8656" s="2" t="str">
        <f ca="1">IFERROR(__xludf.DUMMYFUNCTION("GOOGLETRANSLATE(A8656,""bn"",""en"")"),"Watched movies with friends")</f>
        <v>Watched movies with friends</v>
      </c>
      <c r="D8656" s="5"/>
      <c r="E8656" s="5"/>
      <c r="F8656" s="5"/>
      <c r="G8656" s="5"/>
      <c r="H8656" s="5"/>
      <c r="I8656" s="5"/>
      <c r="J8656" s="5"/>
      <c r="K8656" s="5"/>
      <c r="L8656" s="5"/>
      <c r="M8656" s="5"/>
      <c r="N8656" s="5"/>
      <c r="O8656" s="5"/>
      <c r="P8656" s="5"/>
      <c r="Q8656" s="5"/>
      <c r="R8656" s="5"/>
      <c r="S8656" s="5"/>
      <c r="T8656" s="5"/>
      <c r="U8656" s="5"/>
      <c r="V8656" s="5"/>
      <c r="W8656" s="5"/>
      <c r="X8656" s="5"/>
      <c r="Y8656" s="5"/>
      <c r="Z8656" s="5"/>
    </row>
    <row r="8657" spans="1:26" ht="15" x14ac:dyDescent="0.25">
      <c r="A8657" s="4" t="s">
        <v>8655</v>
      </c>
      <c r="B8657" s="4" t="s">
        <v>4550</v>
      </c>
      <c r="C8657" s="2" t="str">
        <f ca="1">IFERROR(__xludf.DUMMYFUNCTION("GOOGLETRANSLATE(A8657,""bn"",""en"")"),"Showed growth in investment")</f>
        <v>Showed growth in investment</v>
      </c>
      <c r="D8657" s="5"/>
      <c r="E8657" s="5"/>
      <c r="F8657" s="5"/>
      <c r="G8657" s="5"/>
      <c r="H8657" s="5"/>
      <c r="I8657" s="5"/>
      <c r="J8657" s="5"/>
      <c r="K8657" s="5"/>
      <c r="L8657" s="5"/>
      <c r="M8657" s="5"/>
      <c r="N8657" s="5"/>
      <c r="O8657" s="5"/>
      <c r="P8657" s="5"/>
      <c r="Q8657" s="5"/>
      <c r="R8657" s="5"/>
      <c r="S8657" s="5"/>
      <c r="T8657" s="5"/>
      <c r="U8657" s="5"/>
      <c r="V8657" s="5"/>
      <c r="W8657" s="5"/>
      <c r="X8657" s="5"/>
      <c r="Y8657" s="5"/>
      <c r="Z8657" s="5"/>
    </row>
    <row r="8658" spans="1:26" ht="15" x14ac:dyDescent="0.25">
      <c r="A8658" s="4" t="s">
        <v>8656</v>
      </c>
      <c r="B8658" s="4" t="s">
        <v>4550</v>
      </c>
      <c r="C8658" s="2" t="str">
        <f ca="1">IFERROR(__xludf.DUMMYFUNCTION("GOOGLETRANSLATE(A8658,""bn"",""en"")"),"New news is revealed")</f>
        <v>New news is revealed</v>
      </c>
      <c r="D8658" s="5"/>
      <c r="E8658" s="5"/>
      <c r="F8658" s="5"/>
      <c r="G8658" s="5"/>
      <c r="H8658" s="5"/>
      <c r="I8658" s="5"/>
      <c r="J8658" s="5"/>
      <c r="K8658" s="5"/>
      <c r="L8658" s="5"/>
      <c r="M8658" s="5"/>
      <c r="N8658" s="5"/>
      <c r="O8658" s="5"/>
      <c r="P8658" s="5"/>
      <c r="Q8658" s="5"/>
      <c r="R8658" s="5"/>
      <c r="S8658" s="5"/>
      <c r="T8658" s="5"/>
      <c r="U8658" s="5"/>
      <c r="V8658" s="5"/>
      <c r="W8658" s="5"/>
      <c r="X8658" s="5"/>
      <c r="Y8658" s="5"/>
      <c r="Z8658" s="5"/>
    </row>
    <row r="8659" spans="1:26" ht="15" x14ac:dyDescent="0.25">
      <c r="A8659" s="4" t="s">
        <v>8657</v>
      </c>
      <c r="B8659" s="4" t="s">
        <v>4550</v>
      </c>
      <c r="C8659" s="2" t="str">
        <f ca="1">IFERROR(__xludf.DUMMYFUNCTION("GOOGLETRANSLATE(A8659,""bn"",""en"")"),"Used a smartphone before")</f>
        <v>Used a smartphone before</v>
      </c>
      <c r="D8659" s="5"/>
      <c r="E8659" s="5"/>
      <c r="F8659" s="5"/>
      <c r="G8659" s="5"/>
      <c r="H8659" s="5"/>
      <c r="I8659" s="5"/>
      <c r="J8659" s="5"/>
      <c r="K8659" s="5"/>
      <c r="L8659" s="5"/>
      <c r="M8659" s="5"/>
      <c r="N8659" s="5"/>
      <c r="O8659" s="5"/>
      <c r="P8659" s="5"/>
      <c r="Q8659" s="5"/>
      <c r="R8659" s="5"/>
      <c r="S8659" s="5"/>
      <c r="T8659" s="5"/>
      <c r="U8659" s="5"/>
      <c r="V8659" s="5"/>
      <c r="W8659" s="5"/>
      <c r="X8659" s="5"/>
      <c r="Y8659" s="5"/>
      <c r="Z8659" s="5"/>
    </row>
    <row r="8660" spans="1:26" ht="15" x14ac:dyDescent="0.25">
      <c r="A8660" s="4" t="s">
        <v>8658</v>
      </c>
      <c r="B8660" s="4" t="s">
        <v>4550</v>
      </c>
      <c r="C8660" s="2" t="str">
        <f ca="1">IFERROR(__xludf.DUMMYFUNCTION("GOOGLETRANSLATE(A8660,""bn"",""en"")"),"Victory came to the victor in the war")</f>
        <v>Victory came to the victor in the war</v>
      </c>
      <c r="D8660" s="5"/>
      <c r="E8660" s="5"/>
      <c r="F8660" s="5"/>
      <c r="G8660" s="5"/>
      <c r="H8660" s="5"/>
      <c r="I8660" s="5"/>
      <c r="J8660" s="5"/>
      <c r="K8660" s="5"/>
      <c r="L8660" s="5"/>
      <c r="M8660" s="5"/>
      <c r="N8660" s="5"/>
      <c r="O8660" s="5"/>
      <c r="P8660" s="5"/>
      <c r="Q8660" s="5"/>
      <c r="R8660" s="5"/>
      <c r="S8660" s="5"/>
      <c r="T8660" s="5"/>
      <c r="U8660" s="5"/>
      <c r="V8660" s="5"/>
      <c r="W8660" s="5"/>
      <c r="X8660" s="5"/>
      <c r="Y8660" s="5"/>
      <c r="Z8660" s="5"/>
    </row>
    <row r="8661" spans="1:26" ht="15" x14ac:dyDescent="0.25">
      <c r="A8661" s="4" t="s">
        <v>8659</v>
      </c>
      <c r="B8661" s="4" t="s">
        <v>4550</v>
      </c>
      <c r="C8661" s="2" t="str">
        <f ca="1">IFERROR(__xludf.DUMMYFUNCTION("GOOGLETRANSLATE(A8661,""bn"",""en"")"),"I struggled to succeed")</f>
        <v>I struggled to succeed</v>
      </c>
      <c r="D8661" s="5"/>
      <c r="E8661" s="5"/>
      <c r="F8661" s="5"/>
      <c r="G8661" s="5"/>
      <c r="H8661" s="5"/>
      <c r="I8661" s="5"/>
      <c r="J8661" s="5"/>
      <c r="K8661" s="5"/>
      <c r="L8661" s="5"/>
      <c r="M8661" s="5"/>
      <c r="N8661" s="5"/>
      <c r="O8661" s="5"/>
      <c r="P8661" s="5"/>
      <c r="Q8661" s="5"/>
      <c r="R8661" s="5"/>
      <c r="S8661" s="5"/>
      <c r="T8661" s="5"/>
      <c r="U8661" s="5"/>
      <c r="V8661" s="5"/>
      <c r="W8661" s="5"/>
      <c r="X8661" s="5"/>
      <c r="Y8661" s="5"/>
      <c r="Z8661" s="5"/>
    </row>
    <row r="8662" spans="1:26" ht="15" x14ac:dyDescent="0.25">
      <c r="A8662" s="4" t="s">
        <v>8660</v>
      </c>
      <c r="B8662" s="4" t="s">
        <v>4550</v>
      </c>
      <c r="C8662" s="2" t="str">
        <f ca="1">IFERROR(__xludf.DUMMYFUNCTION("GOOGLETRANSLATE(A8662,""bn"",""en"")"),"The table was full of food")</f>
        <v>The table was full of food</v>
      </c>
      <c r="D8662" s="5"/>
      <c r="E8662" s="5"/>
      <c r="F8662" s="5"/>
      <c r="G8662" s="5"/>
      <c r="H8662" s="5"/>
      <c r="I8662" s="5"/>
      <c r="J8662" s="5"/>
      <c r="K8662" s="5"/>
      <c r="L8662" s="5"/>
      <c r="M8662" s="5"/>
      <c r="N8662" s="5"/>
      <c r="O8662" s="5"/>
      <c r="P8662" s="5"/>
      <c r="Q8662" s="5"/>
      <c r="R8662" s="5"/>
      <c r="S8662" s="5"/>
      <c r="T8662" s="5"/>
      <c r="U8662" s="5"/>
      <c r="V8662" s="5"/>
      <c r="W8662" s="5"/>
      <c r="X8662" s="5"/>
      <c r="Y8662" s="5"/>
      <c r="Z8662" s="5"/>
    </row>
    <row r="8663" spans="1:26" ht="15" x14ac:dyDescent="0.25">
      <c r="A8663" s="4" t="s">
        <v>8661</v>
      </c>
      <c r="B8663" s="4" t="s">
        <v>4550</v>
      </c>
      <c r="C8663" s="2" t="str">
        <f ca="1">IFERROR(__xludf.DUMMYFUNCTION("GOOGLETRANSLATE(A8663,""bn"",""en"")"),"Watched science fiction movies")</f>
        <v>Watched science fiction movies</v>
      </c>
      <c r="D8663" s="5"/>
      <c r="E8663" s="5"/>
      <c r="F8663" s="5"/>
      <c r="G8663" s="5"/>
      <c r="H8663" s="5"/>
      <c r="I8663" s="5"/>
      <c r="J8663" s="5"/>
      <c r="K8663" s="5"/>
      <c r="L8663" s="5"/>
      <c r="M8663" s="5"/>
      <c r="N8663" s="5"/>
      <c r="O8663" s="5"/>
      <c r="P8663" s="5"/>
      <c r="Q8663" s="5"/>
      <c r="R8663" s="5"/>
      <c r="S8663" s="5"/>
      <c r="T8663" s="5"/>
      <c r="U8663" s="5"/>
      <c r="V8663" s="5"/>
      <c r="W8663" s="5"/>
      <c r="X8663" s="5"/>
      <c r="Y8663" s="5"/>
      <c r="Z8663" s="5"/>
    </row>
    <row r="8664" spans="1:26" ht="15" x14ac:dyDescent="0.25">
      <c r="A8664" s="4" t="s">
        <v>8662</v>
      </c>
      <c r="B8664" s="4" t="s">
        <v>4550</v>
      </c>
      <c r="C8664" s="2" t="str">
        <f ca="1">IFERROR(__xludf.DUMMYFUNCTION("GOOGLETRANSLATE(A8664,""bn"",""en"")"),"Web development was popular")</f>
        <v>Web development was popular</v>
      </c>
      <c r="D8664" s="5"/>
      <c r="E8664" s="5"/>
      <c r="F8664" s="5"/>
      <c r="G8664" s="5"/>
      <c r="H8664" s="5"/>
      <c r="I8664" s="5"/>
      <c r="J8664" s="5"/>
      <c r="K8664" s="5"/>
      <c r="L8664" s="5"/>
      <c r="M8664" s="5"/>
      <c r="N8664" s="5"/>
      <c r="O8664" s="5"/>
      <c r="P8664" s="5"/>
      <c r="Q8664" s="5"/>
      <c r="R8664" s="5"/>
      <c r="S8664" s="5"/>
      <c r="T8664" s="5"/>
      <c r="U8664" s="5"/>
      <c r="V8664" s="5"/>
      <c r="W8664" s="5"/>
      <c r="X8664" s="5"/>
      <c r="Y8664" s="5"/>
      <c r="Z8664" s="5"/>
    </row>
    <row r="8665" spans="1:26" ht="15" x14ac:dyDescent="0.25">
      <c r="A8665" s="4" t="s">
        <v>8663</v>
      </c>
      <c r="B8665" s="4" t="s">
        <v>4550</v>
      </c>
      <c r="C8665" s="2" t="str">
        <f ca="1">IFERROR(__xludf.DUMMYFUNCTION("GOOGLETRANSLATE(A8665,""bn"",""en"")"),"I was buying new flowers")</f>
        <v>I was buying new flowers</v>
      </c>
      <c r="D8665" s="5"/>
      <c r="E8665" s="5"/>
      <c r="F8665" s="5"/>
      <c r="G8665" s="5"/>
      <c r="H8665" s="5"/>
      <c r="I8665" s="5"/>
      <c r="J8665" s="5"/>
      <c r="K8665" s="5"/>
      <c r="L8665" s="5"/>
      <c r="M8665" s="5"/>
      <c r="N8665" s="5"/>
      <c r="O8665" s="5"/>
      <c r="P8665" s="5"/>
      <c r="Q8665" s="5"/>
      <c r="R8665" s="5"/>
      <c r="S8665" s="5"/>
      <c r="T8665" s="5"/>
      <c r="U8665" s="5"/>
      <c r="V8665" s="5"/>
      <c r="W8665" s="5"/>
      <c r="X8665" s="5"/>
      <c r="Y8665" s="5"/>
      <c r="Z8665" s="5"/>
    </row>
    <row r="8666" spans="1:26" ht="15" x14ac:dyDescent="0.25">
      <c r="A8666" s="4" t="s">
        <v>8664</v>
      </c>
      <c r="B8666" s="4" t="s">
        <v>4550</v>
      </c>
      <c r="C8666" s="2" t="str">
        <f ca="1">IFERROR(__xludf.DUMMYFUNCTION("GOOGLETRANSLATE(A8666,""bn"",""en"")"),"They learned English stories")</f>
        <v>They learned English stories</v>
      </c>
      <c r="D8666" s="5"/>
      <c r="E8666" s="5"/>
      <c r="F8666" s="5"/>
      <c r="G8666" s="5"/>
      <c r="H8666" s="5"/>
      <c r="I8666" s="5"/>
      <c r="J8666" s="5"/>
      <c r="K8666" s="5"/>
      <c r="L8666" s="5"/>
      <c r="M8666" s="5"/>
      <c r="N8666" s="5"/>
      <c r="O8666" s="5"/>
      <c r="P8666" s="5"/>
      <c r="Q8666" s="5"/>
      <c r="R8666" s="5"/>
      <c r="S8666" s="5"/>
      <c r="T8666" s="5"/>
      <c r="U8666" s="5"/>
      <c r="V8666" s="5"/>
      <c r="W8666" s="5"/>
      <c r="X8666" s="5"/>
      <c r="Y8666" s="5"/>
      <c r="Z8666" s="5"/>
    </row>
    <row r="8667" spans="1:26" ht="15" x14ac:dyDescent="0.25">
      <c r="A8667" s="4" t="s">
        <v>8665</v>
      </c>
      <c r="B8667" s="4" t="s">
        <v>4550</v>
      </c>
      <c r="C8667" s="2" t="str">
        <f ca="1">IFERROR(__xludf.DUMMYFUNCTION("GOOGLETRANSLATE(A8667,""bn"",""en"")"),"He was satisfied with traveling")</f>
        <v>He was satisfied with traveling</v>
      </c>
      <c r="D8667" s="5"/>
      <c r="E8667" s="5"/>
      <c r="F8667" s="5"/>
      <c r="G8667" s="5"/>
      <c r="H8667" s="5"/>
      <c r="I8667" s="5"/>
      <c r="J8667" s="5"/>
      <c r="K8667" s="5"/>
      <c r="L8667" s="5"/>
      <c r="M8667" s="5"/>
      <c r="N8667" s="5"/>
      <c r="O8667" s="5"/>
      <c r="P8667" s="5"/>
      <c r="Q8667" s="5"/>
      <c r="R8667" s="5"/>
      <c r="S8667" s="5"/>
      <c r="T8667" s="5"/>
      <c r="U8667" s="5"/>
      <c r="V8667" s="5"/>
      <c r="W8667" s="5"/>
      <c r="X8667" s="5"/>
      <c r="Y8667" s="5"/>
      <c r="Z8667" s="5"/>
    </row>
    <row r="8668" spans="1:26" ht="15" x14ac:dyDescent="0.25">
      <c r="A8668" s="4" t="s">
        <v>8666</v>
      </c>
      <c r="B8668" s="4" t="s">
        <v>4550</v>
      </c>
      <c r="C8668" s="2" t="str">
        <f ca="1">IFERROR(__xludf.DUMMYFUNCTION("GOOGLETRANSLATE(A8668,""bn"",""en"")"),"Hot air was used")</f>
        <v>Hot air was used</v>
      </c>
      <c r="D8668" s="5"/>
      <c r="E8668" s="5"/>
      <c r="F8668" s="5"/>
      <c r="G8668" s="5"/>
      <c r="H8668" s="5"/>
      <c r="I8668" s="5"/>
      <c r="J8668" s="5"/>
      <c r="K8668" s="5"/>
      <c r="L8668" s="5"/>
      <c r="M8668" s="5"/>
      <c r="N8668" s="5"/>
      <c r="O8668" s="5"/>
      <c r="P8668" s="5"/>
      <c r="Q8668" s="5"/>
      <c r="R8668" s="5"/>
      <c r="S8668" s="5"/>
      <c r="T8668" s="5"/>
      <c r="U8668" s="5"/>
      <c r="V8668" s="5"/>
      <c r="W8668" s="5"/>
      <c r="X8668" s="5"/>
      <c r="Y8668" s="5"/>
      <c r="Z8668" s="5"/>
    </row>
    <row r="8669" spans="1:26" ht="15" x14ac:dyDescent="0.25">
      <c r="A8669" s="4" t="s">
        <v>8667</v>
      </c>
      <c r="B8669" s="4" t="s">
        <v>4550</v>
      </c>
      <c r="C8669" s="2" t="str">
        <f ca="1">IFERROR(__xludf.DUMMYFUNCTION("GOOGLETRANSLATE(A8669,""bn"",""en"")"),"While eating pizza with tea")</f>
        <v>While eating pizza with tea</v>
      </c>
      <c r="D8669" s="5"/>
      <c r="E8669" s="5"/>
      <c r="F8669" s="5"/>
      <c r="G8669" s="5"/>
      <c r="H8669" s="5"/>
      <c r="I8669" s="5"/>
      <c r="J8669" s="5"/>
      <c r="K8669" s="5"/>
      <c r="L8669" s="5"/>
      <c r="M8669" s="5"/>
      <c r="N8669" s="5"/>
      <c r="O8669" s="5"/>
      <c r="P8669" s="5"/>
      <c r="Q8669" s="5"/>
      <c r="R8669" s="5"/>
      <c r="S8669" s="5"/>
      <c r="T8669" s="5"/>
      <c r="U8669" s="5"/>
      <c r="V8669" s="5"/>
      <c r="W8669" s="5"/>
      <c r="X8669" s="5"/>
      <c r="Y8669" s="5"/>
      <c r="Z8669" s="5"/>
    </row>
    <row r="8670" spans="1:26" ht="15" x14ac:dyDescent="0.25">
      <c r="A8670" s="4" t="s">
        <v>8668</v>
      </c>
      <c r="B8670" s="4" t="s">
        <v>4550</v>
      </c>
      <c r="C8670" s="2" t="str">
        <f ca="1">IFERROR(__xludf.DUMMYFUNCTION("GOOGLETRANSLATE(A8670,""bn"",""en"")"),"Investing in the stock market was going on")</f>
        <v>Investing in the stock market was going on</v>
      </c>
      <c r="D8670" s="5"/>
      <c r="E8670" s="5"/>
      <c r="F8670" s="5"/>
      <c r="G8670" s="5"/>
      <c r="H8670" s="5"/>
      <c r="I8670" s="5"/>
      <c r="J8670" s="5"/>
      <c r="K8670" s="5"/>
      <c r="L8670" s="5"/>
      <c r="M8670" s="5"/>
      <c r="N8670" s="5"/>
      <c r="O8670" s="5"/>
      <c r="P8670" s="5"/>
      <c r="Q8670" s="5"/>
      <c r="R8670" s="5"/>
      <c r="S8670" s="5"/>
      <c r="T8670" s="5"/>
      <c r="U8670" s="5"/>
      <c r="V8670" s="5"/>
      <c r="W8670" s="5"/>
      <c r="X8670" s="5"/>
      <c r="Y8670" s="5"/>
      <c r="Z8670" s="5"/>
    </row>
    <row r="8671" spans="1:26" ht="15" x14ac:dyDescent="0.25">
      <c r="A8671" s="4" t="s">
        <v>8669</v>
      </c>
      <c r="B8671" s="4" t="s">
        <v>4550</v>
      </c>
      <c r="C8671" s="2" t="str">
        <f ca="1">IFERROR(__xludf.DUMMYFUNCTION("GOOGLETRANSLATE(A8671,""bn"",""en"")"),"He watched the movie during the week")</f>
        <v>He watched the movie during the week</v>
      </c>
      <c r="D8671" s="5"/>
      <c r="E8671" s="5"/>
      <c r="F8671" s="5"/>
      <c r="G8671" s="5"/>
      <c r="H8671" s="5"/>
      <c r="I8671" s="5"/>
      <c r="J8671" s="5"/>
      <c r="K8671" s="5"/>
      <c r="L8671" s="5"/>
      <c r="M8671" s="5"/>
      <c r="N8671" s="5"/>
      <c r="O8671" s="5"/>
      <c r="P8671" s="5"/>
      <c r="Q8671" s="5"/>
      <c r="R8671" s="5"/>
      <c r="S8671" s="5"/>
      <c r="T8671" s="5"/>
      <c r="U8671" s="5"/>
      <c r="V8671" s="5"/>
      <c r="W8671" s="5"/>
      <c r="X8671" s="5"/>
      <c r="Y8671" s="5"/>
      <c r="Z8671" s="5"/>
    </row>
    <row r="8672" spans="1:26" ht="15" x14ac:dyDescent="0.25">
      <c r="A8672" s="4" t="s">
        <v>8670</v>
      </c>
      <c r="B8672" s="4" t="s">
        <v>4550</v>
      </c>
      <c r="C8672" s="2" t="str">
        <f ca="1">IFERROR(__xludf.DUMMYFUNCTION("GOOGLETRANSLATE(A8672,""bn"",""en"")"),"They won in football")</f>
        <v>They won in football</v>
      </c>
      <c r="D8672" s="5"/>
      <c r="E8672" s="5"/>
      <c r="F8672" s="5"/>
      <c r="G8672" s="5"/>
      <c r="H8672" s="5"/>
      <c r="I8672" s="5"/>
      <c r="J8672" s="5"/>
      <c r="K8672" s="5"/>
      <c r="L8672" s="5"/>
      <c r="M8672" s="5"/>
      <c r="N8672" s="5"/>
      <c r="O8672" s="5"/>
      <c r="P8672" s="5"/>
      <c r="Q8672" s="5"/>
      <c r="R8672" s="5"/>
      <c r="S8672" s="5"/>
      <c r="T8672" s="5"/>
      <c r="U8672" s="5"/>
      <c r="V8672" s="5"/>
      <c r="W8672" s="5"/>
      <c r="X8672" s="5"/>
      <c r="Y8672" s="5"/>
      <c r="Z8672" s="5"/>
    </row>
    <row r="8673" spans="1:26" ht="15" x14ac:dyDescent="0.25">
      <c r="A8673" s="4" t="s">
        <v>8671</v>
      </c>
      <c r="B8673" s="4" t="s">
        <v>4550</v>
      </c>
      <c r="C8673" s="2" t="str">
        <f ca="1">IFERROR(__xludf.DUMMYFUNCTION("GOOGLETRANSLATE(A8673,""bn"",""en"")"),"There was a debate in Parliament at the end")</f>
        <v>There was a debate in Parliament at the end</v>
      </c>
      <c r="D8673" s="5"/>
      <c r="E8673" s="5"/>
      <c r="F8673" s="5"/>
      <c r="G8673" s="5"/>
      <c r="H8673" s="5"/>
      <c r="I8673" s="5"/>
      <c r="J8673" s="5"/>
      <c r="K8673" s="5"/>
      <c r="L8673" s="5"/>
      <c r="M8673" s="5"/>
      <c r="N8673" s="5"/>
      <c r="O8673" s="5"/>
      <c r="P8673" s="5"/>
      <c r="Q8673" s="5"/>
      <c r="R8673" s="5"/>
      <c r="S8673" s="5"/>
      <c r="T8673" s="5"/>
      <c r="U8673" s="5"/>
      <c r="V8673" s="5"/>
      <c r="W8673" s="5"/>
      <c r="X8673" s="5"/>
      <c r="Y8673" s="5"/>
      <c r="Z8673" s="5"/>
    </row>
    <row r="8674" spans="1:26" ht="15" x14ac:dyDescent="0.25">
      <c r="A8674" s="4" t="s">
        <v>8672</v>
      </c>
      <c r="B8674" s="4" t="s">
        <v>4550</v>
      </c>
      <c r="C8674" s="2" t="str">
        <f ca="1">IFERROR(__xludf.DUMMYFUNCTION("GOOGLETRANSLATE(A8674,""bn"",""en"")"),"Political news was to be published")</f>
        <v>Political news was to be published</v>
      </c>
      <c r="D8674" s="5"/>
      <c r="E8674" s="5"/>
      <c r="F8674" s="5"/>
      <c r="G8674" s="5"/>
      <c r="H8674" s="5"/>
      <c r="I8674" s="5"/>
      <c r="J8674" s="5"/>
      <c r="K8674" s="5"/>
      <c r="L8674" s="5"/>
      <c r="M8674" s="5"/>
      <c r="N8674" s="5"/>
      <c r="O8674" s="5"/>
      <c r="P8674" s="5"/>
      <c r="Q8674" s="5"/>
      <c r="R8674" s="5"/>
      <c r="S8674" s="5"/>
      <c r="T8674" s="5"/>
      <c r="U8674" s="5"/>
      <c r="V8674" s="5"/>
      <c r="W8674" s="5"/>
      <c r="X8674" s="5"/>
      <c r="Y8674" s="5"/>
      <c r="Z8674" s="5"/>
    </row>
    <row r="8675" spans="1:26" ht="15" x14ac:dyDescent="0.25">
      <c r="A8675" s="4" t="s">
        <v>8673</v>
      </c>
      <c r="B8675" s="4" t="s">
        <v>4550</v>
      </c>
      <c r="C8675" s="2" t="str">
        <f ca="1">IFERROR(__xludf.DUMMYFUNCTION("GOOGLETRANSLATE(A8675,""bn"",""en"")"),"I walked after the rain")</f>
        <v>I walked after the rain</v>
      </c>
      <c r="D8675" s="5"/>
      <c r="E8675" s="5"/>
      <c r="F8675" s="5"/>
      <c r="G8675" s="5"/>
      <c r="H8675" s="5"/>
      <c r="I8675" s="5"/>
      <c r="J8675" s="5"/>
      <c r="K8675" s="5"/>
      <c r="L8675" s="5"/>
      <c r="M8675" s="5"/>
      <c r="N8675" s="5"/>
      <c r="O8675" s="5"/>
      <c r="P8675" s="5"/>
      <c r="Q8675" s="5"/>
      <c r="R8675" s="5"/>
      <c r="S8675" s="5"/>
      <c r="T8675" s="5"/>
      <c r="U8675" s="5"/>
      <c r="V8675" s="5"/>
      <c r="W8675" s="5"/>
      <c r="X8675" s="5"/>
      <c r="Y8675" s="5"/>
      <c r="Z8675" s="5"/>
    </row>
    <row r="8676" spans="1:26" ht="15" x14ac:dyDescent="0.25">
      <c r="A8676" s="4" t="s">
        <v>8674</v>
      </c>
      <c r="B8676" s="4" t="s">
        <v>4550</v>
      </c>
      <c r="C8676" s="2" t="str">
        <f ca="1">IFERROR(__xludf.DUMMYFUNCTION("GOOGLETRANSLATE(A8676,""bn"",""en"")"),"The other had already done so")</f>
        <v>The other had already done so</v>
      </c>
      <c r="D8676" s="5"/>
      <c r="E8676" s="5"/>
      <c r="F8676" s="5"/>
      <c r="G8676" s="5"/>
      <c r="H8676" s="5"/>
      <c r="I8676" s="5"/>
      <c r="J8676" s="5"/>
      <c r="K8676" s="5"/>
      <c r="L8676" s="5"/>
      <c r="M8676" s="5"/>
      <c r="N8676" s="5"/>
      <c r="O8676" s="5"/>
      <c r="P8676" s="5"/>
      <c r="Q8676" s="5"/>
      <c r="R8676" s="5"/>
      <c r="S8676" s="5"/>
      <c r="T8676" s="5"/>
      <c r="U8676" s="5"/>
      <c r="V8676" s="5"/>
      <c r="W8676" s="5"/>
      <c r="X8676" s="5"/>
      <c r="Y8676" s="5"/>
      <c r="Z8676" s="5"/>
    </row>
    <row r="8677" spans="1:26" ht="15" x14ac:dyDescent="0.25">
      <c r="A8677" s="4" t="s">
        <v>8675</v>
      </c>
      <c r="B8677" s="4" t="s">
        <v>4550</v>
      </c>
      <c r="C8677" s="2" t="str">
        <f ca="1">IFERROR(__xludf.DUMMYFUNCTION("GOOGLETRANSLATE(A8677,""bn"",""en"")"),"I sat for three hours")</f>
        <v>I sat for three hours</v>
      </c>
      <c r="D8677" s="5"/>
      <c r="E8677" s="5"/>
      <c r="F8677" s="5"/>
      <c r="G8677" s="5"/>
      <c r="H8677" s="5"/>
      <c r="I8677" s="5"/>
      <c r="J8677" s="5"/>
      <c r="K8677" s="5"/>
      <c r="L8677" s="5"/>
      <c r="M8677" s="5"/>
      <c r="N8677" s="5"/>
      <c r="O8677" s="5"/>
      <c r="P8677" s="5"/>
      <c r="Q8677" s="5"/>
      <c r="R8677" s="5"/>
      <c r="S8677" s="5"/>
      <c r="T8677" s="5"/>
      <c r="U8677" s="5"/>
      <c r="V8677" s="5"/>
      <c r="W8677" s="5"/>
      <c r="X8677" s="5"/>
      <c r="Y8677" s="5"/>
      <c r="Z8677" s="5"/>
    </row>
    <row r="8678" spans="1:26" ht="15" x14ac:dyDescent="0.25">
      <c r="A8678" s="4" t="s">
        <v>8676</v>
      </c>
      <c r="B8678" s="4" t="s">
        <v>4550</v>
      </c>
      <c r="C8678" s="2" t="str">
        <f ca="1">IFERROR(__xludf.DUMMYFUNCTION("GOOGLETRANSLATE(A8678,""bn"",""en"")"),"The feature was upgraded last week")</f>
        <v>The feature was upgraded last week</v>
      </c>
      <c r="D8678" s="5"/>
      <c r="E8678" s="5"/>
      <c r="F8678" s="5"/>
      <c r="G8678" s="5"/>
      <c r="H8678" s="5"/>
      <c r="I8678" s="5"/>
      <c r="J8678" s="5"/>
      <c r="K8678" s="5"/>
      <c r="L8678" s="5"/>
      <c r="M8678" s="5"/>
      <c r="N8678" s="5"/>
      <c r="O8678" s="5"/>
      <c r="P8678" s="5"/>
      <c r="Q8678" s="5"/>
      <c r="R8678" s="5"/>
      <c r="S8678" s="5"/>
      <c r="T8678" s="5"/>
      <c r="U8678" s="5"/>
      <c r="V8678" s="5"/>
      <c r="W8678" s="5"/>
      <c r="X8678" s="5"/>
      <c r="Y8678" s="5"/>
      <c r="Z8678" s="5"/>
    </row>
    <row r="8679" spans="1:26" ht="15" x14ac:dyDescent="0.25">
      <c r="A8679" s="4" t="s">
        <v>8677</v>
      </c>
      <c r="B8679" s="4" t="s">
        <v>4550</v>
      </c>
      <c r="C8679" s="2" t="str">
        <f ca="1">IFERROR(__xludf.DUMMYFUNCTION("GOOGLETRANSLATE(A8679,""bn"",""en"")"),"I watched the movie for preparation")</f>
        <v>I watched the movie for preparation</v>
      </c>
      <c r="D8679" s="5"/>
      <c r="E8679" s="5"/>
      <c r="F8679" s="5"/>
      <c r="G8679" s="5"/>
      <c r="H8679" s="5"/>
      <c r="I8679" s="5"/>
      <c r="J8679" s="5"/>
      <c r="K8679" s="5"/>
      <c r="L8679" s="5"/>
      <c r="M8679" s="5"/>
      <c r="N8679" s="5"/>
      <c r="O8679" s="5"/>
      <c r="P8679" s="5"/>
      <c r="Q8679" s="5"/>
      <c r="R8679" s="5"/>
      <c r="S8679" s="5"/>
      <c r="T8679" s="5"/>
      <c r="U8679" s="5"/>
      <c r="V8679" s="5"/>
      <c r="W8679" s="5"/>
      <c r="X8679" s="5"/>
      <c r="Y8679" s="5"/>
      <c r="Z8679" s="5"/>
    </row>
    <row r="8680" spans="1:26" ht="15" x14ac:dyDescent="0.25">
      <c r="A8680" s="4" t="s">
        <v>8678</v>
      </c>
      <c r="B8680" s="4" t="s">
        <v>4550</v>
      </c>
      <c r="C8680" s="2" t="str">
        <f ca="1">IFERROR(__xludf.DUMMYFUNCTION("GOOGLETRANSLATE(A8680,""bn"",""en"")"),"We tested the function")</f>
        <v>We tested the function</v>
      </c>
      <c r="D8680" s="5"/>
      <c r="E8680" s="5"/>
      <c r="F8680" s="5"/>
      <c r="G8680" s="5"/>
      <c r="H8680" s="5"/>
      <c r="I8680" s="5"/>
      <c r="J8680" s="5"/>
      <c r="K8680" s="5"/>
      <c r="L8680" s="5"/>
      <c r="M8680" s="5"/>
      <c r="N8680" s="5"/>
      <c r="O8680" s="5"/>
      <c r="P8680" s="5"/>
      <c r="Q8680" s="5"/>
      <c r="R8680" s="5"/>
      <c r="S8680" s="5"/>
      <c r="T8680" s="5"/>
      <c r="U8680" s="5"/>
      <c r="V8680" s="5"/>
      <c r="W8680" s="5"/>
      <c r="X8680" s="5"/>
      <c r="Y8680" s="5"/>
      <c r="Z8680" s="5"/>
    </row>
    <row r="8681" spans="1:26" ht="15" x14ac:dyDescent="0.25">
      <c r="A8681" s="4" t="s">
        <v>8679</v>
      </c>
      <c r="B8681" s="4" t="s">
        <v>4550</v>
      </c>
      <c r="C8681" s="2" t="str">
        <f ca="1">IFERROR(__xludf.DUMMYFUNCTION("GOOGLETRANSLATE(A8681,""bn"",""en"")"),"Exhibitions were organized every month")</f>
        <v>Exhibitions were organized every month</v>
      </c>
      <c r="D8681" s="5"/>
      <c r="E8681" s="5"/>
      <c r="F8681" s="5"/>
      <c r="G8681" s="5"/>
      <c r="H8681" s="5"/>
      <c r="I8681" s="5"/>
      <c r="J8681" s="5"/>
      <c r="K8681" s="5"/>
      <c r="L8681" s="5"/>
      <c r="M8681" s="5"/>
      <c r="N8681" s="5"/>
      <c r="O8681" s="5"/>
      <c r="P8681" s="5"/>
      <c r="Q8681" s="5"/>
      <c r="R8681" s="5"/>
      <c r="S8681" s="5"/>
      <c r="T8681" s="5"/>
      <c r="U8681" s="5"/>
      <c r="V8681" s="5"/>
      <c r="W8681" s="5"/>
      <c r="X8681" s="5"/>
      <c r="Y8681" s="5"/>
      <c r="Z8681" s="5"/>
    </row>
    <row r="8682" spans="1:26" ht="15" x14ac:dyDescent="0.25">
      <c r="A8682" s="4" t="s">
        <v>8680</v>
      </c>
      <c r="B8682" s="4" t="s">
        <v>4550</v>
      </c>
      <c r="C8682" s="2" t="str">
        <f ca="1">IFERROR(__xludf.DUMMYFUNCTION("GOOGLETRANSLATE(A8682,""bn"",""en"")"),"I developed a mobile app")</f>
        <v>I developed a mobile app</v>
      </c>
      <c r="D8682" s="5"/>
      <c r="E8682" s="5"/>
      <c r="F8682" s="5"/>
      <c r="G8682" s="5"/>
      <c r="H8682" s="5"/>
      <c r="I8682" s="5"/>
      <c r="J8682" s="5"/>
      <c r="K8682" s="5"/>
      <c r="L8682" s="5"/>
      <c r="M8682" s="5"/>
      <c r="N8682" s="5"/>
      <c r="O8682" s="5"/>
      <c r="P8682" s="5"/>
      <c r="Q8682" s="5"/>
      <c r="R8682" s="5"/>
      <c r="S8682" s="5"/>
      <c r="T8682" s="5"/>
      <c r="U8682" s="5"/>
      <c r="V8682" s="5"/>
      <c r="W8682" s="5"/>
      <c r="X8682" s="5"/>
      <c r="Y8682" s="5"/>
      <c r="Z8682" s="5"/>
    </row>
    <row r="8683" spans="1:26" ht="15" x14ac:dyDescent="0.25">
      <c r="A8683" s="4" t="s">
        <v>8681</v>
      </c>
      <c r="B8683" s="4" t="s">
        <v>4550</v>
      </c>
      <c r="C8683" s="2" t="str">
        <f ca="1">IFERROR(__xludf.DUMMYFUNCTION("GOOGLETRANSLATE(A8683,""bn"",""en"")"),"Football has always been popular")</f>
        <v>Football has always been popular</v>
      </c>
      <c r="D8683" s="5"/>
      <c r="E8683" s="5"/>
      <c r="F8683" s="5"/>
      <c r="G8683" s="5"/>
      <c r="H8683" s="5"/>
      <c r="I8683" s="5"/>
      <c r="J8683" s="5"/>
      <c r="K8683" s="5"/>
      <c r="L8683" s="5"/>
      <c r="M8683" s="5"/>
      <c r="N8683" s="5"/>
      <c r="O8683" s="5"/>
      <c r="P8683" s="5"/>
      <c r="Q8683" s="5"/>
      <c r="R8683" s="5"/>
      <c r="S8683" s="5"/>
      <c r="T8683" s="5"/>
      <c r="U8683" s="5"/>
      <c r="V8683" s="5"/>
      <c r="W8683" s="5"/>
      <c r="X8683" s="5"/>
      <c r="Y8683" s="5"/>
      <c r="Z8683" s="5"/>
    </row>
    <row r="8684" spans="1:26" ht="15" x14ac:dyDescent="0.25">
      <c r="A8684" s="4" t="s">
        <v>8682</v>
      </c>
      <c r="B8684" s="4" t="s">
        <v>4550</v>
      </c>
      <c r="C8684" s="2" t="str">
        <f ca="1">IFERROR(__xludf.DUMMYFUNCTION("GOOGLETRANSLATE(A8684,""bn"",""en"")"),"I was cooking dal for the morning")</f>
        <v>I was cooking dal for the morning</v>
      </c>
      <c r="D8684" s="5"/>
      <c r="E8684" s="5"/>
      <c r="F8684" s="5"/>
      <c r="G8684" s="5"/>
      <c r="H8684" s="5"/>
      <c r="I8684" s="5"/>
      <c r="J8684" s="5"/>
      <c r="K8684" s="5"/>
      <c r="L8684" s="5"/>
      <c r="M8684" s="5"/>
      <c r="N8684" s="5"/>
      <c r="O8684" s="5"/>
      <c r="P8684" s="5"/>
      <c r="Q8684" s="5"/>
      <c r="R8684" s="5"/>
      <c r="S8684" s="5"/>
      <c r="T8684" s="5"/>
      <c r="U8684" s="5"/>
      <c r="V8684" s="5"/>
      <c r="W8684" s="5"/>
      <c r="X8684" s="5"/>
      <c r="Y8684" s="5"/>
      <c r="Z8684" s="5"/>
    </row>
    <row r="8685" spans="1:26" ht="15" x14ac:dyDescent="0.25">
      <c r="A8685" s="4" t="s">
        <v>8683</v>
      </c>
      <c r="B8685" s="4" t="s">
        <v>4550</v>
      </c>
      <c r="C8685" s="2" t="str">
        <f ca="1">IFERROR(__xludf.DUMMYFUNCTION("GOOGLETRANSLATE(A8685,""bn"",""en"")"),"The team won the last match")</f>
        <v>The team won the last match</v>
      </c>
      <c r="D8685" s="5"/>
      <c r="E8685" s="5"/>
      <c r="F8685" s="5"/>
      <c r="G8685" s="5"/>
      <c r="H8685" s="5"/>
      <c r="I8685" s="5"/>
      <c r="J8685" s="5"/>
      <c r="K8685" s="5"/>
      <c r="L8685" s="5"/>
      <c r="M8685" s="5"/>
      <c r="N8685" s="5"/>
      <c r="O8685" s="5"/>
      <c r="P8685" s="5"/>
      <c r="Q8685" s="5"/>
      <c r="R8685" s="5"/>
      <c r="S8685" s="5"/>
      <c r="T8685" s="5"/>
      <c r="U8685" s="5"/>
      <c r="V8685" s="5"/>
      <c r="W8685" s="5"/>
      <c r="X8685" s="5"/>
      <c r="Y8685" s="5"/>
      <c r="Z8685" s="5"/>
    </row>
    <row r="8686" spans="1:26" ht="15" x14ac:dyDescent="0.25">
      <c r="A8686" s="4" t="s">
        <v>8684</v>
      </c>
      <c r="B8686" s="4" t="s">
        <v>4550</v>
      </c>
      <c r="C8686" s="2" t="str">
        <f ca="1">IFERROR(__xludf.DUMMYFUNCTION("GOOGLETRANSLATE(A8686,""bn"",""en"")"),"New treatment methods were introduced")</f>
        <v>New treatment methods were introduced</v>
      </c>
      <c r="D8686" s="5"/>
      <c r="E8686" s="5"/>
      <c r="F8686" s="5"/>
      <c r="G8686" s="5"/>
      <c r="H8686" s="5"/>
      <c r="I8686" s="5"/>
      <c r="J8686" s="5"/>
      <c r="K8686" s="5"/>
      <c r="L8686" s="5"/>
      <c r="M8686" s="5"/>
      <c r="N8686" s="5"/>
      <c r="O8686" s="5"/>
      <c r="P8686" s="5"/>
      <c r="Q8686" s="5"/>
      <c r="R8686" s="5"/>
      <c r="S8686" s="5"/>
      <c r="T8686" s="5"/>
      <c r="U8686" s="5"/>
      <c r="V8686" s="5"/>
      <c r="W8686" s="5"/>
      <c r="X8686" s="5"/>
      <c r="Y8686" s="5"/>
      <c r="Z8686" s="5"/>
    </row>
    <row r="8687" spans="1:26" ht="15" x14ac:dyDescent="0.25">
      <c r="A8687" s="4" t="s">
        <v>8685</v>
      </c>
      <c r="B8687" s="4" t="s">
        <v>4550</v>
      </c>
      <c r="C8687" s="2" t="str">
        <f ca="1">IFERROR(__xludf.DUMMYFUNCTION("GOOGLETRANSLATE(A8687,""bn"",""en"")"),"Had fish for lunch")</f>
        <v>Had fish for lunch</v>
      </c>
      <c r="D8687" s="5"/>
      <c r="E8687" s="5"/>
      <c r="F8687" s="5"/>
      <c r="G8687" s="5"/>
      <c r="H8687" s="5"/>
      <c r="I8687" s="5"/>
      <c r="J8687" s="5"/>
      <c r="K8687" s="5"/>
      <c r="L8687" s="5"/>
      <c r="M8687" s="5"/>
      <c r="N8687" s="5"/>
      <c r="O8687" s="5"/>
      <c r="P8687" s="5"/>
      <c r="Q8687" s="5"/>
      <c r="R8687" s="5"/>
      <c r="S8687" s="5"/>
      <c r="T8687" s="5"/>
      <c r="U8687" s="5"/>
      <c r="V8687" s="5"/>
      <c r="W8687" s="5"/>
      <c r="X8687" s="5"/>
      <c r="Y8687" s="5"/>
      <c r="Z8687" s="5"/>
    </row>
    <row r="8688" spans="1:26" ht="15" x14ac:dyDescent="0.25">
      <c r="A8688" s="4" t="s">
        <v>8686</v>
      </c>
      <c r="B8688" s="4" t="s">
        <v>4550</v>
      </c>
      <c r="C8688" s="2" t="str">
        <f ca="1">IFERROR(__xludf.DUMMYFUNCTION("GOOGLETRANSLATE(A8688,""bn"",""en"")"),"I was watching Tragedy movie")</f>
        <v>I was watching Tragedy movie</v>
      </c>
      <c r="D8688" s="5"/>
      <c r="E8688" s="5"/>
      <c r="F8688" s="5"/>
      <c r="G8688" s="5"/>
      <c r="H8688" s="5"/>
      <c r="I8688" s="5"/>
      <c r="J8688" s="5"/>
      <c r="K8688" s="5"/>
      <c r="L8688" s="5"/>
      <c r="M8688" s="5"/>
      <c r="N8688" s="5"/>
      <c r="O8688" s="5"/>
      <c r="P8688" s="5"/>
      <c r="Q8688" s="5"/>
      <c r="R8688" s="5"/>
      <c r="S8688" s="5"/>
      <c r="T8688" s="5"/>
      <c r="U8688" s="5"/>
      <c r="V8688" s="5"/>
      <c r="W8688" s="5"/>
      <c r="X8688" s="5"/>
      <c r="Y8688" s="5"/>
      <c r="Z8688" s="5"/>
    </row>
    <row r="8689" spans="1:26" ht="15" x14ac:dyDescent="0.25">
      <c r="A8689" s="4" t="s">
        <v>8687</v>
      </c>
      <c r="B8689" s="4" t="s">
        <v>4550</v>
      </c>
      <c r="C8689" s="2" t="str">
        <f ca="1">IFERROR(__xludf.DUMMYFUNCTION("GOOGLETRANSLATE(A8689,""bn"",""en"")"),"Shakib scored a half-century")</f>
        <v>Shakib scored a half-century</v>
      </c>
      <c r="D8689" s="5"/>
      <c r="E8689" s="5"/>
      <c r="F8689" s="5"/>
      <c r="G8689" s="5"/>
      <c r="H8689" s="5"/>
      <c r="I8689" s="5"/>
      <c r="J8689" s="5"/>
      <c r="K8689" s="5"/>
      <c r="L8689" s="5"/>
      <c r="M8689" s="5"/>
      <c r="N8689" s="5"/>
      <c r="O8689" s="5"/>
      <c r="P8689" s="5"/>
      <c r="Q8689" s="5"/>
      <c r="R8689" s="5"/>
      <c r="S8689" s="5"/>
      <c r="T8689" s="5"/>
      <c r="U8689" s="5"/>
      <c r="V8689" s="5"/>
      <c r="W8689" s="5"/>
      <c r="X8689" s="5"/>
      <c r="Y8689" s="5"/>
      <c r="Z8689" s="5"/>
    </row>
    <row r="8690" spans="1:26" ht="15" x14ac:dyDescent="0.25">
      <c r="A8690" s="4" t="s">
        <v>8688</v>
      </c>
      <c r="B8690" s="4" t="s">
        <v>4550</v>
      </c>
      <c r="C8690" s="2" t="str">
        <f ca="1">IFERROR(__xludf.DUMMYFUNCTION("GOOGLETRANSLATE(A8690,""bn"",""en"")"),"I got a passbook")</f>
        <v>I got a passbook</v>
      </c>
      <c r="D8690" s="5"/>
      <c r="E8690" s="5"/>
      <c r="F8690" s="5"/>
      <c r="G8690" s="5"/>
      <c r="H8690" s="5"/>
      <c r="I8690" s="5"/>
      <c r="J8690" s="5"/>
      <c r="K8690" s="5"/>
      <c r="L8690" s="5"/>
      <c r="M8690" s="5"/>
      <c r="N8690" s="5"/>
      <c r="O8690" s="5"/>
      <c r="P8690" s="5"/>
      <c r="Q8690" s="5"/>
      <c r="R8690" s="5"/>
      <c r="S8690" s="5"/>
      <c r="T8690" s="5"/>
      <c r="U8690" s="5"/>
      <c r="V8690" s="5"/>
      <c r="W8690" s="5"/>
      <c r="X8690" s="5"/>
      <c r="Y8690" s="5"/>
      <c r="Z8690" s="5"/>
    </row>
    <row r="8691" spans="1:26" ht="15" x14ac:dyDescent="0.25">
      <c r="A8691" s="4" t="s">
        <v>8689</v>
      </c>
      <c r="B8691" s="4" t="s">
        <v>4550</v>
      </c>
      <c r="C8691" s="2" t="str">
        <f ca="1">IFERROR(__xludf.DUMMYFUNCTION("GOOGLETRANSLATE(A8691,""bn"",""en"")"),"was conducted among developers")</f>
        <v>was conducted among developers</v>
      </c>
      <c r="D8691" s="5"/>
      <c r="E8691" s="5"/>
      <c r="F8691" s="5"/>
      <c r="G8691" s="5"/>
      <c r="H8691" s="5"/>
      <c r="I8691" s="5"/>
      <c r="J8691" s="5"/>
      <c r="K8691" s="5"/>
      <c r="L8691" s="5"/>
      <c r="M8691" s="5"/>
      <c r="N8691" s="5"/>
      <c r="O8691" s="5"/>
      <c r="P8691" s="5"/>
      <c r="Q8691" s="5"/>
      <c r="R8691" s="5"/>
      <c r="S8691" s="5"/>
      <c r="T8691" s="5"/>
      <c r="U8691" s="5"/>
      <c r="V8691" s="5"/>
      <c r="W8691" s="5"/>
      <c r="X8691" s="5"/>
      <c r="Y8691" s="5"/>
      <c r="Z8691" s="5"/>
    </row>
    <row r="8692" spans="1:26" ht="15" x14ac:dyDescent="0.25">
      <c r="A8692" s="4" t="s">
        <v>8690</v>
      </c>
      <c r="B8692" s="4" t="s">
        <v>4550</v>
      </c>
      <c r="C8692" s="2" t="str">
        <f ca="1">IFERROR(__xludf.DUMMYFUNCTION("GOOGLETRANSLATE(A8692,""bn"",""en"")"),"Played hockey last night")</f>
        <v>Played hockey last night</v>
      </c>
      <c r="D8692" s="5"/>
      <c r="E8692" s="5"/>
      <c r="F8692" s="5"/>
      <c r="G8692" s="5"/>
      <c r="H8692" s="5"/>
      <c r="I8692" s="5"/>
      <c r="J8692" s="5"/>
      <c r="K8692" s="5"/>
      <c r="L8692" s="5"/>
      <c r="M8692" s="5"/>
      <c r="N8692" s="5"/>
      <c r="O8692" s="5"/>
      <c r="P8692" s="5"/>
      <c r="Q8692" s="5"/>
      <c r="R8692" s="5"/>
      <c r="S8692" s="5"/>
      <c r="T8692" s="5"/>
      <c r="U8692" s="5"/>
      <c r="V8692" s="5"/>
      <c r="W8692" s="5"/>
      <c r="X8692" s="5"/>
      <c r="Y8692" s="5"/>
      <c r="Z8692" s="5"/>
    </row>
    <row r="8693" spans="1:26" ht="15" x14ac:dyDescent="0.25">
      <c r="A8693" s="4" t="s">
        <v>8691</v>
      </c>
      <c r="B8693" s="4" t="s">
        <v>4550</v>
      </c>
      <c r="C8693" s="2" t="str">
        <f ca="1">IFERROR(__xludf.DUMMYFUNCTION("GOOGLETRANSLATE(A8693,""bn"",""en"")"),"He read books every day")</f>
        <v>He read books every day</v>
      </c>
      <c r="D8693" s="5"/>
      <c r="E8693" s="5"/>
      <c r="F8693" s="5"/>
      <c r="G8693" s="5"/>
      <c r="H8693" s="5"/>
      <c r="I8693" s="5"/>
      <c r="J8693" s="5"/>
      <c r="K8693" s="5"/>
      <c r="L8693" s="5"/>
      <c r="M8693" s="5"/>
      <c r="N8693" s="5"/>
      <c r="O8693" s="5"/>
      <c r="P8693" s="5"/>
      <c r="Q8693" s="5"/>
      <c r="R8693" s="5"/>
      <c r="S8693" s="5"/>
      <c r="T8693" s="5"/>
      <c r="U8693" s="5"/>
      <c r="V8693" s="5"/>
      <c r="W8693" s="5"/>
      <c r="X8693" s="5"/>
      <c r="Y8693" s="5"/>
      <c r="Z8693" s="5"/>
    </row>
    <row r="8694" spans="1:26" ht="15" x14ac:dyDescent="0.25">
      <c r="A8694" s="4" t="s">
        <v>8692</v>
      </c>
      <c r="B8694" s="4" t="s">
        <v>4550</v>
      </c>
      <c r="C8694" s="2" t="str">
        <f ca="1">IFERROR(__xludf.DUMMYFUNCTION("GOOGLETRANSLATE(A8694,""bn"",""en"")"),"Participated in all sports")</f>
        <v>Participated in all sports</v>
      </c>
      <c r="D8694" s="5"/>
      <c r="E8694" s="5"/>
      <c r="F8694" s="5"/>
      <c r="G8694" s="5"/>
      <c r="H8694" s="5"/>
      <c r="I8694" s="5"/>
      <c r="J8694" s="5"/>
      <c r="K8694" s="5"/>
      <c r="L8694" s="5"/>
      <c r="M8694" s="5"/>
      <c r="N8694" s="5"/>
      <c r="O8694" s="5"/>
      <c r="P8694" s="5"/>
      <c r="Q8694" s="5"/>
      <c r="R8694" s="5"/>
      <c r="S8694" s="5"/>
      <c r="T8694" s="5"/>
      <c r="U8694" s="5"/>
      <c r="V8694" s="5"/>
      <c r="W8694" s="5"/>
      <c r="X8694" s="5"/>
      <c r="Y8694" s="5"/>
      <c r="Z8694" s="5"/>
    </row>
    <row r="8695" spans="1:26" ht="15" x14ac:dyDescent="0.25">
      <c r="A8695" s="4" t="s">
        <v>8693</v>
      </c>
      <c r="B8695" s="4" t="s">
        <v>4550</v>
      </c>
      <c r="C8695" s="2" t="str">
        <f ca="1">IFERROR(__xludf.DUMMYFUNCTION("GOOGLETRANSLATE(A8695,""bn"",""en"")"),"I went to see a new country")</f>
        <v>I went to see a new country</v>
      </c>
      <c r="D8695" s="5"/>
      <c r="E8695" s="5"/>
      <c r="F8695" s="5"/>
      <c r="G8695" s="5"/>
      <c r="H8695" s="5"/>
      <c r="I8695" s="5"/>
      <c r="J8695" s="5"/>
      <c r="K8695" s="5"/>
      <c r="L8695" s="5"/>
      <c r="M8695" s="5"/>
      <c r="N8695" s="5"/>
      <c r="O8695" s="5"/>
      <c r="P8695" s="5"/>
      <c r="Q8695" s="5"/>
      <c r="R8695" s="5"/>
      <c r="S8695" s="5"/>
      <c r="T8695" s="5"/>
      <c r="U8695" s="5"/>
      <c r="V8695" s="5"/>
      <c r="W8695" s="5"/>
      <c r="X8695" s="5"/>
      <c r="Y8695" s="5"/>
      <c r="Z8695" s="5"/>
    </row>
    <row r="8696" spans="1:26" ht="15" x14ac:dyDescent="0.25">
      <c r="A8696" s="4" t="s">
        <v>8694</v>
      </c>
      <c r="B8696" s="4" t="s">
        <v>4550</v>
      </c>
      <c r="C8696" s="2" t="str">
        <f ca="1">IFERROR(__xludf.DUMMYFUNCTION("GOOGLETRANSLATE(A8696,""bn"",""en"")"),"I walked in the mountains last year")</f>
        <v>I walked in the mountains last year</v>
      </c>
      <c r="D8696" s="5"/>
      <c r="E8696" s="5"/>
      <c r="F8696" s="5"/>
      <c r="G8696" s="5"/>
      <c r="H8696" s="5"/>
      <c r="I8696" s="5"/>
      <c r="J8696" s="5"/>
      <c r="K8696" s="5"/>
      <c r="L8696" s="5"/>
      <c r="M8696" s="5"/>
      <c r="N8696" s="5"/>
      <c r="O8696" s="5"/>
      <c r="P8696" s="5"/>
      <c r="Q8696" s="5"/>
      <c r="R8696" s="5"/>
      <c r="S8696" s="5"/>
      <c r="T8696" s="5"/>
      <c r="U8696" s="5"/>
      <c r="V8696" s="5"/>
      <c r="W8696" s="5"/>
      <c r="X8696" s="5"/>
      <c r="Y8696" s="5"/>
      <c r="Z8696" s="5"/>
    </row>
    <row r="8697" spans="1:26" ht="15" x14ac:dyDescent="0.25">
      <c r="A8697" s="4" t="s">
        <v>8695</v>
      </c>
      <c r="B8697" s="4" t="s">
        <v>4550</v>
      </c>
      <c r="C8697" s="2" t="str">
        <f ca="1">IFERROR(__xludf.DUMMYFUNCTION("GOOGLETRANSLATE(A8697,""bn"",""en"")"),"The players were playing in the rain")</f>
        <v>The players were playing in the rain</v>
      </c>
      <c r="D8697" s="5"/>
      <c r="E8697" s="5"/>
      <c r="F8697" s="5"/>
      <c r="G8697" s="5"/>
      <c r="H8697" s="5"/>
      <c r="I8697" s="5"/>
      <c r="J8697" s="5"/>
      <c r="K8697" s="5"/>
      <c r="L8697" s="5"/>
      <c r="M8697" s="5"/>
      <c r="N8697" s="5"/>
      <c r="O8697" s="5"/>
      <c r="P8697" s="5"/>
      <c r="Q8697" s="5"/>
      <c r="R8697" s="5"/>
      <c r="S8697" s="5"/>
      <c r="T8697" s="5"/>
      <c r="U8697" s="5"/>
      <c r="V8697" s="5"/>
      <c r="W8697" s="5"/>
      <c r="X8697" s="5"/>
      <c r="Y8697" s="5"/>
      <c r="Z8697" s="5"/>
    </row>
    <row r="8698" spans="1:26" ht="15" x14ac:dyDescent="0.25">
      <c r="A8698" s="4" t="s">
        <v>8696</v>
      </c>
      <c r="B8698" s="4" t="s">
        <v>4550</v>
      </c>
      <c r="C8698" s="2" t="str">
        <f ca="1">IFERROR(__xludf.DUMMYFUNCTION("GOOGLETRANSLATE(A8698,""bn"",""en"")"),"The Prime Minister made the point on Saturday")</f>
        <v>The Prime Minister made the point on Saturday</v>
      </c>
      <c r="D8698" s="5"/>
      <c r="E8698" s="5"/>
      <c r="F8698" s="5"/>
      <c r="G8698" s="5"/>
      <c r="H8698" s="5"/>
      <c r="I8698" s="5"/>
      <c r="J8698" s="5"/>
      <c r="K8698" s="5"/>
      <c r="L8698" s="5"/>
      <c r="M8698" s="5"/>
      <c r="N8698" s="5"/>
      <c r="O8698" s="5"/>
      <c r="P8698" s="5"/>
      <c r="Q8698" s="5"/>
      <c r="R8698" s="5"/>
      <c r="S8698" s="5"/>
      <c r="T8698" s="5"/>
      <c r="U8698" s="5"/>
      <c r="V8698" s="5"/>
      <c r="W8698" s="5"/>
      <c r="X8698" s="5"/>
      <c r="Y8698" s="5"/>
      <c r="Z8698" s="5"/>
    </row>
    <row r="8699" spans="1:26" ht="15" x14ac:dyDescent="0.25">
      <c r="A8699" s="4" t="s">
        <v>8697</v>
      </c>
      <c r="B8699" s="4" t="s">
        <v>4550</v>
      </c>
      <c r="C8699" s="2" t="str">
        <f ca="1">IFERROR(__xludf.DUMMYFUNCTION("GOOGLETRANSLATE(A8699,""bn"",""en"")"),"You watched a lot of movies")</f>
        <v>You watched a lot of movies</v>
      </c>
      <c r="D8699" s="5"/>
      <c r="E8699" s="5"/>
      <c r="F8699" s="5"/>
      <c r="G8699" s="5"/>
      <c r="H8699" s="5"/>
      <c r="I8699" s="5"/>
      <c r="J8699" s="5"/>
      <c r="K8699" s="5"/>
      <c r="L8699" s="5"/>
      <c r="M8699" s="5"/>
      <c r="N8699" s="5"/>
      <c r="O8699" s="5"/>
      <c r="P8699" s="5"/>
      <c r="Q8699" s="5"/>
      <c r="R8699" s="5"/>
      <c r="S8699" s="5"/>
      <c r="T8699" s="5"/>
      <c r="U8699" s="5"/>
      <c r="V8699" s="5"/>
      <c r="W8699" s="5"/>
      <c r="X8699" s="5"/>
      <c r="Y8699" s="5"/>
      <c r="Z8699" s="5"/>
    </row>
    <row r="8700" spans="1:26" ht="15" x14ac:dyDescent="0.25">
      <c r="A8700" s="4" t="s">
        <v>8698</v>
      </c>
      <c r="B8700" s="4" t="s">
        <v>4550</v>
      </c>
      <c r="C8700" s="2" t="str">
        <f ca="1">IFERROR(__xludf.DUMMYFUNCTION("GOOGLETRANSLATE(A8700,""bn"",""en"")"),"I was doing IT training on internet")</f>
        <v>I was doing IT training on internet</v>
      </c>
      <c r="D8700" s="5"/>
      <c r="E8700" s="5"/>
      <c r="F8700" s="5"/>
      <c r="G8700" s="5"/>
      <c r="H8700" s="5"/>
      <c r="I8700" s="5"/>
      <c r="J8700" s="5"/>
      <c r="K8700" s="5"/>
      <c r="L8700" s="5"/>
      <c r="M8700" s="5"/>
      <c r="N8700" s="5"/>
      <c r="O8700" s="5"/>
      <c r="P8700" s="5"/>
      <c r="Q8700" s="5"/>
      <c r="R8700" s="5"/>
      <c r="S8700" s="5"/>
      <c r="T8700" s="5"/>
      <c r="U8700" s="5"/>
      <c r="V8700" s="5"/>
      <c r="W8700" s="5"/>
      <c r="X8700" s="5"/>
      <c r="Y8700" s="5"/>
      <c r="Z8700" s="5"/>
    </row>
    <row r="8701" spans="1:26" ht="15" x14ac:dyDescent="0.25">
      <c r="A8701" s="4" t="s">
        <v>8699</v>
      </c>
      <c r="B8701" s="4" t="s">
        <v>4550</v>
      </c>
      <c r="C8701" s="2" t="str">
        <f ca="1">IFERROR(__xludf.DUMMYFUNCTION("GOOGLETRANSLATE(A8701,""bn"",""en"")"),"Rita studied in a good college")</f>
        <v>Rita studied in a good college</v>
      </c>
      <c r="D8701" s="5"/>
      <c r="E8701" s="5"/>
      <c r="F8701" s="5"/>
      <c r="G8701" s="5"/>
      <c r="H8701" s="5"/>
      <c r="I8701" s="5"/>
      <c r="J8701" s="5"/>
      <c r="K8701" s="5"/>
      <c r="L8701" s="5"/>
      <c r="M8701" s="5"/>
      <c r="N8701" s="5"/>
      <c r="O8701" s="5"/>
      <c r="P8701" s="5"/>
      <c r="Q8701" s="5"/>
      <c r="R8701" s="5"/>
      <c r="S8701" s="5"/>
      <c r="T8701" s="5"/>
      <c r="U8701" s="5"/>
      <c r="V8701" s="5"/>
      <c r="W8701" s="5"/>
      <c r="X8701" s="5"/>
      <c r="Y8701" s="5"/>
      <c r="Z8701" s="5"/>
    </row>
    <row r="8702" spans="1:26" ht="15" x14ac:dyDescent="0.25">
      <c r="A8702" s="4" t="s">
        <v>8700</v>
      </c>
      <c r="B8702" s="4" t="s">
        <v>4550</v>
      </c>
      <c r="C8702" s="2" t="str">
        <f ca="1">IFERROR(__xludf.DUMMYFUNCTION("GOOGLETRANSLATE(A8702,""bn"",""en"")"),"Exciting inner beast revealed")</f>
        <v>Exciting inner beast revealed</v>
      </c>
      <c r="D8702" s="5"/>
      <c r="E8702" s="5"/>
      <c r="F8702" s="5"/>
      <c r="G8702" s="5"/>
      <c r="H8702" s="5"/>
      <c r="I8702" s="5"/>
      <c r="J8702" s="5"/>
      <c r="K8702" s="5"/>
      <c r="L8702" s="5"/>
      <c r="M8702" s="5"/>
      <c r="N8702" s="5"/>
      <c r="O8702" s="5"/>
      <c r="P8702" s="5"/>
      <c r="Q8702" s="5"/>
      <c r="R8702" s="5"/>
      <c r="S8702" s="5"/>
      <c r="T8702" s="5"/>
      <c r="U8702" s="5"/>
      <c r="V8702" s="5"/>
      <c r="W8702" s="5"/>
      <c r="X8702" s="5"/>
      <c r="Y8702" s="5"/>
      <c r="Z8702" s="5"/>
    </row>
    <row r="8703" spans="1:26" ht="15" x14ac:dyDescent="0.25">
      <c r="A8703" s="4" t="s">
        <v>8701</v>
      </c>
      <c r="B8703" s="4" t="s">
        <v>4550</v>
      </c>
      <c r="C8703" s="2" t="str">
        <f ca="1">IFERROR(__xludf.DUMMYFUNCTION("GOOGLETRANSLATE(A8703,""bn"",""en"")"),"Education builds our character")</f>
        <v>Education builds our character</v>
      </c>
      <c r="D8703" s="5"/>
      <c r="E8703" s="5"/>
      <c r="F8703" s="5"/>
      <c r="G8703" s="5"/>
      <c r="H8703" s="5"/>
      <c r="I8703" s="5"/>
      <c r="J8703" s="5"/>
      <c r="K8703" s="5"/>
      <c r="L8703" s="5"/>
      <c r="M8703" s="5"/>
      <c r="N8703" s="5"/>
      <c r="O8703" s="5"/>
      <c r="P8703" s="5"/>
      <c r="Q8703" s="5"/>
      <c r="R8703" s="5"/>
      <c r="S8703" s="5"/>
      <c r="T8703" s="5"/>
      <c r="U8703" s="5"/>
      <c r="V8703" s="5"/>
      <c r="W8703" s="5"/>
      <c r="X8703" s="5"/>
      <c r="Y8703" s="5"/>
      <c r="Z8703" s="5"/>
    </row>
    <row r="8704" spans="1:26" ht="15" x14ac:dyDescent="0.25">
      <c r="A8704" s="4" t="s">
        <v>8702</v>
      </c>
      <c r="B8704" s="4" t="s">
        <v>4550</v>
      </c>
      <c r="C8704" s="2" t="str">
        <f ca="1">IFERROR(__xludf.DUMMYFUNCTION("GOOGLETRANSLATE(A8704,""bn"",""en"")"),"We traveled without thinking")</f>
        <v>We traveled without thinking</v>
      </c>
      <c r="D8704" s="5"/>
      <c r="E8704" s="5"/>
      <c r="F8704" s="5"/>
      <c r="G8704" s="5"/>
      <c r="H8704" s="5"/>
      <c r="I8704" s="5"/>
      <c r="J8704" s="5"/>
      <c r="K8704" s="5"/>
      <c r="L8704" s="5"/>
      <c r="M8704" s="5"/>
      <c r="N8704" s="5"/>
      <c r="O8704" s="5"/>
      <c r="P8704" s="5"/>
      <c r="Q8704" s="5"/>
      <c r="R8704" s="5"/>
      <c r="S8704" s="5"/>
      <c r="T8704" s="5"/>
      <c r="U8704" s="5"/>
      <c r="V8704" s="5"/>
      <c r="W8704" s="5"/>
      <c r="X8704" s="5"/>
      <c r="Y8704" s="5"/>
      <c r="Z8704" s="5"/>
    </row>
    <row r="8705" spans="1:26" ht="15" x14ac:dyDescent="0.25">
      <c r="A8705" s="4" t="s">
        <v>8703</v>
      </c>
      <c r="B8705" s="4" t="s">
        <v>4550</v>
      </c>
      <c r="C8705" s="2" t="str">
        <f ca="1">IFERROR(__xludf.DUMMYFUNCTION("GOOGLETRANSLATE(A8705,""bn"",""en"")"),"It felt like an unknown feeling")</f>
        <v>It felt like an unknown feeling</v>
      </c>
      <c r="D8705" s="5"/>
      <c r="E8705" s="5"/>
      <c r="F8705" s="5"/>
      <c r="G8705" s="5"/>
      <c r="H8705" s="5"/>
      <c r="I8705" s="5"/>
      <c r="J8705" s="5"/>
      <c r="K8705" s="5"/>
      <c r="L8705" s="5"/>
      <c r="M8705" s="5"/>
      <c r="N8705" s="5"/>
      <c r="O8705" s="5"/>
      <c r="P8705" s="5"/>
      <c r="Q8705" s="5"/>
      <c r="R8705" s="5"/>
      <c r="S8705" s="5"/>
      <c r="T8705" s="5"/>
      <c r="U8705" s="5"/>
      <c r="V8705" s="5"/>
      <c r="W8705" s="5"/>
      <c r="X8705" s="5"/>
      <c r="Y8705" s="5"/>
      <c r="Z8705" s="5"/>
    </row>
    <row r="8706" spans="1:26" ht="15" x14ac:dyDescent="0.25">
      <c r="A8706" s="4" t="s">
        <v>8704</v>
      </c>
      <c r="B8706" s="4" t="s">
        <v>4550</v>
      </c>
      <c r="C8706" s="2" t="str">
        <f ca="1">IFERROR(__xludf.DUMMYFUNCTION("GOOGLETRANSLATE(A8706,""bn"",""en"")"),"The Andes Mountains were secondary mountains")</f>
        <v>The Andes Mountains were secondary mountains</v>
      </c>
      <c r="D8706" s="5"/>
      <c r="E8706" s="5"/>
      <c r="F8706" s="5"/>
      <c r="G8706" s="5"/>
      <c r="H8706" s="5"/>
      <c r="I8706" s="5"/>
      <c r="J8706" s="5"/>
      <c r="K8706" s="5"/>
      <c r="L8706" s="5"/>
      <c r="M8706" s="5"/>
      <c r="N8706" s="5"/>
      <c r="O8706" s="5"/>
      <c r="P8706" s="5"/>
      <c r="Q8706" s="5"/>
      <c r="R8706" s="5"/>
      <c r="S8706" s="5"/>
      <c r="T8706" s="5"/>
      <c r="U8706" s="5"/>
      <c r="V8706" s="5"/>
      <c r="W8706" s="5"/>
      <c r="X8706" s="5"/>
      <c r="Y8706" s="5"/>
      <c r="Z8706" s="5"/>
    </row>
    <row r="8707" spans="1:26" ht="15" x14ac:dyDescent="0.25">
      <c r="A8707" s="4" t="s">
        <v>8705</v>
      </c>
      <c r="B8707" s="4" t="s">
        <v>4550</v>
      </c>
      <c r="C8707" s="2" t="str">
        <f ca="1">IFERROR(__xludf.DUMMYFUNCTION("GOOGLETRANSLATE(A8707,""bn"",""en"")"),"Tennis players received international attention")</f>
        <v>Tennis players received international attention</v>
      </c>
      <c r="D8707" s="5"/>
      <c r="E8707" s="5"/>
      <c r="F8707" s="5"/>
      <c r="G8707" s="5"/>
      <c r="H8707" s="5"/>
      <c r="I8707" s="5"/>
      <c r="J8707" s="5"/>
      <c r="K8707" s="5"/>
      <c r="L8707" s="5"/>
      <c r="M8707" s="5"/>
      <c r="N8707" s="5"/>
      <c r="O8707" s="5"/>
      <c r="P8707" s="5"/>
      <c r="Q8707" s="5"/>
      <c r="R8707" s="5"/>
      <c r="S8707" s="5"/>
      <c r="T8707" s="5"/>
      <c r="U8707" s="5"/>
      <c r="V8707" s="5"/>
      <c r="W8707" s="5"/>
      <c r="X8707" s="5"/>
      <c r="Y8707" s="5"/>
      <c r="Z8707" s="5"/>
    </row>
    <row r="8708" spans="1:26" ht="15" x14ac:dyDescent="0.25">
      <c r="A8708" s="4" t="s">
        <v>8706</v>
      </c>
      <c r="B8708" s="4" t="s">
        <v>4550</v>
      </c>
      <c r="C8708" s="2" t="str">
        <f ca="1">IFERROR(__xludf.DUMMYFUNCTION("GOOGLETRANSLATE(A8708,""bn"",""en"")"),"Wanted to buy a new smart TV")</f>
        <v>Wanted to buy a new smart TV</v>
      </c>
      <c r="D8708" s="5"/>
      <c r="E8708" s="5"/>
      <c r="F8708" s="5"/>
      <c r="G8708" s="5"/>
      <c r="H8708" s="5"/>
      <c r="I8708" s="5"/>
      <c r="J8708" s="5"/>
      <c r="K8708" s="5"/>
      <c r="L8708" s="5"/>
      <c r="M8708" s="5"/>
      <c r="N8708" s="5"/>
      <c r="O8708" s="5"/>
      <c r="P8708" s="5"/>
      <c r="Q8708" s="5"/>
      <c r="R8708" s="5"/>
      <c r="S8708" s="5"/>
      <c r="T8708" s="5"/>
      <c r="U8708" s="5"/>
      <c r="V8708" s="5"/>
      <c r="W8708" s="5"/>
      <c r="X8708" s="5"/>
      <c r="Y8708" s="5"/>
      <c r="Z8708" s="5"/>
    </row>
    <row r="8709" spans="1:26" ht="15" x14ac:dyDescent="0.25">
      <c r="A8709" s="4" t="s">
        <v>8707</v>
      </c>
      <c r="B8709" s="4" t="s">
        <v>4550</v>
      </c>
      <c r="C8709" s="2" t="str">
        <f ca="1">IFERROR(__xludf.DUMMYFUNCTION("GOOGLETRANSLATE(A8709,""bn"",""en"")"),"I was able to use the wireless camera easily")</f>
        <v>I was able to use the wireless camera easily</v>
      </c>
      <c r="D8709" s="5"/>
      <c r="E8709" s="5"/>
      <c r="F8709" s="5"/>
      <c r="G8709" s="5"/>
      <c r="H8709" s="5"/>
      <c r="I8709" s="5"/>
      <c r="J8709" s="5"/>
      <c r="K8709" s="5"/>
      <c r="L8709" s="5"/>
      <c r="M8709" s="5"/>
      <c r="N8709" s="5"/>
      <c r="O8709" s="5"/>
      <c r="P8709" s="5"/>
      <c r="Q8709" s="5"/>
      <c r="R8709" s="5"/>
      <c r="S8709" s="5"/>
      <c r="T8709" s="5"/>
      <c r="U8709" s="5"/>
      <c r="V8709" s="5"/>
      <c r="W8709" s="5"/>
      <c r="X8709" s="5"/>
      <c r="Y8709" s="5"/>
      <c r="Z8709" s="5"/>
    </row>
    <row r="8710" spans="1:26" ht="15" x14ac:dyDescent="0.25">
      <c r="A8710" s="4" t="s">
        <v>8708</v>
      </c>
      <c r="B8710" s="4" t="s">
        <v>4550</v>
      </c>
      <c r="C8710" s="2" t="str">
        <f ca="1">IFERROR(__xludf.DUMMYFUNCTION("GOOGLETRANSLATE(A8710,""bn"",""en"")"),"I got monthly salary of thousand")</f>
        <v>I got monthly salary of thousand</v>
      </c>
      <c r="D8710" s="5"/>
      <c r="E8710" s="5"/>
      <c r="F8710" s="5"/>
      <c r="G8710" s="5"/>
      <c r="H8710" s="5"/>
      <c r="I8710" s="5"/>
      <c r="J8710" s="5"/>
      <c r="K8710" s="5"/>
      <c r="L8710" s="5"/>
      <c r="M8710" s="5"/>
      <c r="N8710" s="5"/>
      <c r="O8710" s="5"/>
      <c r="P8710" s="5"/>
      <c r="Q8710" s="5"/>
      <c r="R8710" s="5"/>
      <c r="S8710" s="5"/>
      <c r="T8710" s="5"/>
      <c r="U8710" s="5"/>
      <c r="V8710" s="5"/>
      <c r="W8710" s="5"/>
      <c r="X8710" s="5"/>
      <c r="Y8710" s="5"/>
      <c r="Z8710" s="5"/>
    </row>
    <row r="8711" spans="1:26" ht="15" x14ac:dyDescent="0.25">
      <c r="A8711" s="4" t="s">
        <v>8709</v>
      </c>
      <c r="B8711" s="4" t="s">
        <v>4550</v>
      </c>
      <c r="C8711" s="2" t="str">
        <f ca="1">IFERROR(__xludf.DUMMYFUNCTION("GOOGLETRANSLATE(A8711,""bn"",""en"")"),"There was a debate about the politics of the country")</f>
        <v>There was a debate about the politics of the country</v>
      </c>
      <c r="D8711" s="5"/>
      <c r="E8711" s="5"/>
      <c r="F8711" s="5"/>
      <c r="G8711" s="5"/>
      <c r="H8711" s="5"/>
      <c r="I8711" s="5"/>
      <c r="J8711" s="5"/>
      <c r="K8711" s="5"/>
      <c r="L8711" s="5"/>
      <c r="M8711" s="5"/>
      <c r="N8711" s="5"/>
      <c r="O8711" s="5"/>
      <c r="P8711" s="5"/>
      <c r="Q8711" s="5"/>
      <c r="R8711" s="5"/>
      <c r="S8711" s="5"/>
      <c r="T8711" s="5"/>
      <c r="U8711" s="5"/>
      <c r="V8711" s="5"/>
      <c r="W8711" s="5"/>
      <c r="X8711" s="5"/>
      <c r="Y8711" s="5"/>
      <c r="Z8711" s="5"/>
    </row>
    <row r="8712" spans="1:26" ht="15" x14ac:dyDescent="0.25">
      <c r="A8712" s="4" t="s">
        <v>8710</v>
      </c>
      <c r="B8712" s="4" t="s">
        <v>4550</v>
      </c>
      <c r="C8712" s="2" t="str">
        <f ca="1">IFERROR(__xludf.DUMMYFUNCTION("GOOGLETRANSLATE(A8712,""bn"",""en"")"),"We wanted to steal in studies")</f>
        <v>We wanted to steal in studies</v>
      </c>
      <c r="D8712" s="5"/>
      <c r="E8712" s="5"/>
      <c r="F8712" s="5"/>
      <c r="G8712" s="5"/>
      <c r="H8712" s="5"/>
      <c r="I8712" s="5"/>
      <c r="J8712" s="5"/>
      <c r="K8712" s="5"/>
      <c r="L8712" s="5"/>
      <c r="M8712" s="5"/>
      <c r="N8712" s="5"/>
      <c r="O8712" s="5"/>
      <c r="P8712" s="5"/>
      <c r="Q8712" s="5"/>
      <c r="R8712" s="5"/>
      <c r="S8712" s="5"/>
      <c r="T8712" s="5"/>
      <c r="U8712" s="5"/>
      <c r="V8712" s="5"/>
      <c r="W8712" s="5"/>
      <c r="X8712" s="5"/>
      <c r="Y8712" s="5"/>
      <c r="Z8712" s="5"/>
    </row>
    <row r="8713" spans="1:26" ht="15" x14ac:dyDescent="0.25">
      <c r="A8713" s="4" t="s">
        <v>8711</v>
      </c>
      <c r="B8713" s="4" t="s">
        <v>4550</v>
      </c>
      <c r="C8713" s="2" t="str">
        <f ca="1">IFERROR(__xludf.DUMMYFUNCTION("GOOGLETRANSLATE(A8713,""bn"",""en"")"),"I liked the tragedy series")</f>
        <v>I liked the tragedy series</v>
      </c>
      <c r="D8713" s="5"/>
      <c r="E8713" s="5"/>
      <c r="F8713" s="5"/>
      <c r="G8713" s="5"/>
      <c r="H8713" s="5"/>
      <c r="I8713" s="5"/>
      <c r="J8713" s="5"/>
      <c r="K8713" s="5"/>
      <c r="L8713" s="5"/>
      <c r="M8713" s="5"/>
      <c r="N8713" s="5"/>
      <c r="O8713" s="5"/>
      <c r="P8713" s="5"/>
      <c r="Q8713" s="5"/>
      <c r="R8713" s="5"/>
      <c r="S8713" s="5"/>
      <c r="T8713" s="5"/>
      <c r="U8713" s="5"/>
      <c r="V8713" s="5"/>
      <c r="W8713" s="5"/>
      <c r="X8713" s="5"/>
      <c r="Y8713" s="5"/>
      <c r="Z8713" s="5"/>
    </row>
    <row r="8714" spans="1:26" ht="15" x14ac:dyDescent="0.25">
      <c r="A8714" s="4" t="s">
        <v>8712</v>
      </c>
      <c r="B8714" s="4" t="s">
        <v>4550</v>
      </c>
      <c r="C8714" s="2" t="str">
        <f ca="1">IFERROR(__xludf.DUMMYFUNCTION("GOOGLETRANSLATE(A8714,""bn"",""en"")"),"Karim was running an online business")</f>
        <v>Karim was running an online business</v>
      </c>
      <c r="D8714" s="5"/>
      <c r="E8714" s="5"/>
      <c r="F8714" s="5"/>
      <c r="G8714" s="5"/>
      <c r="H8714" s="5"/>
      <c r="I8714" s="5"/>
      <c r="J8714" s="5"/>
      <c r="K8714" s="5"/>
      <c r="L8714" s="5"/>
      <c r="M8714" s="5"/>
      <c r="N8714" s="5"/>
      <c r="O8714" s="5"/>
      <c r="P8714" s="5"/>
      <c r="Q8714" s="5"/>
      <c r="R8714" s="5"/>
      <c r="S8714" s="5"/>
      <c r="T8714" s="5"/>
      <c r="U8714" s="5"/>
      <c r="V8714" s="5"/>
      <c r="W8714" s="5"/>
      <c r="X8714" s="5"/>
      <c r="Y8714" s="5"/>
      <c r="Z8714" s="5"/>
    </row>
    <row r="8715" spans="1:26" ht="15" x14ac:dyDescent="0.25">
      <c r="A8715" s="4" t="s">
        <v>8713</v>
      </c>
      <c r="B8715" s="4" t="s">
        <v>4550</v>
      </c>
      <c r="C8715" s="2" t="str">
        <f ca="1">IFERROR(__xludf.DUMMYFUNCTION("GOOGLETRANSLATE(A8715,""bn"",""en"")"),"Students could show interest in studies")</f>
        <v>Students could show interest in studies</v>
      </c>
      <c r="D8715" s="5"/>
      <c r="E8715" s="5"/>
      <c r="F8715" s="5"/>
      <c r="G8715" s="5"/>
      <c r="H8715" s="5"/>
      <c r="I8715" s="5"/>
      <c r="J8715" s="5"/>
      <c r="K8715" s="5"/>
      <c r="L8715" s="5"/>
      <c r="M8715" s="5"/>
      <c r="N8715" s="5"/>
      <c r="O8715" s="5"/>
      <c r="P8715" s="5"/>
      <c r="Q8715" s="5"/>
      <c r="R8715" s="5"/>
      <c r="S8715" s="5"/>
      <c r="T8715" s="5"/>
      <c r="U8715" s="5"/>
      <c r="V8715" s="5"/>
      <c r="W8715" s="5"/>
      <c r="X8715" s="5"/>
      <c r="Y8715" s="5"/>
      <c r="Z8715" s="5"/>
    </row>
    <row r="8716" spans="1:26" ht="15" x14ac:dyDescent="0.25">
      <c r="A8716" s="4" t="s">
        <v>8714</v>
      </c>
      <c r="B8716" s="4" t="s">
        <v>4550</v>
      </c>
      <c r="C8716" s="2" t="str">
        <f ca="1">IFERROR(__xludf.DUMMYFUNCTION("GOOGLETRANSLATE(A8716,""bn"",""en"")"),"There were clubs for playing archery")</f>
        <v>There were clubs for playing archery</v>
      </c>
      <c r="D8716" s="5"/>
      <c r="E8716" s="5"/>
      <c r="F8716" s="5"/>
      <c r="G8716" s="5"/>
      <c r="H8716" s="5"/>
      <c r="I8716" s="5"/>
      <c r="J8716" s="5"/>
      <c r="K8716" s="5"/>
      <c r="L8716" s="5"/>
      <c r="M8716" s="5"/>
      <c r="N8716" s="5"/>
      <c r="O8716" s="5"/>
      <c r="P8716" s="5"/>
      <c r="Q8716" s="5"/>
      <c r="R8716" s="5"/>
      <c r="S8716" s="5"/>
      <c r="T8716" s="5"/>
      <c r="U8716" s="5"/>
      <c r="V8716" s="5"/>
      <c r="W8716" s="5"/>
      <c r="X8716" s="5"/>
      <c r="Y8716" s="5"/>
      <c r="Z8716" s="5"/>
    </row>
    <row r="8717" spans="1:26" ht="15" x14ac:dyDescent="0.25">
      <c r="A8717" s="4" t="s">
        <v>8715</v>
      </c>
      <c r="B8717" s="4" t="s">
        <v>4550</v>
      </c>
      <c r="C8717" s="2" t="str">
        <f ca="1">IFERROR(__xludf.DUMMYFUNCTION("GOOGLETRANSLATE(A8717,""bn"",""en"")"),"I was interested in science and engineering")</f>
        <v>I was interested in science and engineering</v>
      </c>
      <c r="D8717" s="5"/>
      <c r="E8717" s="5"/>
      <c r="F8717" s="5"/>
      <c r="G8717" s="5"/>
      <c r="H8717" s="5"/>
      <c r="I8717" s="5"/>
      <c r="J8717" s="5"/>
      <c r="K8717" s="5"/>
      <c r="L8717" s="5"/>
      <c r="M8717" s="5"/>
      <c r="N8717" s="5"/>
      <c r="O8717" s="5"/>
      <c r="P8717" s="5"/>
      <c r="Q8717" s="5"/>
      <c r="R8717" s="5"/>
      <c r="S8717" s="5"/>
      <c r="T8717" s="5"/>
      <c r="U8717" s="5"/>
      <c r="V8717" s="5"/>
      <c r="W8717" s="5"/>
      <c r="X8717" s="5"/>
      <c r="Y8717" s="5"/>
      <c r="Z8717" s="5"/>
    </row>
    <row r="8718" spans="1:26" ht="15" x14ac:dyDescent="0.25">
      <c r="A8718" s="4" t="s">
        <v>8716</v>
      </c>
      <c r="B8718" s="4" t="s">
        <v>4550</v>
      </c>
      <c r="C8718" s="2" t="str">
        <f ca="1">IFERROR(__xludf.DUMMYFUNCTION("GOOGLETRANSLATE(A8718,""bn"",""en"")"),"I bought internet to play computer games")</f>
        <v>I bought internet to play computer games</v>
      </c>
      <c r="D8718" s="5"/>
      <c r="E8718" s="5"/>
      <c r="F8718" s="5"/>
      <c r="G8718" s="5"/>
      <c r="H8718" s="5"/>
      <c r="I8718" s="5"/>
      <c r="J8718" s="5"/>
      <c r="K8718" s="5"/>
      <c r="L8718" s="5"/>
      <c r="M8718" s="5"/>
      <c r="N8718" s="5"/>
      <c r="O8718" s="5"/>
      <c r="P8718" s="5"/>
      <c r="Q8718" s="5"/>
      <c r="R8718" s="5"/>
      <c r="S8718" s="5"/>
      <c r="T8718" s="5"/>
      <c r="U8718" s="5"/>
      <c r="V8718" s="5"/>
      <c r="W8718" s="5"/>
      <c r="X8718" s="5"/>
      <c r="Y8718" s="5"/>
      <c r="Z8718" s="5"/>
    </row>
    <row r="8719" spans="1:26" ht="15" x14ac:dyDescent="0.25">
      <c r="A8719" s="4" t="s">
        <v>8717</v>
      </c>
      <c r="B8719" s="4" t="s">
        <v>4550</v>
      </c>
      <c r="C8719" s="2" t="str">
        <f ca="1">IFERROR(__xludf.DUMMYFUNCTION("GOOGLETRANSLATE(A8719,""bn"",""en"")"),"I easily emailed them")</f>
        <v>I easily emailed them</v>
      </c>
      <c r="D8719" s="5"/>
      <c r="E8719" s="5"/>
      <c r="F8719" s="5"/>
      <c r="G8719" s="5"/>
      <c r="H8719" s="5"/>
      <c r="I8719" s="5"/>
      <c r="J8719" s="5"/>
      <c r="K8719" s="5"/>
      <c r="L8719" s="5"/>
      <c r="M8719" s="5"/>
      <c r="N8719" s="5"/>
      <c r="O8719" s="5"/>
      <c r="P8719" s="5"/>
      <c r="Q8719" s="5"/>
      <c r="R8719" s="5"/>
      <c r="S8719" s="5"/>
      <c r="T8719" s="5"/>
      <c r="U8719" s="5"/>
      <c r="V8719" s="5"/>
      <c r="W8719" s="5"/>
      <c r="X8719" s="5"/>
      <c r="Y8719" s="5"/>
      <c r="Z8719" s="5"/>
    </row>
    <row r="8720" spans="1:26" ht="15" x14ac:dyDescent="0.25">
      <c r="A8720" s="4" t="s">
        <v>8718</v>
      </c>
      <c r="B8720" s="4" t="s">
        <v>4550</v>
      </c>
      <c r="C8720" s="2" t="str">
        <f ca="1">IFERROR(__xludf.DUMMYFUNCTION("GOOGLETRANSLATE(A8720,""bn"",""en"")"),"In the game of rugby, the players were constantly running")</f>
        <v>In the game of rugby, the players were constantly running</v>
      </c>
      <c r="D8720" s="5"/>
      <c r="E8720" s="5"/>
      <c r="F8720" s="5"/>
      <c r="G8720" s="5"/>
      <c r="H8720" s="5"/>
      <c r="I8720" s="5"/>
      <c r="J8720" s="5"/>
      <c r="K8720" s="5"/>
      <c r="L8720" s="5"/>
      <c r="M8720" s="5"/>
      <c r="N8720" s="5"/>
      <c r="O8720" s="5"/>
      <c r="P8720" s="5"/>
      <c r="Q8720" s="5"/>
      <c r="R8720" s="5"/>
      <c r="S8720" s="5"/>
      <c r="T8720" s="5"/>
      <c r="U8720" s="5"/>
      <c r="V8720" s="5"/>
      <c r="W8720" s="5"/>
      <c r="X8720" s="5"/>
      <c r="Y8720" s="5"/>
      <c r="Z8720" s="5"/>
    </row>
    <row r="8721" spans="1:26" ht="15" x14ac:dyDescent="0.25">
      <c r="A8721" s="4" t="s">
        <v>8719</v>
      </c>
      <c r="B8721" s="4" t="s">
        <v>4550</v>
      </c>
      <c r="C8721" s="2" t="str">
        <f ca="1">IFERROR(__xludf.DUMMYFUNCTION("GOOGLETRANSLATE(A8721,""bn"",""en"")"),"We all watched the news on television")</f>
        <v>We all watched the news on television</v>
      </c>
      <c r="D8721" s="5"/>
      <c r="E8721" s="5"/>
      <c r="F8721" s="5"/>
      <c r="G8721" s="5"/>
      <c r="H8721" s="5"/>
      <c r="I8721" s="5"/>
      <c r="J8721" s="5"/>
      <c r="K8721" s="5"/>
      <c r="L8721" s="5"/>
      <c r="M8721" s="5"/>
      <c r="N8721" s="5"/>
      <c r="O8721" s="5"/>
      <c r="P8721" s="5"/>
      <c r="Q8721" s="5"/>
      <c r="R8721" s="5"/>
      <c r="S8721" s="5"/>
      <c r="T8721" s="5"/>
      <c r="U8721" s="5"/>
      <c r="V8721" s="5"/>
      <c r="W8721" s="5"/>
      <c r="X8721" s="5"/>
      <c r="Y8721" s="5"/>
      <c r="Z8721" s="5"/>
    </row>
    <row r="8722" spans="1:26" ht="15" x14ac:dyDescent="0.25">
      <c r="A8722" s="4" t="s">
        <v>8720</v>
      </c>
      <c r="B8722" s="4" t="s">
        <v>4550</v>
      </c>
      <c r="C8722" s="2" t="str">
        <f ca="1">IFERROR(__xludf.DUMMYFUNCTION("GOOGLETRANSLATE(A8722,""bn"",""en"")"),"I wanted to open shares in this bank")</f>
        <v>I wanted to open shares in this bank</v>
      </c>
      <c r="D8722" s="5"/>
      <c r="E8722" s="5"/>
      <c r="F8722" s="5"/>
      <c r="G8722" s="5"/>
      <c r="H8722" s="5"/>
      <c r="I8722" s="5"/>
      <c r="J8722" s="5"/>
      <c r="K8722" s="5"/>
      <c r="L8722" s="5"/>
      <c r="M8722" s="5"/>
      <c r="N8722" s="5"/>
      <c r="O8722" s="5"/>
      <c r="P8722" s="5"/>
      <c r="Q8722" s="5"/>
      <c r="R8722" s="5"/>
      <c r="S8722" s="5"/>
      <c r="T8722" s="5"/>
      <c r="U8722" s="5"/>
      <c r="V8722" s="5"/>
      <c r="W8722" s="5"/>
      <c r="X8722" s="5"/>
      <c r="Y8722" s="5"/>
      <c r="Z8722" s="5"/>
    </row>
    <row r="8723" spans="1:26" ht="15" x14ac:dyDescent="0.25">
      <c r="A8723" s="4" t="s">
        <v>8721</v>
      </c>
      <c r="B8723" s="4" t="s">
        <v>4550</v>
      </c>
      <c r="C8723" s="2" t="str">
        <f ca="1">IFERROR(__xludf.DUMMYFUNCTION("GOOGLETRANSLATE(A8723,""bn"",""en"")"),"The story of the movie made me think")</f>
        <v>The story of the movie made me think</v>
      </c>
      <c r="D8723" s="5"/>
      <c r="E8723" s="5"/>
      <c r="F8723" s="5"/>
      <c r="G8723" s="5"/>
      <c r="H8723" s="5"/>
      <c r="I8723" s="5"/>
      <c r="J8723" s="5"/>
      <c r="K8723" s="5"/>
      <c r="L8723" s="5"/>
      <c r="M8723" s="5"/>
      <c r="N8723" s="5"/>
      <c r="O8723" s="5"/>
      <c r="P8723" s="5"/>
      <c r="Q8723" s="5"/>
      <c r="R8723" s="5"/>
      <c r="S8723" s="5"/>
      <c r="T8723" s="5"/>
      <c r="U8723" s="5"/>
      <c r="V8723" s="5"/>
      <c r="W8723" s="5"/>
      <c r="X8723" s="5"/>
      <c r="Y8723" s="5"/>
      <c r="Z8723" s="5"/>
    </row>
    <row r="8724" spans="1:26" ht="15" x14ac:dyDescent="0.25">
      <c r="A8724" s="4" t="s">
        <v>8722</v>
      </c>
      <c r="B8724" s="4" t="s">
        <v>4550</v>
      </c>
      <c r="C8724" s="2" t="str">
        <f ca="1">IFERROR(__xludf.DUMMYFUNCTION("GOOGLETRANSLATE(A8724,""bn"",""en"")"),"The characters seemed very mysterious")</f>
        <v>The characters seemed very mysterious</v>
      </c>
      <c r="D8724" s="5"/>
      <c r="E8724" s="5"/>
      <c r="F8724" s="5"/>
      <c r="G8724" s="5"/>
      <c r="H8724" s="5"/>
      <c r="I8724" s="5"/>
      <c r="J8724" s="5"/>
      <c r="K8724" s="5"/>
      <c r="L8724" s="5"/>
      <c r="M8724" s="5"/>
      <c r="N8724" s="5"/>
      <c r="O8724" s="5"/>
      <c r="P8724" s="5"/>
      <c r="Q8724" s="5"/>
      <c r="R8724" s="5"/>
      <c r="S8724" s="5"/>
      <c r="T8724" s="5"/>
      <c r="U8724" s="5"/>
      <c r="V8724" s="5"/>
      <c r="W8724" s="5"/>
      <c r="X8724" s="5"/>
      <c r="Y8724" s="5"/>
      <c r="Z8724" s="5"/>
    </row>
    <row r="8725" spans="1:26" ht="15" x14ac:dyDescent="0.25">
      <c r="A8725" s="4" t="s">
        <v>8723</v>
      </c>
      <c r="B8725" s="4" t="s">
        <v>4550</v>
      </c>
      <c r="C8725" s="2" t="str">
        <f ca="1">IFERROR(__xludf.DUMMYFUNCTION("GOOGLETRANSLATE(A8725,""bn"",""en"")"),"I was using a new gadget")</f>
        <v>I was using a new gadget</v>
      </c>
      <c r="D8725" s="5"/>
      <c r="E8725" s="5"/>
      <c r="F8725" s="5"/>
      <c r="G8725" s="5"/>
      <c r="H8725" s="5"/>
      <c r="I8725" s="5"/>
      <c r="J8725" s="5"/>
      <c r="K8725" s="5"/>
      <c r="L8725" s="5"/>
      <c r="M8725" s="5"/>
      <c r="N8725" s="5"/>
      <c r="O8725" s="5"/>
      <c r="P8725" s="5"/>
      <c r="Q8725" s="5"/>
      <c r="R8725" s="5"/>
      <c r="S8725" s="5"/>
      <c r="T8725" s="5"/>
      <c r="U8725" s="5"/>
      <c r="V8725" s="5"/>
      <c r="W8725" s="5"/>
      <c r="X8725" s="5"/>
      <c r="Y8725" s="5"/>
      <c r="Z8725" s="5"/>
    </row>
    <row r="8726" spans="1:26" ht="15" x14ac:dyDescent="0.25">
      <c r="A8726" s="4" t="s">
        <v>8724</v>
      </c>
      <c r="B8726" s="4" t="s">
        <v>4550</v>
      </c>
      <c r="C8726" s="2" t="str">
        <f ca="1">IFERROR(__xludf.DUMMYFUNCTION("GOOGLETRANSLATE(A8726,""bn"",""en"")"),"The traveler was traveling at leisure")</f>
        <v>The traveler was traveling at leisure</v>
      </c>
      <c r="D8726" s="5"/>
      <c r="E8726" s="5"/>
      <c r="F8726" s="5"/>
      <c r="G8726" s="5"/>
      <c r="H8726" s="5"/>
      <c r="I8726" s="5"/>
      <c r="J8726" s="5"/>
      <c r="K8726" s="5"/>
      <c r="L8726" s="5"/>
      <c r="M8726" s="5"/>
      <c r="N8726" s="5"/>
      <c r="O8726" s="5"/>
      <c r="P8726" s="5"/>
      <c r="Q8726" s="5"/>
      <c r="R8726" s="5"/>
      <c r="S8726" s="5"/>
      <c r="T8726" s="5"/>
      <c r="U8726" s="5"/>
      <c r="V8726" s="5"/>
      <c r="W8726" s="5"/>
      <c r="X8726" s="5"/>
      <c r="Y8726" s="5"/>
      <c r="Z8726" s="5"/>
    </row>
    <row r="8727" spans="1:26" ht="15" x14ac:dyDescent="0.25">
      <c r="A8727" s="4" t="s">
        <v>8725</v>
      </c>
      <c r="B8727" s="4" t="s">
        <v>4550</v>
      </c>
      <c r="C8727" s="2" t="str">
        <f ca="1">IFERROR(__xludf.DUMMYFUNCTION("GOOGLETRANSLATE(A8727,""bn"",""en"")"),"I saw many exhibits at the science fair")</f>
        <v>I saw many exhibits at the science fair</v>
      </c>
      <c r="D8727" s="5"/>
      <c r="E8727" s="5"/>
      <c r="F8727" s="5"/>
      <c r="G8727" s="5"/>
      <c r="H8727" s="5"/>
      <c r="I8727" s="5"/>
      <c r="J8727" s="5"/>
      <c r="K8727" s="5"/>
      <c r="L8727" s="5"/>
      <c r="M8727" s="5"/>
      <c r="N8727" s="5"/>
      <c r="O8727" s="5"/>
      <c r="P8727" s="5"/>
      <c r="Q8727" s="5"/>
      <c r="R8727" s="5"/>
      <c r="S8727" s="5"/>
      <c r="T8727" s="5"/>
      <c r="U8727" s="5"/>
      <c r="V8727" s="5"/>
      <c r="W8727" s="5"/>
      <c r="X8727" s="5"/>
      <c r="Y8727" s="5"/>
      <c r="Z8727" s="5"/>
    </row>
    <row r="8728" spans="1:26" ht="15" x14ac:dyDescent="0.25">
      <c r="A8728" s="4" t="s">
        <v>8726</v>
      </c>
      <c r="B8728" s="4" t="s">
        <v>4550</v>
      </c>
      <c r="C8728" s="2" t="str">
        <f ca="1">IFERROR(__xludf.DUMMYFUNCTION("GOOGLETRANSLATE(A8728,""bn"",""en"")"),"I used the new bluetooth")</f>
        <v>I used the new bluetooth</v>
      </c>
      <c r="D8728" s="5"/>
      <c r="E8728" s="5"/>
      <c r="F8728" s="5"/>
      <c r="G8728" s="5"/>
      <c r="H8728" s="5"/>
      <c r="I8728" s="5"/>
      <c r="J8728" s="5"/>
      <c r="K8728" s="5"/>
      <c r="L8728" s="5"/>
      <c r="M8728" s="5"/>
      <c r="N8728" s="5"/>
      <c r="O8728" s="5"/>
      <c r="P8728" s="5"/>
      <c r="Q8728" s="5"/>
      <c r="R8728" s="5"/>
      <c r="S8728" s="5"/>
      <c r="T8728" s="5"/>
      <c r="U8728" s="5"/>
      <c r="V8728" s="5"/>
      <c r="W8728" s="5"/>
      <c r="X8728" s="5"/>
      <c r="Y8728" s="5"/>
      <c r="Z8728" s="5"/>
    </row>
    <row r="8729" spans="1:26" ht="15" x14ac:dyDescent="0.25">
      <c r="A8729" s="4" t="s">
        <v>8727</v>
      </c>
      <c r="B8729" s="4" t="s">
        <v>4550</v>
      </c>
      <c r="C8729" s="2" t="str">
        <f ca="1">IFERROR(__xludf.DUMMYFUNCTION("GOOGLETRANSLATE(A8729,""bn"",""en"")"),"Time seemed precious then")</f>
        <v>Time seemed precious then</v>
      </c>
      <c r="D8729" s="5"/>
      <c r="E8729" s="5"/>
      <c r="F8729" s="5"/>
      <c r="G8729" s="5"/>
      <c r="H8729" s="5"/>
      <c r="I8729" s="5"/>
      <c r="J8729" s="5"/>
      <c r="K8729" s="5"/>
      <c r="L8729" s="5"/>
      <c r="M8729" s="5"/>
      <c r="N8729" s="5"/>
      <c r="O8729" s="5"/>
      <c r="P8729" s="5"/>
      <c r="Q8729" s="5"/>
      <c r="R8729" s="5"/>
      <c r="S8729" s="5"/>
      <c r="T8729" s="5"/>
      <c r="U8729" s="5"/>
      <c r="V8729" s="5"/>
      <c r="W8729" s="5"/>
      <c r="X8729" s="5"/>
      <c r="Y8729" s="5"/>
      <c r="Z8729" s="5"/>
    </row>
    <row r="8730" spans="1:26" ht="15" x14ac:dyDescent="0.25">
      <c r="A8730" s="4" t="s">
        <v>8728</v>
      </c>
      <c r="B8730" s="4" t="s">
        <v>4550</v>
      </c>
      <c r="C8730" s="2" t="str">
        <f ca="1">IFERROR(__xludf.DUMMYFUNCTION("GOOGLETRANSLATE(A8730,""bn"",""en"")"),"They were talking against each other")</f>
        <v>They were talking against each other</v>
      </c>
      <c r="D8730" s="5"/>
      <c r="E8730" s="5"/>
      <c r="F8730" s="5"/>
      <c r="G8730" s="5"/>
      <c r="H8730" s="5"/>
      <c r="I8730" s="5"/>
      <c r="J8730" s="5"/>
      <c r="K8730" s="5"/>
      <c r="L8730" s="5"/>
      <c r="M8730" s="5"/>
      <c r="N8730" s="5"/>
      <c r="O8730" s="5"/>
      <c r="P8730" s="5"/>
      <c r="Q8730" s="5"/>
      <c r="R8730" s="5"/>
      <c r="S8730" s="5"/>
      <c r="T8730" s="5"/>
      <c r="U8730" s="5"/>
      <c r="V8730" s="5"/>
      <c r="W8730" s="5"/>
      <c r="X8730" s="5"/>
      <c r="Y8730" s="5"/>
      <c r="Z8730" s="5"/>
    </row>
    <row r="8731" spans="1:26" ht="15" x14ac:dyDescent="0.25">
      <c r="A8731" s="4" t="s">
        <v>8729</v>
      </c>
      <c r="B8731" s="4" t="s">
        <v>4550</v>
      </c>
      <c r="C8731" s="2" t="str">
        <f ca="1">IFERROR(__xludf.DUMMYFUNCTION("GOOGLETRANSLATE(A8731,""bn"",""en"")"),"It was the beloved ghost film")</f>
        <v>It was the beloved ghost film</v>
      </c>
      <c r="D8731" s="5"/>
      <c r="E8731" s="5"/>
      <c r="F8731" s="5"/>
      <c r="G8731" s="5"/>
      <c r="H8731" s="5"/>
      <c r="I8731" s="5"/>
      <c r="J8731" s="5"/>
      <c r="K8731" s="5"/>
      <c r="L8731" s="5"/>
      <c r="M8731" s="5"/>
      <c r="N8731" s="5"/>
      <c r="O8731" s="5"/>
      <c r="P8731" s="5"/>
      <c r="Q8731" s="5"/>
      <c r="R8731" s="5"/>
      <c r="S8731" s="5"/>
      <c r="T8731" s="5"/>
      <c r="U8731" s="5"/>
      <c r="V8731" s="5"/>
      <c r="W8731" s="5"/>
      <c r="X8731" s="5"/>
      <c r="Y8731" s="5"/>
      <c r="Z8731" s="5"/>
    </row>
    <row r="8732" spans="1:26" ht="15" x14ac:dyDescent="0.25">
      <c r="A8732" s="4" t="s">
        <v>8730</v>
      </c>
      <c r="B8732" s="4" t="s">
        <v>4550</v>
      </c>
      <c r="C8732" s="2" t="str">
        <f ca="1">IFERROR(__xludf.DUMMYFUNCTION("GOOGLETRANSLATE(A8732,""bn"",""en"")"),"We were all looking for seashells")</f>
        <v>We were all looking for seashells</v>
      </c>
      <c r="D8732" s="5"/>
      <c r="E8732" s="5"/>
      <c r="F8732" s="5"/>
      <c r="G8732" s="5"/>
      <c r="H8732" s="5"/>
      <c r="I8732" s="5"/>
      <c r="J8732" s="5"/>
      <c r="K8732" s="5"/>
      <c r="L8732" s="5"/>
      <c r="M8732" s="5"/>
      <c r="N8732" s="5"/>
      <c r="O8732" s="5"/>
      <c r="P8732" s="5"/>
      <c r="Q8732" s="5"/>
      <c r="R8732" s="5"/>
      <c r="S8732" s="5"/>
      <c r="T8732" s="5"/>
      <c r="U8732" s="5"/>
      <c r="V8732" s="5"/>
      <c r="W8732" s="5"/>
      <c r="X8732" s="5"/>
      <c r="Y8732" s="5"/>
      <c r="Z8732" s="5"/>
    </row>
    <row r="8733" spans="1:26" ht="15" x14ac:dyDescent="0.25">
      <c r="A8733" s="4" t="s">
        <v>8731</v>
      </c>
      <c r="B8733" s="4" t="s">
        <v>4550</v>
      </c>
      <c r="C8733" s="2" t="str">
        <f ca="1">IFERROR(__xludf.DUMMYFUNCTION("GOOGLETRANSLATE(A8733,""bn"",""en"")"),"Students were performing well in hard work")</f>
        <v>Students were performing well in hard work</v>
      </c>
      <c r="D8733" s="5"/>
      <c r="E8733" s="5"/>
      <c r="F8733" s="5"/>
      <c r="G8733" s="5"/>
      <c r="H8733" s="5"/>
      <c r="I8733" s="5"/>
      <c r="J8733" s="5"/>
      <c r="K8733" s="5"/>
      <c r="L8733" s="5"/>
      <c r="M8733" s="5"/>
      <c r="N8733" s="5"/>
      <c r="O8733" s="5"/>
      <c r="P8733" s="5"/>
      <c r="Q8733" s="5"/>
      <c r="R8733" s="5"/>
      <c r="S8733" s="5"/>
      <c r="T8733" s="5"/>
      <c r="U8733" s="5"/>
      <c r="V8733" s="5"/>
      <c r="W8733" s="5"/>
      <c r="X8733" s="5"/>
      <c r="Y8733" s="5"/>
      <c r="Z8733" s="5"/>
    </row>
    <row r="8734" spans="1:26" ht="15" x14ac:dyDescent="0.25">
      <c r="A8734" s="4" t="s">
        <v>8732</v>
      </c>
      <c r="B8734" s="4" t="s">
        <v>4550</v>
      </c>
      <c r="C8734" s="2" t="str">
        <f ca="1">IFERROR(__xludf.DUMMYFUNCTION("GOOGLETRANSLATE(A8734,""bn"",""en"")"),"I used WebWriter")</f>
        <v>I used WebWriter</v>
      </c>
      <c r="D8734" s="5"/>
      <c r="E8734" s="5"/>
      <c r="F8734" s="5"/>
      <c r="G8734" s="5"/>
      <c r="H8734" s="5"/>
      <c r="I8734" s="5"/>
      <c r="J8734" s="5"/>
      <c r="K8734" s="5"/>
      <c r="L8734" s="5"/>
      <c r="M8734" s="5"/>
      <c r="N8734" s="5"/>
      <c r="O8734" s="5"/>
      <c r="P8734" s="5"/>
      <c r="Q8734" s="5"/>
      <c r="R8734" s="5"/>
      <c r="S8734" s="5"/>
      <c r="T8734" s="5"/>
      <c r="U8734" s="5"/>
      <c r="V8734" s="5"/>
      <c r="W8734" s="5"/>
      <c r="X8734" s="5"/>
      <c r="Y8734" s="5"/>
      <c r="Z8734" s="5"/>
    </row>
    <row r="8735" spans="1:26" ht="15" x14ac:dyDescent="0.25">
      <c r="A8735" s="4" t="s">
        <v>8733</v>
      </c>
      <c r="B8735" s="4" t="s">
        <v>4550</v>
      </c>
      <c r="C8735" s="2" t="str">
        <f ca="1">IFERROR(__xludf.DUMMYFUNCTION("GOOGLETRANSLATE(A8735,""bn"",""en"")"),"He worked hard and got good results")</f>
        <v>He worked hard and got good results</v>
      </c>
      <c r="D8735" s="5"/>
      <c r="E8735" s="5"/>
      <c r="F8735" s="5"/>
      <c r="G8735" s="5"/>
      <c r="H8735" s="5"/>
      <c r="I8735" s="5"/>
      <c r="J8735" s="5"/>
      <c r="K8735" s="5"/>
      <c r="L8735" s="5"/>
      <c r="M8735" s="5"/>
      <c r="N8735" s="5"/>
      <c r="O8735" s="5"/>
      <c r="P8735" s="5"/>
      <c r="Q8735" s="5"/>
      <c r="R8735" s="5"/>
      <c r="S8735" s="5"/>
      <c r="T8735" s="5"/>
      <c r="U8735" s="5"/>
      <c r="V8735" s="5"/>
      <c r="W8735" s="5"/>
      <c r="X8735" s="5"/>
      <c r="Y8735" s="5"/>
      <c r="Z8735" s="5"/>
    </row>
    <row r="8736" spans="1:26" ht="15" x14ac:dyDescent="0.25">
      <c r="A8736" s="4" t="s">
        <v>8734</v>
      </c>
      <c r="B8736" s="4" t="s">
        <v>4550</v>
      </c>
      <c r="C8736" s="2" t="str">
        <f ca="1">IFERROR(__xludf.DUMMYFUNCTION("GOOGLETRANSLATE(A8736,""bn"",""en"")"),"I was studying a lot to get a job")</f>
        <v>I was studying a lot to get a job</v>
      </c>
      <c r="D8736" s="5"/>
      <c r="E8736" s="5"/>
      <c r="F8736" s="5"/>
      <c r="G8736" s="5"/>
      <c r="H8736" s="5"/>
      <c r="I8736" s="5"/>
      <c r="J8736" s="5"/>
      <c r="K8736" s="5"/>
      <c r="L8736" s="5"/>
      <c r="M8736" s="5"/>
      <c r="N8736" s="5"/>
      <c r="O8736" s="5"/>
      <c r="P8736" s="5"/>
      <c r="Q8736" s="5"/>
      <c r="R8736" s="5"/>
      <c r="S8736" s="5"/>
      <c r="T8736" s="5"/>
      <c r="U8736" s="5"/>
      <c r="V8736" s="5"/>
      <c r="W8736" s="5"/>
      <c r="X8736" s="5"/>
      <c r="Y8736" s="5"/>
      <c r="Z8736" s="5"/>
    </row>
    <row r="8737" spans="1:26" ht="15" x14ac:dyDescent="0.25">
      <c r="A8737" s="4" t="s">
        <v>8735</v>
      </c>
      <c r="B8737" s="4" t="s">
        <v>4550</v>
      </c>
      <c r="C8737" s="2" t="str">
        <f ca="1">IFERROR(__xludf.DUMMYFUNCTION("GOOGLETRANSLATE(A8737,""bn"",""en"")"),"The island carried heavenly beauty")</f>
        <v>The island carried heavenly beauty</v>
      </c>
      <c r="D8737" s="5"/>
      <c r="E8737" s="5"/>
      <c r="F8737" s="5"/>
      <c r="G8737" s="5"/>
      <c r="H8737" s="5"/>
      <c r="I8737" s="5"/>
      <c r="J8737" s="5"/>
      <c r="K8737" s="5"/>
      <c r="L8737" s="5"/>
      <c r="M8737" s="5"/>
      <c r="N8737" s="5"/>
      <c r="O8737" s="5"/>
      <c r="P8737" s="5"/>
      <c r="Q8737" s="5"/>
      <c r="R8737" s="5"/>
      <c r="S8737" s="5"/>
      <c r="T8737" s="5"/>
      <c r="U8737" s="5"/>
      <c r="V8737" s="5"/>
      <c r="W8737" s="5"/>
      <c r="X8737" s="5"/>
      <c r="Y8737" s="5"/>
      <c r="Z8737" s="5"/>
    </row>
    <row r="8738" spans="1:26" ht="15" x14ac:dyDescent="0.25">
      <c r="A8738" s="4" t="s">
        <v>8736</v>
      </c>
      <c r="B8738" s="4" t="s">
        <v>4550</v>
      </c>
      <c r="C8738" s="2" t="str">
        <f ca="1">IFERROR(__xludf.DUMMYFUNCTION("GOOGLETRANSLATE(A8738,""bn"",""en"")"),"People lined up on the beach")</f>
        <v>People lined up on the beach</v>
      </c>
      <c r="D8738" s="5"/>
      <c r="E8738" s="5"/>
      <c r="F8738" s="5"/>
      <c r="G8738" s="5"/>
      <c r="H8738" s="5"/>
      <c r="I8738" s="5"/>
      <c r="J8738" s="5"/>
      <c r="K8738" s="5"/>
      <c r="L8738" s="5"/>
      <c r="M8738" s="5"/>
      <c r="N8738" s="5"/>
      <c r="O8738" s="5"/>
      <c r="P8738" s="5"/>
      <c r="Q8738" s="5"/>
      <c r="R8738" s="5"/>
      <c r="S8738" s="5"/>
      <c r="T8738" s="5"/>
      <c r="U8738" s="5"/>
      <c r="V8738" s="5"/>
      <c r="W8738" s="5"/>
      <c r="X8738" s="5"/>
      <c r="Y8738" s="5"/>
      <c r="Z8738" s="5"/>
    </row>
    <row r="8739" spans="1:26" ht="15" x14ac:dyDescent="0.25">
      <c r="A8739" s="4" t="s">
        <v>8737</v>
      </c>
      <c r="B8739" s="4" t="s">
        <v>4550</v>
      </c>
      <c r="C8739" s="2" t="str">
        <f ca="1">IFERROR(__xludf.DUMMYFUNCTION("GOOGLETRANSLATE(A8739,""bn"",""en"")"),"The government wanted to benefit the generation")</f>
        <v>The government wanted to benefit the generation</v>
      </c>
      <c r="D8739" s="5"/>
      <c r="E8739" s="5"/>
      <c r="F8739" s="5"/>
      <c r="G8739" s="5"/>
      <c r="H8739" s="5"/>
      <c r="I8739" s="5"/>
      <c r="J8739" s="5"/>
      <c r="K8739" s="5"/>
      <c r="L8739" s="5"/>
      <c r="M8739" s="5"/>
      <c r="N8739" s="5"/>
      <c r="O8739" s="5"/>
      <c r="P8739" s="5"/>
      <c r="Q8739" s="5"/>
      <c r="R8739" s="5"/>
      <c r="S8739" s="5"/>
      <c r="T8739" s="5"/>
      <c r="U8739" s="5"/>
      <c r="V8739" s="5"/>
      <c r="W8739" s="5"/>
      <c r="X8739" s="5"/>
      <c r="Y8739" s="5"/>
      <c r="Z8739" s="5"/>
    </row>
    <row r="8740" spans="1:26" ht="15" x14ac:dyDescent="0.25">
      <c r="A8740" s="4" t="s">
        <v>8738</v>
      </c>
      <c r="B8740" s="4" t="s">
        <v>4550</v>
      </c>
      <c r="C8740" s="2" t="str">
        <f ca="1">IFERROR(__xludf.DUMMYFUNCTION("GOOGLETRANSLATE(A8740,""bn"",""en"")"),"I wanted to buy a gadget")</f>
        <v>I wanted to buy a gadget</v>
      </c>
      <c r="D8740" s="5"/>
      <c r="E8740" s="5"/>
      <c r="F8740" s="5"/>
      <c r="G8740" s="5"/>
      <c r="H8740" s="5"/>
      <c r="I8740" s="5"/>
      <c r="J8740" s="5"/>
      <c r="K8740" s="5"/>
      <c r="L8740" s="5"/>
      <c r="M8740" s="5"/>
      <c r="N8740" s="5"/>
      <c r="O8740" s="5"/>
      <c r="P8740" s="5"/>
      <c r="Q8740" s="5"/>
      <c r="R8740" s="5"/>
      <c r="S8740" s="5"/>
      <c r="T8740" s="5"/>
      <c r="U8740" s="5"/>
      <c r="V8740" s="5"/>
      <c r="W8740" s="5"/>
      <c r="X8740" s="5"/>
      <c r="Y8740" s="5"/>
      <c r="Z8740" s="5"/>
    </row>
    <row r="8741" spans="1:26" ht="15" x14ac:dyDescent="0.25">
      <c r="A8741" s="4" t="s">
        <v>8739</v>
      </c>
      <c r="B8741" s="4" t="s">
        <v>4550</v>
      </c>
      <c r="C8741" s="2" t="str">
        <f ca="1">IFERROR(__xludf.DUMMYFUNCTION("GOOGLETRANSLATE(A8741,""bn"",""en"")"),"I saw the game on the new laptop")</f>
        <v>I saw the game on the new laptop</v>
      </c>
      <c r="D8741" s="5"/>
      <c r="E8741" s="5"/>
      <c r="F8741" s="5"/>
      <c r="G8741" s="5"/>
      <c r="H8741" s="5"/>
      <c r="I8741" s="5"/>
      <c r="J8741" s="5"/>
      <c r="K8741" s="5"/>
      <c r="L8741" s="5"/>
      <c r="M8741" s="5"/>
      <c r="N8741" s="5"/>
      <c r="O8741" s="5"/>
      <c r="P8741" s="5"/>
      <c r="Q8741" s="5"/>
      <c r="R8741" s="5"/>
      <c r="S8741" s="5"/>
      <c r="T8741" s="5"/>
      <c r="U8741" s="5"/>
      <c r="V8741" s="5"/>
      <c r="W8741" s="5"/>
      <c r="X8741" s="5"/>
      <c r="Y8741" s="5"/>
      <c r="Z8741" s="5"/>
    </row>
    <row r="8742" spans="1:26" ht="15" x14ac:dyDescent="0.25">
      <c r="A8742" s="4" t="s">
        <v>8740</v>
      </c>
      <c r="B8742" s="4" t="s">
        <v>4550</v>
      </c>
      <c r="C8742" s="2" t="str">
        <f ca="1">IFERROR(__xludf.DUMMYFUNCTION("GOOGLETRANSLATE(A8742,""bn"",""en"")"),"Love was growing by watching the story of the movie")</f>
        <v>Love was growing by watching the story of the movie</v>
      </c>
      <c r="D8742" s="5"/>
      <c r="E8742" s="5"/>
      <c r="F8742" s="5"/>
      <c r="G8742" s="5"/>
      <c r="H8742" s="5"/>
      <c r="I8742" s="5"/>
      <c r="J8742" s="5"/>
      <c r="K8742" s="5"/>
      <c r="L8742" s="5"/>
      <c r="M8742" s="5"/>
      <c r="N8742" s="5"/>
      <c r="O8742" s="5"/>
      <c r="P8742" s="5"/>
      <c r="Q8742" s="5"/>
      <c r="R8742" s="5"/>
      <c r="S8742" s="5"/>
      <c r="T8742" s="5"/>
      <c r="U8742" s="5"/>
      <c r="V8742" s="5"/>
      <c r="W8742" s="5"/>
      <c r="X8742" s="5"/>
      <c r="Y8742" s="5"/>
      <c r="Z8742" s="5"/>
    </row>
    <row r="8743" spans="1:26" ht="15" x14ac:dyDescent="0.25">
      <c r="A8743" s="4" t="s">
        <v>8741</v>
      </c>
      <c r="B8743" s="4" t="s">
        <v>4550</v>
      </c>
      <c r="C8743" s="2" t="str">
        <f ca="1">IFERROR(__xludf.DUMMYFUNCTION("GOOGLETRANSLATE(A8743,""bn"",""en"")"),"I used a new laptop")</f>
        <v>I used a new laptop</v>
      </c>
      <c r="D8743" s="5"/>
      <c r="E8743" s="5"/>
      <c r="F8743" s="5"/>
      <c r="G8743" s="5"/>
      <c r="H8743" s="5"/>
      <c r="I8743" s="5"/>
      <c r="J8743" s="5"/>
      <c r="K8743" s="5"/>
      <c r="L8743" s="5"/>
      <c r="M8743" s="5"/>
      <c r="N8743" s="5"/>
      <c r="O8743" s="5"/>
      <c r="P8743" s="5"/>
      <c r="Q8743" s="5"/>
      <c r="R8743" s="5"/>
      <c r="S8743" s="5"/>
      <c r="T8743" s="5"/>
      <c r="U8743" s="5"/>
      <c r="V8743" s="5"/>
      <c r="W8743" s="5"/>
      <c r="X8743" s="5"/>
      <c r="Y8743" s="5"/>
      <c r="Z8743" s="5"/>
    </row>
    <row r="8744" spans="1:26" ht="15" x14ac:dyDescent="0.25">
      <c r="A8744" s="4" t="s">
        <v>8742</v>
      </c>
      <c r="B8744" s="4" t="s">
        <v>4550</v>
      </c>
      <c r="C8744" s="2" t="str">
        <f ca="1">IFERROR(__xludf.DUMMYFUNCTION("GOOGLETRANSLATE(A8744,""bn"",""en"")"),"I did not get a job despite so much difficulty")</f>
        <v>I did not get a job despite so much difficulty</v>
      </c>
      <c r="D8744" s="5"/>
      <c r="E8744" s="5"/>
      <c r="F8744" s="5"/>
      <c r="G8744" s="5"/>
      <c r="H8744" s="5"/>
      <c r="I8744" s="5"/>
      <c r="J8744" s="5"/>
      <c r="K8744" s="5"/>
      <c r="L8744" s="5"/>
      <c r="M8744" s="5"/>
      <c r="N8744" s="5"/>
      <c r="O8744" s="5"/>
      <c r="P8744" s="5"/>
      <c r="Q8744" s="5"/>
      <c r="R8744" s="5"/>
      <c r="S8744" s="5"/>
      <c r="T8744" s="5"/>
      <c r="U8744" s="5"/>
      <c r="V8744" s="5"/>
      <c r="W8744" s="5"/>
      <c r="X8744" s="5"/>
      <c r="Y8744" s="5"/>
      <c r="Z8744" s="5"/>
    </row>
    <row r="8745" spans="1:26" ht="15" x14ac:dyDescent="0.25">
      <c r="A8745" s="4" t="s">
        <v>8743</v>
      </c>
      <c r="B8745" s="4" t="s">
        <v>4550</v>
      </c>
      <c r="C8745" s="2" t="str">
        <f ca="1">IFERROR(__xludf.DUMMYFUNCTION("GOOGLETRANSLATE(A8745,""bn"",""en"")"),"I was trialling new software")</f>
        <v>I was trialling new software</v>
      </c>
      <c r="D8745" s="5"/>
      <c r="E8745" s="5"/>
      <c r="F8745" s="5"/>
      <c r="G8745" s="5"/>
      <c r="H8745" s="5"/>
      <c r="I8745" s="5"/>
      <c r="J8745" s="5"/>
      <c r="K8745" s="5"/>
      <c r="L8745" s="5"/>
      <c r="M8745" s="5"/>
      <c r="N8745" s="5"/>
      <c r="O8745" s="5"/>
      <c r="P8745" s="5"/>
      <c r="Q8745" s="5"/>
      <c r="R8745" s="5"/>
      <c r="S8745" s="5"/>
      <c r="T8745" s="5"/>
      <c r="U8745" s="5"/>
      <c r="V8745" s="5"/>
      <c r="W8745" s="5"/>
      <c r="X8745" s="5"/>
      <c r="Y8745" s="5"/>
      <c r="Z8745" s="5"/>
    </row>
    <row r="8746" spans="1:26" ht="15" x14ac:dyDescent="0.25">
      <c r="A8746" s="4" t="s">
        <v>8744</v>
      </c>
      <c r="B8746" s="4" t="s">
        <v>4550</v>
      </c>
      <c r="C8746" s="2" t="str">
        <f ca="1">IFERROR(__xludf.DUMMYFUNCTION("GOOGLETRANSLATE(A8746,""bn"",""en"")"),"I was installing new software")</f>
        <v>I was installing new software</v>
      </c>
      <c r="D8746" s="5"/>
      <c r="E8746" s="5"/>
      <c r="F8746" s="5"/>
      <c r="G8746" s="5"/>
      <c r="H8746" s="5"/>
      <c r="I8746" s="5"/>
      <c r="J8746" s="5"/>
      <c r="K8746" s="5"/>
      <c r="L8746" s="5"/>
      <c r="M8746" s="5"/>
      <c r="N8746" s="5"/>
      <c r="O8746" s="5"/>
      <c r="P8746" s="5"/>
      <c r="Q8746" s="5"/>
      <c r="R8746" s="5"/>
      <c r="S8746" s="5"/>
      <c r="T8746" s="5"/>
      <c r="U8746" s="5"/>
      <c r="V8746" s="5"/>
      <c r="W8746" s="5"/>
      <c r="X8746" s="5"/>
      <c r="Y8746" s="5"/>
      <c r="Z8746" s="5"/>
    </row>
    <row r="8747" spans="1:26" ht="15" x14ac:dyDescent="0.25">
      <c r="A8747" s="4" t="s">
        <v>8745</v>
      </c>
      <c r="B8747" s="4" t="s">
        <v>4550</v>
      </c>
      <c r="C8747" s="2" t="str">
        <f ca="1">IFERROR(__xludf.DUMMYFUNCTION("GOOGLETRANSLATE(A8747,""bn"",""en"")"),"I was using the new IoT")</f>
        <v>I was using the new IoT</v>
      </c>
      <c r="D8747" s="5"/>
      <c r="E8747" s="5"/>
      <c r="F8747" s="5"/>
      <c r="G8747" s="5"/>
      <c r="H8747" s="5"/>
      <c r="I8747" s="5"/>
      <c r="J8747" s="5"/>
      <c r="K8747" s="5"/>
      <c r="L8747" s="5"/>
      <c r="M8747" s="5"/>
      <c r="N8747" s="5"/>
      <c r="O8747" s="5"/>
      <c r="P8747" s="5"/>
      <c r="Q8747" s="5"/>
      <c r="R8747" s="5"/>
      <c r="S8747" s="5"/>
      <c r="T8747" s="5"/>
      <c r="U8747" s="5"/>
      <c r="V8747" s="5"/>
      <c r="W8747" s="5"/>
      <c r="X8747" s="5"/>
      <c r="Y8747" s="5"/>
      <c r="Z8747" s="5"/>
    </row>
    <row r="8748" spans="1:26" ht="15" x14ac:dyDescent="0.25">
      <c r="A8748" s="4" t="s">
        <v>8746</v>
      </c>
      <c r="B8748" s="4" t="s">
        <v>4550</v>
      </c>
      <c r="C8748" s="2" t="str">
        <f ca="1">IFERROR(__xludf.DUMMYFUNCTION("GOOGLETRANSLATE(A8748,""bn"",""en"")"),"The oldest mountains were the Alps")</f>
        <v>The oldest mountains were the Alps</v>
      </c>
      <c r="D8748" s="5"/>
      <c r="E8748" s="5"/>
      <c r="F8748" s="5"/>
      <c r="G8748" s="5"/>
      <c r="H8748" s="5"/>
      <c r="I8748" s="5"/>
      <c r="J8748" s="5"/>
      <c r="K8748" s="5"/>
      <c r="L8748" s="5"/>
      <c r="M8748" s="5"/>
      <c r="N8748" s="5"/>
      <c r="O8748" s="5"/>
      <c r="P8748" s="5"/>
      <c r="Q8748" s="5"/>
      <c r="R8748" s="5"/>
      <c r="S8748" s="5"/>
      <c r="T8748" s="5"/>
      <c r="U8748" s="5"/>
      <c r="V8748" s="5"/>
      <c r="W8748" s="5"/>
      <c r="X8748" s="5"/>
      <c r="Y8748" s="5"/>
      <c r="Z8748" s="5"/>
    </row>
    <row r="8749" spans="1:26" ht="15" x14ac:dyDescent="0.25">
      <c r="A8749" s="4" t="s">
        <v>8747</v>
      </c>
      <c r="B8749" s="4" t="s">
        <v>4550</v>
      </c>
      <c r="C8749" s="2" t="str">
        <f ca="1">IFERROR(__xludf.DUMMYFUNCTION("GOOGLETRANSLATE(A8749,""bn"",""en"")"),"We were all doing research together")</f>
        <v>We were all doing research together</v>
      </c>
      <c r="D8749" s="5"/>
      <c r="E8749" s="5"/>
      <c r="F8749" s="5"/>
      <c r="G8749" s="5"/>
      <c r="H8749" s="5"/>
      <c r="I8749" s="5"/>
      <c r="J8749" s="5"/>
      <c r="K8749" s="5"/>
      <c r="L8749" s="5"/>
      <c r="M8749" s="5"/>
      <c r="N8749" s="5"/>
      <c r="O8749" s="5"/>
      <c r="P8749" s="5"/>
      <c r="Q8749" s="5"/>
      <c r="R8749" s="5"/>
      <c r="S8749" s="5"/>
      <c r="T8749" s="5"/>
      <c r="U8749" s="5"/>
      <c r="V8749" s="5"/>
      <c r="W8749" s="5"/>
      <c r="X8749" s="5"/>
      <c r="Y8749" s="5"/>
      <c r="Z8749" s="5"/>
    </row>
    <row r="8750" spans="1:26" ht="15" x14ac:dyDescent="0.25">
      <c r="A8750" s="4" t="s">
        <v>8748</v>
      </c>
      <c r="B8750" s="4" t="s">
        <v>4550</v>
      </c>
      <c r="C8750" s="2" t="str">
        <f ca="1">IFERROR(__xludf.DUMMYFUNCTION("GOOGLETRANSLATE(A8750,""bn"",""en"")"),"I was preparing in this bank")</f>
        <v>I was preparing in this bank</v>
      </c>
      <c r="D8750" s="5"/>
      <c r="E8750" s="5"/>
      <c r="F8750" s="5"/>
      <c r="G8750" s="5"/>
      <c r="H8750" s="5"/>
      <c r="I8750" s="5"/>
      <c r="J8750" s="5"/>
      <c r="K8750" s="5"/>
      <c r="L8750" s="5"/>
      <c r="M8750" s="5"/>
      <c r="N8750" s="5"/>
      <c r="O8750" s="5"/>
      <c r="P8750" s="5"/>
      <c r="Q8750" s="5"/>
      <c r="R8750" s="5"/>
      <c r="S8750" s="5"/>
      <c r="T8750" s="5"/>
      <c r="U8750" s="5"/>
      <c r="V8750" s="5"/>
      <c r="W8750" s="5"/>
      <c r="X8750" s="5"/>
      <c r="Y8750" s="5"/>
      <c r="Z8750" s="5"/>
    </row>
    <row r="8751" spans="1:26" ht="15" x14ac:dyDescent="0.25">
      <c r="A8751" s="4" t="s">
        <v>8749</v>
      </c>
      <c r="B8751" s="4" t="s">
        <v>4550</v>
      </c>
      <c r="C8751" s="2" t="str">
        <f ca="1">IFERROR(__xludf.DUMMYFUNCTION("GOOGLETRANSLATE(A8751,""bn"",""en"")"),"I was taking loan from this bank")</f>
        <v>I was taking loan from this bank</v>
      </c>
      <c r="D8751" s="5"/>
      <c r="E8751" s="5"/>
      <c r="F8751" s="5"/>
      <c r="G8751" s="5"/>
      <c r="H8751" s="5"/>
      <c r="I8751" s="5"/>
      <c r="J8751" s="5"/>
      <c r="K8751" s="5"/>
      <c r="L8751" s="5"/>
      <c r="M8751" s="5"/>
      <c r="N8751" s="5"/>
      <c r="O8751" s="5"/>
      <c r="P8751" s="5"/>
      <c r="Q8751" s="5"/>
      <c r="R8751" s="5"/>
      <c r="S8751" s="5"/>
      <c r="T8751" s="5"/>
      <c r="U8751" s="5"/>
      <c r="V8751" s="5"/>
      <c r="W8751" s="5"/>
      <c r="X8751" s="5"/>
      <c r="Y8751" s="5"/>
      <c r="Z8751" s="5"/>
    </row>
    <row r="8752" spans="1:26" ht="15" x14ac:dyDescent="0.25">
      <c r="A8752" s="4" t="s">
        <v>8750</v>
      </c>
      <c r="B8752" s="4" t="s">
        <v>4550</v>
      </c>
      <c r="C8752" s="2" t="str">
        <f ca="1">IFERROR(__xludf.DUMMYFUNCTION("GOOGLETRANSLATE(A8752,""bn"",""en"")"),"I wanted very good results")</f>
        <v>I wanted very good results</v>
      </c>
      <c r="D8752" s="5"/>
      <c r="E8752" s="5"/>
      <c r="F8752" s="5"/>
      <c r="G8752" s="5"/>
      <c r="H8752" s="5"/>
      <c r="I8752" s="5"/>
      <c r="J8752" s="5"/>
      <c r="K8752" s="5"/>
      <c r="L8752" s="5"/>
      <c r="M8752" s="5"/>
      <c r="N8752" s="5"/>
      <c r="O8752" s="5"/>
      <c r="P8752" s="5"/>
      <c r="Q8752" s="5"/>
      <c r="R8752" s="5"/>
      <c r="S8752" s="5"/>
      <c r="T8752" s="5"/>
      <c r="U8752" s="5"/>
      <c r="V8752" s="5"/>
      <c r="W8752" s="5"/>
      <c r="X8752" s="5"/>
      <c r="Y8752" s="5"/>
      <c r="Z8752" s="5"/>
    </row>
    <row r="8753" spans="1:26" ht="15" x14ac:dyDescent="0.25">
      <c r="A8753" s="4" t="s">
        <v>8751</v>
      </c>
      <c r="B8753" s="4" t="s">
        <v>4550</v>
      </c>
      <c r="C8753" s="2" t="str">
        <f ca="1">IFERROR(__xludf.DUMMYFUNCTION("GOOGLETRANSLATE(A8753,""bn"",""en"")"),"I wanted to run a submissive account")</f>
        <v>I wanted to run a submissive account</v>
      </c>
      <c r="D8753" s="5"/>
      <c r="E8753" s="5"/>
      <c r="F8753" s="5"/>
      <c r="G8753" s="5"/>
      <c r="H8753" s="5"/>
      <c r="I8753" s="5"/>
      <c r="J8753" s="5"/>
      <c r="K8753" s="5"/>
      <c r="L8753" s="5"/>
      <c r="M8753" s="5"/>
      <c r="N8753" s="5"/>
      <c r="O8753" s="5"/>
      <c r="P8753" s="5"/>
      <c r="Q8753" s="5"/>
      <c r="R8753" s="5"/>
      <c r="S8753" s="5"/>
      <c r="T8753" s="5"/>
      <c r="U8753" s="5"/>
      <c r="V8753" s="5"/>
      <c r="W8753" s="5"/>
      <c r="X8753" s="5"/>
      <c r="Y8753" s="5"/>
      <c r="Z8753" s="5"/>
    </row>
    <row r="8754" spans="1:26" ht="15" x14ac:dyDescent="0.25">
      <c r="A8754" s="4" t="s">
        <v>8752</v>
      </c>
      <c r="B8754" s="4" t="s">
        <v>4550</v>
      </c>
      <c r="C8754" s="2" t="str">
        <f ca="1">IFERROR(__xludf.DUMMYFUNCTION("GOOGLETRANSLATE(A8754,""bn"",""en"")"),"I joined the online meeting")</f>
        <v>I joined the online meeting</v>
      </c>
      <c r="D8754" s="5"/>
      <c r="E8754" s="5"/>
      <c r="F8754" s="5"/>
      <c r="G8754" s="5"/>
      <c r="H8754" s="5"/>
      <c r="I8754" s="5"/>
      <c r="J8754" s="5"/>
      <c r="K8754" s="5"/>
      <c r="L8754" s="5"/>
      <c r="M8754" s="5"/>
      <c r="N8754" s="5"/>
      <c r="O8754" s="5"/>
      <c r="P8754" s="5"/>
      <c r="Q8754" s="5"/>
      <c r="R8754" s="5"/>
      <c r="S8754" s="5"/>
      <c r="T8754" s="5"/>
      <c r="U8754" s="5"/>
      <c r="V8754" s="5"/>
      <c r="W8754" s="5"/>
      <c r="X8754" s="5"/>
      <c r="Y8754" s="5"/>
      <c r="Z8754" s="5"/>
    </row>
    <row r="8755" spans="1:26" ht="15" x14ac:dyDescent="0.25">
      <c r="A8755" s="4" t="s">
        <v>8753</v>
      </c>
      <c r="B8755" s="4" t="s">
        <v>4550</v>
      </c>
      <c r="C8755" s="2" t="str">
        <f ca="1">IFERROR(__xludf.DUMMYFUNCTION("GOOGLETRANSLATE(A8755,""bn"",""en"")"),"I reached a strange tourist spot on my trip")</f>
        <v>I reached a strange tourist spot on my trip</v>
      </c>
      <c r="D8755" s="5"/>
      <c r="E8755" s="5"/>
      <c r="F8755" s="5"/>
      <c r="G8755" s="5"/>
      <c r="H8755" s="5"/>
      <c r="I8755" s="5"/>
      <c r="J8755" s="5"/>
      <c r="K8755" s="5"/>
      <c r="L8755" s="5"/>
      <c r="M8755" s="5"/>
      <c r="N8755" s="5"/>
      <c r="O8755" s="5"/>
      <c r="P8755" s="5"/>
      <c r="Q8755" s="5"/>
      <c r="R8755" s="5"/>
      <c r="S8755" s="5"/>
      <c r="T8755" s="5"/>
      <c r="U8755" s="5"/>
      <c r="V8755" s="5"/>
      <c r="W8755" s="5"/>
      <c r="X8755" s="5"/>
      <c r="Y8755" s="5"/>
      <c r="Z8755" s="5"/>
    </row>
    <row r="8756" spans="1:26" ht="15" x14ac:dyDescent="0.25">
      <c r="A8756" s="4" t="s">
        <v>8754</v>
      </c>
      <c r="B8756" s="4" t="s">
        <v>4550</v>
      </c>
      <c r="C8756" s="2" t="str">
        <f ca="1">IFERROR(__xludf.DUMMYFUNCTION("GOOGLETRANSLATE(A8756,""bn"",""en"")"),"I took online courses to learn")</f>
        <v>I took online courses to learn</v>
      </c>
      <c r="D8756" s="5"/>
      <c r="E8756" s="5"/>
      <c r="F8756" s="5"/>
      <c r="G8756" s="5"/>
      <c r="H8756" s="5"/>
      <c r="I8756" s="5"/>
      <c r="J8756" s="5"/>
      <c r="K8756" s="5"/>
      <c r="L8756" s="5"/>
      <c r="M8756" s="5"/>
      <c r="N8756" s="5"/>
      <c r="O8756" s="5"/>
      <c r="P8756" s="5"/>
      <c r="Q8756" s="5"/>
      <c r="R8756" s="5"/>
      <c r="S8756" s="5"/>
      <c r="T8756" s="5"/>
      <c r="U8756" s="5"/>
      <c r="V8756" s="5"/>
      <c r="W8756" s="5"/>
      <c r="X8756" s="5"/>
      <c r="Y8756" s="5"/>
      <c r="Z8756" s="5"/>
    </row>
    <row r="8757" spans="1:26" ht="15" x14ac:dyDescent="0.25">
      <c r="A8757" s="4" t="s">
        <v>8755</v>
      </c>
      <c r="B8757" s="4" t="s">
        <v>4550</v>
      </c>
      <c r="C8757" s="2" t="str">
        <f ca="1">IFERROR(__xludf.DUMMYFUNCTION("GOOGLETRANSLATE(A8757,""bn"",""en"")"),"I avoided sleep long ago")</f>
        <v>I avoided sleep long ago</v>
      </c>
      <c r="D8757" s="5"/>
      <c r="E8757" s="5"/>
      <c r="F8757" s="5"/>
      <c r="G8757" s="5"/>
      <c r="H8757" s="5"/>
      <c r="I8757" s="5"/>
      <c r="J8757" s="5"/>
      <c r="K8757" s="5"/>
      <c r="L8757" s="5"/>
      <c r="M8757" s="5"/>
      <c r="N8757" s="5"/>
      <c r="O8757" s="5"/>
      <c r="P8757" s="5"/>
      <c r="Q8757" s="5"/>
      <c r="R8757" s="5"/>
      <c r="S8757" s="5"/>
      <c r="T8757" s="5"/>
      <c r="U8757" s="5"/>
      <c r="V8757" s="5"/>
      <c r="W8757" s="5"/>
      <c r="X8757" s="5"/>
      <c r="Y8757" s="5"/>
      <c r="Z8757" s="5"/>
    </row>
    <row r="8758" spans="1:26" ht="15" x14ac:dyDescent="0.25">
      <c r="A8758" s="4" t="s">
        <v>8756</v>
      </c>
      <c r="B8758" s="4" t="s">
        <v>4550</v>
      </c>
      <c r="C8758" s="2" t="str">
        <f ca="1">IFERROR(__xludf.DUMMYFUNCTION("GOOGLETRANSLATE(A8758,""bn"",""en"")"),"The combined standards of government employees increased")</f>
        <v>The combined standards of government employees increased</v>
      </c>
      <c r="D8758" s="5"/>
      <c r="E8758" s="5"/>
      <c r="F8758" s="5"/>
      <c r="G8758" s="5"/>
      <c r="H8758" s="5"/>
      <c r="I8758" s="5"/>
      <c r="J8758" s="5"/>
      <c r="K8758" s="5"/>
      <c r="L8758" s="5"/>
      <c r="M8758" s="5"/>
      <c r="N8758" s="5"/>
      <c r="O8758" s="5"/>
      <c r="P8758" s="5"/>
      <c r="Q8758" s="5"/>
      <c r="R8758" s="5"/>
      <c r="S8758" s="5"/>
      <c r="T8758" s="5"/>
      <c r="U8758" s="5"/>
      <c r="V8758" s="5"/>
      <c r="W8758" s="5"/>
      <c r="X8758" s="5"/>
      <c r="Y8758" s="5"/>
      <c r="Z8758" s="5"/>
    </row>
    <row r="8759" spans="1:26" ht="15" x14ac:dyDescent="0.25">
      <c r="A8759" s="4" t="s">
        <v>8757</v>
      </c>
      <c r="B8759" s="4" t="s">
        <v>4550</v>
      </c>
      <c r="C8759" s="2" t="str">
        <f ca="1">IFERROR(__xludf.DUMMYFUNCTION("GOOGLETRANSLATE(A8759,""bn"",""en"")"),"Registration increased from a legal perspective")</f>
        <v>Registration increased from a legal perspective</v>
      </c>
      <c r="D8759" s="5"/>
      <c r="E8759" s="5"/>
      <c r="F8759" s="5"/>
      <c r="G8759" s="5"/>
      <c r="H8759" s="5"/>
      <c r="I8759" s="5"/>
      <c r="J8759" s="5"/>
      <c r="K8759" s="5"/>
      <c r="L8759" s="5"/>
      <c r="M8759" s="5"/>
      <c r="N8759" s="5"/>
      <c r="O8759" s="5"/>
      <c r="P8759" s="5"/>
      <c r="Q8759" s="5"/>
      <c r="R8759" s="5"/>
      <c r="S8759" s="5"/>
      <c r="T8759" s="5"/>
      <c r="U8759" s="5"/>
      <c r="V8759" s="5"/>
      <c r="W8759" s="5"/>
      <c r="X8759" s="5"/>
      <c r="Y8759" s="5"/>
      <c r="Z8759" s="5"/>
    </row>
    <row r="8760" spans="1:26" ht="15" x14ac:dyDescent="0.25">
      <c r="A8760" s="4" t="s">
        <v>8758</v>
      </c>
      <c r="B8760" s="4" t="s">
        <v>4550</v>
      </c>
      <c r="C8760" s="2" t="str">
        <f ca="1">IFERROR(__xludf.DUMMYFUNCTION("GOOGLETRANSLATE(A8760,""bn"",""en"")"),"I used the new television")</f>
        <v>I used the new television</v>
      </c>
      <c r="D8760" s="5"/>
      <c r="E8760" s="5"/>
      <c r="F8760" s="5"/>
      <c r="G8760" s="5"/>
      <c r="H8760" s="5"/>
      <c r="I8760" s="5"/>
      <c r="J8760" s="5"/>
      <c r="K8760" s="5"/>
      <c r="L8760" s="5"/>
      <c r="M8760" s="5"/>
      <c r="N8760" s="5"/>
      <c r="O8760" s="5"/>
      <c r="P8760" s="5"/>
      <c r="Q8760" s="5"/>
      <c r="R8760" s="5"/>
      <c r="S8760" s="5"/>
      <c r="T8760" s="5"/>
      <c r="U8760" s="5"/>
      <c r="V8760" s="5"/>
      <c r="W8760" s="5"/>
      <c r="X8760" s="5"/>
      <c r="Y8760" s="5"/>
      <c r="Z8760" s="5"/>
    </row>
    <row r="8761" spans="1:26" ht="15" x14ac:dyDescent="0.25">
      <c r="A8761" s="4" t="s">
        <v>8759</v>
      </c>
      <c r="B8761" s="4" t="s">
        <v>4550</v>
      </c>
      <c r="C8761" s="2" t="str">
        <f ca="1">IFERROR(__xludf.DUMMYFUNCTION("GOOGLETRANSLATE(A8761,""bn"",""en"")"),"I was preparing for bank viva")</f>
        <v>I was preparing for bank viva</v>
      </c>
      <c r="D8761" s="5"/>
      <c r="E8761" s="5"/>
      <c r="F8761" s="5"/>
      <c r="G8761" s="5"/>
      <c r="H8761" s="5"/>
      <c r="I8761" s="5"/>
      <c r="J8761" s="5"/>
      <c r="K8761" s="5"/>
      <c r="L8761" s="5"/>
      <c r="M8761" s="5"/>
      <c r="N8761" s="5"/>
      <c r="O8761" s="5"/>
      <c r="P8761" s="5"/>
      <c r="Q8761" s="5"/>
      <c r="R8761" s="5"/>
      <c r="S8761" s="5"/>
      <c r="T8761" s="5"/>
      <c r="U8761" s="5"/>
      <c r="V8761" s="5"/>
      <c r="W8761" s="5"/>
      <c r="X8761" s="5"/>
      <c r="Y8761" s="5"/>
      <c r="Z8761" s="5"/>
    </row>
    <row r="8762" spans="1:26" ht="15" x14ac:dyDescent="0.25">
      <c r="A8762" s="4" t="s">
        <v>8760</v>
      </c>
      <c r="B8762" s="4" t="s">
        <v>4550</v>
      </c>
      <c r="C8762" s="2" t="str">
        <f ca="1">IFERROR(__xludf.DUMMYFUNCTION("GOOGLETRANSLATE(A8762,""bn"",""en"")"),"The mind calmed down after watching the movie")</f>
        <v>The mind calmed down after watching the movie</v>
      </c>
      <c r="D8762" s="5"/>
      <c r="E8762" s="5"/>
      <c r="F8762" s="5"/>
      <c r="G8762" s="5"/>
      <c r="H8762" s="5"/>
      <c r="I8762" s="5"/>
      <c r="J8762" s="5"/>
      <c r="K8762" s="5"/>
      <c r="L8762" s="5"/>
      <c r="M8762" s="5"/>
      <c r="N8762" s="5"/>
      <c r="O8762" s="5"/>
      <c r="P8762" s="5"/>
      <c r="Q8762" s="5"/>
      <c r="R8762" s="5"/>
      <c r="S8762" s="5"/>
      <c r="T8762" s="5"/>
      <c r="U8762" s="5"/>
      <c r="V8762" s="5"/>
      <c r="W8762" s="5"/>
      <c r="X8762" s="5"/>
      <c r="Y8762" s="5"/>
      <c r="Z8762" s="5"/>
    </row>
    <row r="8763" spans="1:26" ht="15" x14ac:dyDescent="0.25">
      <c r="A8763" s="4" t="s">
        <v>8761</v>
      </c>
      <c r="B8763" s="4" t="s">
        <v>4550</v>
      </c>
      <c r="C8763" s="2" t="str">
        <f ca="1">IFERROR(__xludf.DUMMYFUNCTION("GOOGLETRANSLATE(A8763,""bn"",""en"")"),"I was watching movies on my new laptop")</f>
        <v>I was watching movies on my new laptop</v>
      </c>
      <c r="D8763" s="5"/>
      <c r="E8763" s="5"/>
      <c r="F8763" s="5"/>
      <c r="G8763" s="5"/>
      <c r="H8763" s="5"/>
      <c r="I8763" s="5"/>
      <c r="J8763" s="5"/>
      <c r="K8763" s="5"/>
      <c r="L8763" s="5"/>
      <c r="M8763" s="5"/>
      <c r="N8763" s="5"/>
      <c r="O8763" s="5"/>
      <c r="P8763" s="5"/>
      <c r="Q8763" s="5"/>
      <c r="R8763" s="5"/>
      <c r="S8763" s="5"/>
      <c r="T8763" s="5"/>
      <c r="U8763" s="5"/>
      <c r="V8763" s="5"/>
      <c r="W8763" s="5"/>
      <c r="X8763" s="5"/>
      <c r="Y8763" s="5"/>
      <c r="Z8763" s="5"/>
    </row>
    <row r="8764" spans="1:26" ht="15" x14ac:dyDescent="0.25">
      <c r="A8764" s="4" t="s">
        <v>8762</v>
      </c>
      <c r="B8764" s="4" t="s">
        <v>4550</v>
      </c>
      <c r="C8764" s="2" t="str">
        <f ca="1">IFERROR(__xludf.DUMMYFUNCTION("GOOGLETRANSLATE(A8764,""bn"",""en"")"),"News of the film's success spread")</f>
        <v>News of the film's success spread</v>
      </c>
      <c r="D8764" s="5"/>
      <c r="E8764" s="5"/>
      <c r="F8764" s="5"/>
      <c r="G8764" s="5"/>
      <c r="H8764" s="5"/>
      <c r="I8764" s="5"/>
      <c r="J8764" s="5"/>
      <c r="K8764" s="5"/>
      <c r="L8764" s="5"/>
      <c r="M8764" s="5"/>
      <c r="N8764" s="5"/>
      <c r="O8764" s="5"/>
      <c r="P8764" s="5"/>
      <c r="Q8764" s="5"/>
      <c r="R8764" s="5"/>
      <c r="S8764" s="5"/>
      <c r="T8764" s="5"/>
      <c r="U8764" s="5"/>
      <c r="V8764" s="5"/>
      <c r="W8764" s="5"/>
      <c r="X8764" s="5"/>
      <c r="Y8764" s="5"/>
      <c r="Z8764" s="5"/>
    </row>
    <row r="8765" spans="1:26" ht="15" x14ac:dyDescent="0.25">
      <c r="A8765" s="4" t="s">
        <v>8763</v>
      </c>
      <c r="B8765" s="4" t="s">
        <v>4550</v>
      </c>
      <c r="C8765" s="2" t="str">
        <f ca="1">IFERROR(__xludf.DUMMYFUNCTION("GOOGLETRANSLATE(A8765,""bn"",""en"")"),"Generations were getting prosperity through politics")</f>
        <v>Generations were getting prosperity through politics</v>
      </c>
      <c r="D8765" s="5"/>
      <c r="E8765" s="5"/>
      <c r="F8765" s="5"/>
      <c r="G8765" s="5"/>
      <c r="H8765" s="5"/>
      <c r="I8765" s="5"/>
      <c r="J8765" s="5"/>
      <c r="K8765" s="5"/>
      <c r="L8765" s="5"/>
      <c r="M8765" s="5"/>
      <c r="N8765" s="5"/>
      <c r="O8765" s="5"/>
      <c r="P8765" s="5"/>
      <c r="Q8765" s="5"/>
      <c r="R8765" s="5"/>
      <c r="S8765" s="5"/>
      <c r="T8765" s="5"/>
      <c r="U8765" s="5"/>
      <c r="V8765" s="5"/>
      <c r="W8765" s="5"/>
      <c r="X8765" s="5"/>
      <c r="Y8765" s="5"/>
      <c r="Z8765" s="5"/>
    </row>
    <row r="8766" spans="1:26" ht="15" x14ac:dyDescent="0.25">
      <c r="A8766" s="4" t="s">
        <v>8764</v>
      </c>
      <c r="B8766" s="4" t="s">
        <v>4550</v>
      </c>
      <c r="C8766" s="2" t="str">
        <f ca="1">IFERROR(__xludf.DUMMYFUNCTION("GOOGLETRANSLATE(A8766,""bn"",""en"")"),"Politics changed people's lives")</f>
        <v>Politics changed people's lives</v>
      </c>
      <c r="D8766" s="5"/>
      <c r="E8766" s="5"/>
      <c r="F8766" s="5"/>
      <c r="G8766" s="5"/>
      <c r="H8766" s="5"/>
      <c r="I8766" s="5"/>
      <c r="J8766" s="5"/>
      <c r="K8766" s="5"/>
      <c r="L8766" s="5"/>
      <c r="M8766" s="5"/>
      <c r="N8766" s="5"/>
      <c r="O8766" s="5"/>
      <c r="P8766" s="5"/>
      <c r="Q8766" s="5"/>
      <c r="R8766" s="5"/>
      <c r="S8766" s="5"/>
      <c r="T8766" s="5"/>
      <c r="U8766" s="5"/>
      <c r="V8766" s="5"/>
      <c r="W8766" s="5"/>
      <c r="X8766" s="5"/>
      <c r="Y8766" s="5"/>
      <c r="Z8766" s="5"/>
    </row>
    <row r="8767" spans="1:26" ht="15" x14ac:dyDescent="0.25">
      <c r="A8767" s="4" t="s">
        <v>8765</v>
      </c>
      <c r="B8767" s="4" t="s">
        <v>4550</v>
      </c>
      <c r="C8767" s="2" t="str">
        <f ca="1">IFERROR(__xludf.DUMMYFUNCTION("GOOGLETRANSLATE(A8767,""bn"",""en"")"),"I was going on a scenic trip")</f>
        <v>I was going on a scenic trip</v>
      </c>
      <c r="D8767" s="5"/>
      <c r="E8767" s="5"/>
      <c r="F8767" s="5"/>
      <c r="G8767" s="5"/>
      <c r="H8767" s="5"/>
      <c r="I8767" s="5"/>
      <c r="J8767" s="5"/>
      <c r="K8767" s="5"/>
      <c r="L8767" s="5"/>
      <c r="M8767" s="5"/>
      <c r="N8767" s="5"/>
      <c r="O8767" s="5"/>
      <c r="P8767" s="5"/>
      <c r="Q8767" s="5"/>
      <c r="R8767" s="5"/>
      <c r="S8767" s="5"/>
      <c r="T8767" s="5"/>
      <c r="U8767" s="5"/>
      <c r="V8767" s="5"/>
      <c r="W8767" s="5"/>
      <c r="X8767" s="5"/>
      <c r="Y8767" s="5"/>
      <c r="Z8767" s="5"/>
    </row>
    <row r="8768" spans="1:26" ht="15" x14ac:dyDescent="0.25">
      <c r="A8768" s="4" t="s">
        <v>8766</v>
      </c>
      <c r="B8768" s="4" t="s">
        <v>4550</v>
      </c>
      <c r="C8768" s="2" t="str">
        <f ca="1">IFERROR(__xludf.DUMMYFUNCTION("GOOGLETRANSLATE(A8768,""bn"",""en"")"),"I loved the tragedy series")</f>
        <v>I loved the tragedy series</v>
      </c>
      <c r="D8768" s="5"/>
      <c r="E8768" s="5"/>
      <c r="F8768" s="5"/>
      <c r="G8768" s="5"/>
      <c r="H8768" s="5"/>
      <c r="I8768" s="5"/>
      <c r="J8768" s="5"/>
      <c r="K8768" s="5"/>
      <c r="L8768" s="5"/>
      <c r="M8768" s="5"/>
      <c r="N8768" s="5"/>
      <c r="O8768" s="5"/>
      <c r="P8768" s="5"/>
      <c r="Q8768" s="5"/>
      <c r="R8768" s="5"/>
      <c r="S8768" s="5"/>
      <c r="T8768" s="5"/>
      <c r="U8768" s="5"/>
      <c r="V8768" s="5"/>
      <c r="W8768" s="5"/>
      <c r="X8768" s="5"/>
      <c r="Y8768" s="5"/>
      <c r="Z8768" s="5"/>
    </row>
    <row r="8769" spans="1:26" ht="15" x14ac:dyDescent="0.25">
      <c r="A8769" s="4" t="s">
        <v>8767</v>
      </c>
      <c r="B8769" s="4" t="s">
        <v>4550</v>
      </c>
      <c r="C8769" s="2" t="str">
        <f ca="1">IFERROR(__xludf.DUMMYFUNCTION("GOOGLETRANSLATE(A8769,""bn"",""en"")"),"I practiced religious knowledge for the hereafter")</f>
        <v>I practiced religious knowledge for the hereafter</v>
      </c>
      <c r="D8769" s="5"/>
      <c r="E8769" s="5"/>
      <c r="F8769" s="5"/>
      <c r="G8769" s="5"/>
      <c r="H8769" s="5"/>
      <c r="I8769" s="5"/>
      <c r="J8769" s="5"/>
      <c r="K8769" s="5"/>
      <c r="L8769" s="5"/>
      <c r="M8769" s="5"/>
      <c r="N8769" s="5"/>
      <c r="O8769" s="5"/>
      <c r="P8769" s="5"/>
      <c r="Q8769" s="5"/>
      <c r="R8769" s="5"/>
      <c r="S8769" s="5"/>
      <c r="T8769" s="5"/>
      <c r="U8769" s="5"/>
      <c r="V8769" s="5"/>
      <c r="W8769" s="5"/>
      <c r="X8769" s="5"/>
      <c r="Y8769" s="5"/>
      <c r="Z8769" s="5"/>
    </row>
    <row r="8770" spans="1:26" ht="15" x14ac:dyDescent="0.25">
      <c r="A8770" s="4" t="s">
        <v>8768</v>
      </c>
      <c r="B8770" s="4" t="s">
        <v>4550</v>
      </c>
      <c r="C8770" s="2" t="str">
        <f ca="1">IFERROR(__xludf.DUMMYFUNCTION("GOOGLETRANSLATE(A8770,""bn"",""en"")"),"Athletes were evaluated differently in gymnastics")</f>
        <v>Athletes were evaluated differently in gymnastics</v>
      </c>
      <c r="D8770" s="5"/>
      <c r="E8770" s="5"/>
      <c r="F8770" s="5"/>
      <c r="G8770" s="5"/>
      <c r="H8770" s="5"/>
      <c r="I8770" s="5"/>
      <c r="J8770" s="5"/>
      <c r="K8770" s="5"/>
      <c r="L8770" s="5"/>
      <c r="M8770" s="5"/>
      <c r="N8770" s="5"/>
      <c r="O8770" s="5"/>
      <c r="P8770" s="5"/>
      <c r="Q8770" s="5"/>
      <c r="R8770" s="5"/>
      <c r="S8770" s="5"/>
      <c r="T8770" s="5"/>
      <c r="U8770" s="5"/>
      <c r="V8770" s="5"/>
      <c r="W8770" s="5"/>
      <c r="X8770" s="5"/>
      <c r="Y8770" s="5"/>
      <c r="Z8770" s="5"/>
    </row>
    <row r="8771" spans="1:26" ht="15" x14ac:dyDescent="0.25">
      <c r="A8771" s="4" t="s">
        <v>8769</v>
      </c>
      <c r="B8771" s="4" t="s">
        <v>4550</v>
      </c>
      <c r="C8771" s="2" t="str">
        <f ca="1">IFERROR(__xludf.DUMMYFUNCTION("GOOGLETRANSLATE(A8771,""bn"",""en"")"),"I used the new IoT")</f>
        <v>I used the new IoT</v>
      </c>
      <c r="D8771" s="5"/>
      <c r="E8771" s="5"/>
      <c r="F8771" s="5"/>
      <c r="G8771" s="5"/>
      <c r="H8771" s="5"/>
      <c r="I8771" s="5"/>
      <c r="J8771" s="5"/>
      <c r="K8771" s="5"/>
      <c r="L8771" s="5"/>
      <c r="M8771" s="5"/>
      <c r="N8771" s="5"/>
      <c r="O8771" s="5"/>
      <c r="P8771" s="5"/>
      <c r="Q8771" s="5"/>
      <c r="R8771" s="5"/>
      <c r="S8771" s="5"/>
      <c r="T8771" s="5"/>
      <c r="U8771" s="5"/>
      <c r="V8771" s="5"/>
      <c r="W8771" s="5"/>
      <c r="X8771" s="5"/>
      <c r="Y8771" s="5"/>
      <c r="Z8771" s="5"/>
    </row>
    <row r="8772" spans="1:26" ht="15" x14ac:dyDescent="0.25">
      <c r="A8772" s="4" t="s">
        <v>8770</v>
      </c>
      <c r="B8772" s="4" t="s">
        <v>4550</v>
      </c>
      <c r="C8772" s="2" t="str">
        <f ca="1">IFERROR(__xludf.DUMMYFUNCTION("GOOGLETRANSLATE(A8772,""bn"",""en"")"),"I didn't like using smartphones")</f>
        <v>I didn't like using smartphones</v>
      </c>
      <c r="D8772" s="5"/>
      <c r="E8772" s="5"/>
      <c r="F8772" s="5"/>
      <c r="G8772" s="5"/>
      <c r="H8772" s="5"/>
      <c r="I8772" s="5"/>
      <c r="J8772" s="5"/>
      <c r="K8772" s="5"/>
      <c r="L8772" s="5"/>
      <c r="M8772" s="5"/>
      <c r="N8772" s="5"/>
      <c r="O8772" s="5"/>
      <c r="P8772" s="5"/>
      <c r="Q8772" s="5"/>
      <c r="R8772" s="5"/>
      <c r="S8772" s="5"/>
      <c r="T8772" s="5"/>
      <c r="U8772" s="5"/>
      <c r="V8772" s="5"/>
      <c r="W8772" s="5"/>
      <c r="X8772" s="5"/>
      <c r="Y8772" s="5"/>
      <c r="Z8772" s="5"/>
    </row>
    <row r="8773" spans="1:26" ht="15" x14ac:dyDescent="0.25">
      <c r="A8773" s="4" t="s">
        <v>8771</v>
      </c>
      <c r="B8773" s="4" t="s">
        <v>4550</v>
      </c>
      <c r="C8773" s="2" t="str">
        <f ca="1">IFERROR(__xludf.DUMMYFUNCTION("GOOGLETRANSLATE(A8773,""bn"",""en"")"),"I wanted to use the smartphone")</f>
        <v>I wanted to use the smartphone</v>
      </c>
      <c r="D8773" s="5"/>
      <c r="E8773" s="5"/>
      <c r="F8773" s="5"/>
      <c r="G8773" s="5"/>
      <c r="H8773" s="5"/>
      <c r="I8773" s="5"/>
      <c r="J8773" s="5"/>
      <c r="K8773" s="5"/>
      <c r="L8773" s="5"/>
      <c r="M8773" s="5"/>
      <c r="N8773" s="5"/>
      <c r="O8773" s="5"/>
      <c r="P8773" s="5"/>
      <c r="Q8773" s="5"/>
      <c r="R8773" s="5"/>
      <c r="S8773" s="5"/>
      <c r="T8773" s="5"/>
      <c r="U8773" s="5"/>
      <c r="V8773" s="5"/>
      <c r="W8773" s="5"/>
      <c r="X8773" s="5"/>
      <c r="Y8773" s="5"/>
      <c r="Z8773" s="5"/>
    </row>
    <row r="8774" spans="1:26" ht="15" x14ac:dyDescent="0.25">
      <c r="A8774" s="4" t="s">
        <v>8772</v>
      </c>
      <c r="B8774" s="4" t="s">
        <v>4550</v>
      </c>
      <c r="C8774" s="2" t="str">
        <f ca="1">IFERROR(__xludf.DUMMYFUNCTION("GOOGLETRANSLATE(A8774,""bn"",""en"")"),"I was fed up with using smartphones")</f>
        <v>I was fed up with using smartphones</v>
      </c>
      <c r="D8774" s="5"/>
      <c r="E8774" s="5"/>
      <c r="F8774" s="5"/>
      <c r="G8774" s="5"/>
      <c r="H8774" s="5"/>
      <c r="I8774" s="5"/>
      <c r="J8774" s="5"/>
      <c r="K8774" s="5"/>
      <c r="L8774" s="5"/>
      <c r="M8774" s="5"/>
      <c r="N8774" s="5"/>
      <c r="O8774" s="5"/>
      <c r="P8774" s="5"/>
      <c r="Q8774" s="5"/>
      <c r="R8774" s="5"/>
      <c r="S8774" s="5"/>
      <c r="T8774" s="5"/>
      <c r="U8774" s="5"/>
      <c r="V8774" s="5"/>
      <c r="W8774" s="5"/>
      <c r="X8774" s="5"/>
      <c r="Y8774" s="5"/>
      <c r="Z8774" s="5"/>
    </row>
    <row r="8775" spans="1:26" ht="15" x14ac:dyDescent="0.25">
      <c r="A8775" s="4" t="s">
        <v>8773</v>
      </c>
      <c r="B8775" s="4" t="s">
        <v>4550</v>
      </c>
      <c r="C8775" s="2" t="str">
        <f ca="1">IFERROR(__xludf.DUMMYFUNCTION("GOOGLETRANSLATE(A8775,""bn"",""en"")"),"He went to school on time every day")</f>
        <v>He went to school on time every day</v>
      </c>
      <c r="D8775" s="5"/>
      <c r="E8775" s="5"/>
      <c r="F8775" s="5"/>
      <c r="G8775" s="5"/>
      <c r="H8775" s="5"/>
      <c r="I8775" s="5"/>
      <c r="J8775" s="5"/>
      <c r="K8775" s="5"/>
      <c r="L8775" s="5"/>
      <c r="M8775" s="5"/>
      <c r="N8775" s="5"/>
      <c r="O8775" s="5"/>
      <c r="P8775" s="5"/>
      <c r="Q8775" s="5"/>
      <c r="R8775" s="5"/>
      <c r="S8775" s="5"/>
      <c r="T8775" s="5"/>
      <c r="U8775" s="5"/>
      <c r="V8775" s="5"/>
      <c r="W8775" s="5"/>
      <c r="X8775" s="5"/>
      <c r="Y8775" s="5"/>
      <c r="Z8775" s="5"/>
    </row>
    <row r="8776" spans="1:26" ht="15" x14ac:dyDescent="0.25">
      <c r="A8776" s="4" t="s">
        <v>8774</v>
      </c>
      <c r="B8776" s="4" t="s">
        <v>4550</v>
      </c>
      <c r="C8776" s="2" t="str">
        <f ca="1">IFERROR(__xludf.DUMMYFUNCTION("GOOGLETRANSLATE(A8776,""bn"",""en"")"),"A lot of work was going on in financial development")</f>
        <v>A lot of work was going on in financial development</v>
      </c>
      <c r="D8776" s="5"/>
      <c r="E8776" s="5"/>
      <c r="F8776" s="5"/>
      <c r="G8776" s="5"/>
      <c r="H8776" s="5"/>
      <c r="I8776" s="5"/>
      <c r="J8776" s="5"/>
      <c r="K8776" s="5"/>
      <c r="L8776" s="5"/>
      <c r="M8776" s="5"/>
      <c r="N8776" s="5"/>
      <c r="O8776" s="5"/>
      <c r="P8776" s="5"/>
      <c r="Q8776" s="5"/>
      <c r="R8776" s="5"/>
      <c r="S8776" s="5"/>
      <c r="T8776" s="5"/>
      <c r="U8776" s="5"/>
      <c r="V8776" s="5"/>
      <c r="W8776" s="5"/>
      <c r="X8776" s="5"/>
      <c r="Y8776" s="5"/>
      <c r="Z8776" s="5"/>
    </row>
    <row r="8777" spans="1:26" ht="15" x14ac:dyDescent="0.25">
      <c r="A8777" s="4" t="s">
        <v>8775</v>
      </c>
      <c r="B8777" s="4" t="s">
        <v>4550</v>
      </c>
      <c r="C8777" s="2" t="str">
        <f ca="1">IFERROR(__xludf.DUMMYFUNCTION("GOOGLETRANSLATE(A8777,""bn"",""en"")"),"Ratan watched the new Bengali film")</f>
        <v>Ratan watched the new Bengali film</v>
      </c>
      <c r="D8777" s="5"/>
      <c r="E8777" s="5"/>
      <c r="F8777" s="5"/>
      <c r="G8777" s="5"/>
      <c r="H8777" s="5"/>
      <c r="I8777" s="5"/>
      <c r="J8777" s="5"/>
      <c r="K8777" s="5"/>
      <c r="L8777" s="5"/>
      <c r="M8777" s="5"/>
      <c r="N8777" s="5"/>
      <c r="O8777" s="5"/>
      <c r="P8777" s="5"/>
      <c r="Q8777" s="5"/>
      <c r="R8777" s="5"/>
      <c r="S8777" s="5"/>
      <c r="T8777" s="5"/>
      <c r="U8777" s="5"/>
      <c r="V8777" s="5"/>
      <c r="W8777" s="5"/>
      <c r="X8777" s="5"/>
      <c r="Y8777" s="5"/>
      <c r="Z8777" s="5"/>
    </row>
    <row r="8778" spans="1:26" ht="15" x14ac:dyDescent="0.25">
      <c r="A8778" s="4" t="s">
        <v>8776</v>
      </c>
      <c r="B8778" s="4" t="s">
        <v>4550</v>
      </c>
      <c r="C8778" s="2" t="str">
        <f ca="1">IFERROR(__xludf.DUMMYFUNCTION("GOOGLETRANSLATE(A8778,""bn"",""en"")"),"We all looked for sea oysters")</f>
        <v>We all looked for sea oysters</v>
      </c>
      <c r="D8778" s="5"/>
      <c r="E8778" s="5"/>
      <c r="F8778" s="5"/>
      <c r="G8778" s="5"/>
      <c r="H8778" s="5"/>
      <c r="I8778" s="5"/>
      <c r="J8778" s="5"/>
      <c r="K8778" s="5"/>
      <c r="L8778" s="5"/>
      <c r="M8778" s="5"/>
      <c r="N8778" s="5"/>
      <c r="O8778" s="5"/>
      <c r="P8778" s="5"/>
      <c r="Q8778" s="5"/>
      <c r="R8778" s="5"/>
      <c r="S8778" s="5"/>
      <c r="T8778" s="5"/>
      <c r="U8778" s="5"/>
      <c r="V8778" s="5"/>
      <c r="W8778" s="5"/>
      <c r="X8778" s="5"/>
      <c r="Y8778" s="5"/>
      <c r="Z8778" s="5"/>
    </row>
    <row r="8779" spans="1:26" ht="15" x14ac:dyDescent="0.25">
      <c r="A8779" s="4" t="s">
        <v>8777</v>
      </c>
      <c r="B8779" s="4" t="s">
        <v>4550</v>
      </c>
      <c r="C8779" s="2" t="str">
        <f ca="1">IFERROR(__xludf.DUMMYFUNCTION("GOOGLETRANSLATE(A8779,""bn"",""en"")"),"The leaders were having political discussions in Parliament")</f>
        <v>The leaders were having political discussions in Parliament</v>
      </c>
      <c r="D8779" s="5"/>
      <c r="E8779" s="5"/>
      <c r="F8779" s="5"/>
      <c r="G8779" s="5"/>
      <c r="H8779" s="5"/>
      <c r="I8779" s="5"/>
      <c r="J8779" s="5"/>
      <c r="K8779" s="5"/>
      <c r="L8779" s="5"/>
      <c r="M8779" s="5"/>
      <c r="N8779" s="5"/>
      <c r="O8779" s="5"/>
      <c r="P8779" s="5"/>
      <c r="Q8779" s="5"/>
      <c r="R8779" s="5"/>
      <c r="S8779" s="5"/>
      <c r="T8779" s="5"/>
      <c r="U8779" s="5"/>
      <c r="V8779" s="5"/>
      <c r="W8779" s="5"/>
      <c r="X8779" s="5"/>
      <c r="Y8779" s="5"/>
      <c r="Z8779" s="5"/>
    </row>
    <row r="8780" spans="1:26" ht="15" x14ac:dyDescent="0.25">
      <c r="A8780" s="4" t="s">
        <v>8778</v>
      </c>
      <c r="B8780" s="4" t="s">
        <v>4550</v>
      </c>
      <c r="C8780" s="2" t="str">
        <f ca="1">IFERROR(__xludf.DUMMYFUNCTION("GOOGLETRANSLATE(A8780,""bn"",""en"")"),"Good result was what I expected")</f>
        <v>Good result was what I expected</v>
      </c>
      <c r="D8780" s="5"/>
      <c r="E8780" s="5"/>
      <c r="F8780" s="5"/>
      <c r="G8780" s="5"/>
      <c r="H8780" s="5"/>
      <c r="I8780" s="5"/>
      <c r="J8780" s="5"/>
      <c r="K8780" s="5"/>
      <c r="L8780" s="5"/>
      <c r="M8780" s="5"/>
      <c r="N8780" s="5"/>
      <c r="O8780" s="5"/>
      <c r="P8780" s="5"/>
      <c r="Q8780" s="5"/>
      <c r="R8780" s="5"/>
      <c r="S8780" s="5"/>
      <c r="T8780" s="5"/>
      <c r="U8780" s="5"/>
      <c r="V8780" s="5"/>
      <c r="W8780" s="5"/>
      <c r="X8780" s="5"/>
      <c r="Y8780" s="5"/>
      <c r="Z8780" s="5"/>
    </row>
    <row r="8781" spans="1:26" ht="15" x14ac:dyDescent="0.25">
      <c r="A8781" s="4" t="s">
        <v>8779</v>
      </c>
      <c r="B8781" s="4" t="s">
        <v>4550</v>
      </c>
      <c r="C8781" s="2" t="str">
        <f ca="1">IFERROR(__xludf.DUMMYFUNCTION("GOOGLETRANSLATE(A8781,""bn"",""en"")"),"I was going to see the wonderful beauty of the sea")</f>
        <v>I was going to see the wonderful beauty of the sea</v>
      </c>
      <c r="D8781" s="5"/>
      <c r="E8781" s="5"/>
      <c r="F8781" s="5"/>
      <c r="G8781" s="5"/>
      <c r="H8781" s="5"/>
      <c r="I8781" s="5"/>
      <c r="J8781" s="5"/>
      <c r="K8781" s="5"/>
      <c r="L8781" s="5"/>
      <c r="M8781" s="5"/>
      <c r="N8781" s="5"/>
      <c r="O8781" s="5"/>
      <c r="P8781" s="5"/>
      <c r="Q8781" s="5"/>
      <c r="R8781" s="5"/>
      <c r="S8781" s="5"/>
      <c r="T8781" s="5"/>
      <c r="U8781" s="5"/>
      <c r="V8781" s="5"/>
      <c r="W8781" s="5"/>
      <c r="X8781" s="5"/>
      <c r="Y8781" s="5"/>
      <c r="Z8781" s="5"/>
    </row>
    <row r="8782" spans="1:26" ht="15" x14ac:dyDescent="0.25">
      <c r="A8782" s="4" t="s">
        <v>8780</v>
      </c>
      <c r="B8782" s="4" t="s">
        <v>4550</v>
      </c>
      <c r="C8782" s="2" t="str">
        <f ca="1">IFERROR(__xludf.DUMMYFUNCTION("GOOGLETRANSLATE(A8782,""bn"",""en"")"),"I bought a new laptop last month")</f>
        <v>I bought a new laptop last month</v>
      </c>
      <c r="D8782" s="5"/>
      <c r="E8782" s="5"/>
      <c r="F8782" s="5"/>
      <c r="G8782" s="5"/>
      <c r="H8782" s="5"/>
      <c r="I8782" s="5"/>
      <c r="J8782" s="5"/>
      <c r="K8782" s="5"/>
      <c r="L8782" s="5"/>
      <c r="M8782" s="5"/>
      <c r="N8782" s="5"/>
      <c r="O8782" s="5"/>
      <c r="P8782" s="5"/>
      <c r="Q8782" s="5"/>
      <c r="R8782" s="5"/>
      <c r="S8782" s="5"/>
      <c r="T8782" s="5"/>
      <c r="U8782" s="5"/>
      <c r="V8782" s="5"/>
      <c r="W8782" s="5"/>
      <c r="X8782" s="5"/>
      <c r="Y8782" s="5"/>
      <c r="Z8782" s="5"/>
    </row>
    <row r="8783" spans="1:26" ht="15" x14ac:dyDescent="0.25">
      <c r="A8783" s="4" t="s">
        <v>8781</v>
      </c>
      <c r="B8783" s="4" t="s">
        <v>4550</v>
      </c>
      <c r="C8783" s="2" t="str">
        <f ca="1">IFERROR(__xludf.DUMMYFUNCTION("GOOGLETRANSLATE(A8783,""bn"",""en"")"),"Studies in humanities department would be good")</f>
        <v>Studies in humanities department would be good</v>
      </c>
      <c r="D8783" s="5"/>
      <c r="E8783" s="5"/>
      <c r="F8783" s="5"/>
      <c r="G8783" s="5"/>
      <c r="H8783" s="5"/>
      <c r="I8783" s="5"/>
      <c r="J8783" s="5"/>
      <c r="K8783" s="5"/>
      <c r="L8783" s="5"/>
      <c r="M8783" s="5"/>
      <c r="N8783" s="5"/>
      <c r="O8783" s="5"/>
      <c r="P8783" s="5"/>
      <c r="Q8783" s="5"/>
      <c r="R8783" s="5"/>
      <c r="S8783" s="5"/>
      <c r="T8783" s="5"/>
      <c r="U8783" s="5"/>
      <c r="V8783" s="5"/>
      <c r="W8783" s="5"/>
      <c r="X8783" s="5"/>
      <c r="Y8783" s="5"/>
      <c r="Z8783" s="5"/>
    </row>
    <row r="8784" spans="1:26" ht="15" x14ac:dyDescent="0.25">
      <c r="A8784" s="4" t="s">
        <v>8782</v>
      </c>
      <c r="B8784" s="4" t="s">
        <v>4550</v>
      </c>
      <c r="C8784" s="2" t="str">
        <f ca="1">IFERROR(__xludf.DUMMYFUNCTION("GOOGLETRANSLATE(A8784,""bn"",""en"")"),"Study environment was made pleasant")</f>
        <v>Study environment was made pleasant</v>
      </c>
      <c r="D8784" s="5"/>
      <c r="E8784" s="5"/>
      <c r="F8784" s="5"/>
      <c r="G8784" s="5"/>
      <c r="H8784" s="5"/>
      <c r="I8784" s="5"/>
      <c r="J8784" s="5"/>
      <c r="K8784" s="5"/>
      <c r="L8784" s="5"/>
      <c r="M8784" s="5"/>
      <c r="N8784" s="5"/>
      <c r="O8784" s="5"/>
      <c r="P8784" s="5"/>
      <c r="Q8784" s="5"/>
      <c r="R8784" s="5"/>
      <c r="S8784" s="5"/>
      <c r="T8784" s="5"/>
      <c r="U8784" s="5"/>
      <c r="V8784" s="5"/>
      <c r="W8784" s="5"/>
      <c r="X8784" s="5"/>
      <c r="Y8784" s="5"/>
      <c r="Z8784" s="5"/>
    </row>
    <row r="8785" spans="1:26" ht="15" x14ac:dyDescent="0.25">
      <c r="A8785" s="4" t="s">
        <v>8783</v>
      </c>
      <c r="B8785" s="4" t="s">
        <v>4550</v>
      </c>
      <c r="C8785" s="2" t="str">
        <f ca="1">IFERROR(__xludf.DUMMYFUNCTION("GOOGLETRANSLATE(A8785,""bn"",""en"")"),"The circus was going on in our country's politics")</f>
        <v>The circus was going on in our country's politics</v>
      </c>
      <c r="D8785" s="5"/>
      <c r="E8785" s="5"/>
      <c r="F8785" s="5"/>
      <c r="G8785" s="5"/>
      <c r="H8785" s="5"/>
      <c r="I8785" s="5"/>
      <c r="J8785" s="5"/>
      <c r="K8785" s="5"/>
      <c r="L8785" s="5"/>
      <c r="M8785" s="5"/>
      <c r="N8785" s="5"/>
      <c r="O8785" s="5"/>
      <c r="P8785" s="5"/>
      <c r="Q8785" s="5"/>
      <c r="R8785" s="5"/>
      <c r="S8785" s="5"/>
      <c r="T8785" s="5"/>
      <c r="U8785" s="5"/>
      <c r="V8785" s="5"/>
      <c r="W8785" s="5"/>
      <c r="X8785" s="5"/>
      <c r="Y8785" s="5"/>
      <c r="Z8785" s="5"/>
    </row>
    <row r="8786" spans="1:26" ht="15" x14ac:dyDescent="0.25">
      <c r="A8786" s="4" t="s">
        <v>8784</v>
      </c>
      <c r="B8786" s="4" t="s">
        <v>4550</v>
      </c>
      <c r="C8786" s="2" t="str">
        <f ca="1">IFERROR(__xludf.DUMMYFUNCTION("GOOGLETRANSLATE(A8786,""bn"",""en"")"),"The life of ordinary people was known")</f>
        <v>The life of ordinary people was known</v>
      </c>
      <c r="D8786" s="5"/>
      <c r="E8786" s="5"/>
      <c r="F8786" s="5"/>
      <c r="G8786" s="5"/>
      <c r="H8786" s="5"/>
      <c r="I8786" s="5"/>
      <c r="J8786" s="5"/>
      <c r="K8786" s="5"/>
      <c r="L8786" s="5"/>
      <c r="M8786" s="5"/>
      <c r="N8786" s="5"/>
      <c r="O8786" s="5"/>
      <c r="P8786" s="5"/>
      <c r="Q8786" s="5"/>
      <c r="R8786" s="5"/>
      <c r="S8786" s="5"/>
      <c r="T8786" s="5"/>
      <c r="U8786" s="5"/>
      <c r="V8786" s="5"/>
      <c r="W8786" s="5"/>
      <c r="X8786" s="5"/>
      <c r="Y8786" s="5"/>
      <c r="Z8786" s="5"/>
    </row>
    <row r="8787" spans="1:26" ht="15" x14ac:dyDescent="0.25">
      <c r="A8787" s="4" t="s">
        <v>8785</v>
      </c>
      <c r="B8787" s="4" t="s">
        <v>4550</v>
      </c>
      <c r="C8787" s="2" t="str">
        <f ca="1">IFERROR(__xludf.DUMMYFUNCTION("GOOGLETRANSLATE(A8787,""bn"",""en"")"),"I could easily read email")</f>
        <v>I could easily read email</v>
      </c>
      <c r="D8787" s="5"/>
      <c r="E8787" s="5"/>
      <c r="F8787" s="5"/>
      <c r="G8787" s="5"/>
      <c r="H8787" s="5"/>
      <c r="I8787" s="5"/>
      <c r="J8787" s="5"/>
      <c r="K8787" s="5"/>
      <c r="L8787" s="5"/>
      <c r="M8787" s="5"/>
      <c r="N8787" s="5"/>
      <c r="O8787" s="5"/>
      <c r="P8787" s="5"/>
      <c r="Q8787" s="5"/>
      <c r="R8787" s="5"/>
      <c r="S8787" s="5"/>
      <c r="T8787" s="5"/>
      <c r="U8787" s="5"/>
      <c r="V8787" s="5"/>
      <c r="W8787" s="5"/>
      <c r="X8787" s="5"/>
      <c r="Y8787" s="5"/>
      <c r="Z8787" s="5"/>
    </row>
    <row r="8788" spans="1:26" ht="15" x14ac:dyDescent="0.25">
      <c r="A8788" s="4" t="s">
        <v>8786</v>
      </c>
      <c r="B8788" s="4" t="s">
        <v>4550</v>
      </c>
      <c r="C8788" s="2" t="str">
        <f ca="1">IFERROR(__xludf.DUMMYFUNCTION("GOOGLETRANSLATE(A8788,""bn"",""en"")"),"The romantic mood of the film was adventurous")</f>
        <v>The romantic mood of the film was adventurous</v>
      </c>
      <c r="D8788" s="5"/>
      <c r="E8788" s="5"/>
      <c r="F8788" s="5"/>
      <c r="G8788" s="5"/>
      <c r="H8788" s="5"/>
      <c r="I8788" s="5"/>
      <c r="J8788" s="5"/>
      <c r="K8788" s="5"/>
      <c r="L8788" s="5"/>
      <c r="M8788" s="5"/>
      <c r="N8788" s="5"/>
      <c r="O8788" s="5"/>
      <c r="P8788" s="5"/>
      <c r="Q8788" s="5"/>
      <c r="R8788" s="5"/>
      <c r="S8788" s="5"/>
      <c r="T8788" s="5"/>
      <c r="U8788" s="5"/>
      <c r="V8788" s="5"/>
      <c r="W8788" s="5"/>
      <c r="X8788" s="5"/>
      <c r="Y8788" s="5"/>
      <c r="Z8788" s="5"/>
    </row>
    <row r="8789" spans="1:26" ht="15" x14ac:dyDescent="0.25">
      <c r="A8789" s="4" t="s">
        <v>8787</v>
      </c>
      <c r="B8789" s="4" t="s">
        <v>4550</v>
      </c>
      <c r="C8789" s="2" t="str">
        <f ca="1">IFERROR(__xludf.DUMMYFUNCTION("GOOGLETRANSLATE(A8789,""bn"",""en"")"),"I went to see the wonderful beauty of the sea")</f>
        <v>I went to see the wonderful beauty of the sea</v>
      </c>
      <c r="D8789" s="5"/>
      <c r="E8789" s="5"/>
      <c r="F8789" s="5"/>
      <c r="G8789" s="5"/>
      <c r="H8789" s="5"/>
      <c r="I8789" s="5"/>
      <c r="J8789" s="5"/>
      <c r="K8789" s="5"/>
      <c r="L8789" s="5"/>
      <c r="M8789" s="5"/>
      <c r="N8789" s="5"/>
      <c r="O8789" s="5"/>
      <c r="P8789" s="5"/>
      <c r="Q8789" s="5"/>
      <c r="R8789" s="5"/>
      <c r="S8789" s="5"/>
      <c r="T8789" s="5"/>
      <c r="U8789" s="5"/>
      <c r="V8789" s="5"/>
      <c r="W8789" s="5"/>
      <c r="X8789" s="5"/>
      <c r="Y8789" s="5"/>
      <c r="Z8789" s="5"/>
    </row>
    <row r="8790" spans="1:26" ht="15" x14ac:dyDescent="0.25">
      <c r="A8790" s="4" t="s">
        <v>8788</v>
      </c>
      <c r="B8790" s="4" t="s">
        <v>4550</v>
      </c>
      <c r="C8790" s="2" t="str">
        <f ca="1">IFERROR(__xludf.DUMMYFUNCTION("GOOGLETRANSLATE(A8790,""bn"",""en"")"),"I went to Dhaka to buy a laptop")</f>
        <v>I went to Dhaka to buy a laptop</v>
      </c>
      <c r="D8790" s="5"/>
      <c r="E8790" s="5"/>
      <c r="F8790" s="5"/>
      <c r="G8790" s="5"/>
      <c r="H8790" s="5"/>
      <c r="I8790" s="5"/>
      <c r="J8790" s="5"/>
      <c r="K8790" s="5"/>
      <c r="L8790" s="5"/>
      <c r="M8790" s="5"/>
      <c r="N8790" s="5"/>
      <c r="O8790" s="5"/>
      <c r="P8790" s="5"/>
      <c r="Q8790" s="5"/>
      <c r="R8790" s="5"/>
      <c r="S8790" s="5"/>
      <c r="T8790" s="5"/>
      <c r="U8790" s="5"/>
      <c r="V8790" s="5"/>
      <c r="W8790" s="5"/>
      <c r="X8790" s="5"/>
      <c r="Y8790" s="5"/>
      <c r="Z8790" s="5"/>
    </row>
    <row r="8791" spans="1:26" ht="15" x14ac:dyDescent="0.25">
      <c r="A8791" s="4" t="s">
        <v>8789</v>
      </c>
      <c r="B8791" s="4" t="s">
        <v>4550</v>
      </c>
      <c r="C8791" s="2" t="str">
        <f ca="1">IFERROR(__xludf.DUMMYFUNCTION("GOOGLETRANSLATE(A8791,""bn"",""en"")"),"I wanted to buy a laptop")</f>
        <v>I wanted to buy a laptop</v>
      </c>
      <c r="D8791" s="5"/>
      <c r="E8791" s="5"/>
      <c r="F8791" s="5"/>
      <c r="G8791" s="5"/>
      <c r="H8791" s="5"/>
      <c r="I8791" s="5"/>
      <c r="J8791" s="5"/>
      <c r="K8791" s="5"/>
      <c r="L8791" s="5"/>
      <c r="M8791" s="5"/>
      <c r="N8791" s="5"/>
      <c r="O8791" s="5"/>
      <c r="P8791" s="5"/>
      <c r="Q8791" s="5"/>
      <c r="R8791" s="5"/>
      <c r="S8791" s="5"/>
      <c r="T8791" s="5"/>
      <c r="U8791" s="5"/>
      <c r="V8791" s="5"/>
      <c r="W8791" s="5"/>
      <c r="X8791" s="5"/>
      <c r="Y8791" s="5"/>
      <c r="Z8791" s="5"/>
    </row>
    <row r="8792" spans="1:26" ht="15" x14ac:dyDescent="0.25">
      <c r="A8792" s="4" t="s">
        <v>8790</v>
      </c>
      <c r="B8792" s="4" t="s">
        <v>4550</v>
      </c>
      <c r="C8792" s="2" t="str">
        <f ca="1">IFERROR(__xludf.DUMMYFUNCTION("GOOGLETRANSLATE(A8792,""bn"",""en"")"),"Africa was the longest continent in the world")</f>
        <v>Africa was the longest continent in the world</v>
      </c>
      <c r="D8792" s="5"/>
      <c r="E8792" s="5"/>
      <c r="F8792" s="5"/>
      <c r="G8792" s="5"/>
      <c r="H8792" s="5"/>
      <c r="I8792" s="5"/>
      <c r="J8792" s="5"/>
      <c r="K8792" s="5"/>
      <c r="L8792" s="5"/>
      <c r="M8792" s="5"/>
      <c r="N8792" s="5"/>
      <c r="O8792" s="5"/>
      <c r="P8792" s="5"/>
      <c r="Q8792" s="5"/>
      <c r="R8792" s="5"/>
      <c r="S8792" s="5"/>
      <c r="T8792" s="5"/>
      <c r="U8792" s="5"/>
      <c r="V8792" s="5"/>
      <c r="W8792" s="5"/>
      <c r="X8792" s="5"/>
      <c r="Y8792" s="5"/>
      <c r="Z8792" s="5"/>
    </row>
    <row r="8793" spans="1:26" ht="15" x14ac:dyDescent="0.25">
      <c r="A8793" s="4" t="s">
        <v>8791</v>
      </c>
      <c r="B8793" s="4" t="s">
        <v>4550</v>
      </c>
      <c r="C8793" s="2" t="str">
        <f ca="1">IFERROR(__xludf.DUMMYFUNCTION("GOOGLETRANSLATE(A8793,""bn"",""en"")"),"The Prime Minister discussed politics")</f>
        <v>The Prime Minister discussed politics</v>
      </c>
      <c r="D8793" s="5"/>
      <c r="E8793" s="5"/>
      <c r="F8793" s="5"/>
      <c r="G8793" s="5"/>
      <c r="H8793" s="5"/>
      <c r="I8793" s="5"/>
      <c r="J8793" s="5"/>
      <c r="K8793" s="5"/>
      <c r="L8793" s="5"/>
      <c r="M8793" s="5"/>
      <c r="N8793" s="5"/>
      <c r="O8793" s="5"/>
      <c r="P8793" s="5"/>
      <c r="Q8793" s="5"/>
      <c r="R8793" s="5"/>
      <c r="S8793" s="5"/>
      <c r="T8793" s="5"/>
      <c r="U8793" s="5"/>
      <c r="V8793" s="5"/>
      <c r="W8793" s="5"/>
      <c r="X8793" s="5"/>
      <c r="Y8793" s="5"/>
      <c r="Z8793" s="5"/>
    </row>
    <row r="8794" spans="1:26" ht="15" x14ac:dyDescent="0.25">
      <c r="A8794" s="4" t="s">
        <v>8792</v>
      </c>
      <c r="B8794" s="4" t="s">
        <v>4550</v>
      </c>
      <c r="C8794" s="2" t="str">
        <f ca="1">IFERROR(__xludf.DUMMYFUNCTION("GOOGLETRANSLATE(A8794,""bn"",""en"")"),"Vidya was dealt with through liberation")</f>
        <v>Vidya was dealt with through liberation</v>
      </c>
      <c r="D8794" s="5"/>
      <c r="E8794" s="5"/>
      <c r="F8794" s="5"/>
      <c r="G8794" s="5"/>
      <c r="H8794" s="5"/>
      <c r="I8794" s="5"/>
      <c r="J8794" s="5"/>
      <c r="K8794" s="5"/>
      <c r="L8794" s="5"/>
      <c r="M8794" s="5"/>
      <c r="N8794" s="5"/>
      <c r="O8794" s="5"/>
      <c r="P8794" s="5"/>
      <c r="Q8794" s="5"/>
      <c r="R8794" s="5"/>
      <c r="S8794" s="5"/>
      <c r="T8794" s="5"/>
      <c r="U8794" s="5"/>
      <c r="V8794" s="5"/>
      <c r="W8794" s="5"/>
      <c r="X8794" s="5"/>
      <c r="Y8794" s="5"/>
      <c r="Z8794" s="5"/>
    </row>
    <row r="8795" spans="1:26" ht="15" x14ac:dyDescent="0.25">
      <c r="A8795" s="4" t="s">
        <v>8793</v>
      </c>
      <c r="B8795" s="4" t="s">
        <v>4550</v>
      </c>
      <c r="C8795" s="2" t="str">
        <f ca="1">IFERROR(__xludf.DUMMYFUNCTION("GOOGLETRANSLATE(A8795,""bn"",""en"")"),"I taught myself something new on the internet")</f>
        <v>I taught myself something new on the internet</v>
      </c>
      <c r="D8795" s="5"/>
      <c r="E8795" s="5"/>
      <c r="F8795" s="5"/>
      <c r="G8795" s="5"/>
      <c r="H8795" s="5"/>
      <c r="I8795" s="5"/>
      <c r="J8795" s="5"/>
      <c r="K8795" s="5"/>
      <c r="L8795" s="5"/>
      <c r="M8795" s="5"/>
      <c r="N8795" s="5"/>
      <c r="O8795" s="5"/>
      <c r="P8795" s="5"/>
      <c r="Q8795" s="5"/>
      <c r="R8795" s="5"/>
      <c r="S8795" s="5"/>
      <c r="T8795" s="5"/>
      <c r="U8795" s="5"/>
      <c r="V8795" s="5"/>
      <c r="W8795" s="5"/>
      <c r="X8795" s="5"/>
      <c r="Y8795" s="5"/>
      <c r="Z8795" s="5"/>
    </row>
    <row r="8796" spans="1:26" ht="15" x14ac:dyDescent="0.25">
      <c r="A8796" s="4" t="s">
        <v>8794</v>
      </c>
      <c r="B8796" s="4" t="s">
        <v>4550</v>
      </c>
      <c r="C8796" s="2" t="str">
        <f ca="1">IFERROR(__xludf.DUMMYFUNCTION("GOOGLETRANSLATE(A8796,""bn"",""en"")"),"I got permission to do online banking in the bank")</f>
        <v>I got permission to do online banking in the bank</v>
      </c>
      <c r="D8796" s="5"/>
      <c r="E8796" s="5"/>
      <c r="F8796" s="5"/>
      <c r="G8796" s="5"/>
      <c r="H8796" s="5"/>
      <c r="I8796" s="5"/>
      <c r="J8796" s="5"/>
      <c r="K8796" s="5"/>
      <c r="L8796" s="5"/>
      <c r="M8796" s="5"/>
      <c r="N8796" s="5"/>
      <c r="O8796" s="5"/>
      <c r="P8796" s="5"/>
      <c r="Q8796" s="5"/>
      <c r="R8796" s="5"/>
      <c r="S8796" s="5"/>
      <c r="T8796" s="5"/>
      <c r="U8796" s="5"/>
      <c r="V8796" s="5"/>
      <c r="W8796" s="5"/>
      <c r="X8796" s="5"/>
      <c r="Y8796" s="5"/>
      <c r="Z8796" s="5"/>
    </row>
    <row r="8797" spans="1:26" ht="15" x14ac:dyDescent="0.25">
      <c r="A8797" s="4" t="s">
        <v>8795</v>
      </c>
      <c r="B8797" s="4" t="s">
        <v>4550</v>
      </c>
      <c r="C8797" s="2" t="str">
        <f ca="1">IFERROR(__xludf.DUMMYFUNCTION("GOOGLETRANSLATE(A8797,""bn"",""en"")"),"Global citizenship was experienced")</f>
        <v>Global citizenship was experienced</v>
      </c>
      <c r="D8797" s="5"/>
      <c r="E8797" s="5"/>
      <c r="F8797" s="5"/>
      <c r="G8797" s="5"/>
      <c r="H8797" s="5"/>
      <c r="I8797" s="5"/>
      <c r="J8797" s="5"/>
      <c r="K8797" s="5"/>
      <c r="L8797" s="5"/>
      <c r="M8797" s="5"/>
      <c r="N8797" s="5"/>
      <c r="O8797" s="5"/>
      <c r="P8797" s="5"/>
      <c r="Q8797" s="5"/>
      <c r="R8797" s="5"/>
      <c r="S8797" s="5"/>
      <c r="T8797" s="5"/>
      <c r="U8797" s="5"/>
      <c r="V8797" s="5"/>
      <c r="W8797" s="5"/>
      <c r="X8797" s="5"/>
      <c r="Y8797" s="5"/>
      <c r="Z8797" s="5"/>
    </row>
    <row r="8798" spans="1:26" ht="15" x14ac:dyDescent="0.25">
      <c r="A8798" s="4" t="s">
        <v>8796</v>
      </c>
      <c r="B8798" s="4" t="s">
        <v>4550</v>
      </c>
      <c r="C8798" s="2" t="str">
        <f ca="1">IFERROR(__xludf.DUMMYFUNCTION("GOOGLETRANSLATE(A8798,""bn"",""en"")"),"Everyone wanted education for children")</f>
        <v>Everyone wanted education for children</v>
      </c>
      <c r="D8798" s="5"/>
      <c r="E8798" s="5"/>
      <c r="F8798" s="5"/>
      <c r="G8798" s="5"/>
      <c r="H8798" s="5"/>
      <c r="I8798" s="5"/>
      <c r="J8798" s="5"/>
      <c r="K8798" s="5"/>
      <c r="L8798" s="5"/>
      <c r="M8798" s="5"/>
      <c r="N8798" s="5"/>
      <c r="O8798" s="5"/>
      <c r="P8798" s="5"/>
      <c r="Q8798" s="5"/>
      <c r="R8798" s="5"/>
      <c r="S8798" s="5"/>
      <c r="T8798" s="5"/>
      <c r="U8798" s="5"/>
      <c r="V8798" s="5"/>
      <c r="W8798" s="5"/>
      <c r="X8798" s="5"/>
      <c r="Y8798" s="5"/>
      <c r="Z8798" s="5"/>
    </row>
    <row r="8799" spans="1:26" ht="15" x14ac:dyDescent="0.25">
      <c r="A8799" s="4" t="s">
        <v>8797</v>
      </c>
      <c r="B8799" s="4" t="s">
        <v>4550</v>
      </c>
      <c r="C8799" s="2" t="str">
        <f ca="1">IFERROR(__xludf.DUMMYFUNCTION("GOOGLETRANSLATE(A8799,""bn"",""en"")"),"There was no economic problem in the country")</f>
        <v>There was no economic problem in the country</v>
      </c>
      <c r="D8799" s="5"/>
      <c r="E8799" s="5"/>
      <c r="F8799" s="5"/>
      <c r="G8799" s="5"/>
      <c r="H8799" s="5"/>
      <c r="I8799" s="5"/>
      <c r="J8799" s="5"/>
      <c r="K8799" s="5"/>
      <c r="L8799" s="5"/>
      <c r="M8799" s="5"/>
      <c r="N8799" s="5"/>
      <c r="O8799" s="5"/>
      <c r="P8799" s="5"/>
      <c r="Q8799" s="5"/>
      <c r="R8799" s="5"/>
      <c r="S8799" s="5"/>
      <c r="T8799" s="5"/>
      <c r="U8799" s="5"/>
      <c r="V8799" s="5"/>
      <c r="W8799" s="5"/>
      <c r="X8799" s="5"/>
      <c r="Y8799" s="5"/>
      <c r="Z8799" s="5"/>
    </row>
    <row r="8800" spans="1:26" ht="15" x14ac:dyDescent="0.25">
      <c r="A8800" s="4" t="s">
        <v>8798</v>
      </c>
      <c r="B8800" s="4" t="s">
        <v>4550</v>
      </c>
      <c r="C8800" s="2" t="str">
        <f ca="1">IFERROR(__xludf.DUMMYFUNCTION("GOOGLETRANSLATE(A8800,""bn"",""en"")"),"I used the new drone")</f>
        <v>I used the new drone</v>
      </c>
      <c r="D8800" s="5"/>
      <c r="E8800" s="5"/>
      <c r="F8800" s="5"/>
      <c r="G8800" s="5"/>
      <c r="H8800" s="5"/>
      <c r="I8800" s="5"/>
      <c r="J8800" s="5"/>
      <c r="K8800" s="5"/>
      <c r="L8800" s="5"/>
      <c r="M8800" s="5"/>
      <c r="N8800" s="5"/>
      <c r="O8800" s="5"/>
      <c r="P8800" s="5"/>
      <c r="Q8800" s="5"/>
      <c r="R8800" s="5"/>
      <c r="S8800" s="5"/>
      <c r="T8800" s="5"/>
      <c r="U8800" s="5"/>
      <c r="V8800" s="5"/>
      <c r="W8800" s="5"/>
      <c r="X8800" s="5"/>
      <c r="Y8800" s="5"/>
      <c r="Z8800" s="5"/>
    </row>
    <row r="8801" spans="1:26" ht="15" x14ac:dyDescent="0.25">
      <c r="A8801" s="4" t="s">
        <v>8799</v>
      </c>
      <c r="B8801" s="4" t="s">
        <v>4550</v>
      </c>
      <c r="C8801" s="2" t="str">
        <f ca="1">IFERROR(__xludf.DUMMYFUNCTION("GOOGLETRANSLATE(A8801,""bn"",""en"")"),"I was traveling to my dream country")</f>
        <v>I was traveling to my dream country</v>
      </c>
      <c r="D8801" s="5"/>
      <c r="E8801" s="5"/>
      <c r="F8801" s="5"/>
      <c r="G8801" s="5"/>
      <c r="H8801" s="5"/>
      <c r="I8801" s="5"/>
      <c r="J8801" s="5"/>
      <c r="K8801" s="5"/>
      <c r="L8801" s="5"/>
      <c r="M8801" s="5"/>
      <c r="N8801" s="5"/>
      <c r="O8801" s="5"/>
      <c r="P8801" s="5"/>
      <c r="Q8801" s="5"/>
      <c r="R8801" s="5"/>
      <c r="S8801" s="5"/>
      <c r="T8801" s="5"/>
      <c r="U8801" s="5"/>
      <c r="V8801" s="5"/>
      <c r="W8801" s="5"/>
      <c r="X8801" s="5"/>
      <c r="Y8801" s="5"/>
      <c r="Z8801" s="5"/>
    </row>
    <row r="8802" spans="1:26" ht="15" x14ac:dyDescent="0.25">
      <c r="A8802" s="4" t="s">
        <v>8800</v>
      </c>
      <c r="B8802" s="4" t="s">
        <v>4550</v>
      </c>
      <c r="C8802" s="2" t="str">
        <f ca="1">IFERROR(__xludf.DUMMYFUNCTION("GOOGLETRANSLATE(A8802,""bn"",""en"")"),"I created a new website")</f>
        <v>I created a new website</v>
      </c>
      <c r="D8802" s="5"/>
      <c r="E8802" s="5"/>
      <c r="F8802" s="5"/>
      <c r="G8802" s="5"/>
      <c r="H8802" s="5"/>
      <c r="I8802" s="5"/>
      <c r="J8802" s="5"/>
      <c r="K8802" s="5"/>
      <c r="L8802" s="5"/>
      <c r="M8802" s="5"/>
      <c r="N8802" s="5"/>
      <c r="O8802" s="5"/>
      <c r="P8802" s="5"/>
      <c r="Q8802" s="5"/>
      <c r="R8802" s="5"/>
      <c r="S8802" s="5"/>
      <c r="T8802" s="5"/>
      <c r="U8802" s="5"/>
      <c r="V8802" s="5"/>
      <c r="W8802" s="5"/>
      <c r="X8802" s="5"/>
      <c r="Y8802" s="5"/>
      <c r="Z8802" s="5"/>
    </row>
    <row r="8803" spans="1:26" ht="15" x14ac:dyDescent="0.25">
      <c r="A8803" s="4" t="s">
        <v>8801</v>
      </c>
      <c r="B8803" s="4" t="s">
        <v>4550</v>
      </c>
      <c r="C8803" s="2" t="str">
        <f ca="1">IFERROR(__xludf.DUMMYFUNCTION("GOOGLETRANSLATE(A8803,""bn"",""en"")"),"I used to browse google")</f>
        <v>I used to browse google</v>
      </c>
      <c r="D8803" s="5"/>
      <c r="E8803" s="5"/>
      <c r="F8803" s="5"/>
      <c r="G8803" s="5"/>
      <c r="H8803" s="5"/>
      <c r="I8803" s="5"/>
      <c r="J8803" s="5"/>
      <c r="K8803" s="5"/>
      <c r="L8803" s="5"/>
      <c r="M8803" s="5"/>
      <c r="N8803" s="5"/>
      <c r="O8803" s="5"/>
      <c r="P8803" s="5"/>
      <c r="Q8803" s="5"/>
      <c r="R8803" s="5"/>
      <c r="S8803" s="5"/>
      <c r="T8803" s="5"/>
      <c r="U8803" s="5"/>
      <c r="V8803" s="5"/>
      <c r="W8803" s="5"/>
      <c r="X8803" s="5"/>
      <c r="Y8803" s="5"/>
      <c r="Z8803" s="5"/>
    </row>
    <row r="8804" spans="1:26" ht="15" x14ac:dyDescent="0.25">
      <c r="A8804" s="4" t="s">
        <v>8802</v>
      </c>
      <c r="B8804" s="4" t="s">
        <v>4550</v>
      </c>
      <c r="C8804" s="2" t="str">
        <f ca="1">IFERROR(__xludf.DUMMYFUNCTION("GOOGLETRANSLATE(A8804,""bn"",""en"")"),"Browsing Google was no longer fun")</f>
        <v>Browsing Google was no longer fun</v>
      </c>
      <c r="D8804" s="5"/>
      <c r="E8804" s="5"/>
      <c r="F8804" s="5"/>
      <c r="G8804" s="5"/>
      <c r="H8804" s="5"/>
      <c r="I8804" s="5"/>
      <c r="J8804" s="5"/>
      <c r="K8804" s="5"/>
      <c r="L8804" s="5"/>
      <c r="M8804" s="5"/>
      <c r="N8804" s="5"/>
      <c r="O8804" s="5"/>
      <c r="P8804" s="5"/>
      <c r="Q8804" s="5"/>
      <c r="R8804" s="5"/>
      <c r="S8804" s="5"/>
      <c r="T8804" s="5"/>
      <c r="U8804" s="5"/>
      <c r="V8804" s="5"/>
      <c r="W8804" s="5"/>
      <c r="X8804" s="5"/>
      <c r="Y8804" s="5"/>
      <c r="Z8804" s="5"/>
    </row>
    <row r="8805" spans="1:26" ht="15" x14ac:dyDescent="0.25">
      <c r="A8805" s="4" t="s">
        <v>8803</v>
      </c>
      <c r="B8805" s="4" t="s">
        <v>4550</v>
      </c>
      <c r="C8805" s="2" t="str">
        <f ca="1">IFERROR(__xludf.DUMMYFUNCTION("GOOGLETRANSLATE(A8805,""bn"",""en"")"),"Prices were increasing in foreign goods")</f>
        <v>Prices were increasing in foreign goods</v>
      </c>
      <c r="D8805" s="5"/>
      <c r="E8805" s="5"/>
      <c r="F8805" s="5"/>
      <c r="G8805" s="5"/>
      <c r="H8805" s="5"/>
      <c r="I8805" s="5"/>
      <c r="J8805" s="5"/>
      <c r="K8805" s="5"/>
      <c r="L8805" s="5"/>
      <c r="M8805" s="5"/>
      <c r="N8805" s="5"/>
      <c r="O8805" s="5"/>
      <c r="P8805" s="5"/>
      <c r="Q8805" s="5"/>
      <c r="R8805" s="5"/>
      <c r="S8805" s="5"/>
      <c r="T8805" s="5"/>
      <c r="U8805" s="5"/>
      <c r="V8805" s="5"/>
      <c r="W8805" s="5"/>
      <c r="X8805" s="5"/>
      <c r="Y8805" s="5"/>
      <c r="Z8805" s="5"/>
    </row>
    <row r="8806" spans="1:26" ht="15" x14ac:dyDescent="0.25">
      <c r="A8806" s="4" t="s">
        <v>8804</v>
      </c>
      <c r="B8806" s="4" t="s">
        <v>4550</v>
      </c>
      <c r="C8806" s="2" t="str">
        <f ca="1">IFERROR(__xludf.DUMMYFUNCTION("GOOGLETRANSLATE(A8806,""bn"",""en"")"),"I wanted to go trekking in the mountains")</f>
        <v>I wanted to go trekking in the mountains</v>
      </c>
      <c r="D8806" s="5"/>
      <c r="E8806" s="5"/>
      <c r="F8806" s="5"/>
      <c r="G8806" s="5"/>
      <c r="H8806" s="5"/>
      <c r="I8806" s="5"/>
      <c r="J8806" s="5"/>
      <c r="K8806" s="5"/>
      <c r="L8806" s="5"/>
      <c r="M8806" s="5"/>
      <c r="N8806" s="5"/>
      <c r="O8806" s="5"/>
      <c r="P8806" s="5"/>
      <c r="Q8806" s="5"/>
      <c r="R8806" s="5"/>
      <c r="S8806" s="5"/>
      <c r="T8806" s="5"/>
      <c r="U8806" s="5"/>
      <c r="V8806" s="5"/>
      <c r="W8806" s="5"/>
      <c r="X8806" s="5"/>
      <c r="Y8806" s="5"/>
      <c r="Z8806" s="5"/>
    </row>
    <row r="8807" spans="1:26" ht="15" x14ac:dyDescent="0.25">
      <c r="A8807" s="4" t="s">
        <v>8805</v>
      </c>
      <c r="B8807" s="4" t="s">
        <v>4550</v>
      </c>
      <c r="C8807" s="2" t="str">
        <f ca="1">IFERROR(__xludf.DUMMYFUNCTION("GOOGLETRANSLATE(A8807,""bn"",""en"")"),"Universities encouraged debating competition")</f>
        <v>Universities encouraged debating competition</v>
      </c>
      <c r="D8807" s="5"/>
      <c r="E8807" s="5"/>
      <c r="F8807" s="5"/>
      <c r="G8807" s="5"/>
      <c r="H8807" s="5"/>
      <c r="I8807" s="5"/>
      <c r="J8807" s="5"/>
      <c r="K8807" s="5"/>
      <c r="L8807" s="5"/>
      <c r="M8807" s="5"/>
      <c r="N8807" s="5"/>
      <c r="O8807" s="5"/>
      <c r="P8807" s="5"/>
      <c r="Q8807" s="5"/>
      <c r="R8807" s="5"/>
      <c r="S8807" s="5"/>
      <c r="T8807" s="5"/>
      <c r="U8807" s="5"/>
      <c r="V8807" s="5"/>
      <c r="W8807" s="5"/>
      <c r="X8807" s="5"/>
      <c r="Y8807" s="5"/>
      <c r="Z8807" s="5"/>
    </row>
    <row r="8808" spans="1:26" ht="15" x14ac:dyDescent="0.25">
      <c r="A8808" s="4" t="s">
        <v>8806</v>
      </c>
      <c r="B8808" s="4" t="s">
        <v>4550</v>
      </c>
      <c r="C8808" s="2" t="str">
        <f ca="1">IFERROR(__xludf.DUMMYFUNCTION("GOOGLETRANSLATE(A8808,""bn"",""en"")"),"I got appreciation for doing good results")</f>
        <v>I got appreciation for doing good results</v>
      </c>
      <c r="D8808" s="5"/>
      <c r="E8808" s="5"/>
      <c r="F8808" s="5"/>
      <c r="G8808" s="5"/>
      <c r="H8808" s="5"/>
      <c r="I8808" s="5"/>
      <c r="J8808" s="5"/>
      <c r="K8808" s="5"/>
      <c r="L8808" s="5"/>
      <c r="M8808" s="5"/>
      <c r="N8808" s="5"/>
      <c r="O8808" s="5"/>
      <c r="P8808" s="5"/>
      <c r="Q8808" s="5"/>
      <c r="R8808" s="5"/>
      <c r="S8808" s="5"/>
      <c r="T8808" s="5"/>
      <c r="U8808" s="5"/>
      <c r="V8808" s="5"/>
      <c r="W8808" s="5"/>
      <c r="X8808" s="5"/>
      <c r="Y8808" s="5"/>
      <c r="Z8808" s="5"/>
    </row>
    <row r="8809" spans="1:26" ht="15" x14ac:dyDescent="0.25">
      <c r="A8809" s="4" t="s">
        <v>8807</v>
      </c>
      <c r="B8809" s="4" t="s">
        <v>4550</v>
      </c>
      <c r="C8809" s="2" t="str">
        <f ca="1">IFERROR(__xludf.DUMMYFUNCTION("GOOGLETRANSLATE(A8809,""bn"",""en"")"),"Easily used wireless camera")</f>
        <v>Easily used wireless camera</v>
      </c>
      <c r="D8809" s="5"/>
      <c r="E8809" s="5"/>
      <c r="F8809" s="5"/>
      <c r="G8809" s="5"/>
      <c r="H8809" s="5"/>
      <c r="I8809" s="5"/>
      <c r="J8809" s="5"/>
      <c r="K8809" s="5"/>
      <c r="L8809" s="5"/>
      <c r="M8809" s="5"/>
      <c r="N8809" s="5"/>
      <c r="O8809" s="5"/>
      <c r="P8809" s="5"/>
      <c r="Q8809" s="5"/>
      <c r="R8809" s="5"/>
      <c r="S8809" s="5"/>
      <c r="T8809" s="5"/>
      <c r="U8809" s="5"/>
      <c r="V8809" s="5"/>
      <c r="W8809" s="5"/>
      <c r="X8809" s="5"/>
      <c r="Y8809" s="5"/>
      <c r="Z8809" s="5"/>
    </row>
    <row r="8810" spans="1:26" ht="15" x14ac:dyDescent="0.25">
      <c r="A8810" s="4" t="s">
        <v>8808</v>
      </c>
      <c r="B8810" s="4" t="s">
        <v>4550</v>
      </c>
      <c r="C8810" s="2" t="str">
        <f ca="1">IFERROR(__xludf.DUMMYFUNCTION("GOOGLETRANSLATE(A8810,""bn"",""en"")"),"The most beautiful aspect was the natural beauty")</f>
        <v>The most beautiful aspect was the natural beauty</v>
      </c>
      <c r="D8810" s="5"/>
      <c r="E8810" s="5"/>
      <c r="F8810" s="5"/>
      <c r="G8810" s="5"/>
      <c r="H8810" s="5"/>
      <c r="I8810" s="5"/>
      <c r="J8810" s="5"/>
      <c r="K8810" s="5"/>
      <c r="L8810" s="5"/>
      <c r="M8810" s="5"/>
      <c r="N8810" s="5"/>
      <c r="O8810" s="5"/>
      <c r="P8810" s="5"/>
      <c r="Q8810" s="5"/>
      <c r="R8810" s="5"/>
      <c r="S8810" s="5"/>
      <c r="T8810" s="5"/>
      <c r="U8810" s="5"/>
      <c r="V8810" s="5"/>
      <c r="W8810" s="5"/>
      <c r="X8810" s="5"/>
      <c r="Y8810" s="5"/>
      <c r="Z8810" s="5"/>
    </row>
    <row r="8811" spans="1:26" ht="15" x14ac:dyDescent="0.25">
      <c r="A8811" s="4" t="s">
        <v>8809</v>
      </c>
      <c r="B8811" s="4" t="s">
        <v>4550</v>
      </c>
      <c r="C8811" s="2" t="str">
        <f ca="1">IFERROR(__xludf.DUMMYFUNCTION("GOOGLETRANSLATE(A8811,""bn"",""en"")"),"There was competitive behavior among the students")</f>
        <v>There was competitive behavior among the students</v>
      </c>
      <c r="D8811" s="5"/>
      <c r="E8811" s="5"/>
      <c r="F8811" s="5"/>
      <c r="G8811" s="5"/>
      <c r="H8811" s="5"/>
      <c r="I8811" s="5"/>
      <c r="J8811" s="5"/>
      <c r="K8811" s="5"/>
      <c r="L8811" s="5"/>
      <c r="M8811" s="5"/>
      <c r="N8811" s="5"/>
      <c r="O8811" s="5"/>
      <c r="P8811" s="5"/>
      <c r="Q8811" s="5"/>
      <c r="R8811" s="5"/>
      <c r="S8811" s="5"/>
      <c r="T8811" s="5"/>
      <c r="U8811" s="5"/>
      <c r="V8811" s="5"/>
      <c r="W8811" s="5"/>
      <c r="X8811" s="5"/>
      <c r="Y8811" s="5"/>
      <c r="Z8811" s="5"/>
    </row>
    <row r="8812" spans="1:26" ht="15" x14ac:dyDescent="0.25">
      <c r="A8812" s="4" t="s">
        <v>8810</v>
      </c>
      <c r="B8812" s="4" t="s">
        <v>4550</v>
      </c>
      <c r="C8812" s="2" t="str">
        <f ca="1">IFERROR(__xludf.DUMMYFUNCTION("GOOGLETRANSLATE(A8812,""bn"",""en"")"),"I wanted to buy a camera")</f>
        <v>I wanted to buy a camera</v>
      </c>
      <c r="D8812" s="5"/>
      <c r="E8812" s="5"/>
      <c r="F8812" s="5"/>
      <c r="G8812" s="5"/>
      <c r="H8812" s="5"/>
      <c r="I8812" s="5"/>
      <c r="J8812" s="5"/>
      <c r="K8812" s="5"/>
      <c r="L8812" s="5"/>
      <c r="M8812" s="5"/>
      <c r="N8812" s="5"/>
      <c r="O8812" s="5"/>
      <c r="P8812" s="5"/>
      <c r="Q8812" s="5"/>
      <c r="R8812" s="5"/>
      <c r="S8812" s="5"/>
      <c r="T8812" s="5"/>
      <c r="U8812" s="5"/>
      <c r="V8812" s="5"/>
      <c r="W8812" s="5"/>
      <c r="X8812" s="5"/>
      <c r="Y8812" s="5"/>
      <c r="Z8812" s="5"/>
    </row>
    <row r="8813" spans="1:26" ht="15" x14ac:dyDescent="0.25">
      <c r="A8813" s="4" t="s">
        <v>8811</v>
      </c>
      <c r="B8813" s="4" t="s">
        <v>4550</v>
      </c>
      <c r="C8813" s="2" t="str">
        <f ca="1">IFERROR(__xludf.DUMMYFUNCTION("GOOGLETRANSLATE(A8813,""bn"",""en"")"),"You wanted to see important places")</f>
        <v>You wanted to see important places</v>
      </c>
      <c r="D8813" s="5"/>
      <c r="E8813" s="5"/>
      <c r="F8813" s="5"/>
      <c r="G8813" s="5"/>
      <c r="H8813" s="5"/>
      <c r="I8813" s="5"/>
      <c r="J8813" s="5"/>
      <c r="K8813" s="5"/>
      <c r="L8813" s="5"/>
      <c r="M8813" s="5"/>
      <c r="N8813" s="5"/>
      <c r="O8813" s="5"/>
      <c r="P8813" s="5"/>
      <c r="Q8813" s="5"/>
      <c r="R8813" s="5"/>
      <c r="S8813" s="5"/>
      <c r="T8813" s="5"/>
      <c r="U8813" s="5"/>
      <c r="V8813" s="5"/>
      <c r="W8813" s="5"/>
      <c r="X8813" s="5"/>
      <c r="Y8813" s="5"/>
      <c r="Z8813" s="5"/>
    </row>
    <row r="8814" spans="1:26" ht="15" x14ac:dyDescent="0.25">
      <c r="A8814" s="4" t="s">
        <v>8812</v>
      </c>
      <c r="B8814" s="4" t="s">
        <v>4550</v>
      </c>
      <c r="C8814" s="2" t="str">
        <f ca="1">IFERROR(__xludf.DUMMYFUNCTION("GOOGLETRANSLATE(A8814,""bn"",""en"")"),"I was taking pictures with a new camera")</f>
        <v>I was taking pictures with a new camera</v>
      </c>
      <c r="D8814" s="5"/>
      <c r="E8814" s="5"/>
      <c r="F8814" s="5"/>
      <c r="G8814" s="5"/>
      <c r="H8814" s="5"/>
      <c r="I8814" s="5"/>
      <c r="J8814" s="5"/>
      <c r="K8814" s="5"/>
      <c r="L8814" s="5"/>
      <c r="M8814" s="5"/>
      <c r="N8814" s="5"/>
      <c r="O8814" s="5"/>
      <c r="P8814" s="5"/>
      <c r="Q8814" s="5"/>
      <c r="R8814" s="5"/>
      <c r="S8814" s="5"/>
      <c r="T8814" s="5"/>
      <c r="U8814" s="5"/>
      <c r="V8814" s="5"/>
      <c r="W8814" s="5"/>
      <c r="X8814" s="5"/>
      <c r="Y8814" s="5"/>
      <c r="Z8814" s="5"/>
    </row>
    <row r="8815" spans="1:26" ht="15" x14ac:dyDescent="0.25">
      <c r="A8815" s="4" t="s">
        <v>8813</v>
      </c>
      <c r="B8815" s="4" t="s">
        <v>4550</v>
      </c>
      <c r="C8815" s="2" t="str">
        <f ca="1">IFERROR(__xludf.DUMMYFUNCTION("GOOGLETRANSLATE(A8815,""bn"",""en"")"),"I was afraid to watch a horror movie")</f>
        <v>I was afraid to watch a horror movie</v>
      </c>
      <c r="D8815" s="5"/>
      <c r="E8815" s="5"/>
      <c r="F8815" s="5"/>
      <c r="G8815" s="5"/>
      <c r="H8815" s="5"/>
      <c r="I8815" s="5"/>
      <c r="J8815" s="5"/>
      <c r="K8815" s="5"/>
      <c r="L8815" s="5"/>
      <c r="M8815" s="5"/>
      <c r="N8815" s="5"/>
      <c r="O8815" s="5"/>
      <c r="P8815" s="5"/>
      <c r="Q8815" s="5"/>
      <c r="R8815" s="5"/>
      <c r="S8815" s="5"/>
      <c r="T8815" s="5"/>
      <c r="U8815" s="5"/>
      <c r="V8815" s="5"/>
      <c r="W8815" s="5"/>
      <c r="X8815" s="5"/>
      <c r="Y8815" s="5"/>
      <c r="Z8815" s="5"/>
    </row>
    <row r="8816" spans="1:26" ht="15" x14ac:dyDescent="0.25">
      <c r="A8816" s="4" t="s">
        <v>8814</v>
      </c>
      <c r="B8816" s="4" t="s">
        <v>4550</v>
      </c>
      <c r="C8816" s="2" t="str">
        <f ca="1">IFERROR(__xludf.DUMMYFUNCTION("GOOGLETRANSLATE(A8816,""bn"",""en"")"),"We exchanged messages on social media")</f>
        <v>We exchanged messages on social media</v>
      </c>
      <c r="D8816" s="5"/>
      <c r="E8816" s="5"/>
      <c r="F8816" s="5"/>
      <c r="G8816" s="5"/>
      <c r="H8816" s="5"/>
      <c r="I8816" s="5"/>
      <c r="J8816" s="5"/>
      <c r="K8816" s="5"/>
      <c r="L8816" s="5"/>
      <c r="M8816" s="5"/>
      <c r="N8816" s="5"/>
      <c r="O8816" s="5"/>
      <c r="P8816" s="5"/>
      <c r="Q8816" s="5"/>
      <c r="R8816" s="5"/>
      <c r="S8816" s="5"/>
      <c r="T8816" s="5"/>
      <c r="U8816" s="5"/>
      <c r="V8816" s="5"/>
      <c r="W8816" s="5"/>
      <c r="X8816" s="5"/>
      <c r="Y8816" s="5"/>
      <c r="Z8816" s="5"/>
    </row>
    <row r="8817" spans="1:26" ht="15" x14ac:dyDescent="0.25">
      <c r="A8817" s="4" t="s">
        <v>8815</v>
      </c>
      <c r="B8817" s="4" t="s">
        <v>4550</v>
      </c>
      <c r="C8817" s="2" t="str">
        <f ca="1">IFERROR(__xludf.DUMMYFUNCTION("GOOGLETRANSLATE(A8817,""bn"",""en"")"),"Extensive work was done on financial development")</f>
        <v>Extensive work was done on financial development</v>
      </c>
      <c r="D8817" s="5"/>
      <c r="E8817" s="5"/>
      <c r="F8817" s="5"/>
      <c r="G8817" s="5"/>
      <c r="H8817" s="5"/>
      <c r="I8817" s="5"/>
      <c r="J8817" s="5"/>
      <c r="K8817" s="5"/>
      <c r="L8817" s="5"/>
      <c r="M8817" s="5"/>
      <c r="N8817" s="5"/>
      <c r="O8817" s="5"/>
      <c r="P8817" s="5"/>
      <c r="Q8817" s="5"/>
      <c r="R8817" s="5"/>
      <c r="S8817" s="5"/>
      <c r="T8817" s="5"/>
      <c r="U8817" s="5"/>
      <c r="V8817" s="5"/>
      <c r="W8817" s="5"/>
      <c r="X8817" s="5"/>
      <c r="Y8817" s="5"/>
      <c r="Z8817" s="5"/>
    </row>
    <row r="8818" spans="1:26" ht="15" x14ac:dyDescent="0.25">
      <c r="A8818" s="4" t="s">
        <v>8816</v>
      </c>
      <c r="B8818" s="4" t="s">
        <v>4550</v>
      </c>
      <c r="C8818" s="2" t="str">
        <f ca="1">IFERROR(__xludf.DUMMYFUNCTION("GOOGLETRANSLATE(A8818,""bn"",""en"")"),"I found peace in sea travel")</f>
        <v>I found peace in sea travel</v>
      </c>
      <c r="D8818" s="5"/>
      <c r="E8818" s="5"/>
      <c r="F8818" s="5"/>
      <c r="G8818" s="5"/>
      <c r="H8818" s="5"/>
      <c r="I8818" s="5"/>
      <c r="J8818" s="5"/>
      <c r="K8818" s="5"/>
      <c r="L8818" s="5"/>
      <c r="M8818" s="5"/>
      <c r="N8818" s="5"/>
      <c r="O8818" s="5"/>
      <c r="P8818" s="5"/>
      <c r="Q8818" s="5"/>
      <c r="R8818" s="5"/>
      <c r="S8818" s="5"/>
      <c r="T8818" s="5"/>
      <c r="U8818" s="5"/>
      <c r="V8818" s="5"/>
      <c r="W8818" s="5"/>
      <c r="X8818" s="5"/>
      <c r="Y8818" s="5"/>
      <c r="Z8818" s="5"/>
    </row>
    <row r="8819" spans="1:26" ht="15" x14ac:dyDescent="0.25">
      <c r="A8819" s="4" t="s">
        <v>8817</v>
      </c>
      <c r="B8819" s="4" t="s">
        <v>4550</v>
      </c>
      <c r="C8819" s="2" t="str">
        <f ca="1">IFERROR(__xludf.DUMMYFUNCTION("GOOGLETRANSLATE(A8819,""bn"",""en"")"),"Lighthouse rain was the highest in the world")</f>
        <v>Lighthouse rain was the highest in the world</v>
      </c>
      <c r="D8819" s="5"/>
      <c r="E8819" s="5"/>
      <c r="F8819" s="5"/>
      <c r="G8819" s="5"/>
      <c r="H8819" s="5"/>
      <c r="I8819" s="5"/>
      <c r="J8819" s="5"/>
      <c r="K8819" s="5"/>
      <c r="L8819" s="5"/>
      <c r="M8819" s="5"/>
      <c r="N8819" s="5"/>
      <c r="O8819" s="5"/>
      <c r="P8819" s="5"/>
      <c r="Q8819" s="5"/>
      <c r="R8819" s="5"/>
      <c r="S8819" s="5"/>
      <c r="T8819" s="5"/>
      <c r="U8819" s="5"/>
      <c r="V8819" s="5"/>
      <c r="W8819" s="5"/>
      <c r="X8819" s="5"/>
      <c r="Y8819" s="5"/>
      <c r="Z8819" s="5"/>
    </row>
    <row r="8820" spans="1:26" ht="15" x14ac:dyDescent="0.25">
      <c r="A8820" s="4" t="s">
        <v>8818</v>
      </c>
      <c r="B8820" s="4" t="s">
        <v>4550</v>
      </c>
      <c r="C8820" s="2" t="str">
        <f ca="1">IFERROR(__xludf.DUMMYFUNCTION("GOOGLETRANSLATE(A8820,""bn"",""en"")"),"I sent the video over the internet")</f>
        <v>I sent the video over the internet</v>
      </c>
      <c r="D8820" s="5"/>
      <c r="E8820" s="5"/>
      <c r="F8820" s="5"/>
      <c r="G8820" s="5"/>
      <c r="H8820" s="5"/>
      <c r="I8820" s="5"/>
      <c r="J8820" s="5"/>
      <c r="K8820" s="5"/>
      <c r="L8820" s="5"/>
      <c r="M8820" s="5"/>
      <c r="N8820" s="5"/>
      <c r="O8820" s="5"/>
      <c r="P8820" s="5"/>
      <c r="Q8820" s="5"/>
      <c r="R8820" s="5"/>
      <c r="S8820" s="5"/>
      <c r="T8820" s="5"/>
      <c r="U8820" s="5"/>
      <c r="V8820" s="5"/>
      <c r="W8820" s="5"/>
      <c r="X8820" s="5"/>
      <c r="Y8820" s="5"/>
      <c r="Z8820" s="5"/>
    </row>
    <row r="8821" spans="1:26" ht="15" x14ac:dyDescent="0.25">
      <c r="A8821" s="4" t="s">
        <v>8819</v>
      </c>
      <c r="B8821" s="4" t="s">
        <v>4550</v>
      </c>
      <c r="C8821" s="2" t="str">
        <f ca="1">IFERROR(__xludf.DUMMYFUNCTION("GOOGLETRANSLATE(A8821,""bn"",""en"")"),"We all listened to the story on the mobile phone")</f>
        <v>We all listened to the story on the mobile phone</v>
      </c>
      <c r="D8821" s="5"/>
      <c r="E8821" s="5"/>
      <c r="F8821" s="5"/>
      <c r="G8821" s="5"/>
      <c r="H8821" s="5"/>
      <c r="I8821" s="5"/>
      <c r="J8821" s="5"/>
      <c r="K8821" s="5"/>
      <c r="L8821" s="5"/>
      <c r="M8821" s="5"/>
      <c r="N8821" s="5"/>
      <c r="O8821" s="5"/>
      <c r="P8821" s="5"/>
      <c r="Q8821" s="5"/>
      <c r="R8821" s="5"/>
      <c r="S8821" s="5"/>
      <c r="T8821" s="5"/>
      <c r="U8821" s="5"/>
      <c r="V8821" s="5"/>
      <c r="W8821" s="5"/>
      <c r="X8821" s="5"/>
      <c r="Y8821" s="5"/>
      <c r="Z8821" s="5"/>
    </row>
    <row r="8822" spans="1:26" ht="15" x14ac:dyDescent="0.25">
      <c r="A8822" s="4" t="s">
        <v>8820</v>
      </c>
      <c r="B8822" s="4" t="s">
        <v>4550</v>
      </c>
      <c r="C8822" s="2" t="str">
        <f ca="1">IFERROR(__xludf.DUMMYFUNCTION("GOOGLETRANSLATE(A8822,""bn"",""en"")"),"Everyone was playing ludo on mobile")</f>
        <v>Everyone was playing ludo on mobile</v>
      </c>
      <c r="D8822" s="5"/>
      <c r="E8822" s="5"/>
      <c r="F8822" s="5"/>
      <c r="G8822" s="5"/>
      <c r="H8822" s="5"/>
      <c r="I8822" s="5"/>
      <c r="J8822" s="5"/>
      <c r="K8822" s="5"/>
      <c r="L8822" s="5"/>
      <c r="M8822" s="5"/>
      <c r="N8822" s="5"/>
      <c r="O8822" s="5"/>
      <c r="P8822" s="5"/>
      <c r="Q8822" s="5"/>
      <c r="R8822" s="5"/>
      <c r="S8822" s="5"/>
      <c r="T8822" s="5"/>
      <c r="U8822" s="5"/>
      <c r="V8822" s="5"/>
      <c r="W8822" s="5"/>
      <c r="X8822" s="5"/>
      <c r="Y8822" s="5"/>
      <c r="Z8822" s="5"/>
    </row>
    <row r="8823" spans="1:26" ht="15" x14ac:dyDescent="0.25">
      <c r="A8823" s="4" t="s">
        <v>8821</v>
      </c>
      <c r="B8823" s="4" t="s">
        <v>4550</v>
      </c>
      <c r="C8823" s="2" t="str">
        <f ca="1">IFERROR(__xludf.DUMMYFUNCTION("GOOGLETRANSLATE(A8823,""bn"",""en"")"),"The impact of the film was seen in the society")</f>
        <v>The impact of the film was seen in the society</v>
      </c>
      <c r="D8823" s="5"/>
      <c r="E8823" s="5"/>
      <c r="F8823" s="5"/>
      <c r="G8823" s="5"/>
      <c r="H8823" s="5"/>
      <c r="I8823" s="5"/>
      <c r="J8823" s="5"/>
      <c r="K8823" s="5"/>
      <c r="L8823" s="5"/>
      <c r="M8823" s="5"/>
      <c r="N8823" s="5"/>
      <c r="O8823" s="5"/>
      <c r="P8823" s="5"/>
      <c r="Q8823" s="5"/>
      <c r="R8823" s="5"/>
      <c r="S8823" s="5"/>
      <c r="T8823" s="5"/>
      <c r="U8823" s="5"/>
      <c r="V8823" s="5"/>
      <c r="W8823" s="5"/>
      <c r="X8823" s="5"/>
      <c r="Y8823" s="5"/>
      <c r="Z8823" s="5"/>
    </row>
    <row r="8824" spans="1:26" ht="15" x14ac:dyDescent="0.25">
      <c r="A8824" s="4" t="s">
        <v>8822</v>
      </c>
      <c r="B8824" s="4" t="s">
        <v>4550</v>
      </c>
      <c r="C8824" s="2" t="str">
        <f ca="1">IFERROR(__xludf.DUMMYFUNCTION("GOOGLETRANSLATE(A8824,""bn"",""en"")"),"Skiing was played in winter conditions")</f>
        <v>Skiing was played in winter conditions</v>
      </c>
      <c r="D8824" s="5"/>
      <c r="E8824" s="5"/>
      <c r="F8824" s="5"/>
      <c r="G8824" s="5"/>
      <c r="H8824" s="5"/>
      <c r="I8824" s="5"/>
      <c r="J8824" s="5"/>
      <c r="K8824" s="5"/>
      <c r="L8824" s="5"/>
      <c r="M8824" s="5"/>
      <c r="N8824" s="5"/>
      <c r="O8824" s="5"/>
      <c r="P8824" s="5"/>
      <c r="Q8824" s="5"/>
      <c r="R8824" s="5"/>
      <c r="S8824" s="5"/>
      <c r="T8824" s="5"/>
      <c r="U8824" s="5"/>
      <c r="V8824" s="5"/>
      <c r="W8824" s="5"/>
      <c r="X8824" s="5"/>
      <c r="Y8824" s="5"/>
      <c r="Z8824" s="5"/>
    </row>
    <row r="8825" spans="1:26" ht="15" x14ac:dyDescent="0.25">
      <c r="A8825" s="4" t="s">
        <v>8823</v>
      </c>
      <c r="B8825" s="4" t="s">
        <v>4550</v>
      </c>
      <c r="C8825" s="2" t="str">
        <f ca="1">IFERROR(__xludf.DUMMYFUNCTION("GOOGLETRANSLATE(A8825,""bn"",""en"")"),"Watching the movie changed social life")</f>
        <v>Watching the movie changed social life</v>
      </c>
      <c r="D8825" s="5"/>
      <c r="E8825" s="5"/>
      <c r="F8825" s="5"/>
      <c r="G8825" s="5"/>
      <c r="H8825" s="5"/>
      <c r="I8825" s="5"/>
      <c r="J8825" s="5"/>
      <c r="K8825" s="5"/>
      <c r="L8825" s="5"/>
      <c r="M8825" s="5"/>
      <c r="N8825" s="5"/>
      <c r="O8825" s="5"/>
      <c r="P8825" s="5"/>
      <c r="Q8825" s="5"/>
      <c r="R8825" s="5"/>
      <c r="S8825" s="5"/>
      <c r="T8825" s="5"/>
      <c r="U8825" s="5"/>
      <c r="V8825" s="5"/>
      <c r="W8825" s="5"/>
      <c r="X8825" s="5"/>
      <c r="Y8825" s="5"/>
      <c r="Z8825" s="5"/>
    </row>
    <row r="8826" spans="1:26" ht="15" x14ac:dyDescent="0.25">
      <c r="A8826" s="4" t="s">
        <v>8824</v>
      </c>
      <c r="B8826" s="4" t="s">
        <v>4550</v>
      </c>
      <c r="C8826" s="2" t="str">
        <f ca="1">IFERROR(__xludf.DUMMYFUNCTION("GOOGLETRANSLATE(A8826,""bn"",""en"")"),"Education builds our character")</f>
        <v>Education builds our character</v>
      </c>
      <c r="D8826" s="5"/>
      <c r="E8826" s="5"/>
      <c r="F8826" s="5"/>
      <c r="G8826" s="5"/>
      <c r="H8826" s="5"/>
      <c r="I8826" s="5"/>
      <c r="J8826" s="5"/>
      <c r="K8826" s="5"/>
      <c r="L8826" s="5"/>
      <c r="M8826" s="5"/>
      <c r="N8826" s="5"/>
      <c r="O8826" s="5"/>
      <c r="P8826" s="5"/>
      <c r="Q8826" s="5"/>
      <c r="R8826" s="5"/>
      <c r="S8826" s="5"/>
      <c r="T8826" s="5"/>
      <c r="U8826" s="5"/>
      <c r="V8826" s="5"/>
      <c r="W8826" s="5"/>
      <c r="X8826" s="5"/>
      <c r="Y8826" s="5"/>
      <c r="Z8826" s="5"/>
    </row>
    <row r="8827" spans="1:26" ht="15" x14ac:dyDescent="0.25">
      <c r="A8827" s="4" t="s">
        <v>8825</v>
      </c>
      <c r="B8827" s="4" t="s">
        <v>4550</v>
      </c>
      <c r="C8827" s="2" t="str">
        <f ca="1">IFERROR(__xludf.DUMMYFUNCTION("GOOGLETRANSLATE(A8827,""bn"",""en"")"),"I wanted to travel")</f>
        <v>I wanted to travel</v>
      </c>
      <c r="D8827" s="5"/>
      <c r="E8827" s="5"/>
      <c r="F8827" s="5"/>
      <c r="G8827" s="5"/>
      <c r="H8827" s="5"/>
      <c r="I8827" s="5"/>
      <c r="J8827" s="5"/>
      <c r="K8827" s="5"/>
      <c r="L8827" s="5"/>
      <c r="M8827" s="5"/>
      <c r="N8827" s="5"/>
      <c r="O8827" s="5"/>
      <c r="P8827" s="5"/>
      <c r="Q8827" s="5"/>
      <c r="R8827" s="5"/>
      <c r="S8827" s="5"/>
      <c r="T8827" s="5"/>
      <c r="U8827" s="5"/>
      <c r="V8827" s="5"/>
      <c r="W8827" s="5"/>
      <c r="X8827" s="5"/>
      <c r="Y8827" s="5"/>
      <c r="Z8827" s="5"/>
    </row>
    <row r="8828" spans="1:26" ht="15" x14ac:dyDescent="0.25">
      <c r="A8828" s="4" t="s">
        <v>8826</v>
      </c>
      <c r="B8828" s="4" t="s">
        <v>4550</v>
      </c>
      <c r="C8828" s="2" t="str">
        <f ca="1">IFERROR(__xludf.DUMMYFUNCTION("GOOGLETRANSLATE(A8828,""bn"",""en"")"),"The movie was only for wanderlust people")</f>
        <v>The movie was only for wanderlust people</v>
      </c>
      <c r="D8828" s="5"/>
      <c r="E8828" s="5"/>
      <c r="F8828" s="5"/>
      <c r="G8828" s="5"/>
      <c r="H8828" s="5"/>
      <c r="I8828" s="5"/>
      <c r="J8828" s="5"/>
      <c r="K8828" s="5"/>
      <c r="L8828" s="5"/>
      <c r="M8828" s="5"/>
      <c r="N8828" s="5"/>
      <c r="O8828" s="5"/>
      <c r="P8828" s="5"/>
      <c r="Q8828" s="5"/>
      <c r="R8828" s="5"/>
      <c r="S8828" s="5"/>
      <c r="T8828" s="5"/>
      <c r="U8828" s="5"/>
      <c r="V8828" s="5"/>
      <c r="W8828" s="5"/>
      <c r="X8828" s="5"/>
      <c r="Y8828" s="5"/>
      <c r="Z8828" s="5"/>
    </row>
    <row r="8829" spans="1:26" ht="15" x14ac:dyDescent="0.25">
      <c r="A8829" s="4" t="s">
        <v>8827</v>
      </c>
      <c r="B8829" s="4" t="s">
        <v>4550</v>
      </c>
      <c r="C8829" s="2" t="str">
        <f ca="1">IFERROR(__xludf.DUMMYFUNCTION("GOOGLETRANSLATE(A8829,""bn"",""en"")"),"The government wanted to see incremental improvements")</f>
        <v>The government wanted to see incremental improvements</v>
      </c>
      <c r="D8829" s="5"/>
      <c r="E8829" s="5"/>
      <c r="F8829" s="5"/>
      <c r="G8829" s="5"/>
      <c r="H8829" s="5"/>
      <c r="I8829" s="5"/>
      <c r="J8829" s="5"/>
      <c r="K8829" s="5"/>
      <c r="L8829" s="5"/>
      <c r="M8829" s="5"/>
      <c r="N8829" s="5"/>
      <c r="O8829" s="5"/>
      <c r="P8829" s="5"/>
      <c r="Q8829" s="5"/>
      <c r="R8829" s="5"/>
      <c r="S8829" s="5"/>
      <c r="T8829" s="5"/>
      <c r="U8829" s="5"/>
      <c r="V8829" s="5"/>
      <c r="W8829" s="5"/>
      <c r="X8829" s="5"/>
      <c r="Y8829" s="5"/>
      <c r="Z8829" s="5"/>
    </row>
    <row r="8830" spans="1:26" ht="15" x14ac:dyDescent="0.25">
      <c r="A8830" s="4" t="s">
        <v>8828</v>
      </c>
      <c r="B8830" s="4" t="s">
        <v>4550</v>
      </c>
      <c r="C8830" s="2" t="str">
        <f ca="1">IFERROR(__xludf.DUMMYFUNCTION("GOOGLETRANSLATE(A8830,""bn"",""en"")"),"I bought new headphones and was using them")</f>
        <v>I bought new headphones and was using them</v>
      </c>
      <c r="D8830" s="5"/>
      <c r="E8830" s="5"/>
      <c r="F8830" s="5"/>
      <c r="G8830" s="5"/>
      <c r="H8830" s="5"/>
      <c r="I8830" s="5"/>
      <c r="J8830" s="5"/>
      <c r="K8830" s="5"/>
      <c r="L8830" s="5"/>
      <c r="M8830" s="5"/>
      <c r="N8830" s="5"/>
      <c r="O8830" s="5"/>
      <c r="P8830" s="5"/>
      <c r="Q8830" s="5"/>
      <c r="R8830" s="5"/>
      <c r="S8830" s="5"/>
      <c r="T8830" s="5"/>
      <c r="U8830" s="5"/>
      <c r="V8830" s="5"/>
      <c r="W8830" s="5"/>
      <c r="X8830" s="5"/>
      <c r="Y8830" s="5"/>
      <c r="Z8830" s="5"/>
    </row>
    <row r="8831" spans="1:26" ht="15" x14ac:dyDescent="0.25">
      <c r="A8831" s="4" t="s">
        <v>8829</v>
      </c>
      <c r="B8831" s="4" t="s">
        <v>4550</v>
      </c>
      <c r="C8831" s="2" t="str">
        <f ca="1">IFERROR(__xludf.DUMMYFUNCTION("GOOGLETRANSLATE(A8831,""bn"",""en"")"),"The impact of the film was seen in the society")</f>
        <v>The impact of the film was seen in the society</v>
      </c>
      <c r="D8831" s="5"/>
      <c r="E8831" s="5"/>
      <c r="F8831" s="5"/>
      <c r="G8831" s="5"/>
      <c r="H8831" s="5"/>
      <c r="I8831" s="5"/>
      <c r="J8831" s="5"/>
      <c r="K8831" s="5"/>
      <c r="L8831" s="5"/>
      <c r="M8831" s="5"/>
      <c r="N8831" s="5"/>
      <c r="O8831" s="5"/>
      <c r="P8831" s="5"/>
      <c r="Q8831" s="5"/>
      <c r="R8831" s="5"/>
      <c r="S8831" s="5"/>
      <c r="T8831" s="5"/>
      <c r="U8831" s="5"/>
      <c r="V8831" s="5"/>
      <c r="W8831" s="5"/>
      <c r="X8831" s="5"/>
      <c r="Y8831" s="5"/>
      <c r="Z8831" s="5"/>
    </row>
    <row r="8832" spans="1:26" ht="15" x14ac:dyDescent="0.25">
      <c r="A8832" s="4" t="s">
        <v>8830</v>
      </c>
      <c r="B8832" s="4" t="s">
        <v>4550</v>
      </c>
      <c r="C8832" s="2" t="str">
        <f ca="1">IFERROR(__xludf.DUMMYFUNCTION("GOOGLETRANSLATE(A8832,""bn"",""en"")"),"I was launching a new venture on the Internet")</f>
        <v>I was launching a new venture on the Internet</v>
      </c>
      <c r="D8832" s="5"/>
      <c r="E8832" s="5"/>
      <c r="F8832" s="5"/>
      <c r="G8832" s="5"/>
      <c r="H8832" s="5"/>
      <c r="I8832" s="5"/>
      <c r="J8832" s="5"/>
      <c r="K8832" s="5"/>
      <c r="L8832" s="5"/>
      <c r="M8832" s="5"/>
      <c r="N8832" s="5"/>
      <c r="O8832" s="5"/>
      <c r="P8832" s="5"/>
      <c r="Q8832" s="5"/>
      <c r="R8832" s="5"/>
      <c r="S8832" s="5"/>
      <c r="T8832" s="5"/>
      <c r="U8832" s="5"/>
      <c r="V8832" s="5"/>
      <c r="W8832" s="5"/>
      <c r="X8832" s="5"/>
      <c r="Y8832" s="5"/>
      <c r="Z8832" s="5"/>
    </row>
    <row r="8833" spans="1:26" ht="15" x14ac:dyDescent="0.25">
      <c r="A8833" s="4" t="s">
        <v>8831</v>
      </c>
      <c r="B8833" s="4" t="s">
        <v>4550</v>
      </c>
      <c r="C8833" s="2" t="str">
        <f ca="1">IFERROR(__xludf.DUMMYFUNCTION("GOOGLETRANSLATE(A8833,""bn"",""en"")"),"He was doing well in hard work")</f>
        <v>He was doing well in hard work</v>
      </c>
      <c r="D8833" s="5"/>
      <c r="E8833" s="5"/>
      <c r="F8833" s="5"/>
      <c r="G8833" s="5"/>
      <c r="H8833" s="5"/>
      <c r="I8833" s="5"/>
      <c r="J8833" s="5"/>
      <c r="K8833" s="5"/>
      <c r="L8833" s="5"/>
      <c r="M8833" s="5"/>
      <c r="N8833" s="5"/>
      <c r="O8833" s="5"/>
      <c r="P8833" s="5"/>
      <c r="Q8833" s="5"/>
      <c r="R8833" s="5"/>
      <c r="S8833" s="5"/>
      <c r="T8833" s="5"/>
      <c r="U8833" s="5"/>
      <c r="V8833" s="5"/>
      <c r="W8833" s="5"/>
      <c r="X8833" s="5"/>
      <c r="Y8833" s="5"/>
      <c r="Z8833" s="5"/>
    </row>
    <row r="8834" spans="1:26" ht="15" x14ac:dyDescent="0.25">
      <c r="A8834" s="4" t="s">
        <v>8832</v>
      </c>
      <c r="B8834" s="4" t="s">
        <v>4550</v>
      </c>
      <c r="C8834" s="2" t="str">
        <f ca="1">IFERROR(__xludf.DUMMYFUNCTION("GOOGLETRANSLATE(A8834,""bn"",""en"")"),"I was listening to music on the new laptop")</f>
        <v>I was listening to music on the new laptop</v>
      </c>
      <c r="D8834" s="5"/>
      <c r="E8834" s="5"/>
      <c r="F8834" s="5"/>
      <c r="G8834" s="5"/>
      <c r="H8834" s="5"/>
      <c r="I8834" s="5"/>
      <c r="J8834" s="5"/>
      <c r="K8834" s="5"/>
      <c r="L8834" s="5"/>
      <c r="M8834" s="5"/>
      <c r="N8834" s="5"/>
      <c r="O8834" s="5"/>
      <c r="P8834" s="5"/>
      <c r="Q8834" s="5"/>
      <c r="R8834" s="5"/>
      <c r="S8834" s="5"/>
      <c r="T8834" s="5"/>
      <c r="U8834" s="5"/>
      <c r="V8834" s="5"/>
      <c r="W8834" s="5"/>
      <c r="X8834" s="5"/>
      <c r="Y8834" s="5"/>
      <c r="Z8834" s="5"/>
    </row>
    <row r="8835" spans="1:26" ht="15" x14ac:dyDescent="0.25">
      <c r="A8835" s="4" t="s">
        <v>8833</v>
      </c>
      <c r="B8835" s="4" t="s">
        <v>4550</v>
      </c>
      <c r="C8835" s="2" t="str">
        <f ca="1">IFERROR(__xludf.DUMMYFUNCTION("GOOGLETRANSLATE(A8835,""bn"",""en"")"),"Sailors sailed in rough seas")</f>
        <v>Sailors sailed in rough seas</v>
      </c>
      <c r="D8835" s="5"/>
      <c r="E8835" s="5"/>
      <c r="F8835" s="5"/>
      <c r="G8835" s="5"/>
      <c r="H8835" s="5"/>
      <c r="I8835" s="5"/>
      <c r="J8835" s="5"/>
      <c r="K8835" s="5"/>
      <c r="L8835" s="5"/>
      <c r="M8835" s="5"/>
      <c r="N8835" s="5"/>
      <c r="O8835" s="5"/>
      <c r="P8835" s="5"/>
      <c r="Q8835" s="5"/>
      <c r="R8835" s="5"/>
      <c r="S8835" s="5"/>
      <c r="T8835" s="5"/>
      <c r="U8835" s="5"/>
      <c r="V8835" s="5"/>
      <c r="W8835" s="5"/>
      <c r="X8835" s="5"/>
      <c r="Y8835" s="5"/>
      <c r="Z8835" s="5"/>
    </row>
    <row r="8836" spans="1:26" ht="15" x14ac:dyDescent="0.25">
      <c r="A8836" s="4" t="s">
        <v>8834</v>
      </c>
      <c r="B8836" s="4" t="s">
        <v>4550</v>
      </c>
      <c r="C8836" s="2" t="str">
        <f ca="1">IFERROR(__xludf.DUMMYFUNCTION("GOOGLETRANSLATE(A8836,""bn"",""en"")"),"Ratan watched the new Bengali film")</f>
        <v>Ratan watched the new Bengali film</v>
      </c>
      <c r="D8836" s="5"/>
      <c r="E8836" s="5"/>
      <c r="F8836" s="5"/>
      <c r="G8836" s="5"/>
      <c r="H8836" s="5"/>
      <c r="I8836" s="5"/>
      <c r="J8836" s="5"/>
      <c r="K8836" s="5"/>
      <c r="L8836" s="5"/>
      <c r="M8836" s="5"/>
      <c r="N8836" s="5"/>
      <c r="O8836" s="5"/>
      <c r="P8836" s="5"/>
      <c r="Q8836" s="5"/>
      <c r="R8836" s="5"/>
      <c r="S8836" s="5"/>
      <c r="T8836" s="5"/>
      <c r="U8836" s="5"/>
      <c r="V8836" s="5"/>
      <c r="W8836" s="5"/>
      <c r="X8836" s="5"/>
      <c r="Y8836" s="5"/>
      <c r="Z8836" s="5"/>
    </row>
    <row r="8837" spans="1:26" ht="15" x14ac:dyDescent="0.25">
      <c r="A8837" s="4" t="s">
        <v>8835</v>
      </c>
      <c r="B8837" s="4" t="s">
        <v>4550</v>
      </c>
      <c r="C8837" s="2" t="str">
        <f ca="1">IFERROR(__xludf.DUMMYFUNCTION("GOOGLETRANSLATE(A8837,""bn"",""en"")"),"Complicated matters seemed more complicated")</f>
        <v>Complicated matters seemed more complicated</v>
      </c>
      <c r="D8837" s="5"/>
      <c r="E8837" s="5"/>
      <c r="F8837" s="5"/>
      <c r="G8837" s="5"/>
      <c r="H8837" s="5"/>
      <c r="I8837" s="5"/>
      <c r="J8837" s="5"/>
      <c r="K8837" s="5"/>
      <c r="L8837" s="5"/>
      <c r="M8837" s="5"/>
      <c r="N8837" s="5"/>
      <c r="O8837" s="5"/>
      <c r="P8837" s="5"/>
      <c r="Q8837" s="5"/>
      <c r="R8837" s="5"/>
      <c r="S8837" s="5"/>
      <c r="T8837" s="5"/>
      <c r="U8837" s="5"/>
      <c r="V8837" s="5"/>
      <c r="W8837" s="5"/>
      <c r="X8837" s="5"/>
      <c r="Y8837" s="5"/>
      <c r="Z8837" s="5"/>
    </row>
    <row r="8838" spans="1:26" ht="15" x14ac:dyDescent="0.25">
      <c r="A8838" s="4" t="s">
        <v>8836</v>
      </c>
      <c r="B8838" s="4" t="s">
        <v>4550</v>
      </c>
      <c r="C8838" s="2" t="str">
        <f ca="1">IFERROR(__xludf.DUMMYFUNCTION("GOOGLETRANSLATE(A8838,""bn"",""en"")"),"I was teaching myself something new on the internet")</f>
        <v>I was teaching myself something new on the internet</v>
      </c>
      <c r="D8838" s="5"/>
      <c r="E8838" s="5"/>
      <c r="F8838" s="5"/>
      <c r="G8838" s="5"/>
      <c r="H8838" s="5"/>
      <c r="I8838" s="5"/>
      <c r="J8838" s="5"/>
      <c r="K8838" s="5"/>
      <c r="L8838" s="5"/>
      <c r="M8838" s="5"/>
      <c r="N8838" s="5"/>
      <c r="O8838" s="5"/>
      <c r="P8838" s="5"/>
      <c r="Q8838" s="5"/>
      <c r="R8838" s="5"/>
      <c r="S8838" s="5"/>
      <c r="T8838" s="5"/>
      <c r="U8838" s="5"/>
      <c r="V8838" s="5"/>
      <c r="W8838" s="5"/>
      <c r="X8838" s="5"/>
      <c r="Y8838" s="5"/>
      <c r="Z8838" s="5"/>
    </row>
    <row r="8839" spans="1:26" ht="15" x14ac:dyDescent="0.25">
      <c r="A8839" s="4" t="s">
        <v>8837</v>
      </c>
      <c r="B8839" s="4" t="s">
        <v>4550</v>
      </c>
      <c r="C8839" s="2" t="str">
        <f ca="1">IFERROR(__xludf.DUMMYFUNCTION("GOOGLETRANSLATE(A8839,""bn"",""en"")"),"Ratan learned something by watching movies")</f>
        <v>Ratan learned something by watching movies</v>
      </c>
      <c r="D8839" s="5"/>
      <c r="E8839" s="5"/>
      <c r="F8839" s="5"/>
      <c r="G8839" s="5"/>
      <c r="H8839" s="5"/>
      <c r="I8839" s="5"/>
      <c r="J8839" s="5"/>
      <c r="K8839" s="5"/>
      <c r="L8839" s="5"/>
      <c r="M8839" s="5"/>
      <c r="N8839" s="5"/>
      <c r="O8839" s="5"/>
      <c r="P8839" s="5"/>
      <c r="Q8839" s="5"/>
      <c r="R8839" s="5"/>
      <c r="S8839" s="5"/>
      <c r="T8839" s="5"/>
      <c r="U8839" s="5"/>
      <c r="V8839" s="5"/>
      <c r="W8839" s="5"/>
      <c r="X8839" s="5"/>
      <c r="Y8839" s="5"/>
      <c r="Z8839" s="5"/>
    </row>
    <row r="8840" spans="1:26" ht="15" x14ac:dyDescent="0.25">
      <c r="A8840" s="4" t="s">
        <v>8838</v>
      </c>
      <c r="B8840" s="4" t="s">
        <v>4550</v>
      </c>
      <c r="C8840" s="2" t="str">
        <f ca="1">IFERROR(__xludf.DUMMYFUNCTION("GOOGLETRANSLATE(A8840,""bn"",""en"")"),"Organizations were going on among all parties")</f>
        <v>Organizations were going on among all parties</v>
      </c>
      <c r="D8840" s="5"/>
      <c r="E8840" s="5"/>
      <c r="F8840" s="5"/>
      <c r="G8840" s="5"/>
      <c r="H8840" s="5"/>
      <c r="I8840" s="5"/>
      <c r="J8840" s="5"/>
      <c r="K8840" s="5"/>
      <c r="L8840" s="5"/>
      <c r="M8840" s="5"/>
      <c r="N8840" s="5"/>
      <c r="O8840" s="5"/>
      <c r="P8840" s="5"/>
      <c r="Q8840" s="5"/>
      <c r="R8840" s="5"/>
      <c r="S8840" s="5"/>
      <c r="T8840" s="5"/>
      <c r="U8840" s="5"/>
      <c r="V8840" s="5"/>
      <c r="W8840" s="5"/>
      <c r="X8840" s="5"/>
      <c r="Y8840" s="5"/>
      <c r="Z8840" s="5"/>
    </row>
    <row r="8841" spans="1:26" ht="15" x14ac:dyDescent="0.25">
      <c r="A8841" s="4" t="s">
        <v>8839</v>
      </c>
      <c r="B8841" s="4" t="s">
        <v>4550</v>
      </c>
      <c r="C8841" s="2" t="str">
        <f ca="1">IFERROR(__xludf.DUMMYFUNCTION("GOOGLETRANSLATE(A8841,""bn"",""en"")"),"All parties were asked to organize")</f>
        <v>All parties were asked to organize</v>
      </c>
      <c r="D8841" s="5"/>
      <c r="E8841" s="5"/>
      <c r="F8841" s="5"/>
      <c r="G8841" s="5"/>
      <c r="H8841" s="5"/>
      <c r="I8841" s="5"/>
      <c r="J8841" s="5"/>
      <c r="K8841" s="5"/>
      <c r="L8841" s="5"/>
      <c r="M8841" s="5"/>
      <c r="N8841" s="5"/>
      <c r="O8841" s="5"/>
      <c r="P8841" s="5"/>
      <c r="Q8841" s="5"/>
      <c r="R8841" s="5"/>
      <c r="S8841" s="5"/>
      <c r="T8841" s="5"/>
      <c r="U8841" s="5"/>
      <c r="V8841" s="5"/>
      <c r="W8841" s="5"/>
      <c r="X8841" s="5"/>
      <c r="Y8841" s="5"/>
      <c r="Z8841" s="5"/>
    </row>
    <row r="8842" spans="1:26" ht="15" x14ac:dyDescent="0.25">
      <c r="A8842" s="4" t="s">
        <v>8840</v>
      </c>
      <c r="B8842" s="4" t="s">
        <v>4550</v>
      </c>
      <c r="C8842" s="2" t="str">
        <f ca="1">IFERROR(__xludf.DUMMYFUNCTION("GOOGLETRANSLATE(A8842,""bn"",""en"")"),"This film won the hearts of the audience")</f>
        <v>This film won the hearts of the audience</v>
      </c>
      <c r="D8842" s="5"/>
      <c r="E8842" s="5"/>
      <c r="F8842" s="5"/>
      <c r="G8842" s="5"/>
      <c r="H8842" s="5"/>
      <c r="I8842" s="5"/>
      <c r="J8842" s="5"/>
      <c r="K8842" s="5"/>
      <c r="L8842" s="5"/>
      <c r="M8842" s="5"/>
      <c r="N8842" s="5"/>
      <c r="O8842" s="5"/>
      <c r="P8842" s="5"/>
      <c r="Q8842" s="5"/>
      <c r="R8842" s="5"/>
      <c r="S8842" s="5"/>
      <c r="T8842" s="5"/>
      <c r="U8842" s="5"/>
      <c r="V8842" s="5"/>
      <c r="W8842" s="5"/>
      <c r="X8842" s="5"/>
      <c r="Y8842" s="5"/>
      <c r="Z8842" s="5"/>
    </row>
    <row r="8843" spans="1:26" ht="15" x14ac:dyDescent="0.25">
      <c r="A8843" s="4" t="s">
        <v>8841</v>
      </c>
      <c r="B8843" s="4" t="s">
        <v>4550</v>
      </c>
      <c r="C8843" s="2" t="str">
        <f ca="1">IFERROR(__xludf.DUMMYFUNCTION("GOOGLETRANSLATE(A8843,""bn"",""en"")"),"The professor was helping the students properly")</f>
        <v>The professor was helping the students properly</v>
      </c>
      <c r="D8843" s="5"/>
      <c r="E8843" s="5"/>
      <c r="F8843" s="5"/>
      <c r="G8843" s="5"/>
      <c r="H8843" s="5"/>
      <c r="I8843" s="5"/>
      <c r="J8843" s="5"/>
      <c r="K8843" s="5"/>
      <c r="L8843" s="5"/>
      <c r="M8843" s="5"/>
      <c r="N8843" s="5"/>
      <c r="O8843" s="5"/>
      <c r="P8843" s="5"/>
      <c r="Q8843" s="5"/>
      <c r="R8843" s="5"/>
      <c r="S8843" s="5"/>
      <c r="T8843" s="5"/>
      <c r="U8843" s="5"/>
      <c r="V8843" s="5"/>
      <c r="W8843" s="5"/>
      <c r="X8843" s="5"/>
      <c r="Y8843" s="5"/>
      <c r="Z8843" s="5"/>
    </row>
    <row r="8844" spans="1:26" ht="15" x14ac:dyDescent="0.25">
      <c r="A8844" s="4" t="s">
        <v>8842</v>
      </c>
      <c r="B8844" s="4" t="s">
        <v>4550</v>
      </c>
      <c r="C8844" s="2" t="str">
        <f ca="1">IFERROR(__xludf.DUMMYFUNCTION("GOOGLETRANSLATE(A8844,""bn"",""en"")"),"I was studying history at university")</f>
        <v>I was studying history at university</v>
      </c>
      <c r="D8844" s="5"/>
      <c r="E8844" s="5"/>
      <c r="F8844" s="5"/>
      <c r="G8844" s="5"/>
      <c r="H8844" s="5"/>
      <c r="I8844" s="5"/>
      <c r="J8844" s="5"/>
      <c r="K8844" s="5"/>
      <c r="L8844" s="5"/>
      <c r="M8844" s="5"/>
      <c r="N8844" s="5"/>
      <c r="O8844" s="5"/>
      <c r="P8844" s="5"/>
      <c r="Q8844" s="5"/>
      <c r="R8844" s="5"/>
      <c r="S8844" s="5"/>
      <c r="T8844" s="5"/>
      <c r="U8844" s="5"/>
      <c r="V8844" s="5"/>
      <c r="W8844" s="5"/>
      <c r="X8844" s="5"/>
      <c r="Y8844" s="5"/>
      <c r="Z8844" s="5"/>
    </row>
    <row r="8845" spans="1:26" ht="15" x14ac:dyDescent="0.25">
      <c r="A8845" s="4" t="s">
        <v>8843</v>
      </c>
      <c r="B8845" s="4" t="s">
        <v>4550</v>
      </c>
      <c r="C8845" s="2" t="str">
        <f ca="1">IFERROR(__xludf.DUMMYFUNCTION("GOOGLETRANSLATE(A8845,""bn"",""en"")"),"Innovative location in geography was very important")</f>
        <v>Innovative location in geography was very important</v>
      </c>
      <c r="D8845" s="5"/>
      <c r="E8845" s="5"/>
      <c r="F8845" s="5"/>
      <c r="G8845" s="5"/>
      <c r="H8845" s="5"/>
      <c r="I8845" s="5"/>
      <c r="J8845" s="5"/>
      <c r="K8845" s="5"/>
      <c r="L8845" s="5"/>
      <c r="M8845" s="5"/>
      <c r="N8845" s="5"/>
      <c r="O8845" s="5"/>
      <c r="P8845" s="5"/>
      <c r="Q8845" s="5"/>
      <c r="R8845" s="5"/>
      <c r="S8845" s="5"/>
      <c r="T8845" s="5"/>
      <c r="U8845" s="5"/>
      <c r="V8845" s="5"/>
      <c r="W8845" s="5"/>
      <c r="X8845" s="5"/>
      <c r="Y8845" s="5"/>
      <c r="Z8845" s="5"/>
    </row>
    <row r="8846" spans="1:26" ht="15" x14ac:dyDescent="0.25">
      <c r="A8846" s="4" t="s">
        <v>8844</v>
      </c>
      <c r="B8846" s="4" t="s">
        <v>4550</v>
      </c>
      <c r="C8846" s="2" t="str">
        <f ca="1">IFERROR(__xludf.DUMMYFUNCTION("GOOGLETRANSLATE(A8846,""bn"",""en"")"),"The government was calling for financial reforms")</f>
        <v>The government was calling for financial reforms</v>
      </c>
      <c r="D8846" s="5"/>
      <c r="E8846" s="5"/>
      <c r="F8846" s="5"/>
      <c r="G8846" s="5"/>
      <c r="H8846" s="5"/>
      <c r="I8846" s="5"/>
      <c r="J8846" s="5"/>
      <c r="K8846" s="5"/>
      <c r="L8846" s="5"/>
      <c r="M8846" s="5"/>
      <c r="N8846" s="5"/>
      <c r="O8846" s="5"/>
      <c r="P8846" s="5"/>
      <c r="Q8846" s="5"/>
      <c r="R8846" s="5"/>
      <c r="S8846" s="5"/>
      <c r="T8846" s="5"/>
      <c r="U8846" s="5"/>
      <c r="V8846" s="5"/>
      <c r="W8846" s="5"/>
      <c r="X8846" s="5"/>
      <c r="Y8846" s="5"/>
      <c r="Z8846" s="5"/>
    </row>
    <row r="8847" spans="1:26" ht="15" x14ac:dyDescent="0.25">
      <c r="A8847" s="4" t="s">
        <v>8845</v>
      </c>
      <c r="B8847" s="4" t="s">
        <v>4550</v>
      </c>
      <c r="C8847" s="2" t="str">
        <f ca="1">IFERROR(__xludf.DUMMYFUNCTION("GOOGLETRANSLATE(A8847,""bn"",""en"")"),"Mount Everest was the highest mountain in the world")</f>
        <v>Mount Everest was the highest mountain in the world</v>
      </c>
      <c r="D8847" s="5"/>
      <c r="E8847" s="5"/>
      <c r="F8847" s="5"/>
      <c r="G8847" s="5"/>
      <c r="H8847" s="5"/>
      <c r="I8847" s="5"/>
      <c r="J8847" s="5"/>
      <c r="K8847" s="5"/>
      <c r="L8847" s="5"/>
      <c r="M8847" s="5"/>
      <c r="N8847" s="5"/>
      <c r="O8847" s="5"/>
      <c r="P8847" s="5"/>
      <c r="Q8847" s="5"/>
      <c r="R8847" s="5"/>
      <c r="S8847" s="5"/>
      <c r="T8847" s="5"/>
      <c r="U8847" s="5"/>
      <c r="V8847" s="5"/>
      <c r="W8847" s="5"/>
      <c r="X8847" s="5"/>
      <c r="Y8847" s="5"/>
      <c r="Z8847" s="5"/>
    </row>
    <row r="8848" spans="1:26" ht="15" x14ac:dyDescent="0.25">
      <c r="A8848" s="4" t="s">
        <v>8846</v>
      </c>
      <c r="B8848" s="4" t="s">
        <v>4550</v>
      </c>
      <c r="C8848" s="2" t="str">
        <f ca="1">IFERROR(__xludf.DUMMYFUNCTION("GOOGLETRANSLATE(A8848,""bn"",""en"")"),"I wasted my time reading")</f>
        <v>I wasted my time reading</v>
      </c>
      <c r="D8848" s="5"/>
      <c r="E8848" s="5"/>
      <c r="F8848" s="5"/>
      <c r="G8848" s="5"/>
      <c r="H8848" s="5"/>
      <c r="I8848" s="5"/>
      <c r="J8848" s="5"/>
      <c r="K8848" s="5"/>
      <c r="L8848" s="5"/>
      <c r="M8848" s="5"/>
      <c r="N8848" s="5"/>
      <c r="O8848" s="5"/>
      <c r="P8848" s="5"/>
      <c r="Q8848" s="5"/>
      <c r="R8848" s="5"/>
      <c r="S8848" s="5"/>
      <c r="T8848" s="5"/>
      <c r="U8848" s="5"/>
      <c r="V8848" s="5"/>
      <c r="W8848" s="5"/>
      <c r="X8848" s="5"/>
      <c r="Y8848" s="5"/>
      <c r="Z8848" s="5"/>
    </row>
    <row r="8849" spans="1:26" ht="15" x14ac:dyDescent="0.25">
      <c r="A8849" s="4" t="s">
        <v>8847</v>
      </c>
      <c r="B8849" s="4" t="s">
        <v>4550</v>
      </c>
      <c r="C8849" s="2" t="str">
        <f ca="1">IFERROR(__xludf.DUMMYFUNCTION("GOOGLETRANSLATE(A8849,""bn"",""en"")"),"Wanted to deposit my growth check in the bank")</f>
        <v>Wanted to deposit my growth check in the bank</v>
      </c>
      <c r="D8849" s="5"/>
      <c r="E8849" s="5"/>
      <c r="F8849" s="5"/>
      <c r="G8849" s="5"/>
      <c r="H8849" s="5"/>
      <c r="I8849" s="5"/>
      <c r="J8849" s="5"/>
      <c r="K8849" s="5"/>
      <c r="L8849" s="5"/>
      <c r="M8849" s="5"/>
      <c r="N8849" s="5"/>
      <c r="O8849" s="5"/>
      <c r="P8849" s="5"/>
      <c r="Q8849" s="5"/>
      <c r="R8849" s="5"/>
      <c r="S8849" s="5"/>
      <c r="T8849" s="5"/>
      <c r="U8849" s="5"/>
      <c r="V8849" s="5"/>
      <c r="W8849" s="5"/>
      <c r="X8849" s="5"/>
      <c r="Y8849" s="5"/>
      <c r="Z8849" s="5"/>
    </row>
    <row r="8850" spans="1:26" ht="15" x14ac:dyDescent="0.25">
      <c r="A8850" s="4" t="s">
        <v>8848</v>
      </c>
      <c r="B8850" s="4" t="s">
        <v>4550</v>
      </c>
      <c r="C8850" s="2" t="str">
        <f ca="1">IFERROR(__xludf.DUMMYFUNCTION("GOOGLETRANSLATE(A8850,""bn"",""en"")"),"You were spending money on shopping")</f>
        <v>You were spending money on shopping</v>
      </c>
      <c r="D8850" s="5"/>
      <c r="E8850" s="5"/>
      <c r="F8850" s="5"/>
      <c r="G8850" s="5"/>
      <c r="H8850" s="5"/>
      <c r="I8850" s="5"/>
      <c r="J8850" s="5"/>
      <c r="K8850" s="5"/>
      <c r="L8850" s="5"/>
      <c r="M8850" s="5"/>
      <c r="N8850" s="5"/>
      <c r="O8850" s="5"/>
      <c r="P8850" s="5"/>
      <c r="Q8850" s="5"/>
      <c r="R8850" s="5"/>
      <c r="S8850" s="5"/>
      <c r="T8850" s="5"/>
      <c r="U8850" s="5"/>
      <c r="V8850" s="5"/>
      <c r="W8850" s="5"/>
      <c r="X8850" s="5"/>
      <c r="Y8850" s="5"/>
      <c r="Z8850" s="5"/>
    </row>
    <row r="8851" spans="1:26" ht="15" x14ac:dyDescent="0.25">
      <c r="A8851" s="4" t="s">
        <v>8849</v>
      </c>
      <c r="B8851" s="4" t="s">
        <v>4550</v>
      </c>
      <c r="C8851" s="2" t="str">
        <f ca="1">IFERROR(__xludf.DUMMYFUNCTION("GOOGLETRANSLATE(A8851,""bn"",""en"")"),"The college authorities made changes in the infrastructure")</f>
        <v>The college authorities made changes in the infrastructure</v>
      </c>
      <c r="D8851" s="5"/>
      <c r="E8851" s="5"/>
      <c r="F8851" s="5"/>
      <c r="G8851" s="5"/>
      <c r="H8851" s="5"/>
      <c r="I8851" s="5"/>
      <c r="J8851" s="5"/>
      <c r="K8851" s="5"/>
      <c r="L8851" s="5"/>
      <c r="M8851" s="5"/>
      <c r="N8851" s="5"/>
      <c r="O8851" s="5"/>
      <c r="P8851" s="5"/>
      <c r="Q8851" s="5"/>
      <c r="R8851" s="5"/>
      <c r="S8851" s="5"/>
      <c r="T8851" s="5"/>
      <c r="U8851" s="5"/>
      <c r="V8851" s="5"/>
      <c r="W8851" s="5"/>
      <c r="X8851" s="5"/>
      <c r="Y8851" s="5"/>
      <c r="Z8851" s="5"/>
    </row>
    <row r="8852" spans="1:26" ht="15" x14ac:dyDescent="0.25">
      <c r="A8852" s="4" t="s">
        <v>8850</v>
      </c>
      <c r="B8852" s="4" t="s">
        <v>4550</v>
      </c>
      <c r="C8852" s="2" t="str">
        <f ca="1">IFERROR(__xludf.DUMMYFUNCTION("GOOGLETRANSLATE(A8852,""bn"",""en"")"),"I was using the new keyboard")</f>
        <v>I was using the new keyboard</v>
      </c>
      <c r="D8852" s="5"/>
      <c r="E8852" s="5"/>
      <c r="F8852" s="5"/>
      <c r="G8852" s="5"/>
      <c r="H8852" s="5"/>
      <c r="I8852" s="5"/>
      <c r="J8852" s="5"/>
      <c r="K8852" s="5"/>
      <c r="L8852" s="5"/>
      <c r="M8852" s="5"/>
      <c r="N8852" s="5"/>
      <c r="O8852" s="5"/>
      <c r="P8852" s="5"/>
      <c r="Q8852" s="5"/>
      <c r="R8852" s="5"/>
      <c r="S8852" s="5"/>
      <c r="T8852" s="5"/>
      <c r="U8852" s="5"/>
      <c r="V8852" s="5"/>
      <c r="W8852" s="5"/>
      <c r="X8852" s="5"/>
      <c r="Y8852" s="5"/>
      <c r="Z8852" s="5"/>
    </row>
    <row r="8853" spans="1:26" ht="15" x14ac:dyDescent="0.25">
      <c r="A8853" s="4" t="s">
        <v>8851</v>
      </c>
      <c r="B8853" s="4" t="s">
        <v>4550</v>
      </c>
      <c r="C8853" s="2" t="str">
        <f ca="1">IFERROR(__xludf.DUMMYFUNCTION("GOOGLETRANSLATE(A8853,""bn"",""en"")"),"It was a reality based movie")</f>
        <v>It was a reality based movie</v>
      </c>
      <c r="D8853" s="5"/>
      <c r="E8853" s="5"/>
      <c r="F8853" s="5"/>
      <c r="G8853" s="5"/>
      <c r="H8853" s="5"/>
      <c r="I8853" s="5"/>
      <c r="J8853" s="5"/>
      <c r="K8853" s="5"/>
      <c r="L8853" s="5"/>
      <c r="M8853" s="5"/>
      <c r="N8853" s="5"/>
      <c r="O8853" s="5"/>
      <c r="P8853" s="5"/>
      <c r="Q8853" s="5"/>
      <c r="R8853" s="5"/>
      <c r="S8853" s="5"/>
      <c r="T8853" s="5"/>
      <c r="U8853" s="5"/>
      <c r="V8853" s="5"/>
      <c r="W8853" s="5"/>
      <c r="X8853" s="5"/>
      <c r="Y8853" s="5"/>
      <c r="Z8853" s="5"/>
    </row>
    <row r="8854" spans="1:26" ht="15" x14ac:dyDescent="0.25">
      <c r="A8854" s="4" t="s">
        <v>8852</v>
      </c>
      <c r="B8854" s="4" t="s">
        <v>4550</v>
      </c>
      <c r="C8854" s="2" t="str">
        <f ca="1">IFERROR(__xludf.DUMMYFUNCTION("GOOGLETRANSLATE(A8854,""bn"",""en"")"),"The characters were portrayed beautifully")</f>
        <v>The characters were portrayed beautifully</v>
      </c>
      <c r="D8854" s="5"/>
      <c r="E8854" s="5"/>
      <c r="F8854" s="5"/>
      <c r="G8854" s="5"/>
      <c r="H8854" s="5"/>
      <c r="I8854" s="5"/>
      <c r="J8854" s="5"/>
      <c r="K8854" s="5"/>
      <c r="L8854" s="5"/>
      <c r="M8854" s="5"/>
      <c r="N8854" s="5"/>
      <c r="O8854" s="5"/>
      <c r="P8854" s="5"/>
      <c r="Q8854" s="5"/>
      <c r="R8854" s="5"/>
      <c r="S8854" s="5"/>
      <c r="T8854" s="5"/>
      <c r="U8854" s="5"/>
      <c r="V8854" s="5"/>
      <c r="W8854" s="5"/>
      <c r="X8854" s="5"/>
      <c r="Y8854" s="5"/>
      <c r="Z8854" s="5"/>
    </row>
    <row r="8855" spans="1:26" ht="15" x14ac:dyDescent="0.25">
      <c r="A8855" s="4" t="s">
        <v>8853</v>
      </c>
      <c r="B8855" s="4" t="s">
        <v>4550</v>
      </c>
      <c r="C8855" s="2" t="str">
        <f ca="1">IFERROR(__xludf.DUMMYFUNCTION("GOOGLETRANSLATE(A8855,""bn"",""en"")"),"Social discussions were going on between groups")</f>
        <v>Social discussions were going on between groups</v>
      </c>
      <c r="D8855" s="5"/>
      <c r="E8855" s="5"/>
      <c r="F8855" s="5"/>
      <c r="G8855" s="5"/>
      <c r="H8855" s="5"/>
      <c r="I8855" s="5"/>
      <c r="J8855" s="5"/>
      <c r="K8855" s="5"/>
      <c r="L8855" s="5"/>
      <c r="M8855" s="5"/>
      <c r="N8855" s="5"/>
      <c r="O8855" s="5"/>
      <c r="P8855" s="5"/>
      <c r="Q8855" s="5"/>
      <c r="R8855" s="5"/>
      <c r="S8855" s="5"/>
      <c r="T8855" s="5"/>
      <c r="U8855" s="5"/>
      <c r="V8855" s="5"/>
      <c r="W8855" s="5"/>
      <c r="X8855" s="5"/>
      <c r="Y8855" s="5"/>
      <c r="Z8855" s="5"/>
    </row>
    <row r="8856" spans="1:26" ht="15" x14ac:dyDescent="0.25">
      <c r="A8856" s="4" t="s">
        <v>8854</v>
      </c>
      <c r="B8856" s="4" t="s">
        <v>4550</v>
      </c>
      <c r="C8856" s="2" t="str">
        <f ca="1">IFERROR(__xludf.DUMMYFUNCTION("GOOGLETRANSLATE(A8856,""bn"",""en"")"),"Wanted to find new technology on the internet")</f>
        <v>Wanted to find new technology on the internet</v>
      </c>
      <c r="D8856" s="5"/>
      <c r="E8856" s="5"/>
      <c r="F8856" s="5"/>
      <c r="G8856" s="5"/>
      <c r="H8856" s="5"/>
      <c r="I8856" s="5"/>
      <c r="J8856" s="5"/>
      <c r="K8856" s="5"/>
      <c r="L8856" s="5"/>
      <c r="M8856" s="5"/>
      <c r="N8856" s="5"/>
      <c r="O8856" s="5"/>
      <c r="P8856" s="5"/>
      <c r="Q8856" s="5"/>
      <c r="R8856" s="5"/>
      <c r="S8856" s="5"/>
      <c r="T8856" s="5"/>
      <c r="U8856" s="5"/>
      <c r="V8856" s="5"/>
      <c r="W8856" s="5"/>
      <c r="X8856" s="5"/>
      <c r="Y8856" s="5"/>
      <c r="Z8856" s="5"/>
    </row>
    <row r="8857" spans="1:26" ht="15" x14ac:dyDescent="0.25">
      <c r="A8857" s="4" t="s">
        <v>8855</v>
      </c>
      <c r="B8857" s="4" t="s">
        <v>4550</v>
      </c>
      <c r="C8857" s="2" t="str">
        <f ca="1">IFERROR(__xludf.DUMMYFUNCTION("GOOGLETRANSLATE(A8857,""bn"",""en"")"),"Popular places of the city were seen")</f>
        <v>Popular places of the city were seen</v>
      </c>
      <c r="D8857" s="5"/>
      <c r="E8857" s="5"/>
      <c r="F8857" s="5"/>
      <c r="G8857" s="5"/>
      <c r="H8857" s="5"/>
      <c r="I8857" s="5"/>
      <c r="J8857" s="5"/>
      <c r="K8857" s="5"/>
      <c r="L8857" s="5"/>
      <c r="M8857" s="5"/>
      <c r="N8857" s="5"/>
      <c r="O8857" s="5"/>
      <c r="P8857" s="5"/>
      <c r="Q8857" s="5"/>
      <c r="R8857" s="5"/>
      <c r="S8857" s="5"/>
      <c r="T8857" s="5"/>
      <c r="U8857" s="5"/>
      <c r="V8857" s="5"/>
      <c r="W8857" s="5"/>
      <c r="X8857" s="5"/>
      <c r="Y8857" s="5"/>
      <c r="Z8857" s="5"/>
    </row>
    <row r="8858" spans="1:26" ht="15" x14ac:dyDescent="0.25">
      <c r="A8858" s="4" t="s">
        <v>8856</v>
      </c>
      <c r="B8858" s="4" t="s">
        <v>4550</v>
      </c>
      <c r="C8858" s="2" t="str">
        <f ca="1">IFERROR(__xludf.DUMMYFUNCTION("GOOGLETRANSLATE(A8858,""bn"",""en"")"),"The batsman was hitting a six in a cricket match")</f>
        <v>The batsman was hitting a six in a cricket match</v>
      </c>
      <c r="D8858" s="5"/>
      <c r="E8858" s="5"/>
      <c r="F8858" s="5"/>
      <c r="G8858" s="5"/>
      <c r="H8858" s="5"/>
      <c r="I8858" s="5"/>
      <c r="J8858" s="5"/>
      <c r="K8858" s="5"/>
      <c r="L8858" s="5"/>
      <c r="M8858" s="5"/>
      <c r="N8858" s="5"/>
      <c r="O8858" s="5"/>
      <c r="P8858" s="5"/>
      <c r="Q8858" s="5"/>
      <c r="R8858" s="5"/>
      <c r="S8858" s="5"/>
      <c r="T8858" s="5"/>
      <c r="U8858" s="5"/>
      <c r="V8858" s="5"/>
      <c r="W8858" s="5"/>
      <c r="X8858" s="5"/>
      <c r="Y8858" s="5"/>
      <c r="Z8858" s="5"/>
    </row>
    <row r="8859" spans="1:26" ht="15" x14ac:dyDescent="0.25">
      <c r="A8859" s="4" t="s">
        <v>8857</v>
      </c>
      <c r="B8859" s="4" t="s">
        <v>4550</v>
      </c>
      <c r="C8859" s="2" t="str">
        <f ca="1">IFERROR(__xludf.DUMMYFUNCTION("GOOGLETRANSLATE(A8859,""bn"",""en"")"),"I loved the tragedy series")</f>
        <v>I loved the tragedy series</v>
      </c>
      <c r="D8859" s="5"/>
      <c r="E8859" s="5"/>
      <c r="F8859" s="5"/>
      <c r="G8859" s="5"/>
      <c r="H8859" s="5"/>
      <c r="I8859" s="5"/>
      <c r="J8859" s="5"/>
      <c r="K8859" s="5"/>
      <c r="L8859" s="5"/>
      <c r="M8859" s="5"/>
      <c r="N8859" s="5"/>
      <c r="O8859" s="5"/>
      <c r="P8859" s="5"/>
      <c r="Q8859" s="5"/>
      <c r="R8859" s="5"/>
      <c r="S8859" s="5"/>
      <c r="T8859" s="5"/>
      <c r="U8859" s="5"/>
      <c r="V8859" s="5"/>
      <c r="W8859" s="5"/>
      <c r="X8859" s="5"/>
      <c r="Y8859" s="5"/>
      <c r="Z8859" s="5"/>
    </row>
    <row r="8860" spans="1:26" ht="15" x14ac:dyDescent="0.25">
      <c r="A8860" s="4" t="s">
        <v>8858</v>
      </c>
      <c r="B8860" s="4" t="s">
        <v>4550</v>
      </c>
      <c r="C8860" s="2" t="str">
        <f ca="1">IFERROR(__xludf.DUMMYFUNCTION("GOOGLETRANSLATE(A8860,""bn"",""en"")"),"Travel gave peace to people")</f>
        <v>Travel gave peace to people</v>
      </c>
      <c r="D8860" s="5"/>
      <c r="E8860" s="5"/>
      <c r="F8860" s="5"/>
      <c r="G8860" s="5"/>
      <c r="H8860" s="5"/>
      <c r="I8860" s="5"/>
      <c r="J8860" s="5"/>
      <c r="K8860" s="5"/>
      <c r="L8860" s="5"/>
      <c r="M8860" s="5"/>
      <c r="N8860" s="5"/>
      <c r="O8860" s="5"/>
      <c r="P8860" s="5"/>
      <c r="Q8860" s="5"/>
      <c r="R8860" s="5"/>
      <c r="S8860" s="5"/>
      <c r="T8860" s="5"/>
      <c r="U8860" s="5"/>
      <c r="V8860" s="5"/>
      <c r="W8860" s="5"/>
      <c r="X8860" s="5"/>
      <c r="Y8860" s="5"/>
      <c r="Z8860" s="5"/>
    </row>
    <row r="8861" spans="1:26" ht="15" x14ac:dyDescent="0.25">
      <c r="A8861" s="4" t="s">
        <v>8859</v>
      </c>
      <c r="B8861" s="4" t="s">
        <v>4550</v>
      </c>
      <c r="C8861" s="2" t="str">
        <f ca="1">IFERROR(__xludf.DUMMYFUNCTION("GOOGLETRANSLATE(A8861,""bn"",""en"")"),"The beauty of the heroine impresses everyone")</f>
        <v>The beauty of the heroine impresses everyone</v>
      </c>
      <c r="D8861" s="5"/>
      <c r="E8861" s="5"/>
      <c r="F8861" s="5"/>
      <c r="G8861" s="5"/>
      <c r="H8861" s="5"/>
      <c r="I8861" s="5"/>
      <c r="J8861" s="5"/>
      <c r="K8861" s="5"/>
      <c r="L8861" s="5"/>
      <c r="M8861" s="5"/>
      <c r="N8861" s="5"/>
      <c r="O8861" s="5"/>
      <c r="P8861" s="5"/>
      <c r="Q8861" s="5"/>
      <c r="R8861" s="5"/>
      <c r="S8861" s="5"/>
      <c r="T8861" s="5"/>
      <c r="U8861" s="5"/>
      <c r="V8861" s="5"/>
      <c r="W8861" s="5"/>
      <c r="X8861" s="5"/>
      <c r="Y8861" s="5"/>
      <c r="Z8861" s="5"/>
    </row>
    <row r="8862" spans="1:26" ht="15" x14ac:dyDescent="0.25">
      <c r="A8862" s="4" t="s">
        <v>8860</v>
      </c>
      <c r="B8862" s="4" t="s">
        <v>4550</v>
      </c>
      <c r="C8862" s="2" t="str">
        <f ca="1">IFERROR(__xludf.DUMMYFUNCTION("GOOGLETRANSLATE(A8862,""bn"",""en"")"),"In memory, in consciousness, in heart and keeping marks")</f>
        <v>In memory, in consciousness, in heart and keeping marks</v>
      </c>
      <c r="D8862" s="5"/>
      <c r="E8862" s="5"/>
      <c r="F8862" s="5"/>
      <c r="G8862" s="5"/>
      <c r="H8862" s="5"/>
      <c r="I8862" s="5"/>
      <c r="J8862" s="5"/>
      <c r="K8862" s="5"/>
      <c r="L8862" s="5"/>
      <c r="M8862" s="5"/>
      <c r="N8862" s="5"/>
      <c r="O8862" s="5"/>
      <c r="P8862" s="5"/>
      <c r="Q8862" s="5"/>
      <c r="R8862" s="5"/>
      <c r="S8862" s="5"/>
      <c r="T8862" s="5"/>
      <c r="U8862" s="5"/>
      <c r="V8862" s="5"/>
      <c r="W8862" s="5"/>
      <c r="X8862" s="5"/>
      <c r="Y8862" s="5"/>
      <c r="Z8862" s="5"/>
    </row>
    <row r="8863" spans="1:26" ht="15" x14ac:dyDescent="0.25">
      <c r="A8863" s="4" t="s">
        <v>8861</v>
      </c>
      <c r="B8863" s="4" t="s">
        <v>4550</v>
      </c>
      <c r="C8863" s="2" t="str">
        <f ca="1">IFERROR(__xludf.DUMMYFUNCTION("GOOGLETRANSLATE(A8863,""bn"",""en"")"),"Feelings were broadened through travel")</f>
        <v>Feelings were broadened through travel</v>
      </c>
      <c r="D8863" s="5"/>
      <c r="E8863" s="5"/>
      <c r="F8863" s="5"/>
      <c r="G8863" s="5"/>
      <c r="H8863" s="5"/>
      <c r="I8863" s="5"/>
      <c r="J8863" s="5"/>
      <c r="K8863" s="5"/>
      <c r="L8863" s="5"/>
      <c r="M8863" s="5"/>
      <c r="N8863" s="5"/>
      <c r="O8863" s="5"/>
      <c r="P8863" s="5"/>
      <c r="Q8863" s="5"/>
      <c r="R8863" s="5"/>
      <c r="S8863" s="5"/>
      <c r="T8863" s="5"/>
      <c r="U8863" s="5"/>
      <c r="V8863" s="5"/>
      <c r="W8863" s="5"/>
      <c r="X8863" s="5"/>
      <c r="Y8863" s="5"/>
      <c r="Z8863" s="5"/>
    </row>
    <row r="8864" spans="1:26" ht="15" x14ac:dyDescent="0.25">
      <c r="A8864" s="4" t="s">
        <v>8862</v>
      </c>
      <c r="B8864" s="4" t="s">
        <v>4550</v>
      </c>
      <c r="C8864" s="2" t="str">
        <f ca="1">IFERROR(__xludf.DUMMYFUNCTION("GOOGLETRANSLATE(A8864,""bn"",""en"")"),"Financial prosperity was happening through technology")</f>
        <v>Financial prosperity was happening through technology</v>
      </c>
      <c r="D8864" s="5"/>
      <c r="E8864" s="5"/>
      <c r="F8864" s="5"/>
      <c r="G8864" s="5"/>
      <c r="H8864" s="5"/>
      <c r="I8864" s="5"/>
      <c r="J8864" s="5"/>
      <c r="K8864" s="5"/>
      <c r="L8864" s="5"/>
      <c r="M8864" s="5"/>
      <c r="N8864" s="5"/>
      <c r="O8864" s="5"/>
      <c r="P8864" s="5"/>
      <c r="Q8864" s="5"/>
      <c r="R8864" s="5"/>
      <c r="S8864" s="5"/>
      <c r="T8864" s="5"/>
      <c r="U8864" s="5"/>
      <c r="V8864" s="5"/>
      <c r="W8864" s="5"/>
      <c r="X8864" s="5"/>
      <c r="Y8864" s="5"/>
      <c r="Z8864" s="5"/>
    </row>
    <row r="8865" spans="1:26" ht="15" x14ac:dyDescent="0.25">
      <c r="A8865" s="4" t="s">
        <v>8863</v>
      </c>
      <c r="B8865" s="4" t="s">
        <v>4550</v>
      </c>
      <c r="C8865" s="2" t="str">
        <f ca="1">IFERROR(__xludf.DUMMYFUNCTION("GOOGLETRANSLATE(A8865,""bn"",""en"")"),"I used various apps on my smartphone")</f>
        <v>I used various apps on my smartphone</v>
      </c>
      <c r="D8865" s="5"/>
      <c r="E8865" s="5"/>
      <c r="F8865" s="5"/>
      <c r="G8865" s="5"/>
      <c r="H8865" s="5"/>
      <c r="I8865" s="5"/>
      <c r="J8865" s="5"/>
      <c r="K8865" s="5"/>
      <c r="L8865" s="5"/>
      <c r="M8865" s="5"/>
      <c r="N8865" s="5"/>
      <c r="O8865" s="5"/>
      <c r="P8865" s="5"/>
      <c r="Q8865" s="5"/>
      <c r="R8865" s="5"/>
      <c r="S8865" s="5"/>
      <c r="T8865" s="5"/>
      <c r="U8865" s="5"/>
      <c r="V8865" s="5"/>
      <c r="W8865" s="5"/>
      <c r="X8865" s="5"/>
      <c r="Y8865" s="5"/>
      <c r="Z8865" s="5"/>
    </row>
    <row r="8866" spans="1:26" ht="15" x14ac:dyDescent="0.25">
      <c r="A8866" s="4" t="s">
        <v>8864</v>
      </c>
      <c r="B8866" s="4" t="s">
        <v>4550</v>
      </c>
      <c r="C8866" s="2" t="str">
        <f ca="1">IFERROR(__xludf.DUMMYFUNCTION("GOOGLETRANSLATE(A8866,""bn"",""en"")"),"I went to the market to buy a new laptop")</f>
        <v>I went to the market to buy a new laptop</v>
      </c>
      <c r="D8866" s="5"/>
      <c r="E8866" s="5"/>
      <c r="F8866" s="5"/>
      <c r="G8866" s="5"/>
      <c r="H8866" s="5"/>
      <c r="I8866" s="5"/>
      <c r="J8866" s="5"/>
      <c r="K8866" s="5"/>
      <c r="L8866" s="5"/>
      <c r="M8866" s="5"/>
      <c r="N8866" s="5"/>
      <c r="O8866" s="5"/>
      <c r="P8866" s="5"/>
      <c r="Q8866" s="5"/>
      <c r="R8866" s="5"/>
      <c r="S8866" s="5"/>
      <c r="T8866" s="5"/>
      <c r="U8866" s="5"/>
      <c r="V8866" s="5"/>
      <c r="W8866" s="5"/>
      <c r="X8866" s="5"/>
      <c r="Y8866" s="5"/>
      <c r="Z8866" s="5"/>
    </row>
    <row r="8867" spans="1:26" ht="15" x14ac:dyDescent="0.25">
      <c r="A8867" s="4" t="s">
        <v>8865</v>
      </c>
      <c r="B8867" s="4" t="s">
        <v>4550</v>
      </c>
      <c r="C8867" s="2" t="str">
        <f ca="1">IFERROR(__xludf.DUMMYFUNCTION("GOOGLETRANSLATE(A8867,""bn"",""en"")"),"The teachers worked hard for the results")</f>
        <v>The teachers worked hard for the results</v>
      </c>
      <c r="D8867" s="5"/>
      <c r="E8867" s="5"/>
      <c r="F8867" s="5"/>
      <c r="G8867" s="5"/>
      <c r="H8867" s="5"/>
      <c r="I8867" s="5"/>
      <c r="J8867" s="5"/>
      <c r="K8867" s="5"/>
      <c r="L8867" s="5"/>
      <c r="M8867" s="5"/>
      <c r="N8867" s="5"/>
      <c r="O8867" s="5"/>
      <c r="P8867" s="5"/>
      <c r="Q8867" s="5"/>
      <c r="R8867" s="5"/>
      <c r="S8867" s="5"/>
      <c r="T8867" s="5"/>
      <c r="U8867" s="5"/>
      <c r="V8867" s="5"/>
      <c r="W8867" s="5"/>
      <c r="X8867" s="5"/>
      <c r="Y8867" s="5"/>
      <c r="Z8867" s="5"/>
    </row>
    <row r="8868" spans="1:26" ht="15" x14ac:dyDescent="0.25">
      <c r="A8868" s="4" t="s">
        <v>8866</v>
      </c>
      <c r="B8868" s="4" t="s">
        <v>4550</v>
      </c>
      <c r="C8868" s="2" t="str">
        <f ca="1">IFERROR(__xludf.DUMMYFUNCTION("GOOGLETRANSLATE(A8868,""bn"",""en"")"),"I wanted to take a loan from this bank")</f>
        <v>I wanted to take a loan from this bank</v>
      </c>
      <c r="D8868" s="5"/>
      <c r="E8868" s="5"/>
      <c r="F8868" s="5"/>
      <c r="G8868" s="5"/>
      <c r="H8868" s="5"/>
      <c r="I8868" s="5"/>
      <c r="J8868" s="5"/>
      <c r="K8868" s="5"/>
      <c r="L8868" s="5"/>
      <c r="M8868" s="5"/>
      <c r="N8868" s="5"/>
      <c r="O8868" s="5"/>
      <c r="P8868" s="5"/>
      <c r="Q8868" s="5"/>
      <c r="R8868" s="5"/>
      <c r="S8868" s="5"/>
      <c r="T8868" s="5"/>
      <c r="U8868" s="5"/>
      <c r="V8868" s="5"/>
      <c r="W8868" s="5"/>
      <c r="X8868" s="5"/>
      <c r="Y8868" s="5"/>
      <c r="Z8868" s="5"/>
    </row>
    <row r="8869" spans="1:26" ht="15" x14ac:dyDescent="0.25">
      <c r="A8869" s="4" t="s">
        <v>8867</v>
      </c>
      <c r="B8869" s="4" t="s">
        <v>4550</v>
      </c>
      <c r="C8869" s="2" t="str">
        <f ca="1">IFERROR(__xludf.DUMMYFUNCTION("GOOGLETRANSLATE(A8869,""bn"",""en"")"),"I asked for a safety account")</f>
        <v>I asked for a safety account</v>
      </c>
      <c r="D8869" s="5"/>
      <c r="E8869" s="5"/>
      <c r="F8869" s="5"/>
      <c r="G8869" s="5"/>
      <c r="H8869" s="5"/>
      <c r="I8869" s="5"/>
      <c r="J8869" s="5"/>
      <c r="K8869" s="5"/>
      <c r="L8869" s="5"/>
      <c r="M8869" s="5"/>
      <c r="N8869" s="5"/>
      <c r="O8869" s="5"/>
      <c r="P8869" s="5"/>
      <c r="Q8869" s="5"/>
      <c r="R8869" s="5"/>
      <c r="S8869" s="5"/>
      <c r="T8869" s="5"/>
      <c r="U8869" s="5"/>
      <c r="V8869" s="5"/>
      <c r="W8869" s="5"/>
      <c r="X8869" s="5"/>
      <c r="Y8869" s="5"/>
      <c r="Z8869" s="5"/>
    </row>
    <row r="8870" spans="1:26" ht="15" x14ac:dyDescent="0.25">
      <c r="A8870" s="4" t="s">
        <v>8868</v>
      </c>
      <c r="B8870" s="4" t="s">
        <v>4550</v>
      </c>
      <c r="C8870" s="2" t="str">
        <f ca="1">IFERROR(__xludf.DUMMYFUNCTION("GOOGLETRANSLATE(A8870,""bn"",""en"")"),"I asked for a loan from the bank")</f>
        <v>I asked for a loan from the bank</v>
      </c>
      <c r="D8870" s="5"/>
      <c r="E8870" s="5"/>
      <c r="F8870" s="5"/>
      <c r="G8870" s="5"/>
      <c r="H8870" s="5"/>
      <c r="I8870" s="5"/>
      <c r="J8870" s="5"/>
      <c r="K8870" s="5"/>
      <c r="L8870" s="5"/>
      <c r="M8870" s="5"/>
      <c r="N8870" s="5"/>
      <c r="O8870" s="5"/>
      <c r="P8870" s="5"/>
      <c r="Q8870" s="5"/>
      <c r="R8870" s="5"/>
      <c r="S8870" s="5"/>
      <c r="T8870" s="5"/>
      <c r="U8870" s="5"/>
      <c r="V8870" s="5"/>
      <c r="W8870" s="5"/>
      <c r="X8870" s="5"/>
      <c r="Y8870" s="5"/>
      <c r="Z8870" s="5"/>
    </row>
    <row r="8871" spans="1:26" ht="15" x14ac:dyDescent="0.25">
      <c r="A8871" s="4" t="s">
        <v>8869</v>
      </c>
      <c r="B8871" s="4" t="s">
        <v>4550</v>
      </c>
      <c r="C8871" s="2" t="str">
        <f ca="1">IFERROR(__xludf.DUMMYFUNCTION("GOOGLETRANSLATE(A8871,""bn"",""en"")"),"News of the film's success was spreading")</f>
        <v>News of the film's success was spreading</v>
      </c>
      <c r="D8871" s="5"/>
      <c r="E8871" s="5"/>
      <c r="F8871" s="5"/>
      <c r="G8871" s="5"/>
      <c r="H8871" s="5"/>
      <c r="I8871" s="5"/>
      <c r="J8871" s="5"/>
      <c r="K8871" s="5"/>
      <c r="L8871" s="5"/>
      <c r="M8871" s="5"/>
      <c r="N8871" s="5"/>
      <c r="O8871" s="5"/>
      <c r="P8871" s="5"/>
      <c r="Q8871" s="5"/>
      <c r="R8871" s="5"/>
      <c r="S8871" s="5"/>
      <c r="T8871" s="5"/>
      <c r="U8871" s="5"/>
      <c r="V8871" s="5"/>
      <c r="W8871" s="5"/>
      <c r="X8871" s="5"/>
      <c r="Y8871" s="5"/>
      <c r="Z8871" s="5"/>
    </row>
    <row r="8872" spans="1:26" ht="15" x14ac:dyDescent="0.25">
      <c r="A8872" s="4" t="s">
        <v>8870</v>
      </c>
      <c r="B8872" s="4" t="s">
        <v>4550</v>
      </c>
      <c r="C8872" s="2" t="str">
        <f ca="1">IFERROR(__xludf.DUMMYFUNCTION("GOOGLETRANSLATE(A8872,""bn"",""en"")"),"I prepared to travel with courage")</f>
        <v>I prepared to travel with courage</v>
      </c>
      <c r="D8872" s="5"/>
      <c r="E8872" s="5"/>
      <c r="F8872" s="5"/>
      <c r="G8872" s="5"/>
      <c r="H8872" s="5"/>
      <c r="I8872" s="5"/>
      <c r="J8872" s="5"/>
      <c r="K8872" s="5"/>
      <c r="L8872" s="5"/>
      <c r="M8872" s="5"/>
      <c r="N8872" s="5"/>
      <c r="O8872" s="5"/>
      <c r="P8872" s="5"/>
      <c r="Q8872" s="5"/>
      <c r="R8872" s="5"/>
      <c r="S8872" s="5"/>
      <c r="T8872" s="5"/>
      <c r="U8872" s="5"/>
      <c r="V8872" s="5"/>
      <c r="W8872" s="5"/>
      <c r="X8872" s="5"/>
      <c r="Y8872" s="5"/>
      <c r="Z8872" s="5"/>
    </row>
    <row r="8873" spans="1:26" ht="15" x14ac:dyDescent="0.25">
      <c r="A8873" s="4" t="s">
        <v>8871</v>
      </c>
      <c r="B8873" s="4" t="s">
        <v>4550</v>
      </c>
      <c r="C8873" s="2" t="str">
        <f ca="1">IFERROR(__xludf.DUMMYFUNCTION("GOOGLETRANSLATE(A8873,""bn"",""en"")"),"The blue waves of the ocean spread the softness")</f>
        <v>The blue waves of the ocean spread the softness</v>
      </c>
      <c r="D8873" s="5"/>
      <c r="E8873" s="5"/>
      <c r="F8873" s="5"/>
      <c r="G8873" s="5"/>
      <c r="H8873" s="5"/>
      <c r="I8873" s="5"/>
      <c r="J8873" s="5"/>
      <c r="K8873" s="5"/>
      <c r="L8873" s="5"/>
      <c r="M8873" s="5"/>
      <c r="N8873" s="5"/>
      <c r="O8873" s="5"/>
      <c r="P8873" s="5"/>
      <c r="Q8873" s="5"/>
      <c r="R8873" s="5"/>
      <c r="S8873" s="5"/>
      <c r="T8873" s="5"/>
      <c r="U8873" s="5"/>
      <c r="V8873" s="5"/>
      <c r="W8873" s="5"/>
      <c r="X8873" s="5"/>
      <c r="Y8873" s="5"/>
      <c r="Z8873" s="5"/>
    </row>
    <row r="8874" spans="1:26" ht="15" x14ac:dyDescent="0.25">
      <c r="A8874" s="4" t="s">
        <v>8872</v>
      </c>
      <c r="B8874" s="4" t="s">
        <v>4550</v>
      </c>
      <c r="C8874" s="2" t="str">
        <f ca="1">IFERROR(__xludf.DUMMYFUNCTION("GOOGLETRANSLATE(A8874,""bn"",""en"")"),"I was spending money for charity")</f>
        <v>I was spending money for charity</v>
      </c>
      <c r="D8874" s="5"/>
      <c r="E8874" s="5"/>
      <c r="F8874" s="5"/>
      <c r="G8874" s="5"/>
      <c r="H8874" s="5"/>
      <c r="I8874" s="5"/>
      <c r="J8874" s="5"/>
      <c r="K8874" s="5"/>
      <c r="L8874" s="5"/>
      <c r="M8874" s="5"/>
      <c r="N8874" s="5"/>
      <c r="O8874" s="5"/>
      <c r="P8874" s="5"/>
      <c r="Q8874" s="5"/>
      <c r="R8874" s="5"/>
      <c r="S8874" s="5"/>
      <c r="T8874" s="5"/>
      <c r="U8874" s="5"/>
      <c r="V8874" s="5"/>
      <c r="W8874" s="5"/>
      <c r="X8874" s="5"/>
      <c r="Y8874" s="5"/>
      <c r="Z8874" s="5"/>
    </row>
    <row r="8875" spans="1:26" ht="15" x14ac:dyDescent="0.25">
      <c r="A8875" s="4" t="s">
        <v>8873</v>
      </c>
      <c r="B8875" s="4" t="s">
        <v>4550</v>
      </c>
      <c r="C8875" s="2" t="str">
        <f ca="1">IFERROR(__xludf.DUMMYFUNCTION("GOOGLETRANSLATE(A8875,""bn"",""en"")"),"I want to open permanent assessment")</f>
        <v>I want to open permanent assessment</v>
      </c>
      <c r="D8875" s="5"/>
      <c r="E8875" s="5"/>
      <c r="F8875" s="5"/>
      <c r="G8875" s="5"/>
      <c r="H8875" s="5"/>
      <c r="I8875" s="5"/>
      <c r="J8875" s="5"/>
      <c r="K8875" s="5"/>
      <c r="L8875" s="5"/>
      <c r="M8875" s="5"/>
      <c r="N8875" s="5"/>
      <c r="O8875" s="5"/>
      <c r="P8875" s="5"/>
      <c r="Q8875" s="5"/>
      <c r="R8875" s="5"/>
      <c r="S8875" s="5"/>
      <c r="T8875" s="5"/>
      <c r="U8875" s="5"/>
      <c r="V8875" s="5"/>
      <c r="W8875" s="5"/>
      <c r="X8875" s="5"/>
      <c r="Y8875" s="5"/>
      <c r="Z8875" s="5"/>
    </row>
    <row r="8876" spans="1:26" ht="15" x14ac:dyDescent="0.25">
      <c r="A8876" s="4" t="s">
        <v>8874</v>
      </c>
      <c r="B8876" s="4" t="s">
        <v>4550</v>
      </c>
      <c r="C8876" s="2" t="str">
        <f ca="1">IFERROR(__xludf.DUMMYFUNCTION("GOOGLETRANSLATE(A8876,""bn"",""en"")"),"I expressed interest in opening permanent assessment")</f>
        <v>I expressed interest in opening permanent assessment</v>
      </c>
      <c r="D8876" s="5"/>
      <c r="E8876" s="5"/>
      <c r="F8876" s="5"/>
      <c r="G8876" s="5"/>
      <c r="H8876" s="5"/>
      <c r="I8876" s="5"/>
      <c r="J8876" s="5"/>
      <c r="K8876" s="5"/>
      <c r="L8876" s="5"/>
      <c r="M8876" s="5"/>
      <c r="N8876" s="5"/>
      <c r="O8876" s="5"/>
      <c r="P8876" s="5"/>
      <c r="Q8876" s="5"/>
      <c r="R8876" s="5"/>
      <c r="S8876" s="5"/>
      <c r="T8876" s="5"/>
      <c r="U8876" s="5"/>
      <c r="V8876" s="5"/>
      <c r="W8876" s="5"/>
      <c r="X8876" s="5"/>
      <c r="Y8876" s="5"/>
      <c r="Z8876" s="5"/>
    </row>
    <row r="8877" spans="1:26" ht="15" x14ac:dyDescent="0.25">
      <c r="A8877" s="4" t="s">
        <v>8875</v>
      </c>
      <c r="B8877" s="4" t="s">
        <v>4550</v>
      </c>
      <c r="C8877" s="2" t="str">
        <f ca="1">IFERROR(__xludf.DUMMYFUNCTION("GOOGLETRANSLATE(A8877,""bn"",""en"")"),"Watching the movie boosted my confidence")</f>
        <v>Watching the movie boosted my confidence</v>
      </c>
      <c r="D8877" s="5"/>
      <c r="E8877" s="5"/>
      <c r="F8877" s="5"/>
      <c r="G8877" s="5"/>
      <c r="H8877" s="5"/>
      <c r="I8877" s="5"/>
      <c r="J8877" s="5"/>
      <c r="K8877" s="5"/>
      <c r="L8877" s="5"/>
      <c r="M8877" s="5"/>
      <c r="N8877" s="5"/>
      <c r="O8877" s="5"/>
      <c r="P8877" s="5"/>
      <c r="Q8877" s="5"/>
      <c r="R8877" s="5"/>
      <c r="S8877" s="5"/>
      <c r="T8877" s="5"/>
      <c r="U8877" s="5"/>
      <c r="V8877" s="5"/>
      <c r="W8877" s="5"/>
      <c r="X8877" s="5"/>
      <c r="Y8877" s="5"/>
      <c r="Z8877" s="5"/>
    </row>
    <row r="8878" spans="1:26" ht="15" x14ac:dyDescent="0.25">
      <c r="A8878" s="4" t="s">
        <v>8876</v>
      </c>
      <c r="B8878" s="4" t="s">
        <v>4550</v>
      </c>
      <c r="C8878" s="2" t="str">
        <f ca="1">IFERROR(__xludf.DUMMYFUNCTION("GOOGLETRANSLATE(A8878,""bn"",""en"")"),"Everyone in the team scored well")</f>
        <v>Everyone in the team scored well</v>
      </c>
      <c r="D8878" s="5"/>
      <c r="E8878" s="5"/>
      <c r="F8878" s="5"/>
      <c r="G8878" s="5"/>
      <c r="H8878" s="5"/>
      <c r="I8878" s="5"/>
      <c r="J8878" s="5"/>
      <c r="K8878" s="5"/>
      <c r="L8878" s="5"/>
      <c r="M8878" s="5"/>
      <c r="N8878" s="5"/>
      <c r="O8878" s="5"/>
      <c r="P8878" s="5"/>
      <c r="Q8878" s="5"/>
      <c r="R8878" s="5"/>
      <c r="S8878" s="5"/>
      <c r="T8878" s="5"/>
      <c r="U8878" s="5"/>
      <c r="V8878" s="5"/>
      <c r="W8878" s="5"/>
      <c r="X8878" s="5"/>
      <c r="Y8878" s="5"/>
      <c r="Z8878" s="5"/>
    </row>
    <row r="8879" spans="1:26" ht="15" x14ac:dyDescent="0.25">
      <c r="A8879" s="4" t="s">
        <v>8877</v>
      </c>
      <c r="B8879" s="4" t="s">
        <v>4550</v>
      </c>
      <c r="C8879" s="2" t="str">
        <f ca="1">IFERROR(__xludf.DUMMYFUNCTION("GOOGLETRANSLATE(A8879,""bn"",""en"")"),"Now buying and selling increased in the market")</f>
        <v>Now buying and selling increased in the market</v>
      </c>
      <c r="D8879" s="5"/>
      <c r="E8879" s="5"/>
      <c r="F8879" s="5"/>
      <c r="G8879" s="5"/>
      <c r="H8879" s="5"/>
      <c r="I8879" s="5"/>
      <c r="J8879" s="5"/>
      <c r="K8879" s="5"/>
      <c r="L8879" s="5"/>
      <c r="M8879" s="5"/>
      <c r="N8879" s="5"/>
      <c r="O8879" s="5"/>
      <c r="P8879" s="5"/>
      <c r="Q8879" s="5"/>
      <c r="R8879" s="5"/>
      <c r="S8879" s="5"/>
      <c r="T8879" s="5"/>
      <c r="U8879" s="5"/>
      <c r="V8879" s="5"/>
      <c r="W8879" s="5"/>
      <c r="X8879" s="5"/>
      <c r="Y8879" s="5"/>
      <c r="Z8879" s="5"/>
    </row>
    <row r="8880" spans="1:26" ht="15" x14ac:dyDescent="0.25">
      <c r="A8880" s="4" t="s">
        <v>8878</v>
      </c>
      <c r="B8880" s="4" t="s">
        <v>4550</v>
      </c>
      <c r="C8880" s="2" t="str">
        <f ca="1">IFERROR(__xludf.DUMMYFUNCTION("GOOGLETRANSLATE(A8880,""bn"",""en"")"),"I was checking new software on the internet")</f>
        <v>I was checking new software on the internet</v>
      </c>
      <c r="D8880" s="5"/>
      <c r="E8880" s="5"/>
      <c r="F8880" s="5"/>
      <c r="G8880" s="5"/>
      <c r="H8880" s="5"/>
      <c r="I8880" s="5"/>
      <c r="J8880" s="5"/>
      <c r="K8880" s="5"/>
      <c r="L8880" s="5"/>
      <c r="M8880" s="5"/>
      <c r="N8880" s="5"/>
      <c r="O8880" s="5"/>
      <c r="P8880" s="5"/>
      <c r="Q8880" s="5"/>
      <c r="R8880" s="5"/>
      <c r="S8880" s="5"/>
      <c r="T8880" s="5"/>
      <c r="U8880" s="5"/>
      <c r="V8880" s="5"/>
      <c r="W8880" s="5"/>
      <c r="X8880" s="5"/>
      <c r="Y8880" s="5"/>
      <c r="Z8880" s="5"/>
    </row>
    <row r="8881" spans="1:26" ht="15" x14ac:dyDescent="0.25">
      <c r="A8881" s="4" t="s">
        <v>8879</v>
      </c>
      <c r="B8881" s="4" t="s">
        <v>4550</v>
      </c>
      <c r="C8881" s="2" t="str">
        <f ca="1">IFERROR(__xludf.DUMMYFUNCTION("GOOGLETRANSLATE(A8881,""bn"",""en"")"),"The teacher was asking students difficult questions")</f>
        <v>The teacher was asking students difficult questions</v>
      </c>
      <c r="D8881" s="5"/>
      <c r="E8881" s="5"/>
      <c r="F8881" s="5"/>
      <c r="G8881" s="5"/>
      <c r="H8881" s="5"/>
      <c r="I8881" s="5"/>
      <c r="J8881" s="5"/>
      <c r="K8881" s="5"/>
      <c r="L8881" s="5"/>
      <c r="M8881" s="5"/>
      <c r="N8881" s="5"/>
      <c r="O8881" s="5"/>
      <c r="P8881" s="5"/>
      <c r="Q8881" s="5"/>
      <c r="R8881" s="5"/>
      <c r="S8881" s="5"/>
      <c r="T8881" s="5"/>
      <c r="U8881" s="5"/>
      <c r="V8881" s="5"/>
      <c r="W8881" s="5"/>
      <c r="X8881" s="5"/>
      <c r="Y8881" s="5"/>
      <c r="Z8881" s="5"/>
    </row>
    <row r="8882" spans="1:26" ht="15" x14ac:dyDescent="0.25">
      <c r="A8882" s="4" t="s">
        <v>8880</v>
      </c>
      <c r="B8882" s="4" t="s">
        <v>4550</v>
      </c>
      <c r="C8882" s="2" t="str">
        <f ca="1">IFERROR(__xludf.DUMMYFUNCTION("GOOGLETRANSLATE(A8882,""bn"",""en"")"),"The film had an impact on my life")</f>
        <v>The film had an impact on my life</v>
      </c>
      <c r="D8882" s="5"/>
      <c r="E8882" s="5"/>
      <c r="F8882" s="5"/>
      <c r="G8882" s="5"/>
      <c r="H8882" s="5"/>
      <c r="I8882" s="5"/>
      <c r="J8882" s="5"/>
      <c r="K8882" s="5"/>
      <c r="L8882" s="5"/>
      <c r="M8882" s="5"/>
      <c r="N8882" s="5"/>
      <c r="O8882" s="5"/>
      <c r="P8882" s="5"/>
      <c r="Q8882" s="5"/>
      <c r="R8882" s="5"/>
      <c r="S8882" s="5"/>
      <c r="T8882" s="5"/>
      <c r="U8882" s="5"/>
      <c r="V8882" s="5"/>
      <c r="W8882" s="5"/>
      <c r="X8882" s="5"/>
      <c r="Y8882" s="5"/>
      <c r="Z8882" s="5"/>
    </row>
    <row r="8883" spans="1:26" ht="15" x14ac:dyDescent="0.25">
      <c r="A8883" s="4" t="s">
        <v>8881</v>
      </c>
      <c r="B8883" s="4" t="s">
        <v>4550</v>
      </c>
      <c r="C8883" s="2" t="str">
        <f ca="1">IFERROR(__xludf.DUMMYFUNCTION("GOOGLETRANSLATE(A8883,""bn"",""en"")"),"Parties received vows from citizens")</f>
        <v>Parties received vows from citizens</v>
      </c>
      <c r="D8883" s="5"/>
      <c r="E8883" s="5"/>
      <c r="F8883" s="5"/>
      <c r="G8883" s="5"/>
      <c r="H8883" s="5"/>
      <c r="I8883" s="5"/>
      <c r="J8883" s="5"/>
      <c r="K8883" s="5"/>
      <c r="L8883" s="5"/>
      <c r="M8883" s="5"/>
      <c r="N8883" s="5"/>
      <c r="O8883" s="5"/>
      <c r="P8883" s="5"/>
      <c r="Q8883" s="5"/>
      <c r="R8883" s="5"/>
      <c r="S8883" s="5"/>
      <c r="T8883" s="5"/>
      <c r="U8883" s="5"/>
      <c r="V8883" s="5"/>
      <c r="W8883" s="5"/>
      <c r="X8883" s="5"/>
      <c r="Y8883" s="5"/>
      <c r="Z8883" s="5"/>
    </row>
    <row r="8884" spans="1:26" ht="15" x14ac:dyDescent="0.25">
      <c r="A8884" s="4" t="s">
        <v>8882</v>
      </c>
      <c r="B8884" s="4" t="s">
        <v>4550</v>
      </c>
      <c r="C8884" s="2" t="str">
        <f ca="1">IFERROR(__xludf.DUMMYFUNCTION("GOOGLETRANSLATE(A8884,""bn"",""en"")"),"I was using the new desktop")</f>
        <v>I was using the new desktop</v>
      </c>
      <c r="D8884" s="5"/>
      <c r="E8884" s="5"/>
      <c r="F8884" s="5"/>
      <c r="G8884" s="5"/>
      <c r="H8884" s="5"/>
      <c r="I8884" s="5"/>
      <c r="J8884" s="5"/>
      <c r="K8884" s="5"/>
      <c r="L8884" s="5"/>
      <c r="M8884" s="5"/>
      <c r="N8884" s="5"/>
      <c r="O8884" s="5"/>
      <c r="P8884" s="5"/>
      <c r="Q8884" s="5"/>
      <c r="R8884" s="5"/>
      <c r="S8884" s="5"/>
      <c r="T8884" s="5"/>
      <c r="U8884" s="5"/>
      <c r="V8884" s="5"/>
      <c r="W8884" s="5"/>
      <c r="X8884" s="5"/>
      <c r="Y8884" s="5"/>
      <c r="Z8884" s="5"/>
    </row>
    <row r="8885" spans="1:26" ht="15" x14ac:dyDescent="0.25">
      <c r="A8885" s="4" t="s">
        <v>8883</v>
      </c>
      <c r="B8885" s="4" t="s">
        <v>4550</v>
      </c>
      <c r="C8885" s="2" t="str">
        <f ca="1">IFERROR(__xludf.DUMMYFUNCTION("GOOGLETRANSLATE(A8885,""bn"",""en"")"),"News of the film's success spread")</f>
        <v>News of the film's success spread</v>
      </c>
      <c r="D8885" s="5"/>
      <c r="E8885" s="5"/>
      <c r="F8885" s="5"/>
      <c r="G8885" s="5"/>
      <c r="H8885" s="5"/>
      <c r="I8885" s="5"/>
      <c r="J8885" s="5"/>
      <c r="K8885" s="5"/>
      <c r="L8885" s="5"/>
      <c r="M8885" s="5"/>
      <c r="N8885" s="5"/>
      <c r="O8885" s="5"/>
      <c r="P8885" s="5"/>
      <c r="Q8885" s="5"/>
      <c r="R8885" s="5"/>
      <c r="S8885" s="5"/>
      <c r="T8885" s="5"/>
      <c r="U8885" s="5"/>
      <c r="V8885" s="5"/>
      <c r="W8885" s="5"/>
      <c r="X8885" s="5"/>
      <c r="Y8885" s="5"/>
      <c r="Z8885" s="5"/>
    </row>
    <row r="8886" spans="1:26" ht="15" x14ac:dyDescent="0.25">
      <c r="A8886" s="4" t="s">
        <v>8884</v>
      </c>
      <c r="B8886" s="4" t="s">
        <v>4550</v>
      </c>
      <c r="C8886" s="2" t="str">
        <f ca="1">IFERROR(__xludf.DUMMYFUNCTION("GOOGLETRANSLATE(A8886,""bn"",""en"")"),"I was learning business using internet")</f>
        <v>I was learning business using internet</v>
      </c>
      <c r="D8886" s="5"/>
      <c r="E8886" s="5"/>
      <c r="F8886" s="5"/>
      <c r="G8886" s="5"/>
      <c r="H8886" s="5"/>
      <c r="I8886" s="5"/>
      <c r="J8886" s="5"/>
      <c r="K8886" s="5"/>
      <c r="L8886" s="5"/>
      <c r="M8886" s="5"/>
      <c r="N8886" s="5"/>
      <c r="O8886" s="5"/>
      <c r="P8886" s="5"/>
      <c r="Q8886" s="5"/>
      <c r="R8886" s="5"/>
      <c r="S8886" s="5"/>
      <c r="T8886" s="5"/>
      <c r="U8886" s="5"/>
      <c r="V8886" s="5"/>
      <c r="W8886" s="5"/>
      <c r="X8886" s="5"/>
      <c r="Y8886" s="5"/>
      <c r="Z8886" s="5"/>
    </row>
    <row r="8887" spans="1:26" ht="15" x14ac:dyDescent="0.25">
      <c r="A8887" s="4" t="s">
        <v>8885</v>
      </c>
      <c r="B8887" s="4" t="s">
        <v>4550</v>
      </c>
      <c r="C8887" s="2" t="str">
        <f ca="1">IFERROR(__xludf.DUMMYFUNCTION("GOOGLETRANSLATE(A8887,""bn"",""en"")"),"Financial prosperity came through technology")</f>
        <v>Financial prosperity came through technology</v>
      </c>
      <c r="D8887" s="5"/>
      <c r="E8887" s="5"/>
      <c r="F8887" s="5"/>
      <c r="G8887" s="5"/>
      <c r="H8887" s="5"/>
      <c r="I8887" s="5"/>
      <c r="J8887" s="5"/>
      <c r="K8887" s="5"/>
      <c r="L8887" s="5"/>
      <c r="M8887" s="5"/>
      <c r="N8887" s="5"/>
      <c r="O8887" s="5"/>
      <c r="P8887" s="5"/>
      <c r="Q8887" s="5"/>
      <c r="R8887" s="5"/>
      <c r="S8887" s="5"/>
      <c r="T8887" s="5"/>
      <c r="U8887" s="5"/>
      <c r="V8887" s="5"/>
      <c r="W8887" s="5"/>
      <c r="X8887" s="5"/>
      <c r="Y8887" s="5"/>
      <c r="Z8887" s="5"/>
    </row>
    <row r="8888" spans="1:26" ht="15" x14ac:dyDescent="0.25">
      <c r="A8888" s="4" t="s">
        <v>8886</v>
      </c>
      <c r="B8888" s="4" t="s">
        <v>4550</v>
      </c>
      <c r="C8888" s="2" t="str">
        <f ca="1">IFERROR(__xludf.DUMMYFUNCTION("GOOGLETRANSLATE(A8888,""bn"",""en"")"),"He achieved success through hard work")</f>
        <v>He achieved success through hard work</v>
      </c>
      <c r="D8888" s="5"/>
      <c r="E8888" s="5"/>
      <c r="F8888" s="5"/>
      <c r="G8888" s="5"/>
      <c r="H8888" s="5"/>
      <c r="I8888" s="5"/>
      <c r="J8888" s="5"/>
      <c r="K8888" s="5"/>
      <c r="L8888" s="5"/>
      <c r="M8888" s="5"/>
      <c r="N8888" s="5"/>
      <c r="O8888" s="5"/>
      <c r="P8888" s="5"/>
      <c r="Q8888" s="5"/>
      <c r="R8888" s="5"/>
      <c r="S8888" s="5"/>
      <c r="T8888" s="5"/>
      <c r="U8888" s="5"/>
      <c r="V8888" s="5"/>
      <c r="W8888" s="5"/>
      <c r="X8888" s="5"/>
      <c r="Y8888" s="5"/>
      <c r="Z8888" s="5"/>
    </row>
    <row r="8889" spans="1:26" ht="15" x14ac:dyDescent="0.25">
      <c r="A8889" s="4" t="s">
        <v>8887</v>
      </c>
      <c r="B8889" s="4" t="s">
        <v>4550</v>
      </c>
      <c r="C8889" s="2" t="str">
        <f ca="1">IFERROR(__xludf.DUMMYFUNCTION("GOOGLETRANSLATE(A8889,""bn"",""en"")"),"I wanted to study in Rahat College")</f>
        <v>I wanted to study in Rahat College</v>
      </c>
      <c r="D8889" s="5"/>
      <c r="E8889" s="5"/>
      <c r="F8889" s="5"/>
      <c r="G8889" s="5"/>
      <c r="H8889" s="5"/>
      <c r="I8889" s="5"/>
      <c r="J8889" s="5"/>
      <c r="K8889" s="5"/>
      <c r="L8889" s="5"/>
      <c r="M8889" s="5"/>
      <c r="N8889" s="5"/>
      <c r="O8889" s="5"/>
      <c r="P8889" s="5"/>
      <c r="Q8889" s="5"/>
      <c r="R8889" s="5"/>
      <c r="S8889" s="5"/>
      <c r="T8889" s="5"/>
      <c r="U8889" s="5"/>
      <c r="V8889" s="5"/>
      <c r="W8889" s="5"/>
      <c r="X8889" s="5"/>
      <c r="Y8889" s="5"/>
      <c r="Z8889" s="5"/>
    </row>
    <row r="8890" spans="1:26" ht="15" x14ac:dyDescent="0.25">
      <c r="A8890" s="4" t="s">
        <v>8888</v>
      </c>
      <c r="B8890" s="4" t="s">
        <v>4550</v>
      </c>
      <c r="C8890" s="2" t="str">
        <f ca="1">IFERROR(__xludf.DUMMYFUNCTION("GOOGLETRANSLATE(A8890,""bn"",""en"")"),"I went on a trip with the students")</f>
        <v>I went on a trip with the students</v>
      </c>
      <c r="D8890" s="5"/>
      <c r="E8890" s="5"/>
      <c r="F8890" s="5"/>
      <c r="G8890" s="5"/>
      <c r="H8890" s="5"/>
      <c r="I8890" s="5"/>
      <c r="J8890" s="5"/>
      <c r="K8890" s="5"/>
      <c r="L8890" s="5"/>
      <c r="M8890" s="5"/>
      <c r="N8890" s="5"/>
      <c r="O8890" s="5"/>
      <c r="P8890" s="5"/>
      <c r="Q8890" s="5"/>
      <c r="R8890" s="5"/>
      <c r="S8890" s="5"/>
      <c r="T8890" s="5"/>
      <c r="U8890" s="5"/>
      <c r="V8890" s="5"/>
      <c r="W8890" s="5"/>
      <c r="X8890" s="5"/>
      <c r="Y8890" s="5"/>
      <c r="Z8890" s="5"/>
    </row>
    <row r="8891" spans="1:26" ht="15" x14ac:dyDescent="0.25">
      <c r="A8891" s="4" t="s">
        <v>8889</v>
      </c>
      <c r="B8891" s="4" t="s">
        <v>4550</v>
      </c>
      <c r="C8891" s="2" t="str">
        <f ca="1">IFERROR(__xludf.DUMMYFUNCTION("GOOGLETRANSLATE(A8891,""bn"",""en"")"),"The government was aligned with the people")</f>
        <v>The government was aligned with the people</v>
      </c>
      <c r="D8891" s="5"/>
      <c r="E8891" s="5"/>
      <c r="F8891" s="5"/>
      <c r="G8891" s="5"/>
      <c r="H8891" s="5"/>
      <c r="I8891" s="5"/>
      <c r="J8891" s="5"/>
      <c r="K8891" s="5"/>
      <c r="L8891" s="5"/>
      <c r="M8891" s="5"/>
      <c r="N8891" s="5"/>
      <c r="O8891" s="5"/>
      <c r="P8891" s="5"/>
      <c r="Q8891" s="5"/>
      <c r="R8891" s="5"/>
      <c r="S8891" s="5"/>
      <c r="T8891" s="5"/>
      <c r="U8891" s="5"/>
      <c r="V8891" s="5"/>
      <c r="W8891" s="5"/>
      <c r="X8891" s="5"/>
      <c r="Y8891" s="5"/>
      <c r="Z8891" s="5"/>
    </row>
    <row r="8892" spans="1:26" ht="15" x14ac:dyDescent="0.25">
      <c r="A8892" s="4" t="s">
        <v>8890</v>
      </c>
      <c r="B8892" s="4" t="s">
        <v>4550</v>
      </c>
      <c r="C8892" s="2" t="str">
        <f ca="1">IFERROR(__xludf.DUMMYFUNCTION("GOOGLETRANSLATE(A8892,""bn"",""en"")"),"We were preparing for Olympic sports")</f>
        <v>We were preparing for Olympic sports</v>
      </c>
      <c r="D8892" s="5"/>
      <c r="E8892" s="5"/>
      <c r="F8892" s="5"/>
      <c r="G8892" s="5"/>
      <c r="H8892" s="5"/>
      <c r="I8892" s="5"/>
      <c r="J8892" s="5"/>
      <c r="K8892" s="5"/>
      <c r="L8892" s="5"/>
      <c r="M8892" s="5"/>
      <c r="N8892" s="5"/>
      <c r="O8892" s="5"/>
      <c r="P8892" s="5"/>
      <c r="Q8892" s="5"/>
      <c r="R8892" s="5"/>
      <c r="S8892" s="5"/>
      <c r="T8892" s="5"/>
      <c r="U8892" s="5"/>
      <c r="V8892" s="5"/>
      <c r="W8892" s="5"/>
      <c r="X8892" s="5"/>
      <c r="Y8892" s="5"/>
      <c r="Z8892" s="5"/>
    </row>
    <row r="8893" spans="1:26" ht="15" x14ac:dyDescent="0.25">
      <c r="A8893" s="4" t="s">
        <v>8891</v>
      </c>
      <c r="B8893" s="4" t="s">
        <v>4550</v>
      </c>
      <c r="C8893" s="2" t="str">
        <f ca="1">IFERROR(__xludf.DUMMYFUNCTION("GOOGLETRANSLATE(A8893,""bn"",""en"")"),"I was paying extra interest")</f>
        <v>I was paying extra interest</v>
      </c>
      <c r="D8893" s="5"/>
      <c r="E8893" s="5"/>
      <c r="F8893" s="5"/>
      <c r="G8893" s="5"/>
      <c r="H8893" s="5"/>
      <c r="I8893" s="5"/>
      <c r="J8893" s="5"/>
      <c r="K8893" s="5"/>
      <c r="L8893" s="5"/>
      <c r="M8893" s="5"/>
      <c r="N8893" s="5"/>
      <c r="O8893" s="5"/>
      <c r="P8893" s="5"/>
      <c r="Q8893" s="5"/>
      <c r="R8893" s="5"/>
      <c r="S8893" s="5"/>
      <c r="T8893" s="5"/>
      <c r="U8893" s="5"/>
      <c r="V8893" s="5"/>
      <c r="W8893" s="5"/>
      <c r="X8893" s="5"/>
      <c r="Y8893" s="5"/>
      <c r="Z8893" s="5"/>
    </row>
    <row r="8894" spans="1:26" ht="15" x14ac:dyDescent="0.25">
      <c r="A8894" s="4" t="s">
        <v>8892</v>
      </c>
      <c r="B8894" s="4" t="s">
        <v>4550</v>
      </c>
      <c r="C8894" s="2" t="str">
        <f ca="1">IFERROR(__xludf.DUMMYFUNCTION("GOOGLETRANSLATE(A8894,""bn"",""en"")"),"We were all studying in the same school")</f>
        <v>We were all studying in the same school</v>
      </c>
      <c r="D8894" s="5"/>
      <c r="E8894" s="5"/>
      <c r="F8894" s="5"/>
      <c r="G8894" s="5"/>
      <c r="H8894" s="5"/>
      <c r="I8894" s="5"/>
      <c r="J8894" s="5"/>
      <c r="K8894" s="5"/>
      <c r="L8894" s="5"/>
      <c r="M8894" s="5"/>
      <c r="N8894" s="5"/>
      <c r="O8894" s="5"/>
      <c r="P8894" s="5"/>
      <c r="Q8894" s="5"/>
      <c r="R8894" s="5"/>
      <c r="S8894" s="5"/>
      <c r="T8894" s="5"/>
      <c r="U8894" s="5"/>
      <c r="V8894" s="5"/>
      <c r="W8894" s="5"/>
      <c r="X8894" s="5"/>
      <c r="Y8894" s="5"/>
      <c r="Z8894" s="5"/>
    </row>
    <row r="8895" spans="1:26" ht="15" x14ac:dyDescent="0.25">
      <c r="A8895" s="4" t="s">
        <v>8893</v>
      </c>
      <c r="B8895" s="4" t="s">
        <v>4550</v>
      </c>
      <c r="C8895" s="2" t="str">
        <f ca="1">IFERROR(__xludf.DUMMYFUNCTION("GOOGLETRANSLATE(A8895,""bn"",""en"")"),"Mount Fuji was a single mountain located in Japan")</f>
        <v>Mount Fuji was a single mountain located in Japan</v>
      </c>
      <c r="D8895" s="5"/>
      <c r="E8895" s="5"/>
      <c r="F8895" s="5"/>
      <c r="G8895" s="5"/>
      <c r="H8895" s="5"/>
      <c r="I8895" s="5"/>
      <c r="J8895" s="5"/>
      <c r="K8895" s="5"/>
      <c r="L8895" s="5"/>
      <c r="M8895" s="5"/>
      <c r="N8895" s="5"/>
      <c r="O8895" s="5"/>
      <c r="P8895" s="5"/>
      <c r="Q8895" s="5"/>
      <c r="R8895" s="5"/>
      <c r="S8895" s="5"/>
      <c r="T8895" s="5"/>
      <c r="U8895" s="5"/>
      <c r="V8895" s="5"/>
      <c r="W8895" s="5"/>
      <c r="X8895" s="5"/>
      <c r="Y8895" s="5"/>
      <c r="Z8895" s="5"/>
    </row>
    <row r="8896" spans="1:26" ht="15" x14ac:dyDescent="0.25">
      <c r="A8896" s="4" t="s">
        <v>8894</v>
      </c>
      <c r="B8896" s="4" t="s">
        <v>4550</v>
      </c>
      <c r="C8896" s="2" t="str">
        <f ca="1">IFERROR(__xludf.DUMMYFUNCTION("GOOGLETRANSLATE(A8896,""bn"",""en"")"),"He was traveling in Upban")</f>
        <v>He was traveling in Upban</v>
      </c>
      <c r="D8896" s="5"/>
      <c r="E8896" s="5"/>
      <c r="F8896" s="5"/>
      <c r="G8896" s="5"/>
      <c r="H8896" s="5"/>
      <c r="I8896" s="5"/>
      <c r="J8896" s="5"/>
      <c r="K8896" s="5"/>
      <c r="L8896" s="5"/>
      <c r="M8896" s="5"/>
      <c r="N8896" s="5"/>
      <c r="O8896" s="5"/>
      <c r="P8896" s="5"/>
      <c r="Q8896" s="5"/>
      <c r="R8896" s="5"/>
      <c r="S8896" s="5"/>
      <c r="T8896" s="5"/>
      <c r="U8896" s="5"/>
      <c r="V8896" s="5"/>
      <c r="W8896" s="5"/>
      <c r="X8896" s="5"/>
      <c r="Y8896" s="5"/>
      <c r="Z8896" s="5"/>
    </row>
    <row r="8897" spans="1:26" ht="15" x14ac:dyDescent="0.25">
      <c r="A8897" s="4" t="s">
        <v>8895</v>
      </c>
      <c r="B8897" s="4" t="s">
        <v>4550</v>
      </c>
      <c r="C8897" s="2" t="str">
        <f ca="1">IFERROR(__xludf.DUMMYFUNCTION("GOOGLETRANSLATE(A8897,""bn"",""en"")"),"The picture was precious to me")</f>
        <v>The picture was precious to me</v>
      </c>
      <c r="D8897" s="5"/>
      <c r="E8897" s="5"/>
      <c r="F8897" s="5"/>
      <c r="G8897" s="5"/>
      <c r="H8897" s="5"/>
      <c r="I8897" s="5"/>
      <c r="J8897" s="5"/>
      <c r="K8897" s="5"/>
      <c r="L8897" s="5"/>
      <c r="M8897" s="5"/>
      <c r="N8897" s="5"/>
      <c r="O8897" s="5"/>
      <c r="P8897" s="5"/>
      <c r="Q8897" s="5"/>
      <c r="R8897" s="5"/>
      <c r="S8897" s="5"/>
      <c r="T8897" s="5"/>
      <c r="U8897" s="5"/>
      <c r="V8897" s="5"/>
      <c r="W8897" s="5"/>
      <c r="X8897" s="5"/>
      <c r="Y8897" s="5"/>
      <c r="Z8897" s="5"/>
    </row>
    <row r="8898" spans="1:26" ht="15" x14ac:dyDescent="0.25">
      <c r="A8898" s="4" t="s">
        <v>8896</v>
      </c>
      <c r="B8898" s="4" t="s">
        <v>4550</v>
      </c>
      <c r="C8898" s="2" t="str">
        <f ca="1">IFERROR(__xludf.DUMMYFUNCTION("GOOGLETRANSLATE(A8898,""bn"",""en"")"),"Social life changed after watching the movie")</f>
        <v>Social life changed after watching the movie</v>
      </c>
      <c r="D8898" s="5"/>
      <c r="E8898" s="5"/>
      <c r="F8898" s="5"/>
      <c r="G8898" s="5"/>
      <c r="H8898" s="5"/>
      <c r="I8898" s="5"/>
      <c r="J8898" s="5"/>
      <c r="K8898" s="5"/>
      <c r="L8898" s="5"/>
      <c r="M8898" s="5"/>
      <c r="N8898" s="5"/>
      <c r="O8898" s="5"/>
      <c r="P8898" s="5"/>
      <c r="Q8898" s="5"/>
      <c r="R8898" s="5"/>
      <c r="S8898" s="5"/>
      <c r="T8898" s="5"/>
      <c r="U8898" s="5"/>
      <c r="V8898" s="5"/>
      <c r="W8898" s="5"/>
      <c r="X8898" s="5"/>
      <c r="Y8898" s="5"/>
      <c r="Z8898" s="5"/>
    </row>
    <row r="8899" spans="1:26" ht="15" x14ac:dyDescent="0.25">
      <c r="A8899" s="4" t="s">
        <v>8897</v>
      </c>
      <c r="B8899" s="4" t="s">
        <v>4550</v>
      </c>
      <c r="C8899" s="2" t="str">
        <f ca="1">IFERROR(__xludf.DUMMYFUNCTION("GOOGLETRANSLATE(A8899,""bn"",""en"")"),"I felt peace in the invisible place")</f>
        <v>I felt peace in the invisible place</v>
      </c>
      <c r="D8899" s="5"/>
      <c r="E8899" s="5"/>
      <c r="F8899" s="5"/>
      <c r="G8899" s="5"/>
      <c r="H8899" s="5"/>
      <c r="I8899" s="5"/>
      <c r="J8899" s="5"/>
      <c r="K8899" s="5"/>
      <c r="L8899" s="5"/>
      <c r="M8899" s="5"/>
      <c r="N8899" s="5"/>
      <c r="O8899" s="5"/>
      <c r="P8899" s="5"/>
      <c r="Q8899" s="5"/>
      <c r="R8899" s="5"/>
      <c r="S8899" s="5"/>
      <c r="T8899" s="5"/>
      <c r="U8899" s="5"/>
      <c r="V8899" s="5"/>
      <c r="W8899" s="5"/>
      <c r="X8899" s="5"/>
      <c r="Y8899" s="5"/>
      <c r="Z8899" s="5"/>
    </row>
    <row r="8900" spans="1:26" ht="15" x14ac:dyDescent="0.25">
      <c r="A8900" s="4" t="s">
        <v>8898</v>
      </c>
      <c r="B8900" s="4" t="s">
        <v>4550</v>
      </c>
      <c r="C8900" s="2" t="str">
        <f ca="1">IFERROR(__xludf.DUMMYFUNCTION("GOOGLETRANSLATE(A8900,""bn"",""en"")"),"I supported the government policy")</f>
        <v>I supported the government policy</v>
      </c>
      <c r="D8900" s="5"/>
      <c r="E8900" s="5"/>
      <c r="F8900" s="5"/>
      <c r="G8900" s="5"/>
      <c r="H8900" s="5"/>
      <c r="I8900" s="5"/>
      <c r="J8900" s="5"/>
      <c r="K8900" s="5"/>
      <c r="L8900" s="5"/>
      <c r="M8900" s="5"/>
      <c r="N8900" s="5"/>
      <c r="O8900" s="5"/>
      <c r="P8900" s="5"/>
      <c r="Q8900" s="5"/>
      <c r="R8900" s="5"/>
      <c r="S8900" s="5"/>
      <c r="T8900" s="5"/>
      <c r="U8900" s="5"/>
      <c r="V8900" s="5"/>
      <c r="W8900" s="5"/>
      <c r="X8900" s="5"/>
      <c r="Y8900" s="5"/>
      <c r="Z8900" s="5"/>
    </row>
    <row r="8901" spans="1:26" ht="15" x14ac:dyDescent="0.25">
      <c r="A8901" s="4" t="s">
        <v>8899</v>
      </c>
      <c r="B8901" s="4" t="s">
        <v>4550</v>
      </c>
      <c r="C8901" s="2" t="str">
        <f ca="1">IFERROR(__xludf.DUMMYFUNCTION("GOOGLETRANSLATE(A8901,""bn"",""en"")"),"Explore the different religions of the world")</f>
        <v>Explore the different religions of the world</v>
      </c>
      <c r="D8901" s="5"/>
      <c r="E8901" s="5"/>
      <c r="F8901" s="5"/>
      <c r="G8901" s="5"/>
      <c r="H8901" s="5"/>
      <c r="I8901" s="5"/>
      <c r="J8901" s="5"/>
      <c r="K8901" s="5"/>
      <c r="L8901" s="5"/>
      <c r="M8901" s="5"/>
      <c r="N8901" s="5"/>
      <c r="O8901" s="5"/>
      <c r="P8901" s="5"/>
      <c r="Q8901" s="5"/>
      <c r="R8901" s="5"/>
      <c r="S8901" s="5"/>
      <c r="T8901" s="5"/>
      <c r="U8901" s="5"/>
      <c r="V8901" s="5"/>
      <c r="W8901" s="5"/>
      <c r="X8901" s="5"/>
      <c r="Y8901" s="5"/>
      <c r="Z8901" s="5"/>
    </row>
    <row r="8902" spans="1:26" ht="15" x14ac:dyDescent="0.25">
      <c r="A8902" s="4" t="s">
        <v>8900</v>
      </c>
      <c r="B8902" s="4" t="s">
        <v>4550</v>
      </c>
      <c r="C8902" s="2" t="str">
        <f ca="1">IFERROR(__xludf.DUMMYFUNCTION("GOOGLETRANSLATE(A8902,""bn"",""en"")"),"There was an increased focus on chess")</f>
        <v>There was an increased focus on chess</v>
      </c>
      <c r="D8902" s="5"/>
      <c r="E8902" s="5"/>
      <c r="F8902" s="5"/>
      <c r="G8902" s="5"/>
      <c r="H8902" s="5"/>
      <c r="I8902" s="5"/>
      <c r="J8902" s="5"/>
      <c r="K8902" s="5"/>
      <c r="L8902" s="5"/>
      <c r="M8902" s="5"/>
      <c r="N8902" s="5"/>
      <c r="O8902" s="5"/>
      <c r="P8902" s="5"/>
      <c r="Q8902" s="5"/>
      <c r="R8902" s="5"/>
      <c r="S8902" s="5"/>
      <c r="T8902" s="5"/>
      <c r="U8902" s="5"/>
      <c r="V8902" s="5"/>
      <c r="W8902" s="5"/>
      <c r="X8902" s="5"/>
      <c r="Y8902" s="5"/>
      <c r="Z8902" s="5"/>
    </row>
    <row r="8903" spans="1:26" ht="15" x14ac:dyDescent="0.25">
      <c r="A8903" s="4" t="s">
        <v>8901</v>
      </c>
      <c r="B8903" s="4" t="s">
        <v>4550</v>
      </c>
      <c r="C8903" s="2" t="str">
        <f ca="1">IFERROR(__xludf.DUMMYFUNCTION("GOOGLETRANSLATE(A8903,""bn"",""en"")"),"Bangladeshi swimmers were playing bravely")</f>
        <v>Bangladeshi swimmers were playing bravely</v>
      </c>
      <c r="D8903" s="5"/>
      <c r="E8903" s="5"/>
      <c r="F8903" s="5"/>
      <c r="G8903" s="5"/>
      <c r="H8903" s="5"/>
      <c r="I8903" s="5"/>
      <c r="J8903" s="5"/>
      <c r="K8903" s="5"/>
      <c r="L8903" s="5"/>
      <c r="M8903" s="5"/>
      <c r="N8903" s="5"/>
      <c r="O8903" s="5"/>
      <c r="P8903" s="5"/>
      <c r="Q8903" s="5"/>
      <c r="R8903" s="5"/>
      <c r="S8903" s="5"/>
      <c r="T8903" s="5"/>
      <c r="U8903" s="5"/>
      <c r="V8903" s="5"/>
      <c r="W8903" s="5"/>
      <c r="X8903" s="5"/>
      <c r="Y8903" s="5"/>
      <c r="Z8903" s="5"/>
    </row>
    <row r="8904" spans="1:26" ht="15" x14ac:dyDescent="0.25">
      <c r="A8904" s="4" t="s">
        <v>8902</v>
      </c>
      <c r="B8904" s="4" t="s">
        <v>4550</v>
      </c>
      <c r="C8904" s="2" t="str">
        <f ca="1">IFERROR(__xludf.DUMMYFUNCTION("GOOGLETRANSLATE(A8904,""bn"",""en"")"),"Educated employees would improve finances")</f>
        <v>Educated employees would improve finances</v>
      </c>
      <c r="D8904" s="5"/>
      <c r="E8904" s="5"/>
      <c r="F8904" s="5"/>
      <c r="G8904" s="5"/>
      <c r="H8904" s="5"/>
      <c r="I8904" s="5"/>
      <c r="J8904" s="5"/>
      <c r="K8904" s="5"/>
      <c r="L8904" s="5"/>
      <c r="M8904" s="5"/>
      <c r="N8904" s="5"/>
      <c r="O8904" s="5"/>
      <c r="P8904" s="5"/>
      <c r="Q8904" s="5"/>
      <c r="R8904" s="5"/>
      <c r="S8904" s="5"/>
      <c r="T8904" s="5"/>
      <c r="U8904" s="5"/>
      <c r="V8904" s="5"/>
      <c r="W8904" s="5"/>
      <c r="X8904" s="5"/>
      <c r="Y8904" s="5"/>
      <c r="Z8904" s="5"/>
    </row>
    <row r="8905" spans="1:26" ht="15" x14ac:dyDescent="0.25">
      <c r="A8905" s="4" t="s">
        <v>8903</v>
      </c>
      <c r="B8905" s="4" t="s">
        <v>4550</v>
      </c>
      <c r="C8905" s="2" t="str">
        <f ca="1">IFERROR(__xludf.DUMMYFUNCTION("GOOGLETRANSLATE(A8905,""bn"",""en"")"),"The story of the film was really enjoyable")</f>
        <v>The story of the film was really enjoyable</v>
      </c>
      <c r="D8905" s="5"/>
      <c r="E8905" s="5"/>
      <c r="F8905" s="5"/>
      <c r="G8905" s="5"/>
      <c r="H8905" s="5"/>
      <c r="I8905" s="5"/>
      <c r="J8905" s="5"/>
      <c r="K8905" s="5"/>
      <c r="L8905" s="5"/>
      <c r="M8905" s="5"/>
      <c r="N8905" s="5"/>
      <c r="O8905" s="5"/>
      <c r="P8905" s="5"/>
      <c r="Q8905" s="5"/>
      <c r="R8905" s="5"/>
      <c r="S8905" s="5"/>
      <c r="T8905" s="5"/>
      <c r="U8905" s="5"/>
      <c r="V8905" s="5"/>
      <c r="W8905" s="5"/>
      <c r="X8905" s="5"/>
      <c r="Y8905" s="5"/>
      <c r="Z8905" s="5"/>
    </row>
    <row r="8906" spans="1:26" ht="15" x14ac:dyDescent="0.25">
      <c r="A8906" s="4" t="s">
        <v>8904</v>
      </c>
      <c r="B8906" s="4" t="s">
        <v>4550</v>
      </c>
      <c r="C8906" s="2" t="str">
        <f ca="1">IFERROR(__xludf.DUMMYFUNCTION("GOOGLETRANSLATE(A8906,""bn"",""en"")"),"They came here to watch a movie")</f>
        <v>They came here to watch a movie</v>
      </c>
      <c r="D8906" s="5"/>
      <c r="E8906" s="5"/>
      <c r="F8906" s="5"/>
      <c r="G8906" s="5"/>
      <c r="H8906" s="5"/>
      <c r="I8906" s="5"/>
      <c r="J8906" s="5"/>
      <c r="K8906" s="5"/>
      <c r="L8906" s="5"/>
      <c r="M8906" s="5"/>
      <c r="N8906" s="5"/>
      <c r="O8906" s="5"/>
      <c r="P8906" s="5"/>
      <c r="Q8906" s="5"/>
      <c r="R8906" s="5"/>
      <c r="S8906" s="5"/>
      <c r="T8906" s="5"/>
      <c r="U8906" s="5"/>
      <c r="V8906" s="5"/>
      <c r="W8906" s="5"/>
      <c r="X8906" s="5"/>
      <c r="Y8906" s="5"/>
      <c r="Z8906" s="5"/>
    </row>
    <row r="8907" spans="1:26" ht="15" x14ac:dyDescent="0.25">
      <c r="A8907" s="4" t="s">
        <v>8905</v>
      </c>
      <c r="B8907" s="4" t="s">
        <v>4550</v>
      </c>
      <c r="C8907" s="2" t="str">
        <f ca="1">IFERROR(__xludf.DUMMYFUNCTION("GOOGLETRANSLATE(A8907,""bn"",""en"")"),"The scenes of the movie were of immense beauty")</f>
        <v>The scenes of the movie were of immense beauty</v>
      </c>
      <c r="D8907" s="5"/>
      <c r="E8907" s="5"/>
      <c r="F8907" s="5"/>
      <c r="G8907" s="5"/>
      <c r="H8907" s="5"/>
      <c r="I8907" s="5"/>
      <c r="J8907" s="5"/>
      <c r="K8907" s="5"/>
      <c r="L8907" s="5"/>
      <c r="M8907" s="5"/>
      <c r="N8907" s="5"/>
      <c r="O8907" s="5"/>
      <c r="P8907" s="5"/>
      <c r="Q8907" s="5"/>
      <c r="R8907" s="5"/>
      <c r="S8907" s="5"/>
      <c r="T8907" s="5"/>
      <c r="U8907" s="5"/>
      <c r="V8907" s="5"/>
      <c r="W8907" s="5"/>
      <c r="X8907" s="5"/>
      <c r="Y8907" s="5"/>
      <c r="Z8907" s="5"/>
    </row>
    <row r="8908" spans="1:26" ht="15" x14ac:dyDescent="0.25">
      <c r="A8908" s="4" t="s">
        <v>8906</v>
      </c>
      <c r="B8908" s="4" t="s">
        <v>4550</v>
      </c>
      <c r="C8908" s="2" t="str">
        <f ca="1">IFERROR(__xludf.DUMMYFUNCTION("GOOGLETRANSLATE(A8908,""bn"",""en"")"),"Bangladesh cricket match was going on then")</f>
        <v>Bangladesh cricket match was going on then</v>
      </c>
      <c r="D8908" s="5"/>
      <c r="E8908" s="5"/>
      <c r="F8908" s="5"/>
      <c r="G8908" s="5"/>
      <c r="H8908" s="5"/>
      <c r="I8908" s="5"/>
      <c r="J8908" s="5"/>
      <c r="K8908" s="5"/>
      <c r="L8908" s="5"/>
      <c r="M8908" s="5"/>
      <c r="N8908" s="5"/>
      <c r="O8908" s="5"/>
      <c r="P8908" s="5"/>
      <c r="Q8908" s="5"/>
      <c r="R8908" s="5"/>
      <c r="S8908" s="5"/>
      <c r="T8908" s="5"/>
      <c r="U8908" s="5"/>
      <c r="V8908" s="5"/>
      <c r="W8908" s="5"/>
      <c r="X8908" s="5"/>
      <c r="Y8908" s="5"/>
      <c r="Z8908" s="5"/>
    </row>
    <row r="8909" spans="1:26" ht="15" x14ac:dyDescent="0.25">
      <c r="A8909" s="4" t="s">
        <v>8907</v>
      </c>
      <c r="B8909" s="4" t="s">
        <v>4550</v>
      </c>
      <c r="C8909" s="2" t="str">
        <f ca="1">IFERROR(__xludf.DUMMYFUNCTION("GOOGLETRANSLATE(A8909,""bn"",""en"")"),"Social life changed after seeing the movie")</f>
        <v>Social life changed after seeing the movie</v>
      </c>
      <c r="D8909" s="5"/>
      <c r="E8909" s="5"/>
      <c r="F8909" s="5"/>
      <c r="G8909" s="5"/>
      <c r="H8909" s="5"/>
      <c r="I8909" s="5"/>
      <c r="J8909" s="5"/>
      <c r="K8909" s="5"/>
      <c r="L8909" s="5"/>
      <c r="M8909" s="5"/>
      <c r="N8909" s="5"/>
      <c r="O8909" s="5"/>
      <c r="P8909" s="5"/>
      <c r="Q8909" s="5"/>
      <c r="R8909" s="5"/>
      <c r="S8909" s="5"/>
      <c r="T8909" s="5"/>
      <c r="U8909" s="5"/>
      <c r="V8909" s="5"/>
      <c r="W8909" s="5"/>
      <c r="X8909" s="5"/>
      <c r="Y8909" s="5"/>
      <c r="Z8909" s="5"/>
    </row>
    <row r="8910" spans="1:26" ht="15" x14ac:dyDescent="0.25">
      <c r="A8910" s="4" t="s">
        <v>8908</v>
      </c>
      <c r="B8910" s="4" t="s">
        <v>4550</v>
      </c>
      <c r="C8910" s="2" t="str">
        <f ca="1">IFERROR(__xludf.DUMMYFUNCTION("GOOGLETRANSLATE(A8910,""bn"",""en"")"),"I went to see the wonderful beauty of the sea")</f>
        <v>I went to see the wonderful beauty of the sea</v>
      </c>
      <c r="D8910" s="5"/>
      <c r="E8910" s="5"/>
      <c r="F8910" s="5"/>
      <c r="G8910" s="5"/>
      <c r="H8910" s="5"/>
      <c r="I8910" s="5"/>
      <c r="J8910" s="5"/>
      <c r="K8910" s="5"/>
      <c r="L8910" s="5"/>
      <c r="M8910" s="5"/>
      <c r="N8910" s="5"/>
      <c r="O8910" s="5"/>
      <c r="P8910" s="5"/>
      <c r="Q8910" s="5"/>
      <c r="R8910" s="5"/>
      <c r="S8910" s="5"/>
      <c r="T8910" s="5"/>
      <c r="U8910" s="5"/>
      <c r="V8910" s="5"/>
      <c r="W8910" s="5"/>
      <c r="X8910" s="5"/>
      <c r="Y8910" s="5"/>
      <c r="Z8910" s="5"/>
    </row>
    <row r="8911" spans="1:26" ht="15" x14ac:dyDescent="0.25">
      <c r="A8911" s="4" t="s">
        <v>8909</v>
      </c>
      <c r="B8911" s="4" t="s">
        <v>4550</v>
      </c>
      <c r="C8911" s="2" t="str">
        <f ca="1">IFERROR(__xludf.DUMMYFUNCTION("GOOGLETRANSLATE(A8911,""bn"",""en"")"),"I used the new server")</f>
        <v>I used the new server</v>
      </c>
      <c r="D8911" s="5"/>
      <c r="E8911" s="5"/>
      <c r="F8911" s="5"/>
      <c r="G8911" s="5"/>
      <c r="H8911" s="5"/>
      <c r="I8911" s="5"/>
      <c r="J8911" s="5"/>
      <c r="K8911" s="5"/>
      <c r="L8911" s="5"/>
      <c r="M8911" s="5"/>
      <c r="N8911" s="5"/>
      <c r="O8911" s="5"/>
      <c r="P8911" s="5"/>
      <c r="Q8911" s="5"/>
      <c r="R8911" s="5"/>
      <c r="S8911" s="5"/>
      <c r="T8911" s="5"/>
      <c r="U8911" s="5"/>
      <c r="V8911" s="5"/>
      <c r="W8911" s="5"/>
      <c r="X8911" s="5"/>
      <c r="Y8911" s="5"/>
      <c r="Z8911" s="5"/>
    </row>
    <row r="8912" spans="1:26" ht="15" x14ac:dyDescent="0.25">
      <c r="A8912" s="4" t="s">
        <v>8910</v>
      </c>
      <c r="B8912" s="4" t="s">
        <v>4550</v>
      </c>
      <c r="C8912" s="2" t="str">
        <f ca="1">IFERROR(__xludf.DUMMYFUNCTION("GOOGLETRANSLATE(A8912,""bn"",""en"")"),"I was writing a blog in my language on the internet")</f>
        <v>I was writing a blog in my language on the internet</v>
      </c>
      <c r="D8912" s="5"/>
      <c r="E8912" s="5"/>
      <c r="F8912" s="5"/>
      <c r="G8912" s="5"/>
      <c r="H8912" s="5"/>
      <c r="I8912" s="5"/>
      <c r="J8912" s="5"/>
      <c r="K8912" s="5"/>
      <c r="L8912" s="5"/>
      <c r="M8912" s="5"/>
      <c r="N8912" s="5"/>
      <c r="O8912" s="5"/>
      <c r="P8912" s="5"/>
      <c r="Q8912" s="5"/>
      <c r="R8912" s="5"/>
      <c r="S8912" s="5"/>
      <c r="T8912" s="5"/>
      <c r="U8912" s="5"/>
      <c r="V8912" s="5"/>
      <c r="W8912" s="5"/>
      <c r="X8912" s="5"/>
      <c r="Y8912" s="5"/>
      <c r="Z8912" s="5"/>
    </row>
    <row r="8913" spans="1:26" ht="15" x14ac:dyDescent="0.25">
      <c r="A8913" s="4" t="s">
        <v>8911</v>
      </c>
      <c r="B8913" s="4" t="s">
        <v>4550</v>
      </c>
      <c r="C8913" s="2" t="str">
        <f ca="1">IFERROR(__xludf.DUMMYFUNCTION("GOOGLETRANSLATE(A8913,""bn"",""en"")"),"Economic loss due to torture")</f>
        <v>Economic loss due to torture</v>
      </c>
      <c r="D8913" s="5"/>
      <c r="E8913" s="5"/>
      <c r="F8913" s="5"/>
      <c r="G8913" s="5"/>
      <c r="H8913" s="5"/>
      <c r="I8913" s="5"/>
      <c r="J8913" s="5"/>
      <c r="K8913" s="5"/>
      <c r="L8913" s="5"/>
      <c r="M8913" s="5"/>
      <c r="N8913" s="5"/>
      <c r="O8913" s="5"/>
      <c r="P8913" s="5"/>
      <c r="Q8913" s="5"/>
      <c r="R8913" s="5"/>
      <c r="S8913" s="5"/>
      <c r="T8913" s="5"/>
      <c r="U8913" s="5"/>
      <c r="V8913" s="5"/>
      <c r="W8913" s="5"/>
      <c r="X8913" s="5"/>
      <c r="Y8913" s="5"/>
      <c r="Z8913" s="5"/>
    </row>
    <row r="8914" spans="1:26" ht="15" x14ac:dyDescent="0.25">
      <c r="A8914" s="4" t="s">
        <v>8912</v>
      </c>
      <c r="B8914" s="4" t="s">
        <v>4550</v>
      </c>
      <c r="C8914" s="2" t="str">
        <f ca="1">IFERROR(__xludf.DUMMYFUNCTION("GOOGLETRANSLATE(A8914,""bn"",""en"")"),"The government wanted to improve the country")</f>
        <v>The government wanted to improve the country</v>
      </c>
      <c r="D8914" s="5"/>
      <c r="E8914" s="5"/>
      <c r="F8914" s="5"/>
      <c r="G8914" s="5"/>
      <c r="H8914" s="5"/>
      <c r="I8914" s="5"/>
      <c r="J8914" s="5"/>
      <c r="K8914" s="5"/>
      <c r="L8914" s="5"/>
      <c r="M8914" s="5"/>
      <c r="N8914" s="5"/>
      <c r="O8914" s="5"/>
      <c r="P8914" s="5"/>
      <c r="Q8914" s="5"/>
      <c r="R8914" s="5"/>
      <c r="S8914" s="5"/>
      <c r="T8914" s="5"/>
      <c r="U8914" s="5"/>
      <c r="V8914" s="5"/>
      <c r="W8914" s="5"/>
      <c r="X8914" s="5"/>
      <c r="Y8914" s="5"/>
      <c r="Z8914" s="5"/>
    </row>
    <row r="8915" spans="1:26" ht="15" x14ac:dyDescent="0.25">
      <c r="A8915" s="4" t="s">
        <v>8913</v>
      </c>
      <c r="B8915" s="4" t="s">
        <v>4550</v>
      </c>
      <c r="C8915" s="2" t="str">
        <f ca="1">IFERROR(__xludf.DUMMYFUNCTION("GOOGLETRANSLATE(A8915,""bn"",""en"")"),"I wanted to buy a new phone")</f>
        <v>I wanted to buy a new phone</v>
      </c>
      <c r="D8915" s="5"/>
      <c r="E8915" s="5"/>
      <c r="F8915" s="5"/>
      <c r="G8915" s="5"/>
      <c r="H8915" s="5"/>
      <c r="I8915" s="5"/>
      <c r="J8915" s="5"/>
      <c r="K8915" s="5"/>
      <c r="L8915" s="5"/>
      <c r="M8915" s="5"/>
      <c r="N8915" s="5"/>
      <c r="O8915" s="5"/>
      <c r="P8915" s="5"/>
      <c r="Q8915" s="5"/>
      <c r="R8915" s="5"/>
      <c r="S8915" s="5"/>
      <c r="T8915" s="5"/>
      <c r="U8915" s="5"/>
      <c r="V8915" s="5"/>
      <c r="W8915" s="5"/>
      <c r="X8915" s="5"/>
      <c r="Y8915" s="5"/>
      <c r="Z8915" s="5"/>
    </row>
    <row r="8916" spans="1:26" ht="15" x14ac:dyDescent="0.25">
      <c r="A8916" s="4" t="s">
        <v>8914</v>
      </c>
      <c r="B8916" s="4" t="s">
        <v>4550</v>
      </c>
      <c r="C8916" s="2" t="str">
        <f ca="1">IFERROR(__xludf.DUMMYFUNCTION("GOOGLETRANSLATE(A8916,""bn"",""en"")"),"The government gave people extra benefits")</f>
        <v>The government gave people extra benefits</v>
      </c>
      <c r="D8916" s="5"/>
      <c r="E8916" s="5"/>
      <c r="F8916" s="5"/>
      <c r="G8916" s="5"/>
      <c r="H8916" s="5"/>
      <c r="I8916" s="5"/>
      <c r="J8916" s="5"/>
      <c r="K8916" s="5"/>
      <c r="L8916" s="5"/>
      <c r="M8916" s="5"/>
      <c r="N8916" s="5"/>
      <c r="O8916" s="5"/>
      <c r="P8916" s="5"/>
      <c r="Q8916" s="5"/>
      <c r="R8916" s="5"/>
      <c r="S8916" s="5"/>
      <c r="T8916" s="5"/>
      <c r="U8916" s="5"/>
      <c r="V8916" s="5"/>
      <c r="W8916" s="5"/>
      <c r="X8916" s="5"/>
      <c r="Y8916" s="5"/>
      <c r="Z8916" s="5"/>
    </row>
    <row r="8917" spans="1:26" ht="15" x14ac:dyDescent="0.25">
      <c r="A8917" s="4" t="s">
        <v>8915</v>
      </c>
      <c r="B8917" s="4" t="s">
        <v>4550</v>
      </c>
      <c r="C8917" s="2" t="str">
        <f ca="1">IFERROR(__xludf.DUMMYFUNCTION("GOOGLETRANSLATE(A8917,""bn"",""en"")"),"I used the new smart TV")</f>
        <v>I used the new smart TV</v>
      </c>
      <c r="D8917" s="5"/>
      <c r="E8917" s="5"/>
      <c r="F8917" s="5"/>
      <c r="G8917" s="5"/>
      <c r="H8917" s="5"/>
      <c r="I8917" s="5"/>
      <c r="J8917" s="5"/>
      <c r="K8917" s="5"/>
      <c r="L8917" s="5"/>
      <c r="M8917" s="5"/>
      <c r="N8917" s="5"/>
      <c r="O8917" s="5"/>
      <c r="P8917" s="5"/>
      <c r="Q8917" s="5"/>
      <c r="R8917" s="5"/>
      <c r="S8917" s="5"/>
      <c r="T8917" s="5"/>
      <c r="U8917" s="5"/>
      <c r="V8917" s="5"/>
      <c r="W8917" s="5"/>
      <c r="X8917" s="5"/>
      <c r="Y8917" s="5"/>
      <c r="Z8917" s="5"/>
    </row>
    <row r="8918" spans="1:26" ht="15" x14ac:dyDescent="0.25">
      <c r="A8918" s="4" t="s">
        <v>8916</v>
      </c>
      <c r="B8918" s="4" t="s">
        <v>4550</v>
      </c>
      <c r="C8918" s="2" t="str">
        <f ca="1">IFERROR(__xludf.DUMMYFUNCTION("GOOGLETRANSLATE(A8918,""bn"",""en"")"),"Intranet made our life easier")</f>
        <v>Intranet made our life easier</v>
      </c>
      <c r="D8918" s="5"/>
      <c r="E8918" s="5"/>
      <c r="F8918" s="5"/>
      <c r="G8918" s="5"/>
      <c r="H8918" s="5"/>
      <c r="I8918" s="5"/>
      <c r="J8918" s="5"/>
      <c r="K8918" s="5"/>
      <c r="L8918" s="5"/>
      <c r="M8918" s="5"/>
      <c r="N8918" s="5"/>
      <c r="O8918" s="5"/>
      <c r="P8918" s="5"/>
      <c r="Q8918" s="5"/>
      <c r="R8918" s="5"/>
      <c r="S8918" s="5"/>
      <c r="T8918" s="5"/>
      <c r="U8918" s="5"/>
      <c r="V8918" s="5"/>
      <c r="W8918" s="5"/>
      <c r="X8918" s="5"/>
      <c r="Y8918" s="5"/>
      <c r="Z8918" s="5"/>
    </row>
    <row r="8919" spans="1:26" ht="15" x14ac:dyDescent="0.25">
      <c r="A8919" s="4" t="s">
        <v>8917</v>
      </c>
      <c r="B8919" s="4" t="s">
        <v>4550</v>
      </c>
      <c r="C8919" s="2" t="str">
        <f ca="1">IFERROR(__xludf.DUMMYFUNCTION("GOOGLETRANSLATE(A8919,""bn"",""en"")"),"Study environment is made pleasant")</f>
        <v>Study environment is made pleasant</v>
      </c>
      <c r="D8919" s="5"/>
      <c r="E8919" s="5"/>
      <c r="F8919" s="5"/>
      <c r="G8919" s="5"/>
      <c r="H8919" s="5"/>
      <c r="I8919" s="5"/>
      <c r="J8919" s="5"/>
      <c r="K8919" s="5"/>
      <c r="L8919" s="5"/>
      <c r="M8919" s="5"/>
      <c r="N8919" s="5"/>
      <c r="O8919" s="5"/>
      <c r="P8919" s="5"/>
      <c r="Q8919" s="5"/>
      <c r="R8919" s="5"/>
      <c r="S8919" s="5"/>
      <c r="T8919" s="5"/>
      <c r="U8919" s="5"/>
      <c r="V8919" s="5"/>
      <c r="W8919" s="5"/>
      <c r="X8919" s="5"/>
      <c r="Y8919" s="5"/>
      <c r="Z8919" s="5"/>
    </row>
    <row r="8920" spans="1:26" ht="15" x14ac:dyDescent="0.25">
      <c r="A8920" s="4" t="s">
        <v>8918</v>
      </c>
      <c r="B8920" s="4" t="s">
        <v>4550</v>
      </c>
      <c r="C8920" s="2" t="str">
        <f ca="1">IFERROR(__xludf.DUMMYFUNCTION("GOOGLETRANSLATE(A8920,""bn"",""en"")"),"I found fun in natural life")</f>
        <v>I found fun in natural life</v>
      </c>
      <c r="D8920" s="5"/>
      <c r="E8920" s="5"/>
      <c r="F8920" s="5"/>
      <c r="G8920" s="5"/>
      <c r="H8920" s="5"/>
      <c r="I8920" s="5"/>
      <c r="J8920" s="5"/>
      <c r="K8920" s="5"/>
      <c r="L8920" s="5"/>
      <c r="M8920" s="5"/>
      <c r="N8920" s="5"/>
      <c r="O8920" s="5"/>
      <c r="P8920" s="5"/>
      <c r="Q8920" s="5"/>
      <c r="R8920" s="5"/>
      <c r="S8920" s="5"/>
      <c r="T8920" s="5"/>
      <c r="U8920" s="5"/>
      <c r="V8920" s="5"/>
      <c r="W8920" s="5"/>
      <c r="X8920" s="5"/>
      <c r="Y8920" s="5"/>
      <c r="Z8920" s="5"/>
    </row>
    <row r="8921" spans="1:26" ht="15" x14ac:dyDescent="0.25">
      <c r="A8921" s="4" t="s">
        <v>8919</v>
      </c>
      <c r="B8921" s="4" t="s">
        <v>4550</v>
      </c>
      <c r="C8921" s="2" t="str">
        <f ca="1">IFERROR(__xludf.DUMMYFUNCTION("GOOGLETRANSLATE(A8921,""bn"",""en"")"),"Cycling was played on isolated tracks")</f>
        <v>Cycling was played on isolated tracks</v>
      </c>
      <c r="D8921" s="5"/>
      <c r="E8921" s="5"/>
      <c r="F8921" s="5"/>
      <c r="G8921" s="5"/>
      <c r="H8921" s="5"/>
      <c r="I8921" s="5"/>
      <c r="J8921" s="5"/>
      <c r="K8921" s="5"/>
      <c r="L8921" s="5"/>
      <c r="M8921" s="5"/>
      <c r="N8921" s="5"/>
      <c r="O8921" s="5"/>
      <c r="P8921" s="5"/>
      <c r="Q8921" s="5"/>
      <c r="R8921" s="5"/>
      <c r="S8921" s="5"/>
      <c r="T8921" s="5"/>
      <c r="U8921" s="5"/>
      <c r="V8921" s="5"/>
      <c r="W8921" s="5"/>
      <c r="X8921" s="5"/>
      <c r="Y8921" s="5"/>
      <c r="Z8921" s="5"/>
    </row>
    <row r="8922" spans="1:26" ht="15" x14ac:dyDescent="0.25">
      <c r="A8922" s="4" t="s">
        <v>8920</v>
      </c>
      <c r="B8922" s="4" t="s">
        <v>4550</v>
      </c>
      <c r="C8922" s="2" t="str">
        <f ca="1">IFERROR(__xludf.DUMMYFUNCTION("GOOGLETRANSLATE(A8922,""bn"",""en"")"),"Students were participating in the book fair together")</f>
        <v>Students were participating in the book fair together</v>
      </c>
      <c r="D8922" s="5"/>
      <c r="E8922" s="5"/>
      <c r="F8922" s="5"/>
      <c r="G8922" s="5"/>
      <c r="H8922" s="5"/>
      <c r="I8922" s="5"/>
      <c r="J8922" s="5"/>
      <c r="K8922" s="5"/>
      <c r="L8922" s="5"/>
      <c r="M8922" s="5"/>
      <c r="N8922" s="5"/>
      <c r="O8922" s="5"/>
      <c r="P8922" s="5"/>
      <c r="Q8922" s="5"/>
      <c r="R8922" s="5"/>
      <c r="S8922" s="5"/>
      <c r="T8922" s="5"/>
      <c r="U8922" s="5"/>
      <c r="V8922" s="5"/>
      <c r="W8922" s="5"/>
      <c r="X8922" s="5"/>
      <c r="Y8922" s="5"/>
      <c r="Z8922" s="5"/>
    </row>
    <row r="8923" spans="1:26" ht="15" x14ac:dyDescent="0.25">
      <c r="A8923" s="4" t="s">
        <v>8921</v>
      </c>
      <c r="B8923" s="4" t="s">
        <v>4550</v>
      </c>
      <c r="C8923" s="2" t="str">
        <f ca="1">IFERROR(__xludf.DUMMYFUNCTION("GOOGLETRANSLATE(A8923,""bn"",""en"")"),"I used the virtual keyboard")</f>
        <v>I used the virtual keyboard</v>
      </c>
      <c r="D8923" s="5"/>
      <c r="E8923" s="5"/>
      <c r="F8923" s="5"/>
      <c r="G8923" s="5"/>
      <c r="H8923" s="5"/>
      <c r="I8923" s="5"/>
      <c r="J8923" s="5"/>
      <c r="K8923" s="5"/>
      <c r="L8923" s="5"/>
      <c r="M8923" s="5"/>
      <c r="N8923" s="5"/>
      <c r="O8923" s="5"/>
      <c r="P8923" s="5"/>
      <c r="Q8923" s="5"/>
      <c r="R8923" s="5"/>
      <c r="S8923" s="5"/>
      <c r="T8923" s="5"/>
      <c r="U8923" s="5"/>
      <c r="V8923" s="5"/>
      <c r="W8923" s="5"/>
      <c r="X8923" s="5"/>
      <c r="Y8923" s="5"/>
      <c r="Z8923" s="5"/>
    </row>
    <row r="8924" spans="1:26" ht="15" x14ac:dyDescent="0.25">
      <c r="A8924" s="4" t="s">
        <v>8922</v>
      </c>
      <c r="B8924" s="4" t="s">
        <v>4550</v>
      </c>
      <c r="C8924" s="2" t="str">
        <f ca="1">IFERROR(__xludf.DUMMYFUNCTION("GOOGLETRANSLATE(A8924,""bn"",""en"")"),"I saw many exhibits at the science fair")</f>
        <v>I saw many exhibits at the science fair</v>
      </c>
      <c r="D8924" s="5"/>
      <c r="E8924" s="5"/>
      <c r="F8924" s="5"/>
      <c r="G8924" s="5"/>
      <c r="H8924" s="5"/>
      <c r="I8924" s="5"/>
      <c r="J8924" s="5"/>
      <c r="K8924" s="5"/>
      <c r="L8924" s="5"/>
      <c r="M8924" s="5"/>
      <c r="N8924" s="5"/>
      <c r="O8924" s="5"/>
      <c r="P8924" s="5"/>
      <c r="Q8924" s="5"/>
      <c r="R8924" s="5"/>
      <c r="S8924" s="5"/>
      <c r="T8924" s="5"/>
      <c r="U8924" s="5"/>
      <c r="V8924" s="5"/>
      <c r="W8924" s="5"/>
      <c r="X8924" s="5"/>
      <c r="Y8924" s="5"/>
      <c r="Z8924" s="5"/>
    </row>
    <row r="8925" spans="1:26" ht="15" x14ac:dyDescent="0.25">
      <c r="A8925" s="4" t="s">
        <v>8923</v>
      </c>
      <c r="B8925" s="4" t="s">
        <v>4550</v>
      </c>
      <c r="C8925" s="2" t="str">
        <f ca="1">IFERROR(__xludf.DUMMYFUNCTION("GOOGLETRANSLATE(A8925,""bn"",""en"")"),"I was depositing checks in this bank")</f>
        <v>I was depositing checks in this bank</v>
      </c>
      <c r="D8925" s="5"/>
      <c r="E8925" s="5"/>
      <c r="F8925" s="5"/>
      <c r="G8925" s="5"/>
      <c r="H8925" s="5"/>
      <c r="I8925" s="5"/>
      <c r="J8925" s="5"/>
      <c r="K8925" s="5"/>
      <c r="L8925" s="5"/>
      <c r="M8925" s="5"/>
      <c r="N8925" s="5"/>
      <c r="O8925" s="5"/>
      <c r="P8925" s="5"/>
      <c r="Q8925" s="5"/>
      <c r="R8925" s="5"/>
      <c r="S8925" s="5"/>
      <c r="T8925" s="5"/>
      <c r="U8925" s="5"/>
      <c r="V8925" s="5"/>
      <c r="W8925" s="5"/>
      <c r="X8925" s="5"/>
      <c r="Y8925" s="5"/>
      <c r="Z8925" s="5"/>
    </row>
    <row r="8926" spans="1:26" ht="15" x14ac:dyDescent="0.25">
      <c r="A8926" s="4" t="s">
        <v>8924</v>
      </c>
      <c r="B8926" s="4" t="s">
        <v>4550</v>
      </c>
      <c r="C8926" s="2" t="str">
        <f ca="1">IFERROR(__xludf.DUMMYFUNCTION("GOOGLETRANSLATE(A8926,""bn"",""en"")"),"I wanted to see new scenery on the trip")</f>
        <v>I wanted to see new scenery on the trip</v>
      </c>
      <c r="D8926" s="5"/>
      <c r="E8926" s="5"/>
      <c r="F8926" s="5"/>
      <c r="G8926" s="5"/>
      <c r="H8926" s="5"/>
      <c r="I8926" s="5"/>
      <c r="J8926" s="5"/>
      <c r="K8926" s="5"/>
      <c r="L8926" s="5"/>
      <c r="M8926" s="5"/>
      <c r="N8926" s="5"/>
      <c r="O8926" s="5"/>
      <c r="P8926" s="5"/>
      <c r="Q8926" s="5"/>
      <c r="R8926" s="5"/>
      <c r="S8926" s="5"/>
      <c r="T8926" s="5"/>
      <c r="U8926" s="5"/>
      <c r="V8926" s="5"/>
      <c r="W8926" s="5"/>
      <c r="X8926" s="5"/>
      <c r="Y8926" s="5"/>
      <c r="Z8926" s="5"/>
    </row>
    <row r="8927" spans="1:26" ht="15" x14ac:dyDescent="0.25">
      <c r="A8927" s="4" t="s">
        <v>8925</v>
      </c>
      <c r="B8927" s="4" t="s">
        <v>4550</v>
      </c>
      <c r="C8927" s="2" t="str">
        <f ca="1">IFERROR(__xludf.DUMMYFUNCTION("GOOGLETRANSLATE(A8927,""bn"",""en"")"),"The Himalayas were secondary mountain ranges in India")</f>
        <v>The Himalayas were secondary mountain ranges in India</v>
      </c>
      <c r="D8927" s="5"/>
      <c r="E8927" s="5"/>
      <c r="F8927" s="5"/>
      <c r="G8927" s="5"/>
      <c r="H8927" s="5"/>
      <c r="I8927" s="5"/>
      <c r="J8927" s="5"/>
      <c r="K8927" s="5"/>
      <c r="L8927" s="5"/>
      <c r="M8927" s="5"/>
      <c r="N8927" s="5"/>
      <c r="O8927" s="5"/>
      <c r="P8927" s="5"/>
      <c r="Q8927" s="5"/>
      <c r="R8927" s="5"/>
      <c r="S8927" s="5"/>
      <c r="T8927" s="5"/>
      <c r="U8927" s="5"/>
      <c r="V8927" s="5"/>
      <c r="W8927" s="5"/>
      <c r="X8927" s="5"/>
      <c r="Y8927" s="5"/>
      <c r="Z8927" s="5"/>
    </row>
    <row r="8928" spans="1:26" ht="15" x14ac:dyDescent="0.25">
      <c r="A8928" s="4" t="s">
        <v>8926</v>
      </c>
      <c r="B8928" s="4" t="s">
        <v>4550</v>
      </c>
      <c r="C8928" s="2" t="str">
        <f ca="1">IFERROR(__xludf.DUMMYFUNCTION("GOOGLETRANSLATE(A8928,""bn"",""en"")"),"I used the new keyboard")</f>
        <v>I used the new keyboard</v>
      </c>
      <c r="D8928" s="5"/>
      <c r="E8928" s="5"/>
      <c r="F8928" s="5"/>
      <c r="G8928" s="5"/>
      <c r="H8928" s="5"/>
      <c r="I8928" s="5"/>
      <c r="J8928" s="5"/>
      <c r="K8928" s="5"/>
      <c r="L8928" s="5"/>
      <c r="M8928" s="5"/>
      <c r="N8928" s="5"/>
      <c r="O8928" s="5"/>
      <c r="P8928" s="5"/>
      <c r="Q8928" s="5"/>
      <c r="R8928" s="5"/>
      <c r="S8928" s="5"/>
      <c r="T8928" s="5"/>
      <c r="U8928" s="5"/>
      <c r="V8928" s="5"/>
      <c r="W8928" s="5"/>
      <c r="X8928" s="5"/>
      <c r="Y8928" s="5"/>
      <c r="Z8928" s="5"/>
    </row>
    <row r="8929" spans="1:26" ht="15" x14ac:dyDescent="0.25">
      <c r="A8929" s="4" t="s">
        <v>8927</v>
      </c>
      <c r="B8929" s="4" t="s">
        <v>4550</v>
      </c>
      <c r="C8929" s="2" t="str">
        <f ca="1">IFERROR(__xludf.DUMMYFUNCTION("GOOGLETRANSLATE(A8929,""bn"",""en"")"),"I was reading online news now")</f>
        <v>I was reading online news now</v>
      </c>
      <c r="D8929" s="5"/>
      <c r="E8929" s="5"/>
      <c r="F8929" s="5"/>
      <c r="G8929" s="5"/>
      <c r="H8929" s="5"/>
      <c r="I8929" s="5"/>
      <c r="J8929" s="5"/>
      <c r="K8929" s="5"/>
      <c r="L8929" s="5"/>
      <c r="M8929" s="5"/>
      <c r="N8929" s="5"/>
      <c r="O8929" s="5"/>
      <c r="P8929" s="5"/>
      <c r="Q8929" s="5"/>
      <c r="R8929" s="5"/>
      <c r="S8929" s="5"/>
      <c r="T8929" s="5"/>
      <c r="U8929" s="5"/>
      <c r="V8929" s="5"/>
      <c r="W8929" s="5"/>
      <c r="X8929" s="5"/>
      <c r="Y8929" s="5"/>
      <c r="Z8929" s="5"/>
    </row>
    <row r="8930" spans="1:26" ht="15" x14ac:dyDescent="0.25">
      <c r="A8930" s="4" t="s">
        <v>8928</v>
      </c>
      <c r="B8930" s="4" t="s">
        <v>4550</v>
      </c>
      <c r="C8930" s="2" t="str">
        <f ca="1">IFERROR(__xludf.DUMMYFUNCTION("GOOGLETRANSLATE(A8930,""bn"",""en"")"),"I was trying to progress in science")</f>
        <v>I was trying to progress in science</v>
      </c>
      <c r="D8930" s="5"/>
      <c r="E8930" s="5"/>
      <c r="F8930" s="5"/>
      <c r="G8930" s="5"/>
      <c r="H8930" s="5"/>
      <c r="I8930" s="5"/>
      <c r="J8930" s="5"/>
      <c r="K8930" s="5"/>
      <c r="L8930" s="5"/>
      <c r="M8930" s="5"/>
      <c r="N8930" s="5"/>
      <c r="O8930" s="5"/>
      <c r="P8930" s="5"/>
      <c r="Q8930" s="5"/>
      <c r="R8930" s="5"/>
      <c r="S8930" s="5"/>
      <c r="T8930" s="5"/>
      <c r="U8930" s="5"/>
      <c r="V8930" s="5"/>
      <c r="W8930" s="5"/>
      <c r="X8930" s="5"/>
      <c r="Y8930" s="5"/>
      <c r="Z8930" s="5"/>
    </row>
    <row r="8931" spans="1:26" ht="15" x14ac:dyDescent="0.25">
      <c r="A8931" s="4" t="s">
        <v>8929</v>
      </c>
      <c r="B8931" s="4" t="s">
        <v>4550</v>
      </c>
      <c r="C8931" s="2" t="str">
        <f ca="1">IFERROR(__xludf.DUMMYFUNCTION("GOOGLETRANSLATE(A8931,""bn"",""en"")"),"People lined up on the beach")</f>
        <v>People lined up on the beach</v>
      </c>
      <c r="D8931" s="5"/>
      <c r="E8931" s="5"/>
      <c r="F8931" s="5"/>
      <c r="G8931" s="5"/>
      <c r="H8931" s="5"/>
      <c r="I8931" s="5"/>
      <c r="J8931" s="5"/>
      <c r="K8931" s="5"/>
      <c r="L8931" s="5"/>
      <c r="M8931" s="5"/>
      <c r="N8931" s="5"/>
      <c r="O8931" s="5"/>
      <c r="P8931" s="5"/>
      <c r="Q8931" s="5"/>
      <c r="R8931" s="5"/>
      <c r="S8931" s="5"/>
      <c r="T8931" s="5"/>
      <c r="U8931" s="5"/>
      <c r="V8931" s="5"/>
      <c r="W8931" s="5"/>
      <c r="X8931" s="5"/>
      <c r="Y8931" s="5"/>
      <c r="Z8931" s="5"/>
    </row>
    <row r="8932" spans="1:26" ht="15" x14ac:dyDescent="0.25">
      <c r="A8932" s="4" t="s">
        <v>8930</v>
      </c>
      <c r="B8932" s="4" t="s">
        <v>4550</v>
      </c>
      <c r="C8932" s="2" t="str">
        <f ca="1">IFERROR(__xludf.DUMMYFUNCTION("GOOGLETRANSLATE(A8932,""bn"",""en"")"),"Boundaries of feelings helped to reciprocate")</f>
        <v>Boundaries of feelings helped to reciprocate</v>
      </c>
      <c r="D8932" s="5"/>
      <c r="E8932" s="5"/>
      <c r="F8932" s="5"/>
      <c r="G8932" s="5"/>
      <c r="H8932" s="5"/>
      <c r="I8932" s="5"/>
      <c r="J8932" s="5"/>
      <c r="K8932" s="5"/>
      <c r="L8932" s="5"/>
      <c r="M8932" s="5"/>
      <c r="N8932" s="5"/>
      <c r="O8932" s="5"/>
      <c r="P8932" s="5"/>
      <c r="Q8932" s="5"/>
      <c r="R8932" s="5"/>
      <c r="S8932" s="5"/>
      <c r="T8932" s="5"/>
      <c r="U8932" s="5"/>
      <c r="V8932" s="5"/>
      <c r="W8932" s="5"/>
      <c r="X8932" s="5"/>
      <c r="Y8932" s="5"/>
      <c r="Z8932" s="5"/>
    </row>
    <row r="8933" spans="1:26" ht="15" x14ac:dyDescent="0.25">
      <c r="A8933" s="4" t="s">
        <v>8931</v>
      </c>
      <c r="B8933" s="4" t="s">
        <v>4550</v>
      </c>
      <c r="C8933" s="2" t="str">
        <f ca="1">IFERROR(__xludf.DUMMYFUNCTION("GOOGLETRANSLATE(A8933,""bn"",""en"")"),"Educated employees were using technology")</f>
        <v>Educated employees were using technology</v>
      </c>
      <c r="D8933" s="5"/>
      <c r="E8933" s="5"/>
      <c r="F8933" s="5"/>
      <c r="G8933" s="5"/>
      <c r="H8933" s="5"/>
      <c r="I8933" s="5"/>
      <c r="J8933" s="5"/>
      <c r="K8933" s="5"/>
      <c r="L8933" s="5"/>
      <c r="M8933" s="5"/>
      <c r="N8933" s="5"/>
      <c r="O8933" s="5"/>
      <c r="P8933" s="5"/>
      <c r="Q8933" s="5"/>
      <c r="R8933" s="5"/>
      <c r="S8933" s="5"/>
      <c r="T8933" s="5"/>
      <c r="U8933" s="5"/>
      <c r="V8933" s="5"/>
      <c r="W8933" s="5"/>
      <c r="X8933" s="5"/>
      <c r="Y8933" s="5"/>
      <c r="Z8933" s="5"/>
    </row>
    <row r="8934" spans="1:26" ht="15" x14ac:dyDescent="0.25">
      <c r="A8934" s="4" t="s">
        <v>8932</v>
      </c>
      <c r="B8934" s="4" t="s">
        <v>4550</v>
      </c>
      <c r="C8934" s="2" t="str">
        <f ca="1">IFERROR(__xludf.DUMMYFUNCTION("GOOGLETRANSLATE(A8934,""bn"",""en"")"),"I wanted to open shares in the bank")</f>
        <v>I wanted to open shares in the bank</v>
      </c>
      <c r="D8934" s="5"/>
      <c r="E8934" s="5"/>
      <c r="F8934" s="5"/>
      <c r="G8934" s="5"/>
      <c r="H8934" s="5"/>
      <c r="I8934" s="5"/>
      <c r="J8934" s="5"/>
      <c r="K8934" s="5"/>
      <c r="L8934" s="5"/>
      <c r="M8934" s="5"/>
      <c r="N8934" s="5"/>
      <c r="O8934" s="5"/>
      <c r="P8934" s="5"/>
      <c r="Q8934" s="5"/>
      <c r="R8934" s="5"/>
      <c r="S8934" s="5"/>
      <c r="T8934" s="5"/>
      <c r="U8934" s="5"/>
      <c r="V8934" s="5"/>
      <c r="W8934" s="5"/>
      <c r="X8934" s="5"/>
      <c r="Y8934" s="5"/>
      <c r="Z8934" s="5"/>
    </row>
    <row r="8935" spans="1:26" ht="15" x14ac:dyDescent="0.25">
      <c r="A8935" s="4" t="s">
        <v>8933</v>
      </c>
      <c r="B8935" s="4" t="s">
        <v>4550</v>
      </c>
      <c r="C8935" s="2" t="str">
        <f ca="1">IFERROR(__xludf.DUMMYFUNCTION("GOOGLETRANSLATE(A8935,""bn"",""en"")"),"They were going to play in a tennis match")</f>
        <v>They were going to play in a tennis match</v>
      </c>
      <c r="D8935" s="5"/>
      <c r="E8935" s="5"/>
      <c r="F8935" s="5"/>
      <c r="G8935" s="5"/>
      <c r="H8935" s="5"/>
      <c r="I8935" s="5"/>
      <c r="J8935" s="5"/>
      <c r="K8935" s="5"/>
      <c r="L8935" s="5"/>
      <c r="M8935" s="5"/>
      <c r="N8935" s="5"/>
      <c r="O8935" s="5"/>
      <c r="P8935" s="5"/>
      <c r="Q8935" s="5"/>
      <c r="R8935" s="5"/>
      <c r="S8935" s="5"/>
      <c r="T8935" s="5"/>
      <c r="U8935" s="5"/>
      <c r="V8935" s="5"/>
      <c r="W8935" s="5"/>
      <c r="X8935" s="5"/>
      <c r="Y8935" s="5"/>
      <c r="Z8935" s="5"/>
    </row>
    <row r="8936" spans="1:26" ht="15" x14ac:dyDescent="0.25">
      <c r="A8936" s="4" t="s">
        <v>8934</v>
      </c>
      <c r="B8936" s="4" t="s">
        <v>4550</v>
      </c>
      <c r="C8936" s="2" t="str">
        <f ca="1">IFERROR(__xludf.DUMMYFUNCTION("GOOGLETRANSLATE(A8936,""bn"",""en"")"),"I was advancing in my career using the internet")</f>
        <v>I was advancing in my career using the internet</v>
      </c>
      <c r="D8936" s="5"/>
      <c r="E8936" s="5"/>
      <c r="F8936" s="5"/>
      <c r="G8936" s="5"/>
      <c r="H8936" s="5"/>
      <c r="I8936" s="5"/>
      <c r="J8936" s="5"/>
      <c r="K8936" s="5"/>
      <c r="L8936" s="5"/>
      <c r="M8936" s="5"/>
      <c r="N8936" s="5"/>
      <c r="O8936" s="5"/>
      <c r="P8936" s="5"/>
      <c r="Q8936" s="5"/>
      <c r="R8936" s="5"/>
      <c r="S8936" s="5"/>
      <c r="T8936" s="5"/>
      <c r="U8936" s="5"/>
      <c r="V8936" s="5"/>
      <c r="W8936" s="5"/>
      <c r="X8936" s="5"/>
      <c r="Y8936" s="5"/>
      <c r="Z8936" s="5"/>
    </row>
    <row r="8937" spans="1:26" ht="15" x14ac:dyDescent="0.25">
      <c r="A8937" s="4" t="s">
        <v>8935</v>
      </c>
      <c r="B8937" s="4" t="s">
        <v>4550</v>
      </c>
      <c r="C8937" s="2" t="str">
        <f ca="1">IFERROR(__xludf.DUMMYFUNCTION("GOOGLETRANSLATE(A8937,""bn"",""en"")"),"I was using a new printer")</f>
        <v>I was using a new printer</v>
      </c>
      <c r="D8937" s="5"/>
      <c r="E8937" s="5"/>
      <c r="F8937" s="5"/>
      <c r="G8937" s="5"/>
      <c r="H8937" s="5"/>
      <c r="I8937" s="5"/>
      <c r="J8937" s="5"/>
      <c r="K8937" s="5"/>
      <c r="L8937" s="5"/>
      <c r="M8937" s="5"/>
      <c r="N8937" s="5"/>
      <c r="O8937" s="5"/>
      <c r="P8937" s="5"/>
      <c r="Q8937" s="5"/>
      <c r="R8937" s="5"/>
      <c r="S8937" s="5"/>
      <c r="T8937" s="5"/>
      <c r="U8937" s="5"/>
      <c r="V8937" s="5"/>
      <c r="W8937" s="5"/>
      <c r="X8937" s="5"/>
      <c r="Y8937" s="5"/>
      <c r="Z8937" s="5"/>
    </row>
    <row r="8938" spans="1:26" ht="15" x14ac:dyDescent="0.25">
      <c r="A8938" s="4" t="s">
        <v>8936</v>
      </c>
      <c r="B8938" s="4" t="s">
        <v>4550</v>
      </c>
      <c r="C8938" s="2" t="str">
        <f ca="1">IFERROR(__xludf.DUMMYFUNCTION("GOOGLETRANSLATE(A8938,""bn"",""en"")"),"All travel destinations remain secret")</f>
        <v>All travel destinations remain secret</v>
      </c>
      <c r="D8938" s="5"/>
      <c r="E8938" s="5"/>
      <c r="F8938" s="5"/>
      <c r="G8938" s="5"/>
      <c r="H8938" s="5"/>
      <c r="I8938" s="5"/>
      <c r="J8938" s="5"/>
      <c r="K8938" s="5"/>
      <c r="L8938" s="5"/>
      <c r="M8938" s="5"/>
      <c r="N8938" s="5"/>
      <c r="O8938" s="5"/>
      <c r="P8938" s="5"/>
      <c r="Q8938" s="5"/>
      <c r="R8938" s="5"/>
      <c r="S8938" s="5"/>
      <c r="T8938" s="5"/>
      <c r="U8938" s="5"/>
      <c r="V8938" s="5"/>
      <c r="W8938" s="5"/>
      <c r="X8938" s="5"/>
      <c r="Y8938" s="5"/>
      <c r="Z8938" s="5"/>
    </row>
    <row r="8939" spans="1:26" ht="15" x14ac:dyDescent="0.25">
      <c r="A8939" s="4" t="s">
        <v>8937</v>
      </c>
      <c r="B8939" s="4" t="s">
        <v>4550</v>
      </c>
      <c r="C8939" s="2" t="str">
        <f ca="1">IFERROR(__xludf.DUMMYFUNCTION("GOOGLETRANSLATE(A8939,""bn"",""en"")"),"Books existed in a special library period")</f>
        <v>Books existed in a special library period</v>
      </c>
      <c r="D8939" s="5"/>
      <c r="E8939" s="5"/>
      <c r="F8939" s="5"/>
      <c r="G8939" s="5"/>
      <c r="H8939" s="5"/>
      <c r="I8939" s="5"/>
      <c r="J8939" s="5"/>
      <c r="K8939" s="5"/>
      <c r="L8939" s="5"/>
      <c r="M8939" s="5"/>
      <c r="N8939" s="5"/>
      <c r="O8939" s="5"/>
      <c r="P8939" s="5"/>
      <c r="Q8939" s="5"/>
      <c r="R8939" s="5"/>
      <c r="S8939" s="5"/>
      <c r="T8939" s="5"/>
      <c r="U8939" s="5"/>
      <c r="V8939" s="5"/>
      <c r="W8939" s="5"/>
      <c r="X8939" s="5"/>
      <c r="Y8939" s="5"/>
      <c r="Z8939" s="5"/>
    </row>
    <row r="8940" spans="1:26" ht="15" x14ac:dyDescent="0.25">
      <c r="A8940" s="4" t="s">
        <v>8938</v>
      </c>
      <c r="B8940" s="4" t="s">
        <v>4550</v>
      </c>
      <c r="C8940" s="2" t="str">
        <f ca="1">IFERROR(__xludf.DUMMYFUNCTION("GOOGLETRANSLATE(A8940,""bn"",""en"")"),"I asked for an increase in money")</f>
        <v>I asked for an increase in money</v>
      </c>
      <c r="D8940" s="5"/>
      <c r="E8940" s="5"/>
      <c r="F8940" s="5"/>
      <c r="G8940" s="5"/>
      <c r="H8940" s="5"/>
      <c r="I8940" s="5"/>
      <c r="J8940" s="5"/>
      <c r="K8940" s="5"/>
      <c r="L8940" s="5"/>
      <c r="M8940" s="5"/>
      <c r="N8940" s="5"/>
      <c r="O8940" s="5"/>
      <c r="P8940" s="5"/>
      <c r="Q8940" s="5"/>
      <c r="R8940" s="5"/>
      <c r="S8940" s="5"/>
      <c r="T8940" s="5"/>
      <c r="U8940" s="5"/>
      <c r="V8940" s="5"/>
      <c r="W8940" s="5"/>
      <c r="X8940" s="5"/>
      <c r="Y8940" s="5"/>
      <c r="Z8940" s="5"/>
    </row>
    <row r="8941" spans="1:26" ht="15" x14ac:dyDescent="0.25">
      <c r="A8941" s="4" t="s">
        <v>8939</v>
      </c>
      <c r="B8941" s="4" t="s">
        <v>4550</v>
      </c>
      <c r="C8941" s="2" t="str">
        <f ca="1">IFERROR(__xludf.DUMMYFUNCTION("GOOGLETRANSLATE(A8941,""bn"",""en"")"),"The beauty of the ocean was delightful")</f>
        <v>The beauty of the ocean was delightful</v>
      </c>
      <c r="D8941" s="5"/>
      <c r="E8941" s="5"/>
      <c r="F8941" s="5"/>
      <c r="G8941" s="5"/>
      <c r="H8941" s="5"/>
      <c r="I8941" s="5"/>
      <c r="J8941" s="5"/>
      <c r="K8941" s="5"/>
      <c r="L8941" s="5"/>
      <c r="M8941" s="5"/>
      <c r="N8941" s="5"/>
      <c r="O8941" s="5"/>
      <c r="P8941" s="5"/>
      <c r="Q8941" s="5"/>
      <c r="R8941" s="5"/>
      <c r="S8941" s="5"/>
      <c r="T8941" s="5"/>
      <c r="U8941" s="5"/>
      <c r="V8941" s="5"/>
      <c r="W8941" s="5"/>
      <c r="X8941" s="5"/>
      <c r="Y8941" s="5"/>
      <c r="Z8941" s="5"/>
    </row>
    <row r="8942" spans="1:26" ht="15" x14ac:dyDescent="0.25">
      <c r="A8942" s="4" t="s">
        <v>8940</v>
      </c>
      <c r="B8942" s="4" t="s">
        <v>4550</v>
      </c>
      <c r="C8942" s="2" t="str">
        <f ca="1">IFERROR(__xludf.DUMMYFUNCTION("GOOGLETRANSLATE(A8942,""bn"",""en"")"),"I was taking pictures using the camera")</f>
        <v>I was taking pictures using the camera</v>
      </c>
      <c r="D8942" s="5"/>
      <c r="E8942" s="5"/>
      <c r="F8942" s="5"/>
      <c r="G8942" s="5"/>
      <c r="H8942" s="5"/>
      <c r="I8942" s="5"/>
      <c r="J8942" s="5"/>
      <c r="K8942" s="5"/>
      <c r="L8942" s="5"/>
      <c r="M8942" s="5"/>
      <c r="N8942" s="5"/>
      <c r="O8942" s="5"/>
      <c r="P8942" s="5"/>
      <c r="Q8942" s="5"/>
      <c r="R8942" s="5"/>
      <c r="S8942" s="5"/>
      <c r="T8942" s="5"/>
      <c r="U8942" s="5"/>
      <c r="V8942" s="5"/>
      <c r="W8942" s="5"/>
      <c r="X8942" s="5"/>
      <c r="Y8942" s="5"/>
      <c r="Z8942" s="5"/>
    </row>
    <row r="8943" spans="1:26" ht="15" x14ac:dyDescent="0.25">
      <c r="A8943" s="4" t="s">
        <v>8941</v>
      </c>
      <c r="B8943" s="4" t="s">
        <v>4550</v>
      </c>
      <c r="C8943" s="2" t="str">
        <f ca="1">IFERROR(__xludf.DUMMYFUNCTION("GOOGLETRANSLATE(A8943,""bn"",""en"")"),"I was using new headphones")</f>
        <v>I was using new headphones</v>
      </c>
      <c r="D8943" s="5"/>
      <c r="E8943" s="5"/>
      <c r="F8943" s="5"/>
      <c r="G8943" s="5"/>
      <c r="H8943" s="5"/>
      <c r="I8943" s="5"/>
      <c r="J8943" s="5"/>
      <c r="K8943" s="5"/>
      <c r="L8943" s="5"/>
      <c r="M8943" s="5"/>
      <c r="N8943" s="5"/>
      <c r="O8943" s="5"/>
      <c r="P8943" s="5"/>
      <c r="Q8943" s="5"/>
      <c r="R8943" s="5"/>
      <c r="S8943" s="5"/>
      <c r="T8943" s="5"/>
      <c r="U8943" s="5"/>
      <c r="V8943" s="5"/>
      <c r="W8943" s="5"/>
      <c r="X8943" s="5"/>
      <c r="Y8943" s="5"/>
      <c r="Z8943" s="5"/>
    </row>
    <row r="8944" spans="1:26" ht="15" x14ac:dyDescent="0.25">
      <c r="A8944" s="4" t="s">
        <v>8942</v>
      </c>
      <c r="B8944" s="4" t="s">
        <v>4550</v>
      </c>
      <c r="C8944" s="2" t="str">
        <f ca="1">IFERROR(__xludf.DUMMYFUNCTION("GOOGLETRANSLATE(A8944,""bn"",""en"")"),"Our world was covered with water")</f>
        <v>Our world was covered with water</v>
      </c>
      <c r="D8944" s="5"/>
      <c r="E8944" s="5"/>
      <c r="F8944" s="5"/>
      <c r="G8944" s="5"/>
      <c r="H8944" s="5"/>
      <c r="I8944" s="5"/>
      <c r="J8944" s="5"/>
      <c r="K8944" s="5"/>
      <c r="L8944" s="5"/>
      <c r="M8944" s="5"/>
      <c r="N8944" s="5"/>
      <c r="O8944" s="5"/>
      <c r="P8944" s="5"/>
      <c r="Q8944" s="5"/>
      <c r="R8944" s="5"/>
      <c r="S8944" s="5"/>
      <c r="T8944" s="5"/>
      <c r="U8944" s="5"/>
      <c r="V8944" s="5"/>
      <c r="W8944" s="5"/>
      <c r="X8944" s="5"/>
      <c r="Y8944" s="5"/>
      <c r="Z8944" s="5"/>
    </row>
    <row r="8945" spans="1:26" ht="15" x14ac:dyDescent="0.25">
      <c r="A8945" s="4" t="s">
        <v>8943</v>
      </c>
      <c r="B8945" s="4" t="s">
        <v>4550</v>
      </c>
      <c r="C8945" s="2" t="str">
        <f ca="1">IFERROR(__xludf.DUMMYFUNCTION("GOOGLETRANSLATE(A8945,""bn"",""en"")"),"The teachers worked hard for the results")</f>
        <v>The teachers worked hard for the results</v>
      </c>
      <c r="D8945" s="5"/>
      <c r="E8945" s="5"/>
      <c r="F8945" s="5"/>
      <c r="G8945" s="5"/>
      <c r="H8945" s="5"/>
      <c r="I8945" s="5"/>
      <c r="J8945" s="5"/>
      <c r="K8945" s="5"/>
      <c r="L8945" s="5"/>
      <c r="M8945" s="5"/>
      <c r="N8945" s="5"/>
      <c r="O8945" s="5"/>
      <c r="P8945" s="5"/>
      <c r="Q8945" s="5"/>
      <c r="R8945" s="5"/>
      <c r="S8945" s="5"/>
      <c r="T8945" s="5"/>
      <c r="U8945" s="5"/>
      <c r="V8945" s="5"/>
      <c r="W8945" s="5"/>
      <c r="X8945" s="5"/>
      <c r="Y8945" s="5"/>
      <c r="Z8945" s="5"/>
    </row>
    <row r="8946" spans="1:26" ht="15" x14ac:dyDescent="0.25">
      <c r="A8946" s="4" t="s">
        <v>8944</v>
      </c>
      <c r="B8946" s="4" t="s">
        <v>4550</v>
      </c>
      <c r="C8946" s="2" t="str">
        <f ca="1">IFERROR(__xludf.DUMMYFUNCTION("GOOGLETRANSLATE(A8946,""bn"",""en"")"),"I was reading news on mobile internet")</f>
        <v>I was reading news on mobile internet</v>
      </c>
      <c r="D8946" s="5"/>
      <c r="E8946" s="5"/>
      <c r="F8946" s="5"/>
      <c r="G8946" s="5"/>
      <c r="H8946" s="5"/>
      <c r="I8946" s="5"/>
      <c r="J8946" s="5"/>
      <c r="K8946" s="5"/>
      <c r="L8946" s="5"/>
      <c r="M8946" s="5"/>
      <c r="N8946" s="5"/>
      <c r="O8946" s="5"/>
      <c r="P8946" s="5"/>
      <c r="Q8946" s="5"/>
      <c r="R8946" s="5"/>
      <c r="S8946" s="5"/>
      <c r="T8946" s="5"/>
      <c r="U8946" s="5"/>
      <c r="V8946" s="5"/>
      <c r="W8946" s="5"/>
      <c r="X8946" s="5"/>
      <c r="Y8946" s="5"/>
      <c r="Z8946" s="5"/>
    </row>
    <row r="8947" spans="1:26" ht="15" x14ac:dyDescent="0.25">
      <c r="A8947" s="4" t="s">
        <v>8945</v>
      </c>
      <c r="B8947" s="4" t="s">
        <v>4550</v>
      </c>
      <c r="C8947" s="2" t="str">
        <f ca="1">IFERROR(__xludf.DUMMYFUNCTION("GOOGLETRANSLATE(A8947,""bn"",""en"")"),"I was spending my time reading on mobile internet")</f>
        <v>I was spending my time reading on mobile internet</v>
      </c>
      <c r="D8947" s="5"/>
      <c r="E8947" s="5"/>
      <c r="F8947" s="5"/>
      <c r="G8947" s="5"/>
      <c r="H8947" s="5"/>
      <c r="I8947" s="5"/>
      <c r="J8947" s="5"/>
      <c r="K8947" s="5"/>
      <c r="L8947" s="5"/>
      <c r="M8947" s="5"/>
      <c r="N8947" s="5"/>
      <c r="O8947" s="5"/>
      <c r="P8947" s="5"/>
      <c r="Q8947" s="5"/>
      <c r="R8947" s="5"/>
      <c r="S8947" s="5"/>
      <c r="T8947" s="5"/>
      <c r="U8947" s="5"/>
      <c r="V8947" s="5"/>
      <c r="W8947" s="5"/>
      <c r="X8947" s="5"/>
      <c r="Y8947" s="5"/>
      <c r="Z8947" s="5"/>
    </row>
    <row r="8948" spans="1:26" ht="15" x14ac:dyDescent="0.25">
      <c r="A8948" s="4" t="s">
        <v>8946</v>
      </c>
      <c r="B8948" s="4" t="s">
        <v>4550</v>
      </c>
      <c r="C8948" s="2" t="str">
        <f ca="1">IFERROR(__xludf.DUMMYFUNCTION("GOOGLETRANSLATE(A8948,""bn"",""en"")"),"I was preparing for higher education")</f>
        <v>I was preparing for higher education</v>
      </c>
      <c r="D8948" s="5"/>
      <c r="E8948" s="5"/>
      <c r="F8948" s="5"/>
      <c r="G8948" s="5"/>
      <c r="H8948" s="5"/>
      <c r="I8948" s="5"/>
      <c r="J8948" s="5"/>
      <c r="K8948" s="5"/>
      <c r="L8948" s="5"/>
      <c r="M8948" s="5"/>
      <c r="N8948" s="5"/>
      <c r="O8948" s="5"/>
      <c r="P8948" s="5"/>
      <c r="Q8948" s="5"/>
      <c r="R8948" s="5"/>
      <c r="S8948" s="5"/>
      <c r="T8948" s="5"/>
      <c r="U8948" s="5"/>
      <c r="V8948" s="5"/>
      <c r="W8948" s="5"/>
      <c r="X8948" s="5"/>
      <c r="Y8948" s="5"/>
      <c r="Z8948" s="5"/>
    </row>
    <row r="8949" spans="1:26" ht="15" x14ac:dyDescent="0.25">
      <c r="A8949" s="4" t="s">
        <v>8947</v>
      </c>
      <c r="B8949" s="4" t="s">
        <v>4550</v>
      </c>
      <c r="C8949" s="2" t="str">
        <f ca="1">IFERROR(__xludf.DUMMYFUNCTION("GOOGLETRANSLATE(A8949,""bn"",""en"")"),"Students were answering questions")</f>
        <v>Students were answering questions</v>
      </c>
      <c r="D8949" s="5"/>
      <c r="E8949" s="5"/>
      <c r="F8949" s="5"/>
      <c r="G8949" s="5"/>
      <c r="H8949" s="5"/>
      <c r="I8949" s="5"/>
      <c r="J8949" s="5"/>
      <c r="K8949" s="5"/>
      <c r="L8949" s="5"/>
      <c r="M8949" s="5"/>
      <c r="N8949" s="5"/>
      <c r="O8949" s="5"/>
      <c r="P8949" s="5"/>
      <c r="Q8949" s="5"/>
      <c r="R8949" s="5"/>
      <c r="S8949" s="5"/>
      <c r="T8949" s="5"/>
      <c r="U8949" s="5"/>
      <c r="V8949" s="5"/>
      <c r="W8949" s="5"/>
      <c r="X8949" s="5"/>
      <c r="Y8949" s="5"/>
      <c r="Z8949" s="5"/>
    </row>
    <row r="8950" spans="1:26" ht="15" x14ac:dyDescent="0.25">
      <c r="A8950" s="4" t="s">
        <v>8948</v>
      </c>
      <c r="B8950" s="4" t="s">
        <v>4550</v>
      </c>
      <c r="C8950" s="2" t="str">
        <f ca="1">IFERROR(__xludf.DUMMYFUNCTION("GOOGLETRANSLATE(A8950,""bn"",""en"")"),"I expressed interest in using the new ebook")</f>
        <v>I expressed interest in using the new ebook</v>
      </c>
      <c r="D8950" s="5"/>
      <c r="E8950" s="5"/>
      <c r="F8950" s="5"/>
      <c r="G8950" s="5"/>
      <c r="H8950" s="5"/>
      <c r="I8950" s="5"/>
      <c r="J8950" s="5"/>
      <c r="K8950" s="5"/>
      <c r="L8950" s="5"/>
      <c r="M8950" s="5"/>
      <c r="N8950" s="5"/>
      <c r="O8950" s="5"/>
      <c r="P8950" s="5"/>
      <c r="Q8950" s="5"/>
      <c r="R8950" s="5"/>
      <c r="S8950" s="5"/>
      <c r="T8950" s="5"/>
      <c r="U8950" s="5"/>
      <c r="V8950" s="5"/>
      <c r="W8950" s="5"/>
      <c r="X8950" s="5"/>
      <c r="Y8950" s="5"/>
      <c r="Z8950" s="5"/>
    </row>
    <row r="8951" spans="1:26" ht="15" x14ac:dyDescent="0.25">
      <c r="A8951" s="4" t="s">
        <v>8949</v>
      </c>
      <c r="B8951" s="4" t="s">
        <v>4550</v>
      </c>
      <c r="C8951" s="2" t="str">
        <f ca="1">IFERROR(__xludf.DUMMYFUNCTION("GOOGLETRANSLATE(A8951,""bn"",""en"")"),"I bought the new ebook for you")</f>
        <v>I bought the new ebook for you</v>
      </c>
      <c r="D8951" s="5"/>
      <c r="E8951" s="5"/>
      <c r="F8951" s="5"/>
      <c r="G8951" s="5"/>
      <c r="H8951" s="5"/>
      <c r="I8951" s="5"/>
      <c r="J8951" s="5"/>
      <c r="K8951" s="5"/>
      <c r="L8951" s="5"/>
      <c r="M8951" s="5"/>
      <c r="N8951" s="5"/>
      <c r="O8951" s="5"/>
      <c r="P8951" s="5"/>
      <c r="Q8951" s="5"/>
      <c r="R8951" s="5"/>
      <c r="S8951" s="5"/>
      <c r="T8951" s="5"/>
      <c r="U8951" s="5"/>
      <c r="V8951" s="5"/>
      <c r="W8951" s="5"/>
      <c r="X8951" s="5"/>
      <c r="Y8951" s="5"/>
      <c r="Z8951" s="5"/>
    </row>
    <row r="8952" spans="1:26" ht="15" x14ac:dyDescent="0.25">
      <c r="A8952" s="4" t="s">
        <v>8950</v>
      </c>
      <c r="B8952" s="4" t="s">
        <v>4550</v>
      </c>
      <c r="C8952" s="2" t="str">
        <f ca="1">IFERROR(__xludf.DUMMYFUNCTION("GOOGLETRANSLATE(A8952,""bn"",""en"")"),"The film achieved success at the box office")</f>
        <v>The film achieved success at the box office</v>
      </c>
      <c r="D8952" s="5"/>
      <c r="E8952" s="5"/>
      <c r="F8952" s="5"/>
      <c r="G8952" s="5"/>
      <c r="H8952" s="5"/>
      <c r="I8952" s="5"/>
      <c r="J8952" s="5"/>
      <c r="K8952" s="5"/>
      <c r="L8952" s="5"/>
      <c r="M8952" s="5"/>
      <c r="N8952" s="5"/>
      <c r="O8952" s="5"/>
      <c r="P8952" s="5"/>
      <c r="Q8952" s="5"/>
      <c r="R8952" s="5"/>
      <c r="S8952" s="5"/>
      <c r="T8952" s="5"/>
      <c r="U8952" s="5"/>
      <c r="V8952" s="5"/>
      <c r="W8952" s="5"/>
      <c r="X8952" s="5"/>
      <c r="Y8952" s="5"/>
      <c r="Z8952" s="5"/>
    </row>
    <row r="8953" spans="1:26" ht="15" x14ac:dyDescent="0.25">
      <c r="A8953" s="4" t="s">
        <v>8951</v>
      </c>
      <c r="B8953" s="4" t="s">
        <v>4550</v>
      </c>
      <c r="C8953" s="2" t="str">
        <f ca="1">IFERROR(__xludf.DUMMYFUNCTION("GOOGLETRANSLATE(A8953,""bn"",""en"")"),"I was going on a plane this time")</f>
        <v>I was going on a plane this time</v>
      </c>
      <c r="D8953" s="5"/>
      <c r="E8953" s="5"/>
      <c r="F8953" s="5"/>
      <c r="G8953" s="5"/>
      <c r="H8953" s="5"/>
      <c r="I8953" s="5"/>
      <c r="J8953" s="5"/>
      <c r="K8953" s="5"/>
      <c r="L8953" s="5"/>
      <c r="M8953" s="5"/>
      <c r="N8953" s="5"/>
      <c r="O8953" s="5"/>
      <c r="P8953" s="5"/>
      <c r="Q8953" s="5"/>
      <c r="R8953" s="5"/>
      <c r="S8953" s="5"/>
      <c r="T8953" s="5"/>
      <c r="U8953" s="5"/>
      <c r="V8953" s="5"/>
      <c r="W8953" s="5"/>
      <c r="X8953" s="5"/>
      <c r="Y8953" s="5"/>
      <c r="Z8953" s="5"/>
    </row>
    <row r="8954" spans="1:26" ht="15" x14ac:dyDescent="0.25">
      <c r="A8954" s="4" t="s">
        <v>8952</v>
      </c>
      <c r="B8954" s="4" t="s">
        <v>4550</v>
      </c>
      <c r="C8954" s="2" t="str">
        <f ca="1">IFERROR(__xludf.DUMMYFUNCTION("GOOGLETRANSLATE(A8954,""bn"",""en"")"),"I was using the smartwatch for studying")</f>
        <v>I was using the smartwatch for studying</v>
      </c>
      <c r="D8954" s="5"/>
      <c r="E8954" s="5"/>
      <c r="F8954" s="5"/>
      <c r="G8954" s="5"/>
      <c r="H8954" s="5"/>
      <c r="I8954" s="5"/>
      <c r="J8954" s="5"/>
      <c r="K8954" s="5"/>
      <c r="L8954" s="5"/>
      <c r="M8954" s="5"/>
      <c r="N8954" s="5"/>
      <c r="O8954" s="5"/>
      <c r="P8954" s="5"/>
      <c r="Q8954" s="5"/>
      <c r="R8954" s="5"/>
      <c r="S8954" s="5"/>
      <c r="T8954" s="5"/>
      <c r="U8954" s="5"/>
      <c r="V8954" s="5"/>
      <c r="W8954" s="5"/>
      <c r="X8954" s="5"/>
      <c r="Y8954" s="5"/>
      <c r="Z8954" s="5"/>
    </row>
    <row r="8955" spans="1:26" ht="15" x14ac:dyDescent="0.25">
      <c r="A8955" s="4" t="s">
        <v>8953</v>
      </c>
      <c r="B8955" s="4" t="s">
        <v>4550</v>
      </c>
      <c r="C8955" s="2" t="str">
        <f ca="1">IFERROR(__xludf.DUMMYFUNCTION("GOOGLETRANSLATE(A8955,""bn"",""en"")"),"I was paying you a lot of money")</f>
        <v>I was paying you a lot of money</v>
      </c>
      <c r="D8955" s="5"/>
      <c r="E8955" s="5"/>
      <c r="F8955" s="5"/>
      <c r="G8955" s="5"/>
      <c r="H8955" s="5"/>
      <c r="I8955" s="5"/>
      <c r="J8955" s="5"/>
      <c r="K8955" s="5"/>
      <c r="L8955" s="5"/>
      <c r="M8955" s="5"/>
      <c r="N8955" s="5"/>
      <c r="O8955" s="5"/>
      <c r="P8955" s="5"/>
      <c r="Q8955" s="5"/>
      <c r="R8955" s="5"/>
      <c r="S8955" s="5"/>
      <c r="T8955" s="5"/>
      <c r="U8955" s="5"/>
      <c r="V8955" s="5"/>
      <c r="W8955" s="5"/>
      <c r="X8955" s="5"/>
      <c r="Y8955" s="5"/>
      <c r="Z8955" s="5"/>
    </row>
    <row r="8956" spans="1:26" ht="15" x14ac:dyDescent="0.25">
      <c r="A8956" s="4" t="s">
        <v>8954</v>
      </c>
      <c r="B8956" s="4" t="s">
        <v>4550</v>
      </c>
      <c r="C8956" s="2" t="str">
        <f ca="1">IFERROR(__xludf.DUMMYFUNCTION("GOOGLETRANSLATE(A8956,""bn"",""en"")"),"I asked for a new bank account")</f>
        <v>I asked for a new bank account</v>
      </c>
      <c r="D8956" s="5"/>
      <c r="E8956" s="5"/>
      <c r="F8956" s="5"/>
      <c r="G8956" s="5"/>
      <c r="H8956" s="5"/>
      <c r="I8956" s="5"/>
      <c r="J8956" s="5"/>
      <c r="K8956" s="5"/>
      <c r="L8956" s="5"/>
      <c r="M8956" s="5"/>
      <c r="N8956" s="5"/>
      <c r="O8956" s="5"/>
      <c r="P8956" s="5"/>
      <c r="Q8956" s="5"/>
      <c r="R8956" s="5"/>
      <c r="S8956" s="5"/>
      <c r="T8956" s="5"/>
      <c r="U8956" s="5"/>
      <c r="V8956" s="5"/>
      <c r="W8956" s="5"/>
      <c r="X8956" s="5"/>
      <c r="Y8956" s="5"/>
      <c r="Z8956" s="5"/>
    </row>
    <row r="8957" spans="1:26" ht="15" x14ac:dyDescent="0.25">
      <c r="A8957" s="4" t="s">
        <v>8955</v>
      </c>
      <c r="B8957" s="4" t="s">
        <v>4550</v>
      </c>
      <c r="C8957" s="2" t="str">
        <f ca="1">IFERROR(__xludf.DUMMYFUNCTION("GOOGLETRANSLATE(A8957,""bn"",""en"")"),"The beauty of the heroine impressed everyone")</f>
        <v>The beauty of the heroine impressed everyone</v>
      </c>
      <c r="D8957" s="5"/>
      <c r="E8957" s="5"/>
      <c r="F8957" s="5"/>
      <c r="G8957" s="5"/>
      <c r="H8957" s="5"/>
      <c r="I8957" s="5"/>
      <c r="J8957" s="5"/>
      <c r="K8957" s="5"/>
      <c r="L8957" s="5"/>
      <c r="M8957" s="5"/>
      <c r="N8957" s="5"/>
      <c r="O8957" s="5"/>
      <c r="P8957" s="5"/>
      <c r="Q8957" s="5"/>
      <c r="R8957" s="5"/>
      <c r="S8957" s="5"/>
      <c r="T8957" s="5"/>
      <c r="U8957" s="5"/>
      <c r="V8957" s="5"/>
      <c r="W8957" s="5"/>
      <c r="X8957" s="5"/>
      <c r="Y8957" s="5"/>
      <c r="Z8957" s="5"/>
    </row>
    <row r="8958" spans="1:26" ht="15" x14ac:dyDescent="0.25">
      <c r="A8958" s="4" t="s">
        <v>8956</v>
      </c>
      <c r="B8958" s="4" t="s">
        <v>4550</v>
      </c>
      <c r="C8958" s="2" t="str">
        <f ca="1">IFERROR(__xludf.DUMMYFUNCTION("GOOGLETRANSLATE(A8958,""bn"",""en"")"),"I was using the new internet")</f>
        <v>I was using the new internet</v>
      </c>
      <c r="D8958" s="5"/>
      <c r="E8958" s="5"/>
      <c r="F8958" s="5"/>
      <c r="G8958" s="5"/>
      <c r="H8958" s="5"/>
      <c r="I8958" s="5"/>
      <c r="J8958" s="5"/>
      <c r="K8958" s="5"/>
      <c r="L8958" s="5"/>
      <c r="M8958" s="5"/>
      <c r="N8958" s="5"/>
      <c r="O8958" s="5"/>
      <c r="P8958" s="5"/>
      <c r="Q8958" s="5"/>
      <c r="R8958" s="5"/>
      <c r="S8958" s="5"/>
      <c r="T8958" s="5"/>
      <c r="U8958" s="5"/>
      <c r="V8958" s="5"/>
      <c r="W8958" s="5"/>
      <c r="X8958" s="5"/>
      <c r="Y8958" s="5"/>
      <c r="Z8958" s="5"/>
    </row>
    <row r="8959" spans="1:26" ht="15" x14ac:dyDescent="0.25">
      <c r="A8959" s="4" t="s">
        <v>8957</v>
      </c>
      <c r="B8959" s="4" t="s">
        <v>4550</v>
      </c>
      <c r="C8959" s="2" t="str">
        <f ca="1">IFERROR(__xludf.DUMMYFUNCTION("GOOGLETRANSLATE(A8959,""bn"",""en"")"),"I took new internet connection")</f>
        <v>I took new internet connection</v>
      </c>
      <c r="D8959" s="5"/>
      <c r="E8959" s="5"/>
      <c r="F8959" s="5"/>
      <c r="G8959" s="5"/>
      <c r="H8959" s="5"/>
      <c r="I8959" s="5"/>
      <c r="J8959" s="5"/>
      <c r="K8959" s="5"/>
      <c r="L8959" s="5"/>
      <c r="M8959" s="5"/>
      <c r="N8959" s="5"/>
      <c r="O8959" s="5"/>
      <c r="P8959" s="5"/>
      <c r="Q8959" s="5"/>
      <c r="R8959" s="5"/>
      <c r="S8959" s="5"/>
      <c r="T8959" s="5"/>
      <c r="U8959" s="5"/>
      <c r="V8959" s="5"/>
      <c r="W8959" s="5"/>
      <c r="X8959" s="5"/>
      <c r="Y8959" s="5"/>
      <c r="Z8959" s="5"/>
    </row>
    <row r="8960" spans="1:26" ht="15" x14ac:dyDescent="0.25">
      <c r="A8960" s="4" t="s">
        <v>8958</v>
      </c>
      <c r="B8960" s="4" t="s">
        <v>4550</v>
      </c>
      <c r="C8960" s="2" t="str">
        <f ca="1">IFERROR(__xludf.DUMMYFUNCTION("GOOGLETRANSLATE(A8960,""bn"",""en"")"),"I was looking for new internet users")</f>
        <v>I was looking for new internet users</v>
      </c>
      <c r="D8960" s="5"/>
      <c r="E8960" s="5"/>
      <c r="F8960" s="5"/>
      <c r="G8960" s="5"/>
      <c r="H8960" s="5"/>
      <c r="I8960" s="5"/>
      <c r="J8960" s="5"/>
      <c r="K8960" s="5"/>
      <c r="L8960" s="5"/>
      <c r="M8960" s="5"/>
      <c r="N8960" s="5"/>
      <c r="O8960" s="5"/>
      <c r="P8960" s="5"/>
      <c r="Q8960" s="5"/>
      <c r="R8960" s="5"/>
      <c r="S8960" s="5"/>
      <c r="T8960" s="5"/>
      <c r="U8960" s="5"/>
      <c r="V8960" s="5"/>
      <c r="W8960" s="5"/>
      <c r="X8960" s="5"/>
      <c r="Y8960" s="5"/>
      <c r="Z8960" s="5"/>
    </row>
    <row r="8961" spans="1:26" ht="15" x14ac:dyDescent="0.25">
      <c r="A8961" s="4" t="s">
        <v>8959</v>
      </c>
      <c r="B8961" s="4" t="s">
        <v>4550</v>
      </c>
      <c r="C8961" s="2" t="str">
        <f ca="1">IFERROR(__xludf.DUMMYFUNCTION("GOOGLETRANSLATE(A8961,""bn"",""en"")"),"The player was fighting between fists")</f>
        <v>The player was fighting between fists</v>
      </c>
      <c r="D8961" s="5"/>
      <c r="E8961" s="5"/>
      <c r="F8961" s="5"/>
      <c r="G8961" s="5"/>
      <c r="H8961" s="5"/>
      <c r="I8961" s="5"/>
      <c r="J8961" s="5"/>
      <c r="K8961" s="5"/>
      <c r="L8961" s="5"/>
      <c r="M8961" s="5"/>
      <c r="N8961" s="5"/>
      <c r="O8961" s="5"/>
      <c r="P8961" s="5"/>
      <c r="Q8961" s="5"/>
      <c r="R8961" s="5"/>
      <c r="S8961" s="5"/>
      <c r="T8961" s="5"/>
      <c r="U8961" s="5"/>
      <c r="V8961" s="5"/>
      <c r="W8961" s="5"/>
      <c r="X8961" s="5"/>
      <c r="Y8961" s="5"/>
      <c r="Z8961" s="5"/>
    </row>
    <row r="8962" spans="1:26" ht="15" x14ac:dyDescent="0.25">
      <c r="A8962" s="4" t="s">
        <v>8960</v>
      </c>
      <c r="B8962" s="4" t="s">
        <v>4550</v>
      </c>
      <c r="C8962" s="2" t="str">
        <f ca="1">IFERROR(__xludf.DUMMYFUNCTION("GOOGLETRANSLATE(A8962,""bn"",""en"")"),"I was using the software on mobile")</f>
        <v>I was using the software on mobile</v>
      </c>
      <c r="D8962" s="5"/>
      <c r="E8962" s="5"/>
      <c r="F8962" s="5"/>
      <c r="G8962" s="5"/>
      <c r="H8962" s="5"/>
      <c r="I8962" s="5"/>
      <c r="J8962" s="5"/>
      <c r="K8962" s="5"/>
      <c r="L8962" s="5"/>
      <c r="M8962" s="5"/>
      <c r="N8962" s="5"/>
      <c r="O8962" s="5"/>
      <c r="P8962" s="5"/>
      <c r="Q8962" s="5"/>
      <c r="R8962" s="5"/>
      <c r="S8962" s="5"/>
      <c r="T8962" s="5"/>
      <c r="U8962" s="5"/>
      <c r="V8962" s="5"/>
      <c r="W8962" s="5"/>
      <c r="X8962" s="5"/>
      <c r="Y8962" s="5"/>
      <c r="Z8962" s="5"/>
    </row>
    <row r="8963" spans="1:26" ht="15" x14ac:dyDescent="0.25">
      <c r="A8963" s="4" t="s">
        <v>8961</v>
      </c>
      <c r="B8963" s="4" t="s">
        <v>4550</v>
      </c>
      <c r="C8963" s="2" t="str">
        <f ca="1">IFERROR(__xludf.DUMMYFUNCTION("GOOGLETRANSLATE(A8963,""bn"",""en"")"),"Financial prosperity declined in the country")</f>
        <v>Financial prosperity declined in the country</v>
      </c>
      <c r="D8963" s="5"/>
      <c r="E8963" s="5"/>
      <c r="F8963" s="5"/>
      <c r="G8963" s="5"/>
      <c r="H8963" s="5"/>
      <c r="I8963" s="5"/>
      <c r="J8963" s="5"/>
      <c r="K8963" s="5"/>
      <c r="L8963" s="5"/>
      <c r="M8963" s="5"/>
      <c r="N8963" s="5"/>
      <c r="O8963" s="5"/>
      <c r="P8963" s="5"/>
      <c r="Q8963" s="5"/>
      <c r="R8963" s="5"/>
      <c r="S8963" s="5"/>
      <c r="T8963" s="5"/>
      <c r="U8963" s="5"/>
      <c r="V8963" s="5"/>
      <c r="W8963" s="5"/>
      <c r="X8963" s="5"/>
      <c r="Y8963" s="5"/>
      <c r="Z8963" s="5"/>
    </row>
    <row r="8964" spans="1:26" ht="15" x14ac:dyDescent="0.25">
      <c r="A8964" s="4" t="s">
        <v>8962</v>
      </c>
      <c r="B8964" s="4" t="s">
        <v>4550</v>
      </c>
      <c r="C8964" s="2" t="str">
        <f ca="1">IFERROR(__xludf.DUMMYFUNCTION("GOOGLETRANSLATE(A8964,""bn"",""en"")"),"Love was portrayed in the movie")</f>
        <v>Love was portrayed in the movie</v>
      </c>
      <c r="D8964" s="5"/>
      <c r="E8964" s="5"/>
      <c r="F8964" s="5"/>
      <c r="G8964" s="5"/>
      <c r="H8964" s="5"/>
      <c r="I8964" s="5"/>
      <c r="J8964" s="5"/>
      <c r="K8964" s="5"/>
      <c r="L8964" s="5"/>
      <c r="M8964" s="5"/>
      <c r="N8964" s="5"/>
      <c r="O8964" s="5"/>
      <c r="P8964" s="5"/>
      <c r="Q8964" s="5"/>
      <c r="R8964" s="5"/>
      <c r="S8964" s="5"/>
      <c r="T8964" s="5"/>
      <c r="U8964" s="5"/>
      <c r="V8964" s="5"/>
      <c r="W8964" s="5"/>
      <c r="X8964" s="5"/>
      <c r="Y8964" s="5"/>
      <c r="Z8964" s="5"/>
    </row>
    <row r="8965" spans="1:26" ht="15" x14ac:dyDescent="0.25">
      <c r="A8965" s="4" t="s">
        <v>8963</v>
      </c>
      <c r="B8965" s="4" t="s">
        <v>4550</v>
      </c>
      <c r="C8965" s="2" t="str">
        <f ca="1">IFERROR(__xludf.DUMMYFUNCTION("GOOGLETRANSLATE(A8965,""bn"",""en"")"),"Rita watched a comedy series")</f>
        <v>Rita watched a comedy series</v>
      </c>
      <c r="D8965" s="5"/>
      <c r="E8965" s="5"/>
      <c r="F8965" s="5"/>
      <c r="G8965" s="5"/>
      <c r="H8965" s="5"/>
      <c r="I8965" s="5"/>
      <c r="J8965" s="5"/>
      <c r="K8965" s="5"/>
      <c r="L8965" s="5"/>
      <c r="M8965" s="5"/>
      <c r="N8965" s="5"/>
      <c r="O8965" s="5"/>
      <c r="P8965" s="5"/>
      <c r="Q8965" s="5"/>
      <c r="R8965" s="5"/>
      <c r="S8965" s="5"/>
      <c r="T8965" s="5"/>
      <c r="U8965" s="5"/>
      <c r="V8965" s="5"/>
      <c r="W8965" s="5"/>
      <c r="X8965" s="5"/>
      <c r="Y8965" s="5"/>
      <c r="Z8965" s="5"/>
    </row>
    <row r="8966" spans="1:26" ht="15" x14ac:dyDescent="0.25">
      <c r="A8966" s="4" t="s">
        <v>8964</v>
      </c>
      <c r="B8966" s="4" t="s">
        <v>4550</v>
      </c>
      <c r="C8966" s="2" t="str">
        <f ca="1">IFERROR(__xludf.DUMMYFUNCTION("GOOGLETRANSLATE(A8966,""bn"",""en"")"),"The government was forming during the period")</f>
        <v>The government was forming during the period</v>
      </c>
      <c r="D8966" s="5"/>
      <c r="E8966" s="5"/>
      <c r="F8966" s="5"/>
      <c r="G8966" s="5"/>
      <c r="H8966" s="5"/>
      <c r="I8966" s="5"/>
      <c r="J8966" s="5"/>
      <c r="K8966" s="5"/>
      <c r="L8966" s="5"/>
      <c r="M8966" s="5"/>
      <c r="N8966" s="5"/>
      <c r="O8966" s="5"/>
      <c r="P8966" s="5"/>
      <c r="Q8966" s="5"/>
      <c r="R8966" s="5"/>
      <c r="S8966" s="5"/>
      <c r="T8966" s="5"/>
      <c r="U8966" s="5"/>
      <c r="V8966" s="5"/>
      <c r="W8966" s="5"/>
      <c r="X8966" s="5"/>
      <c r="Y8966" s="5"/>
      <c r="Z8966" s="5"/>
    </row>
    <row r="8967" spans="1:26" ht="15" x14ac:dyDescent="0.25">
      <c r="A8967" s="4" t="s">
        <v>8965</v>
      </c>
      <c r="B8967" s="4" t="s">
        <v>4550</v>
      </c>
      <c r="C8967" s="2" t="str">
        <f ca="1">IFERROR(__xludf.DUMMYFUNCTION("GOOGLETRANSLATE(A8967,""bn"",""en"")"),"You looked so calm now")</f>
        <v>You looked so calm now</v>
      </c>
      <c r="D8967" s="5"/>
      <c r="E8967" s="5"/>
      <c r="F8967" s="5"/>
      <c r="G8967" s="5"/>
      <c r="H8967" s="5"/>
      <c r="I8967" s="5"/>
      <c r="J8967" s="5"/>
      <c r="K8967" s="5"/>
      <c r="L8967" s="5"/>
      <c r="M8967" s="5"/>
      <c r="N8967" s="5"/>
      <c r="O8967" s="5"/>
      <c r="P8967" s="5"/>
      <c r="Q8967" s="5"/>
      <c r="R8967" s="5"/>
      <c r="S8967" s="5"/>
      <c r="T8967" s="5"/>
      <c r="U8967" s="5"/>
      <c r="V8967" s="5"/>
      <c r="W8967" s="5"/>
      <c r="X8967" s="5"/>
      <c r="Y8967" s="5"/>
      <c r="Z8967" s="5"/>
    </row>
    <row r="8968" spans="1:26" ht="15" x14ac:dyDescent="0.25">
      <c r="A8968" s="4" t="s">
        <v>8966</v>
      </c>
      <c r="B8968" s="4" t="s">
        <v>4550</v>
      </c>
      <c r="C8968" s="2" t="str">
        <f ca="1">IFERROR(__xludf.DUMMYFUNCTION("GOOGLETRANSLATE(A8968,""bn"",""en"")"),"They saw a Bengali film")</f>
        <v>They saw a Bengali film</v>
      </c>
      <c r="D8968" s="5"/>
      <c r="E8968" s="5"/>
      <c r="F8968" s="5"/>
      <c r="G8968" s="5"/>
      <c r="H8968" s="5"/>
      <c r="I8968" s="5"/>
      <c r="J8968" s="5"/>
      <c r="K8968" s="5"/>
      <c r="L8968" s="5"/>
      <c r="M8968" s="5"/>
      <c r="N8968" s="5"/>
      <c r="O8968" s="5"/>
      <c r="P8968" s="5"/>
      <c r="Q8968" s="5"/>
      <c r="R8968" s="5"/>
      <c r="S8968" s="5"/>
      <c r="T8968" s="5"/>
      <c r="U8968" s="5"/>
      <c r="V8968" s="5"/>
      <c r="W8968" s="5"/>
      <c r="X8968" s="5"/>
      <c r="Y8968" s="5"/>
      <c r="Z8968" s="5"/>
    </row>
    <row r="8969" spans="1:26" ht="15" x14ac:dyDescent="0.25">
      <c r="A8969" s="4" t="s">
        <v>8967</v>
      </c>
      <c r="B8969" s="4" t="s">
        <v>4550</v>
      </c>
      <c r="C8969" s="2" t="str">
        <f ca="1">IFERROR(__xludf.DUMMYFUNCTION("GOOGLETRANSLATE(A8969,""bn"",""en"")"),"The movie was remade")</f>
        <v>The movie was remade</v>
      </c>
      <c r="D8969" s="5"/>
      <c r="E8969" s="5"/>
      <c r="F8969" s="5"/>
      <c r="G8969" s="5"/>
      <c r="H8969" s="5"/>
      <c r="I8969" s="5"/>
      <c r="J8969" s="5"/>
      <c r="K8969" s="5"/>
      <c r="L8969" s="5"/>
      <c r="M8969" s="5"/>
      <c r="N8969" s="5"/>
      <c r="O8969" s="5"/>
      <c r="P8969" s="5"/>
      <c r="Q8969" s="5"/>
      <c r="R8969" s="5"/>
      <c r="S8969" s="5"/>
      <c r="T8969" s="5"/>
      <c r="U8969" s="5"/>
      <c r="V8969" s="5"/>
      <c r="W8969" s="5"/>
      <c r="X8969" s="5"/>
      <c r="Y8969" s="5"/>
      <c r="Z8969" s="5"/>
    </row>
    <row r="8970" spans="1:26" ht="15" x14ac:dyDescent="0.25">
      <c r="A8970" s="4" t="s">
        <v>8968</v>
      </c>
      <c r="B8970" s="4" t="s">
        <v>4550</v>
      </c>
      <c r="C8970" s="2" t="str">
        <f ca="1">IFERROR(__xludf.DUMMYFUNCTION("GOOGLETRANSLATE(A8970,""bn"",""en"")"),"The Sahara was a desert in summer")</f>
        <v>The Sahara was a desert in summer</v>
      </c>
      <c r="D8970" s="5"/>
      <c r="E8970" s="5"/>
      <c r="F8970" s="5"/>
      <c r="G8970" s="5"/>
      <c r="H8970" s="5"/>
      <c r="I8970" s="5"/>
      <c r="J8970" s="5"/>
      <c r="K8970" s="5"/>
      <c r="L8970" s="5"/>
      <c r="M8970" s="5"/>
      <c r="N8970" s="5"/>
      <c r="O8970" s="5"/>
      <c r="P8970" s="5"/>
      <c r="Q8970" s="5"/>
      <c r="R8970" s="5"/>
      <c r="S8970" s="5"/>
      <c r="T8970" s="5"/>
      <c r="U8970" s="5"/>
      <c r="V8970" s="5"/>
      <c r="W8970" s="5"/>
      <c r="X8970" s="5"/>
      <c r="Y8970" s="5"/>
      <c r="Z8970" s="5"/>
    </row>
    <row r="8971" spans="1:26" ht="15" x14ac:dyDescent="0.25">
      <c r="A8971" s="4" t="s">
        <v>8969</v>
      </c>
      <c r="B8971" s="4" t="s">
        <v>4550</v>
      </c>
      <c r="C8971" s="2" t="str">
        <f ca="1">IFERROR(__xludf.DUMMYFUNCTION("GOOGLETRANSLATE(A8971,""bn"",""en"")"),"Bank lending increased")</f>
        <v>Bank lending increased</v>
      </c>
      <c r="D8971" s="5"/>
      <c r="E8971" s="5"/>
      <c r="F8971" s="5"/>
      <c r="G8971" s="5"/>
      <c r="H8971" s="5"/>
      <c r="I8971" s="5"/>
      <c r="J8971" s="5"/>
      <c r="K8971" s="5"/>
      <c r="L8971" s="5"/>
      <c r="M8971" s="5"/>
      <c r="N8971" s="5"/>
      <c r="O8971" s="5"/>
      <c r="P8971" s="5"/>
      <c r="Q8971" s="5"/>
      <c r="R8971" s="5"/>
      <c r="S8971" s="5"/>
      <c r="T8971" s="5"/>
      <c r="U8971" s="5"/>
      <c r="V8971" s="5"/>
      <c r="W8971" s="5"/>
      <c r="X8971" s="5"/>
      <c r="Y8971" s="5"/>
      <c r="Z8971" s="5"/>
    </row>
    <row r="8972" spans="1:26" ht="15" x14ac:dyDescent="0.25">
      <c r="A8972" s="4" t="s">
        <v>8970</v>
      </c>
      <c r="B8972" s="4" t="s">
        <v>4550</v>
      </c>
      <c r="C8972" s="2" t="str">
        <f ca="1">IFERROR(__xludf.DUMMYFUNCTION("GOOGLETRANSLATE(A8972,""bn"",""en"")"),"I blogged about my life")</f>
        <v>I blogged about my life</v>
      </c>
      <c r="D8972" s="5"/>
      <c r="E8972" s="5"/>
      <c r="F8972" s="5"/>
      <c r="G8972" s="5"/>
      <c r="H8972" s="5"/>
      <c r="I8972" s="5"/>
      <c r="J8972" s="5"/>
      <c r="K8972" s="5"/>
      <c r="L8972" s="5"/>
      <c r="M8972" s="5"/>
      <c r="N8972" s="5"/>
      <c r="O8972" s="5"/>
      <c r="P8972" s="5"/>
      <c r="Q8972" s="5"/>
      <c r="R8972" s="5"/>
      <c r="S8972" s="5"/>
      <c r="T8972" s="5"/>
      <c r="U8972" s="5"/>
      <c r="V8972" s="5"/>
      <c r="W8972" s="5"/>
      <c r="X8972" s="5"/>
      <c r="Y8972" s="5"/>
      <c r="Z8972" s="5"/>
    </row>
    <row r="8973" spans="1:26" ht="15" x14ac:dyDescent="0.25">
      <c r="A8973" s="4" t="s">
        <v>8971</v>
      </c>
      <c r="B8973" s="4" t="s">
        <v>4550</v>
      </c>
      <c r="C8973" s="2" t="str">
        <f ca="1">IFERROR(__xludf.DUMMYFUNCTION("GOOGLETRANSLATE(A8973,""bn"",""en"")"),"I was using web writer")</f>
        <v>I was using web writer</v>
      </c>
      <c r="D8973" s="5"/>
      <c r="E8973" s="5"/>
      <c r="F8973" s="5"/>
      <c r="G8973" s="5"/>
      <c r="H8973" s="5"/>
      <c r="I8973" s="5"/>
      <c r="J8973" s="5"/>
      <c r="K8973" s="5"/>
      <c r="L8973" s="5"/>
      <c r="M8973" s="5"/>
      <c r="N8973" s="5"/>
      <c r="O8973" s="5"/>
      <c r="P8973" s="5"/>
      <c r="Q8973" s="5"/>
      <c r="R8973" s="5"/>
      <c r="S8973" s="5"/>
      <c r="T8973" s="5"/>
      <c r="U8973" s="5"/>
      <c r="V8973" s="5"/>
      <c r="W8973" s="5"/>
      <c r="X8973" s="5"/>
      <c r="Y8973" s="5"/>
      <c r="Z8973" s="5"/>
    </row>
    <row r="8974" spans="1:26" ht="15" x14ac:dyDescent="0.25">
      <c r="A8974" s="4" t="s">
        <v>8972</v>
      </c>
      <c r="B8974" s="4" t="s">
        <v>4550</v>
      </c>
      <c r="C8974" s="2" t="str">
        <f ca="1">IFERROR(__xludf.DUMMYFUNCTION("GOOGLETRANSLATE(A8974,""bn"",""en"")"),"I used the digital remote")</f>
        <v>I used the digital remote</v>
      </c>
      <c r="D8974" s="5"/>
      <c r="E8974" s="5"/>
      <c r="F8974" s="5"/>
      <c r="G8974" s="5"/>
      <c r="H8974" s="5"/>
      <c r="I8974" s="5"/>
      <c r="J8974" s="5"/>
      <c r="K8974" s="5"/>
      <c r="L8974" s="5"/>
      <c r="M8974" s="5"/>
      <c r="N8974" s="5"/>
      <c r="O8974" s="5"/>
      <c r="P8974" s="5"/>
      <c r="Q8974" s="5"/>
      <c r="R8974" s="5"/>
      <c r="S8974" s="5"/>
      <c r="T8974" s="5"/>
      <c r="U8974" s="5"/>
      <c r="V8974" s="5"/>
      <c r="W8974" s="5"/>
      <c r="X8974" s="5"/>
      <c r="Y8974" s="5"/>
      <c r="Z8974" s="5"/>
    </row>
    <row r="8975" spans="1:26" ht="15" x14ac:dyDescent="0.25">
      <c r="A8975" s="4" t="s">
        <v>8973</v>
      </c>
      <c r="B8975" s="4" t="s">
        <v>4550</v>
      </c>
      <c r="C8975" s="2" t="str">
        <f ca="1">IFERROR(__xludf.DUMMYFUNCTION("GOOGLETRANSLATE(A8975,""bn"",""en"")"),"Economic losses were caused due to torture")</f>
        <v>Economic losses were caused due to torture</v>
      </c>
      <c r="D8975" s="5"/>
      <c r="E8975" s="5"/>
      <c r="F8975" s="5"/>
      <c r="G8975" s="5"/>
      <c r="H8975" s="5"/>
      <c r="I8975" s="5"/>
      <c r="J8975" s="5"/>
      <c r="K8975" s="5"/>
      <c r="L8975" s="5"/>
      <c r="M8975" s="5"/>
      <c r="N8975" s="5"/>
      <c r="O8975" s="5"/>
      <c r="P8975" s="5"/>
      <c r="Q8975" s="5"/>
      <c r="R8975" s="5"/>
      <c r="S8975" s="5"/>
      <c r="T8975" s="5"/>
      <c r="U8975" s="5"/>
      <c r="V8975" s="5"/>
      <c r="W8975" s="5"/>
      <c r="X8975" s="5"/>
      <c r="Y8975" s="5"/>
      <c r="Z8975" s="5"/>
    </row>
    <row r="8976" spans="1:26" ht="15" x14ac:dyDescent="0.25">
      <c r="A8976" s="4" t="s">
        <v>8974</v>
      </c>
      <c r="B8976" s="4" t="s">
        <v>4550</v>
      </c>
      <c r="C8976" s="2" t="str">
        <f ca="1">IFERROR(__xludf.DUMMYFUNCTION("GOOGLETRANSLATE(A8976,""bn"",""en"")"),"The world had two invisible parts")</f>
        <v>The world had two invisible parts</v>
      </c>
      <c r="D8976" s="5"/>
      <c r="E8976" s="5"/>
      <c r="F8976" s="5"/>
      <c r="G8976" s="5"/>
      <c r="H8976" s="5"/>
      <c r="I8976" s="5"/>
      <c r="J8976" s="5"/>
      <c r="K8976" s="5"/>
      <c r="L8976" s="5"/>
      <c r="M8976" s="5"/>
      <c r="N8976" s="5"/>
      <c r="O8976" s="5"/>
      <c r="P8976" s="5"/>
      <c r="Q8976" s="5"/>
      <c r="R8976" s="5"/>
      <c r="S8976" s="5"/>
      <c r="T8976" s="5"/>
      <c r="U8976" s="5"/>
      <c r="V8976" s="5"/>
      <c r="W8976" s="5"/>
      <c r="X8976" s="5"/>
      <c r="Y8976" s="5"/>
      <c r="Z8976" s="5"/>
    </row>
    <row r="8977" spans="1:26" ht="15" x14ac:dyDescent="0.25">
      <c r="A8977" s="4" t="s">
        <v>8975</v>
      </c>
      <c r="B8977" s="4" t="s">
        <v>4550</v>
      </c>
      <c r="C8977" s="2" t="str">
        <f ca="1">IFERROR(__xludf.DUMMYFUNCTION("GOOGLETRANSLATE(A8977,""bn"",""en"")"),"The largest ocean in the world was the Atlantic")</f>
        <v>The largest ocean in the world was the Atlantic</v>
      </c>
      <c r="D8977" s="5"/>
      <c r="E8977" s="5"/>
      <c r="F8977" s="5"/>
      <c r="G8977" s="5"/>
      <c r="H8977" s="5"/>
      <c r="I8977" s="5"/>
      <c r="J8977" s="5"/>
      <c r="K8977" s="5"/>
      <c r="L8977" s="5"/>
      <c r="M8977" s="5"/>
      <c r="N8977" s="5"/>
      <c r="O8977" s="5"/>
      <c r="P8977" s="5"/>
      <c r="Q8977" s="5"/>
      <c r="R8977" s="5"/>
      <c r="S8977" s="5"/>
      <c r="T8977" s="5"/>
      <c r="U8977" s="5"/>
      <c r="V8977" s="5"/>
      <c r="W8977" s="5"/>
      <c r="X8977" s="5"/>
      <c r="Y8977" s="5"/>
      <c r="Z8977" s="5"/>
    </row>
    <row r="8978" spans="1:26" ht="15" x14ac:dyDescent="0.25">
      <c r="A8978" s="4" t="s">
        <v>8976</v>
      </c>
      <c r="B8978" s="4" t="s">
        <v>4550</v>
      </c>
      <c r="C8978" s="2" t="str">
        <f ca="1">IFERROR(__xludf.DUMMYFUNCTION("GOOGLETRANSLATE(A8978,""bn"",""en"")"),"I had to struggle in higher education")</f>
        <v>I had to struggle in higher education</v>
      </c>
      <c r="D8978" s="5"/>
      <c r="E8978" s="5"/>
      <c r="F8978" s="5"/>
      <c r="G8978" s="5"/>
      <c r="H8978" s="5"/>
      <c r="I8978" s="5"/>
      <c r="J8978" s="5"/>
      <c r="K8978" s="5"/>
      <c r="L8978" s="5"/>
      <c r="M8978" s="5"/>
      <c r="N8978" s="5"/>
      <c r="O8978" s="5"/>
      <c r="P8978" s="5"/>
      <c r="Q8978" s="5"/>
      <c r="R8978" s="5"/>
      <c r="S8978" s="5"/>
      <c r="T8978" s="5"/>
      <c r="U8978" s="5"/>
      <c r="V8978" s="5"/>
      <c r="W8978" s="5"/>
      <c r="X8978" s="5"/>
      <c r="Y8978" s="5"/>
      <c r="Z8978" s="5"/>
    </row>
    <row r="8979" spans="1:26" ht="15" x14ac:dyDescent="0.25">
      <c r="A8979" s="4" t="s">
        <v>8977</v>
      </c>
      <c r="B8979" s="4" t="s">
        <v>4550</v>
      </c>
      <c r="C8979" s="2" t="str">
        <f ca="1">IFERROR(__xludf.DUMMYFUNCTION("GOOGLETRANSLATE(A8979,""bn"",""en"")"),"Foreign close investment was reaching the country")</f>
        <v>Foreign close investment was reaching the country</v>
      </c>
      <c r="D8979" s="5"/>
      <c r="E8979" s="5"/>
      <c r="F8979" s="5"/>
      <c r="G8979" s="5"/>
      <c r="H8979" s="5"/>
      <c r="I8979" s="5"/>
      <c r="J8979" s="5"/>
      <c r="K8979" s="5"/>
      <c r="L8979" s="5"/>
      <c r="M8979" s="5"/>
      <c r="N8979" s="5"/>
      <c r="O8979" s="5"/>
      <c r="P8979" s="5"/>
      <c r="Q8979" s="5"/>
      <c r="R8979" s="5"/>
      <c r="S8979" s="5"/>
      <c r="T8979" s="5"/>
      <c r="U8979" s="5"/>
      <c r="V8979" s="5"/>
      <c r="W8979" s="5"/>
      <c r="X8979" s="5"/>
      <c r="Y8979" s="5"/>
      <c r="Z8979" s="5"/>
    </row>
    <row r="8980" spans="1:26" ht="15" x14ac:dyDescent="0.25">
      <c r="A8980" s="4" t="s">
        <v>8978</v>
      </c>
      <c r="B8980" s="4" t="s">
        <v>4550</v>
      </c>
      <c r="C8980" s="2" t="str">
        <f ca="1">IFERROR(__xludf.DUMMYFUNCTION("GOOGLETRANSLATE(A8980,""bn"",""en"")"),"We were lagging behind in the competition in martial arts")</f>
        <v>We were lagging behind in the competition in martial arts</v>
      </c>
      <c r="D8980" s="5"/>
      <c r="E8980" s="5"/>
      <c r="F8980" s="5"/>
      <c r="G8980" s="5"/>
      <c r="H8980" s="5"/>
      <c r="I8980" s="5"/>
      <c r="J8980" s="5"/>
      <c r="K8980" s="5"/>
      <c r="L8980" s="5"/>
      <c r="M8980" s="5"/>
      <c r="N8980" s="5"/>
      <c r="O8980" s="5"/>
      <c r="P8980" s="5"/>
      <c r="Q8980" s="5"/>
      <c r="R8980" s="5"/>
      <c r="S8980" s="5"/>
      <c r="T8980" s="5"/>
      <c r="U8980" s="5"/>
      <c r="V8980" s="5"/>
      <c r="W8980" s="5"/>
      <c r="X8980" s="5"/>
      <c r="Y8980" s="5"/>
      <c r="Z8980" s="5"/>
    </row>
    <row r="8981" spans="1:26" ht="15" x14ac:dyDescent="0.25">
      <c r="A8981" s="4" t="s">
        <v>8979</v>
      </c>
      <c r="B8981" s="4" t="s">
        <v>4550</v>
      </c>
      <c r="C8981" s="2" t="str">
        <f ca="1">IFERROR(__xludf.DUMMYFUNCTION("GOOGLETRANSLATE(A8981,""bn"",""en"")"),"Politics was changing people's lives")</f>
        <v>Politics was changing people's lives</v>
      </c>
      <c r="D8981" s="5"/>
      <c r="E8981" s="5"/>
      <c r="F8981" s="5"/>
      <c r="G8981" s="5"/>
      <c r="H8981" s="5"/>
      <c r="I8981" s="5"/>
      <c r="J8981" s="5"/>
      <c r="K8981" s="5"/>
      <c r="L8981" s="5"/>
      <c r="M8981" s="5"/>
      <c r="N8981" s="5"/>
      <c r="O8981" s="5"/>
      <c r="P8981" s="5"/>
      <c r="Q8981" s="5"/>
      <c r="R8981" s="5"/>
      <c r="S8981" s="5"/>
      <c r="T8981" s="5"/>
      <c r="U8981" s="5"/>
      <c r="V8981" s="5"/>
      <c r="W8981" s="5"/>
      <c r="X8981" s="5"/>
      <c r="Y8981" s="5"/>
      <c r="Z8981" s="5"/>
    </row>
    <row r="8982" spans="1:26" ht="15" x14ac:dyDescent="0.25">
      <c r="A8982" s="4" t="s">
        <v>8980</v>
      </c>
      <c r="B8982" s="4" t="s">
        <v>4550</v>
      </c>
      <c r="C8982" s="2" t="str">
        <f ca="1">IFERROR(__xludf.DUMMYFUNCTION("GOOGLETRANSLATE(A8982,""bn"",""en"")"),"We seek pleasure through entertainment")</f>
        <v>We seek pleasure through entertainment</v>
      </c>
      <c r="D8982" s="5"/>
      <c r="E8982" s="5"/>
      <c r="F8982" s="5"/>
      <c r="G8982" s="5"/>
      <c r="H8982" s="5"/>
      <c r="I8982" s="5"/>
      <c r="J8982" s="5"/>
      <c r="K8982" s="5"/>
      <c r="L8982" s="5"/>
      <c r="M8982" s="5"/>
      <c r="N8982" s="5"/>
      <c r="O8982" s="5"/>
      <c r="P8982" s="5"/>
      <c r="Q8982" s="5"/>
      <c r="R8982" s="5"/>
      <c r="S8982" s="5"/>
      <c r="T8982" s="5"/>
      <c r="U8982" s="5"/>
      <c r="V8982" s="5"/>
      <c r="W8982" s="5"/>
      <c r="X8982" s="5"/>
      <c r="Y8982" s="5"/>
      <c r="Z8982" s="5"/>
    </row>
    <row r="8983" spans="1:26" ht="15" x14ac:dyDescent="0.25">
      <c r="A8983" s="4" t="s">
        <v>8981</v>
      </c>
      <c r="B8983" s="4" t="s">
        <v>4550</v>
      </c>
      <c r="C8983" s="2" t="str">
        <f ca="1">IFERROR(__xludf.DUMMYFUNCTION("GOOGLETRANSLATE(A8983,""bn"",""en"")"),"I am motivated to study")</f>
        <v>I am motivated to study</v>
      </c>
      <c r="D8983" s="5"/>
      <c r="E8983" s="5"/>
      <c r="F8983" s="5"/>
      <c r="G8983" s="5"/>
      <c r="H8983" s="5"/>
      <c r="I8983" s="5"/>
      <c r="J8983" s="5"/>
      <c r="K8983" s="5"/>
      <c r="L8983" s="5"/>
      <c r="M8983" s="5"/>
      <c r="N8983" s="5"/>
      <c r="O8983" s="5"/>
      <c r="P8983" s="5"/>
      <c r="Q8983" s="5"/>
      <c r="R8983" s="5"/>
      <c r="S8983" s="5"/>
      <c r="T8983" s="5"/>
      <c r="U8983" s="5"/>
      <c r="V8983" s="5"/>
      <c r="W8983" s="5"/>
      <c r="X8983" s="5"/>
      <c r="Y8983" s="5"/>
      <c r="Z8983" s="5"/>
    </row>
    <row r="8984" spans="1:26" ht="15" x14ac:dyDescent="0.25">
      <c r="A8984" s="4" t="s">
        <v>8982</v>
      </c>
      <c r="B8984" s="4" t="s">
        <v>4550</v>
      </c>
      <c r="C8984" s="2" t="str">
        <f ca="1">IFERROR(__xludf.DUMMYFUNCTION("GOOGLETRANSLATE(A8984,""bn"",""en"")"),"I used to browse google")</f>
        <v>I used to browse google</v>
      </c>
      <c r="D8984" s="5"/>
      <c r="E8984" s="5"/>
      <c r="F8984" s="5"/>
      <c r="G8984" s="5"/>
      <c r="H8984" s="5"/>
      <c r="I8984" s="5"/>
      <c r="J8984" s="5"/>
      <c r="K8984" s="5"/>
      <c r="L8984" s="5"/>
      <c r="M8984" s="5"/>
      <c r="N8984" s="5"/>
      <c r="O8984" s="5"/>
      <c r="P8984" s="5"/>
      <c r="Q8984" s="5"/>
      <c r="R8984" s="5"/>
      <c r="S8984" s="5"/>
      <c r="T8984" s="5"/>
      <c r="U8984" s="5"/>
      <c r="V8984" s="5"/>
      <c r="W8984" s="5"/>
      <c r="X8984" s="5"/>
      <c r="Y8984" s="5"/>
      <c r="Z8984" s="5"/>
    </row>
    <row r="8985" spans="1:26" ht="15" x14ac:dyDescent="0.25">
      <c r="A8985" s="4" t="s">
        <v>8983</v>
      </c>
      <c r="B8985" s="4" t="s">
        <v>4550</v>
      </c>
      <c r="C8985" s="2" t="str">
        <f ca="1">IFERROR(__xludf.DUMMYFUNCTION("GOOGLETRANSLATE(A8985,""bn"",""en"")"),"Students needed good libraries")</f>
        <v>Students needed good libraries</v>
      </c>
      <c r="D8985" s="5"/>
      <c r="E8985" s="5"/>
      <c r="F8985" s="5"/>
      <c r="G8985" s="5"/>
      <c r="H8985" s="5"/>
      <c r="I8985" s="5"/>
      <c r="J8985" s="5"/>
      <c r="K8985" s="5"/>
      <c r="L8985" s="5"/>
      <c r="M8985" s="5"/>
      <c r="N8985" s="5"/>
      <c r="O8985" s="5"/>
      <c r="P8985" s="5"/>
      <c r="Q8985" s="5"/>
      <c r="R8985" s="5"/>
      <c r="S8985" s="5"/>
      <c r="T8985" s="5"/>
      <c r="U8985" s="5"/>
      <c r="V8985" s="5"/>
      <c r="W8985" s="5"/>
      <c r="X8985" s="5"/>
      <c r="Y8985" s="5"/>
      <c r="Z8985" s="5"/>
    </row>
    <row r="8986" spans="1:26" ht="15" x14ac:dyDescent="0.25">
      <c r="A8986" s="4" t="s">
        <v>8984</v>
      </c>
      <c r="B8986" s="4" t="s">
        <v>4550</v>
      </c>
      <c r="C8986" s="2" t="str">
        <f ca="1">IFERROR(__xludf.DUMMYFUNCTION("GOOGLETRANSLATE(A8986,""bn"",""en"")"),"I was depositing my money in the bank")</f>
        <v>I was depositing my money in the bank</v>
      </c>
      <c r="D8986" s="5"/>
      <c r="E8986" s="5"/>
      <c r="F8986" s="5"/>
      <c r="G8986" s="5"/>
      <c r="H8986" s="5"/>
      <c r="I8986" s="5"/>
      <c r="J8986" s="5"/>
      <c r="K8986" s="5"/>
      <c r="L8986" s="5"/>
      <c r="M8986" s="5"/>
      <c r="N8986" s="5"/>
      <c r="O8986" s="5"/>
      <c r="P8986" s="5"/>
      <c r="Q8986" s="5"/>
      <c r="R8986" s="5"/>
      <c r="S8986" s="5"/>
      <c r="T8986" s="5"/>
      <c r="U8986" s="5"/>
      <c r="V8986" s="5"/>
      <c r="W8986" s="5"/>
      <c r="X8986" s="5"/>
      <c r="Y8986" s="5"/>
      <c r="Z8986" s="5"/>
    </row>
    <row r="8987" spans="1:26" ht="15" x14ac:dyDescent="0.25">
      <c r="A8987" s="4" t="s">
        <v>8985</v>
      </c>
      <c r="B8987" s="4" t="s">
        <v>4550</v>
      </c>
      <c r="C8987" s="2" t="str">
        <f ca="1">IFERROR(__xludf.DUMMYFUNCTION("GOOGLETRANSLATE(A8987,""bn"",""en"")"),"I used to read on digital portal then")</f>
        <v>I used to read on digital portal then</v>
      </c>
      <c r="D8987" s="5"/>
      <c r="E8987" s="5"/>
      <c r="F8987" s="5"/>
      <c r="G8987" s="5"/>
      <c r="H8987" s="5"/>
      <c r="I8987" s="5"/>
      <c r="J8987" s="5"/>
      <c r="K8987" s="5"/>
      <c r="L8987" s="5"/>
      <c r="M8987" s="5"/>
      <c r="N8987" s="5"/>
      <c r="O8987" s="5"/>
      <c r="P8987" s="5"/>
      <c r="Q8987" s="5"/>
      <c r="R8987" s="5"/>
      <c r="S8987" s="5"/>
      <c r="T8987" s="5"/>
      <c r="U8987" s="5"/>
      <c r="V8987" s="5"/>
      <c r="W8987" s="5"/>
      <c r="X8987" s="5"/>
      <c r="Y8987" s="5"/>
      <c r="Z8987" s="5"/>
    </row>
    <row r="8988" spans="1:26" ht="15" x14ac:dyDescent="0.25">
      <c r="A8988" s="4" t="s">
        <v>8986</v>
      </c>
      <c r="B8988" s="4" t="s">
        <v>4550</v>
      </c>
      <c r="C8988" s="2" t="str">
        <f ca="1">IFERROR(__xludf.DUMMYFUNCTION("GOOGLETRANSLATE(A8988,""bn"",""en"")"),"I was building a new website")</f>
        <v>I was building a new website</v>
      </c>
      <c r="D8988" s="5"/>
      <c r="E8988" s="5"/>
      <c r="F8988" s="5"/>
      <c r="G8988" s="5"/>
      <c r="H8988" s="5"/>
      <c r="I8988" s="5"/>
      <c r="J8988" s="5"/>
      <c r="K8988" s="5"/>
      <c r="L8988" s="5"/>
      <c r="M8988" s="5"/>
      <c r="N8988" s="5"/>
      <c r="O8988" s="5"/>
      <c r="P8988" s="5"/>
      <c r="Q8988" s="5"/>
      <c r="R8988" s="5"/>
      <c r="S8988" s="5"/>
      <c r="T8988" s="5"/>
      <c r="U8988" s="5"/>
      <c r="V8988" s="5"/>
      <c r="W8988" s="5"/>
      <c r="X8988" s="5"/>
      <c r="Y8988" s="5"/>
      <c r="Z8988" s="5"/>
    </row>
    <row r="8989" spans="1:26" ht="15" x14ac:dyDescent="0.25">
      <c r="A8989" s="4" t="s">
        <v>8987</v>
      </c>
      <c r="B8989" s="4" t="s">
        <v>4550</v>
      </c>
      <c r="C8989" s="2" t="str">
        <f ca="1">IFERROR(__xludf.DUMMYFUNCTION("GOOGLETRANSLATE(A8989,""bn"",""en"")"),"The blue waves of the sea spread softness")</f>
        <v>The blue waves of the sea spread softness</v>
      </c>
      <c r="D8989" s="5"/>
      <c r="E8989" s="5"/>
      <c r="F8989" s="5"/>
      <c r="G8989" s="5"/>
      <c r="H8989" s="5"/>
      <c r="I8989" s="5"/>
      <c r="J8989" s="5"/>
      <c r="K8989" s="5"/>
      <c r="L8989" s="5"/>
      <c r="M8989" s="5"/>
      <c r="N8989" s="5"/>
      <c r="O8989" s="5"/>
      <c r="P8989" s="5"/>
      <c r="Q8989" s="5"/>
      <c r="R8989" s="5"/>
      <c r="S8989" s="5"/>
      <c r="T8989" s="5"/>
      <c r="U8989" s="5"/>
      <c r="V8989" s="5"/>
      <c r="W8989" s="5"/>
      <c r="X8989" s="5"/>
      <c r="Y8989" s="5"/>
      <c r="Z8989" s="5"/>
    </row>
    <row r="8990" spans="1:26" ht="15" x14ac:dyDescent="0.25">
      <c r="A8990" s="4" t="s">
        <v>8988</v>
      </c>
      <c r="B8990" s="4" t="s">
        <v>4550</v>
      </c>
      <c r="C8990" s="2" t="str">
        <f ca="1">IFERROR(__xludf.DUMMYFUNCTION("GOOGLETRANSLATE(A8990,""bn"",""en"")"),"The film was a box office success")</f>
        <v>The film was a box office success</v>
      </c>
      <c r="D8990" s="5"/>
      <c r="E8990" s="5"/>
      <c r="F8990" s="5"/>
      <c r="G8990" s="5"/>
      <c r="H8990" s="5"/>
      <c r="I8990" s="5"/>
      <c r="J8990" s="5"/>
      <c r="K8990" s="5"/>
      <c r="L8990" s="5"/>
      <c r="M8990" s="5"/>
      <c r="N8990" s="5"/>
      <c r="O8990" s="5"/>
      <c r="P8990" s="5"/>
      <c r="Q8990" s="5"/>
      <c r="R8990" s="5"/>
      <c r="S8990" s="5"/>
      <c r="T8990" s="5"/>
      <c r="U8990" s="5"/>
      <c r="V8990" s="5"/>
      <c r="W8990" s="5"/>
      <c r="X8990" s="5"/>
      <c r="Y8990" s="5"/>
      <c r="Z8990" s="5"/>
    </row>
    <row r="8991" spans="1:26" ht="15" x14ac:dyDescent="0.25">
      <c r="A8991" s="4" t="s">
        <v>8989</v>
      </c>
      <c r="B8991" s="4" t="s">
        <v>4550</v>
      </c>
      <c r="C8991" s="2" t="str">
        <f ca="1">IFERROR(__xludf.DUMMYFUNCTION("GOOGLETRANSLATE(A8991,""bn"",""en"")"),"He was traveling on water then")</f>
        <v>He was traveling on water then</v>
      </c>
      <c r="D8991" s="5"/>
      <c r="E8991" s="5"/>
      <c r="F8991" s="5"/>
      <c r="G8991" s="5"/>
      <c r="H8991" s="5"/>
      <c r="I8991" s="5"/>
      <c r="J8991" s="5"/>
      <c r="K8991" s="5"/>
      <c r="L8991" s="5"/>
      <c r="M8991" s="5"/>
      <c r="N8991" s="5"/>
      <c r="O8991" s="5"/>
      <c r="P8991" s="5"/>
      <c r="Q8991" s="5"/>
      <c r="R8991" s="5"/>
      <c r="S8991" s="5"/>
      <c r="T8991" s="5"/>
      <c r="U8991" s="5"/>
      <c r="V8991" s="5"/>
      <c r="W8991" s="5"/>
      <c r="X8991" s="5"/>
      <c r="Y8991" s="5"/>
      <c r="Z8991" s="5"/>
    </row>
    <row r="8992" spans="1:26" ht="15" x14ac:dyDescent="0.25">
      <c r="A8992" s="4" t="s">
        <v>8990</v>
      </c>
      <c r="B8992" s="4" t="s">
        <v>4550</v>
      </c>
      <c r="C8992" s="2" t="str">
        <f ca="1">IFERROR(__xludf.DUMMYFUNCTION("GOOGLETRANSLATE(A8992,""bn"",""en"")"),"Hard work paid off")</f>
        <v>Hard work paid off</v>
      </c>
      <c r="D8992" s="5"/>
      <c r="E8992" s="5"/>
      <c r="F8992" s="5"/>
      <c r="G8992" s="5"/>
      <c r="H8992" s="5"/>
      <c r="I8992" s="5"/>
      <c r="J8992" s="5"/>
      <c r="K8992" s="5"/>
      <c r="L8992" s="5"/>
      <c r="M8992" s="5"/>
      <c r="N8992" s="5"/>
      <c r="O8992" s="5"/>
      <c r="P8992" s="5"/>
      <c r="Q8992" s="5"/>
      <c r="R8992" s="5"/>
      <c r="S8992" s="5"/>
      <c r="T8992" s="5"/>
      <c r="U8992" s="5"/>
      <c r="V8992" s="5"/>
      <c r="W8992" s="5"/>
      <c r="X8992" s="5"/>
      <c r="Y8992" s="5"/>
      <c r="Z8992" s="5"/>
    </row>
    <row r="8993" spans="1:26" ht="15" x14ac:dyDescent="0.25">
      <c r="A8993" s="4" t="s">
        <v>8991</v>
      </c>
      <c r="B8993" s="4" t="s">
        <v>4550</v>
      </c>
      <c r="C8993" s="2" t="str">
        <f ca="1">IFERROR(__xludf.DUMMYFUNCTION("GOOGLETRANSLATE(A8993,""bn"",""en"")"),"I was getting good amount of money")</f>
        <v>I was getting good amount of money</v>
      </c>
      <c r="D8993" s="5"/>
      <c r="E8993" s="5"/>
      <c r="F8993" s="5"/>
      <c r="G8993" s="5"/>
      <c r="H8993" s="5"/>
      <c r="I8993" s="5"/>
      <c r="J8993" s="5"/>
      <c r="K8993" s="5"/>
      <c r="L8993" s="5"/>
      <c r="M8993" s="5"/>
      <c r="N8993" s="5"/>
      <c r="O8993" s="5"/>
      <c r="P8993" s="5"/>
      <c r="Q8993" s="5"/>
      <c r="R8993" s="5"/>
      <c r="S8993" s="5"/>
      <c r="T8993" s="5"/>
      <c r="U8993" s="5"/>
      <c r="V8993" s="5"/>
      <c r="W8993" s="5"/>
      <c r="X8993" s="5"/>
      <c r="Y8993" s="5"/>
      <c r="Z8993" s="5"/>
    </row>
    <row r="8994" spans="1:26" ht="15" x14ac:dyDescent="0.25">
      <c r="A8994" s="4" t="s">
        <v>8992</v>
      </c>
      <c r="B8994" s="4" t="s">
        <v>4550</v>
      </c>
      <c r="C8994" s="2" t="str">
        <f ca="1">IFERROR(__xludf.DUMMYFUNCTION("GOOGLETRANSLATE(A8994,""bn"",""en"")"),"I wanted to run online banking in the bank")</f>
        <v>I wanted to run online banking in the bank</v>
      </c>
      <c r="D8994" s="5"/>
      <c r="E8994" s="5"/>
      <c r="F8994" s="5"/>
      <c r="G8994" s="5"/>
      <c r="H8994" s="5"/>
      <c r="I8994" s="5"/>
      <c r="J8994" s="5"/>
      <c r="K8994" s="5"/>
      <c r="L8994" s="5"/>
      <c r="M8994" s="5"/>
      <c r="N8994" s="5"/>
      <c r="O8994" s="5"/>
      <c r="P8994" s="5"/>
      <c r="Q8994" s="5"/>
      <c r="R8994" s="5"/>
      <c r="S8994" s="5"/>
      <c r="T8994" s="5"/>
      <c r="U8994" s="5"/>
      <c r="V8994" s="5"/>
      <c r="W8994" s="5"/>
      <c r="X8994" s="5"/>
      <c r="Y8994" s="5"/>
      <c r="Z8994" s="5"/>
    </row>
    <row r="8995" spans="1:26" ht="15" x14ac:dyDescent="0.25">
      <c r="A8995" s="4" t="s">
        <v>8993</v>
      </c>
      <c r="B8995" s="4" t="s">
        <v>4550</v>
      </c>
      <c r="C8995" s="2" t="str">
        <f ca="1">IFERROR(__xludf.DUMMYFUNCTION("GOOGLETRANSLATE(A8995,""bn"",""en"")"),"Great heritage was felt")</f>
        <v>Great heritage was felt</v>
      </c>
      <c r="D8995" s="5"/>
      <c r="E8995" s="5"/>
      <c r="F8995" s="5"/>
      <c r="G8995" s="5"/>
      <c r="H8995" s="5"/>
      <c r="I8995" s="5"/>
      <c r="J8995" s="5"/>
      <c r="K8995" s="5"/>
      <c r="L8995" s="5"/>
      <c r="M8995" s="5"/>
      <c r="N8995" s="5"/>
      <c r="O8995" s="5"/>
      <c r="P8995" s="5"/>
      <c r="Q8995" s="5"/>
      <c r="R8995" s="5"/>
      <c r="S8995" s="5"/>
      <c r="T8995" s="5"/>
      <c r="U8995" s="5"/>
      <c r="V8995" s="5"/>
      <c r="W8995" s="5"/>
      <c r="X8995" s="5"/>
      <c r="Y8995" s="5"/>
      <c r="Z8995" s="5"/>
    </row>
    <row r="8996" spans="1:26" ht="15" x14ac:dyDescent="0.25">
      <c r="A8996" s="4" t="s">
        <v>8994</v>
      </c>
      <c r="B8996" s="4" t="s">
        <v>4550</v>
      </c>
      <c r="C8996" s="2" t="str">
        <f ca="1">IFERROR(__xludf.DUMMYFUNCTION("GOOGLETRANSLATE(A8996,""bn"",""en"")"),"History was discussed in the humanities section")</f>
        <v>History was discussed in the humanities section</v>
      </c>
      <c r="D8996" s="5"/>
      <c r="E8996" s="5"/>
      <c r="F8996" s="5"/>
      <c r="G8996" s="5"/>
      <c r="H8996" s="5"/>
      <c r="I8996" s="5"/>
      <c r="J8996" s="5"/>
      <c r="K8996" s="5"/>
      <c r="L8996" s="5"/>
      <c r="M8996" s="5"/>
      <c r="N8996" s="5"/>
      <c r="O8996" s="5"/>
      <c r="P8996" s="5"/>
      <c r="Q8996" s="5"/>
      <c r="R8996" s="5"/>
      <c r="S8996" s="5"/>
      <c r="T8996" s="5"/>
      <c r="U8996" s="5"/>
      <c r="V8996" s="5"/>
      <c r="W8996" s="5"/>
      <c r="X8996" s="5"/>
      <c r="Y8996" s="5"/>
      <c r="Z8996" s="5"/>
    </row>
    <row r="8997" spans="1:26" ht="15" x14ac:dyDescent="0.25">
      <c r="A8997" s="4" t="s">
        <v>8995</v>
      </c>
      <c r="B8997" s="4" t="s">
        <v>4550</v>
      </c>
      <c r="C8997" s="2" t="str">
        <f ca="1">IFERROR(__xludf.DUMMYFUNCTION("GOOGLETRANSLATE(A8997,""bn"",""en"")"),"The characters seemed very mysterious")</f>
        <v>The characters seemed very mysterious</v>
      </c>
      <c r="D8997" s="5"/>
      <c r="E8997" s="5"/>
      <c r="F8997" s="5"/>
      <c r="G8997" s="5"/>
      <c r="H8997" s="5"/>
      <c r="I8997" s="5"/>
      <c r="J8997" s="5"/>
      <c r="K8997" s="5"/>
      <c r="L8997" s="5"/>
      <c r="M8997" s="5"/>
      <c r="N8997" s="5"/>
      <c r="O8997" s="5"/>
      <c r="P8997" s="5"/>
      <c r="Q8997" s="5"/>
      <c r="R8997" s="5"/>
      <c r="S8997" s="5"/>
      <c r="T8997" s="5"/>
      <c r="U8997" s="5"/>
      <c r="V8997" s="5"/>
      <c r="W8997" s="5"/>
      <c r="X8997" s="5"/>
      <c r="Y8997" s="5"/>
      <c r="Z8997" s="5"/>
    </row>
    <row r="8998" spans="1:26" ht="15" x14ac:dyDescent="0.25">
      <c r="A8998" s="4" t="s">
        <v>8996</v>
      </c>
      <c r="B8998" s="4" t="s">
        <v>4550</v>
      </c>
      <c r="C8998" s="2" t="str">
        <f ca="1">IFERROR(__xludf.DUMMYFUNCTION("GOOGLETRANSLATE(A8998,""bn"",""en"")"),"I gave you a lot of money")</f>
        <v>I gave you a lot of money</v>
      </c>
      <c r="D8998" s="5"/>
      <c r="E8998" s="5"/>
      <c r="F8998" s="5"/>
      <c r="G8998" s="5"/>
      <c r="H8998" s="5"/>
      <c r="I8998" s="5"/>
      <c r="J8998" s="5"/>
      <c r="K8998" s="5"/>
      <c r="L8998" s="5"/>
      <c r="M8998" s="5"/>
      <c r="N8998" s="5"/>
      <c r="O8998" s="5"/>
      <c r="P8998" s="5"/>
      <c r="Q8998" s="5"/>
      <c r="R8998" s="5"/>
      <c r="S8998" s="5"/>
      <c r="T8998" s="5"/>
      <c r="U8998" s="5"/>
      <c r="V8998" s="5"/>
      <c r="W8998" s="5"/>
      <c r="X8998" s="5"/>
      <c r="Y8998" s="5"/>
      <c r="Z8998" s="5"/>
    </row>
    <row r="8999" spans="1:26" ht="15" x14ac:dyDescent="0.25">
      <c r="A8999" s="4" t="s">
        <v>8997</v>
      </c>
      <c r="B8999" s="4" t="s">
        <v>4550</v>
      </c>
      <c r="C8999" s="2" t="str">
        <f ca="1">IFERROR(__xludf.DUMMYFUNCTION("GOOGLETRANSLATE(A8999,""bn"",""en"")"),"Financial prosperity through technology")</f>
        <v>Financial prosperity through technology</v>
      </c>
      <c r="D8999" s="5"/>
      <c r="E8999" s="5"/>
      <c r="F8999" s="5"/>
      <c r="G8999" s="5"/>
      <c r="H8999" s="5"/>
      <c r="I8999" s="5"/>
      <c r="J8999" s="5"/>
      <c r="K8999" s="5"/>
      <c r="L8999" s="5"/>
      <c r="M8999" s="5"/>
      <c r="N8999" s="5"/>
      <c r="O8999" s="5"/>
      <c r="P8999" s="5"/>
      <c r="Q8999" s="5"/>
      <c r="R8999" s="5"/>
      <c r="S8999" s="5"/>
      <c r="T8999" s="5"/>
      <c r="U8999" s="5"/>
      <c r="V8999" s="5"/>
      <c r="W8999" s="5"/>
      <c r="X8999" s="5"/>
      <c r="Y8999" s="5"/>
      <c r="Z8999" s="5"/>
    </row>
    <row r="9000" spans="1:26" ht="15" x14ac:dyDescent="0.25">
      <c r="A9000" s="4" t="s">
        <v>8998</v>
      </c>
      <c r="B9000" s="4" t="s">
        <v>4550</v>
      </c>
      <c r="C9000" s="2" t="str">
        <f ca="1">IFERROR(__xludf.DUMMYFUNCTION("GOOGLETRANSLATE(A9000,""bn"",""en"")"),"Financial targets were increasing in the bank")</f>
        <v>Financial targets were increasing in the bank</v>
      </c>
      <c r="D9000" s="5"/>
      <c r="E9000" s="5"/>
      <c r="F9000" s="5"/>
      <c r="G9000" s="5"/>
      <c r="H9000" s="5"/>
      <c r="I9000" s="5"/>
      <c r="J9000" s="5"/>
      <c r="K9000" s="5"/>
      <c r="L9000" s="5"/>
      <c r="M9000" s="5"/>
      <c r="N9000" s="5"/>
      <c r="O9000" s="5"/>
      <c r="P9000" s="5"/>
      <c r="Q9000" s="5"/>
      <c r="R9000" s="5"/>
      <c r="S9000" s="5"/>
      <c r="T9000" s="5"/>
      <c r="U9000" s="5"/>
      <c r="V9000" s="5"/>
      <c r="W9000" s="5"/>
      <c r="X9000" s="5"/>
      <c r="Y9000" s="5"/>
      <c r="Z9000" s="5"/>
    </row>
    <row r="9001" spans="1:26" ht="15" x14ac:dyDescent="0.25">
      <c r="A9001" s="4" t="s">
        <v>8999</v>
      </c>
      <c r="B9001" s="4" t="s">
        <v>4550</v>
      </c>
      <c r="C9001" s="2" t="str">
        <f ca="1">IFERROR(__xludf.DUMMYFUNCTION("GOOGLETRANSLATE(A9001,""bn"",""en"")"),"The teacher was asking the students questions in the class")</f>
        <v>The teacher was asking the students questions in the class</v>
      </c>
      <c r="D9001" s="5"/>
      <c r="E9001" s="5"/>
      <c r="F9001" s="5"/>
      <c r="G9001" s="5"/>
      <c r="H9001" s="5"/>
      <c r="I9001" s="5"/>
      <c r="J9001" s="5"/>
      <c r="K9001" s="5"/>
      <c r="L9001" s="5"/>
      <c r="M9001" s="5"/>
      <c r="N9001" s="5"/>
      <c r="O9001" s="5"/>
      <c r="P9001" s="5"/>
      <c r="Q9001" s="5"/>
      <c r="R9001" s="5"/>
      <c r="S9001" s="5"/>
      <c r="T9001" s="5"/>
      <c r="U9001" s="5"/>
      <c r="V9001" s="5"/>
      <c r="W9001" s="5"/>
      <c r="X9001" s="5"/>
      <c r="Y9001" s="5"/>
      <c r="Z9001" s="5"/>
    </row>
    <row r="9002" spans="1:26" ht="15" x14ac:dyDescent="0.25">
      <c r="A9002" s="4" t="s">
        <v>9000</v>
      </c>
      <c r="B9002" s="4" t="s">
        <v>4550</v>
      </c>
      <c r="C9002" s="2" t="str">
        <f ca="1">IFERROR(__xludf.DUMMYFUNCTION("GOOGLETRANSLATE(A9002,""bn"",""en"")"),"He was going to watch a hockey match at the stadium")</f>
        <v>He was going to watch a hockey match at the stadium</v>
      </c>
      <c r="D9002" s="5"/>
      <c r="E9002" s="5"/>
      <c r="F9002" s="5"/>
      <c r="G9002" s="5"/>
      <c r="H9002" s="5"/>
      <c r="I9002" s="5"/>
      <c r="J9002" s="5"/>
      <c r="K9002" s="5"/>
      <c r="L9002" s="5"/>
      <c r="M9002" s="5"/>
      <c r="N9002" s="5"/>
      <c r="O9002" s="5"/>
      <c r="P9002" s="5"/>
      <c r="Q9002" s="5"/>
      <c r="R9002" s="5"/>
      <c r="S9002" s="5"/>
      <c r="T9002" s="5"/>
      <c r="U9002" s="5"/>
      <c r="V9002" s="5"/>
      <c r="W9002" s="5"/>
      <c r="X9002" s="5"/>
      <c r="Y9002" s="5"/>
      <c r="Z9002" s="5"/>
    </row>
    <row r="9003" spans="1:26" ht="15" x14ac:dyDescent="0.25">
      <c r="A9003" s="4" t="s">
        <v>9001</v>
      </c>
      <c r="B9003" s="4" t="s">
        <v>4550</v>
      </c>
      <c r="C9003" s="2" t="str">
        <f ca="1">IFERROR(__xludf.DUMMYFUNCTION("GOOGLETRANSLATE(A9003,""bn"",""en"")"),"A remake of the movie was made")</f>
        <v>A remake of the movie was made</v>
      </c>
      <c r="D9003" s="5"/>
      <c r="E9003" s="5"/>
      <c r="F9003" s="5"/>
      <c r="G9003" s="5"/>
      <c r="H9003" s="5"/>
      <c r="I9003" s="5"/>
      <c r="J9003" s="5"/>
      <c r="K9003" s="5"/>
      <c r="L9003" s="5"/>
      <c r="M9003" s="5"/>
      <c r="N9003" s="5"/>
      <c r="O9003" s="5"/>
      <c r="P9003" s="5"/>
      <c r="Q9003" s="5"/>
      <c r="R9003" s="5"/>
      <c r="S9003" s="5"/>
      <c r="T9003" s="5"/>
      <c r="U9003" s="5"/>
      <c r="V9003" s="5"/>
      <c r="W9003" s="5"/>
      <c r="X9003" s="5"/>
      <c r="Y9003" s="5"/>
      <c r="Z9003" s="5"/>
    </row>
    <row r="9004" spans="1:26" ht="15" x14ac:dyDescent="0.25">
      <c r="A9004" s="4" t="s">
        <v>9002</v>
      </c>
      <c r="B9004" s="4" t="s">
        <v>4550</v>
      </c>
      <c r="C9004" s="2" t="str">
        <f ca="1">IFERROR(__xludf.DUMMYFUNCTION("GOOGLETRANSLATE(A9004,""bn"",""en"")"),"We traveled to Java, Indonesia")</f>
        <v>We traveled to Java, Indonesia</v>
      </c>
      <c r="D9004" s="5"/>
      <c r="E9004" s="5"/>
      <c r="F9004" s="5"/>
      <c r="G9004" s="5"/>
      <c r="H9004" s="5"/>
      <c r="I9004" s="5"/>
      <c r="J9004" s="5"/>
      <c r="K9004" s="5"/>
      <c r="L9004" s="5"/>
      <c r="M9004" s="5"/>
      <c r="N9004" s="5"/>
      <c r="O9004" s="5"/>
      <c r="P9004" s="5"/>
      <c r="Q9004" s="5"/>
      <c r="R9004" s="5"/>
      <c r="S9004" s="5"/>
      <c r="T9004" s="5"/>
      <c r="U9004" s="5"/>
      <c r="V9004" s="5"/>
      <c r="W9004" s="5"/>
      <c r="X9004" s="5"/>
      <c r="Y9004" s="5"/>
      <c r="Z9004" s="5"/>
    </row>
    <row r="9005" spans="1:26" ht="15" x14ac:dyDescent="0.25">
      <c r="A9005" s="4" t="s">
        <v>9003</v>
      </c>
      <c r="B9005" s="4" t="s">
        <v>4550</v>
      </c>
      <c r="C9005" s="2" t="str">
        <f ca="1">IFERROR(__xludf.DUMMYFUNCTION("GOOGLETRANSLATE(A9005,""bn"",""en"")"),"Scenes are projected")</f>
        <v>Scenes are projected</v>
      </c>
      <c r="D9005" s="5"/>
      <c r="E9005" s="5"/>
      <c r="F9005" s="5"/>
      <c r="G9005" s="5"/>
      <c r="H9005" s="5"/>
      <c r="I9005" s="5"/>
      <c r="J9005" s="5"/>
      <c r="K9005" s="5"/>
      <c r="L9005" s="5"/>
      <c r="M9005" s="5"/>
      <c r="N9005" s="5"/>
      <c r="O9005" s="5"/>
      <c r="P9005" s="5"/>
      <c r="Q9005" s="5"/>
      <c r="R9005" s="5"/>
      <c r="S9005" s="5"/>
      <c r="T9005" s="5"/>
      <c r="U9005" s="5"/>
      <c r="V9005" s="5"/>
      <c r="W9005" s="5"/>
      <c r="X9005" s="5"/>
      <c r="Y9005" s="5"/>
      <c r="Z9005" s="5"/>
    </row>
    <row r="9006" spans="1:26" ht="15" x14ac:dyDescent="0.25">
      <c r="A9006" s="4" t="s">
        <v>9004</v>
      </c>
      <c r="B9006" s="4" t="s">
        <v>4550</v>
      </c>
      <c r="C9006" s="2" t="str">
        <f ca="1">IFERROR(__xludf.DUMMYFUNCTION("GOOGLETRANSLATE(A9006,""bn"",""en"")"),"Prepared the field for hockey")</f>
        <v>Prepared the field for hockey</v>
      </c>
      <c r="D9006" s="5"/>
      <c r="E9006" s="5"/>
      <c r="F9006" s="5"/>
      <c r="G9006" s="5"/>
      <c r="H9006" s="5"/>
      <c r="I9006" s="5"/>
      <c r="J9006" s="5"/>
      <c r="K9006" s="5"/>
      <c r="L9006" s="5"/>
      <c r="M9006" s="5"/>
      <c r="N9006" s="5"/>
      <c r="O9006" s="5"/>
      <c r="P9006" s="5"/>
      <c r="Q9006" s="5"/>
      <c r="R9006" s="5"/>
      <c r="S9006" s="5"/>
      <c r="T9006" s="5"/>
      <c r="U9006" s="5"/>
      <c r="V9006" s="5"/>
      <c r="W9006" s="5"/>
      <c r="X9006" s="5"/>
      <c r="Y9006" s="5"/>
      <c r="Z9006" s="5"/>
    </row>
    <row r="9007" spans="1:26" ht="15" x14ac:dyDescent="0.25">
      <c r="A9007" s="4" t="s">
        <v>9005</v>
      </c>
      <c r="B9007" s="4" t="s">
        <v>4550</v>
      </c>
      <c r="C9007" s="2" t="str">
        <f ca="1">IFERROR(__xludf.DUMMYFUNCTION("GOOGLETRANSLATE(A9007,""bn"",""en"")"),"I saved the file in Google Drive")</f>
        <v>I saved the file in Google Drive</v>
      </c>
      <c r="D9007" s="5"/>
      <c r="E9007" s="5"/>
      <c r="F9007" s="5"/>
      <c r="G9007" s="5"/>
      <c r="H9007" s="5"/>
      <c r="I9007" s="5"/>
      <c r="J9007" s="5"/>
      <c r="K9007" s="5"/>
      <c r="L9007" s="5"/>
      <c r="M9007" s="5"/>
      <c r="N9007" s="5"/>
      <c r="O9007" s="5"/>
      <c r="P9007" s="5"/>
      <c r="Q9007" s="5"/>
      <c r="R9007" s="5"/>
      <c r="S9007" s="5"/>
      <c r="T9007" s="5"/>
      <c r="U9007" s="5"/>
      <c r="V9007" s="5"/>
      <c r="W9007" s="5"/>
      <c r="X9007" s="5"/>
      <c r="Y9007" s="5"/>
      <c r="Z9007" s="5"/>
    </row>
    <row r="9008" spans="1:26" ht="15" x14ac:dyDescent="0.25">
      <c r="A9008" s="4" t="s">
        <v>9006</v>
      </c>
      <c r="B9008" s="4" t="s">
        <v>4550</v>
      </c>
      <c r="C9008" s="2" t="str">
        <f ca="1">IFERROR(__xludf.DUMMYFUNCTION("GOOGLETRANSLATE(A9008,""bn"",""en"")"),"Education was the means of raising standards")</f>
        <v>Education was the means of raising standards</v>
      </c>
      <c r="D9008" s="5"/>
      <c r="E9008" s="5"/>
      <c r="F9008" s="5"/>
      <c r="G9008" s="5"/>
      <c r="H9008" s="5"/>
      <c r="I9008" s="5"/>
      <c r="J9008" s="5"/>
      <c r="K9008" s="5"/>
      <c r="L9008" s="5"/>
      <c r="M9008" s="5"/>
      <c r="N9008" s="5"/>
      <c r="O9008" s="5"/>
      <c r="P9008" s="5"/>
      <c r="Q9008" s="5"/>
      <c r="R9008" s="5"/>
      <c r="S9008" s="5"/>
      <c r="T9008" s="5"/>
      <c r="U9008" s="5"/>
      <c r="V9008" s="5"/>
      <c r="W9008" s="5"/>
      <c r="X9008" s="5"/>
      <c r="Y9008" s="5"/>
      <c r="Z9008" s="5"/>
    </row>
    <row r="9009" spans="1:26" ht="15" x14ac:dyDescent="0.25">
      <c r="A9009" s="4" t="s">
        <v>9007</v>
      </c>
      <c r="B9009" s="4" t="s">
        <v>4550</v>
      </c>
      <c r="C9009" s="2" t="str">
        <f ca="1">IFERROR(__xludf.DUMMYFUNCTION("GOOGLETRANSLATE(A9009,""bn"",""en"")"),"The football match was going on for Abhani team")</f>
        <v>The football match was going on for Abhani team</v>
      </c>
      <c r="D9009" s="5"/>
      <c r="E9009" s="5"/>
      <c r="F9009" s="5"/>
      <c r="G9009" s="5"/>
      <c r="H9009" s="5"/>
      <c r="I9009" s="5"/>
      <c r="J9009" s="5"/>
      <c r="K9009" s="5"/>
      <c r="L9009" s="5"/>
      <c r="M9009" s="5"/>
      <c r="N9009" s="5"/>
      <c r="O9009" s="5"/>
      <c r="P9009" s="5"/>
      <c r="Q9009" s="5"/>
      <c r="R9009" s="5"/>
      <c r="S9009" s="5"/>
      <c r="T9009" s="5"/>
      <c r="U9009" s="5"/>
      <c r="V9009" s="5"/>
      <c r="W9009" s="5"/>
      <c r="X9009" s="5"/>
      <c r="Y9009" s="5"/>
      <c r="Z9009" s="5"/>
    </row>
    <row r="9010" spans="1:26" ht="15" x14ac:dyDescent="0.25">
      <c r="A9010" s="4" t="s">
        <v>9008</v>
      </c>
      <c r="B9010" s="4" t="s">
        <v>4550</v>
      </c>
      <c r="C9010" s="2" t="str">
        <f ca="1">IFERROR(__xludf.DUMMYFUNCTION("GOOGLETRANSLATE(A9010,""bn"",""en"")"),"He was playing tennis on the tennis court")</f>
        <v>He was playing tennis on the tennis court</v>
      </c>
      <c r="D9010" s="5"/>
      <c r="E9010" s="5"/>
      <c r="F9010" s="5"/>
      <c r="G9010" s="5"/>
      <c r="H9010" s="5"/>
      <c r="I9010" s="5"/>
      <c r="J9010" s="5"/>
      <c r="K9010" s="5"/>
      <c r="L9010" s="5"/>
      <c r="M9010" s="5"/>
      <c r="N9010" s="5"/>
      <c r="O9010" s="5"/>
      <c r="P9010" s="5"/>
      <c r="Q9010" s="5"/>
      <c r="R9010" s="5"/>
      <c r="S9010" s="5"/>
      <c r="T9010" s="5"/>
      <c r="U9010" s="5"/>
      <c r="V9010" s="5"/>
      <c r="W9010" s="5"/>
      <c r="X9010" s="5"/>
      <c r="Y9010" s="5"/>
      <c r="Z9010" s="5"/>
    </row>
    <row r="9011" spans="1:26" ht="15" x14ac:dyDescent="0.25">
      <c r="A9011" s="4" t="s">
        <v>9009</v>
      </c>
      <c r="B9011" s="4" t="s">
        <v>4550</v>
      </c>
      <c r="C9011" s="2" t="str">
        <f ca="1">IFERROR(__xludf.DUMMYFUNCTION("GOOGLETRANSLATE(A9011,""bn"",""en"")"),"I used the new floppy disk")</f>
        <v>I used the new floppy disk</v>
      </c>
      <c r="D9011" s="5"/>
      <c r="E9011" s="5"/>
      <c r="F9011" s="5"/>
      <c r="G9011" s="5"/>
      <c r="H9011" s="5"/>
      <c r="I9011" s="5"/>
      <c r="J9011" s="5"/>
      <c r="K9011" s="5"/>
      <c r="L9011" s="5"/>
      <c r="M9011" s="5"/>
      <c r="N9011" s="5"/>
      <c r="O9011" s="5"/>
      <c r="P9011" s="5"/>
      <c r="Q9011" s="5"/>
      <c r="R9011" s="5"/>
      <c r="S9011" s="5"/>
      <c r="T9011" s="5"/>
      <c r="U9011" s="5"/>
      <c r="V9011" s="5"/>
      <c r="W9011" s="5"/>
      <c r="X9011" s="5"/>
      <c r="Y9011" s="5"/>
      <c r="Z9011" s="5"/>
    </row>
    <row r="9012" spans="1:26" ht="15" x14ac:dyDescent="0.25">
      <c r="A9012" s="4" t="s">
        <v>9010</v>
      </c>
      <c r="B9012" s="4" t="s">
        <v>9011</v>
      </c>
      <c r="C9012" s="2" t="str">
        <f ca="1">IFERROR(__xludf.DUMMYFUNCTION("GOOGLETRANSLATE(A9012,""bn"",""en"")"),"You will be teaching next month")</f>
        <v>You will be teaching next month</v>
      </c>
      <c r="D9012" s="5"/>
      <c r="E9012" s="5"/>
      <c r="F9012" s="5"/>
      <c r="G9012" s="5"/>
      <c r="H9012" s="5"/>
      <c r="I9012" s="5"/>
      <c r="J9012" s="5"/>
      <c r="K9012" s="5"/>
      <c r="L9012" s="5"/>
      <c r="M9012" s="5"/>
      <c r="N9012" s="5"/>
      <c r="O9012" s="5"/>
      <c r="P9012" s="5"/>
      <c r="Q9012" s="5"/>
      <c r="R9012" s="5"/>
      <c r="S9012" s="5"/>
      <c r="T9012" s="5"/>
      <c r="U9012" s="5"/>
      <c r="V9012" s="5"/>
      <c r="W9012" s="5"/>
      <c r="X9012" s="5"/>
      <c r="Y9012" s="5"/>
      <c r="Z9012" s="5"/>
    </row>
    <row r="9013" spans="1:26" ht="15" x14ac:dyDescent="0.25">
      <c r="A9013" s="4" t="s">
        <v>9012</v>
      </c>
      <c r="B9013" s="4" t="s">
        <v>9011</v>
      </c>
      <c r="C9013" s="2" t="str">
        <f ca="1">IFERROR(__xludf.DUMMYFUNCTION("GOOGLETRANSLATE(A9013,""bn"",""en"")"),"Looking at the sky today, you will think how wonderful the world is")</f>
        <v>Looking at the sky today, you will think how wonderful the world is</v>
      </c>
      <c r="D9013" s="5"/>
      <c r="E9013" s="5"/>
      <c r="F9013" s="5"/>
      <c r="G9013" s="5"/>
      <c r="H9013" s="5"/>
      <c r="I9013" s="5"/>
      <c r="J9013" s="5"/>
      <c r="K9013" s="5"/>
      <c r="L9013" s="5"/>
      <c r="M9013" s="5"/>
      <c r="N9013" s="5"/>
      <c r="O9013" s="5"/>
      <c r="P9013" s="5"/>
      <c r="Q9013" s="5"/>
      <c r="R9013" s="5"/>
      <c r="S9013" s="5"/>
      <c r="T9013" s="5"/>
      <c r="U9013" s="5"/>
      <c r="V9013" s="5"/>
      <c r="W9013" s="5"/>
      <c r="X9013" s="5"/>
      <c r="Y9013" s="5"/>
      <c r="Z9013" s="5"/>
    </row>
    <row r="9014" spans="1:26" ht="15" x14ac:dyDescent="0.25">
      <c r="A9014" s="4" t="s">
        <v>9013</v>
      </c>
      <c r="B9014" s="4" t="s">
        <v>9011</v>
      </c>
      <c r="C9014" s="2" t="str">
        <f ca="1">IFERROR(__xludf.DUMMYFUNCTION("GOOGLETRANSLATE(A9014,""bn"",""en"")"),"The most important thing will be to be patient and wait")</f>
        <v>The most important thing will be to be patient and wait</v>
      </c>
      <c r="D9014" s="5"/>
      <c r="E9014" s="5"/>
      <c r="F9014" s="5"/>
      <c r="G9014" s="5"/>
      <c r="H9014" s="5"/>
      <c r="I9014" s="5"/>
      <c r="J9014" s="5"/>
      <c r="K9014" s="5"/>
      <c r="L9014" s="5"/>
      <c r="M9014" s="5"/>
      <c r="N9014" s="5"/>
      <c r="O9014" s="5"/>
      <c r="P9014" s="5"/>
      <c r="Q9014" s="5"/>
      <c r="R9014" s="5"/>
      <c r="S9014" s="5"/>
      <c r="T9014" s="5"/>
      <c r="U9014" s="5"/>
      <c r="V9014" s="5"/>
      <c r="W9014" s="5"/>
      <c r="X9014" s="5"/>
      <c r="Y9014" s="5"/>
      <c r="Z9014" s="5"/>
    </row>
    <row r="9015" spans="1:26" ht="15" x14ac:dyDescent="0.25">
      <c r="A9015" s="4" t="s">
        <v>9014</v>
      </c>
      <c r="B9015" s="4" t="s">
        <v>9011</v>
      </c>
      <c r="C9015" s="2" t="str">
        <f ca="1">IFERROR(__xludf.DUMMYFUNCTION("GOOGLETRANSLATE(A9015,""bn"",""en"")"),"We will watch a new movie tomorrow")</f>
        <v>We will watch a new movie tomorrow</v>
      </c>
      <c r="D9015" s="5"/>
      <c r="E9015" s="5"/>
      <c r="F9015" s="5"/>
      <c r="G9015" s="5"/>
      <c r="H9015" s="5"/>
      <c r="I9015" s="5"/>
      <c r="J9015" s="5"/>
      <c r="K9015" s="5"/>
      <c r="L9015" s="5"/>
      <c r="M9015" s="5"/>
      <c r="N9015" s="5"/>
      <c r="O9015" s="5"/>
      <c r="P9015" s="5"/>
      <c r="Q9015" s="5"/>
      <c r="R9015" s="5"/>
      <c r="S9015" s="5"/>
      <c r="T9015" s="5"/>
      <c r="U9015" s="5"/>
      <c r="V9015" s="5"/>
      <c r="W9015" s="5"/>
      <c r="X9015" s="5"/>
      <c r="Y9015" s="5"/>
      <c r="Z9015" s="5"/>
    </row>
    <row r="9016" spans="1:26" ht="15" x14ac:dyDescent="0.25">
      <c r="A9016" s="4" t="s">
        <v>9015</v>
      </c>
      <c r="B9016" s="4" t="s">
        <v>9011</v>
      </c>
      <c r="C9016" s="2" t="str">
        <f ca="1">IFERROR(__xludf.DUMMYFUNCTION("GOOGLETRANSLATE(A9016,""bn"",""en"")"),"By reading books, people will experience the unknown world within themselves and new joys will be created in their minds")</f>
        <v>By reading books, people will experience the unknown world within themselves and new joys will be created in their minds</v>
      </c>
      <c r="D9016" s="5"/>
      <c r="E9016" s="5"/>
      <c r="F9016" s="5"/>
      <c r="G9016" s="5"/>
      <c r="H9016" s="5"/>
      <c r="I9016" s="5"/>
      <c r="J9016" s="5"/>
      <c r="K9016" s="5"/>
      <c r="L9016" s="5"/>
      <c r="M9016" s="5"/>
      <c r="N9016" s="5"/>
      <c r="O9016" s="5"/>
      <c r="P9016" s="5"/>
      <c r="Q9016" s="5"/>
      <c r="R9016" s="5"/>
      <c r="S9016" s="5"/>
      <c r="T9016" s="5"/>
      <c r="U9016" s="5"/>
      <c r="V9016" s="5"/>
      <c r="W9016" s="5"/>
      <c r="X9016" s="5"/>
      <c r="Y9016" s="5"/>
      <c r="Z9016" s="5"/>
    </row>
    <row r="9017" spans="1:26" ht="15" x14ac:dyDescent="0.25">
      <c r="A9017" s="4" t="s">
        <v>9016</v>
      </c>
      <c r="B9017" s="4" t="s">
        <v>9011</v>
      </c>
      <c r="C9017" s="2" t="str">
        <f ca="1">IFERROR(__xludf.DUMMYFUNCTION("GOOGLETRANSLATE(A9017,""bn"",""en"")"),"Chachchari made with jackfruit beechi will be a delicious dish on hot summer days")</f>
        <v>Chachchari made with jackfruit beechi will be a delicious dish on hot summer days</v>
      </c>
      <c r="D9017" s="5"/>
      <c r="E9017" s="5"/>
      <c r="F9017" s="5"/>
      <c r="G9017" s="5"/>
      <c r="H9017" s="5"/>
      <c r="I9017" s="5"/>
      <c r="J9017" s="5"/>
      <c r="K9017" s="5"/>
      <c r="L9017" s="5"/>
      <c r="M9017" s="5"/>
      <c r="N9017" s="5"/>
      <c r="O9017" s="5"/>
      <c r="P9017" s="5"/>
      <c r="Q9017" s="5"/>
      <c r="R9017" s="5"/>
      <c r="S9017" s="5"/>
      <c r="T9017" s="5"/>
      <c r="U9017" s="5"/>
      <c r="V9017" s="5"/>
      <c r="W9017" s="5"/>
      <c r="X9017" s="5"/>
      <c r="Y9017" s="5"/>
      <c r="Z9017" s="5"/>
    </row>
    <row r="9018" spans="1:26" ht="15" x14ac:dyDescent="0.25">
      <c r="A9018" s="4" t="s">
        <v>9017</v>
      </c>
      <c r="B9018" s="4" t="s">
        <v>9011</v>
      </c>
      <c r="C9018" s="2" t="str">
        <f ca="1">IFERROR(__xludf.DUMMYFUNCTION("GOOGLETRANSLATE(A9018,""bn"",""en"")"),"He will buy books to learn a new language next month")</f>
        <v>He will buy books to learn a new language next month</v>
      </c>
      <c r="D9018" s="5"/>
      <c r="E9018" s="5"/>
      <c r="F9018" s="5"/>
      <c r="G9018" s="5"/>
      <c r="H9018" s="5"/>
      <c r="I9018" s="5"/>
      <c r="J9018" s="5"/>
      <c r="K9018" s="5"/>
      <c r="L9018" s="5"/>
      <c r="M9018" s="5"/>
      <c r="N9018" s="5"/>
      <c r="O9018" s="5"/>
      <c r="P9018" s="5"/>
      <c r="Q9018" s="5"/>
      <c r="R9018" s="5"/>
      <c r="S9018" s="5"/>
      <c r="T9018" s="5"/>
      <c r="U9018" s="5"/>
      <c r="V9018" s="5"/>
      <c r="W9018" s="5"/>
      <c r="X9018" s="5"/>
      <c r="Y9018" s="5"/>
      <c r="Z9018" s="5"/>
    </row>
    <row r="9019" spans="1:26" ht="15" x14ac:dyDescent="0.25">
      <c r="A9019" s="4" t="s">
        <v>9018</v>
      </c>
      <c r="B9019" s="4" t="s">
        <v>9011</v>
      </c>
      <c r="C9019" s="2" t="str">
        <f ca="1">IFERROR(__xludf.DUMMYFUNCTION("GOOGLETRANSLATE(A9019,""bn"",""en"")"),"Big brother will be a support after father only those who don't have big brother can understand")</f>
        <v>Big brother will be a support after father only those who don't have big brother can understand</v>
      </c>
      <c r="D9019" s="5"/>
      <c r="E9019" s="5"/>
      <c r="F9019" s="5"/>
      <c r="G9019" s="5"/>
      <c r="H9019" s="5"/>
      <c r="I9019" s="5"/>
      <c r="J9019" s="5"/>
      <c r="K9019" s="5"/>
      <c r="L9019" s="5"/>
      <c r="M9019" s="5"/>
      <c r="N9019" s="5"/>
      <c r="O9019" s="5"/>
      <c r="P9019" s="5"/>
      <c r="Q9019" s="5"/>
      <c r="R9019" s="5"/>
      <c r="S9019" s="5"/>
      <c r="T9019" s="5"/>
      <c r="U9019" s="5"/>
      <c r="V9019" s="5"/>
      <c r="W9019" s="5"/>
      <c r="X9019" s="5"/>
      <c r="Y9019" s="5"/>
      <c r="Z9019" s="5"/>
    </row>
    <row r="9020" spans="1:26" ht="15" x14ac:dyDescent="0.25">
      <c r="A9020" s="4" t="s">
        <v>9019</v>
      </c>
      <c r="B9020" s="4" t="s">
        <v>9011</v>
      </c>
      <c r="C9020" s="2" t="str">
        <f ca="1">IFERROR(__xludf.DUMMYFUNCTION("GOOGLETRANSLATE(A9020,""bn"",""en"")"),"Digging the soil, planting trees and spending time alone with nature will remove all loneliness from the mind")</f>
        <v>Digging the soil, planting trees and spending time alone with nature will remove all loneliness from the mind</v>
      </c>
      <c r="D9020" s="5"/>
      <c r="E9020" s="5"/>
      <c r="F9020" s="5"/>
      <c r="G9020" s="5"/>
      <c r="H9020" s="5"/>
      <c r="I9020" s="5"/>
      <c r="J9020" s="5"/>
      <c r="K9020" s="5"/>
      <c r="L9020" s="5"/>
      <c r="M9020" s="5"/>
      <c r="N9020" s="5"/>
      <c r="O9020" s="5"/>
      <c r="P9020" s="5"/>
      <c r="Q9020" s="5"/>
      <c r="R9020" s="5"/>
      <c r="S9020" s="5"/>
      <c r="T9020" s="5"/>
      <c r="U9020" s="5"/>
      <c r="V9020" s="5"/>
      <c r="W9020" s="5"/>
      <c r="X9020" s="5"/>
      <c r="Y9020" s="5"/>
      <c r="Z9020" s="5"/>
    </row>
    <row r="9021" spans="1:26" ht="15" x14ac:dyDescent="0.25">
      <c r="A9021" s="4" t="s">
        <v>9020</v>
      </c>
      <c r="B9021" s="4" t="s">
        <v>9011</v>
      </c>
      <c r="C9021" s="2" t="str">
        <f ca="1">IFERROR(__xludf.DUMMYFUNCTION("GOOGLETRANSLATE(A9021,""bn"",""en"")"),"The time machine will be invented")</f>
        <v>The time machine will be invented</v>
      </c>
      <c r="D9021" s="5"/>
      <c r="E9021" s="5"/>
      <c r="F9021" s="5"/>
      <c r="G9021" s="5"/>
      <c r="H9021" s="5"/>
      <c r="I9021" s="5"/>
      <c r="J9021" s="5"/>
      <c r="K9021" s="5"/>
      <c r="L9021" s="5"/>
      <c r="M9021" s="5"/>
      <c r="N9021" s="5"/>
      <c r="O9021" s="5"/>
      <c r="P9021" s="5"/>
      <c r="Q9021" s="5"/>
      <c r="R9021" s="5"/>
      <c r="S9021" s="5"/>
      <c r="T9021" s="5"/>
      <c r="U9021" s="5"/>
      <c r="V9021" s="5"/>
      <c r="W9021" s="5"/>
      <c r="X9021" s="5"/>
      <c r="Y9021" s="5"/>
      <c r="Z9021" s="5"/>
    </row>
    <row r="9022" spans="1:26" ht="15" x14ac:dyDescent="0.25">
      <c r="A9022" s="4" t="s">
        <v>9021</v>
      </c>
      <c r="B9022" s="4" t="s">
        <v>9011</v>
      </c>
      <c r="C9022" s="2" t="str">
        <f ca="1">IFERROR(__xludf.DUMMYFUNCTION("GOOGLETRANSLATE(A9022,""bn"",""en"")"),"Tomorrow you will attend an exhibition on advanced information technology")</f>
        <v>Tomorrow you will attend an exhibition on advanced information technology</v>
      </c>
      <c r="D9022" s="5"/>
      <c r="E9022" s="5"/>
      <c r="F9022" s="5"/>
      <c r="G9022" s="5"/>
      <c r="H9022" s="5"/>
      <c r="I9022" s="5"/>
      <c r="J9022" s="5"/>
      <c r="K9022" s="5"/>
      <c r="L9022" s="5"/>
      <c r="M9022" s="5"/>
      <c r="N9022" s="5"/>
      <c r="O9022" s="5"/>
      <c r="P9022" s="5"/>
      <c r="Q9022" s="5"/>
      <c r="R9022" s="5"/>
      <c r="S9022" s="5"/>
      <c r="T9022" s="5"/>
      <c r="U9022" s="5"/>
      <c r="V9022" s="5"/>
      <c r="W9022" s="5"/>
      <c r="X9022" s="5"/>
      <c r="Y9022" s="5"/>
      <c r="Z9022" s="5"/>
    </row>
    <row r="9023" spans="1:26" ht="15" x14ac:dyDescent="0.25">
      <c r="A9023" s="4" t="s">
        <v>9022</v>
      </c>
      <c r="B9023" s="4" t="s">
        <v>9011</v>
      </c>
      <c r="C9023" s="2" t="str">
        <f ca="1">IFERROR(__xludf.DUMMYFUNCTION("GOOGLETRANSLATE(A9023,""bn"",""en"")"),"I will always have pictures of my friends in my memory after time has passed")</f>
        <v>I will always have pictures of my friends in my memory after time has passed</v>
      </c>
      <c r="D9023" s="5"/>
      <c r="E9023" s="5"/>
      <c r="F9023" s="5"/>
      <c r="G9023" s="5"/>
      <c r="H9023" s="5"/>
      <c r="I9023" s="5"/>
      <c r="J9023" s="5"/>
      <c r="K9023" s="5"/>
      <c r="L9023" s="5"/>
      <c r="M9023" s="5"/>
      <c r="N9023" s="5"/>
      <c r="O9023" s="5"/>
      <c r="P9023" s="5"/>
      <c r="Q9023" s="5"/>
      <c r="R9023" s="5"/>
      <c r="S9023" s="5"/>
      <c r="T9023" s="5"/>
      <c r="U9023" s="5"/>
      <c r="V9023" s="5"/>
      <c r="W9023" s="5"/>
      <c r="X9023" s="5"/>
      <c r="Y9023" s="5"/>
      <c r="Z9023" s="5"/>
    </row>
    <row r="9024" spans="1:26" ht="15" x14ac:dyDescent="0.25">
      <c r="A9024" s="4" t="s">
        <v>9023</v>
      </c>
      <c r="B9024" s="4" t="s">
        <v>9011</v>
      </c>
      <c r="C9024" s="2" t="str">
        <f ca="1">IFERROR(__xludf.DUMMYFUNCTION("GOOGLETRANSLATE(A9024,""bn"",""en"")"),"Many people of the country are lost thinking about their own interests, but many will still struggle for liberation")</f>
        <v>Many people of the country are lost thinking about their own interests, but many will still struggle for liberation</v>
      </c>
      <c r="D9024" s="5"/>
      <c r="E9024" s="5"/>
      <c r="F9024" s="5"/>
      <c r="G9024" s="5"/>
      <c r="H9024" s="5"/>
      <c r="I9024" s="5"/>
      <c r="J9024" s="5"/>
      <c r="K9024" s="5"/>
      <c r="L9024" s="5"/>
      <c r="M9024" s="5"/>
      <c r="N9024" s="5"/>
      <c r="O9024" s="5"/>
      <c r="P9024" s="5"/>
      <c r="Q9024" s="5"/>
      <c r="R9024" s="5"/>
      <c r="S9024" s="5"/>
      <c r="T9024" s="5"/>
      <c r="U9024" s="5"/>
      <c r="V9024" s="5"/>
      <c r="W9024" s="5"/>
      <c r="X9024" s="5"/>
      <c r="Y9024" s="5"/>
      <c r="Z9024" s="5"/>
    </row>
    <row r="9025" spans="1:26" ht="15" x14ac:dyDescent="0.25">
      <c r="A9025" s="4" t="s">
        <v>9024</v>
      </c>
      <c r="B9025" s="4" t="s">
        <v>9011</v>
      </c>
      <c r="C9025" s="2" t="str">
        <f ca="1">IFERROR(__xludf.DUMMYFUNCTION("GOOGLETRANSLATE(A9025,""bn"",""en"")"),"The sky will shine quietly and remove all thoughts from the mind")</f>
        <v>The sky will shine quietly and remove all thoughts from the mind</v>
      </c>
      <c r="D9025" s="5"/>
      <c r="E9025" s="5"/>
      <c r="F9025" s="5"/>
      <c r="G9025" s="5"/>
      <c r="H9025" s="5"/>
      <c r="I9025" s="5"/>
      <c r="J9025" s="5"/>
      <c r="K9025" s="5"/>
      <c r="L9025" s="5"/>
      <c r="M9025" s="5"/>
      <c r="N9025" s="5"/>
      <c r="O9025" s="5"/>
      <c r="P9025" s="5"/>
      <c r="Q9025" s="5"/>
      <c r="R9025" s="5"/>
      <c r="S9025" s="5"/>
      <c r="T9025" s="5"/>
      <c r="U9025" s="5"/>
      <c r="V9025" s="5"/>
      <c r="W9025" s="5"/>
      <c r="X9025" s="5"/>
      <c r="Y9025" s="5"/>
      <c r="Z9025" s="5"/>
    </row>
    <row r="9026" spans="1:26" ht="15" x14ac:dyDescent="0.25">
      <c r="A9026" s="4" t="s">
        <v>9025</v>
      </c>
      <c r="B9026" s="4" t="s">
        <v>9011</v>
      </c>
      <c r="C9026" s="2" t="str">
        <f ca="1">IFERROR(__xludf.DUMMYFUNCTION("GOOGLETRANSLATE(A9026,""bn"",""en"")"),"Jumping into the rolling waves will be an exhilarating moment")</f>
        <v>Jumping into the rolling waves will be an exhilarating moment</v>
      </c>
      <c r="D9026" s="5"/>
      <c r="E9026" s="5"/>
      <c r="F9026" s="5"/>
      <c r="G9026" s="5"/>
      <c r="H9026" s="5"/>
      <c r="I9026" s="5"/>
      <c r="J9026" s="5"/>
      <c r="K9026" s="5"/>
      <c r="L9026" s="5"/>
      <c r="M9026" s="5"/>
      <c r="N9026" s="5"/>
      <c r="O9026" s="5"/>
      <c r="P9026" s="5"/>
      <c r="Q9026" s="5"/>
      <c r="R9026" s="5"/>
      <c r="S9026" s="5"/>
      <c r="T9026" s="5"/>
      <c r="U9026" s="5"/>
      <c r="V9026" s="5"/>
      <c r="W9026" s="5"/>
      <c r="X9026" s="5"/>
      <c r="Y9026" s="5"/>
      <c r="Z9026" s="5"/>
    </row>
    <row r="9027" spans="1:26" ht="15" x14ac:dyDescent="0.25">
      <c r="A9027" s="4" t="s">
        <v>9026</v>
      </c>
      <c r="B9027" s="4" t="s">
        <v>9011</v>
      </c>
      <c r="C9027" s="2" t="str">
        <f ca="1">IFERROR(__xludf.DUMMYFUNCTION("GOOGLETRANSLATE(A9027,""bn"",""en"")"),"He wants to set up a new company next month")</f>
        <v>He wants to set up a new company next month</v>
      </c>
      <c r="D9027" s="5"/>
      <c r="E9027" s="5"/>
      <c r="F9027" s="5"/>
      <c r="G9027" s="5"/>
      <c r="H9027" s="5"/>
      <c r="I9027" s="5"/>
      <c r="J9027" s="5"/>
      <c r="K9027" s="5"/>
      <c r="L9027" s="5"/>
      <c r="M9027" s="5"/>
      <c r="N9027" s="5"/>
      <c r="O9027" s="5"/>
      <c r="P9027" s="5"/>
      <c r="Q9027" s="5"/>
      <c r="R9027" s="5"/>
      <c r="S9027" s="5"/>
      <c r="T9027" s="5"/>
      <c r="U9027" s="5"/>
      <c r="V9027" s="5"/>
      <c r="W9027" s="5"/>
      <c r="X9027" s="5"/>
      <c r="Y9027" s="5"/>
      <c r="Z9027" s="5"/>
    </row>
    <row r="9028" spans="1:26" ht="15" x14ac:dyDescent="0.25">
      <c r="A9028" s="4" t="s">
        <v>9027</v>
      </c>
      <c r="B9028" s="4" t="s">
        <v>9011</v>
      </c>
      <c r="C9028" s="2" t="str">
        <f ca="1">IFERROR(__xludf.DUMMYFUNCTION("GOOGLETRANSLATE(A9028,""bn"",""en"")"),"I will be on this project from tomorrow")</f>
        <v>I will be on this project from tomorrow</v>
      </c>
      <c r="D9028" s="5"/>
      <c r="E9028" s="5"/>
      <c r="F9028" s="5"/>
      <c r="G9028" s="5"/>
      <c r="H9028" s="5"/>
      <c r="I9028" s="5"/>
      <c r="J9028" s="5"/>
      <c r="K9028" s="5"/>
      <c r="L9028" s="5"/>
      <c r="M9028" s="5"/>
      <c r="N9028" s="5"/>
      <c r="O9028" s="5"/>
      <c r="P9028" s="5"/>
      <c r="Q9028" s="5"/>
      <c r="R9028" s="5"/>
      <c r="S9028" s="5"/>
      <c r="T9028" s="5"/>
      <c r="U9028" s="5"/>
      <c r="V9028" s="5"/>
      <c r="W9028" s="5"/>
      <c r="X9028" s="5"/>
      <c r="Y9028" s="5"/>
      <c r="Z9028" s="5"/>
    </row>
    <row r="9029" spans="1:26" ht="15" x14ac:dyDescent="0.25">
      <c r="A9029" s="4" t="s">
        <v>9028</v>
      </c>
      <c r="B9029" s="4" t="s">
        <v>9011</v>
      </c>
      <c r="C9029" s="2" t="str">
        <f ca="1">IFERROR(__xludf.DUMMYFUNCTION("GOOGLETRANSLATE(A9029,""bn"",""en"")"),"When I complete my PhD I will join a reputed research institute")</f>
        <v>When I complete my PhD I will join a reputed research institute</v>
      </c>
      <c r="D9029" s="5"/>
      <c r="E9029" s="5"/>
      <c r="F9029" s="5"/>
      <c r="G9029" s="5"/>
      <c r="H9029" s="5"/>
      <c r="I9029" s="5"/>
      <c r="J9029" s="5"/>
      <c r="K9029" s="5"/>
      <c r="L9029" s="5"/>
      <c r="M9029" s="5"/>
      <c r="N9029" s="5"/>
      <c r="O9029" s="5"/>
      <c r="P9029" s="5"/>
      <c r="Q9029" s="5"/>
      <c r="R9029" s="5"/>
      <c r="S9029" s="5"/>
      <c r="T9029" s="5"/>
      <c r="U9029" s="5"/>
      <c r="V9029" s="5"/>
      <c r="W9029" s="5"/>
      <c r="X9029" s="5"/>
      <c r="Y9029" s="5"/>
      <c r="Z9029" s="5"/>
    </row>
    <row r="9030" spans="1:26" ht="15" x14ac:dyDescent="0.25">
      <c r="A9030" s="4" t="s">
        <v>9029</v>
      </c>
      <c r="B9030" s="4" t="s">
        <v>9011</v>
      </c>
      <c r="C9030" s="2" t="str">
        <f ca="1">IFERROR(__xludf.DUMMYFUNCTION("GOOGLETRANSLATE(A9030,""bn"",""en"")"),"They are going to play on the tennis court tomorrow")</f>
        <v>They are going to play on the tennis court tomorrow</v>
      </c>
      <c r="D9030" s="5"/>
      <c r="E9030" s="5"/>
      <c r="F9030" s="5"/>
      <c r="G9030" s="5"/>
      <c r="H9030" s="5"/>
      <c r="I9030" s="5"/>
      <c r="J9030" s="5"/>
      <c r="K9030" s="5"/>
      <c r="L9030" s="5"/>
      <c r="M9030" s="5"/>
      <c r="N9030" s="5"/>
      <c r="O9030" s="5"/>
      <c r="P9030" s="5"/>
      <c r="Q9030" s="5"/>
      <c r="R9030" s="5"/>
      <c r="S9030" s="5"/>
      <c r="T9030" s="5"/>
      <c r="U9030" s="5"/>
      <c r="V9030" s="5"/>
      <c r="W9030" s="5"/>
      <c r="X9030" s="5"/>
      <c r="Y9030" s="5"/>
      <c r="Z9030" s="5"/>
    </row>
    <row r="9031" spans="1:26" ht="15" x14ac:dyDescent="0.25">
      <c r="A9031" s="4" t="s">
        <v>9030</v>
      </c>
      <c r="B9031" s="4" t="s">
        <v>9011</v>
      </c>
      <c r="C9031" s="2" t="str">
        <f ca="1">IFERROR(__xludf.DUMMYFUNCTION("GOOGLETRANSLATE(A9031,""bn"",""en"")"),"Tomorrow you will be speaking at an international seminar on artificial intelligence")</f>
        <v>Tomorrow you will be speaking at an international seminar on artificial intelligence</v>
      </c>
      <c r="D9031" s="5"/>
      <c r="E9031" s="5"/>
      <c r="F9031" s="5"/>
      <c r="G9031" s="5"/>
      <c r="H9031" s="5"/>
      <c r="I9031" s="5"/>
      <c r="J9031" s="5"/>
      <c r="K9031" s="5"/>
      <c r="L9031" s="5"/>
      <c r="M9031" s="5"/>
      <c r="N9031" s="5"/>
      <c r="O9031" s="5"/>
      <c r="P9031" s="5"/>
      <c r="Q9031" s="5"/>
      <c r="R9031" s="5"/>
      <c r="S9031" s="5"/>
      <c r="T9031" s="5"/>
      <c r="U9031" s="5"/>
      <c r="V9031" s="5"/>
      <c r="W9031" s="5"/>
      <c r="X9031" s="5"/>
      <c r="Y9031" s="5"/>
      <c r="Z9031" s="5"/>
    </row>
    <row r="9032" spans="1:26" ht="15" x14ac:dyDescent="0.25">
      <c r="A9032" s="4" t="s">
        <v>9031</v>
      </c>
      <c r="B9032" s="4" t="s">
        <v>9011</v>
      </c>
      <c r="C9032" s="2" t="str">
        <f ca="1">IFERROR(__xludf.DUMMYFUNCTION("GOOGLETRANSLATE(A9032,""bn"",""en"")"),"At the end of the film, it seems like there is more to do in life")</f>
        <v>At the end of the film, it seems like there is more to do in life</v>
      </c>
      <c r="D9032" s="5"/>
      <c r="E9032" s="5"/>
      <c r="F9032" s="5"/>
      <c r="G9032" s="5"/>
      <c r="H9032" s="5"/>
      <c r="I9032" s="5"/>
      <c r="J9032" s="5"/>
      <c r="K9032" s="5"/>
      <c r="L9032" s="5"/>
      <c r="M9032" s="5"/>
      <c r="N9032" s="5"/>
      <c r="O9032" s="5"/>
      <c r="P9032" s="5"/>
      <c r="Q9032" s="5"/>
      <c r="R9032" s="5"/>
      <c r="S9032" s="5"/>
      <c r="T9032" s="5"/>
      <c r="U9032" s="5"/>
      <c r="V9032" s="5"/>
      <c r="W9032" s="5"/>
      <c r="X9032" s="5"/>
      <c r="Y9032" s="5"/>
      <c r="Z9032" s="5"/>
    </row>
    <row r="9033" spans="1:26" ht="15" x14ac:dyDescent="0.25">
      <c r="A9033" s="4" t="s">
        <v>9032</v>
      </c>
      <c r="B9033" s="4" t="s">
        <v>9011</v>
      </c>
      <c r="C9033" s="2" t="str">
        <f ca="1">IFERROR(__xludf.DUMMYFUNCTION("GOOGLETRANSLATE(A9033,""bn"",""en"")"),"Dunki movie will bring Oscar")</f>
        <v>Dunki movie will bring Oscar</v>
      </c>
      <c r="D9033" s="5"/>
      <c r="E9033" s="5"/>
      <c r="F9033" s="5"/>
      <c r="G9033" s="5"/>
      <c r="H9033" s="5"/>
      <c r="I9033" s="5"/>
      <c r="J9033" s="5"/>
      <c r="K9033" s="5"/>
      <c r="L9033" s="5"/>
      <c r="M9033" s="5"/>
      <c r="N9033" s="5"/>
      <c r="O9033" s="5"/>
      <c r="P9033" s="5"/>
      <c r="Q9033" s="5"/>
      <c r="R9033" s="5"/>
      <c r="S9033" s="5"/>
      <c r="T9033" s="5"/>
      <c r="U9033" s="5"/>
      <c r="V9033" s="5"/>
      <c r="W9033" s="5"/>
      <c r="X9033" s="5"/>
      <c r="Y9033" s="5"/>
      <c r="Z9033" s="5"/>
    </row>
    <row r="9034" spans="1:26" ht="15" x14ac:dyDescent="0.25">
      <c r="A9034" s="4" t="s">
        <v>9033</v>
      </c>
      <c r="B9034" s="4" t="s">
        <v>9011</v>
      </c>
      <c r="C9034" s="2" t="str">
        <f ca="1">IFERROR(__xludf.DUMMYFUNCTION("GOOGLETRANSLATE(A9034,""bn"",""en"")"),"In this summer, you will satisfy your thirst by drinking coconut water")</f>
        <v>In this summer, you will satisfy your thirst by drinking coconut water</v>
      </c>
      <c r="D9034" s="5"/>
      <c r="E9034" s="5"/>
      <c r="F9034" s="5"/>
      <c r="G9034" s="5"/>
      <c r="H9034" s="5"/>
      <c r="I9034" s="5"/>
      <c r="J9034" s="5"/>
      <c r="K9034" s="5"/>
      <c r="L9034" s="5"/>
      <c r="M9034" s="5"/>
      <c r="N9034" s="5"/>
      <c r="O9034" s="5"/>
      <c r="P9034" s="5"/>
      <c r="Q9034" s="5"/>
      <c r="R9034" s="5"/>
      <c r="S9034" s="5"/>
      <c r="T9034" s="5"/>
      <c r="U9034" s="5"/>
      <c r="V9034" s="5"/>
      <c r="W9034" s="5"/>
      <c r="X9034" s="5"/>
      <c r="Y9034" s="5"/>
      <c r="Z9034" s="5"/>
    </row>
    <row r="9035" spans="1:26" ht="15" x14ac:dyDescent="0.25">
      <c r="A9035" s="4" t="s">
        <v>9034</v>
      </c>
      <c r="B9035" s="4" t="s">
        <v>9011</v>
      </c>
      <c r="C9035" s="2" t="str">
        <f ca="1">IFERROR(__xludf.DUMMYFUNCTION("GOOGLETRANSLATE(A9035,""bn"",""en"")"),"A friend's new venture – I wish you success in business and will move forward")</f>
        <v>A friend's new venture – I wish you success in business and will move forward</v>
      </c>
      <c r="D9035" s="5"/>
      <c r="E9035" s="5"/>
      <c r="F9035" s="5"/>
      <c r="G9035" s="5"/>
      <c r="H9035" s="5"/>
      <c r="I9035" s="5"/>
      <c r="J9035" s="5"/>
      <c r="K9035" s="5"/>
      <c r="L9035" s="5"/>
      <c r="M9035" s="5"/>
      <c r="N9035" s="5"/>
      <c r="O9035" s="5"/>
      <c r="P9035" s="5"/>
      <c r="Q9035" s="5"/>
      <c r="R9035" s="5"/>
      <c r="S9035" s="5"/>
      <c r="T9035" s="5"/>
      <c r="U9035" s="5"/>
      <c r="V9035" s="5"/>
      <c r="W9035" s="5"/>
      <c r="X9035" s="5"/>
      <c r="Y9035" s="5"/>
      <c r="Z9035" s="5"/>
    </row>
    <row r="9036" spans="1:26" ht="15" x14ac:dyDescent="0.25">
      <c r="A9036" s="4" t="s">
        <v>9035</v>
      </c>
      <c r="B9036" s="4" t="s">
        <v>9011</v>
      </c>
      <c r="C9036" s="2" t="str">
        <f ca="1">IFERROR(__xludf.DUMMYFUNCTION("GOOGLETRANSLATE(A9036,""bn"",""en"")"),"Tomorrow I will try a new recipe that will please everyone in my family")</f>
        <v>Tomorrow I will try a new recipe that will please everyone in my family</v>
      </c>
      <c r="D9036" s="5"/>
      <c r="E9036" s="5"/>
      <c r="F9036" s="5"/>
      <c r="G9036" s="5"/>
      <c r="H9036" s="5"/>
      <c r="I9036" s="5"/>
      <c r="J9036" s="5"/>
      <c r="K9036" s="5"/>
      <c r="L9036" s="5"/>
      <c r="M9036" s="5"/>
      <c r="N9036" s="5"/>
      <c r="O9036" s="5"/>
      <c r="P9036" s="5"/>
      <c r="Q9036" s="5"/>
      <c r="R9036" s="5"/>
      <c r="S9036" s="5"/>
      <c r="T9036" s="5"/>
      <c r="U9036" s="5"/>
      <c r="V9036" s="5"/>
      <c r="W9036" s="5"/>
      <c r="X9036" s="5"/>
      <c r="Y9036" s="5"/>
      <c r="Z9036" s="5"/>
    </row>
    <row r="9037" spans="1:26" ht="15" x14ac:dyDescent="0.25">
      <c r="A9037" s="4" t="s">
        <v>9036</v>
      </c>
      <c r="B9037" s="4" t="s">
        <v>9011</v>
      </c>
      <c r="C9037" s="2" t="str">
        <f ca="1">IFERROR(__xludf.DUMMYFUNCTION("GOOGLETRANSLATE(A9037,""bn"",""en"")"),"I will start learning a new instrumental music next month which will enhance my creative skills")</f>
        <v>I will start learning a new instrumental music next month which will enhance my creative skills</v>
      </c>
      <c r="D9037" s="5"/>
      <c r="E9037" s="5"/>
      <c r="F9037" s="5"/>
      <c r="G9037" s="5"/>
      <c r="H9037" s="5"/>
      <c r="I9037" s="5"/>
      <c r="J9037" s="5"/>
      <c r="K9037" s="5"/>
      <c r="L9037" s="5"/>
      <c r="M9037" s="5"/>
      <c r="N9037" s="5"/>
      <c r="O9037" s="5"/>
      <c r="P9037" s="5"/>
      <c r="Q9037" s="5"/>
      <c r="R9037" s="5"/>
      <c r="S9037" s="5"/>
      <c r="T9037" s="5"/>
      <c r="U9037" s="5"/>
      <c r="V9037" s="5"/>
      <c r="W9037" s="5"/>
      <c r="X9037" s="5"/>
      <c r="Y9037" s="5"/>
      <c r="Z9037" s="5"/>
    </row>
    <row r="9038" spans="1:26" ht="15" x14ac:dyDescent="0.25">
      <c r="A9038" s="4" t="s">
        <v>9037</v>
      </c>
      <c r="B9038" s="4" t="s">
        <v>9011</v>
      </c>
      <c r="C9038" s="2" t="str">
        <f ca="1">IFERROR(__xludf.DUMMYFUNCTION("GOOGLETRANSLATE(A9038,""bn"",""en"")"),"One day people will understand their rights")</f>
        <v>One day people will understand their rights</v>
      </c>
      <c r="D9038" s="5"/>
      <c r="E9038" s="5"/>
      <c r="F9038" s="5"/>
      <c r="G9038" s="5"/>
      <c r="H9038" s="5"/>
      <c r="I9038" s="5"/>
      <c r="J9038" s="5"/>
      <c r="K9038" s="5"/>
      <c r="L9038" s="5"/>
      <c r="M9038" s="5"/>
      <c r="N9038" s="5"/>
      <c r="O9038" s="5"/>
      <c r="P9038" s="5"/>
      <c r="Q9038" s="5"/>
      <c r="R9038" s="5"/>
      <c r="S9038" s="5"/>
      <c r="T9038" s="5"/>
      <c r="U9038" s="5"/>
      <c r="V9038" s="5"/>
      <c r="W9038" s="5"/>
      <c r="X9038" s="5"/>
      <c r="Y9038" s="5"/>
      <c r="Z9038" s="5"/>
    </row>
    <row r="9039" spans="1:26" ht="15" x14ac:dyDescent="0.25">
      <c r="A9039" s="4" t="s">
        <v>9038</v>
      </c>
      <c r="B9039" s="4" t="s">
        <v>9011</v>
      </c>
      <c r="C9039" s="2" t="str">
        <f ca="1">IFERROR(__xludf.DUMMYFUNCTION("GOOGLETRANSLATE(A9039,""bn"",""en"")"),"In the future I will create a new business model that will increase our company's profits")</f>
        <v>In the future I will create a new business model that will increase our company's profits</v>
      </c>
      <c r="D9039" s="5"/>
      <c r="E9039" s="5"/>
      <c r="F9039" s="5"/>
      <c r="G9039" s="5"/>
      <c r="H9039" s="5"/>
      <c r="I9039" s="5"/>
      <c r="J9039" s="5"/>
      <c r="K9039" s="5"/>
      <c r="L9039" s="5"/>
      <c r="M9039" s="5"/>
      <c r="N9039" s="5"/>
      <c r="O9039" s="5"/>
      <c r="P9039" s="5"/>
      <c r="Q9039" s="5"/>
      <c r="R9039" s="5"/>
      <c r="S9039" s="5"/>
      <c r="T9039" s="5"/>
      <c r="U9039" s="5"/>
      <c r="V9039" s="5"/>
      <c r="W9039" s="5"/>
      <c r="X9039" s="5"/>
      <c r="Y9039" s="5"/>
      <c r="Z9039" s="5"/>
    </row>
    <row r="9040" spans="1:26" ht="15" x14ac:dyDescent="0.25">
      <c r="A9040" s="4" t="s">
        <v>9039</v>
      </c>
      <c r="B9040" s="4" t="s">
        <v>9011</v>
      </c>
      <c r="C9040" s="2" t="str">
        <f ca="1">IFERROR(__xludf.DUMMYFUNCTION("GOOGLETRANSLATE(A9040,""bn"",""en"")"),"They will continue to work with us till completion without delay")</f>
        <v>They will continue to work with us till completion without delay</v>
      </c>
      <c r="D9040" s="5"/>
      <c r="E9040" s="5"/>
      <c r="F9040" s="5"/>
      <c r="G9040" s="5"/>
      <c r="H9040" s="5"/>
      <c r="I9040" s="5"/>
      <c r="J9040" s="5"/>
      <c r="K9040" s="5"/>
      <c r="L9040" s="5"/>
      <c r="M9040" s="5"/>
      <c r="N9040" s="5"/>
      <c r="O9040" s="5"/>
      <c r="P9040" s="5"/>
      <c r="Q9040" s="5"/>
      <c r="R9040" s="5"/>
      <c r="S9040" s="5"/>
      <c r="T9040" s="5"/>
      <c r="U9040" s="5"/>
      <c r="V9040" s="5"/>
      <c r="W9040" s="5"/>
      <c r="X9040" s="5"/>
      <c r="Y9040" s="5"/>
      <c r="Z9040" s="5"/>
    </row>
    <row r="9041" spans="1:26" ht="15" x14ac:dyDescent="0.25">
      <c r="A9041" s="4" t="s">
        <v>9040</v>
      </c>
      <c r="B9041" s="4" t="s">
        <v>9011</v>
      </c>
      <c r="C9041" s="2" t="str">
        <f ca="1">IFERROR(__xludf.DUMMYFUNCTION("GOOGLETRANSLATE(A9041,""bn"",""en"")"),"In the next year I will read many more books to increase my knowledge")</f>
        <v>In the next year I will read many more books to increase my knowledge</v>
      </c>
      <c r="D9041" s="5"/>
      <c r="E9041" s="5"/>
      <c r="F9041" s="5"/>
      <c r="G9041" s="5"/>
      <c r="H9041" s="5"/>
      <c r="I9041" s="5"/>
      <c r="J9041" s="5"/>
      <c r="K9041" s="5"/>
      <c r="L9041" s="5"/>
      <c r="M9041" s="5"/>
      <c r="N9041" s="5"/>
      <c r="O9041" s="5"/>
      <c r="P9041" s="5"/>
      <c r="Q9041" s="5"/>
      <c r="R9041" s="5"/>
      <c r="S9041" s="5"/>
      <c r="T9041" s="5"/>
      <c r="U9041" s="5"/>
      <c r="V9041" s="5"/>
      <c r="W9041" s="5"/>
      <c r="X9041" s="5"/>
      <c r="Y9041" s="5"/>
      <c r="Z9041" s="5"/>
    </row>
    <row r="9042" spans="1:26" ht="15" x14ac:dyDescent="0.25">
      <c r="A9042" s="4" t="s">
        <v>9041</v>
      </c>
      <c r="B9042" s="4" t="s">
        <v>9011</v>
      </c>
      <c r="C9042" s="2" t="str">
        <f ca="1">IFERROR(__xludf.DUMMYFUNCTION("GOOGLETRANSLATE(A9042,""bn"",""en"")"),"Looking at this picture, it seems that the cinema will not only entertain but also teach a lot")</f>
        <v>Looking at this picture, it seems that the cinema will not only entertain but also teach a lot</v>
      </c>
      <c r="D9042" s="5"/>
      <c r="E9042" s="5"/>
      <c r="F9042" s="5"/>
      <c r="G9042" s="5"/>
      <c r="H9042" s="5"/>
      <c r="I9042" s="5"/>
      <c r="J9042" s="5"/>
      <c r="K9042" s="5"/>
      <c r="L9042" s="5"/>
      <c r="M9042" s="5"/>
      <c r="N9042" s="5"/>
      <c r="O9042" s="5"/>
      <c r="P9042" s="5"/>
      <c r="Q9042" s="5"/>
      <c r="R9042" s="5"/>
      <c r="S9042" s="5"/>
      <c r="T9042" s="5"/>
      <c r="U9042" s="5"/>
      <c r="V9042" s="5"/>
      <c r="W9042" s="5"/>
      <c r="X9042" s="5"/>
      <c r="Y9042" s="5"/>
      <c r="Z9042" s="5"/>
    </row>
    <row r="9043" spans="1:26" ht="15" x14ac:dyDescent="0.25">
      <c r="A9043" s="4" t="s">
        <v>9042</v>
      </c>
      <c r="B9043" s="4" t="s">
        <v>9011</v>
      </c>
      <c r="C9043" s="2" t="str">
        <f ca="1">IFERROR(__xludf.DUMMYFUNCTION("GOOGLETRANSLATE(A9043,""bn"",""en"")"),"You will attend a special event tomorrow")</f>
        <v>You will attend a special event tomorrow</v>
      </c>
      <c r="D9043" s="5"/>
      <c r="E9043" s="5"/>
      <c r="F9043" s="5"/>
      <c r="G9043" s="5"/>
      <c r="H9043" s="5"/>
      <c r="I9043" s="5"/>
      <c r="J9043" s="5"/>
      <c r="K9043" s="5"/>
      <c r="L9043" s="5"/>
      <c r="M9043" s="5"/>
      <c r="N9043" s="5"/>
      <c r="O9043" s="5"/>
      <c r="P9043" s="5"/>
      <c r="Q9043" s="5"/>
      <c r="R9043" s="5"/>
      <c r="S9043" s="5"/>
      <c r="T9043" s="5"/>
      <c r="U9043" s="5"/>
      <c r="V9043" s="5"/>
      <c r="W9043" s="5"/>
      <c r="X9043" s="5"/>
      <c r="Y9043" s="5"/>
      <c r="Z9043" s="5"/>
    </row>
    <row r="9044" spans="1:26" ht="15" x14ac:dyDescent="0.25">
      <c r="A9044" s="4" t="s">
        <v>9043</v>
      </c>
      <c r="B9044" s="4" t="s">
        <v>9011</v>
      </c>
      <c r="C9044" s="2" t="str">
        <f ca="1">IFERROR(__xludf.DUMMYFUNCTION("GOOGLETRANSLATE(A9044,""bn"",""en"")"),"Next vacation I will visit my grandfather's house where I can play a lot of fun games with him")</f>
        <v>Next vacation I will visit my grandfather's house where I can play a lot of fun games with him</v>
      </c>
      <c r="D9044" s="5"/>
      <c r="E9044" s="5"/>
      <c r="F9044" s="5"/>
      <c r="G9044" s="5"/>
      <c r="H9044" s="5"/>
      <c r="I9044" s="5"/>
      <c r="J9044" s="5"/>
      <c r="K9044" s="5"/>
      <c r="L9044" s="5"/>
      <c r="M9044" s="5"/>
      <c r="N9044" s="5"/>
      <c r="O9044" s="5"/>
      <c r="P9044" s="5"/>
      <c r="Q9044" s="5"/>
      <c r="R9044" s="5"/>
      <c r="S9044" s="5"/>
      <c r="T9044" s="5"/>
      <c r="U9044" s="5"/>
      <c r="V9044" s="5"/>
      <c r="W9044" s="5"/>
      <c r="X9044" s="5"/>
      <c r="Y9044" s="5"/>
      <c r="Z9044" s="5"/>
    </row>
    <row r="9045" spans="1:26" ht="15" x14ac:dyDescent="0.25">
      <c r="A9045" s="4" t="s">
        <v>9044</v>
      </c>
      <c r="B9045" s="4" t="s">
        <v>9011</v>
      </c>
      <c r="C9045" s="2" t="str">
        <f ca="1">IFERROR(__xludf.DUMMYFUNCTION("GOOGLETRANSLATE(A9045,""bn"",""en"")"),"Next vacation we will travel to the hilly areas where we can enjoy the beauty of nature.")</f>
        <v>Next vacation we will travel to the hilly areas where we can enjoy the beauty of nature.</v>
      </c>
      <c r="D9045" s="5"/>
      <c r="E9045" s="5"/>
      <c r="F9045" s="5"/>
      <c r="G9045" s="5"/>
      <c r="H9045" s="5"/>
      <c r="I9045" s="5"/>
      <c r="J9045" s="5"/>
      <c r="K9045" s="5"/>
      <c r="L9045" s="5"/>
      <c r="M9045" s="5"/>
      <c r="N9045" s="5"/>
      <c r="O9045" s="5"/>
      <c r="P9045" s="5"/>
      <c r="Q9045" s="5"/>
      <c r="R9045" s="5"/>
      <c r="S9045" s="5"/>
      <c r="T9045" s="5"/>
      <c r="U9045" s="5"/>
      <c r="V9045" s="5"/>
      <c r="W9045" s="5"/>
      <c r="X9045" s="5"/>
      <c r="Y9045" s="5"/>
      <c r="Z9045" s="5"/>
    </row>
    <row r="9046" spans="1:26" ht="15" x14ac:dyDescent="0.25">
      <c r="A9046" s="4" t="s">
        <v>9045</v>
      </c>
      <c r="B9046" s="4" t="s">
        <v>9011</v>
      </c>
      <c r="C9046" s="2" t="str">
        <f ca="1">IFERROR(__xludf.DUMMYFUNCTION("GOOGLETRANSLATE(A9046,""bn"",""en"")"),"Nature's own music will soothe the mind")</f>
        <v>Nature's own music will soothe the mind</v>
      </c>
      <c r="D9046" s="5"/>
      <c r="E9046" s="5"/>
      <c r="F9046" s="5"/>
      <c r="G9046" s="5"/>
      <c r="H9046" s="5"/>
      <c r="I9046" s="5"/>
      <c r="J9046" s="5"/>
      <c r="K9046" s="5"/>
      <c r="L9046" s="5"/>
      <c r="M9046" s="5"/>
      <c r="N9046" s="5"/>
      <c r="O9046" s="5"/>
      <c r="P9046" s="5"/>
      <c r="Q9046" s="5"/>
      <c r="R9046" s="5"/>
      <c r="S9046" s="5"/>
      <c r="T9046" s="5"/>
      <c r="U9046" s="5"/>
      <c r="V9046" s="5"/>
      <c r="W9046" s="5"/>
      <c r="X9046" s="5"/>
      <c r="Y9046" s="5"/>
      <c r="Z9046" s="5"/>
    </row>
    <row r="9047" spans="1:26" ht="15" x14ac:dyDescent="0.25">
      <c r="A9047" s="4" t="s">
        <v>9046</v>
      </c>
      <c r="B9047" s="4" t="s">
        <v>9011</v>
      </c>
      <c r="C9047" s="2" t="str">
        <f ca="1">IFERROR(__xludf.DUMMYFUNCTION("GOOGLETRANSLATE(A9047,""bn"",""en"")"),"Films rich in acting like this will probably not come again")</f>
        <v>Films rich in acting like this will probably not come again</v>
      </c>
      <c r="D9047" s="5"/>
      <c r="E9047" s="5"/>
      <c r="F9047" s="5"/>
      <c r="G9047" s="5"/>
      <c r="H9047" s="5"/>
      <c r="I9047" s="5"/>
      <c r="J9047" s="5"/>
      <c r="K9047" s="5"/>
      <c r="L9047" s="5"/>
      <c r="M9047" s="5"/>
      <c r="N9047" s="5"/>
      <c r="O9047" s="5"/>
      <c r="P9047" s="5"/>
      <c r="Q9047" s="5"/>
      <c r="R9047" s="5"/>
      <c r="S9047" s="5"/>
      <c r="T9047" s="5"/>
      <c r="U9047" s="5"/>
      <c r="V9047" s="5"/>
      <c r="W9047" s="5"/>
      <c r="X9047" s="5"/>
      <c r="Y9047" s="5"/>
      <c r="Z9047" s="5"/>
    </row>
    <row r="9048" spans="1:26" ht="15" x14ac:dyDescent="0.25">
      <c r="A9048" s="4" t="s">
        <v>9047</v>
      </c>
      <c r="B9048" s="4" t="s">
        <v>9011</v>
      </c>
      <c r="C9048" s="2" t="str">
        <f ca="1">IFERROR(__xludf.DUMMYFUNCTION("GOOGLETRANSLATE(A9048,""bn"",""en"")"),"After getting rid of the stress of the day's work, you can listen to the music in the night.")</f>
        <v>After getting rid of the stress of the day's work, you can listen to the music in the night.</v>
      </c>
      <c r="D9048" s="5"/>
      <c r="E9048" s="5"/>
      <c r="F9048" s="5"/>
      <c r="G9048" s="5"/>
      <c r="H9048" s="5"/>
      <c r="I9048" s="5"/>
      <c r="J9048" s="5"/>
      <c r="K9048" s="5"/>
      <c r="L9048" s="5"/>
      <c r="M9048" s="5"/>
      <c r="N9048" s="5"/>
      <c r="O9048" s="5"/>
      <c r="P9048" s="5"/>
      <c r="Q9048" s="5"/>
      <c r="R9048" s="5"/>
      <c r="S9048" s="5"/>
      <c r="T9048" s="5"/>
      <c r="U9048" s="5"/>
      <c r="V9048" s="5"/>
      <c r="W9048" s="5"/>
      <c r="X9048" s="5"/>
      <c r="Y9048" s="5"/>
      <c r="Z9048" s="5"/>
    </row>
    <row r="9049" spans="1:26" ht="15" x14ac:dyDescent="0.25">
      <c r="A9049" s="4" t="s">
        <v>9048</v>
      </c>
      <c r="B9049" s="4" t="s">
        <v>9011</v>
      </c>
      <c r="C9049" s="2" t="str">
        <f ca="1">IFERROR(__xludf.DUMMYFUNCTION("GOOGLETRANSLATE(A9049,""bn"",""en"")"),"Through images I will try to relate to all animals and environments Through lots of colors I will find joy in all freedom and creation")</f>
        <v>Through images I will try to relate to all animals and environments Through lots of colors I will find joy in all freedom and creation</v>
      </c>
      <c r="D9049" s="5"/>
      <c r="E9049" s="5"/>
      <c r="F9049" s="5"/>
      <c r="G9049" s="5"/>
      <c r="H9049" s="5"/>
      <c r="I9049" s="5"/>
      <c r="J9049" s="5"/>
      <c r="K9049" s="5"/>
      <c r="L9049" s="5"/>
      <c r="M9049" s="5"/>
      <c r="N9049" s="5"/>
      <c r="O9049" s="5"/>
      <c r="P9049" s="5"/>
      <c r="Q9049" s="5"/>
      <c r="R9049" s="5"/>
      <c r="S9049" s="5"/>
      <c r="T9049" s="5"/>
      <c r="U9049" s="5"/>
      <c r="V9049" s="5"/>
      <c r="W9049" s="5"/>
      <c r="X9049" s="5"/>
      <c r="Y9049" s="5"/>
      <c r="Z9049" s="5"/>
    </row>
    <row r="9050" spans="1:26" ht="15" x14ac:dyDescent="0.25">
      <c r="A9050" s="4" t="s">
        <v>9049</v>
      </c>
      <c r="B9050" s="4" t="s">
        <v>9011</v>
      </c>
      <c r="C9050" s="2" t="str">
        <f ca="1">IFERROR(__xludf.DUMMYFUNCTION("GOOGLETRANSLATE(A9050,""bn"",""en"")"),"While swimming, the body will feel suddenly in the cold air and will feel more alive after the surprise of the moment")</f>
        <v>While swimming, the body will feel suddenly in the cold air and will feel more alive after the surprise of the moment</v>
      </c>
      <c r="D9050" s="5"/>
      <c r="E9050" s="5"/>
      <c r="F9050" s="5"/>
      <c r="G9050" s="5"/>
      <c r="H9050" s="5"/>
      <c r="I9050" s="5"/>
      <c r="J9050" s="5"/>
      <c r="K9050" s="5"/>
      <c r="L9050" s="5"/>
      <c r="M9050" s="5"/>
      <c r="N9050" s="5"/>
      <c r="O9050" s="5"/>
      <c r="P9050" s="5"/>
      <c r="Q9050" s="5"/>
      <c r="R9050" s="5"/>
      <c r="S9050" s="5"/>
      <c r="T9050" s="5"/>
      <c r="U9050" s="5"/>
      <c r="V9050" s="5"/>
      <c r="W9050" s="5"/>
      <c r="X9050" s="5"/>
      <c r="Y9050" s="5"/>
      <c r="Z9050" s="5"/>
    </row>
    <row r="9051" spans="1:26" ht="15" x14ac:dyDescent="0.25">
      <c r="A9051" s="4" t="s">
        <v>9050</v>
      </c>
      <c r="B9051" s="4" t="s">
        <v>9011</v>
      </c>
      <c r="C9051" s="2" t="str">
        <f ca="1">IFERROR(__xludf.DUMMYFUNCTION("GOOGLETRANSLATE(A9051,""bn"",""en"")"),"I will go again next week")</f>
        <v>I will go again next week</v>
      </c>
      <c r="D9051" s="5"/>
      <c r="E9051" s="5"/>
      <c r="F9051" s="5"/>
      <c r="G9051" s="5"/>
      <c r="H9051" s="5"/>
      <c r="I9051" s="5"/>
      <c r="J9051" s="5"/>
      <c r="K9051" s="5"/>
      <c r="L9051" s="5"/>
      <c r="M9051" s="5"/>
      <c r="N9051" s="5"/>
      <c r="O9051" s="5"/>
      <c r="P9051" s="5"/>
      <c r="Q9051" s="5"/>
      <c r="R9051" s="5"/>
      <c r="S9051" s="5"/>
      <c r="T9051" s="5"/>
      <c r="U9051" s="5"/>
      <c r="V9051" s="5"/>
      <c r="W9051" s="5"/>
      <c r="X9051" s="5"/>
      <c r="Y9051" s="5"/>
      <c r="Z9051" s="5"/>
    </row>
    <row r="9052" spans="1:26" ht="15" x14ac:dyDescent="0.25">
      <c r="A9052" s="4" t="s">
        <v>9051</v>
      </c>
      <c r="B9052" s="4" t="s">
        <v>9011</v>
      </c>
      <c r="C9052" s="2" t="str">
        <f ca="1">IFERROR(__xludf.DUMMYFUNCTION("GOOGLETRANSLATE(A9052,""bn"",""en"")"),"We will work in a new way next year")</f>
        <v>We will work in a new way next year</v>
      </c>
      <c r="D9052" s="5"/>
      <c r="E9052" s="5"/>
      <c r="F9052" s="5"/>
      <c r="G9052" s="5"/>
      <c r="H9052" s="5"/>
      <c r="I9052" s="5"/>
      <c r="J9052" s="5"/>
      <c r="K9052" s="5"/>
      <c r="L9052" s="5"/>
      <c r="M9052" s="5"/>
      <c r="N9052" s="5"/>
      <c r="O9052" s="5"/>
      <c r="P9052" s="5"/>
      <c r="Q9052" s="5"/>
      <c r="R9052" s="5"/>
      <c r="S9052" s="5"/>
      <c r="T9052" s="5"/>
      <c r="U9052" s="5"/>
      <c r="V9052" s="5"/>
      <c r="W9052" s="5"/>
      <c r="X9052" s="5"/>
      <c r="Y9052" s="5"/>
      <c r="Z9052" s="5"/>
    </row>
    <row r="9053" spans="1:26" ht="15" x14ac:dyDescent="0.25">
      <c r="A9053" s="4" t="s">
        <v>9052</v>
      </c>
      <c r="B9053" s="4" t="s">
        <v>9011</v>
      </c>
      <c r="C9053" s="2" t="str">
        <f ca="1">IFERROR(__xludf.DUMMYFUNCTION("GOOGLETRANSLATE(A9053,""bn"",""en"")"),"Tomorrow you will be speaking at a seminar on advanced energy production technology")</f>
        <v>Tomorrow you will be speaking at a seminar on advanced energy production technology</v>
      </c>
      <c r="D9053" s="5"/>
      <c r="E9053" s="5"/>
      <c r="F9053" s="5"/>
      <c r="G9053" s="5"/>
      <c r="H9053" s="5"/>
      <c r="I9053" s="5"/>
      <c r="J9053" s="5"/>
      <c r="K9053" s="5"/>
      <c r="L9053" s="5"/>
      <c r="M9053" s="5"/>
      <c r="N9053" s="5"/>
      <c r="O9053" s="5"/>
      <c r="P9053" s="5"/>
      <c r="Q9053" s="5"/>
      <c r="R9053" s="5"/>
      <c r="S9053" s="5"/>
      <c r="T9053" s="5"/>
      <c r="U9053" s="5"/>
      <c r="V9053" s="5"/>
      <c r="W9053" s="5"/>
      <c r="X9053" s="5"/>
      <c r="Y9053" s="5"/>
      <c r="Z9053" s="5"/>
    </row>
    <row r="9054" spans="1:26" ht="15" x14ac:dyDescent="0.25">
      <c r="A9054" s="4" t="s">
        <v>9053</v>
      </c>
      <c r="B9054" s="4" t="s">
        <v>9011</v>
      </c>
      <c r="C9054" s="2" t="str">
        <f ca="1">IFERROR(__xludf.DUMMYFUNCTION("GOOGLETRANSLATE(A9054,""bn"",""en"")"),"The girls of Bengal will show that they can by winning one after another in cricket and football")</f>
        <v>The girls of Bengal will show that they can by winning one after another in cricket and football</v>
      </c>
      <c r="D9054" s="5"/>
      <c r="E9054" s="5"/>
      <c r="F9054" s="5"/>
      <c r="G9054" s="5"/>
      <c r="H9054" s="5"/>
      <c r="I9054" s="5"/>
      <c r="J9054" s="5"/>
      <c r="K9054" s="5"/>
      <c r="L9054" s="5"/>
      <c r="M9054" s="5"/>
      <c r="N9054" s="5"/>
      <c r="O9054" s="5"/>
      <c r="P9054" s="5"/>
      <c r="Q9054" s="5"/>
      <c r="R9054" s="5"/>
      <c r="S9054" s="5"/>
      <c r="T9054" s="5"/>
      <c r="U9054" s="5"/>
      <c r="V9054" s="5"/>
      <c r="W9054" s="5"/>
      <c r="X9054" s="5"/>
      <c r="Y9054" s="5"/>
      <c r="Z9054" s="5"/>
    </row>
    <row r="9055" spans="1:26" ht="15" x14ac:dyDescent="0.25">
      <c r="A9055" s="4" t="s">
        <v>9054</v>
      </c>
      <c r="B9055" s="4" t="s">
        <v>9011</v>
      </c>
      <c r="C9055" s="2" t="str">
        <f ca="1">IFERROR(__xludf.DUMMYFUNCTION("GOOGLETRANSLATE(A9055,""bn"",""en"")"),"If you try then you will definitely succeed my story will inspire you too.")</f>
        <v>If you try then you will definitely succeed my story will inspire you too.</v>
      </c>
      <c r="D9055" s="5"/>
      <c r="E9055" s="5"/>
      <c r="F9055" s="5"/>
      <c r="G9055" s="5"/>
      <c r="H9055" s="5"/>
      <c r="I9055" s="5"/>
      <c r="J9055" s="5"/>
      <c r="K9055" s="5"/>
      <c r="L9055" s="5"/>
      <c r="M9055" s="5"/>
      <c r="N9055" s="5"/>
      <c r="O9055" s="5"/>
      <c r="P9055" s="5"/>
      <c r="Q9055" s="5"/>
      <c r="R9055" s="5"/>
      <c r="S9055" s="5"/>
      <c r="T9055" s="5"/>
      <c r="U9055" s="5"/>
      <c r="V9055" s="5"/>
      <c r="W9055" s="5"/>
      <c r="X9055" s="5"/>
      <c r="Y9055" s="5"/>
      <c r="Z9055" s="5"/>
    </row>
    <row r="9056" spans="1:26" ht="15" x14ac:dyDescent="0.25">
      <c r="A9056" s="4" t="s">
        <v>9055</v>
      </c>
      <c r="B9056" s="4" t="s">
        <v>9011</v>
      </c>
      <c r="C9056" s="2" t="str">
        <f ca="1">IFERROR(__xludf.DUMMYFUNCTION("GOOGLETRANSLATE(A9056,""bn"",""en"")"),"By eating food from mother's hands, I will understand that there is no measure of happiness. This small thing will be my world one day")</f>
        <v>By eating food from mother's hands, I will understand that there is no measure of happiness. This small thing will be my world one day</v>
      </c>
      <c r="D9056" s="5"/>
      <c r="E9056" s="5"/>
      <c r="F9056" s="5"/>
      <c r="G9056" s="5"/>
      <c r="H9056" s="5"/>
      <c r="I9056" s="5"/>
      <c r="J9056" s="5"/>
      <c r="K9056" s="5"/>
      <c r="L9056" s="5"/>
      <c r="M9056" s="5"/>
      <c r="N9056" s="5"/>
      <c r="O9056" s="5"/>
      <c r="P9056" s="5"/>
      <c r="Q9056" s="5"/>
      <c r="R9056" s="5"/>
      <c r="S9056" s="5"/>
      <c r="T9056" s="5"/>
      <c r="U9056" s="5"/>
      <c r="V9056" s="5"/>
      <c r="W9056" s="5"/>
      <c r="X9056" s="5"/>
      <c r="Y9056" s="5"/>
      <c r="Z9056" s="5"/>
    </row>
    <row r="9057" spans="1:26" ht="15" x14ac:dyDescent="0.25">
      <c r="A9057" s="4" t="s">
        <v>9056</v>
      </c>
      <c r="B9057" s="4" t="s">
        <v>9011</v>
      </c>
      <c r="C9057" s="2" t="str">
        <f ca="1">IFERROR(__xludf.DUMMYFUNCTION("GOOGLETRANSLATE(A9057,""bn"",""en"")"),"In the future I will be a successful doctor where I can save patients' lives")</f>
        <v>In the future I will be a successful doctor where I can save patients' lives</v>
      </c>
      <c r="D9057" s="5"/>
      <c r="E9057" s="5"/>
      <c r="F9057" s="5"/>
      <c r="G9057" s="5"/>
      <c r="H9057" s="5"/>
      <c r="I9057" s="5"/>
      <c r="J9057" s="5"/>
      <c r="K9057" s="5"/>
      <c r="L9057" s="5"/>
      <c r="M9057" s="5"/>
      <c r="N9057" s="5"/>
      <c r="O9057" s="5"/>
      <c r="P9057" s="5"/>
      <c r="Q9057" s="5"/>
      <c r="R9057" s="5"/>
      <c r="S9057" s="5"/>
      <c r="T9057" s="5"/>
      <c r="U9057" s="5"/>
      <c r="V9057" s="5"/>
      <c r="W9057" s="5"/>
      <c r="X9057" s="5"/>
      <c r="Y9057" s="5"/>
      <c r="Z9057" s="5"/>
    </row>
    <row r="9058" spans="1:26" ht="15" x14ac:dyDescent="0.25">
      <c r="A9058" s="4" t="s">
        <v>9057</v>
      </c>
      <c r="B9058" s="4" t="s">
        <v>9011</v>
      </c>
      <c r="C9058" s="2" t="str">
        <f ca="1">IFERROR(__xludf.DUMMYFUNCTION("GOOGLETRANSLATE(A9058,""bn"",""en"")"),"You can have a special meeting with me tomorrow")</f>
        <v>You can have a special meeting with me tomorrow</v>
      </c>
      <c r="D9058" s="5"/>
      <c r="E9058" s="5"/>
      <c r="F9058" s="5"/>
      <c r="G9058" s="5"/>
      <c r="H9058" s="5"/>
      <c r="I9058" s="5"/>
      <c r="J9058" s="5"/>
      <c r="K9058" s="5"/>
      <c r="L9058" s="5"/>
      <c r="M9058" s="5"/>
      <c r="N9058" s="5"/>
      <c r="O9058" s="5"/>
      <c r="P9058" s="5"/>
      <c r="Q9058" s="5"/>
      <c r="R9058" s="5"/>
      <c r="S9058" s="5"/>
      <c r="T9058" s="5"/>
      <c r="U9058" s="5"/>
      <c r="V9058" s="5"/>
      <c r="W9058" s="5"/>
      <c r="X9058" s="5"/>
      <c r="Y9058" s="5"/>
      <c r="Z9058" s="5"/>
    </row>
    <row r="9059" spans="1:26" ht="15" x14ac:dyDescent="0.25">
      <c r="A9059" s="4" t="s">
        <v>9058</v>
      </c>
      <c r="B9059" s="4" t="s">
        <v>9011</v>
      </c>
      <c r="C9059" s="2" t="str">
        <f ca="1">IFERROR(__xludf.DUMMYFUNCTION("GOOGLETRANSLATE(A9059,""bn"",""en"")"),"In future I will set up a charity organization to help poor and helpless people")</f>
        <v>In future I will set up a charity organization to help poor and helpless people</v>
      </c>
      <c r="D9059" s="5"/>
      <c r="E9059" s="5"/>
      <c r="F9059" s="5"/>
      <c r="G9059" s="5"/>
      <c r="H9059" s="5"/>
      <c r="I9059" s="5"/>
      <c r="J9059" s="5"/>
      <c r="K9059" s="5"/>
      <c r="L9059" s="5"/>
      <c r="M9059" s="5"/>
      <c r="N9059" s="5"/>
      <c r="O9059" s="5"/>
      <c r="P9059" s="5"/>
      <c r="Q9059" s="5"/>
      <c r="R9059" s="5"/>
      <c r="S9059" s="5"/>
      <c r="T9059" s="5"/>
      <c r="U9059" s="5"/>
      <c r="V9059" s="5"/>
      <c r="W9059" s="5"/>
      <c r="X9059" s="5"/>
      <c r="Y9059" s="5"/>
      <c r="Z9059" s="5"/>
    </row>
    <row r="9060" spans="1:26" ht="15" x14ac:dyDescent="0.25">
      <c r="A9060" s="4" t="s">
        <v>9059</v>
      </c>
      <c r="B9060" s="4" t="s">
        <v>9011</v>
      </c>
      <c r="C9060" s="2" t="str">
        <f ca="1">IFERROR(__xludf.DUMMYFUNCTION("GOOGLETRANSLATE(A9060,""bn"",""en"")"),"I will go to the garden tomorrow to see the colors of the flowers")</f>
        <v>I will go to the garden tomorrow to see the colors of the flowers</v>
      </c>
      <c r="D9060" s="5"/>
      <c r="E9060" s="5"/>
      <c r="F9060" s="5"/>
      <c r="G9060" s="5"/>
      <c r="H9060" s="5"/>
      <c r="I9060" s="5"/>
      <c r="J9060" s="5"/>
      <c r="K9060" s="5"/>
      <c r="L9060" s="5"/>
      <c r="M9060" s="5"/>
      <c r="N9060" s="5"/>
      <c r="O9060" s="5"/>
      <c r="P9060" s="5"/>
      <c r="Q9060" s="5"/>
      <c r="R9060" s="5"/>
      <c r="S9060" s="5"/>
      <c r="T9060" s="5"/>
      <c r="U9060" s="5"/>
      <c r="V9060" s="5"/>
      <c r="W9060" s="5"/>
      <c r="X9060" s="5"/>
      <c r="Y9060" s="5"/>
      <c r="Z9060" s="5"/>
    </row>
    <row r="9061" spans="1:26" ht="15" x14ac:dyDescent="0.25">
      <c r="A9061" s="4" t="s">
        <v>9060</v>
      </c>
      <c r="B9061" s="4" t="s">
        <v>9011</v>
      </c>
      <c r="C9061" s="2" t="str">
        <f ca="1">IFERROR(__xludf.DUMMYFUNCTION("GOOGLETRANSLATE(A9061,""bn"",""en"")"),"Going on a water cruise next month")</f>
        <v>Going on a water cruise next month</v>
      </c>
      <c r="D9061" s="5"/>
      <c r="E9061" s="5"/>
      <c r="F9061" s="5"/>
      <c r="G9061" s="5"/>
      <c r="H9061" s="5"/>
      <c r="I9061" s="5"/>
      <c r="J9061" s="5"/>
      <c r="K9061" s="5"/>
      <c r="L9061" s="5"/>
      <c r="M9061" s="5"/>
      <c r="N9061" s="5"/>
      <c r="O9061" s="5"/>
      <c r="P9061" s="5"/>
      <c r="Q9061" s="5"/>
      <c r="R9061" s="5"/>
      <c r="S9061" s="5"/>
      <c r="T9061" s="5"/>
      <c r="U9061" s="5"/>
      <c r="V9061" s="5"/>
      <c r="W9061" s="5"/>
      <c r="X9061" s="5"/>
      <c r="Y9061" s="5"/>
      <c r="Z9061" s="5"/>
    </row>
    <row r="9062" spans="1:26" ht="15" x14ac:dyDescent="0.25">
      <c r="A9062" s="4" t="s">
        <v>9061</v>
      </c>
      <c r="B9062" s="4" t="s">
        <v>9011</v>
      </c>
      <c r="C9062" s="2" t="str">
        <f ca="1">IFERROR(__xludf.DUMMYFUNCTION("GOOGLETRANSLATE(A9062,""bn"",""en"")"),"You will acquire new wealth in the coming year")</f>
        <v>You will acquire new wealth in the coming year</v>
      </c>
      <c r="D9062" s="5"/>
      <c r="E9062" s="5"/>
      <c r="F9062" s="5"/>
      <c r="G9062" s="5"/>
      <c r="H9062" s="5"/>
      <c r="I9062" s="5"/>
      <c r="J9062" s="5"/>
      <c r="K9062" s="5"/>
      <c r="L9062" s="5"/>
      <c r="M9062" s="5"/>
      <c r="N9062" s="5"/>
      <c r="O9062" s="5"/>
      <c r="P9062" s="5"/>
      <c r="Q9062" s="5"/>
      <c r="R9062" s="5"/>
      <c r="S9062" s="5"/>
      <c r="T9062" s="5"/>
      <c r="U9062" s="5"/>
      <c r="V9062" s="5"/>
      <c r="W9062" s="5"/>
      <c r="X9062" s="5"/>
      <c r="Y9062" s="5"/>
      <c r="Z9062" s="5"/>
    </row>
    <row r="9063" spans="1:26" ht="15" x14ac:dyDescent="0.25">
      <c r="A9063" s="4" t="s">
        <v>9062</v>
      </c>
      <c r="B9063" s="4" t="s">
        <v>9011</v>
      </c>
      <c r="C9063" s="2" t="str">
        <f ca="1">IFERROR(__xludf.DUMMYFUNCTION("GOOGLETRANSLATE(A9063,""bn"",""en"")"),"He will come tomorrow to do fan service")</f>
        <v>He will come tomorrow to do fan service</v>
      </c>
      <c r="D9063" s="5"/>
      <c r="E9063" s="5"/>
      <c r="F9063" s="5"/>
      <c r="G9063" s="5"/>
      <c r="H9063" s="5"/>
      <c r="I9063" s="5"/>
      <c r="J9063" s="5"/>
      <c r="K9063" s="5"/>
      <c r="L9063" s="5"/>
      <c r="M9063" s="5"/>
      <c r="N9063" s="5"/>
      <c r="O9063" s="5"/>
      <c r="P9063" s="5"/>
      <c r="Q9063" s="5"/>
      <c r="R9063" s="5"/>
      <c r="S9063" s="5"/>
      <c r="T9063" s="5"/>
      <c r="U9063" s="5"/>
      <c r="V9063" s="5"/>
      <c r="W9063" s="5"/>
      <c r="X9063" s="5"/>
      <c r="Y9063" s="5"/>
      <c r="Z9063" s="5"/>
    </row>
    <row r="9064" spans="1:26" ht="15" x14ac:dyDescent="0.25">
      <c r="A9064" s="4" t="s">
        <v>9063</v>
      </c>
      <c r="B9064" s="4" t="s">
        <v>9011</v>
      </c>
      <c r="C9064" s="2" t="str">
        <f ca="1">IFERROR(__xludf.DUMMYFUNCTION("GOOGLETRANSLATE(A9064,""bn"",""en"")"),"I will present a detailed plan for environmental protection tomorrow")</f>
        <v>I will present a detailed plan for environmental protection tomorrow</v>
      </c>
      <c r="D9064" s="5"/>
      <c r="E9064" s="5"/>
      <c r="F9064" s="5"/>
      <c r="G9064" s="5"/>
      <c r="H9064" s="5"/>
      <c r="I9064" s="5"/>
      <c r="J9064" s="5"/>
      <c r="K9064" s="5"/>
      <c r="L9064" s="5"/>
      <c r="M9064" s="5"/>
      <c r="N9064" s="5"/>
      <c r="O9064" s="5"/>
      <c r="P9064" s="5"/>
      <c r="Q9064" s="5"/>
      <c r="R9064" s="5"/>
      <c r="S9064" s="5"/>
      <c r="T9064" s="5"/>
      <c r="U9064" s="5"/>
      <c r="V9064" s="5"/>
      <c r="W9064" s="5"/>
      <c r="X9064" s="5"/>
      <c r="Y9064" s="5"/>
      <c r="Z9064" s="5"/>
    </row>
    <row r="9065" spans="1:26" ht="15" x14ac:dyDescent="0.25">
      <c r="A9065" s="4" t="s">
        <v>9064</v>
      </c>
      <c r="B9065" s="4" t="s">
        <v>9011</v>
      </c>
      <c r="C9065" s="2" t="str">
        <f ca="1">IFERROR(__xludf.DUMMYFUNCTION("GOOGLETRANSLATE(A9065,""bn"",""en"")"),"He will spend the night in a new way next month")</f>
        <v>He will spend the night in a new way next month</v>
      </c>
      <c r="D9065" s="5"/>
      <c r="E9065" s="5"/>
      <c r="F9065" s="5"/>
      <c r="G9065" s="5"/>
      <c r="H9065" s="5"/>
      <c r="I9065" s="5"/>
      <c r="J9065" s="5"/>
      <c r="K9065" s="5"/>
      <c r="L9065" s="5"/>
      <c r="M9065" s="5"/>
      <c r="N9065" s="5"/>
      <c r="O9065" s="5"/>
      <c r="P9065" s="5"/>
      <c r="Q9065" s="5"/>
      <c r="R9065" s="5"/>
      <c r="S9065" s="5"/>
      <c r="T9065" s="5"/>
      <c r="U9065" s="5"/>
      <c r="V9065" s="5"/>
      <c r="W9065" s="5"/>
      <c r="X9065" s="5"/>
      <c r="Y9065" s="5"/>
      <c r="Z9065" s="5"/>
    </row>
    <row r="9066" spans="1:26" ht="15" x14ac:dyDescent="0.25">
      <c r="A9066" s="4" t="s">
        <v>9065</v>
      </c>
      <c r="B9066" s="4" t="s">
        <v>9011</v>
      </c>
      <c r="C9066" s="2" t="str">
        <f ca="1">IFERROR(__xludf.DUMMYFUNCTION("GOOGLETRANSLATE(A9066,""bn"",""en"")"),"A tour of St. Martin will be the best experience of your life")</f>
        <v>A tour of St. Martin will be the best experience of your life</v>
      </c>
      <c r="D9066" s="5"/>
      <c r="E9066" s="5"/>
      <c r="F9066" s="5"/>
      <c r="G9066" s="5"/>
      <c r="H9066" s="5"/>
      <c r="I9066" s="5"/>
      <c r="J9066" s="5"/>
      <c r="K9066" s="5"/>
      <c r="L9066" s="5"/>
      <c r="M9066" s="5"/>
      <c r="N9066" s="5"/>
      <c r="O9066" s="5"/>
      <c r="P9066" s="5"/>
      <c r="Q9066" s="5"/>
      <c r="R9066" s="5"/>
      <c r="S9066" s="5"/>
      <c r="T9066" s="5"/>
      <c r="U9066" s="5"/>
      <c r="V9066" s="5"/>
      <c r="W9066" s="5"/>
      <c r="X9066" s="5"/>
      <c r="Y9066" s="5"/>
      <c r="Z9066" s="5"/>
    </row>
    <row r="9067" spans="1:26" ht="15" x14ac:dyDescent="0.25">
      <c r="A9067" s="4" t="s">
        <v>9066</v>
      </c>
      <c r="B9067" s="4" t="s">
        <v>9011</v>
      </c>
      <c r="C9067" s="2" t="str">
        <f ca="1">IFERROR(__xludf.DUMMYFUNCTION("GOOGLETRANSLATE(A9067,""bn"",""en"")"),"We will not be finished, we will continue to work here")</f>
        <v>We will not be finished, we will continue to work here</v>
      </c>
      <c r="D9067" s="5"/>
      <c r="E9067" s="5"/>
      <c r="F9067" s="5"/>
      <c r="G9067" s="5"/>
      <c r="H9067" s="5"/>
      <c r="I9067" s="5"/>
      <c r="J9067" s="5"/>
      <c r="K9067" s="5"/>
      <c r="L9067" s="5"/>
      <c r="M9067" s="5"/>
      <c r="N9067" s="5"/>
      <c r="O9067" s="5"/>
      <c r="P9067" s="5"/>
      <c r="Q9067" s="5"/>
      <c r="R9067" s="5"/>
      <c r="S9067" s="5"/>
      <c r="T9067" s="5"/>
      <c r="U9067" s="5"/>
      <c r="V9067" s="5"/>
      <c r="W9067" s="5"/>
      <c r="X9067" s="5"/>
      <c r="Y9067" s="5"/>
      <c r="Z9067" s="5"/>
    </row>
    <row r="9068" spans="1:26" ht="15" x14ac:dyDescent="0.25">
      <c r="A9068" s="4" t="s">
        <v>9067</v>
      </c>
      <c r="B9068" s="4" t="s">
        <v>9011</v>
      </c>
      <c r="C9068" s="2" t="str">
        <f ca="1">IFERROR(__xludf.DUMMYFUNCTION("GOOGLETRANSLATE(A9068,""bn"",""en"")"),"He will exhibit his artwork in a large-scale exhibition next year that will put him on the international map")</f>
        <v>He will exhibit his artwork in a large-scale exhibition next year that will put him on the international map</v>
      </c>
      <c r="D9068" s="5"/>
      <c r="E9068" s="5"/>
      <c r="F9068" s="5"/>
      <c r="G9068" s="5"/>
      <c r="H9068" s="5"/>
      <c r="I9068" s="5"/>
      <c r="J9068" s="5"/>
      <c r="K9068" s="5"/>
      <c r="L9068" s="5"/>
      <c r="M9068" s="5"/>
      <c r="N9068" s="5"/>
      <c r="O9068" s="5"/>
      <c r="P9068" s="5"/>
      <c r="Q9068" s="5"/>
      <c r="R9068" s="5"/>
      <c r="S9068" s="5"/>
      <c r="T9068" s="5"/>
      <c r="U9068" s="5"/>
      <c r="V9068" s="5"/>
      <c r="W9068" s="5"/>
      <c r="X9068" s="5"/>
      <c r="Y9068" s="5"/>
      <c r="Z9068" s="5"/>
    </row>
    <row r="9069" spans="1:26" ht="15" x14ac:dyDescent="0.25">
      <c r="A9069" s="4" t="s">
        <v>9068</v>
      </c>
      <c r="B9069" s="4" t="s">
        <v>9011</v>
      </c>
      <c r="C9069" s="2" t="str">
        <f ca="1">IFERROR(__xludf.DUMMYFUNCTION("GOOGLETRANSLATE(A9069,""bn"",""en"")"),"In the future I will be a successful artist where my artwork will be exhibited all over the world")</f>
        <v>In the future I will be a successful artist where my artwork will be exhibited all over the world</v>
      </c>
      <c r="D9069" s="5"/>
      <c r="E9069" s="5"/>
      <c r="F9069" s="5"/>
      <c r="G9069" s="5"/>
      <c r="H9069" s="5"/>
      <c r="I9069" s="5"/>
      <c r="J9069" s="5"/>
      <c r="K9069" s="5"/>
      <c r="L9069" s="5"/>
      <c r="M9069" s="5"/>
      <c r="N9069" s="5"/>
      <c r="O9069" s="5"/>
      <c r="P9069" s="5"/>
      <c r="Q9069" s="5"/>
      <c r="R9069" s="5"/>
      <c r="S9069" s="5"/>
      <c r="T9069" s="5"/>
      <c r="U9069" s="5"/>
      <c r="V9069" s="5"/>
      <c r="W9069" s="5"/>
      <c r="X9069" s="5"/>
      <c r="Y9069" s="5"/>
      <c r="Z9069" s="5"/>
    </row>
    <row r="9070" spans="1:26" ht="15" x14ac:dyDescent="0.25">
      <c r="A9070" s="4" t="s">
        <v>9069</v>
      </c>
      <c r="B9070" s="4" t="s">
        <v>9011</v>
      </c>
      <c r="C9070" s="2" t="str">
        <f ca="1">IFERROR(__xludf.DUMMYFUNCTION("GOOGLETRANSLATE(A9070,""bn"",""en"")"),"They will go to buy cover for new mobile phone tomorrow")</f>
        <v>They will go to buy cover for new mobile phone tomorrow</v>
      </c>
      <c r="D9070" s="5"/>
      <c r="E9070" s="5"/>
      <c r="F9070" s="5"/>
      <c r="G9070" s="5"/>
      <c r="H9070" s="5"/>
      <c r="I9070" s="5"/>
      <c r="J9070" s="5"/>
      <c r="K9070" s="5"/>
      <c r="L9070" s="5"/>
      <c r="M9070" s="5"/>
      <c r="N9070" s="5"/>
      <c r="O9070" s="5"/>
      <c r="P9070" s="5"/>
      <c r="Q9070" s="5"/>
      <c r="R9070" s="5"/>
      <c r="S9070" s="5"/>
      <c r="T9070" s="5"/>
      <c r="U9070" s="5"/>
      <c r="V9070" s="5"/>
      <c r="W9070" s="5"/>
      <c r="X9070" s="5"/>
      <c r="Y9070" s="5"/>
      <c r="Z9070" s="5"/>
    </row>
    <row r="9071" spans="1:26" ht="15" x14ac:dyDescent="0.25">
      <c r="A9071" s="4" t="s">
        <v>9070</v>
      </c>
      <c r="B9071" s="4" t="s">
        <v>9011</v>
      </c>
      <c r="C9071" s="2" t="str">
        <f ca="1">IFERROR(__xludf.DUMMYFUNCTION("GOOGLETRANSLATE(A9071,""bn"",""en"")"),"It would be great to see a football game")</f>
        <v>It would be great to see a football game</v>
      </c>
      <c r="D9071" s="5"/>
      <c r="E9071" s="5"/>
      <c r="F9071" s="5"/>
      <c r="G9071" s="5"/>
      <c r="H9071" s="5"/>
      <c r="I9071" s="5"/>
      <c r="J9071" s="5"/>
      <c r="K9071" s="5"/>
      <c r="L9071" s="5"/>
      <c r="M9071" s="5"/>
      <c r="N9071" s="5"/>
      <c r="O9071" s="5"/>
      <c r="P9071" s="5"/>
      <c r="Q9071" s="5"/>
      <c r="R9071" s="5"/>
      <c r="S9071" s="5"/>
      <c r="T9071" s="5"/>
      <c r="U9071" s="5"/>
      <c r="V9071" s="5"/>
      <c r="W9071" s="5"/>
      <c r="X9071" s="5"/>
      <c r="Y9071" s="5"/>
      <c r="Z9071" s="5"/>
    </row>
    <row r="9072" spans="1:26" ht="15" x14ac:dyDescent="0.25">
      <c r="A9072" s="4" t="s">
        <v>9071</v>
      </c>
      <c r="B9072" s="4" t="s">
        <v>9011</v>
      </c>
      <c r="C9072" s="2" t="str">
        <f ca="1">IFERROR(__xludf.DUMMYFUNCTION("GOOGLETRANSLATE(A9072,""bn"",""en"")"),"Once all the setup is complete they will complete our project through their own efforts")</f>
        <v>Once all the setup is complete they will complete our project through their own efforts</v>
      </c>
      <c r="D9072" s="5"/>
      <c r="E9072" s="5"/>
      <c r="F9072" s="5"/>
      <c r="G9072" s="5"/>
      <c r="H9072" s="5"/>
      <c r="I9072" s="5"/>
      <c r="J9072" s="5"/>
      <c r="K9072" s="5"/>
      <c r="L9072" s="5"/>
      <c r="M9072" s="5"/>
      <c r="N9072" s="5"/>
      <c r="O9072" s="5"/>
      <c r="P9072" s="5"/>
      <c r="Q9072" s="5"/>
      <c r="R9072" s="5"/>
      <c r="S9072" s="5"/>
      <c r="T9072" s="5"/>
      <c r="U9072" s="5"/>
      <c r="V9072" s="5"/>
      <c r="W9072" s="5"/>
      <c r="X9072" s="5"/>
      <c r="Y9072" s="5"/>
      <c r="Z9072" s="5"/>
    </row>
    <row r="9073" spans="1:26" ht="15" x14ac:dyDescent="0.25">
      <c r="A9073" s="4" t="s">
        <v>9072</v>
      </c>
      <c r="B9073" s="4" t="s">
        <v>9011</v>
      </c>
      <c r="C9073" s="2" t="str">
        <f ca="1">IFERROR(__xludf.DUMMYFUNCTION("GOOGLETRANSLATE(A9073,""bn"",""en"")"),"Every winter I spend quiet time with my plants and it brings me unforgettable joy")</f>
        <v>Every winter I spend quiet time with my plants and it brings me unforgettable joy</v>
      </c>
      <c r="D9073" s="5"/>
      <c r="E9073" s="5"/>
      <c r="F9073" s="5"/>
      <c r="G9073" s="5"/>
      <c r="H9073" s="5"/>
      <c r="I9073" s="5"/>
      <c r="J9073" s="5"/>
      <c r="K9073" s="5"/>
      <c r="L9073" s="5"/>
      <c r="M9073" s="5"/>
      <c r="N9073" s="5"/>
      <c r="O9073" s="5"/>
      <c r="P9073" s="5"/>
      <c r="Q9073" s="5"/>
      <c r="R9073" s="5"/>
      <c r="S9073" s="5"/>
      <c r="T9073" s="5"/>
      <c r="U9073" s="5"/>
      <c r="V9073" s="5"/>
      <c r="W9073" s="5"/>
      <c r="X9073" s="5"/>
      <c r="Y9073" s="5"/>
      <c r="Z9073" s="5"/>
    </row>
    <row r="9074" spans="1:26" ht="15" x14ac:dyDescent="0.25">
      <c r="A9074" s="4" t="s">
        <v>9073</v>
      </c>
      <c r="B9074" s="4" t="s">
        <v>9011</v>
      </c>
      <c r="C9074" s="2" t="str">
        <f ca="1">IFERROR(__xludf.DUMMYFUNCTION("GOOGLETRANSLATE(A9074,""bn"",""en"")"),"When the time is over, the loved one will not give time")</f>
        <v>When the time is over, the loved one will not give time</v>
      </c>
      <c r="D9074" s="5"/>
      <c r="E9074" s="5"/>
      <c r="F9074" s="5"/>
      <c r="G9074" s="5"/>
      <c r="H9074" s="5"/>
      <c r="I9074" s="5"/>
      <c r="J9074" s="5"/>
      <c r="K9074" s="5"/>
      <c r="L9074" s="5"/>
      <c r="M9074" s="5"/>
      <c r="N9074" s="5"/>
      <c r="O9074" s="5"/>
      <c r="P9074" s="5"/>
      <c r="Q9074" s="5"/>
      <c r="R9074" s="5"/>
      <c r="S9074" s="5"/>
      <c r="T9074" s="5"/>
      <c r="U9074" s="5"/>
      <c r="V9074" s="5"/>
      <c r="W9074" s="5"/>
      <c r="X9074" s="5"/>
      <c r="Y9074" s="5"/>
      <c r="Z9074" s="5"/>
    </row>
    <row r="9075" spans="1:26" ht="15" x14ac:dyDescent="0.25">
      <c r="A9075" s="4" t="s">
        <v>9074</v>
      </c>
      <c r="B9075" s="4" t="s">
        <v>9011</v>
      </c>
      <c r="C9075" s="2" t="str">
        <f ca="1">IFERROR(__xludf.DUMMYFUNCTION("GOOGLETRANSLATE(A9075,""bn"",""en"")"),"In future I will be a successful teacher where I will teach many students")</f>
        <v>In future I will be a successful teacher where I will teach many students</v>
      </c>
      <c r="D9075" s="5"/>
      <c r="E9075" s="5"/>
      <c r="F9075" s="5"/>
      <c r="G9075" s="5"/>
      <c r="H9075" s="5"/>
      <c r="I9075" s="5"/>
      <c r="J9075" s="5"/>
      <c r="K9075" s="5"/>
      <c r="L9075" s="5"/>
      <c r="M9075" s="5"/>
      <c r="N9075" s="5"/>
      <c r="O9075" s="5"/>
      <c r="P9075" s="5"/>
      <c r="Q9075" s="5"/>
      <c r="R9075" s="5"/>
      <c r="S9075" s="5"/>
      <c r="T9075" s="5"/>
      <c r="U9075" s="5"/>
      <c r="V9075" s="5"/>
      <c r="W9075" s="5"/>
      <c r="X9075" s="5"/>
      <c r="Y9075" s="5"/>
      <c r="Z9075" s="5"/>
    </row>
    <row r="9076" spans="1:26" ht="15" x14ac:dyDescent="0.25">
      <c r="A9076" s="4" t="s">
        <v>9075</v>
      </c>
      <c r="B9076" s="4" t="s">
        <v>9011</v>
      </c>
      <c r="C9076" s="2" t="str">
        <f ca="1">IFERROR(__xludf.DUMMYFUNCTION("GOOGLETRANSLATE(A9076,""bn"",""en"")"),"I will spend the afternoon leaving the melody of the violin, my mind will feel very light today")</f>
        <v>I will spend the afternoon leaving the melody of the violin, my mind will feel very light today</v>
      </c>
      <c r="D9076" s="5"/>
      <c r="E9076" s="5"/>
      <c r="F9076" s="5"/>
      <c r="G9076" s="5"/>
      <c r="H9076" s="5"/>
      <c r="I9076" s="5"/>
      <c r="J9076" s="5"/>
      <c r="K9076" s="5"/>
      <c r="L9076" s="5"/>
      <c r="M9076" s="5"/>
      <c r="N9076" s="5"/>
      <c r="O9076" s="5"/>
      <c r="P9076" s="5"/>
      <c r="Q9076" s="5"/>
      <c r="R9076" s="5"/>
      <c r="S9076" s="5"/>
      <c r="T9076" s="5"/>
      <c r="U9076" s="5"/>
      <c r="V9076" s="5"/>
      <c r="W9076" s="5"/>
      <c r="X9076" s="5"/>
      <c r="Y9076" s="5"/>
      <c r="Z9076" s="5"/>
    </row>
    <row r="9077" spans="1:26" ht="15" x14ac:dyDescent="0.25">
      <c r="A9077" s="4" t="s">
        <v>9076</v>
      </c>
      <c r="B9077" s="4" t="s">
        <v>9011</v>
      </c>
      <c r="C9077" s="2" t="str">
        <f ca="1">IFERROR(__xludf.DUMMYFUNCTION("GOOGLETRANSLATE(A9077,""bn"",""en"")"),"I will get the first salary and I will give the money to my father and tell him, father, take the money to run the house, you don't have to worry anymore")</f>
        <v>I will get the first salary and I will give the money to my father and tell him, father, take the money to run the house, you don't have to worry anymore</v>
      </c>
      <c r="D9077" s="5"/>
      <c r="E9077" s="5"/>
      <c r="F9077" s="5"/>
      <c r="G9077" s="5"/>
      <c r="H9077" s="5"/>
      <c r="I9077" s="5"/>
      <c r="J9077" s="5"/>
      <c r="K9077" s="5"/>
      <c r="L9077" s="5"/>
      <c r="M9077" s="5"/>
      <c r="N9077" s="5"/>
      <c r="O9077" s="5"/>
      <c r="P9077" s="5"/>
      <c r="Q9077" s="5"/>
      <c r="R9077" s="5"/>
      <c r="S9077" s="5"/>
      <c r="T9077" s="5"/>
      <c r="U9077" s="5"/>
      <c r="V9077" s="5"/>
      <c r="W9077" s="5"/>
      <c r="X9077" s="5"/>
      <c r="Y9077" s="5"/>
      <c r="Z9077" s="5"/>
    </row>
    <row r="9078" spans="1:26" ht="15" x14ac:dyDescent="0.25">
      <c r="A9078" s="4" t="s">
        <v>9077</v>
      </c>
      <c r="B9078" s="4" t="s">
        <v>9011</v>
      </c>
      <c r="C9078" s="2" t="str">
        <f ca="1">IFERROR(__xludf.DUMMYFUNCTION("GOOGLETRANSLATE(A9078,""bn"",""en"")"),"They will organize a big public service event tomorrow where the weaker members of the society will be helped")</f>
        <v>They will organize a big public service event tomorrow where the weaker members of the society will be helped</v>
      </c>
      <c r="D9078" s="5"/>
      <c r="E9078" s="5"/>
      <c r="F9078" s="5"/>
      <c r="G9078" s="5"/>
      <c r="H9078" s="5"/>
      <c r="I9078" s="5"/>
      <c r="J9078" s="5"/>
      <c r="K9078" s="5"/>
      <c r="L9078" s="5"/>
      <c r="M9078" s="5"/>
      <c r="N9078" s="5"/>
      <c r="O9078" s="5"/>
      <c r="P9078" s="5"/>
      <c r="Q9078" s="5"/>
      <c r="R9078" s="5"/>
      <c r="S9078" s="5"/>
      <c r="T9078" s="5"/>
      <c r="U9078" s="5"/>
      <c r="V9078" s="5"/>
      <c r="W9078" s="5"/>
      <c r="X9078" s="5"/>
      <c r="Y9078" s="5"/>
      <c r="Z9078" s="5"/>
    </row>
    <row r="9079" spans="1:26" ht="15" x14ac:dyDescent="0.25">
      <c r="A9079" s="4" t="s">
        <v>9078</v>
      </c>
      <c r="B9079" s="4" t="s">
        <v>9011</v>
      </c>
      <c r="C9079" s="2" t="str">
        <f ca="1">IFERROR(__xludf.DUMMYFUNCTION("GOOGLETRANSLATE(A9079,""bn"",""en"")"),"Didi does not forget to come home occasionally even after a happy marriage in a festive mood at home on the news of your marriage")</f>
        <v>Didi does not forget to come home occasionally even after a happy marriage in a festive mood at home on the news of your marriage</v>
      </c>
      <c r="D9079" s="5"/>
      <c r="E9079" s="5"/>
      <c r="F9079" s="5"/>
      <c r="G9079" s="5"/>
      <c r="H9079" s="5"/>
      <c r="I9079" s="5"/>
      <c r="J9079" s="5"/>
      <c r="K9079" s="5"/>
      <c r="L9079" s="5"/>
      <c r="M9079" s="5"/>
      <c r="N9079" s="5"/>
      <c r="O9079" s="5"/>
      <c r="P9079" s="5"/>
      <c r="Q9079" s="5"/>
      <c r="R9079" s="5"/>
      <c r="S9079" s="5"/>
      <c r="T9079" s="5"/>
      <c r="U9079" s="5"/>
      <c r="V9079" s="5"/>
      <c r="W9079" s="5"/>
      <c r="X9079" s="5"/>
      <c r="Y9079" s="5"/>
      <c r="Z9079" s="5"/>
    </row>
    <row r="9080" spans="1:26" ht="15" x14ac:dyDescent="0.25">
      <c r="A9080" s="4" t="s">
        <v>9079</v>
      </c>
      <c r="B9080" s="4" t="s">
        <v>9011</v>
      </c>
      <c r="C9080" s="2" t="str">
        <f ca="1">IFERROR(__xludf.DUMMYFUNCTION("GOOGLETRANSLATE(A9080,""bn"",""en"")"),"I will learn a lot from elder brother, his success will give me more motivation. Wish everyone for the job")</f>
        <v>I will learn a lot from elder brother, his success will give me more motivation. Wish everyone for the job</v>
      </c>
      <c r="D9080" s="5"/>
      <c r="E9080" s="5"/>
      <c r="F9080" s="5"/>
      <c r="G9080" s="5"/>
      <c r="H9080" s="5"/>
      <c r="I9080" s="5"/>
      <c r="J9080" s="5"/>
      <c r="K9080" s="5"/>
      <c r="L9080" s="5"/>
      <c r="M9080" s="5"/>
      <c r="N9080" s="5"/>
      <c r="O9080" s="5"/>
      <c r="P9080" s="5"/>
      <c r="Q9080" s="5"/>
      <c r="R9080" s="5"/>
      <c r="S9080" s="5"/>
      <c r="T9080" s="5"/>
      <c r="U9080" s="5"/>
      <c r="V9080" s="5"/>
      <c r="W9080" s="5"/>
      <c r="X9080" s="5"/>
      <c r="Y9080" s="5"/>
      <c r="Z9080" s="5"/>
    </row>
    <row r="9081" spans="1:26" ht="15" x14ac:dyDescent="0.25">
      <c r="A9081" s="4" t="s">
        <v>9080</v>
      </c>
      <c r="B9081" s="4" t="s">
        <v>9011</v>
      </c>
      <c r="C9081" s="2" t="str">
        <f ca="1">IFERROR(__xludf.DUMMYFUNCTION("GOOGLETRANSLATE(A9081,""bn"",""en"")"),"Next year we will build a large-scale industrial plant which will play a major role in the economy of our country")</f>
        <v>Next year we will build a large-scale industrial plant which will play a major role in the economy of our country</v>
      </c>
      <c r="D9081" s="5"/>
      <c r="E9081" s="5"/>
      <c r="F9081" s="5"/>
      <c r="G9081" s="5"/>
      <c r="H9081" s="5"/>
      <c r="I9081" s="5"/>
      <c r="J9081" s="5"/>
      <c r="K9081" s="5"/>
      <c r="L9081" s="5"/>
      <c r="M9081" s="5"/>
      <c r="N9081" s="5"/>
      <c r="O9081" s="5"/>
      <c r="P9081" s="5"/>
      <c r="Q9081" s="5"/>
      <c r="R9081" s="5"/>
      <c r="S9081" s="5"/>
      <c r="T9081" s="5"/>
      <c r="U9081" s="5"/>
      <c r="V9081" s="5"/>
      <c r="W9081" s="5"/>
      <c r="X9081" s="5"/>
      <c r="Y9081" s="5"/>
      <c r="Z9081" s="5"/>
    </row>
    <row r="9082" spans="1:26" ht="15" x14ac:dyDescent="0.25">
      <c r="A9082" s="4" t="s">
        <v>9081</v>
      </c>
      <c r="B9082" s="4" t="s">
        <v>9011</v>
      </c>
      <c r="C9082" s="2" t="str">
        <f ca="1">IFERROR(__xludf.DUMMYFUNCTION("GOOGLETRANSLATE(A9082,""bn"",""en"")"),"Only those who will have elder brothers and sisters can tell the support that they will get from elder brothers and sisters after parents")</f>
        <v>Only those who will have elder brothers and sisters can tell the support that they will get from elder brothers and sisters after parents</v>
      </c>
      <c r="D9082" s="5"/>
      <c r="E9082" s="5"/>
      <c r="F9082" s="5"/>
      <c r="G9082" s="5"/>
      <c r="H9082" s="5"/>
      <c r="I9082" s="5"/>
      <c r="J9082" s="5"/>
      <c r="K9082" s="5"/>
      <c r="L9082" s="5"/>
      <c r="M9082" s="5"/>
      <c r="N9082" s="5"/>
      <c r="O9082" s="5"/>
      <c r="P9082" s="5"/>
      <c r="Q9082" s="5"/>
      <c r="R9082" s="5"/>
      <c r="S9082" s="5"/>
      <c r="T9082" s="5"/>
      <c r="U9082" s="5"/>
      <c r="V9082" s="5"/>
      <c r="W9082" s="5"/>
      <c r="X9082" s="5"/>
      <c r="Y9082" s="5"/>
      <c r="Z9082" s="5"/>
    </row>
    <row r="9083" spans="1:26" ht="15" x14ac:dyDescent="0.25">
      <c r="A9083" s="4" t="s">
        <v>9082</v>
      </c>
      <c r="B9083" s="4" t="s">
        <v>9011</v>
      </c>
      <c r="C9083" s="2" t="str">
        <f ca="1">IFERROR(__xludf.DUMMYFUNCTION("GOOGLETRANSLATE(A9083,""bn"",""en"")"),"Tomorrow you will attend an exhibition on advanced agricultural technology")</f>
        <v>Tomorrow you will attend an exhibition on advanced agricultural technology</v>
      </c>
      <c r="D9083" s="5"/>
      <c r="E9083" s="5"/>
      <c r="F9083" s="5"/>
      <c r="G9083" s="5"/>
      <c r="H9083" s="5"/>
      <c r="I9083" s="5"/>
      <c r="J9083" s="5"/>
      <c r="K9083" s="5"/>
      <c r="L9083" s="5"/>
      <c r="M9083" s="5"/>
      <c r="N9083" s="5"/>
      <c r="O9083" s="5"/>
      <c r="P9083" s="5"/>
      <c r="Q9083" s="5"/>
      <c r="R9083" s="5"/>
      <c r="S9083" s="5"/>
      <c r="T9083" s="5"/>
      <c r="U9083" s="5"/>
      <c r="V9083" s="5"/>
      <c r="W9083" s="5"/>
      <c r="X9083" s="5"/>
      <c r="Y9083" s="5"/>
      <c r="Z9083" s="5"/>
    </row>
    <row r="9084" spans="1:26" ht="15" x14ac:dyDescent="0.25">
      <c r="A9084" s="4" t="s">
        <v>9083</v>
      </c>
      <c r="B9084" s="4" t="s">
        <v>9011</v>
      </c>
      <c r="C9084" s="2" t="str">
        <f ca="1">IFERROR(__xludf.DUMMYFUNCTION("GOOGLETRANSLATE(A9084,""bn"",""en"")"),"We are going to eat at a new restaurant tomorrow")</f>
        <v>We are going to eat at a new restaurant tomorrow</v>
      </c>
      <c r="D9084" s="5"/>
      <c r="E9084" s="5"/>
      <c r="F9084" s="5"/>
      <c r="G9084" s="5"/>
      <c r="H9084" s="5"/>
      <c r="I9084" s="5"/>
      <c r="J9084" s="5"/>
      <c r="K9084" s="5"/>
      <c r="L9084" s="5"/>
      <c r="M9084" s="5"/>
      <c r="N9084" s="5"/>
      <c r="O9084" s="5"/>
      <c r="P9084" s="5"/>
      <c r="Q9084" s="5"/>
      <c r="R9084" s="5"/>
      <c r="S9084" s="5"/>
      <c r="T9084" s="5"/>
      <c r="U9084" s="5"/>
      <c r="V9084" s="5"/>
      <c r="W9084" s="5"/>
      <c r="X9084" s="5"/>
      <c r="Y9084" s="5"/>
      <c r="Z9084" s="5"/>
    </row>
    <row r="9085" spans="1:26" ht="15" x14ac:dyDescent="0.25">
      <c r="A9085" s="4" t="s">
        <v>9084</v>
      </c>
      <c r="B9085" s="4" t="s">
        <v>9011</v>
      </c>
      <c r="C9085" s="2" t="str">
        <f ca="1">IFERROR(__xludf.DUMMYFUNCTION("GOOGLETRANSLATE(A9085,""bn"",""en"")"),"Suddenly I will see a small rabbit eating grass in a corner of the garden")</f>
        <v>Suddenly I will see a small rabbit eating grass in a corner of the garden</v>
      </c>
      <c r="D9085" s="5"/>
      <c r="E9085" s="5"/>
      <c r="F9085" s="5"/>
      <c r="G9085" s="5"/>
      <c r="H9085" s="5"/>
      <c r="I9085" s="5"/>
      <c r="J9085" s="5"/>
      <c r="K9085" s="5"/>
      <c r="L9085" s="5"/>
      <c r="M9085" s="5"/>
      <c r="N9085" s="5"/>
      <c r="O9085" s="5"/>
      <c r="P9085" s="5"/>
      <c r="Q9085" s="5"/>
      <c r="R9085" s="5"/>
      <c r="S9085" s="5"/>
      <c r="T9085" s="5"/>
      <c r="U9085" s="5"/>
      <c r="V9085" s="5"/>
      <c r="W9085" s="5"/>
      <c r="X9085" s="5"/>
      <c r="Y9085" s="5"/>
      <c r="Z9085" s="5"/>
    </row>
    <row r="9086" spans="1:26" ht="15" x14ac:dyDescent="0.25">
      <c r="A9086" s="4" t="s">
        <v>9085</v>
      </c>
      <c r="B9086" s="4" t="s">
        <v>9011</v>
      </c>
      <c r="C9086" s="2" t="str">
        <f ca="1">IFERROR(__xludf.DUMMYFUNCTION("GOOGLETRANSLATE(A9086,""bn"",""en"")"),"I will get a title in my field of study when I complete my post graduate studies")</f>
        <v>I will get a title in my field of study when I complete my post graduate studies</v>
      </c>
      <c r="D9086" s="5"/>
      <c r="E9086" s="5"/>
      <c r="F9086" s="5"/>
      <c r="G9086" s="5"/>
      <c r="H9086" s="5"/>
      <c r="I9086" s="5"/>
      <c r="J9086" s="5"/>
      <c r="K9086" s="5"/>
      <c r="L9086" s="5"/>
      <c r="M9086" s="5"/>
      <c r="N9086" s="5"/>
      <c r="O9086" s="5"/>
      <c r="P9086" s="5"/>
      <c r="Q9086" s="5"/>
      <c r="R9086" s="5"/>
      <c r="S9086" s="5"/>
      <c r="T9086" s="5"/>
      <c r="U9086" s="5"/>
      <c r="V9086" s="5"/>
      <c r="W9086" s="5"/>
      <c r="X9086" s="5"/>
      <c r="Y9086" s="5"/>
      <c r="Z9086" s="5"/>
    </row>
    <row r="9087" spans="1:26" ht="15" x14ac:dyDescent="0.25">
      <c r="A9087" s="4" t="s">
        <v>9086</v>
      </c>
      <c r="B9087" s="4" t="s">
        <v>9011</v>
      </c>
      <c r="C9087" s="2" t="str">
        <f ca="1">IFERROR(__xludf.DUMMYFUNCTION("GOOGLETRANSLATE(A9087,""bn"",""en"")"),"My victory will be the result of your support")</f>
        <v>My victory will be the result of your support</v>
      </c>
      <c r="D9087" s="5"/>
      <c r="E9087" s="5"/>
      <c r="F9087" s="5"/>
      <c r="G9087" s="5"/>
      <c r="H9087" s="5"/>
      <c r="I9087" s="5"/>
      <c r="J9087" s="5"/>
      <c r="K9087" s="5"/>
      <c r="L9087" s="5"/>
      <c r="M9087" s="5"/>
      <c r="N9087" s="5"/>
      <c r="O9087" s="5"/>
      <c r="P9087" s="5"/>
      <c r="Q9087" s="5"/>
      <c r="R9087" s="5"/>
      <c r="S9087" s="5"/>
      <c r="T9087" s="5"/>
      <c r="U9087" s="5"/>
      <c r="V9087" s="5"/>
      <c r="W9087" s="5"/>
      <c r="X9087" s="5"/>
      <c r="Y9087" s="5"/>
      <c r="Z9087" s="5"/>
    </row>
    <row r="9088" spans="1:26" ht="15" x14ac:dyDescent="0.25">
      <c r="A9088" s="4" t="s">
        <v>9087</v>
      </c>
      <c r="B9088" s="4" t="s">
        <v>9011</v>
      </c>
      <c r="C9088" s="2" t="str">
        <f ca="1">IFERROR(__xludf.DUMMYFUNCTION("GOOGLETRANSLATE(A9088,""bn"",""en"")"),"I will collect all the necessary information when they call")</f>
        <v>I will collect all the necessary information when they call</v>
      </c>
      <c r="D9088" s="5"/>
      <c r="E9088" s="5"/>
      <c r="F9088" s="5"/>
      <c r="G9088" s="5"/>
      <c r="H9088" s="5"/>
      <c r="I9088" s="5"/>
      <c r="J9088" s="5"/>
      <c r="K9088" s="5"/>
      <c r="L9088" s="5"/>
      <c r="M9088" s="5"/>
      <c r="N9088" s="5"/>
      <c r="O9088" s="5"/>
      <c r="P9088" s="5"/>
      <c r="Q9088" s="5"/>
      <c r="R9088" s="5"/>
      <c r="S9088" s="5"/>
      <c r="T9088" s="5"/>
      <c r="U9088" s="5"/>
      <c r="V9088" s="5"/>
      <c r="W9088" s="5"/>
      <c r="X9088" s="5"/>
      <c r="Y9088" s="5"/>
      <c r="Z9088" s="5"/>
    </row>
    <row r="9089" spans="1:26" ht="15" x14ac:dyDescent="0.25">
      <c r="A9089" s="4" t="s">
        <v>9088</v>
      </c>
      <c r="B9089" s="4" t="s">
        <v>9011</v>
      </c>
      <c r="C9089" s="2" t="str">
        <f ca="1">IFERROR(__xludf.DUMMYFUNCTION("GOOGLETRANSLATE(A9089,""bn"",""en"")"),"Tomorrow I will give an important presentation to present our new project idea to everyone")</f>
        <v>Tomorrow I will give an important presentation to present our new project idea to everyone</v>
      </c>
      <c r="D9089" s="5"/>
      <c r="E9089" s="5"/>
      <c r="F9089" s="5"/>
      <c r="G9089" s="5"/>
      <c r="H9089" s="5"/>
      <c r="I9089" s="5"/>
      <c r="J9089" s="5"/>
      <c r="K9089" s="5"/>
      <c r="L9089" s="5"/>
      <c r="M9089" s="5"/>
      <c r="N9089" s="5"/>
      <c r="O9089" s="5"/>
      <c r="P9089" s="5"/>
      <c r="Q9089" s="5"/>
      <c r="R9089" s="5"/>
      <c r="S9089" s="5"/>
      <c r="T9089" s="5"/>
      <c r="U9089" s="5"/>
      <c r="V9089" s="5"/>
      <c r="W9089" s="5"/>
      <c r="X9089" s="5"/>
      <c r="Y9089" s="5"/>
      <c r="Z9089" s="5"/>
    </row>
    <row r="9090" spans="1:26" ht="15" x14ac:dyDescent="0.25">
      <c r="A9090" s="4" t="s">
        <v>9089</v>
      </c>
      <c r="B9090" s="4" t="s">
        <v>9011</v>
      </c>
      <c r="C9090" s="2" t="str">
        <f ca="1">IFERROR(__xludf.DUMMYFUNCTION("GOOGLETRANSLATE(A9090,""bn"",""en"")"),"Tomorrow I will sign a major business deal that will create new possibilities for our company")</f>
        <v>Tomorrow I will sign a major business deal that will create new possibilities for our company</v>
      </c>
      <c r="D9090" s="5"/>
      <c r="E9090" s="5"/>
      <c r="F9090" s="5"/>
      <c r="G9090" s="5"/>
      <c r="H9090" s="5"/>
      <c r="I9090" s="5"/>
      <c r="J9090" s="5"/>
      <c r="K9090" s="5"/>
      <c r="L9090" s="5"/>
      <c r="M9090" s="5"/>
      <c r="N9090" s="5"/>
      <c r="O9090" s="5"/>
      <c r="P9090" s="5"/>
      <c r="Q9090" s="5"/>
      <c r="R9090" s="5"/>
      <c r="S9090" s="5"/>
      <c r="T9090" s="5"/>
      <c r="U9090" s="5"/>
      <c r="V9090" s="5"/>
      <c r="W9090" s="5"/>
      <c r="X9090" s="5"/>
      <c r="Y9090" s="5"/>
      <c r="Z9090" s="5"/>
    </row>
    <row r="9091" spans="1:26" ht="15" x14ac:dyDescent="0.25">
      <c r="A9091" s="4" t="s">
        <v>9090</v>
      </c>
      <c r="B9091" s="4" t="s">
        <v>9011</v>
      </c>
      <c r="C9091" s="2" t="str">
        <f ca="1">IFERROR(__xludf.DUMMYFUNCTION("GOOGLETRANSLATE(A9091,""bn"",""en"")"),"Homemade food will be better than restaurant")</f>
        <v>Homemade food will be better than restaurant</v>
      </c>
      <c r="D9091" s="5"/>
      <c r="E9091" s="5"/>
      <c r="F9091" s="5"/>
      <c r="G9091" s="5"/>
      <c r="H9091" s="5"/>
      <c r="I9091" s="5"/>
      <c r="J9091" s="5"/>
      <c r="K9091" s="5"/>
      <c r="L9091" s="5"/>
      <c r="M9091" s="5"/>
      <c r="N9091" s="5"/>
      <c r="O9091" s="5"/>
      <c r="P9091" s="5"/>
      <c r="Q9091" s="5"/>
      <c r="R9091" s="5"/>
      <c r="S9091" s="5"/>
      <c r="T9091" s="5"/>
      <c r="U9091" s="5"/>
      <c r="V9091" s="5"/>
      <c r="W9091" s="5"/>
      <c r="X9091" s="5"/>
      <c r="Y9091" s="5"/>
      <c r="Z9091" s="5"/>
    </row>
    <row r="9092" spans="1:26" ht="15" x14ac:dyDescent="0.25">
      <c r="A9092" s="4" t="s">
        <v>9091</v>
      </c>
      <c r="B9092" s="4" t="s">
        <v>9011</v>
      </c>
      <c r="C9092" s="2" t="str">
        <f ca="1">IFERROR(__xludf.DUMMYFUNCTION("GOOGLETRANSLATE(A9092,""bn"",""en"")"),"I am going to play basketball in the garden tomorrow")</f>
        <v>I am going to play basketball in the garden tomorrow</v>
      </c>
      <c r="D9092" s="5"/>
      <c r="E9092" s="5"/>
      <c r="F9092" s="5"/>
      <c r="G9092" s="5"/>
      <c r="H9092" s="5"/>
      <c r="I9092" s="5"/>
      <c r="J9092" s="5"/>
      <c r="K9092" s="5"/>
      <c r="L9092" s="5"/>
      <c r="M9092" s="5"/>
      <c r="N9092" s="5"/>
      <c r="O9092" s="5"/>
      <c r="P9092" s="5"/>
      <c r="Q9092" s="5"/>
      <c r="R9092" s="5"/>
      <c r="S9092" s="5"/>
      <c r="T9092" s="5"/>
      <c r="U9092" s="5"/>
      <c r="V9092" s="5"/>
      <c r="W9092" s="5"/>
      <c r="X9092" s="5"/>
      <c r="Y9092" s="5"/>
      <c r="Z9092" s="5"/>
    </row>
    <row r="9093" spans="1:26" ht="15" x14ac:dyDescent="0.25">
      <c r="A9093" s="4" t="s">
        <v>9092</v>
      </c>
      <c r="B9093" s="4" t="s">
        <v>9011</v>
      </c>
      <c r="C9093" s="2" t="str">
        <f ca="1">IFERROR(__xludf.DUMMYFUNCTION("GOOGLETRANSLATE(A9093,""bn"",""en"")"),"I am thinking of spending a lot of time studying new concepts in the future.")</f>
        <v>I am thinking of spending a lot of time studying new concepts in the future.</v>
      </c>
      <c r="D9093" s="5"/>
      <c r="E9093" s="5"/>
      <c r="F9093" s="5"/>
      <c r="G9093" s="5"/>
      <c r="H9093" s="5"/>
      <c r="I9093" s="5"/>
      <c r="J9093" s="5"/>
      <c r="K9093" s="5"/>
      <c r="L9093" s="5"/>
      <c r="M9093" s="5"/>
      <c r="N9093" s="5"/>
      <c r="O9093" s="5"/>
      <c r="P9093" s="5"/>
      <c r="Q9093" s="5"/>
      <c r="R9093" s="5"/>
      <c r="S9093" s="5"/>
      <c r="T9093" s="5"/>
      <c r="U9093" s="5"/>
      <c r="V9093" s="5"/>
      <c r="W9093" s="5"/>
      <c r="X9093" s="5"/>
      <c r="Y9093" s="5"/>
      <c r="Z9093" s="5"/>
    </row>
    <row r="9094" spans="1:26" ht="15" x14ac:dyDescent="0.25">
      <c r="A9094" s="4" t="s">
        <v>9093</v>
      </c>
      <c r="B9094" s="4" t="s">
        <v>9011</v>
      </c>
      <c r="C9094" s="2" t="str">
        <f ca="1">IFERROR(__xludf.DUMMYFUNCTION("GOOGLETRANSLATE(A9094,""bn"",""en"")"),"They will be attending a major investment conference next week where they will be looking for new investors")</f>
        <v>They will be attending a major investment conference next week where they will be looking for new investors</v>
      </c>
      <c r="D9094" s="5"/>
      <c r="E9094" s="5"/>
      <c r="F9094" s="5"/>
      <c r="G9094" s="5"/>
      <c r="H9094" s="5"/>
      <c r="I9094" s="5"/>
      <c r="J9094" s="5"/>
      <c r="K9094" s="5"/>
      <c r="L9094" s="5"/>
      <c r="M9094" s="5"/>
      <c r="N9094" s="5"/>
      <c r="O9094" s="5"/>
      <c r="P9094" s="5"/>
      <c r="Q9094" s="5"/>
      <c r="R9094" s="5"/>
      <c r="S9094" s="5"/>
      <c r="T9094" s="5"/>
      <c r="U9094" s="5"/>
      <c r="V9094" s="5"/>
      <c r="W9094" s="5"/>
      <c r="X9094" s="5"/>
      <c r="Y9094" s="5"/>
      <c r="Z9094" s="5"/>
    </row>
    <row r="9095" spans="1:26" ht="15" x14ac:dyDescent="0.25">
      <c r="A9095" s="4" t="s">
        <v>9094</v>
      </c>
      <c r="B9095" s="4" t="s">
        <v>9011</v>
      </c>
      <c r="C9095" s="2" t="str">
        <f ca="1">IFERROR(__xludf.DUMMYFUNCTION("GOOGLETRANSLATE(A9095,""bn"",""en"")"),"What can I say, who knows when they will be able to learn to dance")</f>
        <v>What can I say, who knows when they will be able to learn to dance</v>
      </c>
      <c r="D9095" s="5"/>
      <c r="E9095" s="5"/>
      <c r="F9095" s="5"/>
      <c r="G9095" s="5"/>
      <c r="H9095" s="5"/>
      <c r="I9095" s="5"/>
      <c r="J9095" s="5"/>
      <c r="K9095" s="5"/>
      <c r="L9095" s="5"/>
      <c r="M9095" s="5"/>
      <c r="N9095" s="5"/>
      <c r="O9095" s="5"/>
      <c r="P9095" s="5"/>
      <c r="Q9095" s="5"/>
      <c r="R9095" s="5"/>
      <c r="S9095" s="5"/>
      <c r="T9095" s="5"/>
      <c r="U9095" s="5"/>
      <c r="V9095" s="5"/>
      <c r="W9095" s="5"/>
      <c r="X9095" s="5"/>
      <c r="Y9095" s="5"/>
      <c r="Z9095" s="5"/>
    </row>
    <row r="9096" spans="1:26" ht="15" x14ac:dyDescent="0.25">
      <c r="A9096" s="4" t="s">
        <v>9095</v>
      </c>
      <c r="B9096" s="4" t="s">
        <v>9011</v>
      </c>
      <c r="C9096" s="2" t="str">
        <f ca="1">IFERROR(__xludf.DUMMYFUNCTION("GOOGLETRANSLATE(A9096,""bn"",""en"")"),"Friends after money are like lights and insects, they will stay as long as there is light and they will leave when there is no light.")</f>
        <v>Friends after money are like lights and insects, they will stay as long as there is light and they will leave when there is no light.</v>
      </c>
      <c r="D9096" s="5"/>
      <c r="E9096" s="5"/>
      <c r="F9096" s="5"/>
      <c r="G9096" s="5"/>
      <c r="H9096" s="5"/>
      <c r="I9096" s="5"/>
      <c r="J9096" s="5"/>
      <c r="K9096" s="5"/>
      <c r="L9096" s="5"/>
      <c r="M9096" s="5"/>
      <c r="N9096" s="5"/>
      <c r="O9096" s="5"/>
      <c r="P9096" s="5"/>
      <c r="Q9096" s="5"/>
      <c r="R9096" s="5"/>
      <c r="S9096" s="5"/>
      <c r="T9096" s="5"/>
      <c r="U9096" s="5"/>
      <c r="V9096" s="5"/>
      <c r="W9096" s="5"/>
      <c r="X9096" s="5"/>
      <c r="Y9096" s="5"/>
      <c r="Z9096" s="5"/>
    </row>
    <row r="9097" spans="1:26" ht="15" x14ac:dyDescent="0.25">
      <c r="A9097" s="4" t="s">
        <v>9096</v>
      </c>
      <c r="B9097" s="4" t="s">
        <v>9011</v>
      </c>
      <c r="C9097" s="2" t="str">
        <f ca="1">IFERROR(__xludf.DUMMYFUNCTION("GOOGLETRANSLATE(A9097,""bn"",""en"")"),"Everyone's face will shine in the sweetness of art In creative moments we will be enchanted with joy In creative expression we will taste true happiness We will enjoy joy with everyone in the light of art We will shine all the time")</f>
        <v>Everyone's face will shine in the sweetness of art In creative moments we will be enchanted with joy In creative expression we will taste true happiness We will enjoy joy with everyone in the light of art We will shine all the time</v>
      </c>
      <c r="D9097" s="5"/>
      <c r="E9097" s="5"/>
      <c r="F9097" s="5"/>
      <c r="G9097" s="5"/>
      <c r="H9097" s="5"/>
      <c r="I9097" s="5"/>
      <c r="J9097" s="5"/>
      <c r="K9097" s="5"/>
      <c r="L9097" s="5"/>
      <c r="M9097" s="5"/>
      <c r="N9097" s="5"/>
      <c r="O9097" s="5"/>
      <c r="P9097" s="5"/>
      <c r="Q9097" s="5"/>
      <c r="R9097" s="5"/>
      <c r="S9097" s="5"/>
      <c r="T9097" s="5"/>
      <c r="U9097" s="5"/>
      <c r="V9097" s="5"/>
      <c r="W9097" s="5"/>
      <c r="X9097" s="5"/>
      <c r="Y9097" s="5"/>
      <c r="Z9097" s="5"/>
    </row>
    <row r="9098" spans="1:26" ht="15" x14ac:dyDescent="0.25">
      <c r="A9098" s="4" t="s">
        <v>9097</v>
      </c>
      <c r="B9098" s="4" t="s">
        <v>9011</v>
      </c>
      <c r="C9098" s="2" t="str">
        <f ca="1">IFERROR(__xludf.DUMMYFUNCTION("GOOGLETRANSLATE(A9098,""bn"",""en"")"),"I will give you a treat of water after receiving the news of promotion")</f>
        <v>I will give you a treat of water after receiving the news of promotion</v>
      </c>
      <c r="D9098" s="5"/>
      <c r="E9098" s="5"/>
      <c r="F9098" s="5"/>
      <c r="G9098" s="5"/>
      <c r="H9098" s="5"/>
      <c r="I9098" s="5"/>
      <c r="J9098" s="5"/>
      <c r="K9098" s="5"/>
      <c r="L9098" s="5"/>
      <c r="M9098" s="5"/>
      <c r="N9098" s="5"/>
      <c r="O9098" s="5"/>
      <c r="P9098" s="5"/>
      <c r="Q9098" s="5"/>
      <c r="R9098" s="5"/>
      <c r="S9098" s="5"/>
      <c r="T9098" s="5"/>
      <c r="U9098" s="5"/>
      <c r="V9098" s="5"/>
      <c r="W9098" s="5"/>
      <c r="X9098" s="5"/>
      <c r="Y9098" s="5"/>
      <c r="Z9098" s="5"/>
    </row>
    <row r="9099" spans="1:26" ht="15" x14ac:dyDescent="0.25">
      <c r="A9099" s="4" t="s">
        <v>9098</v>
      </c>
      <c r="B9099" s="4" t="s">
        <v>9011</v>
      </c>
      <c r="C9099" s="2" t="str">
        <f ca="1">IFERROR(__xludf.DUMMYFUNCTION("GOOGLETRANSLATE(A9099,""bn"",""en"")"),"I know that those bad times in life will make me stronger")</f>
        <v>I know that those bad times in life will make me stronger</v>
      </c>
      <c r="D9099" s="5"/>
      <c r="E9099" s="5"/>
      <c r="F9099" s="5"/>
      <c r="G9099" s="5"/>
      <c r="H9099" s="5"/>
      <c r="I9099" s="5"/>
      <c r="J9099" s="5"/>
      <c r="K9099" s="5"/>
      <c r="L9099" s="5"/>
      <c r="M9099" s="5"/>
      <c r="N9099" s="5"/>
      <c r="O9099" s="5"/>
      <c r="P9099" s="5"/>
      <c r="Q9099" s="5"/>
      <c r="R9099" s="5"/>
      <c r="S9099" s="5"/>
      <c r="T9099" s="5"/>
      <c r="U9099" s="5"/>
      <c r="V9099" s="5"/>
      <c r="W9099" s="5"/>
      <c r="X9099" s="5"/>
      <c r="Y9099" s="5"/>
      <c r="Z9099" s="5"/>
    </row>
    <row r="9100" spans="1:26" ht="15" x14ac:dyDescent="0.25">
      <c r="A9100" s="4" t="s">
        <v>9099</v>
      </c>
      <c r="B9100" s="4" t="s">
        <v>9011</v>
      </c>
      <c r="C9100" s="2" t="str">
        <f ca="1">IFERROR(__xludf.DUMMYFUNCTION("GOOGLETRANSLATE(A9100,""bn"",""en"")"),"I will promote education about cyber security")</f>
        <v>I will promote education about cyber security</v>
      </c>
      <c r="D9100" s="5"/>
      <c r="E9100" s="5"/>
      <c r="F9100" s="5"/>
      <c r="G9100" s="5"/>
      <c r="H9100" s="5"/>
      <c r="I9100" s="5"/>
      <c r="J9100" s="5"/>
      <c r="K9100" s="5"/>
      <c r="L9100" s="5"/>
      <c r="M9100" s="5"/>
      <c r="N9100" s="5"/>
      <c r="O9100" s="5"/>
      <c r="P9100" s="5"/>
      <c r="Q9100" s="5"/>
      <c r="R9100" s="5"/>
      <c r="S9100" s="5"/>
      <c r="T9100" s="5"/>
      <c r="U9100" s="5"/>
      <c r="V9100" s="5"/>
      <c r="W9100" s="5"/>
      <c r="X9100" s="5"/>
      <c r="Y9100" s="5"/>
      <c r="Z9100" s="5"/>
    </row>
    <row r="9101" spans="1:26" ht="15" x14ac:dyDescent="0.25">
      <c r="A9101" s="4" t="s">
        <v>9100</v>
      </c>
      <c r="B9101" s="4" t="s">
        <v>9011</v>
      </c>
      <c r="C9101" s="2" t="str">
        <f ca="1">IFERROR(__xludf.DUMMYFUNCTION("GOOGLETRANSLATE(A9101,""bn"",""en"")"),"The smell of a new book will bring the joy of learning something new")</f>
        <v>The smell of a new book will bring the joy of learning something new</v>
      </c>
      <c r="D9101" s="5"/>
      <c r="E9101" s="5"/>
      <c r="F9101" s="5"/>
      <c r="G9101" s="5"/>
      <c r="H9101" s="5"/>
      <c r="I9101" s="5"/>
      <c r="J9101" s="5"/>
      <c r="K9101" s="5"/>
      <c r="L9101" s="5"/>
      <c r="M9101" s="5"/>
      <c r="N9101" s="5"/>
      <c r="O9101" s="5"/>
      <c r="P9101" s="5"/>
      <c r="Q9101" s="5"/>
      <c r="R9101" s="5"/>
      <c r="S9101" s="5"/>
      <c r="T9101" s="5"/>
      <c r="U9101" s="5"/>
      <c r="V9101" s="5"/>
      <c r="W9101" s="5"/>
      <c r="X9101" s="5"/>
      <c r="Y9101" s="5"/>
      <c r="Z9101" s="5"/>
    </row>
    <row r="9102" spans="1:26" ht="15" x14ac:dyDescent="0.25">
      <c r="A9102" s="4" t="s">
        <v>9101</v>
      </c>
      <c r="B9102" s="4" t="s">
        <v>9011</v>
      </c>
      <c r="C9102" s="2" t="str">
        <f ca="1">IFERROR(__xludf.DUMMYFUNCTION("GOOGLETRANSLATE(A9102,""bn"",""en"")"),"They will start a search based on new technology tomorrow")</f>
        <v>They will start a search based on new technology tomorrow</v>
      </c>
      <c r="D9102" s="5"/>
      <c r="E9102" s="5"/>
      <c r="F9102" s="5"/>
      <c r="G9102" s="5"/>
      <c r="H9102" s="5"/>
      <c r="I9102" s="5"/>
      <c r="J9102" s="5"/>
      <c r="K9102" s="5"/>
      <c r="L9102" s="5"/>
      <c r="M9102" s="5"/>
      <c r="N9102" s="5"/>
      <c r="O9102" s="5"/>
      <c r="P9102" s="5"/>
      <c r="Q9102" s="5"/>
      <c r="R9102" s="5"/>
      <c r="S9102" s="5"/>
      <c r="T9102" s="5"/>
      <c r="U9102" s="5"/>
      <c r="V9102" s="5"/>
      <c r="W9102" s="5"/>
      <c r="X9102" s="5"/>
      <c r="Y9102" s="5"/>
      <c r="Z9102" s="5"/>
    </row>
    <row r="9103" spans="1:26" ht="15" x14ac:dyDescent="0.25">
      <c r="A9103" s="4" t="s">
        <v>9102</v>
      </c>
      <c r="B9103" s="4" t="s">
        <v>9011</v>
      </c>
      <c r="C9103" s="2" t="str">
        <f ca="1">IFERROR(__xludf.DUMMYFUNCTION("GOOGLETRANSLATE(A9103,""bn"",""en"")"),"Mother will be promoted, I will lose myself in happiness, this will be the recognition of mother's hard work")</f>
        <v>Mother will be promoted, I will lose myself in happiness, this will be the recognition of mother's hard work</v>
      </c>
      <c r="D9103" s="5"/>
      <c r="E9103" s="5"/>
      <c r="F9103" s="5"/>
      <c r="G9103" s="5"/>
      <c r="H9103" s="5"/>
      <c r="I9103" s="5"/>
      <c r="J9103" s="5"/>
      <c r="K9103" s="5"/>
      <c r="L9103" s="5"/>
      <c r="M9103" s="5"/>
      <c r="N9103" s="5"/>
      <c r="O9103" s="5"/>
      <c r="P9103" s="5"/>
      <c r="Q9103" s="5"/>
      <c r="R9103" s="5"/>
      <c r="S9103" s="5"/>
      <c r="T9103" s="5"/>
      <c r="U9103" s="5"/>
      <c r="V9103" s="5"/>
      <c r="W9103" s="5"/>
      <c r="X9103" s="5"/>
      <c r="Y9103" s="5"/>
      <c r="Z9103" s="5"/>
    </row>
    <row r="9104" spans="1:26" ht="15" x14ac:dyDescent="0.25">
      <c r="A9104" s="4" t="s">
        <v>9103</v>
      </c>
      <c r="B9104" s="4" t="s">
        <v>9011</v>
      </c>
      <c r="C9104" s="2" t="str">
        <f ca="1">IFERROR(__xludf.DUMMYFUNCTION("GOOGLETRANSLATE(A9104,""bn"",""en"")"),"I will become not only aunt but best aunt thanks Yasin")</f>
        <v>I will become not only aunt but best aunt thanks Yasin</v>
      </c>
      <c r="D9104" s="5"/>
      <c r="E9104" s="5"/>
      <c r="F9104" s="5"/>
      <c r="G9104" s="5"/>
      <c r="H9104" s="5"/>
      <c r="I9104" s="5"/>
      <c r="J9104" s="5"/>
      <c r="K9104" s="5"/>
      <c r="L9104" s="5"/>
      <c r="M9104" s="5"/>
      <c r="N9104" s="5"/>
      <c r="O9104" s="5"/>
      <c r="P9104" s="5"/>
      <c r="Q9104" s="5"/>
      <c r="R9104" s="5"/>
      <c r="S9104" s="5"/>
      <c r="T9104" s="5"/>
      <c r="U9104" s="5"/>
      <c r="V9104" s="5"/>
      <c r="W9104" s="5"/>
      <c r="X9104" s="5"/>
      <c r="Y9104" s="5"/>
      <c r="Z9104" s="5"/>
    </row>
    <row r="9105" spans="1:26" ht="15" x14ac:dyDescent="0.25">
      <c r="A9105" s="4" t="s">
        <v>9104</v>
      </c>
      <c r="B9105" s="4" t="s">
        <v>9011</v>
      </c>
      <c r="C9105" s="2" t="str">
        <f ca="1">IFERROR(__xludf.DUMMYFUNCTION("GOOGLETRANSLATE(A9105,""bn"",""en"")"),"My child will grow up to be a famous doctor and serve people")</f>
        <v>My child will grow up to be a famous doctor and serve people</v>
      </c>
      <c r="D9105" s="5"/>
      <c r="E9105" s="5"/>
      <c r="F9105" s="5"/>
      <c r="G9105" s="5"/>
      <c r="H9105" s="5"/>
      <c r="I9105" s="5"/>
      <c r="J9105" s="5"/>
      <c r="K9105" s="5"/>
      <c r="L9105" s="5"/>
      <c r="M9105" s="5"/>
      <c r="N9105" s="5"/>
      <c r="O9105" s="5"/>
      <c r="P9105" s="5"/>
      <c r="Q9105" s="5"/>
      <c r="R9105" s="5"/>
      <c r="S9105" s="5"/>
      <c r="T9105" s="5"/>
      <c r="U9105" s="5"/>
      <c r="V9105" s="5"/>
      <c r="W9105" s="5"/>
      <c r="X9105" s="5"/>
      <c r="Y9105" s="5"/>
      <c r="Z9105" s="5"/>
    </row>
    <row r="9106" spans="1:26" ht="15" x14ac:dyDescent="0.25">
      <c r="A9106" s="4" t="s">
        <v>9105</v>
      </c>
      <c r="B9106" s="4" t="s">
        <v>9011</v>
      </c>
      <c r="C9106" s="2" t="str">
        <f ca="1">IFERROR(__xludf.DUMMYFUNCTION("GOOGLETRANSLATE(A9106,""bn"",""en"")"),"Love will be immortal Happy wedding anniversary to the new couple")</f>
        <v>Love will be immortal Happy wedding anniversary to the new couple</v>
      </c>
      <c r="D9106" s="5"/>
      <c r="E9106" s="5"/>
      <c r="F9106" s="5"/>
      <c r="G9106" s="5"/>
      <c r="H9106" s="5"/>
      <c r="I9106" s="5"/>
      <c r="J9106" s="5"/>
      <c r="K9106" s="5"/>
      <c r="L9106" s="5"/>
      <c r="M9106" s="5"/>
      <c r="N9106" s="5"/>
      <c r="O9106" s="5"/>
      <c r="P9106" s="5"/>
      <c r="Q9106" s="5"/>
      <c r="R9106" s="5"/>
      <c r="S9106" s="5"/>
      <c r="T9106" s="5"/>
      <c r="U9106" s="5"/>
      <c r="V9106" s="5"/>
      <c r="W9106" s="5"/>
      <c r="X9106" s="5"/>
      <c r="Y9106" s="5"/>
      <c r="Z9106" s="5"/>
    </row>
    <row r="9107" spans="1:26" ht="15" x14ac:dyDescent="0.25">
      <c r="A9107" s="4" t="s">
        <v>9106</v>
      </c>
      <c r="B9107" s="4" t="s">
        <v>9011</v>
      </c>
      <c r="C9107" s="2" t="str">
        <f ca="1">IFERROR(__xludf.DUMMYFUNCTION("GOOGLETRANSLATE(A9107,""bn"",""en"")"),"We will be traveling to a new city next month")</f>
        <v>We will be traveling to a new city next month</v>
      </c>
      <c r="D9107" s="5"/>
      <c r="E9107" s="5"/>
      <c r="F9107" s="5"/>
      <c r="G9107" s="5"/>
      <c r="H9107" s="5"/>
      <c r="I9107" s="5"/>
      <c r="J9107" s="5"/>
      <c r="K9107" s="5"/>
      <c r="L9107" s="5"/>
      <c r="M9107" s="5"/>
      <c r="N9107" s="5"/>
      <c r="O9107" s="5"/>
      <c r="P9107" s="5"/>
      <c r="Q9107" s="5"/>
      <c r="R9107" s="5"/>
      <c r="S9107" s="5"/>
      <c r="T9107" s="5"/>
      <c r="U9107" s="5"/>
      <c r="V9107" s="5"/>
      <c r="W9107" s="5"/>
      <c r="X9107" s="5"/>
      <c r="Y9107" s="5"/>
      <c r="Z9107" s="5"/>
    </row>
    <row r="9108" spans="1:26" ht="15" x14ac:dyDescent="0.25">
      <c r="A9108" s="4" t="s">
        <v>9107</v>
      </c>
      <c r="B9108" s="4" t="s">
        <v>9011</v>
      </c>
      <c r="C9108" s="2" t="str">
        <f ca="1">IFERROR(__xludf.DUMMYFUNCTION("GOOGLETRANSLATE(A9108,""bn"",""en"")"),"Reading books will fill people's minds with joy and will spread new light in their minds")</f>
        <v>Reading books will fill people's minds with joy and will spread new light in their minds</v>
      </c>
      <c r="D9108" s="5"/>
      <c r="E9108" s="5"/>
      <c r="F9108" s="5"/>
      <c r="G9108" s="5"/>
      <c r="H9108" s="5"/>
      <c r="I9108" s="5"/>
      <c r="J9108" s="5"/>
      <c r="K9108" s="5"/>
      <c r="L9108" s="5"/>
      <c r="M9108" s="5"/>
      <c r="N9108" s="5"/>
      <c r="O9108" s="5"/>
      <c r="P9108" s="5"/>
      <c r="Q9108" s="5"/>
      <c r="R9108" s="5"/>
      <c r="S9108" s="5"/>
      <c r="T9108" s="5"/>
      <c r="U9108" s="5"/>
      <c r="V9108" s="5"/>
      <c r="W9108" s="5"/>
      <c r="X9108" s="5"/>
      <c r="Y9108" s="5"/>
      <c r="Z9108" s="5"/>
    </row>
    <row r="9109" spans="1:26" ht="15" x14ac:dyDescent="0.25">
      <c r="A9109" s="4" t="s">
        <v>9108</v>
      </c>
      <c r="B9109" s="4" t="s">
        <v>9011</v>
      </c>
      <c r="C9109" s="2" t="str">
        <f ca="1">IFERROR(__xludf.DUMMYFUNCTION("GOOGLETRANSLATE(A9109,""bn"",""en"")"),"The melody of Ektar will awaken childhood memories and a strange peace will descend in the mind")</f>
        <v>The melody of Ektar will awaken childhood memories and a strange peace will descend in the mind</v>
      </c>
      <c r="D9109" s="5"/>
      <c r="E9109" s="5"/>
      <c r="F9109" s="5"/>
      <c r="G9109" s="5"/>
      <c r="H9109" s="5"/>
      <c r="I9109" s="5"/>
      <c r="J9109" s="5"/>
      <c r="K9109" s="5"/>
      <c r="L9109" s="5"/>
      <c r="M9109" s="5"/>
      <c r="N9109" s="5"/>
      <c r="O9109" s="5"/>
      <c r="P9109" s="5"/>
      <c r="Q9109" s="5"/>
      <c r="R9109" s="5"/>
      <c r="S9109" s="5"/>
      <c r="T9109" s="5"/>
      <c r="U9109" s="5"/>
      <c r="V9109" s="5"/>
      <c r="W9109" s="5"/>
      <c r="X9109" s="5"/>
      <c r="Y9109" s="5"/>
      <c r="Z9109" s="5"/>
    </row>
    <row r="9110" spans="1:26" ht="15" x14ac:dyDescent="0.25">
      <c r="A9110" s="4" t="s">
        <v>9109</v>
      </c>
      <c r="B9110" s="4" t="s">
        <v>9011</v>
      </c>
      <c r="C9110" s="2" t="str">
        <f ca="1">IFERROR(__xludf.DUMMYFUNCTION("GOOGLETRANSLATE(A9110,""bn"",""en"")"),"I believe that I love you and you will come back to me again")</f>
        <v>I believe that I love you and you will come back to me again</v>
      </c>
      <c r="D9110" s="5"/>
      <c r="E9110" s="5"/>
      <c r="F9110" s="5"/>
      <c r="G9110" s="5"/>
      <c r="H9110" s="5"/>
      <c r="I9110" s="5"/>
      <c r="J9110" s="5"/>
      <c r="K9110" s="5"/>
      <c r="L9110" s="5"/>
      <c r="M9110" s="5"/>
      <c r="N9110" s="5"/>
      <c r="O9110" s="5"/>
      <c r="P9110" s="5"/>
      <c r="Q9110" s="5"/>
      <c r="R9110" s="5"/>
      <c r="S9110" s="5"/>
      <c r="T9110" s="5"/>
      <c r="U9110" s="5"/>
      <c r="V9110" s="5"/>
      <c r="W9110" s="5"/>
      <c r="X9110" s="5"/>
      <c r="Y9110" s="5"/>
      <c r="Z9110" s="5"/>
    </row>
    <row r="9111" spans="1:26" ht="15" x14ac:dyDescent="0.25">
      <c r="A9111" s="4" t="s">
        <v>9110</v>
      </c>
      <c r="B9111" s="4" t="s">
        <v>9011</v>
      </c>
      <c r="C9111" s="2" t="str">
        <f ca="1">IFERROR(__xludf.DUMMYFUNCTION("GOOGLETRANSLATE(A9111,""bn"",""en"")"),"By eating the food from the hand of Boudi, I will understand that Boudi will now be one of the family")</f>
        <v>By eating the food from the hand of Boudi, I will understand that Boudi will now be one of the family</v>
      </c>
      <c r="D9111" s="5"/>
      <c r="E9111" s="5"/>
      <c r="F9111" s="5"/>
      <c r="G9111" s="5"/>
      <c r="H9111" s="5"/>
      <c r="I9111" s="5"/>
      <c r="J9111" s="5"/>
      <c r="K9111" s="5"/>
      <c r="L9111" s="5"/>
      <c r="M9111" s="5"/>
      <c r="N9111" s="5"/>
      <c r="O9111" s="5"/>
      <c r="P9111" s="5"/>
      <c r="Q9111" s="5"/>
      <c r="R9111" s="5"/>
      <c r="S9111" s="5"/>
      <c r="T9111" s="5"/>
      <c r="U9111" s="5"/>
      <c r="V9111" s="5"/>
      <c r="W9111" s="5"/>
      <c r="X9111" s="5"/>
      <c r="Y9111" s="5"/>
      <c r="Z9111" s="5"/>
    </row>
    <row r="9112" spans="1:26" ht="15" x14ac:dyDescent="0.25">
      <c r="A9112" s="4" t="s">
        <v>9111</v>
      </c>
      <c r="B9112" s="4" t="s">
        <v>9011</v>
      </c>
      <c r="C9112" s="2" t="str">
        <f ca="1">IFERROR(__xludf.DUMMYFUNCTION("GOOGLETRANSLATE(A9112,""bn"",""en"")"),"I'm thinking I'll do the rebellion with myself now I'll find the answer to why the mind loves you I'm lonely loving you I'm thinking I'll do the rebellion with myself")</f>
        <v>I'm thinking I'll do the rebellion with myself now I'll find the answer to why the mind loves you I'm lonely loving you I'm thinking I'll do the rebellion with myself</v>
      </c>
      <c r="D9112" s="5"/>
      <c r="E9112" s="5"/>
      <c r="F9112" s="5"/>
      <c r="G9112" s="5"/>
      <c r="H9112" s="5"/>
      <c r="I9112" s="5"/>
      <c r="J9112" s="5"/>
      <c r="K9112" s="5"/>
      <c r="L9112" s="5"/>
      <c r="M9112" s="5"/>
      <c r="N9112" s="5"/>
      <c r="O9112" s="5"/>
      <c r="P9112" s="5"/>
      <c r="Q9112" s="5"/>
      <c r="R9112" s="5"/>
      <c r="S9112" s="5"/>
      <c r="T9112" s="5"/>
      <c r="U9112" s="5"/>
      <c r="V9112" s="5"/>
      <c r="W9112" s="5"/>
      <c r="X9112" s="5"/>
      <c r="Y9112" s="5"/>
      <c r="Z9112" s="5"/>
    </row>
    <row r="9113" spans="1:26" ht="15" x14ac:dyDescent="0.25">
      <c r="A9113" s="4" t="s">
        <v>9112</v>
      </c>
      <c r="B9113" s="4" t="s">
        <v>9011</v>
      </c>
      <c r="C9113" s="2" t="str">
        <f ca="1">IFERROR(__xludf.DUMMYFUNCTION("GOOGLETRANSLATE(A9113,""bn"",""en"")"),"In the rhythm of the drum, the sound of Bangla has become black and I will dance in joy and joy")</f>
        <v>In the rhythm of the drum, the sound of Bangla has become black and I will dance in joy and joy</v>
      </c>
      <c r="D9113" s="5"/>
      <c r="E9113" s="5"/>
      <c r="F9113" s="5"/>
      <c r="G9113" s="5"/>
      <c r="H9113" s="5"/>
      <c r="I9113" s="5"/>
      <c r="J9113" s="5"/>
      <c r="K9113" s="5"/>
      <c r="L9113" s="5"/>
      <c r="M9113" s="5"/>
      <c r="N9113" s="5"/>
      <c r="O9113" s="5"/>
      <c r="P9113" s="5"/>
      <c r="Q9113" s="5"/>
      <c r="R9113" s="5"/>
      <c r="S9113" s="5"/>
      <c r="T9113" s="5"/>
      <c r="U9113" s="5"/>
      <c r="V9113" s="5"/>
      <c r="W9113" s="5"/>
      <c r="X9113" s="5"/>
      <c r="Y9113" s="5"/>
      <c r="Z9113" s="5"/>
    </row>
    <row r="9114" spans="1:26" ht="15" x14ac:dyDescent="0.25">
      <c r="A9114" s="4" t="s">
        <v>9113</v>
      </c>
      <c r="B9114" s="4" t="s">
        <v>9011</v>
      </c>
      <c r="C9114" s="2" t="str">
        <f ca="1">IFERROR(__xludf.DUMMYFUNCTION("GOOGLETRANSLATE(A9114,""bn"",""en"")"),"After years I will hang out with Shubo again, the story of the old days will bring back the moment")</f>
        <v>After years I will hang out with Shubo again, the story of the old days will bring back the moment</v>
      </c>
      <c r="D9114" s="5"/>
      <c r="E9114" s="5"/>
      <c r="F9114" s="5"/>
      <c r="G9114" s="5"/>
      <c r="H9114" s="5"/>
      <c r="I9114" s="5"/>
      <c r="J9114" s="5"/>
      <c r="K9114" s="5"/>
      <c r="L9114" s="5"/>
      <c r="M9114" s="5"/>
      <c r="N9114" s="5"/>
      <c r="O9114" s="5"/>
      <c r="P9114" s="5"/>
      <c r="Q9114" s="5"/>
      <c r="R9114" s="5"/>
      <c r="S9114" s="5"/>
      <c r="T9114" s="5"/>
      <c r="U9114" s="5"/>
      <c r="V9114" s="5"/>
      <c r="W9114" s="5"/>
      <c r="X9114" s="5"/>
      <c r="Y9114" s="5"/>
      <c r="Z9114" s="5"/>
    </row>
    <row r="9115" spans="1:26" ht="15" x14ac:dyDescent="0.25">
      <c r="A9115" s="4" t="s">
        <v>9114</v>
      </c>
      <c r="B9115" s="4" t="s">
        <v>9011</v>
      </c>
      <c r="C9115" s="2" t="str">
        <f ca="1">IFERROR(__xludf.DUMMYFUNCTION("GOOGLETRANSLATE(A9115,""bn"",""en"")"),"New times and opportunities will come but lost time and opportunities will never come back")</f>
        <v>New times and opportunities will come but lost time and opportunities will never come back</v>
      </c>
      <c r="D9115" s="5"/>
      <c r="E9115" s="5"/>
      <c r="F9115" s="5"/>
      <c r="G9115" s="5"/>
      <c r="H9115" s="5"/>
      <c r="I9115" s="5"/>
      <c r="J9115" s="5"/>
      <c r="K9115" s="5"/>
      <c r="L9115" s="5"/>
      <c r="M9115" s="5"/>
      <c r="N9115" s="5"/>
      <c r="O9115" s="5"/>
      <c r="P9115" s="5"/>
      <c r="Q9115" s="5"/>
      <c r="R9115" s="5"/>
      <c r="S9115" s="5"/>
      <c r="T9115" s="5"/>
      <c r="U9115" s="5"/>
      <c r="V9115" s="5"/>
      <c r="W9115" s="5"/>
      <c r="X9115" s="5"/>
      <c r="Y9115" s="5"/>
      <c r="Z9115" s="5"/>
    </row>
    <row r="9116" spans="1:26" ht="15" x14ac:dyDescent="0.25">
      <c r="A9116" s="4" t="s">
        <v>9115</v>
      </c>
      <c r="B9116" s="4" t="s">
        <v>9011</v>
      </c>
      <c r="C9116" s="2" t="str">
        <f ca="1">IFERROR(__xludf.DUMMYFUNCTION("GOOGLETRANSLATE(A9116,""bn"",""en"")"),"Each picture will tell a story you will want to hear")</f>
        <v>Each picture will tell a story you will want to hear</v>
      </c>
      <c r="D9116" s="5"/>
      <c r="E9116" s="5"/>
      <c r="F9116" s="5"/>
      <c r="G9116" s="5"/>
      <c r="H9116" s="5"/>
      <c r="I9116" s="5"/>
      <c r="J9116" s="5"/>
      <c r="K9116" s="5"/>
      <c r="L9116" s="5"/>
      <c r="M9116" s="5"/>
      <c r="N9116" s="5"/>
      <c r="O9116" s="5"/>
      <c r="P9116" s="5"/>
      <c r="Q9116" s="5"/>
      <c r="R9116" s="5"/>
      <c r="S9116" s="5"/>
      <c r="T9116" s="5"/>
      <c r="U9116" s="5"/>
      <c r="V9116" s="5"/>
      <c r="W9116" s="5"/>
      <c r="X9116" s="5"/>
      <c r="Y9116" s="5"/>
      <c r="Z9116" s="5"/>
    </row>
    <row r="9117" spans="1:26" ht="15" x14ac:dyDescent="0.25">
      <c r="A9117" s="4" t="s">
        <v>9116</v>
      </c>
      <c r="B9117" s="4" t="s">
        <v>9011</v>
      </c>
      <c r="C9117" s="2" t="str">
        <f ca="1">IFERROR(__xludf.DUMMYFUNCTION("GOOGLETRANSLATE(A9117,""bn"",""en"")"),"Grateful to all the amazing food bloggers who inspire me to cook new things")</f>
        <v>Grateful to all the amazing food bloggers who inspire me to cook new things</v>
      </c>
      <c r="D9117" s="5"/>
      <c r="E9117" s="5"/>
      <c r="F9117" s="5"/>
      <c r="G9117" s="5"/>
      <c r="H9117" s="5"/>
      <c r="I9117" s="5"/>
      <c r="J9117" s="5"/>
      <c r="K9117" s="5"/>
      <c r="L9117" s="5"/>
      <c r="M9117" s="5"/>
      <c r="N9117" s="5"/>
      <c r="O9117" s="5"/>
      <c r="P9117" s="5"/>
      <c r="Q9117" s="5"/>
      <c r="R9117" s="5"/>
      <c r="S9117" s="5"/>
      <c r="T9117" s="5"/>
      <c r="U9117" s="5"/>
      <c r="V9117" s="5"/>
      <c r="W9117" s="5"/>
      <c r="X9117" s="5"/>
      <c r="Y9117" s="5"/>
      <c r="Z9117" s="5"/>
    </row>
    <row r="9118" spans="1:26" ht="15" x14ac:dyDescent="0.25">
      <c r="A9118" s="4" t="s">
        <v>9117</v>
      </c>
      <c r="B9118" s="4" t="s">
        <v>9011</v>
      </c>
      <c r="C9118" s="2" t="str">
        <f ca="1">IFERROR(__xludf.DUMMYFUNCTION("GOOGLETRANSLATE(A9118,""bn"",""en"")"),"Next year I will buy a new car which will be more convenient for my commuting")</f>
        <v>Next year I will buy a new car which will be more convenient for my commuting</v>
      </c>
      <c r="D9118" s="5"/>
      <c r="E9118" s="5"/>
      <c r="F9118" s="5"/>
      <c r="G9118" s="5"/>
      <c r="H9118" s="5"/>
      <c r="I9118" s="5"/>
      <c r="J9118" s="5"/>
      <c r="K9118" s="5"/>
      <c r="L9118" s="5"/>
      <c r="M9118" s="5"/>
      <c r="N9118" s="5"/>
      <c r="O9118" s="5"/>
      <c r="P9118" s="5"/>
      <c r="Q9118" s="5"/>
      <c r="R9118" s="5"/>
      <c r="S9118" s="5"/>
      <c r="T9118" s="5"/>
      <c r="U9118" s="5"/>
      <c r="V9118" s="5"/>
      <c r="W9118" s="5"/>
      <c r="X9118" s="5"/>
      <c r="Y9118" s="5"/>
      <c r="Z9118" s="5"/>
    </row>
    <row r="9119" spans="1:26" ht="15" x14ac:dyDescent="0.25">
      <c r="A9119" s="4" t="s">
        <v>9118</v>
      </c>
      <c r="B9119" s="4" t="s">
        <v>9011</v>
      </c>
      <c r="C9119" s="2" t="str">
        <f ca="1">IFERROR(__xludf.DUMMYFUNCTION("GOOGLETRANSLATE(A9119,""bn"",""en"")"),"After the rain, I will see the rainbow in the sky. This bridge of seven colors, the wonderful creation of nature will bring peace of mind")</f>
        <v>After the rain, I will see the rainbow in the sky. This bridge of seven colors, the wonderful creation of nature will bring peace of mind</v>
      </c>
      <c r="D9119" s="5"/>
      <c r="E9119" s="5"/>
      <c r="F9119" s="5"/>
      <c r="G9119" s="5"/>
      <c r="H9119" s="5"/>
      <c r="I9119" s="5"/>
      <c r="J9119" s="5"/>
      <c r="K9119" s="5"/>
      <c r="L9119" s="5"/>
      <c r="M9119" s="5"/>
      <c r="N9119" s="5"/>
      <c r="O9119" s="5"/>
      <c r="P9119" s="5"/>
      <c r="Q9119" s="5"/>
      <c r="R9119" s="5"/>
      <c r="S9119" s="5"/>
      <c r="T9119" s="5"/>
      <c r="U9119" s="5"/>
      <c r="V9119" s="5"/>
      <c r="W9119" s="5"/>
      <c r="X9119" s="5"/>
      <c r="Y9119" s="5"/>
      <c r="Z9119" s="5"/>
    </row>
    <row r="9120" spans="1:26" ht="15" x14ac:dyDescent="0.25">
      <c r="A9120" s="4" t="s">
        <v>9119</v>
      </c>
      <c r="B9120" s="4" t="s">
        <v>9011</v>
      </c>
      <c r="C9120" s="2" t="str">
        <f ca="1">IFERROR(__xludf.DUMMYFUNCTION("GOOGLETRANSLATE(A9120,""bn"",""en"")"),"Tomorrow I start a new business that will be important to my career")</f>
        <v>Tomorrow I start a new business that will be important to my career</v>
      </c>
      <c r="D9120" s="5"/>
      <c r="E9120" s="5"/>
      <c r="F9120" s="5"/>
      <c r="G9120" s="5"/>
      <c r="H9120" s="5"/>
      <c r="I9120" s="5"/>
      <c r="J9120" s="5"/>
      <c r="K9120" s="5"/>
      <c r="L9120" s="5"/>
      <c r="M9120" s="5"/>
      <c r="N9120" s="5"/>
      <c r="O9120" s="5"/>
      <c r="P9120" s="5"/>
      <c r="Q9120" s="5"/>
      <c r="R9120" s="5"/>
      <c r="S9120" s="5"/>
      <c r="T9120" s="5"/>
      <c r="U9120" s="5"/>
      <c r="V9120" s="5"/>
      <c r="W9120" s="5"/>
      <c r="X9120" s="5"/>
      <c r="Y9120" s="5"/>
      <c r="Z9120" s="5"/>
    </row>
    <row r="9121" spans="1:26" ht="15" x14ac:dyDescent="0.25">
      <c r="A9121" s="4" t="s">
        <v>9120</v>
      </c>
      <c r="B9121" s="4" t="s">
        <v>9011</v>
      </c>
      <c r="C9121" s="2" t="str">
        <f ca="1">IFERROR(__xludf.DUMMYFUNCTION("GOOGLETRANSLATE(A9121,""bn"",""en"")"),"Will start learning music and perform in concerts next year")</f>
        <v>Will start learning music and perform in concerts next year</v>
      </c>
      <c r="D9121" s="5"/>
      <c r="E9121" s="5"/>
      <c r="F9121" s="5"/>
      <c r="G9121" s="5"/>
      <c r="H9121" s="5"/>
      <c r="I9121" s="5"/>
      <c r="J9121" s="5"/>
      <c r="K9121" s="5"/>
      <c r="L9121" s="5"/>
      <c r="M9121" s="5"/>
      <c r="N9121" s="5"/>
      <c r="O9121" s="5"/>
      <c r="P9121" s="5"/>
      <c r="Q9121" s="5"/>
      <c r="R9121" s="5"/>
      <c r="S9121" s="5"/>
      <c r="T9121" s="5"/>
      <c r="U9121" s="5"/>
      <c r="V9121" s="5"/>
      <c r="W9121" s="5"/>
      <c r="X9121" s="5"/>
      <c r="Y9121" s="5"/>
      <c r="Z9121" s="5"/>
    </row>
    <row r="9122" spans="1:26" ht="15" x14ac:dyDescent="0.25">
      <c r="A9122" s="4" t="s">
        <v>9121</v>
      </c>
      <c r="B9122" s="4" t="s">
        <v>9011</v>
      </c>
      <c r="C9122" s="2" t="str">
        <f ca="1">IFERROR(__xludf.DUMMYFUNCTION("GOOGLETRANSLATE(A9122,""bn"",""en"")"),"Ultimately success will be mine")</f>
        <v>Ultimately success will be mine</v>
      </c>
      <c r="D9122" s="5"/>
      <c r="E9122" s="5"/>
      <c r="F9122" s="5"/>
      <c r="G9122" s="5"/>
      <c r="H9122" s="5"/>
      <c r="I9122" s="5"/>
      <c r="J9122" s="5"/>
      <c r="K9122" s="5"/>
      <c r="L9122" s="5"/>
      <c r="M9122" s="5"/>
      <c r="N9122" s="5"/>
      <c r="O9122" s="5"/>
      <c r="P9122" s="5"/>
      <c r="Q9122" s="5"/>
      <c r="R9122" s="5"/>
      <c r="S9122" s="5"/>
      <c r="T9122" s="5"/>
      <c r="U9122" s="5"/>
      <c r="V9122" s="5"/>
      <c r="W9122" s="5"/>
      <c r="X9122" s="5"/>
      <c r="Y9122" s="5"/>
      <c r="Z9122" s="5"/>
    </row>
    <row r="9123" spans="1:26" ht="15" x14ac:dyDescent="0.25">
      <c r="A9123" s="4" t="s">
        <v>9122</v>
      </c>
      <c r="B9123" s="4" t="s">
        <v>9011</v>
      </c>
      <c r="C9123" s="2" t="str">
        <f ca="1">IFERROR(__xludf.DUMMYFUNCTION("GOOGLETRANSLATE(A9123,""bn"",""en"")"),"She will enroll in a new art course next month where her artwork skills will be further enhanced")</f>
        <v>She will enroll in a new art course next month where her artwork skills will be further enhanced</v>
      </c>
      <c r="D9123" s="5"/>
      <c r="E9123" s="5"/>
      <c r="F9123" s="5"/>
      <c r="G9123" s="5"/>
      <c r="H9123" s="5"/>
      <c r="I9123" s="5"/>
      <c r="J9123" s="5"/>
      <c r="K9123" s="5"/>
      <c r="L9123" s="5"/>
      <c r="M9123" s="5"/>
      <c r="N9123" s="5"/>
      <c r="O9123" s="5"/>
      <c r="P9123" s="5"/>
      <c r="Q9123" s="5"/>
      <c r="R9123" s="5"/>
      <c r="S9123" s="5"/>
      <c r="T9123" s="5"/>
      <c r="U9123" s="5"/>
      <c r="V9123" s="5"/>
      <c r="W9123" s="5"/>
      <c r="X9123" s="5"/>
      <c r="Y9123" s="5"/>
      <c r="Z9123" s="5"/>
    </row>
    <row r="9124" spans="1:26" ht="15" x14ac:dyDescent="0.25">
      <c r="A9124" s="4" t="s">
        <v>9123</v>
      </c>
      <c r="B9124" s="4" t="s">
        <v>9011</v>
      </c>
      <c r="C9124" s="2" t="str">
        <f ca="1">IFERROR(__xludf.DUMMYFUNCTION("GOOGLETRANSLATE(A9124,""bn"",""en"")"),"Children will love to tell stories through their pictures and not just colors, they will use their imagination and experience joy in composing these stories.")</f>
        <v>Children will love to tell stories through their pictures and not just colors, they will use their imagination and experience joy in composing these stories.</v>
      </c>
      <c r="D9124" s="5"/>
      <c r="E9124" s="5"/>
      <c r="F9124" s="5"/>
      <c r="G9124" s="5"/>
      <c r="H9124" s="5"/>
      <c r="I9124" s="5"/>
      <c r="J9124" s="5"/>
      <c r="K9124" s="5"/>
      <c r="L9124" s="5"/>
      <c r="M9124" s="5"/>
      <c r="N9124" s="5"/>
      <c r="O9124" s="5"/>
      <c r="P9124" s="5"/>
      <c r="Q9124" s="5"/>
      <c r="R9124" s="5"/>
      <c r="S9124" s="5"/>
      <c r="T9124" s="5"/>
      <c r="U9124" s="5"/>
      <c r="V9124" s="5"/>
      <c r="W9124" s="5"/>
      <c r="X9124" s="5"/>
      <c r="Y9124" s="5"/>
      <c r="Z9124" s="5"/>
    </row>
    <row r="9125" spans="1:26" ht="15" x14ac:dyDescent="0.25">
      <c r="A9125" s="4" t="s">
        <v>9124</v>
      </c>
      <c r="B9125" s="4" t="s">
        <v>9011</v>
      </c>
      <c r="C9125" s="2" t="str">
        <f ca="1">IFERROR(__xludf.DUMMYFUNCTION("GOOGLETRANSLATE(A9125,""bn"",""en"")"),"He will eat rice with beef today after a long time")</f>
        <v>He will eat rice with beef today after a long time</v>
      </c>
      <c r="D9125" s="5"/>
      <c r="E9125" s="5"/>
      <c r="F9125" s="5"/>
      <c r="G9125" s="5"/>
      <c r="H9125" s="5"/>
      <c r="I9125" s="5"/>
      <c r="J9125" s="5"/>
      <c r="K9125" s="5"/>
      <c r="L9125" s="5"/>
      <c r="M9125" s="5"/>
      <c r="N9125" s="5"/>
      <c r="O9125" s="5"/>
      <c r="P9125" s="5"/>
      <c r="Q9125" s="5"/>
      <c r="R9125" s="5"/>
      <c r="S9125" s="5"/>
      <c r="T9125" s="5"/>
      <c r="U9125" s="5"/>
      <c r="V9125" s="5"/>
      <c r="W9125" s="5"/>
      <c r="X9125" s="5"/>
      <c r="Y9125" s="5"/>
      <c r="Z9125" s="5"/>
    </row>
    <row r="9126" spans="1:26" ht="15" x14ac:dyDescent="0.25">
      <c r="A9126" s="4" t="s">
        <v>9125</v>
      </c>
      <c r="B9126" s="4" t="s">
        <v>9011</v>
      </c>
      <c r="C9126" s="2" t="str">
        <f ca="1">IFERROR(__xludf.DUMMYFUNCTION("GOOGLETRANSLATE(A9126,""bn"",""en"")"),"Maybe one day many dreams will be broken for money")</f>
        <v>Maybe one day many dreams will be broken for money</v>
      </c>
      <c r="D9126" s="5"/>
      <c r="E9126" s="5"/>
      <c r="F9126" s="5"/>
      <c r="G9126" s="5"/>
      <c r="H9126" s="5"/>
      <c r="I9126" s="5"/>
      <c r="J9126" s="5"/>
      <c r="K9126" s="5"/>
      <c r="L9126" s="5"/>
      <c r="M9126" s="5"/>
      <c r="N9126" s="5"/>
      <c r="O9126" s="5"/>
      <c r="P9126" s="5"/>
      <c r="Q9126" s="5"/>
      <c r="R9126" s="5"/>
      <c r="S9126" s="5"/>
      <c r="T9126" s="5"/>
      <c r="U9126" s="5"/>
      <c r="V9126" s="5"/>
      <c r="W9126" s="5"/>
      <c r="X9126" s="5"/>
      <c r="Y9126" s="5"/>
      <c r="Z9126" s="5"/>
    </row>
    <row r="9127" spans="1:26" ht="15" x14ac:dyDescent="0.25">
      <c r="A9127" s="4" t="s">
        <v>9126</v>
      </c>
      <c r="B9127" s="4" t="s">
        <v>9011</v>
      </c>
      <c r="C9127" s="2" t="str">
        <f ca="1">IFERROR(__xludf.DUMMYFUNCTION("GOOGLETRANSLATE(A9127,""bn"",""en"")"),"Next vacation we will visit a nature park where we will see different species of animals")</f>
        <v>Next vacation we will visit a nature park where we will see different species of animals</v>
      </c>
      <c r="D9127" s="5"/>
      <c r="E9127" s="5"/>
      <c r="F9127" s="5"/>
      <c r="G9127" s="5"/>
      <c r="H9127" s="5"/>
      <c r="I9127" s="5"/>
      <c r="J9127" s="5"/>
      <c r="K9127" s="5"/>
      <c r="L9127" s="5"/>
      <c r="M9127" s="5"/>
      <c r="N9127" s="5"/>
      <c r="O9127" s="5"/>
      <c r="P9127" s="5"/>
      <c r="Q9127" s="5"/>
      <c r="R9127" s="5"/>
      <c r="S9127" s="5"/>
      <c r="T9127" s="5"/>
      <c r="U9127" s="5"/>
      <c r="V9127" s="5"/>
      <c r="W9127" s="5"/>
      <c r="X9127" s="5"/>
      <c r="Y9127" s="5"/>
      <c r="Z9127" s="5"/>
    </row>
    <row r="9128" spans="1:26" ht="15" x14ac:dyDescent="0.25">
      <c r="A9128" s="4" t="s">
        <v>9127</v>
      </c>
      <c r="B9128" s="4" t="s">
        <v>9011</v>
      </c>
      <c r="C9128" s="2" t="str">
        <f ca="1">IFERROR(__xludf.DUMMYFUNCTION("GOOGLETRANSLATE(A9128,""bn"",""en"")"),"We will organize a seminar next month")</f>
        <v>We will organize a seminar next month</v>
      </c>
      <c r="D9128" s="5"/>
      <c r="E9128" s="5"/>
      <c r="F9128" s="5"/>
      <c r="G9128" s="5"/>
      <c r="H9128" s="5"/>
      <c r="I9128" s="5"/>
      <c r="J9128" s="5"/>
      <c r="K9128" s="5"/>
      <c r="L9128" s="5"/>
      <c r="M9128" s="5"/>
      <c r="N9128" s="5"/>
      <c r="O9128" s="5"/>
      <c r="P9128" s="5"/>
      <c r="Q9128" s="5"/>
      <c r="R9128" s="5"/>
      <c r="S9128" s="5"/>
      <c r="T9128" s="5"/>
      <c r="U9128" s="5"/>
      <c r="V9128" s="5"/>
      <c r="W9128" s="5"/>
      <c r="X9128" s="5"/>
      <c r="Y9128" s="5"/>
      <c r="Z9128" s="5"/>
    </row>
    <row r="9129" spans="1:26" ht="15" x14ac:dyDescent="0.25">
      <c r="A9129" s="4" t="s">
        <v>9128</v>
      </c>
      <c r="B9129" s="4" t="s">
        <v>9011</v>
      </c>
      <c r="C9129" s="2" t="str">
        <f ca="1">IFERROR(__xludf.DUMMYFUNCTION("GOOGLETRANSLATE(A9129,""bn"",""en"")"),"In the future I will launch a tech startup where new technologies will be invented")</f>
        <v>In the future I will launch a tech startup where new technologies will be invented</v>
      </c>
      <c r="D9129" s="5"/>
      <c r="E9129" s="5"/>
      <c r="F9129" s="5"/>
      <c r="G9129" s="5"/>
      <c r="H9129" s="5"/>
      <c r="I9129" s="5"/>
      <c r="J9129" s="5"/>
      <c r="K9129" s="5"/>
      <c r="L9129" s="5"/>
      <c r="M9129" s="5"/>
      <c r="N9129" s="5"/>
      <c r="O9129" s="5"/>
      <c r="P9129" s="5"/>
      <c r="Q9129" s="5"/>
      <c r="R9129" s="5"/>
      <c r="S9129" s="5"/>
      <c r="T9129" s="5"/>
      <c r="U9129" s="5"/>
      <c r="V9129" s="5"/>
      <c r="W9129" s="5"/>
      <c r="X9129" s="5"/>
      <c r="Y9129" s="5"/>
      <c r="Z9129" s="5"/>
    </row>
    <row r="9130" spans="1:26" ht="15" x14ac:dyDescent="0.25">
      <c r="A9130" s="4" t="s">
        <v>9129</v>
      </c>
      <c r="B9130" s="4" t="s">
        <v>9011</v>
      </c>
      <c r="C9130" s="2" t="str">
        <f ca="1">IFERROR(__xludf.DUMMYFUNCTION("GOOGLETRANSLATE(A9130,""bn"",""en"")"),"Go to music festivals in your city or area and enjoy the music of local artists")</f>
        <v>Go to music festivals in your city or area and enjoy the music of local artists</v>
      </c>
      <c r="D9130" s="5"/>
      <c r="E9130" s="5"/>
      <c r="F9130" s="5"/>
      <c r="G9130" s="5"/>
      <c r="H9130" s="5"/>
      <c r="I9130" s="5"/>
      <c r="J9130" s="5"/>
      <c r="K9130" s="5"/>
      <c r="L9130" s="5"/>
      <c r="M9130" s="5"/>
      <c r="N9130" s="5"/>
      <c r="O9130" s="5"/>
      <c r="P9130" s="5"/>
      <c r="Q9130" s="5"/>
      <c r="R9130" s="5"/>
      <c r="S9130" s="5"/>
      <c r="T9130" s="5"/>
      <c r="U9130" s="5"/>
      <c r="V9130" s="5"/>
      <c r="W9130" s="5"/>
      <c r="X9130" s="5"/>
      <c r="Y9130" s="5"/>
      <c r="Z9130" s="5"/>
    </row>
    <row r="9131" spans="1:26" ht="15" x14ac:dyDescent="0.25">
      <c r="A9131" s="4" t="s">
        <v>9130</v>
      </c>
      <c r="B9131" s="4" t="s">
        <v>9011</v>
      </c>
      <c r="C9131" s="2" t="str">
        <f ca="1">IFERROR(__xludf.DUMMYFUNCTION("GOOGLETRANSLATE(A9131,""bn"",""en"")"),"I will work to ensure more women and girls participate in the education system")</f>
        <v>I will work to ensure more women and girls participate in the education system</v>
      </c>
      <c r="D9131" s="5"/>
      <c r="E9131" s="5"/>
      <c r="F9131" s="5"/>
      <c r="G9131" s="5"/>
      <c r="H9131" s="5"/>
      <c r="I9131" s="5"/>
      <c r="J9131" s="5"/>
      <c r="K9131" s="5"/>
      <c r="L9131" s="5"/>
      <c r="M9131" s="5"/>
      <c r="N9131" s="5"/>
      <c r="O9131" s="5"/>
      <c r="P9131" s="5"/>
      <c r="Q9131" s="5"/>
      <c r="R9131" s="5"/>
      <c r="S9131" s="5"/>
      <c r="T9131" s="5"/>
      <c r="U9131" s="5"/>
      <c r="V9131" s="5"/>
      <c r="W9131" s="5"/>
      <c r="X9131" s="5"/>
      <c r="Y9131" s="5"/>
      <c r="Z9131" s="5"/>
    </row>
    <row r="9132" spans="1:26" ht="15" x14ac:dyDescent="0.25">
      <c r="A9132" s="4" t="s">
        <v>9131</v>
      </c>
      <c r="B9132" s="4" t="s">
        <v>9011</v>
      </c>
      <c r="C9132" s="2" t="str">
        <f ca="1">IFERROR(__xludf.DUMMYFUNCTION("GOOGLETRANSLATE(A9132,""bn"",""en"")"),"We will be opening a new community center next month where locals can participate in various social and cultural activities")</f>
        <v>We will be opening a new community center next month where locals can participate in various social and cultural activities</v>
      </c>
      <c r="D9132" s="5"/>
      <c r="E9132" s="5"/>
      <c r="F9132" s="5"/>
      <c r="G9132" s="5"/>
      <c r="H9132" s="5"/>
      <c r="I9132" s="5"/>
      <c r="J9132" s="5"/>
      <c r="K9132" s="5"/>
      <c r="L9132" s="5"/>
      <c r="M9132" s="5"/>
      <c r="N9132" s="5"/>
      <c r="O9132" s="5"/>
      <c r="P9132" s="5"/>
      <c r="Q9132" s="5"/>
      <c r="R9132" s="5"/>
      <c r="S9132" s="5"/>
      <c r="T9132" s="5"/>
      <c r="U9132" s="5"/>
      <c r="V9132" s="5"/>
      <c r="W9132" s="5"/>
      <c r="X9132" s="5"/>
      <c r="Y9132" s="5"/>
      <c r="Z9132" s="5"/>
    </row>
    <row r="9133" spans="1:26" ht="15" x14ac:dyDescent="0.25">
      <c r="A9133" s="4" t="s">
        <v>9132</v>
      </c>
      <c r="B9133" s="4" t="s">
        <v>9011</v>
      </c>
      <c r="C9133" s="2" t="str">
        <f ca="1">IFERROR(__xludf.DUMMYFUNCTION("GOOGLETRANSLATE(A9133,""bn"",""en"")"),"In this summer, mango pickle syrup will be cool in taste and will make you happy")</f>
        <v>In this summer, mango pickle syrup will be cool in taste and will make you happy</v>
      </c>
      <c r="D9133" s="5"/>
      <c r="E9133" s="5"/>
      <c r="F9133" s="5"/>
      <c r="G9133" s="5"/>
      <c r="H9133" s="5"/>
      <c r="I9133" s="5"/>
      <c r="J9133" s="5"/>
      <c r="K9133" s="5"/>
      <c r="L9133" s="5"/>
      <c r="M9133" s="5"/>
      <c r="N9133" s="5"/>
      <c r="O9133" s="5"/>
      <c r="P9133" s="5"/>
      <c r="Q9133" s="5"/>
      <c r="R9133" s="5"/>
      <c r="S9133" s="5"/>
      <c r="T9133" s="5"/>
      <c r="U9133" s="5"/>
      <c r="V9133" s="5"/>
      <c r="W9133" s="5"/>
      <c r="X9133" s="5"/>
      <c r="Y9133" s="5"/>
      <c r="Z9133" s="5"/>
    </row>
    <row r="9134" spans="1:26" ht="15" x14ac:dyDescent="0.25">
      <c r="A9134" s="4" t="s">
        <v>9133</v>
      </c>
      <c r="B9134" s="4" t="s">
        <v>9011</v>
      </c>
      <c r="C9134" s="2" t="str">
        <f ca="1">IFERROR(__xludf.DUMMYFUNCTION("GOOGLETRANSLATE(A9134,""bn"",""en"")"),"Tomorrow morning I will go to the park to see a crow that looks sick and give it to a local animal rescue organization to do something good for the bird.")</f>
        <v>Tomorrow morning I will go to the park to see a crow that looks sick and give it to a local animal rescue organization to do something good for the bird.</v>
      </c>
      <c r="D9134" s="5"/>
      <c r="E9134" s="5"/>
      <c r="F9134" s="5"/>
      <c r="G9134" s="5"/>
      <c r="H9134" s="5"/>
      <c r="I9134" s="5"/>
      <c r="J9134" s="5"/>
      <c r="K9134" s="5"/>
      <c r="L9134" s="5"/>
      <c r="M9134" s="5"/>
      <c r="N9134" s="5"/>
      <c r="O9134" s="5"/>
      <c r="P9134" s="5"/>
      <c r="Q9134" s="5"/>
      <c r="R9134" s="5"/>
      <c r="S9134" s="5"/>
      <c r="T9134" s="5"/>
      <c r="U9134" s="5"/>
      <c r="V9134" s="5"/>
      <c r="W9134" s="5"/>
      <c r="X9134" s="5"/>
      <c r="Y9134" s="5"/>
      <c r="Z9134" s="5"/>
    </row>
    <row r="9135" spans="1:26" ht="15" x14ac:dyDescent="0.25">
      <c r="A9135" s="4" t="s">
        <v>9134</v>
      </c>
      <c r="B9135" s="4" t="s">
        <v>9011</v>
      </c>
      <c r="C9135" s="2" t="str">
        <f ca="1">IFERROR(__xludf.DUMMYFUNCTION("GOOGLETRANSLATE(A9135,""bn"",""en"")"),"Big things in a small package I will be very proud to announce the career advancement and thank everyone who has supported me along the way.")</f>
        <v>Big things in a small package I will be very proud to announce the career advancement and thank everyone who has supported me along the way.</v>
      </c>
      <c r="D9135" s="5"/>
      <c r="E9135" s="5"/>
      <c r="F9135" s="5"/>
      <c r="G9135" s="5"/>
      <c r="H9135" s="5"/>
      <c r="I9135" s="5"/>
      <c r="J9135" s="5"/>
      <c r="K9135" s="5"/>
      <c r="L9135" s="5"/>
      <c r="M9135" s="5"/>
      <c r="N9135" s="5"/>
      <c r="O9135" s="5"/>
      <c r="P9135" s="5"/>
      <c r="Q9135" s="5"/>
      <c r="R9135" s="5"/>
      <c r="S9135" s="5"/>
      <c r="T9135" s="5"/>
      <c r="U9135" s="5"/>
      <c r="V9135" s="5"/>
      <c r="W9135" s="5"/>
      <c r="X9135" s="5"/>
      <c r="Y9135" s="5"/>
      <c r="Z9135" s="5"/>
    </row>
    <row r="9136" spans="1:26" ht="15" x14ac:dyDescent="0.25">
      <c r="A9136" s="4" t="s">
        <v>9135</v>
      </c>
      <c r="B9136" s="4" t="s">
        <v>9011</v>
      </c>
      <c r="C9136" s="2" t="str">
        <f ca="1">IFERROR(__xludf.DUMMYFUNCTION("GOOGLETRANSLATE(A9136,""bn"",""en"")"),"The office dress code should be changed a little")</f>
        <v>The office dress code should be changed a little</v>
      </c>
      <c r="D9136" s="5"/>
      <c r="E9136" s="5"/>
      <c r="F9136" s="5"/>
      <c r="G9136" s="5"/>
      <c r="H9136" s="5"/>
      <c r="I9136" s="5"/>
      <c r="J9136" s="5"/>
      <c r="K9136" s="5"/>
      <c r="L9136" s="5"/>
      <c r="M9136" s="5"/>
      <c r="N9136" s="5"/>
      <c r="O9136" s="5"/>
      <c r="P9136" s="5"/>
      <c r="Q9136" s="5"/>
      <c r="R9136" s="5"/>
      <c r="S9136" s="5"/>
      <c r="T9136" s="5"/>
      <c r="U9136" s="5"/>
      <c r="V9136" s="5"/>
      <c r="W9136" s="5"/>
      <c r="X9136" s="5"/>
      <c r="Y9136" s="5"/>
      <c r="Z9136" s="5"/>
    </row>
    <row r="9137" spans="1:26" ht="15" x14ac:dyDescent="0.25">
      <c r="A9137" s="4" t="s">
        <v>9136</v>
      </c>
      <c r="B9137" s="4" t="s">
        <v>9011</v>
      </c>
      <c r="C9137" s="2" t="str">
        <f ca="1">IFERROR(__xludf.DUMMYFUNCTION("GOOGLETRANSLATE(A9137,""bn"",""en"")"),"We will make all necessary business preparations to be ready for next week")</f>
        <v>We will make all necessary business preparations to be ready for next week</v>
      </c>
      <c r="D9137" s="5"/>
      <c r="E9137" s="5"/>
      <c r="F9137" s="5"/>
      <c r="G9137" s="5"/>
      <c r="H9137" s="5"/>
      <c r="I9137" s="5"/>
      <c r="J9137" s="5"/>
      <c r="K9137" s="5"/>
      <c r="L9137" s="5"/>
      <c r="M9137" s="5"/>
      <c r="N9137" s="5"/>
      <c r="O9137" s="5"/>
      <c r="P9137" s="5"/>
      <c r="Q9137" s="5"/>
      <c r="R9137" s="5"/>
      <c r="S9137" s="5"/>
      <c r="T9137" s="5"/>
      <c r="U9137" s="5"/>
      <c r="V9137" s="5"/>
      <c r="W9137" s="5"/>
      <c r="X9137" s="5"/>
      <c r="Y9137" s="5"/>
      <c r="Z9137" s="5"/>
    </row>
    <row r="9138" spans="1:26" ht="15" x14ac:dyDescent="0.25">
      <c r="A9138" s="4" t="s">
        <v>9137</v>
      </c>
      <c r="B9138" s="4" t="s">
        <v>9011</v>
      </c>
      <c r="C9138" s="2" t="str">
        <f ca="1">IFERROR(__xludf.DUMMYFUNCTION("GOOGLETRANSLATE(A9138,""bn"",""en"")"),"I will publish an article on better data collection methods tomorrow")</f>
        <v>I will publish an article on better data collection methods tomorrow</v>
      </c>
      <c r="D9138" s="5"/>
      <c r="E9138" s="5"/>
      <c r="F9138" s="5"/>
      <c r="G9138" s="5"/>
      <c r="H9138" s="5"/>
      <c r="I9138" s="5"/>
      <c r="J9138" s="5"/>
      <c r="K9138" s="5"/>
      <c r="L9138" s="5"/>
      <c r="M9138" s="5"/>
      <c r="N9138" s="5"/>
      <c r="O9138" s="5"/>
      <c r="P9138" s="5"/>
      <c r="Q9138" s="5"/>
      <c r="R9138" s="5"/>
      <c r="S9138" s="5"/>
      <c r="T9138" s="5"/>
      <c r="U9138" s="5"/>
      <c r="V9138" s="5"/>
      <c r="W9138" s="5"/>
      <c r="X9138" s="5"/>
      <c r="Y9138" s="5"/>
      <c r="Z9138" s="5"/>
    </row>
    <row r="9139" spans="1:26" ht="15" x14ac:dyDescent="0.25">
      <c r="A9139" s="4" t="s">
        <v>9138</v>
      </c>
      <c r="B9139" s="4" t="s">
        <v>9011</v>
      </c>
      <c r="C9139" s="2" t="str">
        <f ca="1">IFERROR(__xludf.DUMMYFUNCTION("GOOGLETRANSLATE(A9139,""bn"",""en"")"),"In the future I will organize a big music festival where the world's best artists will perform")</f>
        <v>In the future I will organize a big music festival where the world's best artists will perform</v>
      </c>
      <c r="D9139" s="5"/>
      <c r="E9139" s="5"/>
      <c r="F9139" s="5"/>
      <c r="G9139" s="5"/>
      <c r="H9139" s="5"/>
      <c r="I9139" s="5"/>
      <c r="J9139" s="5"/>
      <c r="K9139" s="5"/>
      <c r="L9139" s="5"/>
      <c r="M9139" s="5"/>
      <c r="N9139" s="5"/>
      <c r="O9139" s="5"/>
      <c r="P9139" s="5"/>
      <c r="Q9139" s="5"/>
      <c r="R9139" s="5"/>
      <c r="S9139" s="5"/>
      <c r="T9139" s="5"/>
      <c r="U9139" s="5"/>
      <c r="V9139" s="5"/>
      <c r="W9139" s="5"/>
      <c r="X9139" s="5"/>
      <c r="Y9139" s="5"/>
      <c r="Z9139" s="5"/>
    </row>
    <row r="9140" spans="1:26" ht="15" x14ac:dyDescent="0.25">
      <c r="A9140" s="4" t="s">
        <v>9139</v>
      </c>
      <c r="B9140" s="4" t="s">
        <v>9011</v>
      </c>
      <c r="C9140" s="2" t="str">
        <f ca="1">IFERROR(__xludf.DUMMYFUNCTION("GOOGLETRANSLATE(A9140,""bn"",""en"")"),"The school junior senior bond will be a different kind of relationship")</f>
        <v>The school junior senior bond will be a different kind of relationship</v>
      </c>
      <c r="D9140" s="5"/>
      <c r="E9140" s="5"/>
      <c r="F9140" s="5"/>
      <c r="G9140" s="5"/>
      <c r="H9140" s="5"/>
      <c r="I9140" s="5"/>
      <c r="J9140" s="5"/>
      <c r="K9140" s="5"/>
      <c r="L9140" s="5"/>
      <c r="M9140" s="5"/>
      <c r="N9140" s="5"/>
      <c r="O9140" s="5"/>
      <c r="P9140" s="5"/>
      <c r="Q9140" s="5"/>
      <c r="R9140" s="5"/>
      <c r="S9140" s="5"/>
      <c r="T9140" s="5"/>
      <c r="U9140" s="5"/>
      <c r="V9140" s="5"/>
      <c r="W9140" s="5"/>
      <c r="X9140" s="5"/>
      <c r="Y9140" s="5"/>
      <c r="Z9140" s="5"/>
    </row>
    <row r="9141" spans="1:26" ht="15" x14ac:dyDescent="0.25">
      <c r="A9141" s="4" t="s">
        <v>9140</v>
      </c>
      <c r="B9141" s="4" t="s">
        <v>9011</v>
      </c>
      <c r="C9141" s="2" t="str">
        <f ca="1">IFERROR(__xludf.DUMMYFUNCTION("GOOGLETRANSLATE(A9141,""bn"",""en"")"),"You will start reading a new book tomorrow")</f>
        <v>You will start reading a new book tomorrow</v>
      </c>
      <c r="D9141" s="5"/>
      <c r="E9141" s="5"/>
      <c r="F9141" s="5"/>
      <c r="G9141" s="5"/>
      <c r="H9141" s="5"/>
      <c r="I9141" s="5"/>
      <c r="J9141" s="5"/>
      <c r="K9141" s="5"/>
      <c r="L9141" s="5"/>
      <c r="M9141" s="5"/>
      <c r="N9141" s="5"/>
      <c r="O9141" s="5"/>
      <c r="P9141" s="5"/>
      <c r="Q9141" s="5"/>
      <c r="R9141" s="5"/>
      <c r="S9141" s="5"/>
      <c r="T9141" s="5"/>
      <c r="U9141" s="5"/>
      <c r="V9141" s="5"/>
      <c r="W9141" s="5"/>
      <c r="X9141" s="5"/>
      <c r="Y9141" s="5"/>
      <c r="Z9141" s="5"/>
    </row>
    <row r="9142" spans="1:26" ht="15" x14ac:dyDescent="0.25">
      <c r="A9142" s="4" t="s">
        <v>9141</v>
      </c>
      <c r="B9142" s="4" t="s">
        <v>9011</v>
      </c>
      <c r="C9142" s="2" t="str">
        <f ca="1">IFERROR(__xludf.DUMMYFUNCTION("GOOGLETRANSLATE(A9142,""bn"",""en"")"),"They will go to a special event next week")</f>
        <v>They will go to a special event next week</v>
      </c>
      <c r="D9142" s="5"/>
      <c r="E9142" s="5"/>
      <c r="F9142" s="5"/>
      <c r="G9142" s="5"/>
      <c r="H9142" s="5"/>
      <c r="I9142" s="5"/>
      <c r="J9142" s="5"/>
      <c r="K9142" s="5"/>
      <c r="L9142" s="5"/>
      <c r="M9142" s="5"/>
      <c r="N9142" s="5"/>
      <c r="O9142" s="5"/>
      <c r="P9142" s="5"/>
      <c r="Q9142" s="5"/>
      <c r="R9142" s="5"/>
      <c r="S9142" s="5"/>
      <c r="T9142" s="5"/>
      <c r="U9142" s="5"/>
      <c r="V9142" s="5"/>
      <c r="W9142" s="5"/>
      <c r="X9142" s="5"/>
      <c r="Y9142" s="5"/>
      <c r="Z9142" s="5"/>
    </row>
    <row r="9143" spans="1:26" ht="15" x14ac:dyDescent="0.25">
      <c r="A9143" s="4" t="s">
        <v>9142</v>
      </c>
      <c r="B9143" s="4" t="s">
        <v>9011</v>
      </c>
      <c r="C9143" s="2" t="str">
        <f ca="1">IFERROR(__xludf.DUMMYFUNCTION("GOOGLETRANSLATE(A9143,""bn"",""en"")"),"After eating food from mother's hands, it will feel like this taste will be in the dream state tonight")</f>
        <v>After eating food from mother's hands, it will feel like this taste will be in the dream state tonight</v>
      </c>
      <c r="D9143" s="5"/>
      <c r="E9143" s="5"/>
      <c r="F9143" s="5"/>
      <c r="G9143" s="5"/>
      <c r="H9143" s="5"/>
      <c r="I9143" s="5"/>
      <c r="J9143" s="5"/>
      <c r="K9143" s="5"/>
      <c r="L9143" s="5"/>
      <c r="M9143" s="5"/>
      <c r="N9143" s="5"/>
      <c r="O9143" s="5"/>
      <c r="P9143" s="5"/>
      <c r="Q9143" s="5"/>
      <c r="R9143" s="5"/>
      <c r="S9143" s="5"/>
      <c r="T9143" s="5"/>
      <c r="U9143" s="5"/>
      <c r="V9143" s="5"/>
      <c r="W9143" s="5"/>
      <c r="X9143" s="5"/>
      <c r="Y9143" s="5"/>
      <c r="Z9143" s="5"/>
    </row>
    <row r="9144" spans="1:26" ht="15" x14ac:dyDescent="0.25">
      <c r="A9144" s="4" t="s">
        <v>9143</v>
      </c>
      <c r="B9144" s="4" t="s">
        <v>9011</v>
      </c>
      <c r="C9144" s="2" t="str">
        <f ca="1">IFERROR(__xludf.DUMMYFUNCTION("GOOGLETRANSLATE(A9144,""bn"",""en"")"),"He will draw a new picture tomorrow")</f>
        <v>He will draw a new picture tomorrow</v>
      </c>
      <c r="D9144" s="5"/>
      <c r="E9144" s="5"/>
      <c r="F9144" s="5"/>
      <c r="G9144" s="5"/>
      <c r="H9144" s="5"/>
      <c r="I9144" s="5"/>
      <c r="J9144" s="5"/>
      <c r="K9144" s="5"/>
      <c r="L9144" s="5"/>
      <c r="M9144" s="5"/>
      <c r="N9144" s="5"/>
      <c r="O9144" s="5"/>
      <c r="P9144" s="5"/>
      <c r="Q9144" s="5"/>
      <c r="R9144" s="5"/>
      <c r="S9144" s="5"/>
      <c r="T9144" s="5"/>
      <c r="U9144" s="5"/>
      <c r="V9144" s="5"/>
      <c r="W9144" s="5"/>
      <c r="X9144" s="5"/>
      <c r="Y9144" s="5"/>
      <c r="Z9144" s="5"/>
    </row>
    <row r="9145" spans="1:26" ht="15" x14ac:dyDescent="0.25">
      <c r="A9145" s="4" t="s">
        <v>9144</v>
      </c>
      <c r="B9145" s="4" t="s">
        <v>9011</v>
      </c>
      <c r="C9145" s="2" t="str">
        <f ca="1">IFERROR(__xludf.DUMMYFUNCTION("GOOGLETRANSLATE(A9145,""bn"",""en"")"),"Watching Argentina win the World Cup title will be one of the best moments of my life")</f>
        <v>Watching Argentina win the World Cup title will be one of the best moments of my life</v>
      </c>
      <c r="D9145" s="5"/>
      <c r="E9145" s="5"/>
      <c r="F9145" s="5"/>
      <c r="G9145" s="5"/>
      <c r="H9145" s="5"/>
      <c r="I9145" s="5"/>
      <c r="J9145" s="5"/>
      <c r="K9145" s="5"/>
      <c r="L9145" s="5"/>
      <c r="M9145" s="5"/>
      <c r="N9145" s="5"/>
      <c r="O9145" s="5"/>
      <c r="P9145" s="5"/>
      <c r="Q9145" s="5"/>
      <c r="R9145" s="5"/>
      <c r="S9145" s="5"/>
      <c r="T9145" s="5"/>
      <c r="U9145" s="5"/>
      <c r="V9145" s="5"/>
      <c r="W9145" s="5"/>
      <c r="X9145" s="5"/>
      <c r="Y9145" s="5"/>
      <c r="Z9145" s="5"/>
    </row>
    <row r="9146" spans="1:26" ht="15" x14ac:dyDescent="0.25">
      <c r="A9146" s="4" t="s">
        <v>9145</v>
      </c>
      <c r="B9146" s="4" t="s">
        <v>9011</v>
      </c>
      <c r="C9146" s="2" t="str">
        <f ca="1">IFERROR(__xludf.DUMMYFUNCTION("GOOGLETRANSLATE(A9146,""bn"",""en"")"),"He will enroll in a new photography class next month")</f>
        <v>He will enroll in a new photography class next month</v>
      </c>
      <c r="D9146" s="5"/>
      <c r="E9146" s="5"/>
      <c r="F9146" s="5"/>
      <c r="G9146" s="5"/>
      <c r="H9146" s="5"/>
      <c r="I9146" s="5"/>
      <c r="J9146" s="5"/>
      <c r="K9146" s="5"/>
      <c r="L9146" s="5"/>
      <c r="M9146" s="5"/>
      <c r="N9146" s="5"/>
      <c r="O9146" s="5"/>
      <c r="P9146" s="5"/>
      <c r="Q9146" s="5"/>
      <c r="R9146" s="5"/>
      <c r="S9146" s="5"/>
      <c r="T9146" s="5"/>
      <c r="U9146" s="5"/>
      <c r="V9146" s="5"/>
      <c r="W9146" s="5"/>
      <c r="X9146" s="5"/>
      <c r="Y9146" s="5"/>
      <c r="Z9146" s="5"/>
    </row>
    <row r="9147" spans="1:26" ht="15" x14ac:dyDescent="0.25">
      <c r="A9147" s="4" t="s">
        <v>9146</v>
      </c>
      <c r="B9147" s="4" t="s">
        <v>9011</v>
      </c>
      <c r="C9147" s="2" t="str">
        <f ca="1">IFERROR(__xludf.DUMMYFUNCTION("GOOGLETRANSLATE(A9147,""bn"",""en"")"),"Life will be beautiful with comedy A beautiful smile will be appreciated by all")</f>
        <v>Life will be beautiful with comedy A beautiful smile will be appreciated by all</v>
      </c>
      <c r="D9147" s="5"/>
      <c r="E9147" s="5"/>
      <c r="F9147" s="5"/>
      <c r="G9147" s="5"/>
      <c r="H9147" s="5"/>
      <c r="I9147" s="5"/>
      <c r="J9147" s="5"/>
      <c r="K9147" s="5"/>
      <c r="L9147" s="5"/>
      <c r="M9147" s="5"/>
      <c r="N9147" s="5"/>
      <c r="O9147" s="5"/>
      <c r="P9147" s="5"/>
      <c r="Q9147" s="5"/>
      <c r="R9147" s="5"/>
      <c r="S9147" s="5"/>
      <c r="T9147" s="5"/>
      <c r="U9147" s="5"/>
      <c r="V9147" s="5"/>
      <c r="W9147" s="5"/>
      <c r="X9147" s="5"/>
      <c r="Y9147" s="5"/>
      <c r="Z9147" s="5"/>
    </row>
    <row r="9148" spans="1:26" ht="15" x14ac:dyDescent="0.25">
      <c r="A9148" s="4" t="s">
        <v>9147</v>
      </c>
      <c r="B9148" s="4" t="s">
        <v>9011</v>
      </c>
      <c r="C9148" s="2" t="str">
        <f ca="1">IFERROR(__xludf.DUMMYFUNCTION("GOOGLETRANSLATE(A9148,""bn"",""en"")"),"Today we will visit Sonargaon, the ancient beauty of it cannot be explained")</f>
        <v>Today we will visit Sonargaon, the ancient beauty of it cannot be explained</v>
      </c>
      <c r="D9148" s="5"/>
      <c r="E9148" s="5"/>
      <c r="F9148" s="5"/>
      <c r="G9148" s="5"/>
      <c r="H9148" s="5"/>
      <c r="I9148" s="5"/>
      <c r="J9148" s="5"/>
      <c r="K9148" s="5"/>
      <c r="L9148" s="5"/>
      <c r="M9148" s="5"/>
      <c r="N9148" s="5"/>
      <c r="O9148" s="5"/>
      <c r="P9148" s="5"/>
      <c r="Q9148" s="5"/>
      <c r="R9148" s="5"/>
      <c r="S9148" s="5"/>
      <c r="T9148" s="5"/>
      <c r="U9148" s="5"/>
      <c r="V9148" s="5"/>
      <c r="W9148" s="5"/>
      <c r="X9148" s="5"/>
      <c r="Y9148" s="5"/>
      <c r="Z9148" s="5"/>
    </row>
    <row r="9149" spans="1:26" ht="15" x14ac:dyDescent="0.25">
      <c r="A9149" s="4" t="s">
        <v>9148</v>
      </c>
      <c r="B9149" s="4" t="s">
        <v>9011</v>
      </c>
      <c r="C9149" s="2" t="str">
        <f ca="1">IFERROR(__xludf.DUMMYFUNCTION("GOOGLETRANSLATE(A9149,""bn"",""en"")"),"They will travel abroad next year")</f>
        <v>They will travel abroad next year</v>
      </c>
      <c r="D9149" s="5"/>
      <c r="E9149" s="5"/>
      <c r="F9149" s="5"/>
      <c r="G9149" s="5"/>
      <c r="H9149" s="5"/>
      <c r="I9149" s="5"/>
      <c r="J9149" s="5"/>
      <c r="K9149" s="5"/>
      <c r="L9149" s="5"/>
      <c r="M9149" s="5"/>
      <c r="N9149" s="5"/>
      <c r="O9149" s="5"/>
      <c r="P9149" s="5"/>
      <c r="Q9149" s="5"/>
      <c r="R9149" s="5"/>
      <c r="S9149" s="5"/>
      <c r="T9149" s="5"/>
      <c r="U9149" s="5"/>
      <c r="V9149" s="5"/>
      <c r="W9149" s="5"/>
      <c r="X9149" s="5"/>
      <c r="Y9149" s="5"/>
      <c r="Z9149" s="5"/>
    </row>
    <row r="9150" spans="1:26" ht="15" x14ac:dyDescent="0.25">
      <c r="A9150" s="4" t="s">
        <v>9149</v>
      </c>
      <c r="B9150" s="4" t="s">
        <v>9011</v>
      </c>
      <c r="C9150" s="2" t="str">
        <f ca="1">IFERROR(__xludf.DUMMYFUNCTION("GOOGLETRANSLATE(A9150,""bn"",""en"")"),"He will complete all the work at the specified time while collecting the information he needs")</f>
        <v>He will complete all the work at the specified time while collecting the information he needs</v>
      </c>
      <c r="D9150" s="5"/>
      <c r="E9150" s="5"/>
      <c r="F9150" s="5"/>
      <c r="G9150" s="5"/>
      <c r="H9150" s="5"/>
      <c r="I9150" s="5"/>
      <c r="J9150" s="5"/>
      <c r="K9150" s="5"/>
      <c r="L9150" s="5"/>
      <c r="M9150" s="5"/>
      <c r="N9150" s="5"/>
      <c r="O9150" s="5"/>
      <c r="P9150" s="5"/>
      <c r="Q9150" s="5"/>
      <c r="R9150" s="5"/>
      <c r="S9150" s="5"/>
      <c r="T9150" s="5"/>
      <c r="U9150" s="5"/>
      <c r="V9150" s="5"/>
      <c r="W9150" s="5"/>
      <c r="X9150" s="5"/>
      <c r="Y9150" s="5"/>
      <c r="Z9150" s="5"/>
    </row>
    <row r="9151" spans="1:26" ht="15" x14ac:dyDescent="0.25">
      <c r="A9151" s="4" t="s">
        <v>9150</v>
      </c>
      <c r="B9151" s="4" t="s">
        <v>9011</v>
      </c>
      <c r="C9151" s="2" t="str">
        <f ca="1">IFERROR(__xludf.DUMMYFUNCTION("GOOGLETRANSLATE(A9151,""bn"",""en"")"),"You will want to cook for the family and you will see everyone's happy faces")</f>
        <v>You will want to cook for the family and you will see everyone's happy faces</v>
      </c>
      <c r="D9151" s="5"/>
      <c r="E9151" s="5"/>
      <c r="F9151" s="5"/>
      <c r="G9151" s="5"/>
      <c r="H9151" s="5"/>
      <c r="I9151" s="5"/>
      <c r="J9151" s="5"/>
      <c r="K9151" s="5"/>
      <c r="L9151" s="5"/>
      <c r="M9151" s="5"/>
      <c r="N9151" s="5"/>
      <c r="O9151" s="5"/>
      <c r="P9151" s="5"/>
      <c r="Q9151" s="5"/>
      <c r="R9151" s="5"/>
      <c r="S9151" s="5"/>
      <c r="T9151" s="5"/>
      <c r="U9151" s="5"/>
      <c r="V9151" s="5"/>
      <c r="W9151" s="5"/>
      <c r="X9151" s="5"/>
      <c r="Y9151" s="5"/>
      <c r="Z9151" s="5"/>
    </row>
    <row r="9152" spans="1:26" ht="15" x14ac:dyDescent="0.25">
      <c r="A9152" s="4" t="s">
        <v>9151</v>
      </c>
      <c r="B9152" s="4" t="s">
        <v>9011</v>
      </c>
      <c r="C9152" s="2" t="str">
        <f ca="1">IFERROR(__xludf.DUMMYFUNCTION("GOOGLETRANSLATE(A9152,""bn"",""en"")"),"The mind is a little sad because of the abandonment of Maa Durga, but there is hope that this great ceremony will come again")</f>
        <v>The mind is a little sad because of the abandonment of Maa Durga, but there is hope that this great ceremony will come again</v>
      </c>
      <c r="D9152" s="5"/>
      <c r="E9152" s="5"/>
      <c r="F9152" s="5"/>
      <c r="G9152" s="5"/>
      <c r="H9152" s="5"/>
      <c r="I9152" s="5"/>
      <c r="J9152" s="5"/>
      <c r="K9152" s="5"/>
      <c r="L9152" s="5"/>
      <c r="M9152" s="5"/>
      <c r="N9152" s="5"/>
      <c r="O9152" s="5"/>
      <c r="P9152" s="5"/>
      <c r="Q9152" s="5"/>
      <c r="R9152" s="5"/>
      <c r="S9152" s="5"/>
      <c r="T9152" s="5"/>
      <c r="U9152" s="5"/>
      <c r="V9152" s="5"/>
      <c r="W9152" s="5"/>
      <c r="X9152" s="5"/>
      <c r="Y9152" s="5"/>
      <c r="Z9152" s="5"/>
    </row>
    <row r="9153" spans="1:26" ht="15" x14ac:dyDescent="0.25">
      <c r="A9153" s="4" t="s">
        <v>9152</v>
      </c>
      <c r="B9153" s="4" t="s">
        <v>9011</v>
      </c>
      <c r="C9153" s="2" t="str">
        <f ca="1">IFERROR(__xludf.DUMMYFUNCTION("GOOGLETRANSLATE(A9153,""bn"",""en"")"),"As cryptocurrency blockchains expand, currencies may disappear")</f>
        <v>As cryptocurrency blockchains expand, currencies may disappear</v>
      </c>
      <c r="D9153" s="5"/>
      <c r="E9153" s="5"/>
      <c r="F9153" s="5"/>
      <c r="G9153" s="5"/>
      <c r="H9153" s="5"/>
      <c r="I9153" s="5"/>
      <c r="J9153" s="5"/>
      <c r="K9153" s="5"/>
      <c r="L9153" s="5"/>
      <c r="M9153" s="5"/>
      <c r="N9153" s="5"/>
      <c r="O9153" s="5"/>
      <c r="P9153" s="5"/>
      <c r="Q9153" s="5"/>
      <c r="R9153" s="5"/>
      <c r="S9153" s="5"/>
      <c r="T9153" s="5"/>
      <c r="U9153" s="5"/>
      <c r="V9153" s="5"/>
      <c r="W9153" s="5"/>
      <c r="X9153" s="5"/>
      <c r="Y9153" s="5"/>
      <c r="Z9153" s="5"/>
    </row>
    <row r="9154" spans="1:26" ht="15" x14ac:dyDescent="0.25">
      <c r="A9154" s="4" t="s">
        <v>9153</v>
      </c>
      <c r="B9154" s="4" t="s">
        <v>9011</v>
      </c>
      <c r="C9154" s="2" t="str">
        <f ca="1">IFERROR(__xludf.DUMMYFUNCTION("GOOGLETRANSLATE(A9154,""bn"",""en"")"),"Tomorrow I will play a new game that will calm my mind")</f>
        <v>Tomorrow I will play a new game that will calm my mind</v>
      </c>
      <c r="D9154" s="5"/>
      <c r="E9154" s="5"/>
      <c r="F9154" s="5"/>
      <c r="G9154" s="5"/>
      <c r="H9154" s="5"/>
      <c r="I9154" s="5"/>
      <c r="J9154" s="5"/>
      <c r="K9154" s="5"/>
      <c r="L9154" s="5"/>
      <c r="M9154" s="5"/>
      <c r="N9154" s="5"/>
      <c r="O9154" s="5"/>
      <c r="P9154" s="5"/>
      <c r="Q9154" s="5"/>
      <c r="R9154" s="5"/>
      <c r="S9154" s="5"/>
      <c r="T9154" s="5"/>
      <c r="U9154" s="5"/>
      <c r="V9154" s="5"/>
      <c r="W9154" s="5"/>
      <c r="X9154" s="5"/>
      <c r="Y9154" s="5"/>
      <c r="Z9154" s="5"/>
    </row>
    <row r="9155" spans="1:26" ht="15" x14ac:dyDescent="0.25">
      <c r="A9155" s="4" t="s">
        <v>9154</v>
      </c>
      <c r="B9155" s="4" t="s">
        <v>9011</v>
      </c>
      <c r="C9155" s="2" t="str">
        <f ca="1">IFERROR(__xludf.DUMMYFUNCTION("GOOGLETRANSLATE(A9155,""bn"",""en"")"),"Only one can realize the joy of getting a job after graduation")</f>
        <v>Only one can realize the joy of getting a job after graduation</v>
      </c>
      <c r="D9155" s="5"/>
      <c r="E9155" s="5"/>
      <c r="F9155" s="5"/>
      <c r="G9155" s="5"/>
      <c r="H9155" s="5"/>
      <c r="I9155" s="5"/>
      <c r="J9155" s="5"/>
      <c r="K9155" s="5"/>
      <c r="L9155" s="5"/>
      <c r="M9155" s="5"/>
      <c r="N9155" s="5"/>
      <c r="O9155" s="5"/>
      <c r="P9155" s="5"/>
      <c r="Q9155" s="5"/>
      <c r="R9155" s="5"/>
      <c r="S9155" s="5"/>
      <c r="T9155" s="5"/>
      <c r="U9155" s="5"/>
      <c r="V9155" s="5"/>
      <c r="W9155" s="5"/>
      <c r="X9155" s="5"/>
      <c r="Y9155" s="5"/>
      <c r="Z9155" s="5"/>
    </row>
    <row r="9156" spans="1:26" ht="15" x14ac:dyDescent="0.25">
      <c r="A9156" s="4" t="s">
        <v>9155</v>
      </c>
      <c r="B9156" s="4" t="s">
        <v>9011</v>
      </c>
      <c r="C9156" s="2" t="str">
        <f ca="1">IFERROR(__xludf.DUMMYFUNCTION("GOOGLETRANSLATE(A9156,""bn"",""en"")"),"Can you stay there after we complete our plan?")</f>
        <v>Can you stay there after we complete our plan?</v>
      </c>
      <c r="D9156" s="5"/>
      <c r="E9156" s="5"/>
      <c r="F9156" s="5"/>
      <c r="G9156" s="5"/>
      <c r="H9156" s="5"/>
      <c r="I9156" s="5"/>
      <c r="J9156" s="5"/>
      <c r="K9156" s="5"/>
      <c r="L9156" s="5"/>
      <c r="M9156" s="5"/>
      <c r="N9156" s="5"/>
      <c r="O9156" s="5"/>
      <c r="P9156" s="5"/>
      <c r="Q9156" s="5"/>
      <c r="R9156" s="5"/>
      <c r="S9156" s="5"/>
      <c r="T9156" s="5"/>
      <c r="U9156" s="5"/>
      <c r="V9156" s="5"/>
      <c r="W9156" s="5"/>
      <c r="X9156" s="5"/>
      <c r="Y9156" s="5"/>
      <c r="Z9156" s="5"/>
    </row>
    <row r="9157" spans="1:26" ht="15" x14ac:dyDescent="0.25">
      <c r="A9157" s="4" t="s">
        <v>9156</v>
      </c>
      <c r="B9157" s="4" t="s">
        <v>9011</v>
      </c>
      <c r="C9157" s="2" t="str">
        <f ca="1">IFERROR(__xludf.DUMMYFUNCTION("GOOGLETRANSLATE(A9157,""bn"",""en"")"),"They will deliver a new project next year where new opportunities will be created")</f>
        <v>They will deliver a new project next year where new opportunities will be created</v>
      </c>
      <c r="D9157" s="5"/>
      <c r="E9157" s="5"/>
      <c r="F9157" s="5"/>
      <c r="G9157" s="5"/>
      <c r="H9157" s="5"/>
      <c r="I9157" s="5"/>
      <c r="J9157" s="5"/>
      <c r="K9157" s="5"/>
      <c r="L9157" s="5"/>
      <c r="M9157" s="5"/>
      <c r="N9157" s="5"/>
      <c r="O9157" s="5"/>
      <c r="P9157" s="5"/>
      <c r="Q9157" s="5"/>
      <c r="R9157" s="5"/>
      <c r="S9157" s="5"/>
      <c r="T9157" s="5"/>
      <c r="U9157" s="5"/>
      <c r="V9157" s="5"/>
      <c r="W9157" s="5"/>
      <c r="X9157" s="5"/>
      <c r="Y9157" s="5"/>
      <c r="Z9157" s="5"/>
    </row>
    <row r="9158" spans="1:26" ht="15" x14ac:dyDescent="0.25">
      <c r="A9158" s="4" t="s">
        <v>9157</v>
      </c>
      <c r="B9158" s="4" t="s">
        <v>9011</v>
      </c>
      <c r="C9158" s="2" t="str">
        <f ca="1">IFERROR(__xludf.DUMMYFUNCTION("GOOGLETRANSLATE(A9158,""bn"",""en"")"),"When I complete my education I will start working in an established company")</f>
        <v>When I complete my education I will start working in an established company</v>
      </c>
      <c r="D9158" s="5"/>
      <c r="E9158" s="5"/>
      <c r="F9158" s="5"/>
      <c r="G9158" s="5"/>
      <c r="H9158" s="5"/>
      <c r="I9158" s="5"/>
      <c r="J9158" s="5"/>
      <c r="K9158" s="5"/>
      <c r="L9158" s="5"/>
      <c r="M9158" s="5"/>
      <c r="N9158" s="5"/>
      <c r="O9158" s="5"/>
      <c r="P9158" s="5"/>
      <c r="Q9158" s="5"/>
      <c r="R9158" s="5"/>
      <c r="S9158" s="5"/>
      <c r="T9158" s="5"/>
      <c r="U9158" s="5"/>
      <c r="V9158" s="5"/>
      <c r="W9158" s="5"/>
      <c r="X9158" s="5"/>
      <c r="Y9158" s="5"/>
      <c r="Z9158" s="5"/>
    </row>
    <row r="9159" spans="1:26" ht="15" x14ac:dyDescent="0.25">
      <c r="A9159" s="4" t="s">
        <v>9158</v>
      </c>
      <c r="B9159" s="4" t="s">
        <v>9011</v>
      </c>
      <c r="C9159" s="2" t="str">
        <f ca="1">IFERROR(__xludf.DUMMYFUNCTION("GOOGLETRANSLATE(A9159,""bn"",""en"")"),"The greatest responsibility is the greatest joy of being a father. Welcome my little darling")</f>
        <v>The greatest responsibility is the greatest joy of being a father. Welcome my little darling</v>
      </c>
      <c r="D9159" s="5"/>
      <c r="E9159" s="5"/>
      <c r="F9159" s="5"/>
      <c r="G9159" s="5"/>
      <c r="H9159" s="5"/>
      <c r="I9159" s="5"/>
      <c r="J9159" s="5"/>
      <c r="K9159" s="5"/>
      <c r="L9159" s="5"/>
      <c r="M9159" s="5"/>
      <c r="N9159" s="5"/>
      <c r="O9159" s="5"/>
      <c r="P9159" s="5"/>
      <c r="Q9159" s="5"/>
      <c r="R9159" s="5"/>
      <c r="S9159" s="5"/>
      <c r="T9159" s="5"/>
      <c r="U9159" s="5"/>
      <c r="V9159" s="5"/>
      <c r="W9159" s="5"/>
      <c r="X9159" s="5"/>
      <c r="Y9159" s="5"/>
      <c r="Z9159" s="5"/>
    </row>
    <row r="9160" spans="1:26" ht="15" x14ac:dyDescent="0.25">
      <c r="A9160" s="4" t="s">
        <v>9159</v>
      </c>
      <c r="B9160" s="4" t="s">
        <v>9011</v>
      </c>
      <c r="C9160" s="2" t="str">
        <f ca="1">IFERROR(__xludf.DUMMYFUNCTION("GOOGLETRANSLATE(A9160,""bn"",""en"")"),"They will move into their new home next month")</f>
        <v>They will move into their new home next month</v>
      </c>
      <c r="D9160" s="5"/>
      <c r="E9160" s="5"/>
      <c r="F9160" s="5"/>
      <c r="G9160" s="5"/>
      <c r="H9160" s="5"/>
      <c r="I9160" s="5"/>
      <c r="J9160" s="5"/>
      <c r="K9160" s="5"/>
      <c r="L9160" s="5"/>
      <c r="M9160" s="5"/>
      <c r="N9160" s="5"/>
      <c r="O9160" s="5"/>
      <c r="P9160" s="5"/>
      <c r="Q9160" s="5"/>
      <c r="R9160" s="5"/>
      <c r="S9160" s="5"/>
      <c r="T9160" s="5"/>
      <c r="U9160" s="5"/>
      <c r="V9160" s="5"/>
      <c r="W9160" s="5"/>
      <c r="X9160" s="5"/>
      <c r="Y9160" s="5"/>
      <c r="Z9160" s="5"/>
    </row>
    <row r="9161" spans="1:26" ht="15" x14ac:dyDescent="0.25">
      <c r="A9161" s="4" t="s">
        <v>9160</v>
      </c>
      <c r="B9161" s="4" t="s">
        <v>9011</v>
      </c>
      <c r="C9161" s="2" t="str">
        <f ca="1">IFERROR(__xludf.DUMMYFUNCTION("GOOGLETRANSLATE(A9161,""bn"",""en"")"),"Next month we will have a family reunion where we will relive our old memories")</f>
        <v>Next month we will have a family reunion where we will relive our old memories</v>
      </c>
      <c r="D9161" s="5"/>
      <c r="E9161" s="5"/>
      <c r="F9161" s="5"/>
      <c r="G9161" s="5"/>
      <c r="H9161" s="5"/>
      <c r="I9161" s="5"/>
      <c r="J9161" s="5"/>
      <c r="K9161" s="5"/>
      <c r="L9161" s="5"/>
      <c r="M9161" s="5"/>
      <c r="N9161" s="5"/>
      <c r="O9161" s="5"/>
      <c r="P9161" s="5"/>
      <c r="Q9161" s="5"/>
      <c r="R9161" s="5"/>
      <c r="S9161" s="5"/>
      <c r="T9161" s="5"/>
      <c r="U9161" s="5"/>
      <c r="V9161" s="5"/>
      <c r="W9161" s="5"/>
      <c r="X9161" s="5"/>
      <c r="Y9161" s="5"/>
      <c r="Z9161" s="5"/>
    </row>
    <row r="9162" spans="1:26" ht="15" x14ac:dyDescent="0.25">
      <c r="A9162" s="4" t="s">
        <v>9161</v>
      </c>
      <c r="B9162" s="4" t="s">
        <v>9011</v>
      </c>
      <c r="C9162" s="2" t="str">
        <f ca="1">IFERROR(__xludf.DUMMYFUNCTION("GOOGLETRANSLATE(A9162,""bn"",""en"")"),"He will start a study next year on advanced cyber security technologies")</f>
        <v>He will start a study next year on advanced cyber security technologies</v>
      </c>
      <c r="D9162" s="5"/>
      <c r="E9162" s="5"/>
      <c r="F9162" s="5"/>
      <c r="G9162" s="5"/>
      <c r="H9162" s="5"/>
      <c r="I9162" s="5"/>
      <c r="J9162" s="5"/>
      <c r="K9162" s="5"/>
      <c r="L9162" s="5"/>
      <c r="M9162" s="5"/>
      <c r="N9162" s="5"/>
      <c r="O9162" s="5"/>
      <c r="P9162" s="5"/>
      <c r="Q9162" s="5"/>
      <c r="R9162" s="5"/>
      <c r="S9162" s="5"/>
      <c r="T9162" s="5"/>
      <c r="U9162" s="5"/>
      <c r="V9162" s="5"/>
      <c r="W9162" s="5"/>
      <c r="X9162" s="5"/>
      <c r="Y9162" s="5"/>
      <c r="Z9162" s="5"/>
    </row>
    <row r="9163" spans="1:26" ht="15" x14ac:dyDescent="0.25">
      <c r="A9163" s="4" t="s">
        <v>9162</v>
      </c>
      <c r="B9163" s="4" t="s">
        <v>9011</v>
      </c>
      <c r="C9163" s="2" t="str">
        <f ca="1">IFERROR(__xludf.DUMMYFUNCTION("GOOGLETRANSLATE(A9163,""bn"",""en"")"),"We will be opening a new art gallery next month where local artists can display their work")</f>
        <v>We will be opening a new art gallery next month where local artists can display their work</v>
      </c>
      <c r="D9163" s="5"/>
      <c r="E9163" s="5"/>
      <c r="F9163" s="5"/>
      <c r="G9163" s="5"/>
      <c r="H9163" s="5"/>
      <c r="I9163" s="5"/>
      <c r="J9163" s="5"/>
      <c r="K9163" s="5"/>
      <c r="L9163" s="5"/>
      <c r="M9163" s="5"/>
      <c r="N9163" s="5"/>
      <c r="O9163" s="5"/>
      <c r="P9163" s="5"/>
      <c r="Q9163" s="5"/>
      <c r="R9163" s="5"/>
      <c r="S9163" s="5"/>
      <c r="T9163" s="5"/>
      <c r="U9163" s="5"/>
      <c r="V9163" s="5"/>
      <c r="W9163" s="5"/>
      <c r="X9163" s="5"/>
      <c r="Y9163" s="5"/>
      <c r="Z9163" s="5"/>
    </row>
    <row r="9164" spans="1:26" ht="15" x14ac:dyDescent="0.25">
      <c r="A9164" s="4" t="s">
        <v>9163</v>
      </c>
      <c r="B9164" s="4" t="s">
        <v>9011</v>
      </c>
      <c r="C9164" s="2" t="str">
        <f ca="1">IFERROR(__xludf.DUMMYFUNCTION("GOOGLETRANSLATE(A9164,""bn"",""en"")"),"To me you will always be the best congrats on the job keep going your own way.")</f>
        <v>To me you will always be the best congrats on the job keep going your own way.</v>
      </c>
      <c r="D9164" s="5"/>
      <c r="E9164" s="5"/>
      <c r="F9164" s="5"/>
      <c r="G9164" s="5"/>
      <c r="H9164" s="5"/>
      <c r="I9164" s="5"/>
      <c r="J9164" s="5"/>
      <c r="K9164" s="5"/>
      <c r="L9164" s="5"/>
      <c r="M9164" s="5"/>
      <c r="N9164" s="5"/>
      <c r="O9164" s="5"/>
      <c r="P9164" s="5"/>
      <c r="Q9164" s="5"/>
      <c r="R9164" s="5"/>
      <c r="S9164" s="5"/>
      <c r="T9164" s="5"/>
      <c r="U9164" s="5"/>
      <c r="V9164" s="5"/>
      <c r="W9164" s="5"/>
      <c r="X9164" s="5"/>
      <c r="Y9164" s="5"/>
      <c r="Z9164" s="5"/>
    </row>
    <row r="9165" spans="1:26" ht="15" x14ac:dyDescent="0.25">
      <c r="A9165" s="4" t="s">
        <v>9164</v>
      </c>
      <c r="B9165" s="4" t="s">
        <v>9011</v>
      </c>
      <c r="C9165" s="2" t="str">
        <f ca="1">IFERROR(__xludf.DUMMYFUNCTION("GOOGLETRANSLATE(A9165,""bn"",""en"")"),"You will one day become worthless to the person you value the most")</f>
        <v>You will one day become worthless to the person you value the most</v>
      </c>
      <c r="D9165" s="5"/>
      <c r="E9165" s="5"/>
      <c r="F9165" s="5"/>
      <c r="G9165" s="5"/>
      <c r="H9165" s="5"/>
      <c r="I9165" s="5"/>
      <c r="J9165" s="5"/>
      <c r="K9165" s="5"/>
      <c r="L9165" s="5"/>
      <c r="M9165" s="5"/>
      <c r="N9165" s="5"/>
      <c r="O9165" s="5"/>
      <c r="P9165" s="5"/>
      <c r="Q9165" s="5"/>
      <c r="R9165" s="5"/>
      <c r="S9165" s="5"/>
      <c r="T9165" s="5"/>
      <c r="U9165" s="5"/>
      <c r="V9165" s="5"/>
      <c r="W9165" s="5"/>
      <c r="X9165" s="5"/>
      <c r="Y9165" s="5"/>
      <c r="Z9165" s="5"/>
    </row>
    <row r="9166" spans="1:26" ht="15" x14ac:dyDescent="0.25">
      <c r="A9166" s="4" t="s">
        <v>9165</v>
      </c>
      <c r="B9166" s="4" t="s">
        <v>9011</v>
      </c>
      <c r="C9166" s="2" t="str">
        <f ca="1">IFERROR(__xludf.DUMMYFUNCTION("GOOGLETRANSLATE(A9166,""bn"",""en"")"),"The birds of the sky will fly so high today it will seem like they are playing hide and seek with us")</f>
        <v>The birds of the sky will fly so high today it will seem like they are playing hide and seek with us</v>
      </c>
      <c r="D9166" s="5"/>
      <c r="E9166" s="5"/>
      <c r="F9166" s="5"/>
      <c r="G9166" s="5"/>
      <c r="H9166" s="5"/>
      <c r="I9166" s="5"/>
      <c r="J9166" s="5"/>
      <c r="K9166" s="5"/>
      <c r="L9166" s="5"/>
      <c r="M9166" s="5"/>
      <c r="N9166" s="5"/>
      <c r="O9166" s="5"/>
      <c r="P9166" s="5"/>
      <c r="Q9166" s="5"/>
      <c r="R9166" s="5"/>
      <c r="S9166" s="5"/>
      <c r="T9166" s="5"/>
      <c r="U9166" s="5"/>
      <c r="V9166" s="5"/>
      <c r="W9166" s="5"/>
      <c r="X9166" s="5"/>
      <c r="Y9166" s="5"/>
      <c r="Z9166" s="5"/>
    </row>
    <row r="9167" spans="1:26" ht="15" x14ac:dyDescent="0.25">
      <c r="A9167" s="4" t="s">
        <v>9166</v>
      </c>
      <c r="B9167" s="4" t="s">
        <v>9011</v>
      </c>
      <c r="C9167" s="2" t="str">
        <f ca="1">IFERROR(__xludf.DUMMYFUNCTION("GOOGLETRANSLATE(A9167,""bn"",""en"")"),"After the whole month of Ramadan comes the day of Eid which will be a festival of happiness")</f>
        <v>After the whole month of Ramadan comes the day of Eid which will be a festival of happiness</v>
      </c>
      <c r="D9167" s="5"/>
      <c r="E9167" s="5"/>
      <c r="F9167" s="5"/>
      <c r="G9167" s="5"/>
      <c r="H9167" s="5"/>
      <c r="I9167" s="5"/>
      <c r="J9167" s="5"/>
      <c r="K9167" s="5"/>
      <c r="L9167" s="5"/>
      <c r="M9167" s="5"/>
      <c r="N9167" s="5"/>
      <c r="O9167" s="5"/>
      <c r="P9167" s="5"/>
      <c r="Q9167" s="5"/>
      <c r="R9167" s="5"/>
      <c r="S9167" s="5"/>
      <c r="T9167" s="5"/>
      <c r="U9167" s="5"/>
      <c r="V9167" s="5"/>
      <c r="W9167" s="5"/>
      <c r="X9167" s="5"/>
      <c r="Y9167" s="5"/>
      <c r="Z9167" s="5"/>
    </row>
    <row r="9168" spans="1:26" ht="15" x14ac:dyDescent="0.25">
      <c r="A9168" s="4" t="s">
        <v>9167</v>
      </c>
      <c r="B9168" s="4" t="s">
        <v>9011</v>
      </c>
      <c r="C9168" s="2" t="str">
        <f ca="1">IFERROR(__xludf.DUMMYFUNCTION("GOOGLETRANSLATE(A9168,""bn"",""en"")"),"The hard rules of school life will be useful in today's life")</f>
        <v>The hard rules of school life will be useful in today's life</v>
      </c>
      <c r="D9168" s="5"/>
      <c r="E9168" s="5"/>
      <c r="F9168" s="5"/>
      <c r="G9168" s="5"/>
      <c r="H9168" s="5"/>
      <c r="I9168" s="5"/>
      <c r="J9168" s="5"/>
      <c r="K9168" s="5"/>
      <c r="L9168" s="5"/>
      <c r="M9168" s="5"/>
      <c r="N9168" s="5"/>
      <c r="O9168" s="5"/>
      <c r="P9168" s="5"/>
      <c r="Q9168" s="5"/>
      <c r="R9168" s="5"/>
      <c r="S9168" s="5"/>
      <c r="T9168" s="5"/>
      <c r="U9168" s="5"/>
      <c r="V9168" s="5"/>
      <c r="W9168" s="5"/>
      <c r="X9168" s="5"/>
      <c r="Y9168" s="5"/>
      <c r="Z9168" s="5"/>
    </row>
    <row r="9169" spans="1:26" ht="15" x14ac:dyDescent="0.25">
      <c r="A9169" s="4" t="s">
        <v>9168</v>
      </c>
      <c r="B9169" s="4" t="s">
        <v>9011</v>
      </c>
      <c r="C9169" s="2" t="str">
        <f ca="1">IFERROR(__xludf.DUMMYFUNCTION("GOOGLETRANSLATE(A9169,""bn"",""en"")"),"Tomorrow you will present an important proposal for environmental protection")</f>
        <v>Tomorrow you will present an important proposal for environmental protection</v>
      </c>
      <c r="D9169" s="5"/>
      <c r="E9169" s="5"/>
      <c r="F9169" s="5"/>
      <c r="G9169" s="5"/>
      <c r="H9169" s="5"/>
      <c r="I9169" s="5"/>
      <c r="J9169" s="5"/>
      <c r="K9169" s="5"/>
      <c r="L9169" s="5"/>
      <c r="M9169" s="5"/>
      <c r="N9169" s="5"/>
      <c r="O9169" s="5"/>
      <c r="P9169" s="5"/>
      <c r="Q9169" s="5"/>
      <c r="R9169" s="5"/>
      <c r="S9169" s="5"/>
      <c r="T9169" s="5"/>
      <c r="U9169" s="5"/>
      <c r="V9169" s="5"/>
      <c r="W9169" s="5"/>
      <c r="X9169" s="5"/>
      <c r="Y9169" s="5"/>
      <c r="Z9169" s="5"/>
    </row>
    <row r="9170" spans="1:26" ht="15" x14ac:dyDescent="0.25">
      <c r="A9170" s="4" t="s">
        <v>9169</v>
      </c>
      <c r="B9170" s="4" t="s">
        <v>9011</v>
      </c>
      <c r="C9170" s="2" t="str">
        <f ca="1">IFERROR(__xludf.DUMMYFUNCTION("GOOGLETRANSLATE(A9170,""bn"",""en"")"),"Tomorrow I will be speaking at a big conference which will be important for my career")</f>
        <v>Tomorrow I will be speaking at a big conference which will be important for my career</v>
      </c>
      <c r="D9170" s="5"/>
      <c r="E9170" s="5"/>
      <c r="F9170" s="5"/>
      <c r="G9170" s="5"/>
      <c r="H9170" s="5"/>
      <c r="I9170" s="5"/>
      <c r="J9170" s="5"/>
      <c r="K9170" s="5"/>
      <c r="L9170" s="5"/>
      <c r="M9170" s="5"/>
      <c r="N9170" s="5"/>
      <c r="O9170" s="5"/>
      <c r="P9170" s="5"/>
      <c r="Q9170" s="5"/>
      <c r="R9170" s="5"/>
      <c r="S9170" s="5"/>
      <c r="T9170" s="5"/>
      <c r="U9170" s="5"/>
      <c r="V9170" s="5"/>
      <c r="W9170" s="5"/>
      <c r="X9170" s="5"/>
      <c r="Y9170" s="5"/>
      <c r="Z9170" s="5"/>
    </row>
    <row r="9171" spans="1:26" ht="15" x14ac:dyDescent="0.25">
      <c r="A9171" s="4" t="s">
        <v>9170</v>
      </c>
      <c r="B9171" s="4" t="s">
        <v>9011</v>
      </c>
      <c r="C9171" s="2" t="str">
        <f ca="1">IFERROR(__xludf.DUMMYFUNCTION("GOOGLETRANSLATE(A9171,""bn"",""en"")"),"You will be my inspiration to achieve so much success at this age")</f>
        <v>You will be my inspiration to achieve so much success at this age</v>
      </c>
      <c r="D9171" s="5"/>
      <c r="E9171" s="5"/>
      <c r="F9171" s="5"/>
      <c r="G9171" s="5"/>
      <c r="H9171" s="5"/>
      <c r="I9171" s="5"/>
      <c r="J9171" s="5"/>
      <c r="K9171" s="5"/>
      <c r="L9171" s="5"/>
      <c r="M9171" s="5"/>
      <c r="N9171" s="5"/>
      <c r="O9171" s="5"/>
      <c r="P9171" s="5"/>
      <c r="Q9171" s="5"/>
      <c r="R9171" s="5"/>
      <c r="S9171" s="5"/>
      <c r="T9171" s="5"/>
      <c r="U9171" s="5"/>
      <c r="V9171" s="5"/>
      <c r="W9171" s="5"/>
      <c r="X9171" s="5"/>
      <c r="Y9171" s="5"/>
      <c r="Z9171" s="5"/>
    </row>
    <row r="9172" spans="1:26" ht="15" x14ac:dyDescent="0.25">
      <c r="A9172" s="4" t="s">
        <v>9171</v>
      </c>
      <c r="B9172" s="4" t="s">
        <v>9011</v>
      </c>
      <c r="C9172" s="2" t="str">
        <f ca="1">IFERROR(__xludf.DUMMYFUNCTION("GOOGLETRANSLATE(A9172,""bn"",""en"")"),"I am thinking of improving my technical skills in the field of new science technology in the coming months, I hope it will improve my career more")</f>
        <v>I am thinking of improving my technical skills in the field of new science technology in the coming months, I hope it will improve my career more</v>
      </c>
      <c r="D9172" s="5"/>
      <c r="E9172" s="5"/>
      <c r="F9172" s="5"/>
      <c r="G9172" s="5"/>
      <c r="H9172" s="5"/>
      <c r="I9172" s="5"/>
      <c r="J9172" s="5"/>
      <c r="K9172" s="5"/>
      <c r="L9172" s="5"/>
      <c r="M9172" s="5"/>
      <c r="N9172" s="5"/>
      <c r="O9172" s="5"/>
      <c r="P9172" s="5"/>
      <c r="Q9172" s="5"/>
      <c r="R9172" s="5"/>
      <c r="S9172" s="5"/>
      <c r="T9172" s="5"/>
      <c r="U9172" s="5"/>
      <c r="V9172" s="5"/>
      <c r="W9172" s="5"/>
      <c r="X9172" s="5"/>
      <c r="Y9172" s="5"/>
      <c r="Z9172" s="5"/>
    </row>
    <row r="9173" spans="1:26" ht="15" x14ac:dyDescent="0.25">
      <c r="A9173" s="4" t="s">
        <v>9172</v>
      </c>
      <c r="B9173" s="4" t="s">
        <v>9011</v>
      </c>
      <c r="C9173" s="2" t="str">
        <f ca="1">IFERROR(__xludf.DUMMYFUNCTION("GOOGLETRANSLATE(A9173,""bn"",""en"")"),"Next year I will buy a new car which will fulfill my parents dream")</f>
        <v>Next year I will buy a new car which will fulfill my parents dream</v>
      </c>
      <c r="D9173" s="5"/>
      <c r="E9173" s="5"/>
      <c r="F9173" s="5"/>
      <c r="G9173" s="5"/>
      <c r="H9173" s="5"/>
      <c r="I9173" s="5"/>
      <c r="J9173" s="5"/>
      <c r="K9173" s="5"/>
      <c r="L9173" s="5"/>
      <c r="M9173" s="5"/>
      <c r="N9173" s="5"/>
      <c r="O9173" s="5"/>
      <c r="P9173" s="5"/>
      <c r="Q9173" s="5"/>
      <c r="R9173" s="5"/>
      <c r="S9173" s="5"/>
      <c r="T9173" s="5"/>
      <c r="U9173" s="5"/>
      <c r="V9173" s="5"/>
      <c r="W9173" s="5"/>
      <c r="X9173" s="5"/>
      <c r="Y9173" s="5"/>
      <c r="Z9173" s="5"/>
    </row>
    <row r="9174" spans="1:26" ht="15" x14ac:dyDescent="0.25">
      <c r="A9174" s="4" t="s">
        <v>9173</v>
      </c>
      <c r="B9174" s="4" t="s">
        <v>9011</v>
      </c>
      <c r="C9174" s="2" t="str">
        <f ca="1">IFERROR(__xludf.DUMMYFUNCTION("GOOGLETRANSLATE(A9174,""bn"",""en"")"),"I will be planting different species of flowers in the garden tomorrow")</f>
        <v>I will be planting different species of flowers in the garden tomorrow</v>
      </c>
      <c r="D9174" s="5"/>
      <c r="E9174" s="5"/>
      <c r="F9174" s="5"/>
      <c r="G9174" s="5"/>
      <c r="H9174" s="5"/>
      <c r="I9174" s="5"/>
      <c r="J9174" s="5"/>
      <c r="K9174" s="5"/>
      <c r="L9174" s="5"/>
      <c r="M9174" s="5"/>
      <c r="N9174" s="5"/>
      <c r="O9174" s="5"/>
      <c r="P9174" s="5"/>
      <c r="Q9174" s="5"/>
      <c r="R9174" s="5"/>
      <c r="S9174" s="5"/>
      <c r="T9174" s="5"/>
      <c r="U9174" s="5"/>
      <c r="V9174" s="5"/>
      <c r="W9174" s="5"/>
      <c r="X9174" s="5"/>
      <c r="Y9174" s="5"/>
      <c r="Z9174" s="5"/>
    </row>
    <row r="9175" spans="1:26" ht="15" x14ac:dyDescent="0.25">
      <c r="A9175" s="4" t="s">
        <v>9174</v>
      </c>
      <c r="B9175" s="4" t="s">
        <v>9011</v>
      </c>
      <c r="C9175" s="2" t="str">
        <f ca="1">IFERROR(__xludf.DUMMYFUNCTION("GOOGLETRANSLATE(A9175,""bn"",""en"")"),"They will complete these tasks on time when their projects are completed")</f>
        <v>They will complete these tasks on time when their projects are completed</v>
      </c>
      <c r="D9175" s="5"/>
      <c r="E9175" s="5"/>
      <c r="F9175" s="5"/>
      <c r="G9175" s="5"/>
      <c r="H9175" s="5"/>
      <c r="I9175" s="5"/>
      <c r="J9175" s="5"/>
      <c r="K9175" s="5"/>
      <c r="L9175" s="5"/>
      <c r="M9175" s="5"/>
      <c r="N9175" s="5"/>
      <c r="O9175" s="5"/>
      <c r="P9175" s="5"/>
      <c r="Q9175" s="5"/>
      <c r="R9175" s="5"/>
      <c r="S9175" s="5"/>
      <c r="T9175" s="5"/>
      <c r="U9175" s="5"/>
      <c r="V9175" s="5"/>
      <c r="W9175" s="5"/>
      <c r="X9175" s="5"/>
      <c r="Y9175" s="5"/>
      <c r="Z9175" s="5"/>
    </row>
    <row r="9176" spans="1:26" ht="15" x14ac:dyDescent="0.25">
      <c r="A9176" s="4" t="s">
        <v>9175</v>
      </c>
      <c r="B9176" s="4" t="s">
        <v>9011</v>
      </c>
      <c r="C9176" s="2" t="str">
        <f ca="1">IFERROR(__xludf.DUMMYFUNCTION("GOOGLETRANSLATE(A9176,""bn"",""en"")"),"Take a breath and swim deep to test your skills in the water realm")</f>
        <v>Take a breath and swim deep to test your skills in the water realm</v>
      </c>
      <c r="D9176" s="5"/>
      <c r="E9176" s="5"/>
      <c r="F9176" s="5"/>
      <c r="G9176" s="5"/>
      <c r="H9176" s="5"/>
      <c r="I9176" s="5"/>
      <c r="J9176" s="5"/>
      <c r="K9176" s="5"/>
      <c r="L9176" s="5"/>
      <c r="M9176" s="5"/>
      <c r="N9176" s="5"/>
      <c r="O9176" s="5"/>
      <c r="P9176" s="5"/>
      <c r="Q9176" s="5"/>
      <c r="R9176" s="5"/>
      <c r="S9176" s="5"/>
      <c r="T9176" s="5"/>
      <c r="U9176" s="5"/>
      <c r="V9176" s="5"/>
      <c r="W9176" s="5"/>
      <c r="X9176" s="5"/>
      <c r="Y9176" s="5"/>
      <c r="Z9176" s="5"/>
    </row>
    <row r="9177" spans="1:26" ht="15" x14ac:dyDescent="0.25">
      <c r="A9177" s="4" t="s">
        <v>9176</v>
      </c>
      <c r="B9177" s="4" t="s">
        <v>9011</v>
      </c>
      <c r="C9177" s="2" t="str">
        <f ca="1">IFERROR(__xludf.DUMMYFUNCTION("GOOGLETRANSLATE(A9177,""bn"",""en"")"),"Next year we will start a new business that will improve our family")</f>
        <v>Next year we will start a new business that will improve our family</v>
      </c>
      <c r="D9177" s="5"/>
      <c r="E9177" s="5"/>
      <c r="F9177" s="5"/>
      <c r="G9177" s="5"/>
      <c r="H9177" s="5"/>
      <c r="I9177" s="5"/>
      <c r="J9177" s="5"/>
      <c r="K9177" s="5"/>
      <c r="L9177" s="5"/>
      <c r="M9177" s="5"/>
      <c r="N9177" s="5"/>
      <c r="O9177" s="5"/>
      <c r="P9177" s="5"/>
      <c r="Q9177" s="5"/>
      <c r="R9177" s="5"/>
      <c r="S9177" s="5"/>
      <c r="T9177" s="5"/>
      <c r="U9177" s="5"/>
      <c r="V9177" s="5"/>
      <c r="W9177" s="5"/>
      <c r="X9177" s="5"/>
      <c r="Y9177" s="5"/>
      <c r="Z9177" s="5"/>
    </row>
    <row r="9178" spans="1:26" ht="15" x14ac:dyDescent="0.25">
      <c r="A9178" s="4" t="s">
        <v>9177</v>
      </c>
      <c r="B9178" s="4" t="s">
        <v>9011</v>
      </c>
      <c r="C9178" s="2" t="str">
        <f ca="1">IFERROR(__xludf.DUMMYFUNCTION("GOOGLETRANSLATE(A9178,""bn"",""en"")"),"They will get married next year")</f>
        <v>They will get married next year</v>
      </c>
      <c r="D9178" s="5"/>
      <c r="E9178" s="5"/>
      <c r="F9178" s="5"/>
      <c r="G9178" s="5"/>
      <c r="H9178" s="5"/>
      <c r="I9178" s="5"/>
      <c r="J9178" s="5"/>
      <c r="K9178" s="5"/>
      <c r="L9178" s="5"/>
      <c r="M9178" s="5"/>
      <c r="N9178" s="5"/>
      <c r="O9178" s="5"/>
      <c r="P9178" s="5"/>
      <c r="Q9178" s="5"/>
      <c r="R9178" s="5"/>
      <c r="S9178" s="5"/>
      <c r="T9178" s="5"/>
      <c r="U9178" s="5"/>
      <c r="V9178" s="5"/>
      <c r="W9178" s="5"/>
      <c r="X9178" s="5"/>
      <c r="Y9178" s="5"/>
      <c r="Z9178" s="5"/>
    </row>
    <row r="9179" spans="1:26" ht="15" x14ac:dyDescent="0.25">
      <c r="A9179" s="4" t="s">
        <v>9178</v>
      </c>
      <c r="B9179" s="4" t="s">
        <v>9011</v>
      </c>
      <c r="C9179" s="2" t="str">
        <f ca="1">IFERROR(__xludf.DUMMYFUNCTION("GOOGLETRANSLATE(A9179,""bn"",""en"")"),"This match is so exciting that the heartbeat will increase")</f>
        <v>This match is so exciting that the heartbeat will increase</v>
      </c>
      <c r="D9179" s="5"/>
      <c r="E9179" s="5"/>
      <c r="F9179" s="5"/>
      <c r="G9179" s="5"/>
      <c r="H9179" s="5"/>
      <c r="I9179" s="5"/>
      <c r="J9179" s="5"/>
      <c r="K9179" s="5"/>
      <c r="L9179" s="5"/>
      <c r="M9179" s="5"/>
      <c r="N9179" s="5"/>
      <c r="O9179" s="5"/>
      <c r="P9179" s="5"/>
      <c r="Q9179" s="5"/>
      <c r="R9179" s="5"/>
      <c r="S9179" s="5"/>
      <c r="T9179" s="5"/>
      <c r="U9179" s="5"/>
      <c r="V9179" s="5"/>
      <c r="W9179" s="5"/>
      <c r="X9179" s="5"/>
      <c r="Y9179" s="5"/>
      <c r="Z9179" s="5"/>
    </row>
    <row r="9180" spans="1:26" ht="15" x14ac:dyDescent="0.25">
      <c r="A9180" s="4" t="s">
        <v>9179</v>
      </c>
      <c r="B9180" s="4" t="s">
        <v>9011</v>
      </c>
      <c r="C9180" s="2" t="str">
        <f ca="1">IFERROR(__xludf.DUMMYFUNCTION("GOOGLETRANSLATE(A9180,""bn"",""en"")"),"Going abroad as a representative of Bangladesh will be a proud moment")</f>
        <v>Going abroad as a representative of Bangladesh will be a proud moment</v>
      </c>
      <c r="D9180" s="5"/>
      <c r="E9180" s="5"/>
      <c r="F9180" s="5"/>
      <c r="G9180" s="5"/>
      <c r="H9180" s="5"/>
      <c r="I9180" s="5"/>
      <c r="J9180" s="5"/>
      <c r="K9180" s="5"/>
      <c r="L9180" s="5"/>
      <c r="M9180" s="5"/>
      <c r="N9180" s="5"/>
      <c r="O9180" s="5"/>
      <c r="P9180" s="5"/>
      <c r="Q9180" s="5"/>
      <c r="R9180" s="5"/>
      <c r="S9180" s="5"/>
      <c r="T9180" s="5"/>
      <c r="U9180" s="5"/>
      <c r="V9180" s="5"/>
      <c r="W9180" s="5"/>
      <c r="X9180" s="5"/>
      <c r="Y9180" s="5"/>
      <c r="Z9180" s="5"/>
    </row>
    <row r="9181" spans="1:26" ht="15" x14ac:dyDescent="0.25">
      <c r="A9181" s="4" t="s">
        <v>9180</v>
      </c>
      <c r="B9181" s="4" t="s">
        <v>9011</v>
      </c>
      <c r="C9181" s="2" t="str">
        <f ca="1">IFERROR(__xludf.DUMMYFUNCTION("GOOGLETRANSLATE(A9181,""bn"",""en"")"),"He will finish writing all his research papers next month")</f>
        <v>He will finish writing all his research papers next month</v>
      </c>
      <c r="D9181" s="5"/>
      <c r="E9181" s="5"/>
      <c r="F9181" s="5"/>
      <c r="G9181" s="5"/>
      <c r="H9181" s="5"/>
      <c r="I9181" s="5"/>
      <c r="J9181" s="5"/>
      <c r="K9181" s="5"/>
      <c r="L9181" s="5"/>
      <c r="M9181" s="5"/>
      <c r="N9181" s="5"/>
      <c r="O9181" s="5"/>
      <c r="P9181" s="5"/>
      <c r="Q9181" s="5"/>
      <c r="R9181" s="5"/>
      <c r="S9181" s="5"/>
      <c r="T9181" s="5"/>
      <c r="U9181" s="5"/>
      <c r="V9181" s="5"/>
      <c r="W9181" s="5"/>
      <c r="X9181" s="5"/>
      <c r="Y9181" s="5"/>
      <c r="Z9181" s="5"/>
    </row>
    <row r="9182" spans="1:26" ht="15" x14ac:dyDescent="0.25">
      <c r="A9182" s="4" t="s">
        <v>9181</v>
      </c>
      <c r="B9182" s="4" t="s">
        <v>9011</v>
      </c>
      <c r="C9182" s="2" t="str">
        <f ca="1">IFERROR(__xludf.DUMMYFUNCTION("GOOGLETRANSLATE(A9182,""bn"",""en"")"),"In the next year I will build a house that will be more convenient for me to live in")</f>
        <v>In the next year I will build a house that will be more convenient for me to live in</v>
      </c>
      <c r="D9182" s="5"/>
      <c r="E9182" s="5"/>
      <c r="F9182" s="5"/>
      <c r="G9182" s="5"/>
      <c r="H9182" s="5"/>
      <c r="I9182" s="5"/>
      <c r="J9182" s="5"/>
      <c r="K9182" s="5"/>
      <c r="L9182" s="5"/>
      <c r="M9182" s="5"/>
      <c r="N9182" s="5"/>
      <c r="O9182" s="5"/>
      <c r="P9182" s="5"/>
      <c r="Q9182" s="5"/>
      <c r="R9182" s="5"/>
      <c r="S9182" s="5"/>
      <c r="T9182" s="5"/>
      <c r="U9182" s="5"/>
      <c r="V9182" s="5"/>
      <c r="W9182" s="5"/>
      <c r="X9182" s="5"/>
      <c r="Y9182" s="5"/>
      <c r="Z9182" s="5"/>
    </row>
    <row r="9183" spans="1:26" ht="15" x14ac:dyDescent="0.25">
      <c r="A9183" s="4" t="s">
        <v>9182</v>
      </c>
      <c r="B9183" s="4" t="s">
        <v>9011</v>
      </c>
      <c r="C9183" s="2" t="str">
        <f ca="1">IFERROR(__xludf.DUMMYFUNCTION("GOOGLETRANSLATE(A9183,""bn"",""en"")"),"Classes will be canceled today instead of gaining knowledge I will get a chance to know the soul")</f>
        <v>Classes will be canceled today instead of gaining knowledge I will get a chance to know the soul</v>
      </c>
      <c r="D9183" s="5"/>
      <c r="E9183" s="5"/>
      <c r="F9183" s="5"/>
      <c r="G9183" s="5"/>
      <c r="H9183" s="5"/>
      <c r="I9183" s="5"/>
      <c r="J9183" s="5"/>
      <c r="K9183" s="5"/>
      <c r="L9183" s="5"/>
      <c r="M9183" s="5"/>
      <c r="N9183" s="5"/>
      <c r="O9183" s="5"/>
      <c r="P9183" s="5"/>
      <c r="Q9183" s="5"/>
      <c r="R9183" s="5"/>
      <c r="S9183" s="5"/>
      <c r="T9183" s="5"/>
      <c r="U9183" s="5"/>
      <c r="V9183" s="5"/>
      <c r="W9183" s="5"/>
      <c r="X9183" s="5"/>
      <c r="Y9183" s="5"/>
      <c r="Z9183" s="5"/>
    </row>
    <row r="9184" spans="1:26" ht="15" x14ac:dyDescent="0.25">
      <c r="A9184" s="4" t="s">
        <v>9183</v>
      </c>
      <c r="B9184" s="4" t="s">
        <v>9011</v>
      </c>
      <c r="C9184" s="2" t="str">
        <f ca="1">IFERROR(__xludf.DUMMYFUNCTION("GOOGLETRANSLATE(A9184,""bn"",""en"")"),"The sister will start dancing happily at the news that she has returned home")</f>
        <v>The sister will start dancing happily at the news that she has returned home</v>
      </c>
      <c r="D9184" s="5"/>
      <c r="E9184" s="5"/>
      <c r="F9184" s="5"/>
      <c r="G9184" s="5"/>
      <c r="H9184" s="5"/>
      <c r="I9184" s="5"/>
      <c r="J9184" s="5"/>
      <c r="K9184" s="5"/>
      <c r="L9184" s="5"/>
      <c r="M9184" s="5"/>
      <c r="N9184" s="5"/>
      <c r="O9184" s="5"/>
      <c r="P9184" s="5"/>
      <c r="Q9184" s="5"/>
      <c r="R9184" s="5"/>
      <c r="S9184" s="5"/>
      <c r="T9184" s="5"/>
      <c r="U9184" s="5"/>
      <c r="V9184" s="5"/>
      <c r="W9184" s="5"/>
      <c r="X9184" s="5"/>
      <c r="Y9184" s="5"/>
      <c r="Z9184" s="5"/>
    </row>
    <row r="9185" spans="1:26" ht="15" x14ac:dyDescent="0.25">
      <c r="A9185" s="4" t="s">
        <v>9184</v>
      </c>
      <c r="B9185" s="4" t="s">
        <v>9011</v>
      </c>
      <c r="C9185" s="2" t="str">
        <f ca="1">IFERROR(__xludf.DUMMYFUNCTION("GOOGLETRANSLATE(A9185,""bn"",""en"")"),"My dreams will remain but one day I will be gone")</f>
        <v>My dreams will remain but one day I will be gone</v>
      </c>
      <c r="D9185" s="5"/>
      <c r="E9185" s="5"/>
      <c r="F9185" s="5"/>
      <c r="G9185" s="5"/>
      <c r="H9185" s="5"/>
      <c r="I9185" s="5"/>
      <c r="J9185" s="5"/>
      <c r="K9185" s="5"/>
      <c r="L9185" s="5"/>
      <c r="M9185" s="5"/>
      <c r="N9185" s="5"/>
      <c r="O9185" s="5"/>
      <c r="P9185" s="5"/>
      <c r="Q9185" s="5"/>
      <c r="R9185" s="5"/>
      <c r="S9185" s="5"/>
      <c r="T9185" s="5"/>
      <c r="U9185" s="5"/>
      <c r="V9185" s="5"/>
      <c r="W9185" s="5"/>
      <c r="X9185" s="5"/>
      <c r="Y9185" s="5"/>
      <c r="Z9185" s="5"/>
    </row>
    <row r="9186" spans="1:26" ht="15" x14ac:dyDescent="0.25">
      <c r="A9186" s="4" t="s">
        <v>9185</v>
      </c>
      <c r="B9186" s="4" t="s">
        <v>9011</v>
      </c>
      <c r="C9186" s="2" t="str">
        <f ca="1">IFERROR(__xludf.DUMMYFUNCTION("GOOGLETRANSLATE(A9186,""bn"",""en"")"),"The gift will be small but the love will be big Happy birthday heart")</f>
        <v>The gift will be small but the love will be big Happy birthday heart</v>
      </c>
      <c r="D9186" s="5"/>
      <c r="E9186" s="5"/>
      <c r="F9186" s="5"/>
      <c r="G9186" s="5"/>
      <c r="H9186" s="5"/>
      <c r="I9186" s="5"/>
      <c r="J9186" s="5"/>
      <c r="K9186" s="5"/>
      <c r="L9186" s="5"/>
      <c r="M9186" s="5"/>
      <c r="N9186" s="5"/>
      <c r="O9186" s="5"/>
      <c r="P9186" s="5"/>
      <c r="Q9186" s="5"/>
      <c r="R9186" s="5"/>
      <c r="S9186" s="5"/>
      <c r="T9186" s="5"/>
      <c r="U9186" s="5"/>
      <c r="V9186" s="5"/>
      <c r="W9186" s="5"/>
      <c r="X9186" s="5"/>
      <c r="Y9186" s="5"/>
      <c r="Z9186" s="5"/>
    </row>
    <row r="9187" spans="1:26" ht="15" x14ac:dyDescent="0.25">
      <c r="A9187" s="4" t="s">
        <v>9186</v>
      </c>
      <c r="B9187" s="4" t="s">
        <v>9011</v>
      </c>
      <c r="C9187" s="2" t="str">
        <f ca="1">IFERROR(__xludf.DUMMYFUNCTION("GOOGLETRANSLATE(A9187,""bn"",""en"")"),"I will be so happy with the news of my sister's job that I cannot describe thank God")</f>
        <v>I will be so happy with the news of my sister's job that I cannot describe thank God</v>
      </c>
      <c r="D9187" s="5"/>
      <c r="E9187" s="5"/>
      <c r="F9187" s="5"/>
      <c r="G9187" s="5"/>
      <c r="H9187" s="5"/>
      <c r="I9187" s="5"/>
      <c r="J9187" s="5"/>
      <c r="K9187" s="5"/>
      <c r="L9187" s="5"/>
      <c r="M9187" s="5"/>
      <c r="N9187" s="5"/>
      <c r="O9187" s="5"/>
      <c r="P9187" s="5"/>
      <c r="Q9187" s="5"/>
      <c r="R9187" s="5"/>
      <c r="S9187" s="5"/>
      <c r="T9187" s="5"/>
      <c r="U9187" s="5"/>
      <c r="V9187" s="5"/>
      <c r="W9187" s="5"/>
      <c r="X9187" s="5"/>
      <c r="Y9187" s="5"/>
      <c r="Z9187" s="5"/>
    </row>
    <row r="9188" spans="1:26" ht="15" x14ac:dyDescent="0.25">
      <c r="A9188" s="4" t="s">
        <v>9187</v>
      </c>
      <c r="B9188" s="4" t="s">
        <v>9011</v>
      </c>
      <c r="C9188" s="2" t="str">
        <f ca="1">IFERROR(__xludf.DUMMYFUNCTION("GOOGLETRANSLATE(A9188,""bn"",""en"")"),"Thrilled to announce the promotion, hard work and dedication will ring the bell.")</f>
        <v>Thrilled to announce the promotion, hard work and dedication will ring the bell.</v>
      </c>
      <c r="D9188" s="5"/>
      <c r="E9188" s="5"/>
      <c r="F9188" s="5"/>
      <c r="G9188" s="5"/>
      <c r="H9188" s="5"/>
      <c r="I9188" s="5"/>
      <c r="J9188" s="5"/>
      <c r="K9188" s="5"/>
      <c r="L9188" s="5"/>
      <c r="M9188" s="5"/>
      <c r="N9188" s="5"/>
      <c r="O9188" s="5"/>
      <c r="P9188" s="5"/>
      <c r="Q9188" s="5"/>
      <c r="R9188" s="5"/>
      <c r="S9188" s="5"/>
      <c r="T9188" s="5"/>
      <c r="U9188" s="5"/>
      <c r="V9188" s="5"/>
      <c r="W9188" s="5"/>
      <c r="X9188" s="5"/>
      <c r="Y9188" s="5"/>
      <c r="Z9188" s="5"/>
    </row>
    <row r="9189" spans="1:26" ht="15" x14ac:dyDescent="0.25">
      <c r="A9189" s="4" t="s">
        <v>9188</v>
      </c>
      <c r="B9189" s="4" t="s">
        <v>9011</v>
      </c>
      <c r="C9189" s="2" t="str">
        <f ca="1">IFERROR(__xludf.DUMMYFUNCTION("GOOGLETRANSLATE(A9189,""bn"",""en"")"),"New year, new dreams, new efforts, let's move forward together. Happy New Year")</f>
        <v>New year, new dreams, new efforts, let's move forward together. Happy New Year</v>
      </c>
      <c r="D9189" s="5"/>
      <c r="E9189" s="5"/>
      <c r="F9189" s="5"/>
      <c r="G9189" s="5"/>
      <c r="H9189" s="5"/>
      <c r="I9189" s="5"/>
      <c r="J9189" s="5"/>
      <c r="K9189" s="5"/>
      <c r="L9189" s="5"/>
      <c r="M9189" s="5"/>
      <c r="N9189" s="5"/>
      <c r="O9189" s="5"/>
      <c r="P9189" s="5"/>
      <c r="Q9189" s="5"/>
      <c r="R9189" s="5"/>
      <c r="S9189" s="5"/>
      <c r="T9189" s="5"/>
      <c r="U9189" s="5"/>
      <c r="V9189" s="5"/>
      <c r="W9189" s="5"/>
      <c r="X9189" s="5"/>
      <c r="Y9189" s="5"/>
      <c r="Z9189" s="5"/>
    </row>
    <row r="9190" spans="1:26" ht="15" x14ac:dyDescent="0.25">
      <c r="A9190" s="4" t="s">
        <v>9189</v>
      </c>
      <c r="B9190" s="4" t="s">
        <v>9011</v>
      </c>
      <c r="C9190" s="2" t="str">
        <f ca="1">IFERROR(__xludf.DUMMYFUNCTION("GOOGLETRANSLATE(A9190,""bn"",""en"")"),"Office tension will disappear in a moment by seeing this gift in mother's hand")</f>
        <v>Office tension will disappear in a moment by seeing this gift in mother's hand</v>
      </c>
      <c r="D9190" s="5"/>
      <c r="E9190" s="5"/>
      <c r="F9190" s="5"/>
      <c r="G9190" s="5"/>
      <c r="H9190" s="5"/>
      <c r="I9190" s="5"/>
      <c r="J9190" s="5"/>
      <c r="K9190" s="5"/>
      <c r="L9190" s="5"/>
      <c r="M9190" s="5"/>
      <c r="N9190" s="5"/>
      <c r="O9190" s="5"/>
      <c r="P9190" s="5"/>
      <c r="Q9190" s="5"/>
      <c r="R9190" s="5"/>
      <c r="S9190" s="5"/>
      <c r="T9190" s="5"/>
      <c r="U9190" s="5"/>
      <c r="V9190" s="5"/>
      <c r="W9190" s="5"/>
      <c r="X9190" s="5"/>
      <c r="Y9190" s="5"/>
      <c r="Z9190" s="5"/>
    </row>
    <row r="9191" spans="1:26" ht="15" x14ac:dyDescent="0.25">
      <c r="A9191" s="4" t="s">
        <v>9190</v>
      </c>
      <c r="B9191" s="4" t="s">
        <v>9011</v>
      </c>
      <c r="C9191" s="2" t="str">
        <f ca="1">IFERROR(__xludf.DUMMYFUNCTION("GOOGLETRANSLATE(A9191,""bn"",""en"")"),"He will go to the cinema next Friday")</f>
        <v>He will go to the cinema next Friday</v>
      </c>
      <c r="D9191" s="5"/>
      <c r="E9191" s="5"/>
      <c r="F9191" s="5"/>
      <c r="G9191" s="5"/>
      <c r="H9191" s="5"/>
      <c r="I9191" s="5"/>
      <c r="J9191" s="5"/>
      <c r="K9191" s="5"/>
      <c r="L9191" s="5"/>
      <c r="M9191" s="5"/>
      <c r="N9191" s="5"/>
      <c r="O9191" s="5"/>
      <c r="P9191" s="5"/>
      <c r="Q9191" s="5"/>
      <c r="R9191" s="5"/>
      <c r="S9191" s="5"/>
      <c r="T9191" s="5"/>
      <c r="U9191" s="5"/>
      <c r="V9191" s="5"/>
      <c r="W9191" s="5"/>
      <c r="X9191" s="5"/>
      <c r="Y9191" s="5"/>
      <c r="Z9191" s="5"/>
    </row>
    <row r="9192" spans="1:26" ht="15" x14ac:dyDescent="0.25">
      <c r="A9192" s="4" t="s">
        <v>9191</v>
      </c>
      <c r="B9192" s="4" t="s">
        <v>9011</v>
      </c>
      <c r="C9192" s="2" t="str">
        <f ca="1">IFERROR(__xludf.DUMMYFUNCTION("GOOGLETRANSLATE(A9192,""bn"",""en"")"),"For the first time in my life I will experience so much happiness with a friend")</f>
        <v>For the first time in my life I will experience so much happiness with a friend</v>
      </c>
      <c r="D9192" s="5"/>
      <c r="E9192" s="5"/>
      <c r="F9192" s="5"/>
      <c r="G9192" s="5"/>
      <c r="H9192" s="5"/>
      <c r="I9192" s="5"/>
      <c r="J9192" s="5"/>
      <c r="K9192" s="5"/>
      <c r="L9192" s="5"/>
      <c r="M9192" s="5"/>
      <c r="N9192" s="5"/>
      <c r="O9192" s="5"/>
      <c r="P9192" s="5"/>
      <c r="Q9192" s="5"/>
      <c r="R9192" s="5"/>
      <c r="S9192" s="5"/>
      <c r="T9192" s="5"/>
      <c r="U9192" s="5"/>
      <c r="V9192" s="5"/>
      <c r="W9192" s="5"/>
      <c r="X9192" s="5"/>
      <c r="Y9192" s="5"/>
      <c r="Z9192" s="5"/>
    </row>
    <row r="9193" spans="1:26" ht="15" x14ac:dyDescent="0.25">
      <c r="A9193" s="4" t="s">
        <v>9192</v>
      </c>
      <c r="B9193" s="4" t="s">
        <v>9011</v>
      </c>
      <c r="C9193" s="2" t="str">
        <f ca="1">IFERROR(__xludf.DUMMYFUNCTION("GOOGLETRANSLATE(A9193,""bn"",""en"")"),"Friendship will be a real song that we can sing in our hearts that will color our hearts")</f>
        <v>Friendship will be a real song that we can sing in our hearts that will color our hearts</v>
      </c>
      <c r="D9193" s="5"/>
      <c r="E9193" s="5"/>
      <c r="F9193" s="5"/>
      <c r="G9193" s="5"/>
      <c r="H9193" s="5"/>
      <c r="I9193" s="5"/>
      <c r="J9193" s="5"/>
      <c r="K9193" s="5"/>
      <c r="L9193" s="5"/>
      <c r="M9193" s="5"/>
      <c r="N9193" s="5"/>
      <c r="O9193" s="5"/>
      <c r="P9193" s="5"/>
      <c r="Q9193" s="5"/>
      <c r="R9193" s="5"/>
      <c r="S9193" s="5"/>
      <c r="T9193" s="5"/>
      <c r="U9193" s="5"/>
      <c r="V9193" s="5"/>
      <c r="W9193" s="5"/>
      <c r="X9193" s="5"/>
      <c r="Y9193" s="5"/>
      <c r="Z9193" s="5"/>
    </row>
    <row r="9194" spans="1:26" ht="15" x14ac:dyDescent="0.25">
      <c r="A9194" s="4" t="s">
        <v>9193</v>
      </c>
      <c r="B9194" s="4" t="s">
        <v>9011</v>
      </c>
      <c r="C9194" s="2" t="str">
        <f ca="1">IFERROR(__xludf.DUMMYFUNCTION("GOOGLETRANSLATE(A9194,""bn"",""en"")"),"Tomorrow I will attend an important meeting where the future plans of our company will be discussed")</f>
        <v>Tomorrow I will attend an important meeting where the future plans of our company will be discussed</v>
      </c>
      <c r="D9194" s="5"/>
      <c r="E9194" s="5"/>
      <c r="F9194" s="5"/>
      <c r="G9194" s="5"/>
      <c r="H9194" s="5"/>
      <c r="I9194" s="5"/>
      <c r="J9194" s="5"/>
      <c r="K9194" s="5"/>
      <c r="L9194" s="5"/>
      <c r="M9194" s="5"/>
      <c r="N9194" s="5"/>
      <c r="O9194" s="5"/>
      <c r="P9194" s="5"/>
      <c r="Q9194" s="5"/>
      <c r="R9194" s="5"/>
      <c r="S9194" s="5"/>
      <c r="T9194" s="5"/>
      <c r="U9194" s="5"/>
      <c r="V9194" s="5"/>
      <c r="W9194" s="5"/>
      <c r="X9194" s="5"/>
      <c r="Y9194" s="5"/>
      <c r="Z9194" s="5"/>
    </row>
    <row r="9195" spans="1:26" ht="15" x14ac:dyDescent="0.25">
      <c r="A9195" s="4" t="s">
        <v>9194</v>
      </c>
      <c r="B9195" s="4" t="s">
        <v>9011</v>
      </c>
      <c r="C9195" s="2" t="str">
        <f ca="1">IFERROR(__xludf.DUMMYFUNCTION("GOOGLETRANSLATE(A9195,""bn"",""en"")"),"I will lose playing carrom alone with two people with too much thought hahaha")</f>
        <v>I will lose playing carrom alone with two people with too much thought hahaha</v>
      </c>
      <c r="D9195" s="5"/>
      <c r="E9195" s="5"/>
      <c r="F9195" s="5"/>
      <c r="G9195" s="5"/>
      <c r="H9195" s="5"/>
      <c r="I9195" s="5"/>
      <c r="J9195" s="5"/>
      <c r="K9195" s="5"/>
      <c r="L9195" s="5"/>
      <c r="M9195" s="5"/>
      <c r="N9195" s="5"/>
      <c r="O9195" s="5"/>
      <c r="P9195" s="5"/>
      <c r="Q9195" s="5"/>
      <c r="R9195" s="5"/>
      <c r="S9195" s="5"/>
      <c r="T9195" s="5"/>
      <c r="U9195" s="5"/>
      <c r="V9195" s="5"/>
      <c r="W9195" s="5"/>
      <c r="X9195" s="5"/>
      <c r="Y9195" s="5"/>
      <c r="Z9195" s="5"/>
    </row>
    <row r="9196" spans="1:26" ht="15" x14ac:dyDescent="0.25">
      <c r="A9196" s="4" t="s">
        <v>9195</v>
      </c>
      <c r="B9196" s="4" t="s">
        <v>9011</v>
      </c>
      <c r="C9196" s="2" t="str">
        <f ca="1">IFERROR(__xludf.DUMMYFUNCTION("GOOGLETRANSLATE(A9196,""bn"",""en"")"),"Durga Puja tradition of Sherpur will be our pride")</f>
        <v>Durga Puja tradition of Sherpur will be our pride</v>
      </c>
      <c r="D9196" s="5"/>
      <c r="E9196" s="5"/>
      <c r="F9196" s="5"/>
      <c r="G9196" s="5"/>
      <c r="H9196" s="5"/>
      <c r="I9196" s="5"/>
      <c r="J9196" s="5"/>
      <c r="K9196" s="5"/>
      <c r="L9196" s="5"/>
      <c r="M9196" s="5"/>
      <c r="N9196" s="5"/>
      <c r="O9196" s="5"/>
      <c r="P9196" s="5"/>
      <c r="Q9196" s="5"/>
      <c r="R9196" s="5"/>
      <c r="S9196" s="5"/>
      <c r="T9196" s="5"/>
      <c r="U9196" s="5"/>
      <c r="V9196" s="5"/>
      <c r="W9196" s="5"/>
      <c r="X9196" s="5"/>
      <c r="Y9196" s="5"/>
      <c r="Z9196" s="5"/>
    </row>
    <row r="9197" spans="1:26" ht="15" x14ac:dyDescent="0.25">
      <c r="A9197" s="4" t="s">
        <v>9196</v>
      </c>
      <c r="B9197" s="4" t="s">
        <v>9011</v>
      </c>
      <c r="C9197" s="2" t="str">
        <f ca="1">IFERROR(__xludf.DUMMYFUNCTION("GOOGLETRANSLATE(A9197,""bn"",""en"")"),"I will be impressed by the sense of achievement when I see my story in a film or a movie")</f>
        <v>I will be impressed by the sense of achievement when I see my story in a film or a movie</v>
      </c>
      <c r="D9197" s="5"/>
      <c r="E9197" s="5"/>
      <c r="F9197" s="5"/>
      <c r="G9197" s="5"/>
      <c r="H9197" s="5"/>
      <c r="I9197" s="5"/>
      <c r="J9197" s="5"/>
      <c r="K9197" s="5"/>
      <c r="L9197" s="5"/>
      <c r="M9197" s="5"/>
      <c r="N9197" s="5"/>
      <c r="O9197" s="5"/>
      <c r="P9197" s="5"/>
      <c r="Q9197" s="5"/>
      <c r="R9197" s="5"/>
      <c r="S9197" s="5"/>
      <c r="T9197" s="5"/>
      <c r="U9197" s="5"/>
      <c r="V9197" s="5"/>
      <c r="W9197" s="5"/>
      <c r="X9197" s="5"/>
      <c r="Y9197" s="5"/>
      <c r="Z9197" s="5"/>
    </row>
    <row r="9198" spans="1:26" ht="15" x14ac:dyDescent="0.25">
      <c r="A9198" s="4" t="s">
        <v>9197</v>
      </c>
      <c r="B9198" s="4" t="s">
        <v>9011</v>
      </c>
      <c r="C9198" s="2" t="str">
        <f ca="1">IFERROR(__xludf.DUMMYFUNCTION("GOOGLETRANSLATE(A9198,""bn"",""en"")"),"I will sit with my grandfather and listen to childhood stories, how much it will be good to get lost in the memory")</f>
        <v>I will sit with my grandfather and listen to childhood stories, how much it will be good to get lost in the memory</v>
      </c>
      <c r="D9198" s="5"/>
      <c r="E9198" s="5"/>
      <c r="F9198" s="5"/>
      <c r="G9198" s="5"/>
      <c r="H9198" s="5"/>
      <c r="I9198" s="5"/>
      <c r="J9198" s="5"/>
      <c r="K9198" s="5"/>
      <c r="L9198" s="5"/>
      <c r="M9198" s="5"/>
      <c r="N9198" s="5"/>
      <c r="O9198" s="5"/>
      <c r="P9198" s="5"/>
      <c r="Q9198" s="5"/>
      <c r="R9198" s="5"/>
      <c r="S9198" s="5"/>
      <c r="T9198" s="5"/>
      <c r="U9198" s="5"/>
      <c r="V9198" s="5"/>
      <c r="W9198" s="5"/>
      <c r="X9198" s="5"/>
      <c r="Y9198" s="5"/>
      <c r="Z9198" s="5"/>
    </row>
    <row r="9199" spans="1:26" ht="15" x14ac:dyDescent="0.25">
      <c r="A9199" s="4" t="s">
        <v>9198</v>
      </c>
      <c r="B9199" s="4" t="s">
        <v>9011</v>
      </c>
      <c r="C9199" s="2" t="str">
        <f ca="1">IFERROR(__xludf.DUMMYFUNCTION("GOOGLETRANSLATE(A9199,""bn"",""en"")"),"In times of great peril, my cat will be by my side with a smile, help me, show me selfless love")</f>
        <v>In times of great peril, my cat will be by my side with a smile, help me, show me selfless love</v>
      </c>
      <c r="D9199" s="5"/>
      <c r="E9199" s="5"/>
      <c r="F9199" s="5"/>
      <c r="G9199" s="5"/>
      <c r="H9199" s="5"/>
      <c r="I9199" s="5"/>
      <c r="J9199" s="5"/>
      <c r="K9199" s="5"/>
      <c r="L9199" s="5"/>
      <c r="M9199" s="5"/>
      <c r="N9199" s="5"/>
      <c r="O9199" s="5"/>
      <c r="P9199" s="5"/>
      <c r="Q9199" s="5"/>
      <c r="R9199" s="5"/>
      <c r="S9199" s="5"/>
      <c r="T9199" s="5"/>
      <c r="U9199" s="5"/>
      <c r="V9199" s="5"/>
      <c r="W9199" s="5"/>
      <c r="X9199" s="5"/>
      <c r="Y9199" s="5"/>
      <c r="Z9199" s="5"/>
    </row>
    <row r="9200" spans="1:26" ht="15" x14ac:dyDescent="0.25">
      <c r="A9200" s="4" t="s">
        <v>9199</v>
      </c>
      <c r="B9200" s="4" t="s">
        <v>9011</v>
      </c>
      <c r="C9200" s="2" t="str">
        <f ca="1">IFERROR(__xludf.DUMMYFUNCTION("GOOGLETRANSLATE(A9200,""bn"",""en"")"),"Everyone will start the puja saying Jai Maa Durga")</f>
        <v>Everyone will start the puja saying Jai Maa Durga</v>
      </c>
      <c r="D9200" s="5"/>
      <c r="E9200" s="5"/>
      <c r="F9200" s="5"/>
      <c r="G9200" s="5"/>
      <c r="H9200" s="5"/>
      <c r="I9200" s="5"/>
      <c r="J9200" s="5"/>
      <c r="K9200" s="5"/>
      <c r="L9200" s="5"/>
      <c r="M9200" s="5"/>
      <c r="N9200" s="5"/>
      <c r="O9200" s="5"/>
      <c r="P9200" s="5"/>
      <c r="Q9200" s="5"/>
      <c r="R9200" s="5"/>
      <c r="S9200" s="5"/>
      <c r="T9200" s="5"/>
      <c r="U9200" s="5"/>
      <c r="V9200" s="5"/>
      <c r="W9200" s="5"/>
      <c r="X9200" s="5"/>
      <c r="Y9200" s="5"/>
      <c r="Z9200" s="5"/>
    </row>
    <row r="9201" spans="1:26" ht="15" x14ac:dyDescent="0.25">
      <c r="A9201" s="4" t="s">
        <v>9200</v>
      </c>
      <c r="B9201" s="4" t="s">
        <v>9011</v>
      </c>
      <c r="C9201" s="2" t="str">
        <f ca="1">IFERROR(__xludf.DUMMYFUNCTION("GOOGLETRANSLATE(A9201,""bn"",""en"")"),"Great thriller film will not sleep tonight")</f>
        <v>Great thriller film will not sleep tonight</v>
      </c>
      <c r="D9201" s="5"/>
      <c r="E9201" s="5"/>
      <c r="F9201" s="5"/>
      <c r="G9201" s="5"/>
      <c r="H9201" s="5"/>
      <c r="I9201" s="5"/>
      <c r="J9201" s="5"/>
      <c r="K9201" s="5"/>
      <c r="L9201" s="5"/>
      <c r="M9201" s="5"/>
      <c r="N9201" s="5"/>
      <c r="O9201" s="5"/>
      <c r="P9201" s="5"/>
      <c r="Q9201" s="5"/>
      <c r="R9201" s="5"/>
      <c r="S9201" s="5"/>
      <c r="T9201" s="5"/>
      <c r="U9201" s="5"/>
      <c r="V9201" s="5"/>
      <c r="W9201" s="5"/>
      <c r="X9201" s="5"/>
      <c r="Y9201" s="5"/>
      <c r="Z9201" s="5"/>
    </row>
    <row r="9202" spans="1:26" ht="15" x14ac:dyDescent="0.25">
      <c r="A9202" s="4" t="s">
        <v>9201</v>
      </c>
      <c r="B9202" s="4" t="s">
        <v>9011</v>
      </c>
      <c r="C9202" s="2" t="str">
        <f ca="1">IFERROR(__xludf.DUMMYFUNCTION("GOOGLETRANSLATE(A9202,""bn"",""en"")"),"Tomorrow I will attend my friend's wedding where we will all enjoy together")</f>
        <v>Tomorrow I will attend my friend's wedding where we will all enjoy together</v>
      </c>
      <c r="D9202" s="5"/>
      <c r="E9202" s="5"/>
      <c r="F9202" s="5"/>
      <c r="G9202" s="5"/>
      <c r="H9202" s="5"/>
      <c r="I9202" s="5"/>
      <c r="J9202" s="5"/>
      <c r="K9202" s="5"/>
      <c r="L9202" s="5"/>
      <c r="M9202" s="5"/>
      <c r="N9202" s="5"/>
      <c r="O9202" s="5"/>
      <c r="P9202" s="5"/>
      <c r="Q9202" s="5"/>
      <c r="R9202" s="5"/>
      <c r="S9202" s="5"/>
      <c r="T9202" s="5"/>
      <c r="U9202" s="5"/>
      <c r="V9202" s="5"/>
      <c r="W9202" s="5"/>
      <c r="X9202" s="5"/>
      <c r="Y9202" s="5"/>
      <c r="Z9202" s="5"/>
    </row>
    <row r="9203" spans="1:26" ht="15" x14ac:dyDescent="0.25">
      <c r="A9203" s="4" t="s">
        <v>9202</v>
      </c>
      <c r="B9203" s="4" t="s">
        <v>9011</v>
      </c>
      <c r="C9203" s="2" t="str">
        <f ca="1">IFERROR(__xludf.DUMMYFUNCTION("GOOGLETRANSLATE(A9203,""bn"",""en"")"),"I will be very happy to be their dream child")</f>
        <v>I will be very happy to be their dream child</v>
      </c>
      <c r="D9203" s="5"/>
      <c r="E9203" s="5"/>
      <c r="F9203" s="5"/>
      <c r="G9203" s="5"/>
      <c r="H9203" s="5"/>
      <c r="I9203" s="5"/>
      <c r="J9203" s="5"/>
      <c r="K9203" s="5"/>
      <c r="L9203" s="5"/>
      <c r="M9203" s="5"/>
      <c r="N9203" s="5"/>
      <c r="O9203" s="5"/>
      <c r="P9203" s="5"/>
      <c r="Q9203" s="5"/>
      <c r="R9203" s="5"/>
      <c r="S9203" s="5"/>
      <c r="T9203" s="5"/>
      <c r="U9203" s="5"/>
      <c r="V9203" s="5"/>
      <c r="W9203" s="5"/>
      <c r="X9203" s="5"/>
      <c r="Y9203" s="5"/>
      <c r="Z9203" s="5"/>
    </row>
    <row r="9204" spans="1:26" ht="15" x14ac:dyDescent="0.25">
      <c r="A9204" s="4" t="s">
        <v>9203</v>
      </c>
      <c r="B9204" s="4" t="s">
        <v>9011</v>
      </c>
      <c r="C9204" s="2" t="str">
        <f ca="1">IFERROR(__xludf.DUMMYFUNCTION("GOOGLETRANSLATE(A9204,""bn"",""en"")"),"Tomorrow I will start a new project which will be important for my career")</f>
        <v>Tomorrow I will start a new project which will be important for my career</v>
      </c>
      <c r="D9204" s="5"/>
      <c r="E9204" s="5"/>
      <c r="F9204" s="5"/>
      <c r="G9204" s="5"/>
      <c r="H9204" s="5"/>
      <c r="I9204" s="5"/>
      <c r="J9204" s="5"/>
      <c r="K9204" s="5"/>
      <c r="L9204" s="5"/>
      <c r="M9204" s="5"/>
      <c r="N9204" s="5"/>
      <c r="O9204" s="5"/>
      <c r="P9204" s="5"/>
      <c r="Q9204" s="5"/>
      <c r="R9204" s="5"/>
      <c r="S9204" s="5"/>
      <c r="T9204" s="5"/>
      <c r="U9204" s="5"/>
      <c r="V9204" s="5"/>
      <c r="W9204" s="5"/>
      <c r="X9204" s="5"/>
      <c r="Y9204" s="5"/>
      <c r="Z9204" s="5"/>
    </row>
    <row r="9205" spans="1:26" ht="15" x14ac:dyDescent="0.25">
      <c r="A9205" s="4" t="s">
        <v>9204</v>
      </c>
      <c r="B9205" s="4" t="s">
        <v>9011</v>
      </c>
      <c r="C9205" s="2" t="str">
        <f ca="1">IFERROR(__xludf.DUMMYFUNCTION("GOOGLETRANSLATE(A9205,""bn"",""en"")"),"The sound of Ektar will mix with the rain and how the mind will be overwhelmed")</f>
        <v>The sound of Ektar will mix with the rain and how the mind will be overwhelmed</v>
      </c>
      <c r="D9205" s="5"/>
      <c r="E9205" s="5"/>
      <c r="F9205" s="5"/>
      <c r="G9205" s="5"/>
      <c r="H9205" s="5"/>
      <c r="I9205" s="5"/>
      <c r="J9205" s="5"/>
      <c r="K9205" s="5"/>
      <c r="L9205" s="5"/>
      <c r="M9205" s="5"/>
      <c r="N9205" s="5"/>
      <c r="O9205" s="5"/>
      <c r="P9205" s="5"/>
      <c r="Q9205" s="5"/>
      <c r="R9205" s="5"/>
      <c r="S9205" s="5"/>
      <c r="T9205" s="5"/>
      <c r="U9205" s="5"/>
      <c r="V9205" s="5"/>
      <c r="W9205" s="5"/>
      <c r="X9205" s="5"/>
      <c r="Y9205" s="5"/>
      <c r="Z9205" s="5"/>
    </row>
    <row r="9206" spans="1:26" ht="15" x14ac:dyDescent="0.25">
      <c r="A9206" s="4" t="s">
        <v>9205</v>
      </c>
      <c r="B9206" s="4" t="s">
        <v>9011</v>
      </c>
      <c r="C9206" s="2" t="str">
        <f ca="1">IFERROR(__xludf.DUMMYFUNCTION("GOOGLETRANSLATE(A9206,""bn"",""en"")"),"In the future I will be a famous artist")</f>
        <v>In the future I will be a famous artist</v>
      </c>
      <c r="D9206" s="5"/>
      <c r="E9206" s="5"/>
      <c r="F9206" s="5"/>
      <c r="G9206" s="5"/>
      <c r="H9206" s="5"/>
      <c r="I9206" s="5"/>
      <c r="J9206" s="5"/>
      <c r="K9206" s="5"/>
      <c r="L9206" s="5"/>
      <c r="M9206" s="5"/>
      <c r="N9206" s="5"/>
      <c r="O9206" s="5"/>
      <c r="P9206" s="5"/>
      <c r="Q9206" s="5"/>
      <c r="R9206" s="5"/>
      <c r="S9206" s="5"/>
      <c r="T9206" s="5"/>
      <c r="U9206" s="5"/>
      <c r="V9206" s="5"/>
      <c r="W9206" s="5"/>
      <c r="X9206" s="5"/>
      <c r="Y9206" s="5"/>
      <c r="Z9206" s="5"/>
    </row>
    <row r="9207" spans="1:26" ht="15" x14ac:dyDescent="0.25">
      <c r="A9207" s="4" t="s">
        <v>9206</v>
      </c>
      <c r="B9207" s="4" t="s">
        <v>9011</v>
      </c>
      <c r="C9207" s="2" t="str">
        <f ca="1">IFERROR(__xludf.DUMMYFUNCTION("GOOGLETRANSLATE(A9207,""bn"",""en"")"),"Fans will feel the joy of exercising while dancing to BTS's Dynamite song")</f>
        <v>Fans will feel the joy of exercising while dancing to BTS's Dynamite song</v>
      </c>
      <c r="D9207" s="5"/>
      <c r="E9207" s="5"/>
      <c r="F9207" s="5"/>
      <c r="G9207" s="5"/>
      <c r="H9207" s="5"/>
      <c r="I9207" s="5"/>
      <c r="J9207" s="5"/>
      <c r="K9207" s="5"/>
      <c r="L9207" s="5"/>
      <c r="M9207" s="5"/>
      <c r="N9207" s="5"/>
      <c r="O9207" s="5"/>
      <c r="P9207" s="5"/>
      <c r="Q9207" s="5"/>
      <c r="R9207" s="5"/>
      <c r="S9207" s="5"/>
      <c r="T9207" s="5"/>
      <c r="U9207" s="5"/>
      <c r="V9207" s="5"/>
      <c r="W9207" s="5"/>
      <c r="X9207" s="5"/>
      <c r="Y9207" s="5"/>
      <c r="Z9207" s="5"/>
    </row>
    <row r="9208" spans="1:26" ht="15" x14ac:dyDescent="0.25">
      <c r="A9208" s="4" t="s">
        <v>9207</v>
      </c>
      <c r="B9208" s="4" t="s">
        <v>9011</v>
      </c>
      <c r="C9208" s="2" t="str">
        <f ca="1">IFERROR(__xludf.DUMMYFUNCTION("GOOGLETRANSLATE(A9208,""bn"",""en"")"),"I will get the job but the goal is still far away let's move forward together")</f>
        <v>I will get the job but the goal is still far away let's move forward together</v>
      </c>
      <c r="D9208" s="5"/>
      <c r="E9208" s="5"/>
      <c r="F9208" s="5"/>
      <c r="G9208" s="5"/>
      <c r="H9208" s="5"/>
      <c r="I9208" s="5"/>
      <c r="J9208" s="5"/>
      <c r="K9208" s="5"/>
      <c r="L9208" s="5"/>
      <c r="M9208" s="5"/>
      <c r="N9208" s="5"/>
      <c r="O9208" s="5"/>
      <c r="P9208" s="5"/>
      <c r="Q9208" s="5"/>
      <c r="R9208" s="5"/>
      <c r="S9208" s="5"/>
      <c r="T9208" s="5"/>
      <c r="U9208" s="5"/>
      <c r="V9208" s="5"/>
      <c r="W9208" s="5"/>
      <c r="X9208" s="5"/>
      <c r="Y9208" s="5"/>
      <c r="Z9208" s="5"/>
    </row>
    <row r="9209" spans="1:26" ht="15" x14ac:dyDescent="0.25">
      <c r="A9209" s="4" t="s">
        <v>9208</v>
      </c>
      <c r="B9209" s="4" t="s">
        <v>9011</v>
      </c>
      <c r="C9209" s="2" t="str">
        <f ca="1">IFERROR(__xludf.DUMMYFUNCTION("GOOGLETRANSLATE(A9209,""bn"",""en"")"),"I will rewrite next month")</f>
        <v>I will rewrite next month</v>
      </c>
      <c r="D9209" s="5"/>
      <c r="E9209" s="5"/>
      <c r="F9209" s="5"/>
      <c r="G9209" s="5"/>
      <c r="H9209" s="5"/>
      <c r="I9209" s="5"/>
      <c r="J9209" s="5"/>
      <c r="K9209" s="5"/>
      <c r="L9209" s="5"/>
      <c r="M9209" s="5"/>
      <c r="N9209" s="5"/>
      <c r="O9209" s="5"/>
      <c r="P9209" s="5"/>
      <c r="Q9209" s="5"/>
      <c r="R9209" s="5"/>
      <c r="S9209" s="5"/>
      <c r="T9209" s="5"/>
      <c r="U9209" s="5"/>
      <c r="V9209" s="5"/>
      <c r="W9209" s="5"/>
      <c r="X9209" s="5"/>
      <c r="Y9209" s="5"/>
      <c r="Z9209" s="5"/>
    </row>
    <row r="9210" spans="1:26" ht="15" x14ac:dyDescent="0.25">
      <c r="A9210" s="4" t="s">
        <v>9209</v>
      </c>
      <c r="B9210" s="4" t="s">
        <v>9011</v>
      </c>
      <c r="C9210" s="2" t="str">
        <f ca="1">IFERROR(__xludf.DUMMYFUNCTION("GOOGLETRANSLATE(A9210,""bn"",""en"")"),"Next vacation I will go to the beach with my family where we will all have fun together")</f>
        <v>Next vacation I will go to the beach with my family where we will all have fun together</v>
      </c>
      <c r="D9210" s="5"/>
      <c r="E9210" s="5"/>
      <c r="F9210" s="5"/>
      <c r="G9210" s="5"/>
      <c r="H9210" s="5"/>
      <c r="I9210" s="5"/>
      <c r="J9210" s="5"/>
      <c r="K9210" s="5"/>
      <c r="L9210" s="5"/>
      <c r="M9210" s="5"/>
      <c r="N9210" s="5"/>
      <c r="O9210" s="5"/>
      <c r="P9210" s="5"/>
      <c r="Q9210" s="5"/>
      <c r="R9210" s="5"/>
      <c r="S9210" s="5"/>
      <c r="T9210" s="5"/>
      <c r="U9210" s="5"/>
      <c r="V9210" s="5"/>
      <c r="W9210" s="5"/>
      <c r="X9210" s="5"/>
      <c r="Y9210" s="5"/>
      <c r="Z9210" s="5"/>
    </row>
    <row r="9211" spans="1:26" ht="15" x14ac:dyDescent="0.25">
      <c r="A9211" s="4" t="s">
        <v>9210</v>
      </c>
      <c r="B9211" s="4" t="s">
        <v>9011</v>
      </c>
      <c r="C9211" s="2" t="str">
        <f ca="1">IFERROR(__xludf.DUMMYFUNCTION("GOOGLETRANSLATE(A9211,""bn"",""en"")"),"We will complete our infrastructure project by the end of next year when all necessary facilities are procured")</f>
        <v>We will complete our infrastructure project by the end of next year when all necessary facilities are procured</v>
      </c>
      <c r="D9211" s="5"/>
      <c r="E9211" s="5"/>
      <c r="F9211" s="5"/>
      <c r="G9211" s="5"/>
      <c r="H9211" s="5"/>
      <c r="I9211" s="5"/>
      <c r="J9211" s="5"/>
      <c r="K9211" s="5"/>
      <c r="L9211" s="5"/>
      <c r="M9211" s="5"/>
      <c r="N9211" s="5"/>
      <c r="O9211" s="5"/>
      <c r="P9211" s="5"/>
      <c r="Q9211" s="5"/>
      <c r="R9211" s="5"/>
      <c r="S9211" s="5"/>
      <c r="T9211" s="5"/>
      <c r="U9211" s="5"/>
      <c r="V9211" s="5"/>
      <c r="W9211" s="5"/>
      <c r="X9211" s="5"/>
      <c r="Y9211" s="5"/>
      <c r="Z9211" s="5"/>
    </row>
    <row r="9212" spans="1:26" ht="15" x14ac:dyDescent="0.25">
      <c r="A9212" s="4" t="s">
        <v>9211</v>
      </c>
      <c r="B9212" s="4" t="s">
        <v>9011</v>
      </c>
      <c r="C9212" s="2" t="str">
        <f ca="1">IFERROR(__xludf.DUMMYFUNCTION("GOOGLETRANSLATE(A9212,""bn"",""en"")"),"The touch of cold clear water will invigorate the body and mind")</f>
        <v>The touch of cold clear water will invigorate the body and mind</v>
      </c>
      <c r="D9212" s="5"/>
      <c r="E9212" s="5"/>
      <c r="F9212" s="5"/>
      <c r="G9212" s="5"/>
      <c r="H9212" s="5"/>
      <c r="I9212" s="5"/>
      <c r="J9212" s="5"/>
      <c r="K9212" s="5"/>
      <c r="L9212" s="5"/>
      <c r="M9212" s="5"/>
      <c r="N9212" s="5"/>
      <c r="O9212" s="5"/>
      <c r="P9212" s="5"/>
      <c r="Q9212" s="5"/>
      <c r="R9212" s="5"/>
      <c r="S9212" s="5"/>
      <c r="T9212" s="5"/>
      <c r="U9212" s="5"/>
      <c r="V9212" s="5"/>
      <c r="W9212" s="5"/>
      <c r="X9212" s="5"/>
      <c r="Y9212" s="5"/>
      <c r="Z9212" s="5"/>
    </row>
    <row r="9213" spans="1:26" ht="15" x14ac:dyDescent="0.25">
      <c r="A9213" s="4" t="s">
        <v>9212</v>
      </c>
      <c r="B9213" s="4" t="s">
        <v>9011</v>
      </c>
      <c r="C9213" s="2" t="str">
        <f ca="1">IFERROR(__xludf.DUMMYFUNCTION("GOOGLETRANSLATE(A9213,""bn"",""en"")"),"It's time to take on new challenges. I'm excited to take up the new position.")</f>
        <v>It's time to take on new challenges. I'm excited to take up the new position.</v>
      </c>
      <c r="D9213" s="5"/>
      <c r="E9213" s="5"/>
      <c r="F9213" s="5"/>
      <c r="G9213" s="5"/>
      <c r="H9213" s="5"/>
      <c r="I9213" s="5"/>
      <c r="J9213" s="5"/>
      <c r="K9213" s="5"/>
      <c r="L9213" s="5"/>
      <c r="M9213" s="5"/>
      <c r="N9213" s="5"/>
      <c r="O9213" s="5"/>
      <c r="P9213" s="5"/>
      <c r="Q9213" s="5"/>
      <c r="R9213" s="5"/>
      <c r="S9213" s="5"/>
      <c r="T9213" s="5"/>
      <c r="U9213" s="5"/>
      <c r="V9213" s="5"/>
      <c r="W9213" s="5"/>
      <c r="X9213" s="5"/>
      <c r="Y9213" s="5"/>
      <c r="Z9213" s="5"/>
    </row>
    <row r="9214" spans="1:26" ht="15" x14ac:dyDescent="0.25">
      <c r="A9214" s="4" t="s">
        <v>9213</v>
      </c>
      <c r="B9214" s="4" t="s">
        <v>9011</v>
      </c>
      <c r="C9214" s="2" t="str">
        <f ca="1">IFERROR(__xludf.DUMMYFUNCTION("GOOGLETRANSLATE(A9214,""bn"",""en"")"),"Everyone will hurt you, you just have to find someone whose pain you can bear")</f>
        <v>Everyone will hurt you, you just have to find someone whose pain you can bear</v>
      </c>
      <c r="D9214" s="5"/>
      <c r="E9214" s="5"/>
      <c r="F9214" s="5"/>
      <c r="G9214" s="5"/>
      <c r="H9214" s="5"/>
      <c r="I9214" s="5"/>
      <c r="J9214" s="5"/>
      <c r="K9214" s="5"/>
      <c r="L9214" s="5"/>
      <c r="M9214" s="5"/>
      <c r="N9214" s="5"/>
      <c r="O9214" s="5"/>
      <c r="P9214" s="5"/>
      <c r="Q9214" s="5"/>
      <c r="R9214" s="5"/>
      <c r="S9214" s="5"/>
      <c r="T9214" s="5"/>
      <c r="U9214" s="5"/>
      <c r="V9214" s="5"/>
      <c r="W9214" s="5"/>
      <c r="X9214" s="5"/>
      <c r="Y9214" s="5"/>
      <c r="Z9214" s="5"/>
    </row>
    <row r="9215" spans="1:26" ht="15" x14ac:dyDescent="0.25">
      <c r="A9215" s="4" t="s">
        <v>9214</v>
      </c>
      <c r="B9215" s="4" t="s">
        <v>9011</v>
      </c>
      <c r="C9215" s="2" t="str">
        <f ca="1">IFERROR(__xludf.DUMMYFUNCTION("GOOGLETRANSLATE(A9215,""bn"",""en"")"),"My child will be filled with joy at the news of the promotion of my pride")</f>
        <v>My child will be filled with joy at the news of the promotion of my pride</v>
      </c>
      <c r="D9215" s="5"/>
      <c r="E9215" s="5"/>
      <c r="F9215" s="5"/>
      <c r="G9215" s="5"/>
      <c r="H9215" s="5"/>
      <c r="I9215" s="5"/>
      <c r="J9215" s="5"/>
      <c r="K9215" s="5"/>
      <c r="L9215" s="5"/>
      <c r="M9215" s="5"/>
      <c r="N9215" s="5"/>
      <c r="O9215" s="5"/>
      <c r="P9215" s="5"/>
      <c r="Q9215" s="5"/>
      <c r="R9215" s="5"/>
      <c r="S9215" s="5"/>
      <c r="T9215" s="5"/>
      <c r="U9215" s="5"/>
      <c r="V9215" s="5"/>
      <c r="W9215" s="5"/>
      <c r="X9215" s="5"/>
      <c r="Y9215" s="5"/>
      <c r="Z9215" s="5"/>
    </row>
    <row r="9216" spans="1:26" ht="15" x14ac:dyDescent="0.25">
      <c r="A9216" s="4" t="s">
        <v>9215</v>
      </c>
      <c r="B9216" s="4" t="s">
        <v>9011</v>
      </c>
      <c r="C9216" s="2" t="str">
        <f ca="1">IFERROR(__xludf.DUMMYFUNCTION("GOOGLETRANSLATE(A9216,""bn"",""en"")"),"I will leave the house tomorrow and then they will come")</f>
        <v>I will leave the house tomorrow and then they will come</v>
      </c>
      <c r="D9216" s="5"/>
      <c r="E9216" s="5"/>
      <c r="F9216" s="5"/>
      <c r="G9216" s="5"/>
      <c r="H9216" s="5"/>
      <c r="I9216" s="5"/>
      <c r="J9216" s="5"/>
      <c r="K9216" s="5"/>
      <c r="L9216" s="5"/>
      <c r="M9216" s="5"/>
      <c r="N9216" s="5"/>
      <c r="O9216" s="5"/>
      <c r="P9216" s="5"/>
      <c r="Q9216" s="5"/>
      <c r="R9216" s="5"/>
      <c r="S9216" s="5"/>
      <c r="T9216" s="5"/>
      <c r="U9216" s="5"/>
      <c r="V9216" s="5"/>
      <c r="W9216" s="5"/>
      <c r="X9216" s="5"/>
      <c r="Y9216" s="5"/>
      <c r="Z9216" s="5"/>
    </row>
    <row r="9217" spans="1:26" ht="15" x14ac:dyDescent="0.25">
      <c r="A9217" s="4" t="s">
        <v>9216</v>
      </c>
      <c r="B9217" s="4" t="s">
        <v>9011</v>
      </c>
      <c r="C9217" s="2" t="str">
        <f ca="1">IFERROR(__xludf.DUMMYFUNCTION("GOOGLETRANSLATE(A9217,""bn"",""en"")"),"Tomorrow I will publish a research paper which will be important for my career")</f>
        <v>Tomorrow I will publish a research paper which will be important for my career</v>
      </c>
      <c r="D9217" s="5"/>
      <c r="E9217" s="5"/>
      <c r="F9217" s="5"/>
      <c r="G9217" s="5"/>
      <c r="H9217" s="5"/>
      <c r="I9217" s="5"/>
      <c r="J9217" s="5"/>
      <c r="K9217" s="5"/>
      <c r="L9217" s="5"/>
      <c r="M9217" s="5"/>
      <c r="N9217" s="5"/>
      <c r="O9217" s="5"/>
      <c r="P9217" s="5"/>
      <c r="Q9217" s="5"/>
      <c r="R9217" s="5"/>
      <c r="S9217" s="5"/>
      <c r="T9217" s="5"/>
      <c r="U9217" s="5"/>
      <c r="V9217" s="5"/>
      <c r="W9217" s="5"/>
      <c r="X9217" s="5"/>
      <c r="Y9217" s="5"/>
      <c r="Z9217" s="5"/>
    </row>
    <row r="9218" spans="1:26" ht="15" x14ac:dyDescent="0.25">
      <c r="A9218" s="4" t="s">
        <v>9217</v>
      </c>
      <c r="B9218" s="4" t="s">
        <v>9011</v>
      </c>
      <c r="C9218" s="2" t="str">
        <f ca="1">IFERROR(__xludf.DUMMYFUNCTION("GOOGLETRANSLATE(A9218,""bn"",""en"")"),"I will be very happy if my new book is published successfully")</f>
        <v>I will be very happy if my new book is published successfully</v>
      </c>
      <c r="D9218" s="5"/>
      <c r="E9218" s="5"/>
      <c r="F9218" s="5"/>
      <c r="G9218" s="5"/>
      <c r="H9218" s="5"/>
      <c r="I9218" s="5"/>
      <c r="J9218" s="5"/>
      <c r="K9218" s="5"/>
      <c r="L9218" s="5"/>
      <c r="M9218" s="5"/>
      <c r="N9218" s="5"/>
      <c r="O9218" s="5"/>
      <c r="P9218" s="5"/>
      <c r="Q9218" s="5"/>
      <c r="R9218" s="5"/>
      <c r="S9218" s="5"/>
      <c r="T9218" s="5"/>
      <c r="U9218" s="5"/>
      <c r="V9218" s="5"/>
      <c r="W9218" s="5"/>
      <c r="X9218" s="5"/>
      <c r="Y9218" s="5"/>
      <c r="Z9218" s="5"/>
    </row>
    <row r="9219" spans="1:26" ht="15" x14ac:dyDescent="0.25">
      <c r="A9219" s="4" t="s">
        <v>9218</v>
      </c>
      <c r="B9219" s="4" t="s">
        <v>9011</v>
      </c>
      <c r="C9219" s="2" t="str">
        <f ca="1">IFERROR(__xludf.DUMMYFUNCTION("GOOGLETRANSLATE(A9219,""bn"",""en"")"),"Tomorrow I will start a new fitness program to keep my body and mind healthy.")</f>
        <v>Tomorrow I will start a new fitness program to keep my body and mind healthy.</v>
      </c>
      <c r="D9219" s="5"/>
      <c r="E9219" s="5"/>
      <c r="F9219" s="5"/>
      <c r="G9219" s="5"/>
      <c r="H9219" s="5"/>
      <c r="I9219" s="5"/>
      <c r="J9219" s="5"/>
      <c r="K9219" s="5"/>
      <c r="L9219" s="5"/>
      <c r="M9219" s="5"/>
      <c r="N9219" s="5"/>
      <c r="O9219" s="5"/>
      <c r="P9219" s="5"/>
      <c r="Q9219" s="5"/>
      <c r="R9219" s="5"/>
      <c r="S9219" s="5"/>
      <c r="T9219" s="5"/>
      <c r="U9219" s="5"/>
      <c r="V9219" s="5"/>
      <c r="W9219" s="5"/>
      <c r="X9219" s="5"/>
      <c r="Y9219" s="5"/>
      <c r="Z9219" s="5"/>
    </row>
    <row r="9220" spans="1:26" ht="15" x14ac:dyDescent="0.25">
      <c r="A9220" s="4" t="s">
        <v>9219</v>
      </c>
      <c r="B9220" s="4" t="s">
        <v>9011</v>
      </c>
      <c r="C9220" s="2" t="str">
        <f ca="1">IFERROR(__xludf.DUMMYFUNCTION("GOOGLETRANSLATE(A9220,""bn"",""en"")"),"They will start a major project on advanced power generation technology next month")</f>
        <v>They will start a major project on advanced power generation technology next month</v>
      </c>
      <c r="D9220" s="5"/>
      <c r="E9220" s="5"/>
      <c r="F9220" s="5"/>
      <c r="G9220" s="5"/>
      <c r="H9220" s="5"/>
      <c r="I9220" s="5"/>
      <c r="J9220" s="5"/>
      <c r="K9220" s="5"/>
      <c r="L9220" s="5"/>
      <c r="M9220" s="5"/>
      <c r="N9220" s="5"/>
      <c r="O9220" s="5"/>
      <c r="P9220" s="5"/>
      <c r="Q9220" s="5"/>
      <c r="R9220" s="5"/>
      <c r="S9220" s="5"/>
      <c r="T9220" s="5"/>
      <c r="U9220" s="5"/>
      <c r="V9220" s="5"/>
      <c r="W9220" s="5"/>
      <c r="X9220" s="5"/>
      <c r="Y9220" s="5"/>
      <c r="Z9220" s="5"/>
    </row>
    <row r="9221" spans="1:26" ht="15" x14ac:dyDescent="0.25">
      <c r="A9221" s="4" t="s">
        <v>9220</v>
      </c>
      <c r="B9221" s="4" t="s">
        <v>9011</v>
      </c>
      <c r="C9221" s="2" t="str">
        <f ca="1">IFERROR(__xludf.DUMMYFUNCTION("GOOGLETRANSLATE(A9221,""bn"",""en"")"),"This success will come today thanks to the blessings of parents and wife")</f>
        <v>This success will come today thanks to the blessings of parents and wife</v>
      </c>
      <c r="D9221" s="5"/>
      <c r="E9221" s="5"/>
      <c r="F9221" s="5"/>
      <c r="G9221" s="5"/>
      <c r="H9221" s="5"/>
      <c r="I9221" s="5"/>
      <c r="J9221" s="5"/>
      <c r="K9221" s="5"/>
      <c r="L9221" s="5"/>
      <c r="M9221" s="5"/>
      <c r="N9221" s="5"/>
      <c r="O9221" s="5"/>
      <c r="P9221" s="5"/>
      <c r="Q9221" s="5"/>
      <c r="R9221" s="5"/>
      <c r="S9221" s="5"/>
      <c r="T9221" s="5"/>
      <c r="U9221" s="5"/>
      <c r="V9221" s="5"/>
      <c r="W9221" s="5"/>
      <c r="X9221" s="5"/>
      <c r="Y9221" s="5"/>
      <c r="Z9221" s="5"/>
    </row>
    <row r="9222" spans="1:26" ht="15" x14ac:dyDescent="0.25">
      <c r="A9222" s="4" t="s">
        <v>9221</v>
      </c>
      <c r="B9222" s="4" t="s">
        <v>9011</v>
      </c>
      <c r="C9222" s="2" t="str">
        <f ca="1">IFERROR(__xludf.DUMMYFUNCTION("GOOGLETRANSLATE(A9222,""bn"",""en"")"),"In future I will be a successful entrepreneur where my business will be known all over the world")</f>
        <v>In future I will be a successful entrepreneur where my business will be known all over the world</v>
      </c>
      <c r="D9222" s="5"/>
      <c r="E9222" s="5"/>
      <c r="F9222" s="5"/>
      <c r="G9222" s="5"/>
      <c r="H9222" s="5"/>
      <c r="I9222" s="5"/>
      <c r="J9222" s="5"/>
      <c r="K9222" s="5"/>
      <c r="L9222" s="5"/>
      <c r="M9222" s="5"/>
      <c r="N9222" s="5"/>
      <c r="O9222" s="5"/>
      <c r="P9222" s="5"/>
      <c r="Q9222" s="5"/>
      <c r="R9222" s="5"/>
      <c r="S9222" s="5"/>
      <c r="T9222" s="5"/>
      <c r="U9222" s="5"/>
      <c r="V9222" s="5"/>
      <c r="W9222" s="5"/>
      <c r="X9222" s="5"/>
      <c r="Y9222" s="5"/>
      <c r="Z9222" s="5"/>
    </row>
    <row r="9223" spans="1:26" ht="15" x14ac:dyDescent="0.25">
      <c r="A9223" s="4" t="s">
        <v>9222</v>
      </c>
      <c r="B9223" s="4" t="s">
        <v>9011</v>
      </c>
      <c r="C9223" s="2" t="str">
        <f ca="1">IFERROR(__xludf.DUMMYFUNCTION("GOOGLETRANSLATE(A9223,""bn"",""en"")"),"He will launch a new technology startup next year that will provide new services to the market")</f>
        <v>He will launch a new technology startup next year that will provide new services to the market</v>
      </c>
      <c r="D9223" s="5"/>
      <c r="E9223" s="5"/>
      <c r="F9223" s="5"/>
      <c r="G9223" s="5"/>
      <c r="H9223" s="5"/>
      <c r="I9223" s="5"/>
      <c r="J9223" s="5"/>
      <c r="K9223" s="5"/>
      <c r="L9223" s="5"/>
      <c r="M9223" s="5"/>
      <c r="N9223" s="5"/>
      <c r="O9223" s="5"/>
      <c r="P9223" s="5"/>
      <c r="Q9223" s="5"/>
      <c r="R9223" s="5"/>
      <c r="S9223" s="5"/>
      <c r="T9223" s="5"/>
      <c r="U9223" s="5"/>
      <c r="V9223" s="5"/>
      <c r="W9223" s="5"/>
      <c r="X9223" s="5"/>
      <c r="Y9223" s="5"/>
      <c r="Z9223" s="5"/>
    </row>
    <row r="9224" spans="1:26" ht="15" x14ac:dyDescent="0.25">
      <c r="A9224" s="4" t="s">
        <v>9223</v>
      </c>
      <c r="B9224" s="4" t="s">
        <v>9011</v>
      </c>
      <c r="C9224" s="2" t="str">
        <f ca="1">IFERROR(__xludf.DUMMYFUNCTION("GOOGLETRANSLATE(A9224,""bn"",""en"")"),"It would be great to work on a new project")</f>
        <v>It would be great to work on a new project</v>
      </c>
      <c r="D9224" s="5"/>
      <c r="E9224" s="5"/>
      <c r="F9224" s="5"/>
      <c r="G9224" s="5"/>
      <c r="H9224" s="5"/>
      <c r="I9224" s="5"/>
      <c r="J9224" s="5"/>
      <c r="K9224" s="5"/>
      <c r="L9224" s="5"/>
      <c r="M9224" s="5"/>
      <c r="N9224" s="5"/>
      <c r="O9224" s="5"/>
      <c r="P9224" s="5"/>
      <c r="Q9224" s="5"/>
      <c r="R9224" s="5"/>
      <c r="S9224" s="5"/>
      <c r="T9224" s="5"/>
      <c r="U9224" s="5"/>
      <c r="V9224" s="5"/>
      <c r="W9224" s="5"/>
      <c r="X9224" s="5"/>
      <c r="Y9224" s="5"/>
      <c r="Z9224" s="5"/>
    </row>
    <row r="9225" spans="1:26" ht="15" x14ac:dyDescent="0.25">
      <c r="A9225" s="4" t="s">
        <v>9224</v>
      </c>
      <c r="B9225" s="4" t="s">
        <v>9011</v>
      </c>
      <c r="C9225" s="2" t="str">
        <f ca="1">IFERROR(__xludf.DUMMYFUNCTION("GOOGLETRANSLATE(A9225,""bn"",""en"")"),"Will there ever be an end to such political stakes in the communal power game of people's emotions")</f>
        <v>Will there ever be an end to such political stakes in the communal power game of people's emotions</v>
      </c>
      <c r="D9225" s="5"/>
      <c r="E9225" s="5"/>
      <c r="F9225" s="5"/>
      <c r="G9225" s="5"/>
      <c r="H9225" s="5"/>
      <c r="I9225" s="5"/>
      <c r="J9225" s="5"/>
      <c r="K9225" s="5"/>
      <c r="L9225" s="5"/>
      <c r="M9225" s="5"/>
      <c r="N9225" s="5"/>
      <c r="O9225" s="5"/>
      <c r="P9225" s="5"/>
      <c r="Q9225" s="5"/>
      <c r="R9225" s="5"/>
      <c r="S9225" s="5"/>
      <c r="T9225" s="5"/>
      <c r="U9225" s="5"/>
      <c r="V9225" s="5"/>
      <c r="W9225" s="5"/>
      <c r="X9225" s="5"/>
      <c r="Y9225" s="5"/>
      <c r="Z9225" s="5"/>
    </row>
    <row r="9226" spans="1:26" ht="15" x14ac:dyDescent="0.25">
      <c r="A9226" s="4" t="s">
        <v>9225</v>
      </c>
      <c r="B9226" s="4" t="s">
        <v>9011</v>
      </c>
      <c r="C9226" s="2" t="str">
        <f ca="1">IFERROR(__xludf.DUMMYFUNCTION("GOOGLETRANSLATE(A9226,""bn"",""en"")"),"Faithful friend, my life will be a really beautiful one with this little dog by my side, his cooperation will bring happiness and comfort to my heart.")</f>
        <v>Faithful friend, my life will be a really beautiful one with this little dog by my side, his cooperation will bring happiness and comfort to my heart.</v>
      </c>
      <c r="D9226" s="5"/>
      <c r="E9226" s="5"/>
      <c r="F9226" s="5"/>
      <c r="G9226" s="5"/>
      <c r="H9226" s="5"/>
      <c r="I9226" s="5"/>
      <c r="J9226" s="5"/>
      <c r="K9226" s="5"/>
      <c r="L9226" s="5"/>
      <c r="M9226" s="5"/>
      <c r="N9226" s="5"/>
      <c r="O9226" s="5"/>
      <c r="P9226" s="5"/>
      <c r="Q9226" s="5"/>
      <c r="R9226" s="5"/>
      <c r="S9226" s="5"/>
      <c r="T9226" s="5"/>
      <c r="U9226" s="5"/>
      <c r="V9226" s="5"/>
      <c r="W9226" s="5"/>
      <c r="X9226" s="5"/>
      <c r="Y9226" s="5"/>
      <c r="Z9226" s="5"/>
    </row>
    <row r="9227" spans="1:26" ht="15" x14ac:dyDescent="0.25">
      <c r="A9227" s="4" t="s">
        <v>9226</v>
      </c>
      <c r="B9227" s="4" t="s">
        <v>9011</v>
      </c>
      <c r="C9227" s="2" t="str">
        <f ca="1">IFERROR(__xludf.DUMMYFUNCTION("GOOGLETRANSLATE(A9227,""bn"",""en"")"),"They will stay here naturally")</f>
        <v>They will stay here naturally</v>
      </c>
      <c r="D9227" s="5"/>
      <c r="E9227" s="5"/>
      <c r="F9227" s="5"/>
      <c r="G9227" s="5"/>
      <c r="H9227" s="5"/>
      <c r="I9227" s="5"/>
      <c r="J9227" s="5"/>
      <c r="K9227" s="5"/>
      <c r="L9227" s="5"/>
      <c r="M9227" s="5"/>
      <c r="N9227" s="5"/>
      <c r="O9227" s="5"/>
      <c r="P9227" s="5"/>
      <c r="Q9227" s="5"/>
      <c r="R9227" s="5"/>
      <c r="S9227" s="5"/>
      <c r="T9227" s="5"/>
      <c r="U9227" s="5"/>
      <c r="V9227" s="5"/>
      <c r="W9227" s="5"/>
      <c r="X9227" s="5"/>
      <c r="Y9227" s="5"/>
      <c r="Z9227" s="5"/>
    </row>
    <row r="9228" spans="1:26" ht="15" x14ac:dyDescent="0.25">
      <c r="A9228" s="4" t="s">
        <v>9227</v>
      </c>
      <c r="B9228" s="4" t="s">
        <v>9011</v>
      </c>
      <c r="C9228" s="2" t="str">
        <f ca="1">IFERROR(__xludf.DUMMYFUNCTION("GOOGLETRANSLATE(A9228,""bn"",""en"")"),"He will collect all the information he needs when his project is complete")</f>
        <v>He will collect all the information he needs when his project is complete</v>
      </c>
      <c r="D9228" s="5"/>
      <c r="E9228" s="5"/>
      <c r="F9228" s="5"/>
      <c r="G9228" s="5"/>
      <c r="H9228" s="5"/>
      <c r="I9228" s="5"/>
      <c r="J9228" s="5"/>
      <c r="K9228" s="5"/>
      <c r="L9228" s="5"/>
      <c r="M9228" s="5"/>
      <c r="N9228" s="5"/>
      <c r="O9228" s="5"/>
      <c r="P9228" s="5"/>
      <c r="Q9228" s="5"/>
      <c r="R9228" s="5"/>
      <c r="S9228" s="5"/>
      <c r="T9228" s="5"/>
      <c r="U9228" s="5"/>
      <c r="V9228" s="5"/>
      <c r="W9228" s="5"/>
      <c r="X9228" s="5"/>
      <c r="Y9228" s="5"/>
      <c r="Z9228" s="5"/>
    </row>
    <row r="9229" spans="1:26" ht="15" x14ac:dyDescent="0.25">
      <c r="A9229" s="4" t="s">
        <v>9228</v>
      </c>
      <c r="B9229" s="4" t="s">
        <v>9011</v>
      </c>
      <c r="C9229" s="2" t="str">
        <f ca="1">IFERROR(__xludf.DUMMYFUNCTION("GOOGLETRANSLATE(A9229,""bn"",""en"")"),"Faith is won and victory will be ours")</f>
        <v>Faith is won and victory will be ours</v>
      </c>
      <c r="D9229" s="5"/>
      <c r="E9229" s="5"/>
      <c r="F9229" s="5"/>
      <c r="G9229" s="5"/>
      <c r="H9229" s="5"/>
      <c r="I9229" s="5"/>
      <c r="J9229" s="5"/>
      <c r="K9229" s="5"/>
      <c r="L9229" s="5"/>
      <c r="M9229" s="5"/>
      <c r="N9229" s="5"/>
      <c r="O9229" s="5"/>
      <c r="P9229" s="5"/>
      <c r="Q9229" s="5"/>
      <c r="R9229" s="5"/>
      <c r="S9229" s="5"/>
      <c r="T9229" s="5"/>
      <c r="U9229" s="5"/>
      <c r="V9229" s="5"/>
      <c r="W9229" s="5"/>
      <c r="X9229" s="5"/>
      <c r="Y9229" s="5"/>
      <c r="Z9229" s="5"/>
    </row>
    <row r="9230" spans="1:26" ht="15" x14ac:dyDescent="0.25">
      <c r="A9230" s="4" t="s">
        <v>9229</v>
      </c>
      <c r="B9230" s="4" t="s">
        <v>9011</v>
      </c>
      <c r="C9230" s="2" t="str">
        <f ca="1">IFERROR(__xludf.DUMMYFUNCTION("GOOGLETRANSLATE(A9230,""bn"",""en"")"),"Parents never want a rich child they want an educated and ideal child")</f>
        <v>Parents never want a rich child they want an educated and ideal child</v>
      </c>
      <c r="D9230" s="5"/>
      <c r="E9230" s="5"/>
      <c r="F9230" s="5"/>
      <c r="G9230" s="5"/>
      <c r="H9230" s="5"/>
      <c r="I9230" s="5"/>
      <c r="J9230" s="5"/>
      <c r="K9230" s="5"/>
      <c r="L9230" s="5"/>
      <c r="M9230" s="5"/>
      <c r="N9230" s="5"/>
      <c r="O9230" s="5"/>
      <c r="P9230" s="5"/>
      <c r="Q9230" s="5"/>
      <c r="R9230" s="5"/>
      <c r="S9230" s="5"/>
      <c r="T9230" s="5"/>
      <c r="U9230" s="5"/>
      <c r="V9230" s="5"/>
      <c r="W9230" s="5"/>
      <c r="X9230" s="5"/>
      <c r="Y9230" s="5"/>
      <c r="Z9230" s="5"/>
    </row>
    <row r="9231" spans="1:26" ht="15" x14ac:dyDescent="0.25">
      <c r="A9231" s="4" t="s">
        <v>9230</v>
      </c>
      <c r="B9231" s="4" t="s">
        <v>9011</v>
      </c>
      <c r="C9231" s="2" t="str">
        <f ca="1">IFERROR(__xludf.DUMMYFUNCTION("GOOGLETRANSLATE(A9231,""bn"",""en"")"),"This ocean will make me drunk")</f>
        <v>This ocean will make me drunk</v>
      </c>
      <c r="D9231" s="5"/>
      <c r="E9231" s="5"/>
      <c r="F9231" s="5"/>
      <c r="G9231" s="5"/>
      <c r="H9231" s="5"/>
      <c r="I9231" s="5"/>
      <c r="J9231" s="5"/>
      <c r="K9231" s="5"/>
      <c r="L9231" s="5"/>
      <c r="M9231" s="5"/>
      <c r="N9231" s="5"/>
      <c r="O9231" s="5"/>
      <c r="P9231" s="5"/>
      <c r="Q9231" s="5"/>
      <c r="R9231" s="5"/>
      <c r="S9231" s="5"/>
      <c r="T9231" s="5"/>
      <c r="U9231" s="5"/>
      <c r="V9231" s="5"/>
      <c r="W9231" s="5"/>
      <c r="X9231" s="5"/>
      <c r="Y9231" s="5"/>
      <c r="Z9231" s="5"/>
    </row>
    <row r="9232" spans="1:26" ht="15" x14ac:dyDescent="0.25">
      <c r="A9232" s="4" t="s">
        <v>9231</v>
      </c>
      <c r="B9232" s="4" t="s">
        <v>9011</v>
      </c>
      <c r="C9232" s="2" t="str">
        <f ca="1">IFERROR(__xludf.DUMMYFUNCTION("GOOGLETRANSLATE(A9232,""bn"",""en"")"),"I will be lost in the story for days after watching the first movie")</f>
        <v>I will be lost in the story for days after watching the first movie</v>
      </c>
      <c r="D9232" s="5"/>
      <c r="E9232" s="5"/>
      <c r="F9232" s="5"/>
      <c r="G9232" s="5"/>
      <c r="H9232" s="5"/>
      <c r="I9232" s="5"/>
      <c r="J9232" s="5"/>
      <c r="K9232" s="5"/>
      <c r="L9232" s="5"/>
      <c r="M9232" s="5"/>
      <c r="N9232" s="5"/>
      <c r="O9232" s="5"/>
      <c r="P9232" s="5"/>
      <c r="Q9232" s="5"/>
      <c r="R9232" s="5"/>
      <c r="S9232" s="5"/>
      <c r="T9232" s="5"/>
      <c r="U9232" s="5"/>
      <c r="V9232" s="5"/>
      <c r="W9232" s="5"/>
      <c r="X9232" s="5"/>
      <c r="Y9232" s="5"/>
      <c r="Z9232" s="5"/>
    </row>
    <row r="9233" spans="1:26" ht="15" x14ac:dyDescent="0.25">
      <c r="A9233" s="4" t="s">
        <v>9232</v>
      </c>
      <c r="B9233" s="4" t="s">
        <v>9011</v>
      </c>
      <c r="C9233" s="2" t="str">
        <f ca="1">IFERROR(__xludf.DUMMYFUNCTION("GOOGLETRANSLATE(A9233,""bn"",""en"")"),"After a meal I will feel renewed enthusiasm")</f>
        <v>After a meal I will feel renewed enthusiasm</v>
      </c>
      <c r="D9233" s="5"/>
      <c r="E9233" s="5"/>
      <c r="F9233" s="5"/>
      <c r="G9233" s="5"/>
      <c r="H9233" s="5"/>
      <c r="I9233" s="5"/>
      <c r="J9233" s="5"/>
      <c r="K9233" s="5"/>
      <c r="L9233" s="5"/>
      <c r="M9233" s="5"/>
      <c r="N9233" s="5"/>
      <c r="O9233" s="5"/>
      <c r="P9233" s="5"/>
      <c r="Q9233" s="5"/>
      <c r="R9233" s="5"/>
      <c r="S9233" s="5"/>
      <c r="T9233" s="5"/>
      <c r="U9233" s="5"/>
      <c r="V9233" s="5"/>
      <c r="W9233" s="5"/>
      <c r="X9233" s="5"/>
      <c r="Y9233" s="5"/>
      <c r="Z9233" s="5"/>
    </row>
    <row r="9234" spans="1:26" ht="15" x14ac:dyDescent="0.25">
      <c r="A9234" s="4" t="s">
        <v>9233</v>
      </c>
      <c r="B9234" s="4" t="s">
        <v>9011</v>
      </c>
      <c r="C9234" s="2" t="str">
        <f ca="1">IFERROR(__xludf.DUMMYFUNCTION("GOOGLETRANSLATE(A9234,""bn"",""en"")"),"He will go to buy new mobile accessories tomorrow")</f>
        <v>He will go to buy new mobile accessories tomorrow</v>
      </c>
      <c r="D9234" s="5"/>
      <c r="E9234" s="5"/>
      <c r="F9234" s="5"/>
      <c r="G9234" s="5"/>
      <c r="H9234" s="5"/>
      <c r="I9234" s="5"/>
      <c r="J9234" s="5"/>
      <c r="K9234" s="5"/>
      <c r="L9234" s="5"/>
      <c r="M9234" s="5"/>
      <c r="N9234" s="5"/>
      <c r="O9234" s="5"/>
      <c r="P9234" s="5"/>
      <c r="Q9234" s="5"/>
      <c r="R9234" s="5"/>
      <c r="S9234" s="5"/>
      <c r="T9234" s="5"/>
      <c r="U9234" s="5"/>
      <c r="V9234" s="5"/>
      <c r="W9234" s="5"/>
      <c r="X9234" s="5"/>
      <c r="Y9234" s="5"/>
      <c r="Z9234" s="5"/>
    </row>
    <row r="9235" spans="1:26" ht="15" x14ac:dyDescent="0.25">
      <c r="A9235" s="4" t="s">
        <v>9234</v>
      </c>
      <c r="B9235" s="4" t="s">
        <v>9011</v>
      </c>
      <c r="C9235" s="2" t="str">
        <f ca="1">IFERROR(__xludf.DUMMYFUNCTION("GOOGLETRANSLATE(A9235,""bn"",""en"")"),"I will be overwhelmed by everyone's greetings on the news of promotion. Thank you all")</f>
        <v>I will be overwhelmed by everyone's greetings on the news of promotion. Thank you all</v>
      </c>
      <c r="D9235" s="5"/>
      <c r="E9235" s="5"/>
      <c r="F9235" s="5"/>
      <c r="G9235" s="5"/>
      <c r="H9235" s="5"/>
      <c r="I9235" s="5"/>
      <c r="J9235" s="5"/>
      <c r="K9235" s="5"/>
      <c r="L9235" s="5"/>
      <c r="M9235" s="5"/>
      <c r="N9235" s="5"/>
      <c r="O9235" s="5"/>
      <c r="P9235" s="5"/>
      <c r="Q9235" s="5"/>
      <c r="R9235" s="5"/>
      <c r="S9235" s="5"/>
      <c r="T9235" s="5"/>
      <c r="U9235" s="5"/>
      <c r="V9235" s="5"/>
      <c r="W9235" s="5"/>
      <c r="X9235" s="5"/>
      <c r="Y9235" s="5"/>
      <c r="Z9235" s="5"/>
    </row>
    <row r="9236" spans="1:26" ht="15" x14ac:dyDescent="0.25">
      <c r="A9236" s="4" t="s">
        <v>9235</v>
      </c>
      <c r="B9236" s="4" t="s">
        <v>9011</v>
      </c>
      <c r="C9236" s="2" t="str">
        <f ca="1">IFERROR(__xludf.DUMMYFUNCTION("GOOGLETRANSLATE(A9236,""bn"",""en"")"),"Next vacation I will trek in the mountains to gain new experience")</f>
        <v>Next vacation I will trek in the mountains to gain new experience</v>
      </c>
      <c r="D9236" s="5"/>
      <c r="E9236" s="5"/>
      <c r="F9236" s="5"/>
      <c r="G9236" s="5"/>
      <c r="H9236" s="5"/>
      <c r="I9236" s="5"/>
      <c r="J9236" s="5"/>
      <c r="K9236" s="5"/>
      <c r="L9236" s="5"/>
      <c r="M9236" s="5"/>
      <c r="N9236" s="5"/>
      <c r="O9236" s="5"/>
      <c r="P9236" s="5"/>
      <c r="Q9236" s="5"/>
      <c r="R9236" s="5"/>
      <c r="S9236" s="5"/>
      <c r="T9236" s="5"/>
      <c r="U9236" s="5"/>
      <c r="V9236" s="5"/>
      <c r="W9236" s="5"/>
      <c r="X9236" s="5"/>
      <c r="Y9236" s="5"/>
      <c r="Z9236" s="5"/>
    </row>
    <row r="9237" spans="1:26" ht="15" x14ac:dyDescent="0.25">
      <c r="A9237" s="4" t="s">
        <v>9236</v>
      </c>
      <c r="B9237" s="4" t="s">
        <v>9011</v>
      </c>
      <c r="C9237" s="2" t="str">
        <f ca="1">IFERROR(__xludf.DUMMYFUNCTION("GOOGLETRANSLATE(A9237,""bn"",""en"")"),"Tomorrow I will attend an important meeting where the future plans of our company will be discussed")</f>
        <v>Tomorrow I will attend an important meeting where the future plans of our company will be discussed</v>
      </c>
      <c r="D9237" s="5"/>
      <c r="E9237" s="5"/>
      <c r="F9237" s="5"/>
      <c r="G9237" s="5"/>
      <c r="H9237" s="5"/>
      <c r="I9237" s="5"/>
      <c r="J9237" s="5"/>
      <c r="K9237" s="5"/>
      <c r="L9237" s="5"/>
      <c r="M9237" s="5"/>
      <c r="N9237" s="5"/>
      <c r="O9237" s="5"/>
      <c r="P9237" s="5"/>
      <c r="Q9237" s="5"/>
      <c r="R9237" s="5"/>
      <c r="S9237" s="5"/>
      <c r="T9237" s="5"/>
      <c r="U9237" s="5"/>
      <c r="V9237" s="5"/>
      <c r="W9237" s="5"/>
      <c r="X9237" s="5"/>
      <c r="Y9237" s="5"/>
      <c r="Z9237" s="5"/>
    </row>
    <row r="9238" spans="1:26" ht="15" x14ac:dyDescent="0.25">
      <c r="A9238" s="4" t="s">
        <v>9237</v>
      </c>
      <c r="B9238" s="4" t="s">
        <v>9011</v>
      </c>
      <c r="C9238" s="2" t="str">
        <f ca="1">IFERROR(__xludf.DUMMYFUNCTION("GOOGLETRANSLATE(A9238,""bn"",""en"")"),"In future I will be a successful teacher where I can give good education to many students")</f>
        <v>In future I will be a successful teacher where I can give good education to many students</v>
      </c>
      <c r="D9238" s="5"/>
      <c r="E9238" s="5"/>
      <c r="F9238" s="5"/>
      <c r="G9238" s="5"/>
      <c r="H9238" s="5"/>
      <c r="I9238" s="5"/>
      <c r="J9238" s="5"/>
      <c r="K9238" s="5"/>
      <c r="L9238" s="5"/>
      <c r="M9238" s="5"/>
      <c r="N9238" s="5"/>
      <c r="O9238" s="5"/>
      <c r="P9238" s="5"/>
      <c r="Q9238" s="5"/>
      <c r="R9238" s="5"/>
      <c r="S9238" s="5"/>
      <c r="T9238" s="5"/>
      <c r="U9238" s="5"/>
      <c r="V9238" s="5"/>
      <c r="W9238" s="5"/>
      <c r="X9238" s="5"/>
      <c r="Y9238" s="5"/>
      <c r="Z9238" s="5"/>
    </row>
    <row r="9239" spans="1:26" ht="15" x14ac:dyDescent="0.25">
      <c r="A9239" s="4" t="s">
        <v>9238</v>
      </c>
      <c r="B9239" s="4" t="s">
        <v>9011</v>
      </c>
      <c r="C9239" s="2" t="str">
        <f ca="1">IFERROR(__xludf.DUMMYFUNCTION("GOOGLETRANSLATE(A9239,""bn"",""en"")"),"Family members will meet new people and we will all be able to share prosperity together")</f>
        <v>Family members will meet new people and we will all be able to share prosperity together</v>
      </c>
      <c r="D9239" s="5"/>
      <c r="E9239" s="5"/>
      <c r="F9239" s="5"/>
      <c r="G9239" s="5"/>
      <c r="H9239" s="5"/>
      <c r="I9239" s="5"/>
      <c r="J9239" s="5"/>
      <c r="K9239" s="5"/>
      <c r="L9239" s="5"/>
      <c r="M9239" s="5"/>
      <c r="N9239" s="5"/>
      <c r="O9239" s="5"/>
      <c r="P9239" s="5"/>
      <c r="Q9239" s="5"/>
      <c r="R9239" s="5"/>
      <c r="S9239" s="5"/>
      <c r="T9239" s="5"/>
      <c r="U9239" s="5"/>
      <c r="V9239" s="5"/>
      <c r="W9239" s="5"/>
      <c r="X9239" s="5"/>
      <c r="Y9239" s="5"/>
      <c r="Z9239" s="5"/>
    </row>
    <row r="9240" spans="1:26" ht="15" x14ac:dyDescent="0.25">
      <c r="A9240" s="4" t="s">
        <v>9239</v>
      </c>
      <c r="B9240" s="4" t="s">
        <v>9011</v>
      </c>
      <c r="C9240" s="2" t="str">
        <f ca="1">IFERROR(__xludf.DUMMYFUNCTION("GOOGLETRANSLATE(A9240,""bn"",""en"")"),"When you master swimming, you will feel like the king of water")</f>
        <v>When you master swimming, you will feel like the king of water</v>
      </c>
      <c r="D9240" s="5"/>
      <c r="E9240" s="5"/>
      <c r="F9240" s="5"/>
      <c r="G9240" s="5"/>
      <c r="H9240" s="5"/>
      <c r="I9240" s="5"/>
      <c r="J9240" s="5"/>
      <c r="K9240" s="5"/>
      <c r="L9240" s="5"/>
      <c r="M9240" s="5"/>
      <c r="N9240" s="5"/>
      <c r="O9240" s="5"/>
      <c r="P9240" s="5"/>
      <c r="Q9240" s="5"/>
      <c r="R9240" s="5"/>
      <c r="S9240" s="5"/>
      <c r="T9240" s="5"/>
      <c r="U9240" s="5"/>
      <c r="V9240" s="5"/>
      <c r="W9240" s="5"/>
      <c r="X9240" s="5"/>
      <c r="Y9240" s="5"/>
      <c r="Z9240" s="5"/>
    </row>
    <row r="9241" spans="1:26" ht="15" x14ac:dyDescent="0.25">
      <c r="A9241" s="4" t="s">
        <v>9240</v>
      </c>
      <c r="B9241" s="4" t="s">
        <v>9011</v>
      </c>
      <c r="C9241" s="2" t="str">
        <f ca="1">IFERROR(__xludf.DUMMYFUNCTION("GOOGLETRANSLATE(A9241,""bn"",""en"")"),"In the coming year, I will be on the road to prosperity")</f>
        <v>In the coming year, I will be on the road to prosperity</v>
      </c>
      <c r="D9241" s="5"/>
      <c r="E9241" s="5"/>
      <c r="F9241" s="5"/>
      <c r="G9241" s="5"/>
      <c r="H9241" s="5"/>
      <c r="I9241" s="5"/>
      <c r="J9241" s="5"/>
      <c r="K9241" s="5"/>
      <c r="L9241" s="5"/>
      <c r="M9241" s="5"/>
      <c r="N9241" s="5"/>
      <c r="O9241" s="5"/>
      <c r="P9241" s="5"/>
      <c r="Q9241" s="5"/>
      <c r="R9241" s="5"/>
      <c r="S9241" s="5"/>
      <c r="T9241" s="5"/>
      <c r="U9241" s="5"/>
      <c r="V9241" s="5"/>
      <c r="W9241" s="5"/>
      <c r="X9241" s="5"/>
      <c r="Y9241" s="5"/>
      <c r="Z9241" s="5"/>
    </row>
    <row r="9242" spans="1:26" ht="15" x14ac:dyDescent="0.25">
      <c r="A9242" s="4" t="s">
        <v>9241</v>
      </c>
      <c r="B9242" s="4" t="s">
        <v>9011</v>
      </c>
      <c r="C9242" s="2" t="str">
        <f ca="1">IFERROR(__xludf.DUMMYFUNCTION("GOOGLETRANSLATE(A9242,""bn"",""en"")"),"Not only the salary, I will take a big step towards the dream")</f>
        <v>Not only the salary, I will take a big step towards the dream</v>
      </c>
      <c r="D9242" s="5"/>
      <c r="E9242" s="5"/>
      <c r="F9242" s="5"/>
      <c r="G9242" s="5"/>
      <c r="H9242" s="5"/>
      <c r="I9242" s="5"/>
      <c r="J9242" s="5"/>
      <c r="K9242" s="5"/>
      <c r="L9242" s="5"/>
      <c r="M9242" s="5"/>
      <c r="N9242" s="5"/>
      <c r="O9242" s="5"/>
      <c r="P9242" s="5"/>
      <c r="Q9242" s="5"/>
      <c r="R9242" s="5"/>
      <c r="S9242" s="5"/>
      <c r="T9242" s="5"/>
      <c r="U9242" s="5"/>
      <c r="V9242" s="5"/>
      <c r="W9242" s="5"/>
      <c r="X9242" s="5"/>
      <c r="Y9242" s="5"/>
      <c r="Z9242" s="5"/>
    </row>
    <row r="9243" spans="1:26" ht="15" x14ac:dyDescent="0.25">
      <c r="A9243" s="4" t="s">
        <v>9242</v>
      </c>
      <c r="B9243" s="4" t="s">
        <v>9011</v>
      </c>
      <c r="C9243" s="2" t="str">
        <f ca="1">IFERROR(__xludf.DUMMYFUNCTION("GOOGLETRANSLATE(A9243,""bn"",""en"")"),"No matter how much I travel, the thirst for travel will never end.")</f>
        <v>No matter how much I travel, the thirst for travel will never end.</v>
      </c>
      <c r="D9243" s="5"/>
      <c r="E9243" s="5"/>
      <c r="F9243" s="5"/>
      <c r="G9243" s="5"/>
      <c r="H9243" s="5"/>
      <c r="I9243" s="5"/>
      <c r="J9243" s="5"/>
      <c r="K9243" s="5"/>
      <c r="L9243" s="5"/>
      <c r="M9243" s="5"/>
      <c r="N9243" s="5"/>
      <c r="O9243" s="5"/>
      <c r="P9243" s="5"/>
      <c r="Q9243" s="5"/>
      <c r="R9243" s="5"/>
      <c r="S9243" s="5"/>
      <c r="T9243" s="5"/>
      <c r="U9243" s="5"/>
      <c r="V9243" s="5"/>
      <c r="W9243" s="5"/>
      <c r="X9243" s="5"/>
      <c r="Y9243" s="5"/>
      <c r="Z9243" s="5"/>
    </row>
    <row r="9244" spans="1:26" ht="15" x14ac:dyDescent="0.25">
      <c r="A9244" s="4" t="s">
        <v>9243</v>
      </c>
      <c r="B9244" s="4" t="s">
        <v>9011</v>
      </c>
      <c r="C9244" s="2" t="str">
        <f ca="1">IFERROR(__xludf.DUMMYFUNCTION("GOOGLETRANSLATE(A9244,""bn"",""en"")"),"Comedy will bring joy to people's eyes and life will brighten with a funny smile")</f>
        <v>Comedy will bring joy to people's eyes and life will brighten with a funny smile</v>
      </c>
      <c r="D9244" s="5"/>
      <c r="E9244" s="5"/>
      <c r="F9244" s="5"/>
      <c r="G9244" s="5"/>
      <c r="H9244" s="5"/>
      <c r="I9244" s="5"/>
      <c r="J9244" s="5"/>
      <c r="K9244" s="5"/>
      <c r="L9244" s="5"/>
      <c r="M9244" s="5"/>
      <c r="N9244" s="5"/>
      <c r="O9244" s="5"/>
      <c r="P9244" s="5"/>
      <c r="Q9244" s="5"/>
      <c r="R9244" s="5"/>
      <c r="S9244" s="5"/>
      <c r="T9244" s="5"/>
      <c r="U9244" s="5"/>
      <c r="V9244" s="5"/>
      <c r="W9244" s="5"/>
      <c r="X9244" s="5"/>
      <c r="Y9244" s="5"/>
      <c r="Z9244" s="5"/>
    </row>
    <row r="9245" spans="1:26" ht="15" x14ac:dyDescent="0.25">
      <c r="A9245" s="4" t="s">
        <v>9244</v>
      </c>
      <c r="B9245" s="4" t="s">
        <v>9011</v>
      </c>
      <c r="C9245" s="2" t="str">
        <f ca="1">IFERROR(__xludf.DUMMYFUNCTION("GOOGLETRANSLATE(A9245,""bn"",""en"")"),"They will launch a new product in the market next month")</f>
        <v>They will launch a new product in the market next month</v>
      </c>
      <c r="D9245" s="5"/>
      <c r="E9245" s="5"/>
      <c r="F9245" s="5"/>
      <c r="G9245" s="5"/>
      <c r="H9245" s="5"/>
      <c r="I9245" s="5"/>
      <c r="J9245" s="5"/>
      <c r="K9245" s="5"/>
      <c r="L9245" s="5"/>
      <c r="M9245" s="5"/>
      <c r="N9245" s="5"/>
      <c r="O9245" s="5"/>
      <c r="P9245" s="5"/>
      <c r="Q9245" s="5"/>
      <c r="R9245" s="5"/>
      <c r="S9245" s="5"/>
      <c r="T9245" s="5"/>
      <c r="U9245" s="5"/>
      <c r="V9245" s="5"/>
      <c r="W9245" s="5"/>
      <c r="X9245" s="5"/>
      <c r="Y9245" s="5"/>
      <c r="Z9245" s="5"/>
    </row>
    <row r="9246" spans="1:26" ht="15" x14ac:dyDescent="0.25">
      <c r="A9246" s="4" t="s">
        <v>9245</v>
      </c>
      <c r="B9246" s="4" t="s">
        <v>9011</v>
      </c>
      <c r="C9246" s="2" t="str">
        <f ca="1">IFERROR(__xludf.DUMMYFUNCTION("GOOGLETRANSLATE(A9246,""bn"",""en"")"),"They will collect all the business technology when they start new business")</f>
        <v>They will collect all the business technology when they start new business</v>
      </c>
      <c r="D9246" s="5"/>
      <c r="E9246" s="5"/>
      <c r="F9246" s="5"/>
      <c r="G9246" s="5"/>
      <c r="H9246" s="5"/>
      <c r="I9246" s="5"/>
      <c r="J9246" s="5"/>
      <c r="K9246" s="5"/>
      <c r="L9246" s="5"/>
      <c r="M9246" s="5"/>
      <c r="N9246" s="5"/>
      <c r="O9246" s="5"/>
      <c r="P9246" s="5"/>
      <c r="Q9246" s="5"/>
      <c r="R9246" s="5"/>
      <c r="S9246" s="5"/>
      <c r="T9246" s="5"/>
      <c r="U9246" s="5"/>
      <c r="V9246" s="5"/>
      <c r="W9246" s="5"/>
      <c r="X9246" s="5"/>
      <c r="Y9246" s="5"/>
      <c r="Z9246" s="5"/>
    </row>
    <row r="9247" spans="1:26" ht="15" x14ac:dyDescent="0.25">
      <c r="A9247" s="4" t="s">
        <v>9246</v>
      </c>
      <c r="B9247" s="4" t="s">
        <v>9011</v>
      </c>
      <c r="C9247" s="2" t="str">
        <f ca="1">IFERROR(__xludf.DUMMYFUNCTION("GOOGLETRANSLATE(A9247,""bn"",""en"")"),"I will grow up eating this food from mother's hands and there will be no shortage of taste")</f>
        <v>I will grow up eating this food from mother's hands and there will be no shortage of taste</v>
      </c>
      <c r="D9247" s="5"/>
      <c r="E9247" s="5"/>
      <c r="F9247" s="5"/>
      <c r="G9247" s="5"/>
      <c r="H9247" s="5"/>
      <c r="I9247" s="5"/>
      <c r="J9247" s="5"/>
      <c r="K9247" s="5"/>
      <c r="L9247" s="5"/>
      <c r="M9247" s="5"/>
      <c r="N9247" s="5"/>
      <c r="O9247" s="5"/>
      <c r="P9247" s="5"/>
      <c r="Q9247" s="5"/>
      <c r="R9247" s="5"/>
      <c r="S9247" s="5"/>
      <c r="T9247" s="5"/>
      <c r="U9247" s="5"/>
      <c r="V9247" s="5"/>
      <c r="W9247" s="5"/>
      <c r="X9247" s="5"/>
      <c r="Y9247" s="5"/>
      <c r="Z9247" s="5"/>
    </row>
    <row r="9248" spans="1:26" ht="15" x14ac:dyDescent="0.25">
      <c r="A9248" s="4" t="s">
        <v>9247</v>
      </c>
      <c r="B9248" s="4" t="s">
        <v>9011</v>
      </c>
      <c r="C9248" s="2" t="str">
        <f ca="1">IFERROR(__xludf.DUMMYFUNCTION("GOOGLETRANSLATE(A9248,""bn"",""en"")"),"If the plan to surprise Preeti succeeds, her surprised face will be worth seeing")</f>
        <v>If the plan to surprise Preeti succeeds, her surprised face will be worth seeing</v>
      </c>
      <c r="D9248" s="5"/>
      <c r="E9248" s="5"/>
      <c r="F9248" s="5"/>
      <c r="G9248" s="5"/>
      <c r="H9248" s="5"/>
      <c r="I9248" s="5"/>
      <c r="J9248" s="5"/>
      <c r="K9248" s="5"/>
      <c r="L9248" s="5"/>
      <c r="M9248" s="5"/>
      <c r="N9248" s="5"/>
      <c r="O9248" s="5"/>
      <c r="P9248" s="5"/>
      <c r="Q9248" s="5"/>
      <c r="R9248" s="5"/>
      <c r="S9248" s="5"/>
      <c r="T9248" s="5"/>
      <c r="U9248" s="5"/>
      <c r="V9248" s="5"/>
      <c r="W9248" s="5"/>
      <c r="X9248" s="5"/>
      <c r="Y9248" s="5"/>
      <c r="Z9248" s="5"/>
    </row>
    <row r="9249" spans="1:26" ht="15" x14ac:dyDescent="0.25">
      <c r="A9249" s="4" t="s">
        <v>9248</v>
      </c>
      <c r="B9249" s="4" t="s">
        <v>9011</v>
      </c>
      <c r="C9249" s="2" t="str">
        <f ca="1">IFERROR(__xludf.DUMMYFUNCTION("GOOGLETRANSLATE(A9249,""bn"",""en"")"),"This man will always be by my side so today I will make this arrangement to make him happy with a small gift")</f>
        <v>This man will always be by my side so today I will make this arrangement to make him happy with a small gift</v>
      </c>
      <c r="D9249" s="5"/>
      <c r="E9249" s="5"/>
      <c r="F9249" s="5"/>
      <c r="G9249" s="5"/>
      <c r="H9249" s="5"/>
      <c r="I9249" s="5"/>
      <c r="J9249" s="5"/>
      <c r="K9249" s="5"/>
      <c r="L9249" s="5"/>
      <c r="M9249" s="5"/>
      <c r="N9249" s="5"/>
      <c r="O9249" s="5"/>
      <c r="P9249" s="5"/>
      <c r="Q9249" s="5"/>
      <c r="R9249" s="5"/>
      <c r="S9249" s="5"/>
      <c r="T9249" s="5"/>
      <c r="U9249" s="5"/>
      <c r="V9249" s="5"/>
      <c r="W9249" s="5"/>
      <c r="X9249" s="5"/>
      <c r="Y9249" s="5"/>
      <c r="Z9249" s="5"/>
    </row>
    <row r="9250" spans="1:26" ht="15" x14ac:dyDescent="0.25">
      <c r="A9250" s="4" t="s">
        <v>9249</v>
      </c>
      <c r="B9250" s="4" t="s">
        <v>9011</v>
      </c>
      <c r="C9250" s="2" t="str">
        <f ca="1">IFERROR(__xludf.DUMMYFUNCTION("GOOGLETRANSLATE(A9250,""bn"",""en"")"),"Friends will provide mutual support and encouragement")</f>
        <v>Friends will provide mutual support and encouragement</v>
      </c>
      <c r="D9250" s="5"/>
      <c r="E9250" s="5"/>
      <c r="F9250" s="5"/>
      <c r="G9250" s="5"/>
      <c r="H9250" s="5"/>
      <c r="I9250" s="5"/>
      <c r="J9250" s="5"/>
      <c r="K9250" s="5"/>
      <c r="L9250" s="5"/>
      <c r="M9250" s="5"/>
      <c r="N9250" s="5"/>
      <c r="O9250" s="5"/>
      <c r="P9250" s="5"/>
      <c r="Q9250" s="5"/>
      <c r="R9250" s="5"/>
      <c r="S9250" s="5"/>
      <c r="T9250" s="5"/>
      <c r="U9250" s="5"/>
      <c r="V9250" s="5"/>
      <c r="W9250" s="5"/>
      <c r="X9250" s="5"/>
      <c r="Y9250" s="5"/>
      <c r="Z9250" s="5"/>
    </row>
    <row r="9251" spans="1:26" ht="15" x14ac:dyDescent="0.25">
      <c r="A9251" s="4" t="s">
        <v>9250</v>
      </c>
      <c r="B9251" s="4" t="s">
        <v>9011</v>
      </c>
      <c r="C9251" s="2" t="str">
        <f ca="1">IFERROR(__xludf.DUMMYFUNCTION("GOOGLETRANSLATE(A9251,""bn"",""en"")"),"Marriage is not just a word but a union of two souls today will be a celebration of that union")</f>
        <v>Marriage is not just a word but a union of two souls today will be a celebration of that union</v>
      </c>
      <c r="D9251" s="5"/>
      <c r="E9251" s="5"/>
      <c r="F9251" s="5"/>
      <c r="G9251" s="5"/>
      <c r="H9251" s="5"/>
      <c r="I9251" s="5"/>
      <c r="J9251" s="5"/>
      <c r="K9251" s="5"/>
      <c r="L9251" s="5"/>
      <c r="M9251" s="5"/>
      <c r="N9251" s="5"/>
      <c r="O9251" s="5"/>
      <c r="P9251" s="5"/>
      <c r="Q9251" s="5"/>
      <c r="R9251" s="5"/>
      <c r="S9251" s="5"/>
      <c r="T9251" s="5"/>
      <c r="U9251" s="5"/>
      <c r="V9251" s="5"/>
      <c r="W9251" s="5"/>
      <c r="X9251" s="5"/>
      <c r="Y9251" s="5"/>
      <c r="Z9251" s="5"/>
    </row>
    <row r="9252" spans="1:26" ht="15" x14ac:dyDescent="0.25">
      <c r="A9252" s="4" t="s">
        <v>9251</v>
      </c>
      <c r="B9252" s="4" t="s">
        <v>9011</v>
      </c>
      <c r="C9252" s="2" t="str">
        <f ca="1">IFERROR(__xludf.DUMMYFUNCTION("GOOGLETRANSLATE(A9252,""bn"",""en"")"),"I will get my life back and I will find new joy in Yamin's smile and tears")</f>
        <v>I will get my life back and I will find new joy in Yamin's smile and tears</v>
      </c>
      <c r="D9252" s="5"/>
      <c r="E9252" s="5"/>
      <c r="F9252" s="5"/>
      <c r="G9252" s="5"/>
      <c r="H9252" s="5"/>
      <c r="I9252" s="5"/>
      <c r="J9252" s="5"/>
      <c r="K9252" s="5"/>
      <c r="L9252" s="5"/>
      <c r="M9252" s="5"/>
      <c r="N9252" s="5"/>
      <c r="O9252" s="5"/>
      <c r="P9252" s="5"/>
      <c r="Q9252" s="5"/>
      <c r="R9252" s="5"/>
      <c r="S9252" s="5"/>
      <c r="T9252" s="5"/>
      <c r="U9252" s="5"/>
      <c r="V9252" s="5"/>
      <c r="W9252" s="5"/>
      <c r="X9252" s="5"/>
      <c r="Y9252" s="5"/>
      <c r="Z9252" s="5"/>
    </row>
    <row r="9253" spans="1:26" ht="15" x14ac:dyDescent="0.25">
      <c r="A9253" s="4" t="s">
        <v>9252</v>
      </c>
      <c r="B9253" s="4" t="s">
        <v>9011</v>
      </c>
      <c r="C9253" s="2" t="str">
        <f ca="1">IFERROR(__xludf.DUMMYFUNCTION("GOOGLETRANSLATE(A9253,""bn"",""en"")"),"We will have all the work done in the coming months as we work towards the completion of our project")</f>
        <v>We will have all the work done in the coming months as we work towards the completion of our project</v>
      </c>
      <c r="D9253" s="5"/>
      <c r="E9253" s="5"/>
      <c r="F9253" s="5"/>
      <c r="G9253" s="5"/>
      <c r="H9253" s="5"/>
      <c r="I9253" s="5"/>
      <c r="J9253" s="5"/>
      <c r="K9253" s="5"/>
      <c r="L9253" s="5"/>
      <c r="M9253" s="5"/>
      <c r="N9253" s="5"/>
      <c r="O9253" s="5"/>
      <c r="P9253" s="5"/>
      <c r="Q9253" s="5"/>
      <c r="R9253" s="5"/>
      <c r="S9253" s="5"/>
      <c r="T9253" s="5"/>
      <c r="U9253" s="5"/>
      <c r="V9253" s="5"/>
      <c r="W9253" s="5"/>
      <c r="X9253" s="5"/>
      <c r="Y9253" s="5"/>
      <c r="Z9253" s="5"/>
    </row>
    <row r="9254" spans="1:26" ht="15" x14ac:dyDescent="0.25">
      <c r="A9254" s="4" t="s">
        <v>9253</v>
      </c>
      <c r="B9254" s="4" t="s">
        <v>9011</v>
      </c>
      <c r="C9254" s="2" t="str">
        <f ca="1">IFERROR(__xludf.DUMMYFUNCTION("GOOGLETRANSLATE(A9254,""bn"",""en"")"),"I will get a new job Alhamdulillah I will not be unemployed anymore")</f>
        <v>I will get a new job Alhamdulillah I will not be unemployed anymore</v>
      </c>
      <c r="D9254" s="5"/>
      <c r="E9254" s="5"/>
      <c r="F9254" s="5"/>
      <c r="G9254" s="5"/>
      <c r="H9254" s="5"/>
      <c r="I9254" s="5"/>
      <c r="J9254" s="5"/>
      <c r="K9254" s="5"/>
      <c r="L9254" s="5"/>
      <c r="M9254" s="5"/>
      <c r="N9254" s="5"/>
      <c r="O9254" s="5"/>
      <c r="P9254" s="5"/>
      <c r="Q9254" s="5"/>
      <c r="R9254" s="5"/>
      <c r="S9254" s="5"/>
      <c r="T9254" s="5"/>
      <c r="U9254" s="5"/>
      <c r="V9254" s="5"/>
      <c r="W9254" s="5"/>
      <c r="X9254" s="5"/>
      <c r="Y9254" s="5"/>
      <c r="Z9254" s="5"/>
    </row>
    <row r="9255" spans="1:26" ht="15" x14ac:dyDescent="0.25">
      <c r="A9255" s="4" t="s">
        <v>9254</v>
      </c>
      <c r="B9255" s="4" t="s">
        <v>9011</v>
      </c>
      <c r="C9255" s="2" t="str">
        <f ca="1">IFERROR(__xludf.DUMMYFUNCTION("GOOGLETRANSLATE(A9255,""bn"",""en"")"),"We are going to a new park tomorrow")</f>
        <v>We are going to a new park tomorrow</v>
      </c>
      <c r="D9255" s="5"/>
      <c r="E9255" s="5"/>
      <c r="F9255" s="5"/>
      <c r="G9255" s="5"/>
      <c r="H9255" s="5"/>
      <c r="I9255" s="5"/>
      <c r="J9255" s="5"/>
      <c r="K9255" s="5"/>
      <c r="L9255" s="5"/>
      <c r="M9255" s="5"/>
      <c r="N9255" s="5"/>
      <c r="O9255" s="5"/>
      <c r="P9255" s="5"/>
      <c r="Q9255" s="5"/>
      <c r="R9255" s="5"/>
      <c r="S9255" s="5"/>
      <c r="T9255" s="5"/>
      <c r="U9255" s="5"/>
      <c r="V9255" s="5"/>
      <c r="W9255" s="5"/>
      <c r="X9255" s="5"/>
      <c r="Y9255" s="5"/>
      <c r="Z9255" s="5"/>
    </row>
    <row r="9256" spans="1:26" ht="15" x14ac:dyDescent="0.25">
      <c r="A9256" s="4" t="s">
        <v>9255</v>
      </c>
      <c r="B9256" s="4" t="s">
        <v>9011</v>
      </c>
      <c r="C9256" s="2" t="str">
        <f ca="1">IFERROR(__xludf.DUMMYFUNCTION("GOOGLETRANSLATE(A9256,""bn"",""en"")"),"Next vacation I will go to my grandfather's house where he will share many interesting stories")</f>
        <v>Next vacation I will go to my grandfather's house where he will share many interesting stories</v>
      </c>
      <c r="D9256" s="5"/>
      <c r="E9256" s="5"/>
      <c r="F9256" s="5"/>
      <c r="G9256" s="5"/>
      <c r="H9256" s="5"/>
      <c r="I9256" s="5"/>
      <c r="J9256" s="5"/>
      <c r="K9256" s="5"/>
      <c r="L9256" s="5"/>
      <c r="M9256" s="5"/>
      <c r="N9256" s="5"/>
      <c r="O9256" s="5"/>
      <c r="P9256" s="5"/>
      <c r="Q9256" s="5"/>
      <c r="R9256" s="5"/>
      <c r="S9256" s="5"/>
      <c r="T9256" s="5"/>
      <c r="U9256" s="5"/>
      <c r="V9256" s="5"/>
      <c r="W9256" s="5"/>
      <c r="X9256" s="5"/>
      <c r="Y9256" s="5"/>
      <c r="Z9256" s="5"/>
    </row>
    <row r="9257" spans="1:26" ht="15" x14ac:dyDescent="0.25">
      <c r="A9257" s="4" t="s">
        <v>9256</v>
      </c>
      <c r="B9257" s="4" t="s">
        <v>9011</v>
      </c>
      <c r="C9257" s="2" t="str">
        <f ca="1">IFERROR(__xludf.DUMMYFUNCTION("GOOGLETRANSLATE(A9257,""bn"",""en"")"),"I will have the pleasure of shading the flowers after the clouds in the flower garden tomorrow")</f>
        <v>I will have the pleasure of shading the flowers after the clouds in the flower garden tomorrow</v>
      </c>
      <c r="D9257" s="5"/>
      <c r="E9257" s="5"/>
      <c r="F9257" s="5"/>
      <c r="G9257" s="5"/>
      <c r="H9257" s="5"/>
      <c r="I9257" s="5"/>
      <c r="J9257" s="5"/>
      <c r="K9257" s="5"/>
      <c r="L9257" s="5"/>
      <c r="M9257" s="5"/>
      <c r="N9257" s="5"/>
      <c r="O9257" s="5"/>
      <c r="P9257" s="5"/>
      <c r="Q9257" s="5"/>
      <c r="R9257" s="5"/>
      <c r="S9257" s="5"/>
      <c r="T9257" s="5"/>
      <c r="U9257" s="5"/>
      <c r="V9257" s="5"/>
      <c r="W9257" s="5"/>
      <c r="X9257" s="5"/>
      <c r="Y9257" s="5"/>
      <c r="Z9257" s="5"/>
    </row>
    <row r="9258" spans="1:26" ht="15" x14ac:dyDescent="0.25">
      <c r="A9258" s="4" t="s">
        <v>9257</v>
      </c>
      <c r="B9258" s="4" t="s">
        <v>9011</v>
      </c>
      <c r="C9258" s="2" t="str">
        <f ca="1">IFERROR(__xludf.DUMMYFUNCTION("GOOGLETRANSLATE(A9258,""bn"",""en"")"),"Cooking for loved ones will become a favorite activity for me")</f>
        <v>Cooking for loved ones will become a favorite activity for me</v>
      </c>
      <c r="D9258" s="5"/>
      <c r="E9258" s="5"/>
      <c r="F9258" s="5"/>
      <c r="G9258" s="5"/>
      <c r="H9258" s="5"/>
      <c r="I9258" s="5"/>
      <c r="J9258" s="5"/>
      <c r="K9258" s="5"/>
      <c r="L9258" s="5"/>
      <c r="M9258" s="5"/>
      <c r="N9258" s="5"/>
      <c r="O9258" s="5"/>
      <c r="P9258" s="5"/>
      <c r="Q9258" s="5"/>
      <c r="R9258" s="5"/>
      <c r="S9258" s="5"/>
      <c r="T9258" s="5"/>
      <c r="U9258" s="5"/>
      <c r="V9258" s="5"/>
      <c r="W9258" s="5"/>
      <c r="X9258" s="5"/>
      <c r="Y9258" s="5"/>
      <c r="Z9258" s="5"/>
    </row>
    <row r="9259" spans="1:26" ht="15" x14ac:dyDescent="0.25">
      <c r="A9259" s="4" t="s">
        <v>9258</v>
      </c>
      <c r="B9259" s="4" t="s">
        <v>9011</v>
      </c>
      <c r="C9259" s="2" t="str">
        <f ca="1">IFERROR(__xludf.DUMMYFUNCTION("GOOGLETRANSLATE(A9259,""bn"",""en"")"),"Finally, I will wait for the cancellation of the class")</f>
        <v>Finally, I will wait for the cancellation of the class</v>
      </c>
      <c r="D9259" s="5"/>
      <c r="E9259" s="5"/>
      <c r="F9259" s="5"/>
      <c r="G9259" s="5"/>
      <c r="H9259" s="5"/>
      <c r="I9259" s="5"/>
      <c r="J9259" s="5"/>
      <c r="K9259" s="5"/>
      <c r="L9259" s="5"/>
      <c r="M9259" s="5"/>
      <c r="N9259" s="5"/>
      <c r="O9259" s="5"/>
      <c r="P9259" s="5"/>
      <c r="Q9259" s="5"/>
      <c r="R9259" s="5"/>
      <c r="S9259" s="5"/>
      <c r="T9259" s="5"/>
      <c r="U9259" s="5"/>
      <c r="V9259" s="5"/>
      <c r="W9259" s="5"/>
      <c r="X9259" s="5"/>
      <c r="Y9259" s="5"/>
      <c r="Z9259" s="5"/>
    </row>
    <row r="9260" spans="1:26" ht="15" x14ac:dyDescent="0.25">
      <c r="A9260" s="4" t="s">
        <v>9259</v>
      </c>
      <c r="B9260" s="4" t="s">
        <v>9011</v>
      </c>
      <c r="C9260" s="2" t="str">
        <f ca="1">IFERROR(__xludf.DUMMYFUNCTION("GOOGLETRANSLATE(A9260,""bn"",""en"")"),"The opportunity to learn about Korea's culture, food, clothing, etc. through Korean dramas will delight the mind")</f>
        <v>The opportunity to learn about Korea's culture, food, clothing, etc. through Korean dramas will delight the mind</v>
      </c>
      <c r="D9260" s="5"/>
      <c r="E9260" s="5"/>
      <c r="F9260" s="5"/>
      <c r="G9260" s="5"/>
      <c r="H9260" s="5"/>
      <c r="I9260" s="5"/>
      <c r="J9260" s="5"/>
      <c r="K9260" s="5"/>
      <c r="L9260" s="5"/>
      <c r="M9260" s="5"/>
      <c r="N9260" s="5"/>
      <c r="O9260" s="5"/>
      <c r="P9260" s="5"/>
      <c r="Q9260" s="5"/>
      <c r="R9260" s="5"/>
      <c r="S9260" s="5"/>
      <c r="T9260" s="5"/>
      <c r="U9260" s="5"/>
      <c r="V9260" s="5"/>
      <c r="W9260" s="5"/>
      <c r="X9260" s="5"/>
      <c r="Y9260" s="5"/>
      <c r="Z9260" s="5"/>
    </row>
    <row r="9261" spans="1:26" ht="15" x14ac:dyDescent="0.25">
      <c r="A9261" s="4" t="s">
        <v>9260</v>
      </c>
      <c r="B9261" s="4" t="s">
        <v>9011</v>
      </c>
      <c r="C9261" s="2" t="str">
        <f ca="1">IFERROR(__xludf.DUMMYFUNCTION("GOOGLETRANSLATE(A9261,""bn"",""en"")"),"In the future I will establish an international network that will build business relationships with different countries")</f>
        <v>In the future I will establish an international network that will build business relationships with different countries</v>
      </c>
      <c r="D9261" s="5"/>
      <c r="E9261" s="5"/>
      <c r="F9261" s="5"/>
      <c r="G9261" s="5"/>
      <c r="H9261" s="5"/>
      <c r="I9261" s="5"/>
      <c r="J9261" s="5"/>
      <c r="K9261" s="5"/>
      <c r="L9261" s="5"/>
      <c r="M9261" s="5"/>
      <c r="N9261" s="5"/>
      <c r="O9261" s="5"/>
      <c r="P9261" s="5"/>
      <c r="Q9261" s="5"/>
      <c r="R9261" s="5"/>
      <c r="S9261" s="5"/>
      <c r="T9261" s="5"/>
      <c r="U9261" s="5"/>
      <c r="V9261" s="5"/>
      <c r="W9261" s="5"/>
      <c r="X9261" s="5"/>
      <c r="Y9261" s="5"/>
      <c r="Z9261" s="5"/>
    </row>
    <row r="9262" spans="1:26" ht="15" x14ac:dyDescent="0.25">
      <c r="A9262" s="4" t="s">
        <v>9261</v>
      </c>
      <c r="B9262" s="4" t="s">
        <v>9011</v>
      </c>
      <c r="C9262" s="2" t="str">
        <f ca="1">IFERROR(__xludf.DUMMYFUNCTION("GOOGLETRANSLATE(A9262,""bn"",""en"")"),"Some of the amazing stories of Korean dramas will take you away from the pressures of the real world and into the realm of fantasy")</f>
        <v>Some of the amazing stories of Korean dramas will take you away from the pressures of the real world and into the realm of fantasy</v>
      </c>
      <c r="D9262" s="5"/>
      <c r="E9262" s="5"/>
      <c r="F9262" s="5"/>
      <c r="G9262" s="5"/>
      <c r="H9262" s="5"/>
      <c r="I9262" s="5"/>
      <c r="J9262" s="5"/>
      <c r="K9262" s="5"/>
      <c r="L9262" s="5"/>
      <c r="M9262" s="5"/>
      <c r="N9262" s="5"/>
      <c r="O9262" s="5"/>
      <c r="P9262" s="5"/>
      <c r="Q9262" s="5"/>
      <c r="R9262" s="5"/>
      <c r="S9262" s="5"/>
      <c r="T9262" s="5"/>
      <c r="U9262" s="5"/>
      <c r="V9262" s="5"/>
      <c r="W9262" s="5"/>
      <c r="X9262" s="5"/>
      <c r="Y9262" s="5"/>
      <c r="Z9262" s="5"/>
    </row>
    <row r="9263" spans="1:26" ht="15" x14ac:dyDescent="0.25">
      <c r="A9263" s="4" t="s">
        <v>9262</v>
      </c>
      <c r="B9263" s="4" t="s">
        <v>9011</v>
      </c>
      <c r="C9263" s="2" t="str">
        <f ca="1">IFERROR(__xludf.DUMMYFUNCTION("GOOGLETRANSLATE(A9263,""bn"",""en"")"),"Next month we will have a big family reunion where everyone will enjoy together")</f>
        <v>Next month we will have a big family reunion where everyone will enjoy together</v>
      </c>
      <c r="D9263" s="5"/>
      <c r="E9263" s="5"/>
      <c r="F9263" s="5"/>
      <c r="G9263" s="5"/>
      <c r="H9263" s="5"/>
      <c r="I9263" s="5"/>
      <c r="J9263" s="5"/>
      <c r="K9263" s="5"/>
      <c r="L9263" s="5"/>
      <c r="M9263" s="5"/>
      <c r="N9263" s="5"/>
      <c r="O9263" s="5"/>
      <c r="P9263" s="5"/>
      <c r="Q9263" s="5"/>
      <c r="R9263" s="5"/>
      <c r="S9263" s="5"/>
      <c r="T9263" s="5"/>
      <c r="U9263" s="5"/>
      <c r="V9263" s="5"/>
      <c r="W9263" s="5"/>
      <c r="X9263" s="5"/>
      <c r="Y9263" s="5"/>
      <c r="Z9263" s="5"/>
    </row>
    <row r="9264" spans="1:26" ht="15" x14ac:dyDescent="0.25">
      <c r="A9264" s="4" t="s">
        <v>9263</v>
      </c>
      <c r="B9264" s="4" t="s">
        <v>9011</v>
      </c>
      <c r="C9264" s="2" t="str">
        <f ca="1">IFERROR(__xludf.DUMMYFUNCTION("GOOGLETRANSLATE(A9264,""bn"",""en"")"),"We will hold a scientific discussion on better environmental protection methods tomorrow")</f>
        <v>We will hold a scientific discussion on better environmental protection methods tomorrow</v>
      </c>
      <c r="D9264" s="5"/>
      <c r="E9264" s="5"/>
      <c r="F9264" s="5"/>
      <c r="G9264" s="5"/>
      <c r="H9264" s="5"/>
      <c r="I9264" s="5"/>
      <c r="J9264" s="5"/>
      <c r="K9264" s="5"/>
      <c r="L9264" s="5"/>
      <c r="M9264" s="5"/>
      <c r="N9264" s="5"/>
      <c r="O9264" s="5"/>
      <c r="P9264" s="5"/>
      <c r="Q9264" s="5"/>
      <c r="R9264" s="5"/>
      <c r="S9264" s="5"/>
      <c r="T9264" s="5"/>
      <c r="U9264" s="5"/>
      <c r="V9264" s="5"/>
      <c r="W9264" s="5"/>
      <c r="X9264" s="5"/>
      <c r="Y9264" s="5"/>
      <c r="Z9264" s="5"/>
    </row>
    <row r="9265" spans="1:26" ht="15" x14ac:dyDescent="0.25">
      <c r="A9265" s="4" t="s">
        <v>9264</v>
      </c>
      <c r="B9265" s="4" t="s">
        <v>9011</v>
      </c>
      <c r="C9265" s="2" t="str">
        <f ca="1">IFERROR(__xludf.DUMMYFUNCTION("GOOGLETRANSLATE(A9265,""bn"",""en"")"),"They will make their dreams come true when they work hard with all the opportunities they need")</f>
        <v>They will make their dreams come true when they work hard with all the opportunities they need</v>
      </c>
      <c r="D9265" s="5"/>
      <c r="E9265" s="5"/>
      <c r="F9265" s="5"/>
      <c r="G9265" s="5"/>
      <c r="H9265" s="5"/>
      <c r="I9265" s="5"/>
      <c r="J9265" s="5"/>
      <c r="K9265" s="5"/>
      <c r="L9265" s="5"/>
      <c r="M9265" s="5"/>
      <c r="N9265" s="5"/>
      <c r="O9265" s="5"/>
      <c r="P9265" s="5"/>
      <c r="Q9265" s="5"/>
      <c r="R9265" s="5"/>
      <c r="S9265" s="5"/>
      <c r="T9265" s="5"/>
      <c r="U9265" s="5"/>
      <c r="V9265" s="5"/>
      <c r="W9265" s="5"/>
      <c r="X9265" s="5"/>
      <c r="Y9265" s="5"/>
      <c r="Z9265" s="5"/>
    </row>
    <row r="9266" spans="1:26" ht="15" x14ac:dyDescent="0.25">
      <c r="A9266" s="4" t="s">
        <v>9265</v>
      </c>
      <c r="B9266" s="4" t="s">
        <v>9011</v>
      </c>
      <c r="C9266" s="2" t="str">
        <f ca="1">IFERROR(__xludf.DUMMYFUNCTION("GOOGLETRANSLATE(A9266,""bn"",""en"")"),"Tomorrow you will participate in an important sports competition where your skills will be displayed")</f>
        <v>Tomorrow you will participate in an important sports competition where your skills will be displayed</v>
      </c>
      <c r="D9266" s="5"/>
      <c r="E9266" s="5"/>
      <c r="F9266" s="5"/>
      <c r="G9266" s="5"/>
      <c r="H9266" s="5"/>
      <c r="I9266" s="5"/>
      <c r="J9266" s="5"/>
      <c r="K9266" s="5"/>
      <c r="L9266" s="5"/>
      <c r="M9266" s="5"/>
      <c r="N9266" s="5"/>
      <c r="O9266" s="5"/>
      <c r="P9266" s="5"/>
      <c r="Q9266" s="5"/>
      <c r="R9266" s="5"/>
      <c r="S9266" s="5"/>
      <c r="T9266" s="5"/>
      <c r="U9266" s="5"/>
      <c r="V9266" s="5"/>
      <c r="W9266" s="5"/>
      <c r="X9266" s="5"/>
      <c r="Y9266" s="5"/>
      <c r="Z9266" s="5"/>
    </row>
    <row r="9267" spans="1:26" ht="15" x14ac:dyDescent="0.25">
      <c r="A9267" s="4" t="s">
        <v>9266</v>
      </c>
      <c r="B9267" s="4" t="s">
        <v>9011</v>
      </c>
      <c r="C9267" s="2" t="str">
        <f ca="1">IFERROR(__xludf.DUMMYFUNCTION("GOOGLETRANSLATE(A9267,""bn"",""en"")"),"A small grudge may one day create a big distance")</f>
        <v>A small grudge may one day create a big distance</v>
      </c>
      <c r="D9267" s="5"/>
      <c r="E9267" s="5"/>
      <c r="F9267" s="5"/>
      <c r="G9267" s="5"/>
      <c r="H9267" s="5"/>
      <c r="I9267" s="5"/>
      <c r="J9267" s="5"/>
      <c r="K9267" s="5"/>
      <c r="L9267" s="5"/>
      <c r="M9267" s="5"/>
      <c r="N9267" s="5"/>
      <c r="O9267" s="5"/>
      <c r="P9267" s="5"/>
      <c r="Q9267" s="5"/>
      <c r="R9267" s="5"/>
      <c r="S9267" s="5"/>
      <c r="T9267" s="5"/>
      <c r="U9267" s="5"/>
      <c r="V9267" s="5"/>
      <c r="W9267" s="5"/>
      <c r="X9267" s="5"/>
      <c r="Y9267" s="5"/>
      <c r="Z9267" s="5"/>
    </row>
    <row r="9268" spans="1:26" ht="15" x14ac:dyDescent="0.25">
      <c r="A9268" s="4" t="s">
        <v>9267</v>
      </c>
      <c r="B9268" s="4" t="s">
        <v>9011</v>
      </c>
      <c r="C9268" s="2" t="str">
        <f ca="1">IFERROR(__xludf.DUMMYFUNCTION("GOOGLETRANSLATE(A9268,""bn"",""en"")"),"Emotional love will one day lose to conscience and emotional love will remain forever")</f>
        <v>Emotional love will one day lose to conscience and emotional love will remain forever</v>
      </c>
      <c r="D9268" s="5"/>
      <c r="E9268" s="5"/>
      <c r="F9268" s="5"/>
      <c r="G9268" s="5"/>
      <c r="H9268" s="5"/>
      <c r="I9268" s="5"/>
      <c r="J9268" s="5"/>
      <c r="K9268" s="5"/>
      <c r="L9268" s="5"/>
      <c r="M9268" s="5"/>
      <c r="N9268" s="5"/>
      <c r="O9268" s="5"/>
      <c r="P9268" s="5"/>
      <c r="Q9268" s="5"/>
      <c r="R9268" s="5"/>
      <c r="S9268" s="5"/>
      <c r="T9268" s="5"/>
      <c r="U9268" s="5"/>
      <c r="V9268" s="5"/>
      <c r="W9268" s="5"/>
      <c r="X9268" s="5"/>
      <c r="Y9268" s="5"/>
      <c r="Z9268" s="5"/>
    </row>
    <row r="9269" spans="1:26" ht="15" x14ac:dyDescent="0.25">
      <c r="A9269" s="4" t="s">
        <v>9268</v>
      </c>
      <c r="B9269" s="4" t="s">
        <v>9011</v>
      </c>
      <c r="C9269" s="2" t="str">
        <f ca="1">IFERROR(__xludf.DUMMYFUNCTION("GOOGLETRANSLATE(A9269,""bn"",""en"")"),"We will continue to operate our school")</f>
        <v>We will continue to operate our school</v>
      </c>
      <c r="D9269" s="5"/>
      <c r="E9269" s="5"/>
      <c r="F9269" s="5"/>
      <c r="G9269" s="5"/>
      <c r="H9269" s="5"/>
      <c r="I9269" s="5"/>
      <c r="J9269" s="5"/>
      <c r="K9269" s="5"/>
      <c r="L9269" s="5"/>
      <c r="M9269" s="5"/>
      <c r="N9269" s="5"/>
      <c r="O9269" s="5"/>
      <c r="P9269" s="5"/>
      <c r="Q9269" s="5"/>
      <c r="R9269" s="5"/>
      <c r="S9269" s="5"/>
      <c r="T9269" s="5"/>
      <c r="U9269" s="5"/>
      <c r="V9269" s="5"/>
      <c r="W9269" s="5"/>
      <c r="X9269" s="5"/>
      <c r="Y9269" s="5"/>
      <c r="Z9269" s="5"/>
    </row>
    <row r="9270" spans="1:26" ht="15" x14ac:dyDescent="0.25">
      <c r="A9270" s="4" t="s">
        <v>9269</v>
      </c>
      <c r="B9270" s="4" t="s">
        <v>9011</v>
      </c>
      <c r="C9270" s="2" t="str">
        <f ca="1">IFERROR(__xludf.DUMMYFUNCTION("GOOGLETRANSLATE(A9270,""bn"",""en"")"),"They will go to the field to watch the hockey match tomorrow")</f>
        <v>They will go to the field to watch the hockey match tomorrow</v>
      </c>
      <c r="D9270" s="5"/>
      <c r="E9270" s="5"/>
      <c r="F9270" s="5"/>
      <c r="G9270" s="5"/>
      <c r="H9270" s="5"/>
      <c r="I9270" s="5"/>
      <c r="J9270" s="5"/>
      <c r="K9270" s="5"/>
      <c r="L9270" s="5"/>
      <c r="M9270" s="5"/>
      <c r="N9270" s="5"/>
      <c r="O9270" s="5"/>
      <c r="P9270" s="5"/>
      <c r="Q9270" s="5"/>
      <c r="R9270" s="5"/>
      <c r="S9270" s="5"/>
      <c r="T9270" s="5"/>
      <c r="U9270" s="5"/>
      <c r="V9270" s="5"/>
      <c r="W9270" s="5"/>
      <c r="X9270" s="5"/>
      <c r="Y9270" s="5"/>
      <c r="Z9270" s="5"/>
    </row>
    <row r="9271" spans="1:26" ht="15" x14ac:dyDescent="0.25">
      <c r="A9271" s="4" t="s">
        <v>9270</v>
      </c>
      <c r="B9271" s="4" t="s">
        <v>9011</v>
      </c>
      <c r="C9271" s="2" t="str">
        <f ca="1">IFERROR(__xludf.DUMMYFUNCTION("GOOGLETRANSLATE(A9271,""bn"",""en"")"),"Food should always be taken as medicine, otherwise the medicine should be taken as its own food")</f>
        <v>Food should always be taken as medicine, otherwise the medicine should be taken as its own food</v>
      </c>
      <c r="D9271" s="5"/>
      <c r="E9271" s="5"/>
      <c r="F9271" s="5"/>
      <c r="G9271" s="5"/>
      <c r="H9271" s="5"/>
      <c r="I9271" s="5"/>
      <c r="J9271" s="5"/>
      <c r="K9271" s="5"/>
      <c r="L9271" s="5"/>
      <c r="M9271" s="5"/>
      <c r="N9271" s="5"/>
      <c r="O9271" s="5"/>
      <c r="P9271" s="5"/>
      <c r="Q9271" s="5"/>
      <c r="R9271" s="5"/>
      <c r="S9271" s="5"/>
      <c r="T9271" s="5"/>
      <c r="U9271" s="5"/>
      <c r="V9271" s="5"/>
      <c r="W9271" s="5"/>
      <c r="X9271" s="5"/>
      <c r="Y9271" s="5"/>
      <c r="Z9271" s="5"/>
    </row>
    <row r="9272" spans="1:26" ht="15" x14ac:dyDescent="0.25">
      <c r="A9272" s="4" t="s">
        <v>9271</v>
      </c>
      <c r="B9272" s="4" t="s">
        <v>9011</v>
      </c>
      <c r="C9272" s="2" t="str">
        <f ca="1">IFERROR(__xludf.DUMMYFUNCTION("GOOGLETRANSLATE(A9272,""bn"",""en"")"),"He will fully utilize his time when he publishes his book")</f>
        <v>He will fully utilize his time when he publishes his book</v>
      </c>
      <c r="D9272" s="5"/>
      <c r="E9272" s="5"/>
      <c r="F9272" s="5"/>
      <c r="G9272" s="5"/>
      <c r="H9272" s="5"/>
      <c r="I9272" s="5"/>
      <c r="J9272" s="5"/>
      <c r="K9272" s="5"/>
      <c r="L9272" s="5"/>
      <c r="M9272" s="5"/>
      <c r="N9272" s="5"/>
      <c r="O9272" s="5"/>
      <c r="P9272" s="5"/>
      <c r="Q9272" s="5"/>
      <c r="R9272" s="5"/>
      <c r="S9272" s="5"/>
      <c r="T9272" s="5"/>
      <c r="U9272" s="5"/>
      <c r="V9272" s="5"/>
      <c r="W9272" s="5"/>
      <c r="X9272" s="5"/>
      <c r="Y9272" s="5"/>
      <c r="Z9272" s="5"/>
    </row>
    <row r="9273" spans="1:26" ht="15" x14ac:dyDescent="0.25">
      <c r="A9273" s="4" t="s">
        <v>9272</v>
      </c>
      <c r="B9273" s="4" t="s">
        <v>9011</v>
      </c>
      <c r="C9273" s="2" t="str">
        <f ca="1">IFERROR(__xludf.DUMMYFUNCTION("GOOGLETRANSLATE(A9273,""bn"",""en"")"),"I will undertake a change for my country")</f>
        <v>I will undertake a change for my country</v>
      </c>
      <c r="D9273" s="5"/>
      <c r="E9273" s="5"/>
      <c r="F9273" s="5"/>
      <c r="G9273" s="5"/>
      <c r="H9273" s="5"/>
      <c r="I9273" s="5"/>
      <c r="J9273" s="5"/>
      <c r="K9273" s="5"/>
      <c r="L9273" s="5"/>
      <c r="M9273" s="5"/>
      <c r="N9273" s="5"/>
      <c r="O9273" s="5"/>
      <c r="P9273" s="5"/>
      <c r="Q9273" s="5"/>
      <c r="R9273" s="5"/>
      <c r="S9273" s="5"/>
      <c r="T9273" s="5"/>
      <c r="U9273" s="5"/>
      <c r="V9273" s="5"/>
      <c r="W9273" s="5"/>
      <c r="X9273" s="5"/>
      <c r="Y9273" s="5"/>
      <c r="Z9273" s="5"/>
    </row>
    <row r="9274" spans="1:26" ht="15" x14ac:dyDescent="0.25">
      <c r="A9274" s="4" t="s">
        <v>9273</v>
      </c>
      <c r="B9274" s="4" t="s">
        <v>9011</v>
      </c>
      <c r="C9274" s="2" t="str">
        <f ca="1">IFERROR(__xludf.DUMMYFUNCTION("GOOGLETRANSLATE(A9274,""bn"",""en"")"),"In future I will be a successful businessman where my business will be known all over the world")</f>
        <v>In future I will be a successful businessman where my business will be known all over the world</v>
      </c>
      <c r="D9274" s="5"/>
      <c r="E9274" s="5"/>
      <c r="F9274" s="5"/>
      <c r="G9274" s="5"/>
      <c r="H9274" s="5"/>
      <c r="I9274" s="5"/>
      <c r="J9274" s="5"/>
      <c r="K9274" s="5"/>
      <c r="L9274" s="5"/>
      <c r="M9274" s="5"/>
      <c r="N9274" s="5"/>
      <c r="O9274" s="5"/>
      <c r="P9274" s="5"/>
      <c r="Q9274" s="5"/>
      <c r="R9274" s="5"/>
      <c r="S9274" s="5"/>
      <c r="T9274" s="5"/>
      <c r="U9274" s="5"/>
      <c r="V9274" s="5"/>
      <c r="W9274" s="5"/>
      <c r="X9274" s="5"/>
      <c r="Y9274" s="5"/>
      <c r="Z9274" s="5"/>
    </row>
    <row r="9275" spans="1:26" ht="15" x14ac:dyDescent="0.25">
      <c r="A9275" s="4" t="s">
        <v>9274</v>
      </c>
      <c r="B9275" s="4" t="s">
        <v>9011</v>
      </c>
      <c r="C9275" s="2" t="str">
        <f ca="1">IFERROR(__xludf.DUMMYFUNCTION("GOOGLETRANSLATE(A9275,""bn"",""en"")"),"We will organize a large-scale conference next week where world-renowned experts will speak")</f>
        <v>We will organize a large-scale conference next week where world-renowned experts will speak</v>
      </c>
      <c r="D9275" s="5"/>
      <c r="E9275" s="5"/>
      <c r="F9275" s="5"/>
      <c r="G9275" s="5"/>
      <c r="H9275" s="5"/>
      <c r="I9275" s="5"/>
      <c r="J9275" s="5"/>
      <c r="K9275" s="5"/>
      <c r="L9275" s="5"/>
      <c r="M9275" s="5"/>
      <c r="N9275" s="5"/>
      <c r="O9275" s="5"/>
      <c r="P9275" s="5"/>
      <c r="Q9275" s="5"/>
      <c r="R9275" s="5"/>
      <c r="S9275" s="5"/>
      <c r="T9275" s="5"/>
      <c r="U9275" s="5"/>
      <c r="V9275" s="5"/>
      <c r="W9275" s="5"/>
      <c r="X9275" s="5"/>
      <c r="Y9275" s="5"/>
      <c r="Z9275" s="5"/>
    </row>
    <row r="9276" spans="1:26" ht="15" x14ac:dyDescent="0.25">
      <c r="A9276" s="4" t="s">
        <v>9275</v>
      </c>
      <c r="B9276" s="4" t="s">
        <v>9011</v>
      </c>
      <c r="C9276" s="2" t="str">
        <f ca="1">IFERROR(__xludf.DUMMYFUNCTION("GOOGLETRANSLATE(A9276,""bn"",""en"")"),"I would encourage you to support Kanak's business will surely be a success")</f>
        <v>I would encourage you to support Kanak's business will surely be a success</v>
      </c>
      <c r="D9276" s="5"/>
      <c r="E9276" s="5"/>
      <c r="F9276" s="5"/>
      <c r="G9276" s="5"/>
      <c r="H9276" s="5"/>
      <c r="I9276" s="5"/>
      <c r="J9276" s="5"/>
      <c r="K9276" s="5"/>
      <c r="L9276" s="5"/>
      <c r="M9276" s="5"/>
      <c r="N9276" s="5"/>
      <c r="O9276" s="5"/>
      <c r="P9276" s="5"/>
      <c r="Q9276" s="5"/>
      <c r="R9276" s="5"/>
      <c r="S9276" s="5"/>
      <c r="T9276" s="5"/>
      <c r="U9276" s="5"/>
      <c r="V9276" s="5"/>
      <c r="W9276" s="5"/>
      <c r="X9276" s="5"/>
      <c r="Y9276" s="5"/>
      <c r="Z9276" s="5"/>
    </row>
    <row r="9277" spans="1:26" ht="15" x14ac:dyDescent="0.25">
      <c r="A9277" s="4" t="s">
        <v>9276</v>
      </c>
      <c r="B9277" s="4" t="s">
        <v>9011</v>
      </c>
      <c r="C9277" s="2" t="str">
        <f ca="1">IFERROR(__xludf.DUMMYFUNCTION("GOOGLETRANSLATE(A9277,""bn"",""en"")"),"He will continue to help us")</f>
        <v>He will continue to help us</v>
      </c>
      <c r="D9277" s="5"/>
      <c r="E9277" s="5"/>
      <c r="F9277" s="5"/>
      <c r="G9277" s="5"/>
      <c r="H9277" s="5"/>
      <c r="I9277" s="5"/>
      <c r="J9277" s="5"/>
      <c r="K9277" s="5"/>
      <c r="L9277" s="5"/>
      <c r="M9277" s="5"/>
      <c r="N9277" s="5"/>
      <c r="O9277" s="5"/>
      <c r="P9277" s="5"/>
      <c r="Q9277" s="5"/>
      <c r="R9277" s="5"/>
      <c r="S9277" s="5"/>
      <c r="T9277" s="5"/>
      <c r="U9277" s="5"/>
      <c r="V9277" s="5"/>
      <c r="W9277" s="5"/>
      <c r="X9277" s="5"/>
      <c r="Y9277" s="5"/>
      <c r="Z9277" s="5"/>
    </row>
    <row r="9278" spans="1:26" ht="15" x14ac:dyDescent="0.25">
      <c r="A9278" s="4" t="s">
        <v>9277</v>
      </c>
      <c r="B9278" s="4" t="s">
        <v>9011</v>
      </c>
      <c r="C9278" s="2" t="str">
        <f ca="1">IFERROR(__xludf.DUMMYFUNCTION("GOOGLETRANSLATE(A9278,""bn"",""en"")"),"Your smile will look even more beautiful today, sister-in-law, you will win over everyone with your beautiful smile. Happy marriage.")</f>
        <v>Your smile will look even more beautiful today, sister-in-law, you will win over everyone with your beautiful smile. Happy marriage.</v>
      </c>
      <c r="D9278" s="5"/>
      <c r="E9278" s="5"/>
      <c r="F9278" s="5"/>
      <c r="G9278" s="5"/>
      <c r="H9278" s="5"/>
      <c r="I9278" s="5"/>
      <c r="J9278" s="5"/>
      <c r="K9278" s="5"/>
      <c r="L9278" s="5"/>
      <c r="M9278" s="5"/>
      <c r="N9278" s="5"/>
      <c r="O9278" s="5"/>
      <c r="P9278" s="5"/>
      <c r="Q9278" s="5"/>
      <c r="R9278" s="5"/>
      <c r="S9278" s="5"/>
      <c r="T9278" s="5"/>
      <c r="U9278" s="5"/>
      <c r="V9278" s="5"/>
      <c r="W9278" s="5"/>
      <c r="X9278" s="5"/>
      <c r="Y9278" s="5"/>
      <c r="Z9278" s="5"/>
    </row>
    <row r="9279" spans="1:26" ht="15" x14ac:dyDescent="0.25">
      <c r="A9279" s="4" t="s">
        <v>9278</v>
      </c>
      <c r="B9279" s="4" t="s">
        <v>9011</v>
      </c>
      <c r="C9279" s="2" t="str">
        <f ca="1">IFERROR(__xludf.DUMMYFUNCTION("GOOGLETRANSLATE(A9279,""bn"",""en"")"),"The objective of the project will be to ensure the use of new technologies in this field.")</f>
        <v>The objective of the project will be to ensure the use of new technologies in this field.</v>
      </c>
      <c r="D9279" s="5"/>
      <c r="E9279" s="5"/>
      <c r="F9279" s="5"/>
      <c r="G9279" s="5"/>
      <c r="H9279" s="5"/>
      <c r="I9279" s="5"/>
      <c r="J9279" s="5"/>
      <c r="K9279" s="5"/>
      <c r="L9279" s="5"/>
      <c r="M9279" s="5"/>
      <c r="N9279" s="5"/>
      <c r="O9279" s="5"/>
      <c r="P9279" s="5"/>
      <c r="Q9279" s="5"/>
      <c r="R9279" s="5"/>
      <c r="S9279" s="5"/>
      <c r="T9279" s="5"/>
      <c r="U9279" s="5"/>
      <c r="V9279" s="5"/>
      <c r="W9279" s="5"/>
      <c r="X9279" s="5"/>
      <c r="Y9279" s="5"/>
      <c r="Z9279" s="5"/>
    </row>
    <row r="9280" spans="1:26" ht="15" x14ac:dyDescent="0.25">
      <c r="A9280" s="4" t="s">
        <v>9279</v>
      </c>
      <c r="B9280" s="4" t="s">
        <v>9011</v>
      </c>
      <c r="C9280" s="2" t="str">
        <f ca="1">IFERROR(__xludf.DUMMYFUNCTION("GOOGLETRANSLATE(A9280,""bn"",""en"")"),"I will pray daily in the hope of peace of mind and forgiveness")</f>
        <v>I will pray daily in the hope of peace of mind and forgiveness</v>
      </c>
      <c r="D9280" s="5"/>
      <c r="E9280" s="5"/>
      <c r="F9280" s="5"/>
      <c r="G9280" s="5"/>
      <c r="H9280" s="5"/>
      <c r="I9280" s="5"/>
      <c r="J9280" s="5"/>
      <c r="K9280" s="5"/>
      <c r="L9280" s="5"/>
      <c r="M9280" s="5"/>
      <c r="N9280" s="5"/>
      <c r="O9280" s="5"/>
      <c r="P9280" s="5"/>
      <c r="Q9280" s="5"/>
      <c r="R9280" s="5"/>
      <c r="S9280" s="5"/>
      <c r="T9280" s="5"/>
      <c r="U9280" s="5"/>
      <c r="V9280" s="5"/>
      <c r="W9280" s="5"/>
      <c r="X9280" s="5"/>
      <c r="Y9280" s="5"/>
      <c r="Z9280" s="5"/>
    </row>
    <row r="9281" spans="1:26" ht="15" x14ac:dyDescent="0.25">
      <c r="A9281" s="4" t="s">
        <v>9280</v>
      </c>
      <c r="B9281" s="4" t="s">
        <v>9011</v>
      </c>
      <c r="C9281" s="2" t="str">
        <f ca="1">IFERROR(__xludf.DUMMYFUNCTION("GOOGLETRANSLATE(A9281,""bn"",""en"")"),"The smell of dhun, the color of vermilion, the sight of mother, the memory of Puja will remain forever")</f>
        <v>The smell of dhun, the color of vermilion, the sight of mother, the memory of Puja will remain forever</v>
      </c>
      <c r="D9281" s="5"/>
      <c r="E9281" s="5"/>
      <c r="F9281" s="5"/>
      <c r="G9281" s="5"/>
      <c r="H9281" s="5"/>
      <c r="I9281" s="5"/>
      <c r="J9281" s="5"/>
      <c r="K9281" s="5"/>
      <c r="L9281" s="5"/>
      <c r="M9281" s="5"/>
      <c r="N9281" s="5"/>
      <c r="O9281" s="5"/>
      <c r="P9281" s="5"/>
      <c r="Q9281" s="5"/>
      <c r="R9281" s="5"/>
      <c r="S9281" s="5"/>
      <c r="T9281" s="5"/>
      <c r="U9281" s="5"/>
      <c r="V9281" s="5"/>
      <c r="W9281" s="5"/>
      <c r="X9281" s="5"/>
      <c r="Y9281" s="5"/>
      <c r="Z9281" s="5"/>
    </row>
    <row r="9282" spans="1:26" ht="15" x14ac:dyDescent="0.25">
      <c r="A9282" s="4" t="s">
        <v>9281</v>
      </c>
      <c r="B9282" s="4" t="s">
        <v>9011</v>
      </c>
      <c r="C9282" s="2" t="str">
        <f ca="1">IFERROR(__xludf.DUMMYFUNCTION("GOOGLETRANSLATE(A9282,""bn"",""en"")"),"In the future I will organize a big science fair where new discoveries will be displayed")</f>
        <v>In the future I will organize a big science fair where new discoveries will be displayed</v>
      </c>
      <c r="D9282" s="5"/>
      <c r="E9282" s="5"/>
      <c r="F9282" s="5"/>
      <c r="G9282" s="5"/>
      <c r="H9282" s="5"/>
      <c r="I9282" s="5"/>
      <c r="J9282" s="5"/>
      <c r="K9282" s="5"/>
      <c r="L9282" s="5"/>
      <c r="M9282" s="5"/>
      <c r="N9282" s="5"/>
      <c r="O9282" s="5"/>
      <c r="P9282" s="5"/>
      <c r="Q9282" s="5"/>
      <c r="R9282" s="5"/>
      <c r="S9282" s="5"/>
      <c r="T9282" s="5"/>
      <c r="U9282" s="5"/>
      <c r="V9282" s="5"/>
      <c r="W9282" s="5"/>
      <c r="X9282" s="5"/>
      <c r="Y9282" s="5"/>
      <c r="Z9282" s="5"/>
    </row>
    <row r="9283" spans="1:26" ht="15" x14ac:dyDescent="0.25">
      <c r="A9283" s="4" t="s">
        <v>9282</v>
      </c>
      <c r="B9283" s="4" t="s">
        <v>9011</v>
      </c>
      <c r="C9283" s="2" t="str">
        <f ca="1">IFERROR(__xludf.DUMMYFUNCTION("GOOGLETRANSLATE(A9283,""bn"",""en"")"),"Next month I will learn a new language")</f>
        <v>Next month I will learn a new language</v>
      </c>
      <c r="D9283" s="5"/>
      <c r="E9283" s="5"/>
      <c r="F9283" s="5"/>
      <c r="G9283" s="5"/>
      <c r="H9283" s="5"/>
      <c r="I9283" s="5"/>
      <c r="J9283" s="5"/>
      <c r="K9283" s="5"/>
      <c r="L9283" s="5"/>
      <c r="M9283" s="5"/>
      <c r="N9283" s="5"/>
      <c r="O9283" s="5"/>
      <c r="P9283" s="5"/>
      <c r="Q9283" s="5"/>
      <c r="R9283" s="5"/>
      <c r="S9283" s="5"/>
      <c r="T9283" s="5"/>
      <c r="U9283" s="5"/>
      <c r="V9283" s="5"/>
      <c r="W9283" s="5"/>
      <c r="X9283" s="5"/>
      <c r="Y9283" s="5"/>
      <c r="Z9283" s="5"/>
    </row>
    <row r="9284" spans="1:26" ht="15" x14ac:dyDescent="0.25">
      <c r="A9284" s="4" t="s">
        <v>9283</v>
      </c>
      <c r="B9284" s="4" t="s">
        <v>9011</v>
      </c>
      <c r="C9284" s="2" t="str">
        <f ca="1">IFERROR(__xludf.DUMMYFUNCTION("GOOGLETRANSLATE(A9284,""bn"",""en"")"),"You will stay at home tomorrow")</f>
        <v>You will stay at home tomorrow</v>
      </c>
      <c r="D9284" s="5"/>
      <c r="E9284" s="5"/>
      <c r="F9284" s="5"/>
      <c r="G9284" s="5"/>
      <c r="H9284" s="5"/>
      <c r="I9284" s="5"/>
      <c r="J9284" s="5"/>
      <c r="K9284" s="5"/>
      <c r="L9284" s="5"/>
      <c r="M9284" s="5"/>
      <c r="N9284" s="5"/>
      <c r="O9284" s="5"/>
      <c r="P9284" s="5"/>
      <c r="Q9284" s="5"/>
      <c r="R9284" s="5"/>
      <c r="S9284" s="5"/>
      <c r="T9284" s="5"/>
      <c r="U9284" s="5"/>
      <c r="V9284" s="5"/>
      <c r="W9284" s="5"/>
      <c r="X9284" s="5"/>
      <c r="Y9284" s="5"/>
      <c r="Z9284" s="5"/>
    </row>
    <row r="9285" spans="1:26" ht="15" x14ac:dyDescent="0.25">
      <c r="A9285" s="4" t="s">
        <v>9284</v>
      </c>
      <c r="B9285" s="4" t="s">
        <v>9011</v>
      </c>
      <c r="C9285" s="2" t="str">
        <f ca="1">IFERROR(__xludf.DUMMYFUNCTION("GOOGLETRANSLATE(A9285,""bn"",""en"")"),"They would come back from school and play with us")</f>
        <v>They would come back from school and play with us</v>
      </c>
      <c r="D9285" s="5"/>
      <c r="E9285" s="5"/>
      <c r="F9285" s="5"/>
      <c r="G9285" s="5"/>
      <c r="H9285" s="5"/>
      <c r="I9285" s="5"/>
      <c r="J9285" s="5"/>
      <c r="K9285" s="5"/>
      <c r="L9285" s="5"/>
      <c r="M9285" s="5"/>
      <c r="N9285" s="5"/>
      <c r="O9285" s="5"/>
      <c r="P9285" s="5"/>
      <c r="Q9285" s="5"/>
      <c r="R9285" s="5"/>
      <c r="S9285" s="5"/>
      <c r="T9285" s="5"/>
      <c r="U9285" s="5"/>
      <c r="V9285" s="5"/>
      <c r="W9285" s="5"/>
      <c r="X9285" s="5"/>
      <c r="Y9285" s="5"/>
      <c r="Z9285" s="5"/>
    </row>
    <row r="9286" spans="1:26" ht="15" x14ac:dyDescent="0.25">
      <c r="A9286" s="4" t="s">
        <v>9285</v>
      </c>
      <c r="B9286" s="4" t="s">
        <v>9011</v>
      </c>
      <c r="C9286" s="2" t="str">
        <f ca="1">IFERROR(__xludf.DUMMYFUNCTION("GOOGLETRANSLATE(A9286,""bn"",""en"")"),"Party planning is going on and we will celebrate the success of Shubhar's job")</f>
        <v>Party planning is going on and we will celebrate the success of Shubhar's job</v>
      </c>
      <c r="D9286" s="5"/>
      <c r="E9286" s="5"/>
      <c r="F9286" s="5"/>
      <c r="G9286" s="5"/>
      <c r="H9286" s="5"/>
      <c r="I9286" s="5"/>
      <c r="J9286" s="5"/>
      <c r="K9286" s="5"/>
      <c r="L9286" s="5"/>
      <c r="M9286" s="5"/>
      <c r="N9286" s="5"/>
      <c r="O9286" s="5"/>
      <c r="P9286" s="5"/>
      <c r="Q9286" s="5"/>
      <c r="R9286" s="5"/>
      <c r="S9286" s="5"/>
      <c r="T9286" s="5"/>
      <c r="U9286" s="5"/>
      <c r="V9286" s="5"/>
      <c r="W9286" s="5"/>
      <c r="X9286" s="5"/>
      <c r="Y9286" s="5"/>
      <c r="Z9286" s="5"/>
    </row>
    <row r="9287" spans="1:26" ht="15" x14ac:dyDescent="0.25">
      <c r="A9287" s="4" t="s">
        <v>9286</v>
      </c>
      <c r="B9287" s="4" t="s">
        <v>9011</v>
      </c>
      <c r="C9287" s="2" t="str">
        <f ca="1">IFERROR(__xludf.DUMMYFUNCTION("GOOGLETRANSLATE(A9287,""bn"",""en"")"),"You will meet again next month")</f>
        <v>You will meet again next month</v>
      </c>
      <c r="D9287" s="5"/>
      <c r="E9287" s="5"/>
      <c r="F9287" s="5"/>
      <c r="G9287" s="5"/>
      <c r="H9287" s="5"/>
      <c r="I9287" s="5"/>
      <c r="J9287" s="5"/>
      <c r="K9287" s="5"/>
      <c r="L9287" s="5"/>
      <c r="M9287" s="5"/>
      <c r="N9287" s="5"/>
      <c r="O9287" s="5"/>
      <c r="P9287" s="5"/>
      <c r="Q9287" s="5"/>
      <c r="R9287" s="5"/>
      <c r="S9287" s="5"/>
      <c r="T9287" s="5"/>
      <c r="U9287" s="5"/>
      <c r="V9287" s="5"/>
      <c r="W9287" s="5"/>
      <c r="X9287" s="5"/>
      <c r="Y9287" s="5"/>
      <c r="Z9287" s="5"/>
    </row>
    <row r="9288" spans="1:26" ht="15" x14ac:dyDescent="0.25">
      <c r="A9288" s="4" t="s">
        <v>9287</v>
      </c>
      <c r="B9288" s="4" t="s">
        <v>9011</v>
      </c>
      <c r="C9288" s="2" t="str">
        <f ca="1">IFERROR(__xludf.DUMMYFUNCTION("GOOGLETRANSLATE(A9288,""bn"",""en"")"),"I will celebrate the first day of the new year with everyone")</f>
        <v>I will celebrate the first day of the new year with everyone</v>
      </c>
      <c r="D9288" s="5"/>
      <c r="E9288" s="5"/>
      <c r="F9288" s="5"/>
      <c r="G9288" s="5"/>
      <c r="H9288" s="5"/>
      <c r="I9288" s="5"/>
      <c r="J9288" s="5"/>
      <c r="K9288" s="5"/>
      <c r="L9288" s="5"/>
      <c r="M9288" s="5"/>
      <c r="N9288" s="5"/>
      <c r="O9288" s="5"/>
      <c r="P9288" s="5"/>
      <c r="Q9288" s="5"/>
      <c r="R9288" s="5"/>
      <c r="S9288" s="5"/>
      <c r="T9288" s="5"/>
      <c r="U9288" s="5"/>
      <c r="V9288" s="5"/>
      <c r="W9288" s="5"/>
      <c r="X9288" s="5"/>
      <c r="Y9288" s="5"/>
      <c r="Z9288" s="5"/>
    </row>
    <row r="9289" spans="1:26" ht="15" x14ac:dyDescent="0.25">
      <c r="A9289" s="4" t="s">
        <v>9288</v>
      </c>
      <c r="B9289" s="4" t="s">
        <v>9011</v>
      </c>
      <c r="C9289" s="2" t="str">
        <f ca="1">IFERROR(__xludf.DUMMYFUNCTION("GOOGLETRANSLATE(A9289,""bn"",""en"")"),"You will go abroad next year")</f>
        <v>You will go abroad next year</v>
      </c>
      <c r="D9289" s="5"/>
      <c r="E9289" s="5"/>
      <c r="F9289" s="5"/>
      <c r="G9289" s="5"/>
      <c r="H9289" s="5"/>
      <c r="I9289" s="5"/>
      <c r="J9289" s="5"/>
      <c r="K9289" s="5"/>
      <c r="L9289" s="5"/>
      <c r="M9289" s="5"/>
      <c r="N9289" s="5"/>
      <c r="O9289" s="5"/>
      <c r="P9289" s="5"/>
      <c r="Q9289" s="5"/>
      <c r="R9289" s="5"/>
      <c r="S9289" s="5"/>
      <c r="T9289" s="5"/>
      <c r="U9289" s="5"/>
      <c r="V9289" s="5"/>
      <c r="W9289" s="5"/>
      <c r="X9289" s="5"/>
      <c r="Y9289" s="5"/>
      <c r="Z9289" s="5"/>
    </row>
    <row r="9290" spans="1:26" ht="15" x14ac:dyDescent="0.25">
      <c r="A9290" s="4" t="s">
        <v>9289</v>
      </c>
      <c r="B9290" s="4" t="s">
        <v>9011</v>
      </c>
      <c r="C9290" s="2" t="str">
        <f ca="1">IFERROR(__xludf.DUMMYFUNCTION("GOOGLETRANSLATE(A9290,""bn"",""en"")"),"I will be impressed by the beauty of Sylhet")</f>
        <v>I will be impressed by the beauty of Sylhet</v>
      </c>
      <c r="D9290" s="5"/>
      <c r="E9290" s="5"/>
      <c r="F9290" s="5"/>
      <c r="G9290" s="5"/>
      <c r="H9290" s="5"/>
      <c r="I9290" s="5"/>
      <c r="J9290" s="5"/>
      <c r="K9290" s="5"/>
      <c r="L9290" s="5"/>
      <c r="M9290" s="5"/>
      <c r="N9290" s="5"/>
      <c r="O9290" s="5"/>
      <c r="P9290" s="5"/>
      <c r="Q9290" s="5"/>
      <c r="R9290" s="5"/>
      <c r="S9290" s="5"/>
      <c r="T9290" s="5"/>
      <c r="U9290" s="5"/>
      <c r="V9290" s="5"/>
      <c r="W9290" s="5"/>
      <c r="X9290" s="5"/>
      <c r="Y9290" s="5"/>
      <c r="Z9290" s="5"/>
    </row>
    <row r="9291" spans="1:26" ht="15" x14ac:dyDescent="0.25">
      <c r="A9291" s="4" t="s">
        <v>9290</v>
      </c>
      <c r="B9291" s="4" t="s">
        <v>9011</v>
      </c>
      <c r="C9291" s="2" t="str">
        <f ca="1">IFERROR(__xludf.DUMMYFUNCTION("GOOGLETRANSLATE(A9291,""bn"",""en"")"),"Next vacation I will travel to a new place where I will have new experiences")</f>
        <v>Next vacation I will travel to a new place where I will have new experiences</v>
      </c>
      <c r="D9291" s="5"/>
      <c r="E9291" s="5"/>
      <c r="F9291" s="5"/>
      <c r="G9291" s="5"/>
      <c r="H9291" s="5"/>
      <c r="I9291" s="5"/>
      <c r="J9291" s="5"/>
      <c r="K9291" s="5"/>
      <c r="L9291" s="5"/>
      <c r="M9291" s="5"/>
      <c r="N9291" s="5"/>
      <c r="O9291" s="5"/>
      <c r="P9291" s="5"/>
      <c r="Q9291" s="5"/>
      <c r="R9291" s="5"/>
      <c r="S9291" s="5"/>
      <c r="T9291" s="5"/>
      <c r="U9291" s="5"/>
      <c r="V9291" s="5"/>
      <c r="W9291" s="5"/>
      <c r="X9291" s="5"/>
      <c r="Y9291" s="5"/>
      <c r="Z9291" s="5"/>
    </row>
    <row r="9292" spans="1:26" ht="15" x14ac:dyDescent="0.25">
      <c r="A9292" s="4" t="s">
        <v>9291</v>
      </c>
      <c r="B9292" s="4" t="s">
        <v>9011</v>
      </c>
      <c r="C9292" s="2" t="str">
        <f ca="1">IFERROR(__xludf.DUMMYFUNCTION("GOOGLETRANSLATE(A9292,""bn"",""en"")"),"A loved one's smile can be stopped forever with one click")</f>
        <v>A loved one's smile can be stopped forever with one click</v>
      </c>
      <c r="D9292" s="5"/>
      <c r="E9292" s="5"/>
      <c r="F9292" s="5"/>
      <c r="G9292" s="5"/>
      <c r="H9292" s="5"/>
      <c r="I9292" s="5"/>
      <c r="J9292" s="5"/>
      <c r="K9292" s="5"/>
      <c r="L9292" s="5"/>
      <c r="M9292" s="5"/>
      <c r="N9292" s="5"/>
      <c r="O9292" s="5"/>
      <c r="P9292" s="5"/>
      <c r="Q9292" s="5"/>
      <c r="R9292" s="5"/>
      <c r="S9292" s="5"/>
      <c r="T9292" s="5"/>
      <c r="U9292" s="5"/>
      <c r="V9292" s="5"/>
      <c r="W9292" s="5"/>
      <c r="X9292" s="5"/>
      <c r="Y9292" s="5"/>
      <c r="Z9292" s="5"/>
    </row>
    <row r="9293" spans="1:26" ht="15" x14ac:dyDescent="0.25">
      <c r="A9293" s="4" t="s">
        <v>9292</v>
      </c>
      <c r="B9293" s="4" t="s">
        <v>9011</v>
      </c>
      <c r="C9293" s="2" t="str">
        <f ca="1">IFERROR(__xludf.DUMMYFUNCTION("GOOGLETRANSLATE(A9293,""bn"",""en"")"),"Eating food from mother's hand will be a little more pleasant today")</f>
        <v>Eating food from mother's hand will be a little more pleasant today</v>
      </c>
      <c r="D9293" s="5"/>
      <c r="E9293" s="5"/>
      <c r="F9293" s="5"/>
      <c r="G9293" s="5"/>
      <c r="H9293" s="5"/>
      <c r="I9293" s="5"/>
      <c r="J9293" s="5"/>
      <c r="K9293" s="5"/>
      <c r="L9293" s="5"/>
      <c r="M9293" s="5"/>
      <c r="N9293" s="5"/>
      <c r="O9293" s="5"/>
      <c r="P9293" s="5"/>
      <c r="Q9293" s="5"/>
      <c r="R9293" s="5"/>
      <c r="S9293" s="5"/>
      <c r="T9293" s="5"/>
      <c r="U9293" s="5"/>
      <c r="V9293" s="5"/>
      <c r="W9293" s="5"/>
      <c r="X9293" s="5"/>
      <c r="Y9293" s="5"/>
      <c r="Z9293" s="5"/>
    </row>
    <row r="9294" spans="1:26" ht="15" x14ac:dyDescent="0.25">
      <c r="A9294" s="4" t="s">
        <v>9293</v>
      </c>
      <c r="B9294" s="4" t="s">
        <v>9011</v>
      </c>
      <c r="C9294" s="2" t="str">
        <f ca="1">IFERROR(__xludf.DUMMYFUNCTION("GOOGLETRANSLATE(A9294,""bn"",""en"")"),"In the journey of life, every mistake is a lesson, every failure is an opportunity.")</f>
        <v>In the journey of life, every mistake is a lesson, every failure is an opportunity.</v>
      </c>
      <c r="D9294" s="5"/>
      <c r="E9294" s="5"/>
      <c r="F9294" s="5"/>
      <c r="G9294" s="5"/>
      <c r="H9294" s="5"/>
      <c r="I9294" s="5"/>
      <c r="J9294" s="5"/>
      <c r="K9294" s="5"/>
      <c r="L9294" s="5"/>
      <c r="M9294" s="5"/>
      <c r="N9294" s="5"/>
      <c r="O9294" s="5"/>
      <c r="P9294" s="5"/>
      <c r="Q9294" s="5"/>
      <c r="R9294" s="5"/>
      <c r="S9294" s="5"/>
      <c r="T9294" s="5"/>
      <c r="U9294" s="5"/>
      <c r="V9294" s="5"/>
      <c r="W9294" s="5"/>
      <c r="X9294" s="5"/>
      <c r="Y9294" s="5"/>
      <c r="Z9294" s="5"/>
    </row>
    <row r="9295" spans="1:26" ht="15" x14ac:dyDescent="0.25">
      <c r="A9295" s="4" t="s">
        <v>9294</v>
      </c>
      <c r="B9295" s="4" t="s">
        <v>9011</v>
      </c>
      <c r="C9295" s="2" t="str">
        <f ca="1">IFERROR(__xludf.DUMMYFUNCTION("GOOGLETRANSLATE(A9295,""bn"",""en"")"),"We will continue to work hard to improve the community of our initiative as we reach our goals")</f>
        <v>We will continue to work hard to improve the community of our initiative as we reach our goals</v>
      </c>
      <c r="D9295" s="5"/>
      <c r="E9295" s="5"/>
      <c r="F9295" s="5"/>
      <c r="G9295" s="5"/>
      <c r="H9295" s="5"/>
      <c r="I9295" s="5"/>
      <c r="J9295" s="5"/>
      <c r="K9295" s="5"/>
      <c r="L9295" s="5"/>
      <c r="M9295" s="5"/>
      <c r="N9295" s="5"/>
      <c r="O9295" s="5"/>
      <c r="P9295" s="5"/>
      <c r="Q9295" s="5"/>
      <c r="R9295" s="5"/>
      <c r="S9295" s="5"/>
      <c r="T9295" s="5"/>
      <c r="U9295" s="5"/>
      <c r="V9295" s="5"/>
      <c r="W9295" s="5"/>
      <c r="X9295" s="5"/>
      <c r="Y9295" s="5"/>
      <c r="Z9295" s="5"/>
    </row>
    <row r="9296" spans="1:26" ht="15" x14ac:dyDescent="0.25">
      <c r="A9296" s="4" t="s">
        <v>9295</v>
      </c>
      <c r="B9296" s="4" t="s">
        <v>9011</v>
      </c>
      <c r="C9296" s="2" t="str">
        <f ca="1">IFERROR(__xludf.DUMMYFUNCTION("GOOGLETRANSLATE(A9296,""bn"",""en"")"),"He will realize his dream through education till his overall development when he attends this class")</f>
        <v>He will realize his dream through education till his overall development when he attends this class</v>
      </c>
      <c r="D9296" s="5"/>
      <c r="E9296" s="5"/>
      <c r="F9296" s="5"/>
      <c r="G9296" s="5"/>
      <c r="H9296" s="5"/>
      <c r="I9296" s="5"/>
      <c r="J9296" s="5"/>
      <c r="K9296" s="5"/>
      <c r="L9296" s="5"/>
      <c r="M9296" s="5"/>
      <c r="N9296" s="5"/>
      <c r="O9296" s="5"/>
      <c r="P9296" s="5"/>
      <c r="Q9296" s="5"/>
      <c r="R9296" s="5"/>
      <c r="S9296" s="5"/>
      <c r="T9296" s="5"/>
      <c r="U9296" s="5"/>
      <c r="V9296" s="5"/>
      <c r="W9296" s="5"/>
      <c r="X9296" s="5"/>
      <c r="Y9296" s="5"/>
      <c r="Z9296" s="5"/>
    </row>
    <row r="9297" spans="1:26" ht="15" x14ac:dyDescent="0.25">
      <c r="A9297" s="4" t="s">
        <v>9296</v>
      </c>
      <c r="B9297" s="4" t="s">
        <v>9011</v>
      </c>
      <c r="C9297" s="2" t="str">
        <f ca="1">IFERROR(__xludf.DUMMYFUNCTION("GOOGLETRANSLATE(A9297,""bn"",""en"")"),"I will enjoy seeing the small smile of the lap child")</f>
        <v>I will enjoy seeing the small smile of the lap child</v>
      </c>
      <c r="D9297" s="5"/>
      <c r="E9297" s="5"/>
      <c r="F9297" s="5"/>
      <c r="G9297" s="5"/>
      <c r="H9297" s="5"/>
      <c r="I9297" s="5"/>
      <c r="J9297" s="5"/>
      <c r="K9297" s="5"/>
      <c r="L9297" s="5"/>
      <c r="M9297" s="5"/>
      <c r="N9297" s="5"/>
      <c r="O9297" s="5"/>
      <c r="P9297" s="5"/>
      <c r="Q9297" s="5"/>
      <c r="R9297" s="5"/>
      <c r="S9297" s="5"/>
      <c r="T9297" s="5"/>
      <c r="U9297" s="5"/>
      <c r="V9297" s="5"/>
      <c r="W9297" s="5"/>
      <c r="X9297" s="5"/>
      <c r="Y9297" s="5"/>
      <c r="Z9297" s="5"/>
    </row>
    <row r="9298" spans="1:26" ht="15" x14ac:dyDescent="0.25">
      <c r="A9298" s="4" t="s">
        <v>9297</v>
      </c>
      <c r="B9298" s="4" t="s">
        <v>9011</v>
      </c>
      <c r="C9298" s="2" t="str">
        <f ca="1">IFERROR(__xludf.DUMMYFUNCTION("GOOGLETRANSLATE(A9298,""bn"",""en"")"),"With the arrival of Eid, the world will be filled with excitement as everyone gathers together and rejoices to spend time with each other happily.")</f>
        <v>With the arrival of Eid, the world will be filled with excitement as everyone gathers together and rejoices to spend time with each other happily.</v>
      </c>
      <c r="D9298" s="5"/>
      <c r="E9298" s="5"/>
      <c r="F9298" s="5"/>
      <c r="G9298" s="5"/>
      <c r="H9298" s="5"/>
      <c r="I9298" s="5"/>
      <c r="J9298" s="5"/>
      <c r="K9298" s="5"/>
      <c r="L9298" s="5"/>
      <c r="M9298" s="5"/>
      <c r="N9298" s="5"/>
      <c r="O9298" s="5"/>
      <c r="P9298" s="5"/>
      <c r="Q9298" s="5"/>
      <c r="R9298" s="5"/>
      <c r="S9298" s="5"/>
      <c r="T9298" s="5"/>
      <c r="U9298" s="5"/>
      <c r="V9298" s="5"/>
      <c r="W9298" s="5"/>
      <c r="X9298" s="5"/>
      <c r="Y9298" s="5"/>
      <c r="Z9298" s="5"/>
    </row>
    <row r="9299" spans="1:26" ht="15" x14ac:dyDescent="0.25">
      <c r="A9299" s="4" t="s">
        <v>9298</v>
      </c>
      <c r="B9299" s="4" t="s">
        <v>9011</v>
      </c>
      <c r="C9299" s="2" t="str">
        <f ca="1">IFERROR(__xludf.DUMMYFUNCTION("GOOGLETRANSLATE(A9299,""bn"",""en"")"),"He will conduct a study on advanced health technology next year")</f>
        <v>He will conduct a study on advanced health technology next year</v>
      </c>
      <c r="D9299" s="5"/>
      <c r="E9299" s="5"/>
      <c r="F9299" s="5"/>
      <c r="G9299" s="5"/>
      <c r="H9299" s="5"/>
      <c r="I9299" s="5"/>
      <c r="J9299" s="5"/>
      <c r="K9299" s="5"/>
      <c r="L9299" s="5"/>
      <c r="M9299" s="5"/>
      <c r="N9299" s="5"/>
      <c r="O9299" s="5"/>
      <c r="P9299" s="5"/>
      <c r="Q9299" s="5"/>
      <c r="R9299" s="5"/>
      <c r="S9299" s="5"/>
      <c r="T9299" s="5"/>
      <c r="U9299" s="5"/>
      <c r="V9299" s="5"/>
      <c r="W9299" s="5"/>
      <c r="X9299" s="5"/>
      <c r="Y9299" s="5"/>
      <c r="Z9299" s="5"/>
    </row>
    <row r="9300" spans="1:26" ht="15" x14ac:dyDescent="0.25">
      <c r="A9300" s="4" t="s">
        <v>9299</v>
      </c>
      <c r="B9300" s="4" t="s">
        <v>9011</v>
      </c>
      <c r="C9300" s="2" t="str">
        <f ca="1">IFERROR(__xludf.DUMMYFUNCTION("GOOGLETRANSLATE(A9300,""bn"",""en"")"),"You will be reading a book tomorrow")</f>
        <v>You will be reading a book tomorrow</v>
      </c>
      <c r="D9300" s="5"/>
      <c r="E9300" s="5"/>
      <c r="F9300" s="5"/>
      <c r="G9300" s="5"/>
      <c r="H9300" s="5"/>
      <c r="I9300" s="5"/>
      <c r="J9300" s="5"/>
      <c r="K9300" s="5"/>
      <c r="L9300" s="5"/>
      <c r="M9300" s="5"/>
      <c r="N9300" s="5"/>
      <c r="O9300" s="5"/>
      <c r="P9300" s="5"/>
      <c r="Q9300" s="5"/>
      <c r="R9300" s="5"/>
      <c r="S9300" s="5"/>
      <c r="T9300" s="5"/>
      <c r="U9300" s="5"/>
      <c r="V9300" s="5"/>
      <c r="W9300" s="5"/>
      <c r="X9300" s="5"/>
      <c r="Y9300" s="5"/>
      <c r="Z9300" s="5"/>
    </row>
    <row r="9301" spans="1:26" ht="15" x14ac:dyDescent="0.25">
      <c r="A9301" s="4" t="s">
        <v>9300</v>
      </c>
      <c r="B9301" s="4" t="s">
        <v>9011</v>
      </c>
      <c r="C9301" s="2" t="str">
        <f ca="1">IFERROR(__xludf.DUMMYFUNCTION("GOOGLETRANSLATE(A9301,""bn"",""en"")"),"You will always overcome every challenge and give it your all and I am sure you will do the same in your new job Congratulations")</f>
        <v>You will always overcome every challenge and give it your all and I am sure you will do the same in your new job Congratulations</v>
      </c>
      <c r="D9301" s="5"/>
      <c r="E9301" s="5"/>
      <c r="F9301" s="5"/>
      <c r="G9301" s="5"/>
      <c r="H9301" s="5"/>
      <c r="I9301" s="5"/>
      <c r="J9301" s="5"/>
      <c r="K9301" s="5"/>
      <c r="L9301" s="5"/>
      <c r="M9301" s="5"/>
      <c r="N9301" s="5"/>
      <c r="O9301" s="5"/>
      <c r="P9301" s="5"/>
      <c r="Q9301" s="5"/>
      <c r="R9301" s="5"/>
      <c r="S9301" s="5"/>
      <c r="T9301" s="5"/>
      <c r="U9301" s="5"/>
      <c r="V9301" s="5"/>
      <c r="W9301" s="5"/>
      <c r="X9301" s="5"/>
      <c r="Y9301" s="5"/>
      <c r="Z9301" s="5"/>
    </row>
    <row r="9302" spans="1:26" ht="15" x14ac:dyDescent="0.25">
      <c r="A9302" s="4" t="s">
        <v>9301</v>
      </c>
      <c r="B9302" s="4" t="s">
        <v>9011</v>
      </c>
      <c r="C9302" s="2" t="str">
        <f ca="1">IFERROR(__xludf.DUMMYFUNCTION("GOOGLETRANSLATE(A9302,""bn"",""en"")"),"A Bengali will delight in a chat of sweets and tea")</f>
        <v>A Bengali will delight in a chat of sweets and tea</v>
      </c>
      <c r="D9302" s="5"/>
      <c r="E9302" s="5"/>
      <c r="F9302" s="5"/>
      <c r="G9302" s="5"/>
      <c r="H9302" s="5"/>
      <c r="I9302" s="5"/>
      <c r="J9302" s="5"/>
      <c r="K9302" s="5"/>
      <c r="L9302" s="5"/>
      <c r="M9302" s="5"/>
      <c r="N9302" s="5"/>
      <c r="O9302" s="5"/>
      <c r="P9302" s="5"/>
      <c r="Q9302" s="5"/>
      <c r="R9302" s="5"/>
      <c r="S9302" s="5"/>
      <c r="T9302" s="5"/>
      <c r="U9302" s="5"/>
      <c r="V9302" s="5"/>
      <c r="W9302" s="5"/>
      <c r="X9302" s="5"/>
      <c r="Y9302" s="5"/>
      <c r="Z9302" s="5"/>
    </row>
    <row r="9303" spans="1:26" ht="15" x14ac:dyDescent="0.25">
      <c r="A9303" s="4" t="s">
        <v>9302</v>
      </c>
      <c r="B9303" s="4" t="s">
        <v>9011</v>
      </c>
      <c r="C9303" s="2" t="str">
        <f ca="1">IFERROR(__xludf.DUMMYFUNCTION("GOOGLETRANSLATE(A9303,""bn"",""en"")"),"Next vacation we will visit a famous historical place where we will learn a lot")</f>
        <v>Next vacation we will visit a famous historical place where we will learn a lot</v>
      </c>
      <c r="D9303" s="5"/>
      <c r="E9303" s="5"/>
      <c r="F9303" s="5"/>
      <c r="G9303" s="5"/>
      <c r="H9303" s="5"/>
      <c r="I9303" s="5"/>
      <c r="J9303" s="5"/>
      <c r="K9303" s="5"/>
      <c r="L9303" s="5"/>
      <c r="M9303" s="5"/>
      <c r="N9303" s="5"/>
      <c r="O9303" s="5"/>
      <c r="P9303" s="5"/>
      <c r="Q9303" s="5"/>
      <c r="R9303" s="5"/>
      <c r="S9303" s="5"/>
      <c r="T9303" s="5"/>
      <c r="U9303" s="5"/>
      <c r="V9303" s="5"/>
      <c r="W9303" s="5"/>
      <c r="X9303" s="5"/>
      <c r="Y9303" s="5"/>
      <c r="Z9303" s="5"/>
    </row>
    <row r="9304" spans="1:26" ht="15" x14ac:dyDescent="0.25">
      <c r="A9304" s="4" t="s">
        <v>9303</v>
      </c>
      <c r="B9304" s="4" t="s">
        <v>9011</v>
      </c>
      <c r="C9304" s="2" t="str">
        <f ca="1">IFERROR(__xludf.DUMMYFUNCTION("GOOGLETRANSLATE(A9304,""bn"",""en"")"),"This happiness will be priceless as children will enjoy their parents")</f>
        <v>This happiness will be priceless as children will enjoy their parents</v>
      </c>
      <c r="D9304" s="5"/>
      <c r="E9304" s="5"/>
      <c r="F9304" s="5"/>
      <c r="G9304" s="5"/>
      <c r="H9304" s="5"/>
      <c r="I9304" s="5"/>
      <c r="J9304" s="5"/>
      <c r="K9304" s="5"/>
      <c r="L9304" s="5"/>
      <c r="M9304" s="5"/>
      <c r="N9304" s="5"/>
      <c r="O9304" s="5"/>
      <c r="P9304" s="5"/>
      <c r="Q9304" s="5"/>
      <c r="R9304" s="5"/>
      <c r="S9304" s="5"/>
      <c r="T9304" s="5"/>
      <c r="U9304" s="5"/>
      <c r="V9304" s="5"/>
      <c r="W9304" s="5"/>
      <c r="X9304" s="5"/>
      <c r="Y9304" s="5"/>
      <c r="Z9304" s="5"/>
    </row>
    <row r="9305" spans="1:26" ht="15" x14ac:dyDescent="0.25">
      <c r="A9305" s="4" t="s">
        <v>9304</v>
      </c>
      <c r="B9305" s="4" t="s">
        <v>9011</v>
      </c>
      <c r="C9305" s="2" t="str">
        <f ca="1">IFERROR(__xludf.DUMMYFUNCTION("GOOGLETRANSLATE(A9305,""bn"",""en"")"),"Before coming to freelancing, a brother said that you don't run after money, run after skills, money will come immediately, today I can understand the value of that brother's words.")</f>
        <v>Before coming to freelancing, a brother said that you don't run after money, run after skills, money will come immediately, today I can understand the value of that brother's words.</v>
      </c>
      <c r="D9305" s="5"/>
      <c r="E9305" s="5"/>
      <c r="F9305" s="5"/>
      <c r="G9305" s="5"/>
      <c r="H9305" s="5"/>
      <c r="I9305" s="5"/>
      <c r="J9305" s="5"/>
      <c r="K9305" s="5"/>
      <c r="L9305" s="5"/>
      <c r="M9305" s="5"/>
      <c r="N9305" s="5"/>
      <c r="O9305" s="5"/>
      <c r="P9305" s="5"/>
      <c r="Q9305" s="5"/>
      <c r="R9305" s="5"/>
      <c r="S9305" s="5"/>
      <c r="T9305" s="5"/>
      <c r="U9305" s="5"/>
      <c r="V9305" s="5"/>
      <c r="W9305" s="5"/>
      <c r="X9305" s="5"/>
      <c r="Y9305" s="5"/>
      <c r="Z9305" s="5"/>
    </row>
    <row r="9306" spans="1:26" ht="15" x14ac:dyDescent="0.25">
      <c r="A9306" s="4" t="s">
        <v>9305</v>
      </c>
      <c r="B9306" s="4" t="s">
        <v>9011</v>
      </c>
      <c r="C9306" s="2" t="str">
        <f ca="1">IFERROR(__xludf.DUMMYFUNCTION("GOOGLETRANSLATE(A9306,""bn"",""en"")"),"Today you will get the result of that devotion, congratulations mom for the promotion")</f>
        <v>Today you will get the result of that devotion, congratulations mom for the promotion</v>
      </c>
      <c r="D9306" s="5"/>
      <c r="E9306" s="5"/>
      <c r="F9306" s="5"/>
      <c r="G9306" s="5"/>
      <c r="H9306" s="5"/>
      <c r="I9306" s="5"/>
      <c r="J9306" s="5"/>
      <c r="K9306" s="5"/>
      <c r="L9306" s="5"/>
      <c r="M9306" s="5"/>
      <c r="N9306" s="5"/>
      <c r="O9306" s="5"/>
      <c r="P9306" s="5"/>
      <c r="Q9306" s="5"/>
      <c r="R9306" s="5"/>
      <c r="S9306" s="5"/>
      <c r="T9306" s="5"/>
      <c r="U9306" s="5"/>
      <c r="V9306" s="5"/>
      <c r="W9306" s="5"/>
      <c r="X9306" s="5"/>
      <c r="Y9306" s="5"/>
      <c r="Z9306" s="5"/>
    </row>
    <row r="9307" spans="1:26" ht="15" x14ac:dyDescent="0.25">
      <c r="A9307" s="4" t="s">
        <v>9306</v>
      </c>
      <c r="B9307" s="4" t="s">
        <v>9011</v>
      </c>
      <c r="C9307" s="2" t="str">
        <f ca="1">IFERROR(__xludf.DUMMYFUNCTION("GOOGLETRANSLATE(A9307,""bn"",""en"")"),"I will remember every moment of the day of gratitude to the family")</f>
        <v>I will remember every moment of the day of gratitude to the family</v>
      </c>
      <c r="D9307" s="5"/>
      <c r="E9307" s="5"/>
      <c r="F9307" s="5"/>
      <c r="G9307" s="5"/>
      <c r="H9307" s="5"/>
      <c r="I9307" s="5"/>
      <c r="J9307" s="5"/>
      <c r="K9307" s="5"/>
      <c r="L9307" s="5"/>
      <c r="M9307" s="5"/>
      <c r="N9307" s="5"/>
      <c r="O9307" s="5"/>
      <c r="P9307" s="5"/>
      <c r="Q9307" s="5"/>
      <c r="R9307" s="5"/>
      <c r="S9307" s="5"/>
      <c r="T9307" s="5"/>
      <c r="U9307" s="5"/>
      <c r="V9307" s="5"/>
      <c r="W9307" s="5"/>
      <c r="X9307" s="5"/>
      <c r="Y9307" s="5"/>
      <c r="Z9307" s="5"/>
    </row>
    <row r="9308" spans="1:26" ht="15" x14ac:dyDescent="0.25">
      <c r="A9308" s="4" t="s">
        <v>9307</v>
      </c>
      <c r="B9308" s="4" t="s">
        <v>9011</v>
      </c>
      <c r="C9308" s="2" t="str">
        <f ca="1">IFERROR(__xludf.DUMMYFUNCTION("GOOGLETRANSLATE(A9308,""bn"",""en"")"),"The first Baishakh will be the new spring of Bengal. Happy New Year")</f>
        <v>The first Baishakh will be the new spring of Bengal. Happy New Year</v>
      </c>
      <c r="D9308" s="5"/>
      <c r="E9308" s="5"/>
      <c r="F9308" s="5"/>
      <c r="G9308" s="5"/>
      <c r="H9308" s="5"/>
      <c r="I9308" s="5"/>
      <c r="J9308" s="5"/>
      <c r="K9308" s="5"/>
      <c r="L9308" s="5"/>
      <c r="M9308" s="5"/>
      <c r="N9308" s="5"/>
      <c r="O9308" s="5"/>
      <c r="P9308" s="5"/>
      <c r="Q9308" s="5"/>
      <c r="R9308" s="5"/>
      <c r="S9308" s="5"/>
      <c r="T9308" s="5"/>
      <c r="U9308" s="5"/>
      <c r="V9308" s="5"/>
      <c r="W9308" s="5"/>
      <c r="X9308" s="5"/>
      <c r="Y9308" s="5"/>
      <c r="Z9308" s="5"/>
    </row>
    <row r="9309" spans="1:26" ht="15" x14ac:dyDescent="0.25">
      <c r="A9309" s="4" t="s">
        <v>9308</v>
      </c>
      <c r="B9309" s="4" t="s">
        <v>9011</v>
      </c>
      <c r="C9309" s="2" t="str">
        <f ca="1">IFERROR(__xludf.DUMMYFUNCTION("GOOGLETRANSLATE(A9309,""bn"",""en"")"),"I will go to the library tomorrow morning")</f>
        <v>I will go to the library tomorrow morning</v>
      </c>
      <c r="D9309" s="5"/>
      <c r="E9309" s="5"/>
      <c r="F9309" s="5"/>
      <c r="G9309" s="5"/>
      <c r="H9309" s="5"/>
      <c r="I9309" s="5"/>
      <c r="J9309" s="5"/>
      <c r="K9309" s="5"/>
      <c r="L9309" s="5"/>
      <c r="M9309" s="5"/>
      <c r="N9309" s="5"/>
      <c r="O9309" s="5"/>
      <c r="P9309" s="5"/>
      <c r="Q9309" s="5"/>
      <c r="R9309" s="5"/>
      <c r="S9309" s="5"/>
      <c r="T9309" s="5"/>
      <c r="U9309" s="5"/>
      <c r="V9309" s="5"/>
      <c r="W9309" s="5"/>
      <c r="X9309" s="5"/>
      <c r="Y9309" s="5"/>
      <c r="Z9309" s="5"/>
    </row>
    <row r="9310" spans="1:26" ht="15" x14ac:dyDescent="0.25">
      <c r="A9310" s="4" t="s">
        <v>9309</v>
      </c>
      <c r="B9310" s="4" t="s">
        <v>9011</v>
      </c>
      <c r="C9310" s="2" t="str">
        <f ca="1">IFERROR(__xludf.DUMMYFUNCTION("GOOGLETRANSLATE(A9310,""bn"",""en"")"),"He will be admitted to the university tomorrow.")</f>
        <v>He will be admitted to the university tomorrow.</v>
      </c>
      <c r="D9310" s="5"/>
      <c r="E9310" s="5"/>
      <c r="F9310" s="5"/>
      <c r="G9310" s="5"/>
      <c r="H9310" s="5"/>
      <c r="I9310" s="5"/>
      <c r="J9310" s="5"/>
      <c r="K9310" s="5"/>
      <c r="L9310" s="5"/>
      <c r="M9310" s="5"/>
      <c r="N9310" s="5"/>
      <c r="O9310" s="5"/>
      <c r="P9310" s="5"/>
      <c r="Q9310" s="5"/>
      <c r="R9310" s="5"/>
      <c r="S9310" s="5"/>
      <c r="T9310" s="5"/>
      <c r="U9310" s="5"/>
      <c r="V9310" s="5"/>
      <c r="W9310" s="5"/>
      <c r="X9310" s="5"/>
      <c r="Y9310" s="5"/>
      <c r="Z9310" s="5"/>
    </row>
    <row r="9311" spans="1:26" ht="15" x14ac:dyDescent="0.25">
      <c r="A9311" s="4" t="s">
        <v>9310</v>
      </c>
      <c r="B9311" s="4" t="s">
        <v>9011</v>
      </c>
      <c r="C9311" s="2" t="str">
        <f ca="1">IFERROR(__xludf.DUMMYFUNCTION("GOOGLETRANSLATE(A9311,""bn"",""en"")"),"He will be very active until his success when his dreams come true")</f>
        <v>He will be very active until his success when his dreams come true</v>
      </c>
      <c r="D9311" s="5"/>
      <c r="E9311" s="5"/>
      <c r="F9311" s="5"/>
      <c r="G9311" s="5"/>
      <c r="H9311" s="5"/>
      <c r="I9311" s="5"/>
      <c r="J9311" s="5"/>
      <c r="K9311" s="5"/>
      <c r="L9311" s="5"/>
      <c r="M9311" s="5"/>
      <c r="N9311" s="5"/>
      <c r="O9311" s="5"/>
      <c r="P9311" s="5"/>
      <c r="Q9311" s="5"/>
      <c r="R9311" s="5"/>
      <c r="S9311" s="5"/>
      <c r="T9311" s="5"/>
      <c r="U9311" s="5"/>
      <c r="V9311" s="5"/>
      <c r="W9311" s="5"/>
      <c r="X9311" s="5"/>
      <c r="Y9311" s="5"/>
      <c r="Z9311" s="5"/>
    </row>
    <row r="9312" spans="1:26" ht="15" x14ac:dyDescent="0.25">
      <c r="A9312" s="4" t="s">
        <v>9311</v>
      </c>
      <c r="B9312" s="4" t="s">
        <v>9011</v>
      </c>
      <c r="C9312" s="2" t="str">
        <f ca="1">IFERROR(__xludf.DUMMYFUNCTION("GOOGLETRANSLATE(A9312,""bn"",""en"")"),"It would be nice if the client started discussing new work while delivering the client's work")</f>
        <v>It would be nice if the client started discussing new work while delivering the client's work</v>
      </c>
      <c r="D9312" s="5"/>
      <c r="E9312" s="5"/>
      <c r="F9312" s="5"/>
      <c r="G9312" s="5"/>
      <c r="H9312" s="5"/>
      <c r="I9312" s="5"/>
      <c r="J9312" s="5"/>
      <c r="K9312" s="5"/>
      <c r="L9312" s="5"/>
      <c r="M9312" s="5"/>
      <c r="N9312" s="5"/>
      <c r="O9312" s="5"/>
      <c r="P9312" s="5"/>
      <c r="Q9312" s="5"/>
      <c r="R9312" s="5"/>
      <c r="S9312" s="5"/>
      <c r="T9312" s="5"/>
      <c r="U9312" s="5"/>
      <c r="V9312" s="5"/>
      <c r="W9312" s="5"/>
      <c r="X9312" s="5"/>
      <c r="Y9312" s="5"/>
      <c r="Z9312" s="5"/>
    </row>
    <row r="9313" spans="1:26" ht="15" x14ac:dyDescent="0.25">
      <c r="A9313" s="4" t="s">
        <v>9312</v>
      </c>
      <c r="B9313" s="4" t="s">
        <v>9011</v>
      </c>
      <c r="C9313" s="2" t="str">
        <f ca="1">IFERROR(__xludf.DUMMYFUNCTION("GOOGLETRANSLATE(A9313,""bn"",""en"")"),"Some relationships can't be put into words, have to be felt. Welcome, my little dream")</f>
        <v>Some relationships can't be put into words, have to be felt. Welcome, my little dream</v>
      </c>
      <c r="D9313" s="5"/>
      <c r="E9313" s="5"/>
      <c r="F9313" s="5"/>
      <c r="G9313" s="5"/>
      <c r="H9313" s="5"/>
      <c r="I9313" s="5"/>
      <c r="J9313" s="5"/>
      <c r="K9313" s="5"/>
      <c r="L9313" s="5"/>
      <c r="M9313" s="5"/>
      <c r="N9313" s="5"/>
      <c r="O9313" s="5"/>
      <c r="P9313" s="5"/>
      <c r="Q9313" s="5"/>
      <c r="R9313" s="5"/>
      <c r="S9313" s="5"/>
      <c r="T9313" s="5"/>
      <c r="U9313" s="5"/>
      <c r="V9313" s="5"/>
      <c r="W9313" s="5"/>
      <c r="X9313" s="5"/>
      <c r="Y9313" s="5"/>
      <c r="Z9313" s="5"/>
    </row>
    <row r="9314" spans="1:26" ht="15" x14ac:dyDescent="0.25">
      <c r="A9314" s="4" t="s">
        <v>9313</v>
      </c>
      <c r="B9314" s="4" t="s">
        <v>9011</v>
      </c>
      <c r="C9314" s="2" t="str">
        <f ca="1">IFERROR(__xludf.DUMMYFUNCTION("GOOGLETRANSLATE(A9314,""bn"",""en"")"),"I never thought that friendship would one day turn into such a beautiful relationship into a happy marriage")</f>
        <v>I never thought that friendship would one day turn into such a beautiful relationship into a happy marriage</v>
      </c>
      <c r="D9314" s="5"/>
      <c r="E9314" s="5"/>
      <c r="F9314" s="5"/>
      <c r="G9314" s="5"/>
      <c r="H9314" s="5"/>
      <c r="I9314" s="5"/>
      <c r="J9314" s="5"/>
      <c r="K9314" s="5"/>
      <c r="L9314" s="5"/>
      <c r="M9314" s="5"/>
      <c r="N9314" s="5"/>
      <c r="O9314" s="5"/>
      <c r="P9314" s="5"/>
      <c r="Q9314" s="5"/>
      <c r="R9314" s="5"/>
      <c r="S9314" s="5"/>
      <c r="T9314" s="5"/>
      <c r="U9314" s="5"/>
      <c r="V9314" s="5"/>
      <c r="W9314" s="5"/>
      <c r="X9314" s="5"/>
      <c r="Y9314" s="5"/>
      <c r="Z9314" s="5"/>
    </row>
    <row r="9315" spans="1:26" ht="15" x14ac:dyDescent="0.25">
      <c r="A9315" s="4" t="s">
        <v>9314</v>
      </c>
      <c r="B9315" s="4" t="s">
        <v>9011</v>
      </c>
      <c r="C9315" s="2" t="str">
        <f ca="1">IFERROR(__xludf.DUMMYFUNCTION("GOOGLETRANSLATE(A9315,""bn"",""en"")"),"Mother Durga will awaken strength in all of us Happy Durga Puja")</f>
        <v>Mother Durga will awaken strength in all of us Happy Durga Puja</v>
      </c>
      <c r="D9315" s="5"/>
      <c r="E9315" s="5"/>
      <c r="F9315" s="5"/>
      <c r="G9315" s="5"/>
      <c r="H9315" s="5"/>
      <c r="I9315" s="5"/>
      <c r="J9315" s="5"/>
      <c r="K9315" s="5"/>
      <c r="L9315" s="5"/>
      <c r="M9315" s="5"/>
      <c r="N9315" s="5"/>
      <c r="O9315" s="5"/>
      <c r="P9315" s="5"/>
      <c r="Q9315" s="5"/>
      <c r="R9315" s="5"/>
      <c r="S9315" s="5"/>
      <c r="T9315" s="5"/>
      <c r="U9315" s="5"/>
      <c r="V9315" s="5"/>
      <c r="W9315" s="5"/>
      <c r="X9315" s="5"/>
      <c r="Y9315" s="5"/>
      <c r="Z9315" s="5"/>
    </row>
    <row r="9316" spans="1:26" ht="15" x14ac:dyDescent="0.25">
      <c r="A9316" s="4" t="s">
        <v>9315</v>
      </c>
      <c r="B9316" s="4" t="s">
        <v>9011</v>
      </c>
      <c r="C9316" s="2" t="str">
        <f ca="1">IFERROR(__xludf.DUMMYFUNCTION("GOOGLETRANSLATE(A9316,""bn"",""en"")"),"Next month we will learn a new technology that will make our production process more efficient")</f>
        <v>Next month we will learn a new technology that will make our production process more efficient</v>
      </c>
      <c r="D9316" s="5"/>
      <c r="E9316" s="5"/>
      <c r="F9316" s="5"/>
      <c r="G9316" s="5"/>
      <c r="H9316" s="5"/>
      <c r="I9316" s="5"/>
      <c r="J9316" s="5"/>
      <c r="K9316" s="5"/>
      <c r="L9316" s="5"/>
      <c r="M9316" s="5"/>
      <c r="N9316" s="5"/>
      <c r="O9316" s="5"/>
      <c r="P9316" s="5"/>
      <c r="Q9316" s="5"/>
      <c r="R9316" s="5"/>
      <c r="S9316" s="5"/>
      <c r="T9316" s="5"/>
      <c r="U9316" s="5"/>
      <c r="V9316" s="5"/>
      <c r="W9316" s="5"/>
      <c r="X9316" s="5"/>
      <c r="Y9316" s="5"/>
      <c r="Z9316" s="5"/>
    </row>
    <row r="9317" spans="1:26" ht="15" x14ac:dyDescent="0.25">
      <c r="A9317" s="4" t="s">
        <v>9316</v>
      </c>
      <c r="B9317" s="4" t="s">
        <v>9011</v>
      </c>
      <c r="C9317" s="2" t="str">
        <f ca="1">IFERROR(__xludf.DUMMYFUNCTION("GOOGLETRANSLATE(A9317,""bn"",""en"")"),"We will be using technology when we solve technical problems")</f>
        <v>We will be using technology when we solve technical problems</v>
      </c>
      <c r="D9317" s="5"/>
      <c r="E9317" s="5"/>
      <c r="F9317" s="5"/>
      <c r="G9317" s="5"/>
      <c r="H9317" s="5"/>
      <c r="I9317" s="5"/>
      <c r="J9317" s="5"/>
      <c r="K9317" s="5"/>
      <c r="L9317" s="5"/>
      <c r="M9317" s="5"/>
      <c r="N9317" s="5"/>
      <c r="O9317" s="5"/>
      <c r="P9317" s="5"/>
      <c r="Q9317" s="5"/>
      <c r="R9317" s="5"/>
      <c r="S9317" s="5"/>
      <c r="T9317" s="5"/>
      <c r="U9317" s="5"/>
      <c r="V9317" s="5"/>
      <c r="W9317" s="5"/>
      <c r="X9317" s="5"/>
      <c r="Y9317" s="5"/>
      <c r="Z9317" s="5"/>
    </row>
    <row r="9318" spans="1:26" ht="15" x14ac:dyDescent="0.25">
      <c r="A9318" s="4" t="s">
        <v>9317</v>
      </c>
      <c r="B9318" s="4" t="s">
        <v>9011</v>
      </c>
      <c r="C9318" s="2" t="str">
        <f ca="1">IFERROR(__xludf.DUMMYFUNCTION("GOOGLETRANSLATE(A9318,""bn"",""en"")"),"Pahela Boishakh, the great festival of Bengali culture, I wish everyone a Happy New Year")</f>
        <v>Pahela Boishakh, the great festival of Bengali culture, I wish everyone a Happy New Year</v>
      </c>
      <c r="D9318" s="5"/>
      <c r="E9318" s="5"/>
      <c r="F9318" s="5"/>
      <c r="G9318" s="5"/>
      <c r="H9318" s="5"/>
      <c r="I9318" s="5"/>
      <c r="J9318" s="5"/>
      <c r="K9318" s="5"/>
      <c r="L9318" s="5"/>
      <c r="M9318" s="5"/>
      <c r="N9318" s="5"/>
      <c r="O9318" s="5"/>
      <c r="P9318" s="5"/>
      <c r="Q9318" s="5"/>
      <c r="R9318" s="5"/>
      <c r="S9318" s="5"/>
      <c r="T9318" s="5"/>
      <c r="U9318" s="5"/>
      <c r="V9318" s="5"/>
      <c r="W9318" s="5"/>
      <c r="X9318" s="5"/>
      <c r="Y9318" s="5"/>
      <c r="Z9318" s="5"/>
    </row>
    <row r="9319" spans="1:26" ht="15" x14ac:dyDescent="0.25">
      <c r="A9319" s="4" t="s">
        <v>9318</v>
      </c>
      <c r="B9319" s="4" t="s">
        <v>9011</v>
      </c>
      <c r="C9319" s="2" t="str">
        <f ca="1">IFERROR(__xludf.DUMMYFUNCTION("GOOGLETRANSLATE(A9319,""bn"",""en"")"),"First love story will be special in school life")</f>
        <v>First love story will be special in school life</v>
      </c>
      <c r="D9319" s="5"/>
      <c r="E9319" s="5"/>
      <c r="F9319" s="5"/>
      <c r="G9319" s="5"/>
      <c r="H9319" s="5"/>
      <c r="I9319" s="5"/>
      <c r="J9319" s="5"/>
      <c r="K9319" s="5"/>
      <c r="L9319" s="5"/>
      <c r="M9319" s="5"/>
      <c r="N9319" s="5"/>
      <c r="O9319" s="5"/>
      <c r="P9319" s="5"/>
      <c r="Q9319" s="5"/>
      <c r="R9319" s="5"/>
      <c r="S9319" s="5"/>
      <c r="T9319" s="5"/>
      <c r="U9319" s="5"/>
      <c r="V9319" s="5"/>
      <c r="W9319" s="5"/>
      <c r="X9319" s="5"/>
      <c r="Y9319" s="5"/>
      <c r="Z9319" s="5"/>
    </row>
    <row r="9320" spans="1:26" ht="15" x14ac:dyDescent="0.25">
      <c r="A9320" s="4" t="s">
        <v>9319</v>
      </c>
      <c r="B9320" s="4" t="s">
        <v>9011</v>
      </c>
      <c r="C9320" s="2" t="str">
        <f ca="1">IFERROR(__xludf.DUMMYFUNCTION("GOOGLETRANSLATE(A9320,""bn"",""en"")"),"I will get a big reward when I complete my research project")</f>
        <v>I will get a big reward when I complete my research project</v>
      </c>
      <c r="D9320" s="5"/>
      <c r="E9320" s="5"/>
      <c r="F9320" s="5"/>
      <c r="G9320" s="5"/>
      <c r="H9320" s="5"/>
      <c r="I9320" s="5"/>
      <c r="J9320" s="5"/>
      <c r="K9320" s="5"/>
      <c r="L9320" s="5"/>
      <c r="M9320" s="5"/>
      <c r="N9320" s="5"/>
      <c r="O9320" s="5"/>
      <c r="P9320" s="5"/>
      <c r="Q9320" s="5"/>
      <c r="R9320" s="5"/>
      <c r="S9320" s="5"/>
      <c r="T9320" s="5"/>
      <c r="U9320" s="5"/>
      <c r="V9320" s="5"/>
      <c r="W9320" s="5"/>
      <c r="X9320" s="5"/>
      <c r="Y9320" s="5"/>
      <c r="Z9320" s="5"/>
    </row>
    <row r="9321" spans="1:26" ht="15" x14ac:dyDescent="0.25">
      <c r="A9321" s="4" t="s">
        <v>9320</v>
      </c>
      <c r="B9321" s="4" t="s">
        <v>9011</v>
      </c>
      <c r="C9321" s="2" t="str">
        <f ca="1">IFERROR(__xludf.DUMMYFUNCTION("GOOGLETRANSLATE(A9321,""bn"",""en"")"),"Tomorrow we will have a research workshop on better education technology")</f>
        <v>Tomorrow we will have a research workshop on better education technology</v>
      </c>
      <c r="D9321" s="5"/>
      <c r="E9321" s="5"/>
      <c r="F9321" s="5"/>
      <c r="G9321" s="5"/>
      <c r="H9321" s="5"/>
      <c r="I9321" s="5"/>
      <c r="J9321" s="5"/>
      <c r="K9321" s="5"/>
      <c r="L9321" s="5"/>
      <c r="M9321" s="5"/>
      <c r="N9321" s="5"/>
      <c r="O9321" s="5"/>
      <c r="P9321" s="5"/>
      <c r="Q9321" s="5"/>
      <c r="R9321" s="5"/>
      <c r="S9321" s="5"/>
      <c r="T9321" s="5"/>
      <c r="U9321" s="5"/>
      <c r="V9321" s="5"/>
      <c r="W9321" s="5"/>
      <c r="X9321" s="5"/>
      <c r="Y9321" s="5"/>
      <c r="Z9321" s="5"/>
    </row>
    <row r="9322" spans="1:26" ht="15" x14ac:dyDescent="0.25">
      <c r="A9322" s="4" t="s">
        <v>9321</v>
      </c>
      <c r="B9322" s="4" t="s">
        <v>9011</v>
      </c>
      <c r="C9322" s="2" t="str">
        <f ca="1">IFERROR(__xludf.DUMMYFUNCTION("GOOGLETRANSLATE(A9322,""bn"",""en"")"),"Classes will be canceled and I will get a chance to use this vacation")</f>
        <v>Classes will be canceled and I will get a chance to use this vacation</v>
      </c>
      <c r="D9322" s="5"/>
      <c r="E9322" s="5"/>
      <c r="F9322" s="5"/>
      <c r="G9322" s="5"/>
      <c r="H9322" s="5"/>
      <c r="I9322" s="5"/>
      <c r="J9322" s="5"/>
      <c r="K9322" s="5"/>
      <c r="L9322" s="5"/>
      <c r="M9322" s="5"/>
      <c r="N9322" s="5"/>
      <c r="O9322" s="5"/>
      <c r="P9322" s="5"/>
      <c r="Q9322" s="5"/>
      <c r="R9322" s="5"/>
      <c r="S9322" s="5"/>
      <c r="T9322" s="5"/>
      <c r="U9322" s="5"/>
      <c r="V9322" s="5"/>
      <c r="W9322" s="5"/>
      <c r="X9322" s="5"/>
      <c r="Y9322" s="5"/>
      <c r="Z9322" s="5"/>
    </row>
    <row r="9323" spans="1:26" ht="15" x14ac:dyDescent="0.25">
      <c r="A9323" s="4" t="s">
        <v>9322</v>
      </c>
      <c r="B9323" s="4" t="s">
        <v>9011</v>
      </c>
      <c r="C9323" s="2" t="str">
        <f ca="1">IFERROR(__xludf.DUMMYFUNCTION("GOOGLETRANSLATE(A9323,""bn"",""en"")"),"The face of joy Author Jagadish Chandra Bose reading the book, the mind will merge with the joy of prosperity.")</f>
        <v>The face of joy Author Jagadish Chandra Bose reading the book, the mind will merge with the joy of prosperity.</v>
      </c>
      <c r="D9323" s="5"/>
      <c r="E9323" s="5"/>
      <c r="F9323" s="5"/>
      <c r="G9323" s="5"/>
      <c r="H9323" s="5"/>
      <c r="I9323" s="5"/>
      <c r="J9323" s="5"/>
      <c r="K9323" s="5"/>
      <c r="L9323" s="5"/>
      <c r="M9323" s="5"/>
      <c r="N9323" s="5"/>
      <c r="O9323" s="5"/>
      <c r="P9323" s="5"/>
      <c r="Q9323" s="5"/>
      <c r="R9323" s="5"/>
      <c r="S9323" s="5"/>
      <c r="T9323" s="5"/>
      <c r="U9323" s="5"/>
      <c r="V9323" s="5"/>
      <c r="W9323" s="5"/>
      <c r="X9323" s="5"/>
      <c r="Y9323" s="5"/>
      <c r="Z9323" s="5"/>
    </row>
    <row r="9324" spans="1:26" ht="15" x14ac:dyDescent="0.25">
      <c r="A9324" s="4" t="s">
        <v>9323</v>
      </c>
      <c r="B9324" s="4" t="s">
        <v>9011</v>
      </c>
      <c r="C9324" s="2" t="str">
        <f ca="1">IFERROR(__xludf.DUMMYFUNCTION("GOOGLETRANSLATE(A9324,""bn"",""en"")"),"After many days, I will go for a walk tomorrow")</f>
        <v>After many days, I will go for a walk tomorrow</v>
      </c>
      <c r="D9324" s="5"/>
      <c r="E9324" s="5"/>
      <c r="F9324" s="5"/>
      <c r="G9324" s="5"/>
      <c r="H9324" s="5"/>
      <c r="I9324" s="5"/>
      <c r="J9324" s="5"/>
      <c r="K9324" s="5"/>
      <c r="L9324" s="5"/>
      <c r="M9324" s="5"/>
      <c r="N9324" s="5"/>
      <c r="O9324" s="5"/>
      <c r="P9324" s="5"/>
      <c r="Q9324" s="5"/>
      <c r="R9324" s="5"/>
      <c r="S9324" s="5"/>
      <c r="T9324" s="5"/>
      <c r="U9324" s="5"/>
      <c r="V9324" s="5"/>
      <c r="W9324" s="5"/>
      <c r="X9324" s="5"/>
      <c r="Y9324" s="5"/>
      <c r="Z9324" s="5"/>
    </row>
    <row r="9325" spans="1:26" ht="15" x14ac:dyDescent="0.25">
      <c r="A9325" s="4" t="s">
        <v>9324</v>
      </c>
      <c r="B9325" s="4" t="s">
        <v>9011</v>
      </c>
      <c r="C9325" s="2" t="str">
        <f ca="1">IFERROR(__xludf.DUMMYFUNCTION("GOOGLETRANSLATE(A9325,""bn"",""en"")"),"I will know my responsibility as a brother and I will be by your side when needed")</f>
        <v>I will know my responsibility as a brother and I will be by your side when needed</v>
      </c>
      <c r="D9325" s="5"/>
      <c r="E9325" s="5"/>
      <c r="F9325" s="5"/>
      <c r="G9325" s="5"/>
      <c r="H9325" s="5"/>
      <c r="I9325" s="5"/>
      <c r="J9325" s="5"/>
      <c r="K9325" s="5"/>
      <c r="L9325" s="5"/>
      <c r="M9325" s="5"/>
      <c r="N9325" s="5"/>
      <c r="O9325" s="5"/>
      <c r="P9325" s="5"/>
      <c r="Q9325" s="5"/>
      <c r="R9325" s="5"/>
      <c r="S9325" s="5"/>
      <c r="T9325" s="5"/>
      <c r="U9325" s="5"/>
      <c r="V9325" s="5"/>
      <c r="W9325" s="5"/>
      <c r="X9325" s="5"/>
      <c r="Y9325" s="5"/>
      <c r="Z9325" s="5"/>
    </row>
    <row r="9326" spans="1:26" ht="15" x14ac:dyDescent="0.25">
      <c r="A9326" s="4" t="s">
        <v>9325</v>
      </c>
      <c r="B9326" s="4" t="s">
        <v>9011</v>
      </c>
      <c r="C9326" s="2" t="str">
        <f ca="1">IFERROR(__xludf.DUMMYFUNCTION("GOOGLETRANSLATE(A9326,""bn"",""en"")"),"Looking at the sky, it seems that all the worries of the mind will disappear")</f>
        <v>Looking at the sky, it seems that all the worries of the mind will disappear</v>
      </c>
      <c r="D9326" s="5"/>
      <c r="E9326" s="5"/>
      <c r="F9326" s="5"/>
      <c r="G9326" s="5"/>
      <c r="H9326" s="5"/>
      <c r="I9326" s="5"/>
      <c r="J9326" s="5"/>
      <c r="K9326" s="5"/>
      <c r="L9326" s="5"/>
      <c r="M9326" s="5"/>
      <c r="N9326" s="5"/>
      <c r="O9326" s="5"/>
      <c r="P9326" s="5"/>
      <c r="Q9326" s="5"/>
      <c r="R9326" s="5"/>
      <c r="S9326" s="5"/>
      <c r="T9326" s="5"/>
      <c r="U9326" s="5"/>
      <c r="V9326" s="5"/>
      <c r="W9326" s="5"/>
      <c r="X9326" s="5"/>
      <c r="Y9326" s="5"/>
      <c r="Z9326" s="5"/>
    </row>
    <row r="9327" spans="1:26" ht="15" x14ac:dyDescent="0.25">
      <c r="A9327" s="4" t="s">
        <v>9326</v>
      </c>
      <c r="B9327" s="4" t="s">
        <v>9011</v>
      </c>
      <c r="C9327" s="2" t="str">
        <f ca="1">IFERROR(__xludf.DUMMYFUNCTION("GOOGLETRANSLATE(A9327,""bn"",""en"")"),"I will create an app to find shelter for the homeless")</f>
        <v>I will create an app to find shelter for the homeless</v>
      </c>
      <c r="D9327" s="5"/>
      <c r="E9327" s="5"/>
      <c r="F9327" s="5"/>
      <c r="G9327" s="5"/>
      <c r="H9327" s="5"/>
      <c r="I9327" s="5"/>
      <c r="J9327" s="5"/>
      <c r="K9327" s="5"/>
      <c r="L9327" s="5"/>
      <c r="M9327" s="5"/>
      <c r="N9327" s="5"/>
      <c r="O9327" s="5"/>
      <c r="P9327" s="5"/>
      <c r="Q9327" s="5"/>
      <c r="R9327" s="5"/>
      <c r="S9327" s="5"/>
      <c r="T9327" s="5"/>
      <c r="U9327" s="5"/>
      <c r="V9327" s="5"/>
      <c r="W9327" s="5"/>
      <c r="X9327" s="5"/>
      <c r="Y9327" s="5"/>
      <c r="Z9327" s="5"/>
    </row>
    <row r="9328" spans="1:26" ht="15" x14ac:dyDescent="0.25">
      <c r="A9328" s="4" t="s">
        <v>9327</v>
      </c>
      <c r="B9328" s="4" t="s">
        <v>9011</v>
      </c>
      <c r="C9328" s="2" t="str">
        <f ca="1">IFERROR(__xludf.DUMMYFUNCTION("GOOGLETRANSLATE(A9328,""bn"",""en"")"),"Each picture will be a story you will want to hear")</f>
        <v>Each picture will be a story you will want to hear</v>
      </c>
      <c r="D9328" s="5"/>
      <c r="E9328" s="5"/>
      <c r="F9328" s="5"/>
      <c r="G9328" s="5"/>
      <c r="H9328" s="5"/>
      <c r="I9328" s="5"/>
      <c r="J9328" s="5"/>
      <c r="K9328" s="5"/>
      <c r="L9328" s="5"/>
      <c r="M9328" s="5"/>
      <c r="N9328" s="5"/>
      <c r="O9328" s="5"/>
      <c r="P9328" s="5"/>
      <c r="Q9328" s="5"/>
      <c r="R9328" s="5"/>
      <c r="S9328" s="5"/>
      <c r="T9328" s="5"/>
      <c r="U9328" s="5"/>
      <c r="V9328" s="5"/>
      <c r="W9328" s="5"/>
      <c r="X9328" s="5"/>
      <c r="Y9328" s="5"/>
      <c r="Z9328" s="5"/>
    </row>
    <row r="9329" spans="1:26" ht="15" x14ac:dyDescent="0.25">
      <c r="A9329" s="4" t="s">
        <v>9328</v>
      </c>
      <c r="B9329" s="4" t="s">
        <v>9011</v>
      </c>
      <c r="C9329" s="2" t="str">
        <f ca="1">IFERROR(__xludf.DUMMYFUNCTION("GOOGLETRANSLATE(A9329,""bn"",""en"")"),"Best regards I will be very happy for your success")</f>
        <v>Best regards I will be very happy for your success</v>
      </c>
      <c r="D9329" s="5"/>
      <c r="E9329" s="5"/>
      <c r="F9329" s="5"/>
      <c r="G9329" s="5"/>
      <c r="H9329" s="5"/>
      <c r="I9329" s="5"/>
      <c r="J9329" s="5"/>
      <c r="K9329" s="5"/>
      <c r="L9329" s="5"/>
      <c r="M9329" s="5"/>
      <c r="N9329" s="5"/>
      <c r="O9329" s="5"/>
      <c r="P9329" s="5"/>
      <c r="Q9329" s="5"/>
      <c r="R9329" s="5"/>
      <c r="S9329" s="5"/>
      <c r="T9329" s="5"/>
      <c r="U9329" s="5"/>
      <c r="V9329" s="5"/>
      <c r="W9329" s="5"/>
      <c r="X9329" s="5"/>
      <c r="Y9329" s="5"/>
      <c r="Z9329" s="5"/>
    </row>
    <row r="9330" spans="1:26" ht="15" x14ac:dyDescent="0.25">
      <c r="A9330" s="4" t="s">
        <v>9329</v>
      </c>
      <c r="B9330" s="4" t="s">
        <v>9011</v>
      </c>
      <c r="C9330" s="2" t="str">
        <f ca="1">IFERROR(__xludf.DUMMYFUNCTION("GOOGLETRANSLATE(A9330,""bn"",""en"")"),"In the future I will build a big social organization that will work for the betterment of the society")</f>
        <v>In the future I will build a big social organization that will work for the betterment of the society</v>
      </c>
      <c r="D9330" s="5"/>
      <c r="E9330" s="5"/>
      <c r="F9330" s="5"/>
      <c r="G9330" s="5"/>
      <c r="H9330" s="5"/>
      <c r="I9330" s="5"/>
      <c r="J9330" s="5"/>
      <c r="K9330" s="5"/>
      <c r="L9330" s="5"/>
      <c r="M9330" s="5"/>
      <c r="N9330" s="5"/>
      <c r="O9330" s="5"/>
      <c r="P9330" s="5"/>
      <c r="Q9330" s="5"/>
      <c r="R9330" s="5"/>
      <c r="S9330" s="5"/>
      <c r="T9330" s="5"/>
      <c r="U9330" s="5"/>
      <c r="V9330" s="5"/>
      <c r="W9330" s="5"/>
      <c r="X9330" s="5"/>
      <c r="Y9330" s="5"/>
      <c r="Z9330" s="5"/>
    </row>
    <row r="9331" spans="1:26" ht="15" x14ac:dyDescent="0.25">
      <c r="A9331" s="4" t="s">
        <v>9330</v>
      </c>
      <c r="B9331" s="4" t="s">
        <v>9011</v>
      </c>
      <c r="C9331" s="2" t="str">
        <f ca="1">IFERROR(__xludf.DUMMYFUNCTION("GOOGLETRANSLATE(A9331,""bn"",""en"")"),"I will be starting a huge technology project next year")</f>
        <v>I will be starting a huge technology project next year</v>
      </c>
      <c r="D9331" s="5"/>
      <c r="E9331" s="5"/>
      <c r="F9331" s="5"/>
      <c r="G9331" s="5"/>
      <c r="H9331" s="5"/>
      <c r="I9331" s="5"/>
      <c r="J9331" s="5"/>
      <c r="K9331" s="5"/>
      <c r="L9331" s="5"/>
      <c r="M9331" s="5"/>
      <c r="N9331" s="5"/>
      <c r="O9331" s="5"/>
      <c r="P9331" s="5"/>
      <c r="Q9331" s="5"/>
      <c r="R9331" s="5"/>
      <c r="S9331" s="5"/>
      <c r="T9331" s="5"/>
      <c r="U9331" s="5"/>
      <c r="V9331" s="5"/>
      <c r="W9331" s="5"/>
      <c r="X9331" s="5"/>
      <c r="Y9331" s="5"/>
      <c r="Z9331" s="5"/>
    </row>
    <row r="9332" spans="1:26" ht="15" x14ac:dyDescent="0.25">
      <c r="A9332" s="4" t="s">
        <v>9331</v>
      </c>
      <c r="B9332" s="4" t="s">
        <v>9011</v>
      </c>
      <c r="C9332" s="2" t="str">
        <f ca="1">IFERROR(__xludf.DUMMYFUNCTION("GOOGLETRANSLATE(A9332,""bn"",""en"")"),"When we have time, all the family will travel together")</f>
        <v>When we have time, all the family will travel together</v>
      </c>
      <c r="D9332" s="5"/>
      <c r="E9332" s="5"/>
      <c r="F9332" s="5"/>
      <c r="G9332" s="5"/>
      <c r="H9332" s="5"/>
      <c r="I9332" s="5"/>
      <c r="J9332" s="5"/>
      <c r="K9332" s="5"/>
      <c r="L9332" s="5"/>
      <c r="M9332" s="5"/>
      <c r="N9332" s="5"/>
      <c r="O9332" s="5"/>
      <c r="P9332" s="5"/>
      <c r="Q9332" s="5"/>
      <c r="R9332" s="5"/>
      <c r="S9332" s="5"/>
      <c r="T9332" s="5"/>
      <c r="U9332" s="5"/>
      <c r="V9332" s="5"/>
      <c r="W9332" s="5"/>
      <c r="X9332" s="5"/>
      <c r="Y9332" s="5"/>
      <c r="Z9332" s="5"/>
    </row>
    <row r="9333" spans="1:26" ht="15" x14ac:dyDescent="0.25">
      <c r="A9333" s="4" t="s">
        <v>9332</v>
      </c>
      <c r="B9333" s="4" t="s">
        <v>9011</v>
      </c>
      <c r="C9333" s="2" t="str">
        <f ca="1">IFERROR(__xludf.DUMMYFUNCTION("GOOGLETRANSLATE(A9333,""bn"",""en"")"),"A few days later, Nvidia's shares skyrocketed")</f>
        <v>A few days later, Nvidia's shares skyrocketed</v>
      </c>
      <c r="D9333" s="5"/>
      <c r="E9333" s="5"/>
      <c r="F9333" s="5"/>
      <c r="G9333" s="5"/>
      <c r="H9333" s="5"/>
      <c r="I9333" s="5"/>
      <c r="J9333" s="5"/>
      <c r="K9333" s="5"/>
      <c r="L9333" s="5"/>
      <c r="M9333" s="5"/>
      <c r="N9333" s="5"/>
      <c r="O9333" s="5"/>
      <c r="P9333" s="5"/>
      <c r="Q9333" s="5"/>
      <c r="R9333" s="5"/>
      <c r="S9333" s="5"/>
      <c r="T9333" s="5"/>
      <c r="U9333" s="5"/>
      <c r="V9333" s="5"/>
      <c r="W9333" s="5"/>
      <c r="X9333" s="5"/>
      <c r="Y9333" s="5"/>
      <c r="Z9333" s="5"/>
    </row>
    <row r="9334" spans="1:26" ht="15" x14ac:dyDescent="0.25">
      <c r="A9334" s="4" t="s">
        <v>9333</v>
      </c>
      <c r="B9334" s="4" t="s">
        <v>9011</v>
      </c>
      <c r="C9334" s="2" t="str">
        <f ca="1">IFERROR(__xludf.DUMMYFUNCTION("GOOGLETRANSLATE(A9334,""bn"",""en"")"),"I will buy a dream house for my family.")</f>
        <v>I will buy a dream house for my family.</v>
      </c>
      <c r="D9334" s="5"/>
      <c r="E9334" s="5"/>
      <c r="F9334" s="5"/>
      <c r="G9334" s="5"/>
      <c r="H9334" s="5"/>
      <c r="I9334" s="5"/>
      <c r="J9334" s="5"/>
      <c r="K9334" s="5"/>
      <c r="L9334" s="5"/>
      <c r="M9334" s="5"/>
      <c r="N9334" s="5"/>
      <c r="O9334" s="5"/>
      <c r="P9334" s="5"/>
      <c r="Q9334" s="5"/>
      <c r="R9334" s="5"/>
      <c r="S9334" s="5"/>
      <c r="T9334" s="5"/>
      <c r="U9334" s="5"/>
      <c r="V9334" s="5"/>
      <c r="W9334" s="5"/>
      <c r="X9334" s="5"/>
      <c r="Y9334" s="5"/>
      <c r="Z9334" s="5"/>
    </row>
    <row r="9335" spans="1:26" ht="15" x14ac:dyDescent="0.25">
      <c r="A9335" s="4" t="s">
        <v>9334</v>
      </c>
      <c r="B9335" s="4" t="s">
        <v>9011</v>
      </c>
      <c r="C9335" s="2" t="str">
        <f ca="1">IFERROR(__xludf.DUMMYFUNCTION("GOOGLETRANSLATE(A9335,""bn"",""en"")"),"In the new year we will create a beautiful garden in front of the house with various flowering plants")</f>
        <v>In the new year we will create a beautiful garden in front of the house with various flowering plants</v>
      </c>
      <c r="D9335" s="5"/>
      <c r="E9335" s="5"/>
      <c r="F9335" s="5"/>
      <c r="G9335" s="5"/>
      <c r="H9335" s="5"/>
      <c r="I9335" s="5"/>
      <c r="J9335" s="5"/>
      <c r="K9335" s="5"/>
      <c r="L9335" s="5"/>
      <c r="M9335" s="5"/>
      <c r="N9335" s="5"/>
      <c r="O9335" s="5"/>
      <c r="P9335" s="5"/>
      <c r="Q9335" s="5"/>
      <c r="R9335" s="5"/>
      <c r="S9335" s="5"/>
      <c r="T9335" s="5"/>
      <c r="U9335" s="5"/>
      <c r="V9335" s="5"/>
      <c r="W9335" s="5"/>
      <c r="X9335" s="5"/>
      <c r="Y9335" s="5"/>
      <c r="Z9335" s="5"/>
    </row>
    <row r="9336" spans="1:26" ht="15" x14ac:dyDescent="0.25">
      <c r="A9336" s="4" t="s">
        <v>9335</v>
      </c>
      <c r="B9336" s="4" t="s">
        <v>9011</v>
      </c>
      <c r="C9336" s="2" t="str">
        <f ca="1">IFERROR(__xludf.DUMMYFUNCTION("GOOGLETRANSLATE(A9336,""bn"",""en"")"),"In future I will direct a big film which will win international awards")</f>
        <v>In future I will direct a big film which will win international awards</v>
      </c>
      <c r="D9336" s="5"/>
      <c r="E9336" s="5"/>
      <c r="F9336" s="5"/>
      <c r="G9336" s="5"/>
      <c r="H9336" s="5"/>
      <c r="I9336" s="5"/>
      <c r="J9336" s="5"/>
      <c r="K9336" s="5"/>
      <c r="L9336" s="5"/>
      <c r="M9336" s="5"/>
      <c r="N9336" s="5"/>
      <c r="O9336" s="5"/>
      <c r="P9336" s="5"/>
      <c r="Q9336" s="5"/>
      <c r="R9336" s="5"/>
      <c r="S9336" s="5"/>
      <c r="T9336" s="5"/>
      <c r="U9336" s="5"/>
      <c r="V9336" s="5"/>
      <c r="W9336" s="5"/>
      <c r="X9336" s="5"/>
      <c r="Y9336" s="5"/>
      <c r="Z9336" s="5"/>
    </row>
    <row r="9337" spans="1:26" ht="15" x14ac:dyDescent="0.25">
      <c r="A9337" s="4" t="s">
        <v>9336</v>
      </c>
      <c r="B9337" s="4" t="s">
        <v>9011</v>
      </c>
      <c r="C9337" s="2" t="str">
        <f ca="1">IFERROR(__xludf.DUMMYFUNCTION("GOOGLETRANSLATE(A9337,""bn"",""en"")"),"You will conduct a training program on advanced information security practices next year")</f>
        <v>You will conduct a training program on advanced information security practices next year</v>
      </c>
      <c r="D9337" s="5"/>
      <c r="E9337" s="5"/>
      <c r="F9337" s="5"/>
      <c r="G9337" s="5"/>
      <c r="H9337" s="5"/>
      <c r="I9337" s="5"/>
      <c r="J9337" s="5"/>
      <c r="K9337" s="5"/>
      <c r="L9337" s="5"/>
      <c r="M9337" s="5"/>
      <c r="N9337" s="5"/>
      <c r="O9337" s="5"/>
      <c r="P9337" s="5"/>
      <c r="Q9337" s="5"/>
      <c r="R9337" s="5"/>
      <c r="S9337" s="5"/>
      <c r="T9337" s="5"/>
      <c r="U9337" s="5"/>
      <c r="V9337" s="5"/>
      <c r="W9337" s="5"/>
      <c r="X9337" s="5"/>
      <c r="Y9337" s="5"/>
      <c r="Z9337" s="5"/>
    </row>
    <row r="9338" spans="1:26" ht="15" x14ac:dyDescent="0.25">
      <c r="A9338" s="4" t="s">
        <v>9337</v>
      </c>
      <c r="B9338" s="4" t="s">
        <v>9011</v>
      </c>
      <c r="C9338" s="2" t="str">
        <f ca="1">IFERROR(__xludf.DUMMYFUNCTION("GOOGLETRANSLATE(A9338,""bn"",""en"")"),"School life will be like a sweet dream")</f>
        <v>School life will be like a sweet dream</v>
      </c>
      <c r="D9338" s="5"/>
      <c r="E9338" s="5"/>
      <c r="F9338" s="5"/>
      <c r="G9338" s="5"/>
      <c r="H9338" s="5"/>
      <c r="I9338" s="5"/>
      <c r="J9338" s="5"/>
      <c r="K9338" s="5"/>
      <c r="L9338" s="5"/>
      <c r="M9338" s="5"/>
      <c r="N9338" s="5"/>
      <c r="O9338" s="5"/>
      <c r="P9338" s="5"/>
      <c r="Q9338" s="5"/>
      <c r="R9338" s="5"/>
      <c r="S9338" s="5"/>
      <c r="T9338" s="5"/>
      <c r="U9338" s="5"/>
      <c r="V9338" s="5"/>
      <c r="W9338" s="5"/>
      <c r="X9338" s="5"/>
      <c r="Y9338" s="5"/>
      <c r="Z9338" s="5"/>
    </row>
    <row r="9339" spans="1:26" ht="15" x14ac:dyDescent="0.25">
      <c r="A9339" s="4" t="s">
        <v>9338</v>
      </c>
      <c r="B9339" s="4" t="s">
        <v>9011</v>
      </c>
      <c r="C9339" s="2" t="str">
        <f ca="1">IFERROR(__xludf.DUMMYFUNCTION("GOOGLETRANSLATE(A9339,""bn"",""en"")"),"We will visit a new resource next week")</f>
        <v>We will visit a new resource next week</v>
      </c>
      <c r="D9339" s="5"/>
      <c r="E9339" s="5"/>
      <c r="F9339" s="5"/>
      <c r="G9339" s="5"/>
      <c r="H9339" s="5"/>
      <c r="I9339" s="5"/>
      <c r="J9339" s="5"/>
      <c r="K9339" s="5"/>
      <c r="L9339" s="5"/>
      <c r="M9339" s="5"/>
      <c r="N9339" s="5"/>
      <c r="O9339" s="5"/>
      <c r="P9339" s="5"/>
      <c r="Q9339" s="5"/>
      <c r="R9339" s="5"/>
      <c r="S9339" s="5"/>
      <c r="T9339" s="5"/>
      <c r="U9339" s="5"/>
      <c r="V9339" s="5"/>
      <c r="W9339" s="5"/>
      <c r="X9339" s="5"/>
      <c r="Y9339" s="5"/>
      <c r="Z9339" s="5"/>
    </row>
    <row r="9340" spans="1:26" ht="15" x14ac:dyDescent="0.25">
      <c r="A9340" s="4" t="s">
        <v>9339</v>
      </c>
      <c r="B9340" s="4" t="s">
        <v>9011</v>
      </c>
      <c r="C9340" s="2" t="str">
        <f ca="1">IFERROR(__xludf.DUMMYFUNCTION("GOOGLETRANSLATE(A9340,""bn"",""en"")"),"They will be starting a new project tomorrow")</f>
        <v>They will be starting a new project tomorrow</v>
      </c>
      <c r="D9340" s="5"/>
      <c r="E9340" s="5"/>
      <c r="F9340" s="5"/>
      <c r="G9340" s="5"/>
      <c r="H9340" s="5"/>
      <c r="I9340" s="5"/>
      <c r="J9340" s="5"/>
      <c r="K9340" s="5"/>
      <c r="L9340" s="5"/>
      <c r="M9340" s="5"/>
      <c r="N9340" s="5"/>
      <c r="O9340" s="5"/>
      <c r="P9340" s="5"/>
      <c r="Q9340" s="5"/>
      <c r="R9340" s="5"/>
      <c r="S9340" s="5"/>
      <c r="T9340" s="5"/>
      <c r="U9340" s="5"/>
      <c r="V9340" s="5"/>
      <c r="W9340" s="5"/>
      <c r="X9340" s="5"/>
      <c r="Y9340" s="5"/>
      <c r="Z9340" s="5"/>
    </row>
    <row r="9341" spans="1:26" ht="15" x14ac:dyDescent="0.25">
      <c r="A9341" s="4" t="s">
        <v>9340</v>
      </c>
      <c r="B9341" s="4" t="s">
        <v>9011</v>
      </c>
      <c r="C9341" s="2" t="str">
        <f ca="1">IFERROR(__xludf.DUMMYFUNCTION("GOOGLETRANSLATE(A9341,""bn"",""en"")"),"You see the deserted streets of the city, maybe you feel my loneliness")</f>
        <v>You see the deserted streets of the city, maybe you feel my loneliness</v>
      </c>
      <c r="D9341" s="5"/>
      <c r="E9341" s="5"/>
      <c r="F9341" s="5"/>
      <c r="G9341" s="5"/>
      <c r="H9341" s="5"/>
      <c r="I9341" s="5"/>
      <c r="J9341" s="5"/>
      <c r="K9341" s="5"/>
      <c r="L9341" s="5"/>
      <c r="M9341" s="5"/>
      <c r="N9341" s="5"/>
      <c r="O9341" s="5"/>
      <c r="P9341" s="5"/>
      <c r="Q9341" s="5"/>
      <c r="R9341" s="5"/>
      <c r="S9341" s="5"/>
      <c r="T9341" s="5"/>
      <c r="U9341" s="5"/>
      <c r="V9341" s="5"/>
      <c r="W9341" s="5"/>
      <c r="X9341" s="5"/>
      <c r="Y9341" s="5"/>
      <c r="Z9341" s="5"/>
    </row>
    <row r="9342" spans="1:26" ht="15" x14ac:dyDescent="0.25">
      <c r="A9342" s="4" t="s">
        <v>9341</v>
      </c>
      <c r="B9342" s="4" t="s">
        <v>9011</v>
      </c>
      <c r="C9342" s="2" t="str">
        <f ca="1">IFERROR(__xludf.DUMMYFUNCTION("GOOGLETRANSLATE(A9342,""bn"",""en"")"),"They will continue to play with us at some point")</f>
        <v>They will continue to play with us at some point</v>
      </c>
      <c r="D9342" s="5"/>
      <c r="E9342" s="5"/>
      <c r="F9342" s="5"/>
      <c r="G9342" s="5"/>
      <c r="H9342" s="5"/>
      <c r="I9342" s="5"/>
      <c r="J9342" s="5"/>
      <c r="K9342" s="5"/>
      <c r="L9342" s="5"/>
      <c r="M9342" s="5"/>
      <c r="N9342" s="5"/>
      <c r="O9342" s="5"/>
      <c r="P9342" s="5"/>
      <c r="Q9342" s="5"/>
      <c r="R9342" s="5"/>
      <c r="S9342" s="5"/>
      <c r="T9342" s="5"/>
      <c r="U9342" s="5"/>
      <c r="V9342" s="5"/>
      <c r="W9342" s="5"/>
      <c r="X9342" s="5"/>
      <c r="Y9342" s="5"/>
      <c r="Z9342" s="5"/>
    </row>
    <row r="9343" spans="1:26" ht="15" x14ac:dyDescent="0.25">
      <c r="A9343" s="4" t="s">
        <v>9342</v>
      </c>
      <c r="B9343" s="4" t="s">
        <v>9011</v>
      </c>
      <c r="C9343" s="2" t="str">
        <f ca="1">IFERROR(__xludf.DUMMYFUNCTION("GOOGLETRANSLATE(A9343,""bn"",""en"")"),"I would encourage people to be aware of themselves to take care of their mental health")</f>
        <v>I would encourage people to be aware of themselves to take care of their mental health</v>
      </c>
      <c r="D9343" s="5"/>
      <c r="E9343" s="5"/>
      <c r="F9343" s="5"/>
      <c r="G9343" s="5"/>
      <c r="H9343" s="5"/>
      <c r="I9343" s="5"/>
      <c r="J9343" s="5"/>
      <c r="K9343" s="5"/>
      <c r="L9343" s="5"/>
      <c r="M9343" s="5"/>
      <c r="N9343" s="5"/>
      <c r="O9343" s="5"/>
      <c r="P9343" s="5"/>
      <c r="Q9343" s="5"/>
      <c r="R9343" s="5"/>
      <c r="S9343" s="5"/>
      <c r="T9343" s="5"/>
      <c r="U9343" s="5"/>
      <c r="V9343" s="5"/>
      <c r="W9343" s="5"/>
      <c r="X9343" s="5"/>
      <c r="Y9343" s="5"/>
      <c r="Z9343" s="5"/>
    </row>
    <row r="9344" spans="1:26" ht="15" x14ac:dyDescent="0.25">
      <c r="A9344" s="4" t="s">
        <v>9343</v>
      </c>
      <c r="B9344" s="4" t="s">
        <v>9011</v>
      </c>
      <c r="C9344" s="2" t="str">
        <f ca="1">IFERROR(__xludf.DUMMYFUNCTION("GOOGLETRANSLATE(A9344,""bn"",""en"")"),"In the end, none of us can be together. Some of us have to be alone sooner or later")</f>
        <v>In the end, none of us can be together. Some of us have to be alone sooner or later</v>
      </c>
      <c r="D9344" s="5"/>
      <c r="E9344" s="5"/>
      <c r="F9344" s="5"/>
      <c r="G9344" s="5"/>
      <c r="H9344" s="5"/>
      <c r="I9344" s="5"/>
      <c r="J9344" s="5"/>
      <c r="K9344" s="5"/>
      <c r="L9344" s="5"/>
      <c r="M9344" s="5"/>
      <c r="N9344" s="5"/>
      <c r="O9344" s="5"/>
      <c r="P9344" s="5"/>
      <c r="Q9344" s="5"/>
      <c r="R9344" s="5"/>
      <c r="S9344" s="5"/>
      <c r="T9344" s="5"/>
      <c r="U9344" s="5"/>
      <c r="V9344" s="5"/>
      <c r="W9344" s="5"/>
      <c r="X9344" s="5"/>
      <c r="Y9344" s="5"/>
      <c r="Z9344" s="5"/>
    </row>
    <row r="9345" spans="1:26" ht="15" x14ac:dyDescent="0.25">
      <c r="A9345" s="4" t="s">
        <v>9344</v>
      </c>
      <c r="B9345" s="4" t="s">
        <v>9011</v>
      </c>
      <c r="C9345" s="2" t="str">
        <f ca="1">IFERROR(__xludf.DUMMYFUNCTION("GOOGLETRANSLATE(A9345,""bn"",""en"")"),"I will share my life experiences when I write my new book")</f>
        <v>I will share my life experiences when I write my new book</v>
      </c>
      <c r="D9345" s="5"/>
      <c r="E9345" s="5"/>
      <c r="F9345" s="5"/>
      <c r="G9345" s="5"/>
      <c r="H9345" s="5"/>
      <c r="I9345" s="5"/>
      <c r="J9345" s="5"/>
      <c r="K9345" s="5"/>
      <c r="L9345" s="5"/>
      <c r="M9345" s="5"/>
      <c r="N9345" s="5"/>
      <c r="O9345" s="5"/>
      <c r="P9345" s="5"/>
      <c r="Q9345" s="5"/>
      <c r="R9345" s="5"/>
      <c r="S9345" s="5"/>
      <c r="T9345" s="5"/>
      <c r="U9345" s="5"/>
      <c r="V9345" s="5"/>
      <c r="W9345" s="5"/>
      <c r="X9345" s="5"/>
      <c r="Y9345" s="5"/>
      <c r="Z9345" s="5"/>
    </row>
    <row r="9346" spans="1:26" ht="15" x14ac:dyDescent="0.25">
      <c r="A9346" s="4" t="s">
        <v>9345</v>
      </c>
      <c r="B9346" s="4" t="s">
        <v>9011</v>
      </c>
      <c r="C9346" s="2" t="str">
        <f ca="1">IFERROR(__xludf.DUMMYFUNCTION("GOOGLETRANSLATE(A9346,""bn"",""en"")"),"Next week we will have a big party where everyone will enjoy together")</f>
        <v>Next week we will have a big party where everyone will enjoy together</v>
      </c>
      <c r="D9346" s="5"/>
      <c r="E9346" s="5"/>
      <c r="F9346" s="5"/>
      <c r="G9346" s="5"/>
      <c r="H9346" s="5"/>
      <c r="I9346" s="5"/>
      <c r="J9346" s="5"/>
      <c r="K9346" s="5"/>
      <c r="L9346" s="5"/>
      <c r="M9346" s="5"/>
      <c r="N9346" s="5"/>
      <c r="O9346" s="5"/>
      <c r="P9346" s="5"/>
      <c r="Q9346" s="5"/>
      <c r="R9346" s="5"/>
      <c r="S9346" s="5"/>
      <c r="T9346" s="5"/>
      <c r="U9346" s="5"/>
      <c r="V9346" s="5"/>
      <c r="W9346" s="5"/>
      <c r="X9346" s="5"/>
      <c r="Y9346" s="5"/>
      <c r="Z9346" s="5"/>
    </row>
    <row r="9347" spans="1:26" ht="15" x14ac:dyDescent="0.25">
      <c r="A9347" s="4" t="s">
        <v>9346</v>
      </c>
      <c r="B9347" s="4" t="s">
        <v>9011</v>
      </c>
      <c r="C9347" s="2" t="str">
        <f ca="1">IFERROR(__xludf.DUMMYFUNCTION("GOOGLETRANSLATE(A9347,""bn"",""en"")"),"I will build a telemedicine platform that will provide medical services to people in rural areas")</f>
        <v>I will build a telemedicine platform that will provide medical services to people in rural areas</v>
      </c>
      <c r="D9347" s="5"/>
      <c r="E9347" s="5"/>
      <c r="F9347" s="5"/>
      <c r="G9347" s="5"/>
      <c r="H9347" s="5"/>
      <c r="I9347" s="5"/>
      <c r="J9347" s="5"/>
      <c r="K9347" s="5"/>
      <c r="L9347" s="5"/>
      <c r="M9347" s="5"/>
      <c r="N9347" s="5"/>
      <c r="O9347" s="5"/>
      <c r="P9347" s="5"/>
      <c r="Q9347" s="5"/>
      <c r="R9347" s="5"/>
      <c r="S9347" s="5"/>
      <c r="T9347" s="5"/>
      <c r="U9347" s="5"/>
      <c r="V9347" s="5"/>
      <c r="W9347" s="5"/>
      <c r="X9347" s="5"/>
      <c r="Y9347" s="5"/>
      <c r="Z9347" s="5"/>
    </row>
    <row r="9348" spans="1:26" ht="15" x14ac:dyDescent="0.25">
      <c r="A9348" s="4" t="s">
        <v>9347</v>
      </c>
      <c r="B9348" s="4" t="s">
        <v>9011</v>
      </c>
      <c r="C9348" s="2" t="str">
        <f ca="1">IFERROR(__xludf.DUMMYFUNCTION("GOOGLETRANSLATE(A9348,""bn"",""en"")"),"He will gain new ideas about his business while being interested in his new material")</f>
        <v>He will gain new ideas about his business while being interested in his new material</v>
      </c>
      <c r="D9348" s="5"/>
      <c r="E9348" s="5"/>
      <c r="F9348" s="5"/>
      <c r="G9348" s="5"/>
      <c r="H9348" s="5"/>
      <c r="I9348" s="5"/>
      <c r="J9348" s="5"/>
      <c r="K9348" s="5"/>
      <c r="L9348" s="5"/>
      <c r="M9348" s="5"/>
      <c r="N9348" s="5"/>
      <c r="O9348" s="5"/>
      <c r="P9348" s="5"/>
      <c r="Q9348" s="5"/>
      <c r="R9348" s="5"/>
      <c r="S9348" s="5"/>
      <c r="T9348" s="5"/>
      <c r="U9348" s="5"/>
      <c r="V9348" s="5"/>
      <c r="W9348" s="5"/>
      <c r="X9348" s="5"/>
      <c r="Y9348" s="5"/>
      <c r="Z9348" s="5"/>
    </row>
    <row r="9349" spans="1:26" ht="15" x14ac:dyDescent="0.25">
      <c r="A9349" s="4" t="s">
        <v>9348</v>
      </c>
      <c r="B9349" s="4" t="s">
        <v>9011</v>
      </c>
      <c r="C9349" s="2" t="str">
        <f ca="1">IFERROR(__xludf.DUMMYFUNCTION("GOOGLETRANSLATE(A9349,""bn"",""en"")"),"The success of the favorite characters in the favorite story will give you as much joy as your own success")</f>
        <v>The success of the favorite characters in the favorite story will give you as much joy as your own success</v>
      </c>
      <c r="D9349" s="5"/>
      <c r="E9349" s="5"/>
      <c r="F9349" s="5"/>
      <c r="G9349" s="5"/>
      <c r="H9349" s="5"/>
      <c r="I9349" s="5"/>
      <c r="J9349" s="5"/>
      <c r="K9349" s="5"/>
      <c r="L9349" s="5"/>
      <c r="M9349" s="5"/>
      <c r="N9349" s="5"/>
      <c r="O9349" s="5"/>
      <c r="P9349" s="5"/>
      <c r="Q9349" s="5"/>
      <c r="R9349" s="5"/>
      <c r="S9349" s="5"/>
      <c r="T9349" s="5"/>
      <c r="U9349" s="5"/>
      <c r="V9349" s="5"/>
      <c r="W9349" s="5"/>
      <c r="X9349" s="5"/>
      <c r="Y9349" s="5"/>
      <c r="Z9349" s="5"/>
    </row>
    <row r="9350" spans="1:26" ht="15" x14ac:dyDescent="0.25">
      <c r="A9350" s="4" t="s">
        <v>9349</v>
      </c>
      <c r="B9350" s="4" t="s">
        <v>9011</v>
      </c>
      <c r="C9350" s="2" t="str">
        <f ca="1">IFERROR(__xludf.DUMMYFUNCTION("GOOGLETRANSLATE(A9350,""bn"",""en"")"),"The client will book the parlor for himself tomorrow after seeing my neat appearance.")</f>
        <v>The client will book the parlor for himself tomorrow after seeing my neat appearance.</v>
      </c>
      <c r="D9350" s="5"/>
      <c r="E9350" s="5"/>
      <c r="F9350" s="5"/>
      <c r="G9350" s="5"/>
      <c r="H9350" s="5"/>
      <c r="I9350" s="5"/>
      <c r="J9350" s="5"/>
      <c r="K9350" s="5"/>
      <c r="L9350" s="5"/>
      <c r="M9350" s="5"/>
      <c r="N9350" s="5"/>
      <c r="O9350" s="5"/>
      <c r="P9350" s="5"/>
      <c r="Q9350" s="5"/>
      <c r="R9350" s="5"/>
      <c r="S9350" s="5"/>
      <c r="T9350" s="5"/>
      <c r="U9350" s="5"/>
      <c r="V9350" s="5"/>
      <c r="W9350" s="5"/>
      <c r="X9350" s="5"/>
      <c r="Y9350" s="5"/>
      <c r="Z9350" s="5"/>
    </row>
    <row r="9351" spans="1:26" ht="15" x14ac:dyDescent="0.25">
      <c r="A9351" s="4" t="s">
        <v>9350</v>
      </c>
      <c r="B9351" s="4" t="s">
        <v>9011</v>
      </c>
      <c r="C9351" s="2" t="str">
        <f ca="1">IFERROR(__xludf.DUMMYFUNCTION("GOOGLETRANSLATE(A9351,""bn"",""en"")"),"He will prepare to install the AC for the new wedding party tomorrow")</f>
        <v>He will prepare to install the AC for the new wedding party tomorrow</v>
      </c>
      <c r="D9351" s="5"/>
      <c r="E9351" s="5"/>
      <c r="F9351" s="5"/>
      <c r="G9351" s="5"/>
      <c r="H9351" s="5"/>
      <c r="I9351" s="5"/>
      <c r="J9351" s="5"/>
      <c r="K9351" s="5"/>
      <c r="L9351" s="5"/>
      <c r="M9351" s="5"/>
      <c r="N9351" s="5"/>
      <c r="O9351" s="5"/>
      <c r="P9351" s="5"/>
      <c r="Q9351" s="5"/>
      <c r="R9351" s="5"/>
      <c r="S9351" s="5"/>
      <c r="T9351" s="5"/>
      <c r="U9351" s="5"/>
      <c r="V9351" s="5"/>
      <c r="W9351" s="5"/>
      <c r="X9351" s="5"/>
      <c r="Y9351" s="5"/>
      <c r="Z9351" s="5"/>
    </row>
    <row r="9352" spans="1:26" ht="15" x14ac:dyDescent="0.25">
      <c r="A9352" s="4" t="s">
        <v>9351</v>
      </c>
      <c r="B9352" s="4" t="s">
        <v>9011</v>
      </c>
      <c r="C9352" s="2" t="str">
        <f ca="1">IFERROR(__xludf.DUMMYFUNCTION("GOOGLETRANSLATE(A9352,""bn"",""en"")"),"Fashion trend is a rich preparation that people will like and it will be a way of happiness and enthusiasm")</f>
        <v>Fashion trend is a rich preparation that people will like and it will be a way of happiness and enthusiasm</v>
      </c>
      <c r="D9352" s="5"/>
      <c r="E9352" s="5"/>
      <c r="F9352" s="5"/>
      <c r="G9352" s="5"/>
      <c r="H9352" s="5"/>
      <c r="I9352" s="5"/>
      <c r="J9352" s="5"/>
      <c r="K9352" s="5"/>
      <c r="L9352" s="5"/>
      <c r="M9352" s="5"/>
      <c r="N9352" s="5"/>
      <c r="O9352" s="5"/>
      <c r="P9352" s="5"/>
      <c r="Q9352" s="5"/>
      <c r="R9352" s="5"/>
      <c r="S9352" s="5"/>
      <c r="T9352" s="5"/>
      <c r="U9352" s="5"/>
      <c r="V9352" s="5"/>
      <c r="W9352" s="5"/>
      <c r="X9352" s="5"/>
      <c r="Y9352" s="5"/>
      <c r="Z9352" s="5"/>
    </row>
    <row r="9353" spans="1:26" ht="15" x14ac:dyDescent="0.25">
      <c r="A9353" s="4" t="s">
        <v>9352</v>
      </c>
      <c r="B9353" s="4" t="s">
        <v>9011</v>
      </c>
      <c r="C9353" s="2" t="str">
        <f ca="1">IFERROR(__xludf.DUMMYFUNCTION("GOOGLETRANSLATE(A9353,""bn"",""en"")"),"The fun of shaping the soil with your own hands will be amazing, it will be like magic")</f>
        <v>The fun of shaping the soil with your own hands will be amazing, it will be like magic</v>
      </c>
      <c r="D9353" s="5"/>
      <c r="E9353" s="5"/>
      <c r="F9353" s="5"/>
      <c r="G9353" s="5"/>
      <c r="H9353" s="5"/>
      <c r="I9353" s="5"/>
      <c r="J9353" s="5"/>
      <c r="K9353" s="5"/>
      <c r="L9353" s="5"/>
      <c r="M9353" s="5"/>
      <c r="N9353" s="5"/>
      <c r="O9353" s="5"/>
      <c r="P9353" s="5"/>
      <c r="Q9353" s="5"/>
      <c r="R9353" s="5"/>
      <c r="S9353" s="5"/>
      <c r="T9353" s="5"/>
      <c r="U9353" s="5"/>
      <c r="V9353" s="5"/>
      <c r="W9353" s="5"/>
      <c r="X9353" s="5"/>
      <c r="Y9353" s="5"/>
      <c r="Z9353" s="5"/>
    </row>
    <row r="9354" spans="1:26" ht="15" x14ac:dyDescent="0.25">
      <c r="A9354" s="4" t="s">
        <v>9353</v>
      </c>
      <c r="B9354" s="4" t="s">
        <v>9011</v>
      </c>
      <c r="C9354" s="2" t="str">
        <f ca="1">IFERROR(__xludf.DUMMYFUNCTION("GOOGLETRANSLATE(A9354,""bn"",""en"")"),"Will inform everyone will be ready to join new job")</f>
        <v>Will inform everyone will be ready to join new job</v>
      </c>
      <c r="D9354" s="5"/>
      <c r="E9354" s="5"/>
      <c r="F9354" s="5"/>
      <c r="G9354" s="5"/>
      <c r="H9354" s="5"/>
      <c r="I9354" s="5"/>
      <c r="J9354" s="5"/>
      <c r="K9354" s="5"/>
      <c r="L9354" s="5"/>
      <c r="M9354" s="5"/>
      <c r="N9354" s="5"/>
      <c r="O9354" s="5"/>
      <c r="P9354" s="5"/>
      <c r="Q9354" s="5"/>
      <c r="R9354" s="5"/>
      <c r="S9354" s="5"/>
      <c r="T9354" s="5"/>
      <c r="U9354" s="5"/>
      <c r="V9354" s="5"/>
      <c r="W9354" s="5"/>
      <c r="X9354" s="5"/>
      <c r="Y9354" s="5"/>
      <c r="Z9354" s="5"/>
    </row>
    <row r="9355" spans="1:26" ht="15" x14ac:dyDescent="0.25">
      <c r="A9355" s="4" t="s">
        <v>9354</v>
      </c>
      <c r="B9355" s="4" t="s">
        <v>9011</v>
      </c>
      <c r="C9355" s="2" t="str">
        <f ca="1">IFERROR(__xludf.DUMMYFUNCTION("GOOGLETRANSLATE(A9355,""bn"",""en"")"),"People will go in search of happiness by walking on the lighted path of laughter. Colorful pictures of happiness will be depicted in the voice of laughter")</f>
        <v>People will go in search of happiness by walking on the lighted path of laughter. Colorful pictures of happiness will be depicted in the voice of laughter</v>
      </c>
      <c r="D9355" s="5"/>
      <c r="E9355" s="5"/>
      <c r="F9355" s="5"/>
      <c r="G9355" s="5"/>
      <c r="H9355" s="5"/>
      <c r="I9355" s="5"/>
      <c r="J9355" s="5"/>
      <c r="K9355" s="5"/>
      <c r="L9355" s="5"/>
      <c r="M9355" s="5"/>
      <c r="N9355" s="5"/>
      <c r="O9355" s="5"/>
      <c r="P9355" s="5"/>
      <c r="Q9355" s="5"/>
      <c r="R9355" s="5"/>
      <c r="S9355" s="5"/>
      <c r="T9355" s="5"/>
      <c r="U9355" s="5"/>
      <c r="V9355" s="5"/>
      <c r="W9355" s="5"/>
      <c r="X9355" s="5"/>
      <c r="Y9355" s="5"/>
      <c r="Z9355" s="5"/>
    </row>
    <row r="9356" spans="1:26" ht="15" x14ac:dyDescent="0.25">
      <c r="A9356" s="4" t="s">
        <v>9355</v>
      </c>
      <c r="B9356" s="4" t="s">
        <v>9011</v>
      </c>
      <c r="C9356" s="2" t="str">
        <f ca="1">IFERROR(__xludf.DUMMYFUNCTION("GOOGLETRANSLATE(A9356,""bn"",""en"")"),"They will take new initiatives in space exploration and launch new satellites next year")</f>
        <v>They will take new initiatives in space exploration and launch new satellites next year</v>
      </c>
      <c r="D9356" s="5"/>
      <c r="E9356" s="5"/>
      <c r="F9356" s="5"/>
      <c r="G9356" s="5"/>
      <c r="H9356" s="5"/>
      <c r="I9356" s="5"/>
      <c r="J9356" s="5"/>
      <c r="K9356" s="5"/>
      <c r="L9356" s="5"/>
      <c r="M9356" s="5"/>
      <c r="N9356" s="5"/>
      <c r="O9356" s="5"/>
      <c r="P9356" s="5"/>
      <c r="Q9356" s="5"/>
      <c r="R9356" s="5"/>
      <c r="S9356" s="5"/>
      <c r="T9356" s="5"/>
      <c r="U9356" s="5"/>
      <c r="V9356" s="5"/>
      <c r="W9356" s="5"/>
      <c r="X9356" s="5"/>
      <c r="Y9356" s="5"/>
      <c r="Z9356" s="5"/>
    </row>
    <row r="9357" spans="1:26" ht="15" x14ac:dyDescent="0.25">
      <c r="A9357" s="4" t="s">
        <v>9356</v>
      </c>
      <c r="B9357" s="4" t="s">
        <v>9011</v>
      </c>
      <c r="C9357" s="2" t="str">
        <f ca="1">IFERROR(__xludf.DUMMYFUNCTION("GOOGLETRANSLATE(A9357,""bn"",""en"")"),"I will continue my studies, I am hopeful that one day I will reach the desired goal, in sha Allah")</f>
        <v>I will continue my studies, I am hopeful that one day I will reach the desired goal, in sha Allah</v>
      </c>
      <c r="D9357" s="5"/>
      <c r="E9357" s="5"/>
      <c r="F9357" s="5"/>
      <c r="G9357" s="5"/>
      <c r="H9357" s="5"/>
      <c r="I9357" s="5"/>
      <c r="J9357" s="5"/>
      <c r="K9357" s="5"/>
      <c r="L9357" s="5"/>
      <c r="M9357" s="5"/>
      <c r="N9357" s="5"/>
      <c r="O9357" s="5"/>
      <c r="P9357" s="5"/>
      <c r="Q9357" s="5"/>
      <c r="R9357" s="5"/>
      <c r="S9357" s="5"/>
      <c r="T9357" s="5"/>
      <c r="U9357" s="5"/>
      <c r="V9357" s="5"/>
      <c r="W9357" s="5"/>
      <c r="X9357" s="5"/>
      <c r="Y9357" s="5"/>
      <c r="Z9357" s="5"/>
    </row>
    <row r="9358" spans="1:26" ht="15" x14ac:dyDescent="0.25">
      <c r="A9358" s="4" t="s">
        <v>9357</v>
      </c>
      <c r="B9358" s="4" t="s">
        <v>9011</v>
      </c>
      <c r="C9358" s="2" t="str">
        <f ca="1">IFERROR(__xludf.DUMMYFUNCTION("GOOGLETRANSLATE(A9358,""bn"",""en"")"),"We will always be making progress here")</f>
        <v>We will always be making progress here</v>
      </c>
      <c r="D9358" s="5"/>
      <c r="E9358" s="5"/>
      <c r="F9358" s="5"/>
      <c r="G9358" s="5"/>
      <c r="H9358" s="5"/>
      <c r="I9358" s="5"/>
      <c r="J9358" s="5"/>
      <c r="K9358" s="5"/>
      <c r="L9358" s="5"/>
      <c r="M9358" s="5"/>
      <c r="N9358" s="5"/>
      <c r="O9358" s="5"/>
      <c r="P9358" s="5"/>
      <c r="Q9358" s="5"/>
      <c r="R9358" s="5"/>
      <c r="S9358" s="5"/>
      <c r="T9358" s="5"/>
      <c r="U9358" s="5"/>
      <c r="V9358" s="5"/>
      <c r="W9358" s="5"/>
      <c r="X9358" s="5"/>
      <c r="Y9358" s="5"/>
      <c r="Z9358" s="5"/>
    </row>
    <row r="9359" spans="1:26" ht="15" x14ac:dyDescent="0.25">
      <c r="A9359" s="4" t="s">
        <v>9358</v>
      </c>
      <c r="B9359" s="4" t="s">
        <v>9011</v>
      </c>
      <c r="C9359" s="2" t="str">
        <f ca="1">IFERROR(__xludf.DUMMYFUNCTION("GOOGLETRANSLATE(A9359,""bn"",""en"")"),"Looking forward to new foods, new festivals and mixing with foreign cultures")</f>
        <v>Looking forward to new foods, new festivals and mixing with foreign cultures</v>
      </c>
      <c r="D9359" s="5"/>
      <c r="E9359" s="5"/>
      <c r="F9359" s="5"/>
      <c r="G9359" s="5"/>
      <c r="H9359" s="5"/>
      <c r="I9359" s="5"/>
      <c r="J9359" s="5"/>
      <c r="K9359" s="5"/>
      <c r="L9359" s="5"/>
      <c r="M9359" s="5"/>
      <c r="N9359" s="5"/>
      <c r="O9359" s="5"/>
      <c r="P9359" s="5"/>
      <c r="Q9359" s="5"/>
      <c r="R9359" s="5"/>
      <c r="S9359" s="5"/>
      <c r="T9359" s="5"/>
      <c r="U9359" s="5"/>
      <c r="V9359" s="5"/>
      <c r="W9359" s="5"/>
      <c r="X9359" s="5"/>
      <c r="Y9359" s="5"/>
      <c r="Z9359" s="5"/>
    </row>
    <row r="9360" spans="1:26" ht="15" x14ac:dyDescent="0.25">
      <c r="A9360" s="4" t="s">
        <v>9359</v>
      </c>
      <c r="B9360" s="4" t="s">
        <v>9011</v>
      </c>
      <c r="C9360" s="2" t="str">
        <f ca="1">IFERROR(__xludf.DUMMYFUNCTION("GOOGLETRANSLATE(A9360,""bn"",""en"")"),"No goal can be achieved without hard work and organization")</f>
        <v>No goal can be achieved without hard work and organization</v>
      </c>
      <c r="D9360" s="5"/>
      <c r="E9360" s="5"/>
      <c r="F9360" s="5"/>
      <c r="G9360" s="5"/>
      <c r="H9360" s="5"/>
      <c r="I9360" s="5"/>
      <c r="J9360" s="5"/>
      <c r="K9360" s="5"/>
      <c r="L9360" s="5"/>
      <c r="M9360" s="5"/>
      <c r="N9360" s="5"/>
      <c r="O9360" s="5"/>
      <c r="P9360" s="5"/>
      <c r="Q9360" s="5"/>
      <c r="R9360" s="5"/>
      <c r="S9360" s="5"/>
      <c r="T9360" s="5"/>
      <c r="U9360" s="5"/>
      <c r="V9360" s="5"/>
      <c r="W9360" s="5"/>
      <c r="X9360" s="5"/>
      <c r="Y9360" s="5"/>
      <c r="Z9360" s="5"/>
    </row>
    <row r="9361" spans="1:26" ht="15" x14ac:dyDescent="0.25">
      <c r="A9361" s="4" t="s">
        <v>9360</v>
      </c>
      <c r="B9361" s="4" t="s">
        <v>9011</v>
      </c>
      <c r="C9361" s="2" t="str">
        <f ca="1">IFERROR(__xludf.DUMMYFUNCTION("GOOGLETRANSLATE(A9361,""bn"",""en"")"),"I get excited when trying a new pasta recipe that feels like my favorite personal gift.")</f>
        <v>I get excited when trying a new pasta recipe that feels like my favorite personal gift.</v>
      </c>
      <c r="D9361" s="5"/>
      <c r="E9361" s="5"/>
      <c r="F9361" s="5"/>
      <c r="G9361" s="5"/>
      <c r="H9361" s="5"/>
      <c r="I9361" s="5"/>
      <c r="J9361" s="5"/>
      <c r="K9361" s="5"/>
      <c r="L9361" s="5"/>
      <c r="M9361" s="5"/>
      <c r="N9361" s="5"/>
      <c r="O9361" s="5"/>
      <c r="P9361" s="5"/>
      <c r="Q9361" s="5"/>
      <c r="R9361" s="5"/>
      <c r="S9361" s="5"/>
      <c r="T9361" s="5"/>
      <c r="U9361" s="5"/>
      <c r="V9361" s="5"/>
      <c r="W9361" s="5"/>
      <c r="X9361" s="5"/>
      <c r="Y9361" s="5"/>
      <c r="Z9361" s="5"/>
    </row>
    <row r="9362" spans="1:26" ht="15" x14ac:dyDescent="0.25">
      <c r="A9362" s="4" t="s">
        <v>9361</v>
      </c>
      <c r="B9362" s="4" t="s">
        <v>9011</v>
      </c>
      <c r="C9362" s="2" t="str">
        <f ca="1">IFERROR(__xludf.DUMMYFUNCTION("GOOGLETRANSLATE(A9362,""bn"",""en"")"),"Next year I hope to learn the language completely")</f>
        <v>Next year I hope to learn the language completely</v>
      </c>
      <c r="D9362" s="5"/>
      <c r="E9362" s="5"/>
      <c r="F9362" s="5"/>
      <c r="G9362" s="5"/>
      <c r="H9362" s="5"/>
      <c r="I9362" s="5"/>
      <c r="J9362" s="5"/>
      <c r="K9362" s="5"/>
      <c r="L9362" s="5"/>
      <c r="M9362" s="5"/>
      <c r="N9362" s="5"/>
      <c r="O9362" s="5"/>
      <c r="P9362" s="5"/>
      <c r="Q9362" s="5"/>
      <c r="R9362" s="5"/>
      <c r="S9362" s="5"/>
      <c r="T9362" s="5"/>
      <c r="U9362" s="5"/>
      <c r="V9362" s="5"/>
      <c r="W9362" s="5"/>
      <c r="X9362" s="5"/>
      <c r="Y9362" s="5"/>
      <c r="Z9362" s="5"/>
    </row>
    <row r="9363" spans="1:26" ht="15" x14ac:dyDescent="0.25">
      <c r="A9363" s="4" t="s">
        <v>9362</v>
      </c>
      <c r="B9363" s="4" t="s">
        <v>9011</v>
      </c>
      <c r="C9363" s="2" t="str">
        <f ca="1">IFERROR(__xludf.DUMMYFUNCTION("GOOGLETRANSLATE(A9363,""bn"",""en"")"),"I will research to develop an eco-friendly farming system")</f>
        <v>I will research to develop an eco-friendly farming system</v>
      </c>
      <c r="D9363" s="5"/>
      <c r="E9363" s="5"/>
      <c r="F9363" s="5"/>
      <c r="G9363" s="5"/>
      <c r="H9363" s="5"/>
      <c r="I9363" s="5"/>
      <c r="J9363" s="5"/>
      <c r="K9363" s="5"/>
      <c r="L9363" s="5"/>
      <c r="M9363" s="5"/>
      <c r="N9363" s="5"/>
      <c r="O9363" s="5"/>
      <c r="P9363" s="5"/>
      <c r="Q9363" s="5"/>
      <c r="R9363" s="5"/>
      <c r="S9363" s="5"/>
      <c r="T9363" s="5"/>
      <c r="U9363" s="5"/>
      <c r="V9363" s="5"/>
      <c r="W9363" s="5"/>
      <c r="X9363" s="5"/>
      <c r="Y9363" s="5"/>
      <c r="Z9363" s="5"/>
    </row>
    <row r="9364" spans="1:26" ht="15" x14ac:dyDescent="0.25">
      <c r="A9364" s="4" t="s">
        <v>9363</v>
      </c>
      <c r="B9364" s="4" t="s">
        <v>9011</v>
      </c>
      <c r="C9364" s="2" t="str">
        <f ca="1">IFERROR(__xludf.DUMMYFUNCTION("GOOGLETRANSLATE(A9364,""bn"",""en"")"),"I will have an excited time for the party tomorrow")</f>
        <v>I will have an excited time for the party tomorrow</v>
      </c>
      <c r="D9364" s="5"/>
      <c r="E9364" s="5"/>
      <c r="F9364" s="5"/>
      <c r="G9364" s="5"/>
      <c r="H9364" s="5"/>
      <c r="I9364" s="5"/>
      <c r="J9364" s="5"/>
      <c r="K9364" s="5"/>
      <c r="L9364" s="5"/>
      <c r="M9364" s="5"/>
      <c r="N9364" s="5"/>
      <c r="O9364" s="5"/>
      <c r="P9364" s="5"/>
      <c r="Q9364" s="5"/>
      <c r="R9364" s="5"/>
      <c r="S9364" s="5"/>
      <c r="T9364" s="5"/>
      <c r="U9364" s="5"/>
      <c r="V9364" s="5"/>
      <c r="W9364" s="5"/>
      <c r="X9364" s="5"/>
      <c r="Y9364" s="5"/>
      <c r="Z9364" s="5"/>
    </row>
    <row r="9365" spans="1:26" ht="15" x14ac:dyDescent="0.25">
      <c r="A9365" s="4" t="s">
        <v>9364</v>
      </c>
      <c r="B9365" s="4" t="s">
        <v>9011</v>
      </c>
      <c r="C9365" s="2" t="str">
        <f ca="1">IFERROR(__xludf.DUMMYFUNCTION("GOOGLETRANSLATE(A9365,""bn"",""en"")"),"Will you continue to train everyone?")</f>
        <v>Will you continue to train everyone?</v>
      </c>
      <c r="D9365" s="5"/>
      <c r="E9365" s="5"/>
      <c r="F9365" s="5"/>
      <c r="G9365" s="5"/>
      <c r="H9365" s="5"/>
      <c r="I9365" s="5"/>
      <c r="J9365" s="5"/>
      <c r="K9365" s="5"/>
      <c r="L9365" s="5"/>
      <c r="M9365" s="5"/>
      <c r="N9365" s="5"/>
      <c r="O9365" s="5"/>
      <c r="P9365" s="5"/>
      <c r="Q9365" s="5"/>
      <c r="R9365" s="5"/>
      <c r="S9365" s="5"/>
      <c r="T9365" s="5"/>
      <c r="U9365" s="5"/>
      <c r="V9365" s="5"/>
      <c r="W9365" s="5"/>
      <c r="X9365" s="5"/>
      <c r="Y9365" s="5"/>
      <c r="Z9365" s="5"/>
    </row>
    <row r="9366" spans="1:26" ht="15" x14ac:dyDescent="0.25">
      <c r="A9366" s="4" t="s">
        <v>9365</v>
      </c>
      <c r="B9366" s="4" t="s">
        <v>9011</v>
      </c>
      <c r="C9366" s="2" t="str">
        <f ca="1">IFERROR(__xludf.DUMMYFUNCTION("GOOGLETRANSLATE(A9366,""bn"",""en"")"),"The beauty of Saint Martin Island is unforgettable")</f>
        <v>The beauty of Saint Martin Island is unforgettable</v>
      </c>
      <c r="D9366" s="5"/>
      <c r="E9366" s="5"/>
      <c r="F9366" s="5"/>
      <c r="G9366" s="5"/>
      <c r="H9366" s="5"/>
      <c r="I9366" s="5"/>
      <c r="J9366" s="5"/>
      <c r="K9366" s="5"/>
      <c r="L9366" s="5"/>
      <c r="M9366" s="5"/>
      <c r="N9366" s="5"/>
      <c r="O9366" s="5"/>
      <c r="P9366" s="5"/>
      <c r="Q9366" s="5"/>
      <c r="R9366" s="5"/>
      <c r="S9366" s="5"/>
      <c r="T9366" s="5"/>
      <c r="U9366" s="5"/>
      <c r="V9366" s="5"/>
      <c r="W9366" s="5"/>
      <c r="X9366" s="5"/>
      <c r="Y9366" s="5"/>
      <c r="Z9366" s="5"/>
    </row>
    <row r="9367" spans="1:26" ht="15" x14ac:dyDescent="0.25">
      <c r="A9367" s="4" t="s">
        <v>9366</v>
      </c>
      <c r="B9367" s="4" t="s">
        <v>9011</v>
      </c>
      <c r="C9367" s="2" t="str">
        <f ca="1">IFERROR(__xludf.DUMMYFUNCTION("GOOGLETRANSLATE(A9367,""bn"",""en"")"),"Heavy books in school bag but nice to walk with friends")</f>
        <v>Heavy books in school bag but nice to walk with friends</v>
      </c>
      <c r="D9367" s="5"/>
      <c r="E9367" s="5"/>
      <c r="F9367" s="5"/>
      <c r="G9367" s="5"/>
      <c r="H9367" s="5"/>
      <c r="I9367" s="5"/>
      <c r="J9367" s="5"/>
      <c r="K9367" s="5"/>
      <c r="L9367" s="5"/>
      <c r="M9367" s="5"/>
      <c r="N9367" s="5"/>
      <c r="O9367" s="5"/>
      <c r="P9367" s="5"/>
      <c r="Q9367" s="5"/>
      <c r="R9367" s="5"/>
      <c r="S9367" s="5"/>
      <c r="T9367" s="5"/>
      <c r="U9367" s="5"/>
      <c r="V9367" s="5"/>
      <c r="W9367" s="5"/>
      <c r="X9367" s="5"/>
      <c r="Y9367" s="5"/>
      <c r="Z9367" s="5"/>
    </row>
    <row r="9368" spans="1:26" ht="15" x14ac:dyDescent="0.25">
      <c r="A9368" s="4" t="s">
        <v>9367</v>
      </c>
      <c r="B9368" s="4" t="s">
        <v>9011</v>
      </c>
      <c r="C9368" s="2" t="str">
        <f ca="1">IFERROR(__xludf.DUMMYFUNCTION("GOOGLETRANSLATE(A9368,""bn"",""en"")"),"All dishes will taste heavenly with the delicious jhal chutney")</f>
        <v>All dishes will taste heavenly with the delicious jhal chutney</v>
      </c>
      <c r="D9368" s="5"/>
      <c r="E9368" s="5"/>
      <c r="F9368" s="5"/>
      <c r="G9368" s="5"/>
      <c r="H9368" s="5"/>
      <c r="I9368" s="5"/>
      <c r="J9368" s="5"/>
      <c r="K9368" s="5"/>
      <c r="L9368" s="5"/>
      <c r="M9368" s="5"/>
      <c r="N9368" s="5"/>
      <c r="O9368" s="5"/>
      <c r="P9368" s="5"/>
      <c r="Q9368" s="5"/>
      <c r="R9368" s="5"/>
      <c r="S9368" s="5"/>
      <c r="T9368" s="5"/>
      <c r="U9368" s="5"/>
      <c r="V9368" s="5"/>
      <c r="W9368" s="5"/>
      <c r="X9368" s="5"/>
      <c r="Y9368" s="5"/>
      <c r="Z9368" s="5"/>
    </row>
    <row r="9369" spans="1:26" ht="15" x14ac:dyDescent="0.25">
      <c r="A9369" s="4" t="s">
        <v>9368</v>
      </c>
      <c r="B9369" s="4" t="s">
        <v>9011</v>
      </c>
      <c r="C9369" s="2" t="str">
        <f ca="1">IFERROR(__xludf.DUMMYFUNCTION("GOOGLETRANSLATE(A9369,""bn"",""en"")"),"With a cheerful heart I will rejoice at the fruits of my labour")</f>
        <v>With a cheerful heart I will rejoice at the fruits of my labour</v>
      </c>
      <c r="D9369" s="5"/>
      <c r="E9369" s="5"/>
      <c r="F9369" s="5"/>
      <c r="G9369" s="5"/>
      <c r="H9369" s="5"/>
      <c r="I9369" s="5"/>
      <c r="J9369" s="5"/>
      <c r="K9369" s="5"/>
      <c r="L9369" s="5"/>
      <c r="M9369" s="5"/>
      <c r="N9369" s="5"/>
      <c r="O9369" s="5"/>
      <c r="P9369" s="5"/>
      <c r="Q9369" s="5"/>
      <c r="R9369" s="5"/>
      <c r="S9369" s="5"/>
      <c r="T9369" s="5"/>
      <c r="U9369" s="5"/>
      <c r="V9369" s="5"/>
      <c r="W9369" s="5"/>
      <c r="X9369" s="5"/>
      <c r="Y9369" s="5"/>
      <c r="Z9369" s="5"/>
    </row>
    <row r="9370" spans="1:26" ht="15" x14ac:dyDescent="0.25">
      <c r="A9370" s="4" t="s">
        <v>9369</v>
      </c>
      <c r="B9370" s="4" t="s">
        <v>9011</v>
      </c>
      <c r="C9370" s="2" t="str">
        <f ca="1">IFERROR(__xludf.DUMMYFUNCTION("GOOGLETRANSLATE(A9370,""bn"",""en"")"),"I will go to the new market tomorrow to buy some of the market")</f>
        <v>I will go to the new market tomorrow to buy some of the market</v>
      </c>
      <c r="D9370" s="5"/>
      <c r="E9370" s="5"/>
      <c r="F9370" s="5"/>
      <c r="G9370" s="5"/>
      <c r="H9370" s="5"/>
      <c r="I9370" s="5"/>
      <c r="J9370" s="5"/>
      <c r="K9370" s="5"/>
      <c r="L9370" s="5"/>
      <c r="M9370" s="5"/>
      <c r="N9370" s="5"/>
      <c r="O9370" s="5"/>
      <c r="P9370" s="5"/>
      <c r="Q9370" s="5"/>
      <c r="R9370" s="5"/>
      <c r="S9370" s="5"/>
      <c r="T9370" s="5"/>
      <c r="U9370" s="5"/>
      <c r="V9370" s="5"/>
      <c r="W9370" s="5"/>
      <c r="X9370" s="5"/>
      <c r="Y9370" s="5"/>
      <c r="Z9370" s="5"/>
    </row>
    <row r="9371" spans="1:26" ht="15" x14ac:dyDescent="0.25">
      <c r="A9371" s="4" t="s">
        <v>9370</v>
      </c>
      <c r="B9371" s="4" t="s">
        <v>9011</v>
      </c>
      <c r="C9371" s="2" t="str">
        <f ca="1">IFERROR(__xludf.DUMMYFUNCTION("GOOGLETRANSLATE(A9371,""bn"",""en"")"),"They will continue to play here")</f>
        <v>They will continue to play here</v>
      </c>
      <c r="D9371" s="5"/>
      <c r="E9371" s="5"/>
      <c r="F9371" s="5"/>
      <c r="G9371" s="5"/>
      <c r="H9371" s="5"/>
      <c r="I9371" s="5"/>
      <c r="J9371" s="5"/>
      <c r="K9371" s="5"/>
      <c r="L9371" s="5"/>
      <c r="M9371" s="5"/>
      <c r="N9371" s="5"/>
      <c r="O9371" s="5"/>
      <c r="P9371" s="5"/>
      <c r="Q9371" s="5"/>
      <c r="R9371" s="5"/>
      <c r="S9371" s="5"/>
      <c r="T9371" s="5"/>
      <c r="U9371" s="5"/>
      <c r="V9371" s="5"/>
      <c r="W9371" s="5"/>
      <c r="X9371" s="5"/>
      <c r="Y9371" s="5"/>
      <c r="Z9371" s="5"/>
    </row>
    <row r="9372" spans="1:26" ht="15" x14ac:dyDescent="0.25">
      <c r="A9372" s="4" t="s">
        <v>9371</v>
      </c>
      <c r="B9372" s="4" t="s">
        <v>9011</v>
      </c>
      <c r="C9372" s="2" t="str">
        <f ca="1">IFERROR(__xludf.DUMMYFUNCTION("GOOGLETRANSLATE(A9372,""bn"",""en"")"),"This gift will fulfill my deepest desire")</f>
        <v>This gift will fulfill my deepest desire</v>
      </c>
      <c r="D9372" s="5"/>
      <c r="E9372" s="5"/>
      <c r="F9372" s="5"/>
      <c r="G9372" s="5"/>
      <c r="H9372" s="5"/>
      <c r="I9372" s="5"/>
      <c r="J9372" s="5"/>
      <c r="K9372" s="5"/>
      <c r="L9372" s="5"/>
      <c r="M9372" s="5"/>
      <c r="N9372" s="5"/>
      <c r="O9372" s="5"/>
      <c r="P9372" s="5"/>
      <c r="Q9372" s="5"/>
      <c r="R9372" s="5"/>
      <c r="S9372" s="5"/>
      <c r="T9372" s="5"/>
      <c r="U9372" s="5"/>
      <c r="V9372" s="5"/>
      <c r="W9372" s="5"/>
      <c r="X9372" s="5"/>
      <c r="Y9372" s="5"/>
      <c r="Z9372" s="5"/>
    </row>
    <row r="9373" spans="1:26" ht="15" x14ac:dyDescent="0.25">
      <c r="A9373" s="4" t="s">
        <v>9372</v>
      </c>
      <c r="B9373" s="4" t="s">
        <v>9011</v>
      </c>
      <c r="C9373" s="2" t="str">
        <f ca="1">IFERROR(__xludf.DUMMYFUNCTION("GOOGLETRANSLATE(A9373,""bn"",""en"")"),"Our childhood quarrels will now be memories today you will start a new family. Wish you will always be by each other's side")</f>
        <v>Our childhood quarrels will now be memories today you will start a new family. Wish you will always be by each other's side</v>
      </c>
      <c r="D9373" s="5"/>
      <c r="E9373" s="5"/>
      <c r="F9373" s="5"/>
      <c r="G9373" s="5"/>
      <c r="H9373" s="5"/>
      <c r="I9373" s="5"/>
      <c r="J9373" s="5"/>
      <c r="K9373" s="5"/>
      <c r="L9373" s="5"/>
      <c r="M9373" s="5"/>
      <c r="N9373" s="5"/>
      <c r="O9373" s="5"/>
      <c r="P9373" s="5"/>
      <c r="Q9373" s="5"/>
      <c r="R9373" s="5"/>
      <c r="S9373" s="5"/>
      <c r="T9373" s="5"/>
      <c r="U9373" s="5"/>
      <c r="V9373" s="5"/>
      <c r="W9373" s="5"/>
      <c r="X9373" s="5"/>
      <c r="Y9373" s="5"/>
      <c r="Z9373" s="5"/>
    </row>
    <row r="9374" spans="1:26" ht="15" x14ac:dyDescent="0.25">
      <c r="A9374" s="4" t="s">
        <v>9373</v>
      </c>
      <c r="B9374" s="4" t="s">
        <v>9011</v>
      </c>
      <c r="C9374" s="2" t="str">
        <f ca="1">IFERROR(__xludf.DUMMYFUNCTION("GOOGLETRANSLATE(A9374,""bn"",""en"")"),"We will collect all information while we conduct our project")</f>
        <v>We will collect all information while we conduct our project</v>
      </c>
      <c r="D9374" s="5"/>
      <c r="E9374" s="5"/>
      <c r="F9374" s="5"/>
      <c r="G9374" s="5"/>
      <c r="H9374" s="5"/>
      <c r="I9374" s="5"/>
      <c r="J9374" s="5"/>
      <c r="K9374" s="5"/>
      <c r="L9374" s="5"/>
      <c r="M9374" s="5"/>
      <c r="N9374" s="5"/>
      <c r="O9374" s="5"/>
      <c r="P9374" s="5"/>
      <c r="Q9374" s="5"/>
      <c r="R9374" s="5"/>
      <c r="S9374" s="5"/>
      <c r="T9374" s="5"/>
      <c r="U9374" s="5"/>
      <c r="V9374" s="5"/>
      <c r="W9374" s="5"/>
      <c r="X9374" s="5"/>
      <c r="Y9374" s="5"/>
      <c r="Z9374" s="5"/>
    </row>
    <row r="9375" spans="1:26" ht="15" x14ac:dyDescent="0.25">
      <c r="A9375" s="4" t="s">
        <v>9374</v>
      </c>
      <c r="B9375" s="4" t="s">
        <v>9011</v>
      </c>
      <c r="C9375" s="2" t="str">
        <f ca="1">IFERROR(__xludf.DUMMYFUNCTION("GOOGLETRANSLATE(A9375,""bn"",""en"")"),"Tomorrow we will have a scientific discussion on better quality education system")</f>
        <v>Tomorrow we will have a scientific discussion on better quality education system</v>
      </c>
      <c r="D9375" s="5"/>
      <c r="E9375" s="5"/>
      <c r="F9375" s="5"/>
      <c r="G9375" s="5"/>
      <c r="H9375" s="5"/>
      <c r="I9375" s="5"/>
      <c r="J9375" s="5"/>
      <c r="K9375" s="5"/>
      <c r="L9375" s="5"/>
      <c r="M9375" s="5"/>
      <c r="N9375" s="5"/>
      <c r="O9375" s="5"/>
      <c r="P9375" s="5"/>
      <c r="Q9375" s="5"/>
      <c r="R9375" s="5"/>
      <c r="S9375" s="5"/>
      <c r="T9375" s="5"/>
      <c r="U9375" s="5"/>
      <c r="V9375" s="5"/>
      <c r="W9375" s="5"/>
      <c r="X9375" s="5"/>
      <c r="Y9375" s="5"/>
      <c r="Z9375" s="5"/>
    </row>
    <row r="9376" spans="1:26" ht="15" x14ac:dyDescent="0.25">
      <c r="A9376" s="4" t="s">
        <v>9375</v>
      </c>
      <c r="B9376" s="4" t="s">
        <v>9011</v>
      </c>
      <c r="C9376" s="2" t="str">
        <f ca="1">IFERROR(__xludf.DUMMYFUNCTION("GOOGLETRANSLATE(A9376,""bn"",""en"")"),"I don't want to be tied to my old job anymore, I will have the freedom to do something on my own with the business")</f>
        <v>I don't want to be tied to my old job anymore, I will have the freedom to do something on my own with the business</v>
      </c>
      <c r="D9376" s="5"/>
      <c r="E9376" s="5"/>
      <c r="F9376" s="5"/>
      <c r="G9376" s="5"/>
      <c r="H9376" s="5"/>
      <c r="I9376" s="5"/>
      <c r="J9376" s="5"/>
      <c r="K9376" s="5"/>
      <c r="L9376" s="5"/>
      <c r="M9376" s="5"/>
      <c r="N9376" s="5"/>
      <c r="O9376" s="5"/>
      <c r="P9376" s="5"/>
      <c r="Q9376" s="5"/>
      <c r="R9376" s="5"/>
      <c r="S9376" s="5"/>
      <c r="T9376" s="5"/>
      <c r="U9376" s="5"/>
      <c r="V9376" s="5"/>
      <c r="W9376" s="5"/>
      <c r="X9376" s="5"/>
      <c r="Y9376" s="5"/>
      <c r="Z9376" s="5"/>
    </row>
    <row r="9377" spans="1:26" ht="15" x14ac:dyDescent="0.25">
      <c r="A9377" s="4" t="s">
        <v>9376</v>
      </c>
      <c r="B9377" s="4" t="s">
        <v>9011</v>
      </c>
      <c r="C9377" s="2" t="str">
        <f ca="1">IFERROR(__xludf.DUMMYFUNCTION("GOOGLETRANSLATE(A9377,""bn"",""en"")"),"You will help in new ways in the coming year")</f>
        <v>You will help in new ways in the coming year</v>
      </c>
      <c r="D9377" s="5"/>
      <c r="E9377" s="5"/>
      <c r="F9377" s="5"/>
      <c r="G9377" s="5"/>
      <c r="H9377" s="5"/>
      <c r="I9377" s="5"/>
      <c r="J9377" s="5"/>
      <c r="K9377" s="5"/>
      <c r="L9377" s="5"/>
      <c r="M9377" s="5"/>
      <c r="N9377" s="5"/>
      <c r="O9377" s="5"/>
      <c r="P9377" s="5"/>
      <c r="Q9377" s="5"/>
      <c r="R9377" s="5"/>
      <c r="S9377" s="5"/>
      <c r="T9377" s="5"/>
      <c r="U9377" s="5"/>
      <c r="V9377" s="5"/>
      <c r="W9377" s="5"/>
      <c r="X9377" s="5"/>
      <c r="Y9377" s="5"/>
      <c r="Z9377" s="5"/>
    </row>
    <row r="9378" spans="1:26" ht="15" x14ac:dyDescent="0.25">
      <c r="A9378" s="4" t="s">
        <v>9377</v>
      </c>
      <c r="B9378" s="4" t="s">
        <v>9011</v>
      </c>
      <c r="C9378" s="2" t="str">
        <f ca="1">IFERROR(__xludf.DUMMYFUNCTION("GOOGLETRANSLATE(A9378,""bn"",""en"")"),"In the future I will organize a big music concert where audiences from all over the world will come")</f>
        <v>In the future I will organize a big music concert where audiences from all over the world will come</v>
      </c>
      <c r="D9378" s="5"/>
      <c r="E9378" s="5"/>
      <c r="F9378" s="5"/>
      <c r="G9378" s="5"/>
      <c r="H9378" s="5"/>
      <c r="I9378" s="5"/>
      <c r="J9378" s="5"/>
      <c r="K9378" s="5"/>
      <c r="L9378" s="5"/>
      <c r="M9378" s="5"/>
      <c r="N9378" s="5"/>
      <c r="O9378" s="5"/>
      <c r="P9378" s="5"/>
      <c r="Q9378" s="5"/>
      <c r="R9378" s="5"/>
      <c r="S9378" s="5"/>
      <c r="T9378" s="5"/>
      <c r="U9378" s="5"/>
      <c r="V9378" s="5"/>
      <c r="W9378" s="5"/>
      <c r="X9378" s="5"/>
      <c r="Y9378" s="5"/>
      <c r="Z9378" s="5"/>
    </row>
    <row r="9379" spans="1:26" ht="15" x14ac:dyDescent="0.25">
      <c r="A9379" s="4" t="s">
        <v>9378</v>
      </c>
      <c r="B9379" s="4" t="s">
        <v>9011</v>
      </c>
      <c r="C9379" s="2" t="str">
        <f ca="1">IFERROR(__xludf.DUMMYFUNCTION("GOOGLETRANSLATE(A9379,""bn"",""en"")"),"Messi is the best of all time no football lover will ever forget you")</f>
        <v>Messi is the best of all time no football lover will ever forget you</v>
      </c>
      <c r="D9379" s="5"/>
      <c r="E9379" s="5"/>
      <c r="F9379" s="5"/>
      <c r="G9379" s="5"/>
      <c r="H9379" s="5"/>
      <c r="I9379" s="5"/>
      <c r="J9379" s="5"/>
      <c r="K9379" s="5"/>
      <c r="L9379" s="5"/>
      <c r="M9379" s="5"/>
      <c r="N9379" s="5"/>
      <c r="O9379" s="5"/>
      <c r="P9379" s="5"/>
      <c r="Q9379" s="5"/>
      <c r="R9379" s="5"/>
      <c r="S9379" s="5"/>
      <c r="T9379" s="5"/>
      <c r="U9379" s="5"/>
      <c r="V9379" s="5"/>
      <c r="W9379" s="5"/>
      <c r="X9379" s="5"/>
      <c r="Y9379" s="5"/>
      <c r="Z9379" s="5"/>
    </row>
    <row r="9380" spans="1:26" ht="15" x14ac:dyDescent="0.25">
      <c r="A9380" s="4" t="s">
        <v>9379</v>
      </c>
      <c r="B9380" s="4" t="s">
        <v>9011</v>
      </c>
      <c r="C9380" s="2" t="str">
        <f ca="1">IFERROR(__xludf.DUMMYFUNCTION("GOOGLETRANSLATE(A9380,""bn"",""en"")"),"Completion of all specified tasks on completion of skill training under his direction")</f>
        <v>Completion of all specified tasks on completion of skill training under his direction</v>
      </c>
      <c r="D9380" s="5"/>
      <c r="E9380" s="5"/>
      <c r="F9380" s="5"/>
      <c r="G9380" s="5"/>
      <c r="H9380" s="5"/>
      <c r="I9380" s="5"/>
      <c r="J9380" s="5"/>
      <c r="K9380" s="5"/>
      <c r="L9380" s="5"/>
      <c r="M9380" s="5"/>
      <c r="N9380" s="5"/>
      <c r="O9380" s="5"/>
      <c r="P9380" s="5"/>
      <c r="Q9380" s="5"/>
      <c r="R9380" s="5"/>
      <c r="S9380" s="5"/>
      <c r="T9380" s="5"/>
      <c r="U9380" s="5"/>
      <c r="V9380" s="5"/>
      <c r="W9380" s="5"/>
      <c r="X9380" s="5"/>
      <c r="Y9380" s="5"/>
      <c r="Z9380" s="5"/>
    </row>
    <row r="9381" spans="1:26" ht="15" x14ac:dyDescent="0.25">
      <c r="A9381" s="4" t="s">
        <v>9380</v>
      </c>
      <c r="B9381" s="4" t="s">
        <v>9011</v>
      </c>
      <c r="C9381" s="2" t="str">
        <f ca="1">IFERROR(__xludf.DUMMYFUNCTION("GOOGLETRANSLATE(A9381,""bn"",""en"")"),"The voice of laughter will provide beautiful tone to human life. A healthy smile will bring happiness to the body and mind")</f>
        <v>The voice of laughter will provide beautiful tone to human life. A healthy smile will bring happiness to the body and mind</v>
      </c>
      <c r="D9381" s="5"/>
      <c r="E9381" s="5"/>
      <c r="F9381" s="5"/>
      <c r="G9381" s="5"/>
      <c r="H9381" s="5"/>
      <c r="I9381" s="5"/>
      <c r="J9381" s="5"/>
      <c r="K9381" s="5"/>
      <c r="L9381" s="5"/>
      <c r="M9381" s="5"/>
      <c r="N9381" s="5"/>
      <c r="O9381" s="5"/>
      <c r="P9381" s="5"/>
      <c r="Q9381" s="5"/>
      <c r="R9381" s="5"/>
      <c r="S9381" s="5"/>
      <c r="T9381" s="5"/>
      <c r="U9381" s="5"/>
      <c r="V9381" s="5"/>
      <c r="W9381" s="5"/>
      <c r="X9381" s="5"/>
      <c r="Y9381" s="5"/>
      <c r="Z9381" s="5"/>
    </row>
    <row r="9382" spans="1:26" ht="15" x14ac:dyDescent="0.25">
      <c r="A9382" s="4" t="s">
        <v>9381</v>
      </c>
      <c r="B9382" s="4" t="s">
        <v>9011</v>
      </c>
      <c r="C9382" s="2" t="str">
        <f ca="1">IFERROR(__xludf.DUMMYFUNCTION("GOOGLETRANSLATE(A9382,""bn"",""en"")"),"I will be proud to get the opportunity to shine the name of the country on the world stage")</f>
        <v>I will be proud to get the opportunity to shine the name of the country on the world stage</v>
      </c>
      <c r="D9382" s="5"/>
      <c r="E9382" s="5"/>
      <c r="F9382" s="5"/>
      <c r="G9382" s="5"/>
      <c r="H9382" s="5"/>
      <c r="I9382" s="5"/>
      <c r="J9382" s="5"/>
      <c r="K9382" s="5"/>
      <c r="L9382" s="5"/>
      <c r="M9382" s="5"/>
      <c r="N9382" s="5"/>
      <c r="O9382" s="5"/>
      <c r="P9382" s="5"/>
      <c r="Q9382" s="5"/>
      <c r="R9382" s="5"/>
      <c r="S9382" s="5"/>
      <c r="T9382" s="5"/>
      <c r="U9382" s="5"/>
      <c r="V9382" s="5"/>
      <c r="W9382" s="5"/>
      <c r="X9382" s="5"/>
      <c r="Y9382" s="5"/>
      <c r="Z9382" s="5"/>
    </row>
    <row r="9383" spans="1:26" ht="15" x14ac:dyDescent="0.25">
      <c r="A9383" s="4" t="s">
        <v>9382</v>
      </c>
      <c r="B9383" s="4" t="s">
        <v>9011</v>
      </c>
      <c r="C9383" s="2" t="str">
        <f ca="1">IFERROR(__xludf.DUMMYFUNCTION("GOOGLETRANSLATE(A9383,""bn"",""en"")"),"I can't contain my joy today with the news of Shubo's promotion that the big boss will come home")</f>
        <v>I can't contain my joy today with the news of Shubo's promotion that the big boss will come home</v>
      </c>
      <c r="D9383" s="5"/>
      <c r="E9383" s="5"/>
      <c r="F9383" s="5"/>
      <c r="G9383" s="5"/>
      <c r="H9383" s="5"/>
      <c r="I9383" s="5"/>
      <c r="J9383" s="5"/>
      <c r="K9383" s="5"/>
      <c r="L9383" s="5"/>
      <c r="M9383" s="5"/>
      <c r="N9383" s="5"/>
      <c r="O9383" s="5"/>
      <c r="P9383" s="5"/>
      <c r="Q9383" s="5"/>
      <c r="R9383" s="5"/>
      <c r="S9383" s="5"/>
      <c r="T9383" s="5"/>
      <c r="U9383" s="5"/>
      <c r="V9383" s="5"/>
      <c r="W9383" s="5"/>
      <c r="X9383" s="5"/>
      <c r="Y9383" s="5"/>
      <c r="Z9383" s="5"/>
    </row>
    <row r="9384" spans="1:26" ht="15" x14ac:dyDescent="0.25">
      <c r="A9384" s="4" t="s">
        <v>9383</v>
      </c>
      <c r="B9384" s="4" t="s">
        <v>9011</v>
      </c>
      <c r="C9384" s="2" t="str">
        <f ca="1">IFERROR(__xludf.DUMMYFUNCTION("GOOGLETRANSLATE(A9384,""bn"",""en"")"),"Definitely not an expensive item but Rahul will be very happy to give this handmade gift")</f>
        <v>Definitely not an expensive item but Rahul will be very happy to give this handmade gift</v>
      </c>
      <c r="D9384" s="5"/>
      <c r="E9384" s="5"/>
      <c r="F9384" s="5"/>
      <c r="G9384" s="5"/>
      <c r="H9384" s="5"/>
      <c r="I9384" s="5"/>
      <c r="J9384" s="5"/>
      <c r="K9384" s="5"/>
      <c r="L9384" s="5"/>
      <c r="M9384" s="5"/>
      <c r="N9384" s="5"/>
      <c r="O9384" s="5"/>
      <c r="P9384" s="5"/>
      <c r="Q9384" s="5"/>
      <c r="R9384" s="5"/>
      <c r="S9384" s="5"/>
      <c r="T9384" s="5"/>
      <c r="U9384" s="5"/>
      <c r="V9384" s="5"/>
      <c r="W9384" s="5"/>
      <c r="X9384" s="5"/>
      <c r="Y9384" s="5"/>
      <c r="Z9384" s="5"/>
    </row>
    <row r="9385" spans="1:26" ht="15" x14ac:dyDescent="0.25">
      <c r="A9385" s="4" t="s">
        <v>9384</v>
      </c>
      <c r="B9385" s="4" t="s">
        <v>9011</v>
      </c>
      <c r="C9385" s="2" t="str">
        <f ca="1">IFERROR(__xludf.DUMMYFUNCTION("GOOGLETRANSLATE(A9385,""bn"",""en"")"),"If he wants to in the parliament, he can present his statement")</f>
        <v>If he wants to in the parliament, he can present his statement</v>
      </c>
      <c r="D9385" s="5"/>
      <c r="E9385" s="5"/>
      <c r="F9385" s="5"/>
      <c r="G9385" s="5"/>
      <c r="H9385" s="5"/>
      <c r="I9385" s="5"/>
      <c r="J9385" s="5"/>
      <c r="K9385" s="5"/>
      <c r="L9385" s="5"/>
      <c r="M9385" s="5"/>
      <c r="N9385" s="5"/>
      <c r="O9385" s="5"/>
      <c r="P9385" s="5"/>
      <c r="Q9385" s="5"/>
      <c r="R9385" s="5"/>
      <c r="S9385" s="5"/>
      <c r="T9385" s="5"/>
      <c r="U9385" s="5"/>
      <c r="V9385" s="5"/>
      <c r="W9385" s="5"/>
      <c r="X9385" s="5"/>
      <c r="Y9385" s="5"/>
      <c r="Z9385" s="5"/>
    </row>
    <row r="9386" spans="1:26" ht="15" x14ac:dyDescent="0.25">
      <c r="A9386" s="4" t="s">
        <v>9385</v>
      </c>
      <c r="B9386" s="4" t="s">
        <v>9011</v>
      </c>
      <c r="C9386" s="2" t="str">
        <f ca="1">IFERROR(__xludf.DUMMYFUNCTION("GOOGLETRANSLATE(A9386,""bn"",""en"")"),"Regular sleep habits should be developed")</f>
        <v>Regular sleep habits should be developed</v>
      </c>
      <c r="D9386" s="5"/>
      <c r="E9386" s="5"/>
      <c r="F9386" s="5"/>
      <c r="G9386" s="5"/>
      <c r="H9386" s="5"/>
      <c r="I9386" s="5"/>
      <c r="J9386" s="5"/>
      <c r="K9386" s="5"/>
      <c r="L9386" s="5"/>
      <c r="M9386" s="5"/>
      <c r="N9386" s="5"/>
      <c r="O9386" s="5"/>
      <c r="P9386" s="5"/>
      <c r="Q9386" s="5"/>
      <c r="R9386" s="5"/>
      <c r="S9386" s="5"/>
      <c r="T9386" s="5"/>
      <c r="U9386" s="5"/>
      <c r="V9386" s="5"/>
      <c r="W9386" s="5"/>
      <c r="X9386" s="5"/>
      <c r="Y9386" s="5"/>
      <c r="Z9386" s="5"/>
    </row>
    <row r="9387" spans="1:26" ht="15" x14ac:dyDescent="0.25">
      <c r="A9387" s="4" t="s">
        <v>9386</v>
      </c>
      <c r="B9387" s="4" t="s">
        <v>9011</v>
      </c>
      <c r="C9387" s="2" t="str">
        <f ca="1">IFERROR(__xludf.DUMMYFUNCTION("GOOGLETRANSLATE(A9387,""bn"",""en"")"),"Next month I will publish my first book which will reach deep into the minds of the readers")</f>
        <v>Next month I will publish my first book which will reach deep into the minds of the readers</v>
      </c>
      <c r="D9387" s="5"/>
      <c r="E9387" s="5"/>
      <c r="F9387" s="5"/>
      <c r="G9387" s="5"/>
      <c r="H9387" s="5"/>
      <c r="I9387" s="5"/>
      <c r="J9387" s="5"/>
      <c r="K9387" s="5"/>
      <c r="L9387" s="5"/>
      <c r="M9387" s="5"/>
      <c r="N9387" s="5"/>
      <c r="O9387" s="5"/>
      <c r="P9387" s="5"/>
      <c r="Q9387" s="5"/>
      <c r="R9387" s="5"/>
      <c r="S9387" s="5"/>
      <c r="T9387" s="5"/>
      <c r="U9387" s="5"/>
      <c r="V9387" s="5"/>
      <c r="W9387" s="5"/>
      <c r="X9387" s="5"/>
      <c r="Y9387" s="5"/>
      <c r="Z9387" s="5"/>
    </row>
    <row r="9388" spans="1:26" ht="15" x14ac:dyDescent="0.25">
      <c r="A9388" s="4" t="s">
        <v>9387</v>
      </c>
      <c r="B9388" s="4" t="s">
        <v>9011</v>
      </c>
      <c r="C9388" s="2" t="str">
        <f ca="1">IFERROR(__xludf.DUMMYFUNCTION("GOOGLETRANSLATE(A9388,""bn"",""en"")"),"Tomorrow you will attend a seminar on improved water conservation technology")</f>
        <v>Tomorrow you will attend a seminar on improved water conservation technology</v>
      </c>
      <c r="D9388" s="5"/>
      <c r="E9388" s="5"/>
      <c r="F9388" s="5"/>
      <c r="G9388" s="5"/>
      <c r="H9388" s="5"/>
      <c r="I9388" s="5"/>
      <c r="J9388" s="5"/>
      <c r="K9388" s="5"/>
      <c r="L9388" s="5"/>
      <c r="M9388" s="5"/>
      <c r="N9388" s="5"/>
      <c r="O9388" s="5"/>
      <c r="P9388" s="5"/>
      <c r="Q9388" s="5"/>
      <c r="R9388" s="5"/>
      <c r="S9388" s="5"/>
      <c r="T9388" s="5"/>
      <c r="U9388" s="5"/>
      <c r="V9388" s="5"/>
      <c r="W9388" s="5"/>
      <c r="X9388" s="5"/>
      <c r="Y9388" s="5"/>
      <c r="Z9388" s="5"/>
    </row>
    <row r="9389" spans="1:26" ht="15" x14ac:dyDescent="0.25">
      <c r="A9389" s="4" t="s">
        <v>9388</v>
      </c>
      <c r="B9389" s="4" t="s">
        <v>9011</v>
      </c>
      <c r="C9389" s="2" t="str">
        <f ca="1">IFERROR(__xludf.DUMMYFUNCTION("GOOGLETRANSLATE(A9389,""bn"",""en"")"),"In the future we will travel to different countries of the world where we will learn about new cultures and traditions")</f>
        <v>In the future we will travel to different countries of the world where we will learn about new cultures and traditions</v>
      </c>
      <c r="D9389" s="5"/>
      <c r="E9389" s="5"/>
      <c r="F9389" s="5"/>
      <c r="G9389" s="5"/>
      <c r="H9389" s="5"/>
      <c r="I9389" s="5"/>
      <c r="J9389" s="5"/>
      <c r="K9389" s="5"/>
      <c r="L9389" s="5"/>
      <c r="M9389" s="5"/>
      <c r="N9389" s="5"/>
      <c r="O9389" s="5"/>
      <c r="P9389" s="5"/>
      <c r="Q9389" s="5"/>
      <c r="R9389" s="5"/>
      <c r="S9389" s="5"/>
      <c r="T9389" s="5"/>
      <c r="U9389" s="5"/>
      <c r="V9389" s="5"/>
      <c r="W9389" s="5"/>
      <c r="X9389" s="5"/>
      <c r="Y9389" s="5"/>
      <c r="Z9389" s="5"/>
    </row>
    <row r="9390" spans="1:26" ht="15" x14ac:dyDescent="0.25">
      <c r="A9390" s="4" t="s">
        <v>9389</v>
      </c>
      <c r="B9390" s="4" t="s">
        <v>9011</v>
      </c>
      <c r="C9390" s="2" t="str">
        <f ca="1">IFERROR(__xludf.DUMMYFUNCTION("GOOGLETRANSLATE(A9390,""bn"",""en"")"),"I will win the love of the people")</f>
        <v>I will win the love of the people</v>
      </c>
      <c r="D9390" s="5"/>
      <c r="E9390" s="5"/>
      <c r="F9390" s="5"/>
      <c r="G9390" s="5"/>
      <c r="H9390" s="5"/>
      <c r="I9390" s="5"/>
      <c r="J9390" s="5"/>
      <c r="K9390" s="5"/>
      <c r="L9390" s="5"/>
      <c r="M9390" s="5"/>
      <c r="N9390" s="5"/>
      <c r="O9390" s="5"/>
      <c r="P9390" s="5"/>
      <c r="Q9390" s="5"/>
      <c r="R9390" s="5"/>
      <c r="S9390" s="5"/>
      <c r="T9390" s="5"/>
      <c r="U9390" s="5"/>
      <c r="V9390" s="5"/>
      <c r="W9390" s="5"/>
      <c r="X9390" s="5"/>
      <c r="Y9390" s="5"/>
      <c r="Z9390" s="5"/>
    </row>
    <row r="9391" spans="1:26" ht="15" x14ac:dyDescent="0.25">
      <c r="A9391" s="4" t="s">
        <v>9390</v>
      </c>
      <c r="B9391" s="4" t="s">
        <v>9011</v>
      </c>
      <c r="C9391" s="2" t="str">
        <f ca="1">IFERROR(__xludf.DUMMYFUNCTION("GOOGLETRANSLATE(A9391,""bn"",""en"")"),"Next vacation we will go to a famous tourist spot where we will have a lot of fun")</f>
        <v>Next vacation we will go to a famous tourist spot where we will have a lot of fun</v>
      </c>
      <c r="D9391" s="5"/>
      <c r="E9391" s="5"/>
      <c r="F9391" s="5"/>
      <c r="G9391" s="5"/>
      <c r="H9391" s="5"/>
      <c r="I9391" s="5"/>
      <c r="J9391" s="5"/>
      <c r="K9391" s="5"/>
      <c r="L9391" s="5"/>
      <c r="M9391" s="5"/>
      <c r="N9391" s="5"/>
      <c r="O9391" s="5"/>
      <c r="P9391" s="5"/>
      <c r="Q9391" s="5"/>
      <c r="R9391" s="5"/>
      <c r="S9391" s="5"/>
      <c r="T9391" s="5"/>
      <c r="U9391" s="5"/>
      <c r="V9391" s="5"/>
      <c r="W9391" s="5"/>
      <c r="X9391" s="5"/>
      <c r="Y9391" s="5"/>
      <c r="Z9391" s="5"/>
    </row>
    <row r="9392" spans="1:26" ht="15" x14ac:dyDescent="0.25">
      <c r="A9392" s="4" t="s">
        <v>9391</v>
      </c>
      <c r="B9392" s="4" t="s">
        <v>9011</v>
      </c>
      <c r="C9392" s="2" t="str">
        <f ca="1">IFERROR(__xludf.DUMMYFUNCTION("GOOGLETRANSLATE(A9392,""bn"",""en"")"),"I will be speaking at an international conference on climate change tomorrow")</f>
        <v>I will be speaking at an international conference on climate change tomorrow</v>
      </c>
      <c r="D9392" s="5"/>
      <c r="E9392" s="5"/>
      <c r="F9392" s="5"/>
      <c r="G9392" s="5"/>
      <c r="H9392" s="5"/>
      <c r="I9392" s="5"/>
      <c r="J9392" s="5"/>
      <c r="K9392" s="5"/>
      <c r="L9392" s="5"/>
      <c r="M9392" s="5"/>
      <c r="N9392" s="5"/>
      <c r="O9392" s="5"/>
      <c r="P9392" s="5"/>
      <c r="Q9392" s="5"/>
      <c r="R9392" s="5"/>
      <c r="S9392" s="5"/>
      <c r="T9392" s="5"/>
      <c r="U9392" s="5"/>
      <c r="V9392" s="5"/>
      <c r="W9392" s="5"/>
      <c r="X9392" s="5"/>
      <c r="Y9392" s="5"/>
      <c r="Z9392" s="5"/>
    </row>
    <row r="9393" spans="1:26" ht="15" x14ac:dyDescent="0.25">
      <c r="A9393" s="4" t="s">
        <v>9392</v>
      </c>
      <c r="B9393" s="4" t="s">
        <v>9011</v>
      </c>
      <c r="C9393" s="2" t="str">
        <f ca="1">IFERROR(__xludf.DUMMYFUNCTION("GOOGLETRANSLATE(A9393,""bn"",""en"")"),"We'll be hosting a new entrepreneurship conference next week where we'll explore relativity")</f>
        <v>We'll be hosting a new entrepreneurship conference next week where we'll explore relativity</v>
      </c>
      <c r="D9393" s="5"/>
      <c r="E9393" s="5"/>
      <c r="F9393" s="5"/>
      <c r="G9393" s="5"/>
      <c r="H9393" s="5"/>
      <c r="I9393" s="5"/>
      <c r="J9393" s="5"/>
      <c r="K9393" s="5"/>
      <c r="L9393" s="5"/>
      <c r="M9393" s="5"/>
      <c r="N9393" s="5"/>
      <c r="O9393" s="5"/>
      <c r="P9393" s="5"/>
      <c r="Q9393" s="5"/>
      <c r="R9393" s="5"/>
      <c r="S9393" s="5"/>
      <c r="T9393" s="5"/>
      <c r="U9393" s="5"/>
      <c r="V9393" s="5"/>
      <c r="W9393" s="5"/>
      <c r="X9393" s="5"/>
      <c r="Y9393" s="5"/>
      <c r="Z9393" s="5"/>
    </row>
    <row r="9394" spans="1:26" ht="15" x14ac:dyDescent="0.25">
      <c r="A9394" s="4" t="s">
        <v>9017</v>
      </c>
      <c r="B9394" s="4" t="s">
        <v>9011</v>
      </c>
      <c r="C9394" s="2" t="str">
        <f ca="1">IFERROR(__xludf.DUMMYFUNCTION("GOOGLETRANSLATE(A9394,""bn"",""en"")"),"He will buy books to learn a new language next month")</f>
        <v>He will buy books to learn a new language next month</v>
      </c>
      <c r="D9394" s="5"/>
      <c r="E9394" s="5"/>
      <c r="F9394" s="5"/>
      <c r="G9394" s="5"/>
      <c r="H9394" s="5"/>
      <c r="I9394" s="5"/>
      <c r="J9394" s="5"/>
      <c r="K9394" s="5"/>
      <c r="L9394" s="5"/>
      <c r="M9394" s="5"/>
      <c r="N9394" s="5"/>
      <c r="O9394" s="5"/>
      <c r="P9394" s="5"/>
      <c r="Q9394" s="5"/>
      <c r="R9394" s="5"/>
      <c r="S9394" s="5"/>
      <c r="T9394" s="5"/>
      <c r="U9394" s="5"/>
      <c r="V9394" s="5"/>
      <c r="W9394" s="5"/>
      <c r="X9394" s="5"/>
      <c r="Y9394" s="5"/>
      <c r="Z9394" s="5"/>
    </row>
    <row r="9395" spans="1:26" ht="15" x14ac:dyDescent="0.25">
      <c r="A9395" s="4" t="s">
        <v>9393</v>
      </c>
      <c r="B9395" s="4" t="s">
        <v>9011</v>
      </c>
      <c r="C9395" s="2" t="str">
        <f ca="1">IFERROR(__xludf.DUMMYFUNCTION("GOOGLETRANSLATE(A9395,""bn"",""en"")"),"Fighting the strong waves will test the strength of the body and the joy of victory")</f>
        <v>Fighting the strong waves will test the strength of the body and the joy of victory</v>
      </c>
      <c r="D9395" s="5"/>
      <c r="E9395" s="5"/>
      <c r="F9395" s="5"/>
      <c r="G9395" s="5"/>
      <c r="H9395" s="5"/>
      <c r="I9395" s="5"/>
      <c r="J9395" s="5"/>
      <c r="K9395" s="5"/>
      <c r="L9395" s="5"/>
      <c r="M9395" s="5"/>
      <c r="N9395" s="5"/>
      <c r="O9395" s="5"/>
      <c r="P9395" s="5"/>
      <c r="Q9395" s="5"/>
      <c r="R9395" s="5"/>
      <c r="S9395" s="5"/>
      <c r="T9395" s="5"/>
      <c r="U9395" s="5"/>
      <c r="V9395" s="5"/>
      <c r="W9395" s="5"/>
      <c r="X9395" s="5"/>
      <c r="Y9395" s="5"/>
      <c r="Z9395" s="5"/>
    </row>
    <row r="9396" spans="1:26" ht="15" x14ac:dyDescent="0.25">
      <c r="A9396" s="4" t="s">
        <v>9394</v>
      </c>
      <c r="B9396" s="4" t="s">
        <v>9011</v>
      </c>
      <c r="C9396" s="2" t="str">
        <f ca="1">IFERROR(__xludf.DUMMYFUNCTION("GOOGLETRANSLATE(A9396,""bn"",""en"")"),"I will be more focused on my studies in the next year so that I can get good results")</f>
        <v>I will be more focused on my studies in the next year so that I can get good results</v>
      </c>
      <c r="D9396" s="5"/>
      <c r="E9396" s="5"/>
      <c r="F9396" s="5"/>
      <c r="G9396" s="5"/>
      <c r="H9396" s="5"/>
      <c r="I9396" s="5"/>
      <c r="J9396" s="5"/>
      <c r="K9396" s="5"/>
      <c r="L9396" s="5"/>
      <c r="M9396" s="5"/>
      <c r="N9396" s="5"/>
      <c r="O9396" s="5"/>
      <c r="P9396" s="5"/>
      <c r="Q9396" s="5"/>
      <c r="R9396" s="5"/>
      <c r="S9396" s="5"/>
      <c r="T9396" s="5"/>
      <c r="U9396" s="5"/>
      <c r="V9396" s="5"/>
      <c r="W9396" s="5"/>
      <c r="X9396" s="5"/>
      <c r="Y9396" s="5"/>
      <c r="Z9396" s="5"/>
    </row>
    <row r="9397" spans="1:26" ht="15" x14ac:dyDescent="0.25">
      <c r="A9397" s="4" t="s">
        <v>9395</v>
      </c>
      <c r="B9397" s="4" t="s">
        <v>9011</v>
      </c>
      <c r="C9397" s="2" t="str">
        <f ca="1">IFERROR(__xludf.DUMMYFUNCTION("GOOGLETRANSLATE(A9397,""bn"",""en"")"),"Next vacation we will go to a beautiful mountain where we will enjoy the beauty of nature")</f>
        <v>Next vacation we will go to a beautiful mountain where we will enjoy the beauty of nature</v>
      </c>
      <c r="D9397" s="5"/>
      <c r="E9397" s="5"/>
      <c r="F9397" s="5"/>
      <c r="G9397" s="5"/>
      <c r="H9397" s="5"/>
      <c r="I9397" s="5"/>
      <c r="J9397" s="5"/>
      <c r="K9397" s="5"/>
      <c r="L9397" s="5"/>
      <c r="M9397" s="5"/>
      <c r="N9397" s="5"/>
      <c r="O9397" s="5"/>
      <c r="P9397" s="5"/>
      <c r="Q9397" s="5"/>
      <c r="R9397" s="5"/>
      <c r="S9397" s="5"/>
      <c r="T9397" s="5"/>
      <c r="U9397" s="5"/>
      <c r="V9397" s="5"/>
      <c r="W9397" s="5"/>
      <c r="X9397" s="5"/>
      <c r="Y9397" s="5"/>
      <c r="Z9397" s="5"/>
    </row>
    <row r="9398" spans="1:26" ht="15" x14ac:dyDescent="0.25">
      <c r="A9398" s="4" t="s">
        <v>9396</v>
      </c>
      <c r="B9398" s="4" t="s">
        <v>9011</v>
      </c>
      <c r="C9398" s="2" t="str">
        <f ca="1">IFERROR(__xludf.DUMMYFUNCTION("GOOGLETRANSLATE(A9398,""bn"",""en"")"),"The days of hanging out with school friends will never come back")</f>
        <v>The days of hanging out with school friends will never come back</v>
      </c>
      <c r="D9398" s="5"/>
      <c r="E9398" s="5"/>
      <c r="F9398" s="5"/>
      <c r="G9398" s="5"/>
      <c r="H9398" s="5"/>
      <c r="I9398" s="5"/>
      <c r="J9398" s="5"/>
      <c r="K9398" s="5"/>
      <c r="L9398" s="5"/>
      <c r="M9398" s="5"/>
      <c r="N9398" s="5"/>
      <c r="O9398" s="5"/>
      <c r="P9398" s="5"/>
      <c r="Q9398" s="5"/>
      <c r="R9398" s="5"/>
      <c r="S9398" s="5"/>
      <c r="T9398" s="5"/>
      <c r="U9398" s="5"/>
      <c r="V9398" s="5"/>
      <c r="W9398" s="5"/>
      <c r="X9398" s="5"/>
      <c r="Y9398" s="5"/>
      <c r="Z9398" s="5"/>
    </row>
    <row r="9399" spans="1:26" ht="15" x14ac:dyDescent="0.25">
      <c r="A9399" s="4" t="s">
        <v>9397</v>
      </c>
      <c r="B9399" s="4" t="s">
        <v>9011</v>
      </c>
      <c r="C9399" s="2" t="str">
        <f ca="1">IFERROR(__xludf.DUMMYFUNCTION("GOOGLETRANSLATE(A9399,""bn"",""en"")"),"Hearing the news of mother's promotion, there will be rejoicing in the house. I will congratulate mother for this success")</f>
        <v>Hearing the news of mother's promotion, there will be rejoicing in the house. I will congratulate mother for this success</v>
      </c>
      <c r="D9399" s="5"/>
      <c r="E9399" s="5"/>
      <c r="F9399" s="5"/>
      <c r="G9399" s="5"/>
      <c r="H9399" s="5"/>
      <c r="I9399" s="5"/>
      <c r="J9399" s="5"/>
      <c r="K9399" s="5"/>
      <c r="L9399" s="5"/>
      <c r="M9399" s="5"/>
      <c r="N9399" s="5"/>
      <c r="O9399" s="5"/>
      <c r="P9399" s="5"/>
      <c r="Q9399" s="5"/>
      <c r="R9399" s="5"/>
      <c r="S9399" s="5"/>
      <c r="T9399" s="5"/>
      <c r="U9399" s="5"/>
      <c r="V9399" s="5"/>
      <c r="W9399" s="5"/>
      <c r="X9399" s="5"/>
      <c r="Y9399" s="5"/>
      <c r="Z9399" s="5"/>
    </row>
    <row r="9400" spans="1:26" ht="15" x14ac:dyDescent="0.25">
      <c r="A9400" s="4" t="s">
        <v>9398</v>
      </c>
      <c r="B9400" s="4" t="s">
        <v>9011</v>
      </c>
      <c r="C9400" s="2" t="str">
        <f ca="1">IFERROR(__xludf.DUMMYFUNCTION("GOOGLETRANSLATE(A9400,""bn"",""en"")"),"In the future I will work in a cancer research institute where I will invent new treatments")</f>
        <v>In the future I will work in a cancer research institute where I will invent new treatments</v>
      </c>
      <c r="D9400" s="5"/>
      <c r="E9400" s="5"/>
      <c r="F9400" s="5"/>
      <c r="G9400" s="5"/>
      <c r="H9400" s="5"/>
      <c r="I9400" s="5"/>
      <c r="J9400" s="5"/>
      <c r="K9400" s="5"/>
      <c r="L9400" s="5"/>
      <c r="M9400" s="5"/>
      <c r="N9400" s="5"/>
      <c r="O9400" s="5"/>
      <c r="P9400" s="5"/>
      <c r="Q9400" s="5"/>
      <c r="R9400" s="5"/>
      <c r="S9400" s="5"/>
      <c r="T9400" s="5"/>
      <c r="U9400" s="5"/>
      <c r="V9400" s="5"/>
      <c r="W9400" s="5"/>
      <c r="X9400" s="5"/>
      <c r="Y9400" s="5"/>
      <c r="Z9400" s="5"/>
    </row>
    <row r="9401" spans="1:26" ht="15" x14ac:dyDescent="0.25">
      <c r="A9401" s="4" t="s">
        <v>9399</v>
      </c>
      <c r="B9401" s="4" t="s">
        <v>9011</v>
      </c>
      <c r="C9401" s="2" t="str">
        <f ca="1">IFERROR(__xludf.DUMMYFUNCTION("GOOGLETRANSLATE(A9401,""bn"",""en"")"),"Preparation of laughter will improve the perception of happiness")</f>
        <v>Preparation of laughter will improve the perception of happiness</v>
      </c>
      <c r="D9401" s="5"/>
      <c r="E9401" s="5"/>
      <c r="F9401" s="5"/>
      <c r="G9401" s="5"/>
      <c r="H9401" s="5"/>
      <c r="I9401" s="5"/>
      <c r="J9401" s="5"/>
      <c r="K9401" s="5"/>
      <c r="L9401" s="5"/>
      <c r="M9401" s="5"/>
      <c r="N9401" s="5"/>
      <c r="O9401" s="5"/>
      <c r="P9401" s="5"/>
      <c r="Q9401" s="5"/>
      <c r="R9401" s="5"/>
      <c r="S9401" s="5"/>
      <c r="T9401" s="5"/>
      <c r="U9401" s="5"/>
      <c r="V9401" s="5"/>
      <c r="W9401" s="5"/>
      <c r="X9401" s="5"/>
      <c r="Y9401" s="5"/>
      <c r="Z9401" s="5"/>
    </row>
    <row r="9402" spans="1:26" ht="15" x14ac:dyDescent="0.25">
      <c r="A9402" s="4" t="s">
        <v>9400</v>
      </c>
      <c r="B9402" s="4" t="s">
        <v>9011</v>
      </c>
      <c r="C9402" s="2" t="str">
        <f ca="1">IFERROR(__xludf.DUMMYFUNCTION("GOOGLETRANSLATE(A9402,""bn"",""en"")"),"If their dreams come true, they will achieve the best success in life")</f>
        <v>If their dreams come true, they will achieve the best success in life</v>
      </c>
      <c r="D9402" s="5"/>
      <c r="E9402" s="5"/>
      <c r="F9402" s="5"/>
      <c r="G9402" s="5"/>
      <c r="H9402" s="5"/>
      <c r="I9402" s="5"/>
      <c r="J9402" s="5"/>
      <c r="K9402" s="5"/>
      <c r="L9402" s="5"/>
      <c r="M9402" s="5"/>
      <c r="N9402" s="5"/>
      <c r="O9402" s="5"/>
      <c r="P9402" s="5"/>
      <c r="Q9402" s="5"/>
      <c r="R9402" s="5"/>
      <c r="S9402" s="5"/>
      <c r="T9402" s="5"/>
      <c r="U9402" s="5"/>
      <c r="V9402" s="5"/>
      <c r="W9402" s="5"/>
      <c r="X9402" s="5"/>
      <c r="Y9402" s="5"/>
      <c r="Z9402" s="5"/>
    </row>
    <row r="9403" spans="1:26" ht="15" x14ac:dyDescent="0.25">
      <c r="A9403" s="4" t="s">
        <v>9401</v>
      </c>
      <c r="B9403" s="4" t="s">
        <v>9011</v>
      </c>
      <c r="C9403" s="2" t="str">
        <f ca="1">IFERROR(__xludf.DUMMYFUNCTION("GOOGLETRANSLATE(A9403,""bn"",""en"")"),"He will address a seminar on advanced agricultural technology next Friday")</f>
        <v>He will address a seminar on advanced agricultural technology next Friday</v>
      </c>
      <c r="D9403" s="5"/>
      <c r="E9403" s="5"/>
      <c r="F9403" s="5"/>
      <c r="G9403" s="5"/>
      <c r="H9403" s="5"/>
      <c r="I9403" s="5"/>
      <c r="J9403" s="5"/>
      <c r="K9403" s="5"/>
      <c r="L9403" s="5"/>
      <c r="M9403" s="5"/>
      <c r="N9403" s="5"/>
      <c r="O9403" s="5"/>
      <c r="P9403" s="5"/>
      <c r="Q9403" s="5"/>
      <c r="R9403" s="5"/>
      <c r="S9403" s="5"/>
      <c r="T9403" s="5"/>
      <c r="U9403" s="5"/>
      <c r="V9403" s="5"/>
      <c r="W9403" s="5"/>
      <c r="X9403" s="5"/>
      <c r="Y9403" s="5"/>
      <c r="Z9403" s="5"/>
    </row>
    <row r="9404" spans="1:26" ht="15" x14ac:dyDescent="0.25">
      <c r="A9404" s="4" t="s">
        <v>9402</v>
      </c>
      <c r="B9404" s="4" t="s">
        <v>9011</v>
      </c>
      <c r="C9404" s="2" t="str">
        <f ca="1">IFERROR(__xludf.DUMMYFUNCTION("GOOGLETRANSLATE(A9404,""bn"",""en"")"),"After eating food from mother's hand, I will feel like I will go back to my childhood and enter my mother's lap again")</f>
        <v>After eating food from mother's hand, I will feel like I will go back to my childhood and enter my mother's lap again</v>
      </c>
      <c r="D9404" s="5"/>
      <c r="E9404" s="5"/>
      <c r="F9404" s="5"/>
      <c r="G9404" s="5"/>
      <c r="H9404" s="5"/>
      <c r="I9404" s="5"/>
      <c r="J9404" s="5"/>
      <c r="K9404" s="5"/>
      <c r="L9404" s="5"/>
      <c r="M9404" s="5"/>
      <c r="N9404" s="5"/>
      <c r="O9404" s="5"/>
      <c r="P9404" s="5"/>
      <c r="Q9404" s="5"/>
      <c r="R9404" s="5"/>
      <c r="S9404" s="5"/>
      <c r="T9404" s="5"/>
      <c r="U9404" s="5"/>
      <c r="V9404" s="5"/>
      <c r="W9404" s="5"/>
      <c r="X9404" s="5"/>
      <c r="Y9404" s="5"/>
      <c r="Z9404" s="5"/>
    </row>
    <row r="9405" spans="1:26" ht="15" x14ac:dyDescent="0.25">
      <c r="A9405" s="4" t="s">
        <v>9403</v>
      </c>
      <c r="B9405" s="4" t="s">
        <v>9011</v>
      </c>
      <c r="C9405" s="2" t="str">
        <f ca="1">IFERROR(__xludf.DUMMYFUNCTION("GOOGLETRANSLATE(A9405,""bn"",""en"")"),"Next month I will write a new song")</f>
        <v>Next month I will write a new song</v>
      </c>
      <c r="D9405" s="5"/>
      <c r="E9405" s="5"/>
      <c r="F9405" s="5"/>
      <c r="G9405" s="5"/>
      <c r="H9405" s="5"/>
      <c r="I9405" s="5"/>
      <c r="J9405" s="5"/>
      <c r="K9405" s="5"/>
      <c r="L9405" s="5"/>
      <c r="M9405" s="5"/>
      <c r="N9405" s="5"/>
      <c r="O9405" s="5"/>
      <c r="P9405" s="5"/>
      <c r="Q9405" s="5"/>
      <c r="R9405" s="5"/>
      <c r="S9405" s="5"/>
      <c r="T9405" s="5"/>
      <c r="U9405" s="5"/>
      <c r="V9405" s="5"/>
      <c r="W9405" s="5"/>
      <c r="X9405" s="5"/>
      <c r="Y9405" s="5"/>
      <c r="Z9405" s="5"/>
    </row>
    <row r="9406" spans="1:26" ht="15" x14ac:dyDescent="0.25">
      <c r="A9406" s="4" t="s">
        <v>9404</v>
      </c>
      <c r="B9406" s="4" t="s">
        <v>9011</v>
      </c>
      <c r="C9406" s="2" t="str">
        <f ca="1">IFERROR(__xludf.DUMMYFUNCTION("GOOGLETRANSLATE(A9406,""bn"",""en"")"),"He will be rereading next week")</f>
        <v>He will be rereading next week</v>
      </c>
      <c r="D9406" s="5"/>
      <c r="E9406" s="5"/>
      <c r="F9406" s="5"/>
      <c r="G9406" s="5"/>
      <c r="H9406" s="5"/>
      <c r="I9406" s="5"/>
      <c r="J9406" s="5"/>
      <c r="K9406" s="5"/>
      <c r="L9406" s="5"/>
      <c r="M9406" s="5"/>
      <c r="N9406" s="5"/>
      <c r="O9406" s="5"/>
      <c r="P9406" s="5"/>
      <c r="Q9406" s="5"/>
      <c r="R9406" s="5"/>
      <c r="S9406" s="5"/>
      <c r="T9406" s="5"/>
      <c r="U9406" s="5"/>
      <c r="V9406" s="5"/>
      <c r="W9406" s="5"/>
      <c r="X9406" s="5"/>
      <c r="Y9406" s="5"/>
      <c r="Z9406" s="5"/>
    </row>
    <row r="9407" spans="1:26" ht="15" x14ac:dyDescent="0.25">
      <c r="A9407" s="4" t="s">
        <v>9405</v>
      </c>
      <c r="B9407" s="4" t="s">
        <v>9011</v>
      </c>
      <c r="C9407" s="2" t="str">
        <f ca="1">IFERROR(__xludf.DUMMYFUNCTION("GOOGLETRANSLATE(A9407,""bn"",""en"")"),"Anander Jugul Author Shahadat Hussain reading the book, the mind will be enriched with happiness.")</f>
        <v>Anander Jugul Author Shahadat Hussain reading the book, the mind will be enriched with happiness.</v>
      </c>
      <c r="D9407" s="5"/>
      <c r="E9407" s="5"/>
      <c r="F9407" s="5"/>
      <c r="G9407" s="5"/>
      <c r="H9407" s="5"/>
      <c r="I9407" s="5"/>
      <c r="J9407" s="5"/>
      <c r="K9407" s="5"/>
      <c r="L9407" s="5"/>
      <c r="M9407" s="5"/>
      <c r="N9407" s="5"/>
      <c r="O9407" s="5"/>
      <c r="P9407" s="5"/>
      <c r="Q9407" s="5"/>
      <c r="R9407" s="5"/>
      <c r="S9407" s="5"/>
      <c r="T9407" s="5"/>
      <c r="U9407" s="5"/>
      <c r="V9407" s="5"/>
      <c r="W9407" s="5"/>
      <c r="X9407" s="5"/>
      <c r="Y9407" s="5"/>
      <c r="Z9407" s="5"/>
    </row>
    <row r="9408" spans="1:26" ht="15" x14ac:dyDescent="0.25">
      <c r="A9408" s="4" t="s">
        <v>9406</v>
      </c>
      <c r="B9408" s="4" t="s">
        <v>9011</v>
      </c>
      <c r="C9408" s="2" t="str">
        <f ca="1">IFERROR(__xludf.DUMMYFUNCTION("GOOGLETRANSLATE(A9408,""bn"",""en"")"),"Salat will be the sweetest moment to get close to God even in the busyness of life")</f>
        <v>Salat will be the sweetest moment to get close to God even in the busyness of life</v>
      </c>
      <c r="D9408" s="5"/>
      <c r="E9408" s="5"/>
      <c r="F9408" s="5"/>
      <c r="G9408" s="5"/>
      <c r="H9408" s="5"/>
      <c r="I9408" s="5"/>
      <c r="J9408" s="5"/>
      <c r="K9408" s="5"/>
      <c r="L9408" s="5"/>
      <c r="M9408" s="5"/>
      <c r="N9408" s="5"/>
      <c r="O9408" s="5"/>
      <c r="P9408" s="5"/>
      <c r="Q9408" s="5"/>
      <c r="R9408" s="5"/>
      <c r="S9408" s="5"/>
      <c r="T9408" s="5"/>
      <c r="U9408" s="5"/>
      <c r="V9408" s="5"/>
      <c r="W9408" s="5"/>
      <c r="X9408" s="5"/>
      <c r="Y9408" s="5"/>
      <c r="Z9408" s="5"/>
    </row>
    <row r="9409" spans="1:26" ht="15" x14ac:dyDescent="0.25">
      <c r="A9409" s="4" t="s">
        <v>9407</v>
      </c>
      <c r="B9409" s="4" t="s">
        <v>9011</v>
      </c>
      <c r="C9409" s="2" t="str">
        <f ca="1">IFERROR(__xludf.DUMMYFUNCTION("GOOGLETRANSLATE(A9409,""bn"",""en"")"),"He will attend an important business meeting tomorrow where the new business plan will be discussed")</f>
        <v>He will attend an important business meeting tomorrow where the new business plan will be discussed</v>
      </c>
      <c r="D9409" s="5"/>
      <c r="E9409" s="5"/>
      <c r="F9409" s="5"/>
      <c r="G9409" s="5"/>
      <c r="H9409" s="5"/>
      <c r="I9409" s="5"/>
      <c r="J9409" s="5"/>
      <c r="K9409" s="5"/>
      <c r="L9409" s="5"/>
      <c r="M9409" s="5"/>
      <c r="N9409" s="5"/>
      <c r="O9409" s="5"/>
      <c r="P9409" s="5"/>
      <c r="Q9409" s="5"/>
      <c r="R9409" s="5"/>
      <c r="S9409" s="5"/>
      <c r="T9409" s="5"/>
      <c r="U9409" s="5"/>
      <c r="V9409" s="5"/>
      <c r="W9409" s="5"/>
      <c r="X9409" s="5"/>
      <c r="Y9409" s="5"/>
      <c r="Z9409" s="5"/>
    </row>
    <row r="9410" spans="1:26" ht="15" x14ac:dyDescent="0.25">
      <c r="A9410" s="4" t="s">
        <v>9408</v>
      </c>
      <c r="B9410" s="4" t="s">
        <v>9011</v>
      </c>
      <c r="C9410" s="2" t="str">
        <f ca="1">IFERROR(__xludf.DUMMYFUNCTION("GOOGLETRANSLATE(A9410,""bn"",""en"")"),"I will develop an agricultural technology that will help increase food production")</f>
        <v>I will develop an agricultural technology that will help increase food production</v>
      </c>
      <c r="D9410" s="5"/>
      <c r="E9410" s="5"/>
      <c r="F9410" s="5"/>
      <c r="G9410" s="5"/>
      <c r="H9410" s="5"/>
      <c r="I9410" s="5"/>
      <c r="J9410" s="5"/>
      <c r="K9410" s="5"/>
      <c r="L9410" s="5"/>
      <c r="M9410" s="5"/>
      <c r="N9410" s="5"/>
      <c r="O9410" s="5"/>
      <c r="P9410" s="5"/>
      <c r="Q9410" s="5"/>
      <c r="R9410" s="5"/>
      <c r="S9410" s="5"/>
      <c r="T9410" s="5"/>
      <c r="U9410" s="5"/>
      <c r="V9410" s="5"/>
      <c r="W9410" s="5"/>
      <c r="X9410" s="5"/>
      <c r="Y9410" s="5"/>
      <c r="Z9410" s="5"/>
    </row>
    <row r="9411" spans="1:26" ht="15" x14ac:dyDescent="0.25">
      <c r="A9411" s="4" t="s">
        <v>9409</v>
      </c>
      <c r="B9411" s="4" t="s">
        <v>9011</v>
      </c>
      <c r="C9411" s="2" t="str">
        <f ca="1">IFERROR(__xludf.DUMMYFUNCTION("GOOGLETRANSLATE(A9411,""bn"",""en"")"),"He will begin work next year on a new international research project that will have global implications")</f>
        <v>He will begin work next year on a new international research project that will have global implications</v>
      </c>
      <c r="D9411" s="5"/>
      <c r="E9411" s="5"/>
      <c r="F9411" s="5"/>
      <c r="G9411" s="5"/>
      <c r="H9411" s="5"/>
      <c r="I9411" s="5"/>
      <c r="J9411" s="5"/>
      <c r="K9411" s="5"/>
      <c r="L9411" s="5"/>
      <c r="M9411" s="5"/>
      <c r="N9411" s="5"/>
      <c r="O9411" s="5"/>
      <c r="P9411" s="5"/>
      <c r="Q9411" s="5"/>
      <c r="R9411" s="5"/>
      <c r="S9411" s="5"/>
      <c r="T9411" s="5"/>
      <c r="U9411" s="5"/>
      <c r="V9411" s="5"/>
      <c r="W9411" s="5"/>
      <c r="X9411" s="5"/>
      <c r="Y9411" s="5"/>
      <c r="Z9411" s="5"/>
    </row>
    <row r="9412" spans="1:26" ht="15" x14ac:dyDescent="0.25">
      <c r="A9412" s="4" t="s">
        <v>9410</v>
      </c>
      <c r="B9412" s="4" t="s">
        <v>9011</v>
      </c>
      <c r="C9412" s="2" t="str">
        <f ca="1">IFERROR(__xludf.DUMMYFUNCTION("GOOGLETRANSLATE(A9412,""bn"",""en"")"),"They will be taking part in a new art exhibition next week which will be a medium to express their creativity")</f>
        <v>They will be taking part in a new art exhibition next week which will be a medium to express their creativity</v>
      </c>
      <c r="D9412" s="5"/>
      <c r="E9412" s="5"/>
      <c r="F9412" s="5"/>
      <c r="G9412" s="5"/>
      <c r="H9412" s="5"/>
      <c r="I9412" s="5"/>
      <c r="J9412" s="5"/>
      <c r="K9412" s="5"/>
      <c r="L9412" s="5"/>
      <c r="M9412" s="5"/>
      <c r="N9412" s="5"/>
      <c r="O9412" s="5"/>
      <c r="P9412" s="5"/>
      <c r="Q9412" s="5"/>
      <c r="R9412" s="5"/>
      <c r="S9412" s="5"/>
      <c r="T9412" s="5"/>
      <c r="U9412" s="5"/>
      <c r="V9412" s="5"/>
      <c r="W9412" s="5"/>
      <c r="X9412" s="5"/>
      <c r="Y9412" s="5"/>
      <c r="Z9412" s="5"/>
    </row>
    <row r="9413" spans="1:26" ht="15" x14ac:dyDescent="0.25">
      <c r="A9413" s="4" t="s">
        <v>9411</v>
      </c>
      <c r="B9413" s="4" t="s">
        <v>9011</v>
      </c>
      <c r="C9413" s="2" t="str">
        <f ca="1">IFERROR(__xludf.DUMMYFUNCTION("GOOGLETRANSLATE(A9413,""bn"",""en"")"),"You will be my strength and I will always be by your side")</f>
        <v>You will be my strength and I will always be by your side</v>
      </c>
      <c r="D9413" s="5"/>
      <c r="E9413" s="5"/>
      <c r="F9413" s="5"/>
      <c r="G9413" s="5"/>
      <c r="H9413" s="5"/>
      <c r="I9413" s="5"/>
      <c r="J9413" s="5"/>
      <c r="K9413" s="5"/>
      <c r="L9413" s="5"/>
      <c r="M9413" s="5"/>
      <c r="N9413" s="5"/>
      <c r="O9413" s="5"/>
      <c r="P9413" s="5"/>
      <c r="Q9413" s="5"/>
      <c r="R9413" s="5"/>
      <c r="S9413" s="5"/>
      <c r="T9413" s="5"/>
      <c r="U9413" s="5"/>
      <c r="V9413" s="5"/>
      <c r="W9413" s="5"/>
      <c r="X9413" s="5"/>
      <c r="Y9413" s="5"/>
      <c r="Z9413" s="5"/>
    </row>
    <row r="9414" spans="1:26" ht="15" x14ac:dyDescent="0.25">
      <c r="A9414" s="4" t="s">
        <v>9412</v>
      </c>
      <c r="B9414" s="4" t="s">
        <v>9011</v>
      </c>
      <c r="C9414" s="2" t="str">
        <f ca="1">IFERROR(__xludf.DUMMYFUNCTION("GOOGLETRANSLATE(A9414,""bn"",""en"")"),"I will explore new horizons of cooking with a new dish")</f>
        <v>I will explore new horizons of cooking with a new dish</v>
      </c>
      <c r="D9414" s="5"/>
      <c r="E9414" s="5"/>
      <c r="F9414" s="5"/>
      <c r="G9414" s="5"/>
      <c r="H9414" s="5"/>
      <c r="I9414" s="5"/>
      <c r="J9414" s="5"/>
      <c r="K9414" s="5"/>
      <c r="L9414" s="5"/>
      <c r="M9414" s="5"/>
      <c r="N9414" s="5"/>
      <c r="O9414" s="5"/>
      <c r="P9414" s="5"/>
      <c r="Q9414" s="5"/>
      <c r="R9414" s="5"/>
      <c r="S9414" s="5"/>
      <c r="T9414" s="5"/>
      <c r="U9414" s="5"/>
      <c r="V9414" s="5"/>
      <c r="W9414" s="5"/>
      <c r="X9414" s="5"/>
      <c r="Y9414" s="5"/>
      <c r="Z9414" s="5"/>
    </row>
    <row r="9415" spans="1:26" ht="15" x14ac:dyDescent="0.25">
      <c r="A9415" s="4" t="s">
        <v>9413</v>
      </c>
      <c r="B9415" s="4" t="s">
        <v>9011</v>
      </c>
      <c r="C9415" s="2" t="str">
        <f ca="1">IFERROR(__xludf.DUMMYFUNCTION("GOOGLETRANSLATE(A9415,""bn"",""en"")"),"They complete the project management when they reach their goals")</f>
        <v>They complete the project management when they reach their goals</v>
      </c>
      <c r="D9415" s="5"/>
      <c r="E9415" s="5"/>
      <c r="F9415" s="5"/>
      <c r="G9415" s="5"/>
      <c r="H9415" s="5"/>
      <c r="I9415" s="5"/>
      <c r="J9415" s="5"/>
      <c r="K9415" s="5"/>
      <c r="L9415" s="5"/>
      <c r="M9415" s="5"/>
      <c r="N9415" s="5"/>
      <c r="O9415" s="5"/>
      <c r="P9415" s="5"/>
      <c r="Q9415" s="5"/>
      <c r="R9415" s="5"/>
      <c r="S9415" s="5"/>
      <c r="T9415" s="5"/>
      <c r="U9415" s="5"/>
      <c r="V9415" s="5"/>
      <c r="W9415" s="5"/>
      <c r="X9415" s="5"/>
      <c r="Y9415" s="5"/>
      <c r="Z9415" s="5"/>
    </row>
    <row r="9416" spans="1:26" ht="15" x14ac:dyDescent="0.25">
      <c r="A9416" s="4" t="s">
        <v>9414</v>
      </c>
      <c r="B9416" s="4" t="s">
        <v>9011</v>
      </c>
      <c r="C9416" s="2" t="str">
        <f ca="1">IFERROR(__xludf.DUMMYFUNCTION("GOOGLETRANSLATE(A9416,""bn"",""en"")"),"Tomorrow they will launch a new social enterprise which will work for the development of the neglected sections of the society")</f>
        <v>Tomorrow they will launch a new social enterprise which will work for the development of the neglected sections of the society</v>
      </c>
      <c r="D9416" s="5"/>
      <c r="E9416" s="5"/>
      <c r="F9416" s="5"/>
      <c r="G9416" s="5"/>
      <c r="H9416" s="5"/>
      <c r="I9416" s="5"/>
      <c r="J9416" s="5"/>
      <c r="K9416" s="5"/>
      <c r="L9416" s="5"/>
      <c r="M9416" s="5"/>
      <c r="N9416" s="5"/>
      <c r="O9416" s="5"/>
      <c r="P9416" s="5"/>
      <c r="Q9416" s="5"/>
      <c r="R9416" s="5"/>
      <c r="S9416" s="5"/>
      <c r="T9416" s="5"/>
      <c r="U9416" s="5"/>
      <c r="V9416" s="5"/>
      <c r="W9416" s="5"/>
      <c r="X9416" s="5"/>
      <c r="Y9416" s="5"/>
      <c r="Z9416" s="5"/>
    </row>
    <row r="9417" spans="1:26" ht="15" x14ac:dyDescent="0.25">
      <c r="A9417" s="4" t="s">
        <v>9415</v>
      </c>
      <c r="B9417" s="4" t="s">
        <v>9011</v>
      </c>
      <c r="C9417" s="2" t="str">
        <f ca="1">IFERROR(__xludf.DUMMYFUNCTION("GOOGLETRANSLATE(A9417,""bn"",""en"")"),"You will play a new game next week")</f>
        <v>You will play a new game next week</v>
      </c>
      <c r="D9417" s="5"/>
      <c r="E9417" s="5"/>
      <c r="F9417" s="5"/>
      <c r="G9417" s="5"/>
      <c r="H9417" s="5"/>
      <c r="I9417" s="5"/>
      <c r="J9417" s="5"/>
      <c r="K9417" s="5"/>
      <c r="L9417" s="5"/>
      <c r="M9417" s="5"/>
      <c r="N9417" s="5"/>
      <c r="O9417" s="5"/>
      <c r="P9417" s="5"/>
      <c r="Q9417" s="5"/>
      <c r="R9417" s="5"/>
      <c r="S9417" s="5"/>
      <c r="T9417" s="5"/>
      <c r="U9417" s="5"/>
      <c r="V9417" s="5"/>
      <c r="W9417" s="5"/>
      <c r="X9417" s="5"/>
      <c r="Y9417" s="5"/>
      <c r="Z9417" s="5"/>
    </row>
    <row r="9418" spans="1:26" ht="15" x14ac:dyDescent="0.25">
      <c r="A9418" s="4" t="s">
        <v>9416</v>
      </c>
      <c r="B9418" s="4" t="s">
        <v>9011</v>
      </c>
      <c r="C9418" s="2" t="str">
        <f ca="1">IFERROR(__xludf.DUMMYFUNCTION("GOOGLETRANSLATE(A9418,""bn"",""en"")"),"Adapting to a new climate and environment will be a challenge but will be excited for new experiences")</f>
        <v>Adapting to a new climate and environment will be a challenge but will be excited for new experiences</v>
      </c>
      <c r="D9418" s="5"/>
      <c r="E9418" s="5"/>
      <c r="F9418" s="5"/>
      <c r="G9418" s="5"/>
      <c r="H9418" s="5"/>
      <c r="I9418" s="5"/>
      <c r="J9418" s="5"/>
      <c r="K9418" s="5"/>
      <c r="L9418" s="5"/>
      <c r="M9418" s="5"/>
      <c r="N9418" s="5"/>
      <c r="O9418" s="5"/>
      <c r="P9418" s="5"/>
      <c r="Q9418" s="5"/>
      <c r="R9418" s="5"/>
      <c r="S9418" s="5"/>
      <c r="T9418" s="5"/>
      <c r="U9418" s="5"/>
      <c r="V9418" s="5"/>
      <c r="W9418" s="5"/>
      <c r="X9418" s="5"/>
      <c r="Y9418" s="5"/>
      <c r="Z9418" s="5"/>
    </row>
    <row r="9419" spans="1:26" ht="15" x14ac:dyDescent="0.25">
      <c r="A9419" s="4" t="s">
        <v>9417</v>
      </c>
      <c r="B9419" s="4" t="s">
        <v>9011</v>
      </c>
      <c r="C9419" s="2" t="str">
        <f ca="1">IFERROR(__xludf.DUMMYFUNCTION("GOOGLETRANSLATE(A9419,""bn"",""en"")"),"He will give a presentation on new methods of cancer research next Friday")</f>
        <v>He will give a presentation on new methods of cancer research next Friday</v>
      </c>
      <c r="D9419" s="5"/>
      <c r="E9419" s="5"/>
      <c r="F9419" s="5"/>
      <c r="G9419" s="5"/>
      <c r="H9419" s="5"/>
      <c r="I9419" s="5"/>
      <c r="J9419" s="5"/>
      <c r="K9419" s="5"/>
      <c r="L9419" s="5"/>
      <c r="M9419" s="5"/>
      <c r="N9419" s="5"/>
      <c r="O9419" s="5"/>
      <c r="P9419" s="5"/>
      <c r="Q9419" s="5"/>
      <c r="R9419" s="5"/>
      <c r="S9419" s="5"/>
      <c r="T9419" s="5"/>
      <c r="U9419" s="5"/>
      <c r="V9419" s="5"/>
      <c r="W9419" s="5"/>
      <c r="X9419" s="5"/>
      <c r="Y9419" s="5"/>
      <c r="Z9419" s="5"/>
    </row>
    <row r="9420" spans="1:26" ht="15" x14ac:dyDescent="0.25">
      <c r="A9420" s="4" t="s">
        <v>9418</v>
      </c>
      <c r="B9420" s="4" t="s">
        <v>9011</v>
      </c>
      <c r="C9420" s="2" t="str">
        <f ca="1">IFERROR(__xludf.DUMMYFUNCTION("GOOGLETRANSLATE(A9420,""bn"",""en"")"),"OK, then lend me the first salary")</f>
        <v>OK, then lend me the first salary</v>
      </c>
      <c r="D9420" s="5"/>
      <c r="E9420" s="5"/>
      <c r="F9420" s="5"/>
      <c r="G9420" s="5"/>
      <c r="H9420" s="5"/>
      <c r="I9420" s="5"/>
      <c r="J9420" s="5"/>
      <c r="K9420" s="5"/>
      <c r="L9420" s="5"/>
      <c r="M9420" s="5"/>
      <c r="N9420" s="5"/>
      <c r="O9420" s="5"/>
      <c r="P9420" s="5"/>
      <c r="Q9420" s="5"/>
      <c r="R9420" s="5"/>
      <c r="S9420" s="5"/>
      <c r="T9420" s="5"/>
      <c r="U9420" s="5"/>
      <c r="V9420" s="5"/>
      <c r="W9420" s="5"/>
      <c r="X9420" s="5"/>
      <c r="Y9420" s="5"/>
      <c r="Z9420" s="5"/>
    </row>
    <row r="9421" spans="1:26" ht="15" x14ac:dyDescent="0.25">
      <c r="A9421" s="4" t="s">
        <v>9419</v>
      </c>
      <c r="B9421" s="4" t="s">
        <v>9011</v>
      </c>
      <c r="C9421" s="2" t="str">
        <f ca="1">IFERROR(__xludf.DUMMYFUNCTION("GOOGLETRANSLATE(A9421,""bn"",""en"")"),"He will complete the prescreen work when he goes abroad next month")</f>
        <v>He will complete the prescreen work when he goes abroad next month</v>
      </c>
      <c r="D9421" s="5"/>
      <c r="E9421" s="5"/>
      <c r="F9421" s="5"/>
      <c r="G9421" s="5"/>
      <c r="H9421" s="5"/>
      <c r="I9421" s="5"/>
      <c r="J9421" s="5"/>
      <c r="K9421" s="5"/>
      <c r="L9421" s="5"/>
      <c r="M9421" s="5"/>
      <c r="N9421" s="5"/>
      <c r="O9421" s="5"/>
      <c r="P9421" s="5"/>
      <c r="Q9421" s="5"/>
      <c r="R9421" s="5"/>
      <c r="S9421" s="5"/>
      <c r="T9421" s="5"/>
      <c r="U9421" s="5"/>
      <c r="V9421" s="5"/>
      <c r="W9421" s="5"/>
      <c r="X9421" s="5"/>
      <c r="Y9421" s="5"/>
      <c r="Z9421" s="5"/>
    </row>
    <row r="9422" spans="1:26" ht="15" x14ac:dyDescent="0.25">
      <c r="A9422" s="4" t="s">
        <v>9420</v>
      </c>
      <c r="B9422" s="4" t="s">
        <v>9011</v>
      </c>
      <c r="C9422" s="2" t="str">
        <f ca="1">IFERROR(__xludf.DUMMYFUNCTION("GOOGLETRANSLATE(A9422,""bn"",""en"")"),"Tomorrow we will attend a special workshop where we will learn how to work using new technologies")</f>
        <v>Tomorrow we will attend a special workshop where we will learn how to work using new technologies</v>
      </c>
      <c r="D9422" s="5"/>
      <c r="E9422" s="5"/>
      <c r="F9422" s="5"/>
      <c r="G9422" s="5"/>
      <c r="H9422" s="5"/>
      <c r="I9422" s="5"/>
      <c r="J9422" s="5"/>
      <c r="K9422" s="5"/>
      <c r="L9422" s="5"/>
      <c r="M9422" s="5"/>
      <c r="N9422" s="5"/>
      <c r="O9422" s="5"/>
      <c r="P9422" s="5"/>
      <c r="Q9422" s="5"/>
      <c r="R9422" s="5"/>
      <c r="S9422" s="5"/>
      <c r="T9422" s="5"/>
      <c r="U9422" s="5"/>
      <c r="V9422" s="5"/>
      <c r="W9422" s="5"/>
      <c r="X9422" s="5"/>
      <c r="Y9422" s="5"/>
      <c r="Z9422" s="5"/>
    </row>
    <row r="9423" spans="1:26" ht="15" x14ac:dyDescent="0.25">
      <c r="A9423" s="4" t="s">
        <v>9421</v>
      </c>
      <c r="B9423" s="4" t="s">
        <v>9011</v>
      </c>
      <c r="C9423" s="2" t="str">
        <f ca="1">IFERROR(__xludf.DUMMYFUNCTION("GOOGLETRANSLATE(A9423,""bn"",""en"")"),"He will go to download the new mobile application tomorrow")</f>
        <v>He will go to download the new mobile application tomorrow</v>
      </c>
      <c r="D9423" s="5"/>
      <c r="E9423" s="5"/>
      <c r="F9423" s="5"/>
      <c r="G9423" s="5"/>
      <c r="H9423" s="5"/>
      <c r="I9423" s="5"/>
      <c r="J9423" s="5"/>
      <c r="K9423" s="5"/>
      <c r="L9423" s="5"/>
      <c r="M9423" s="5"/>
      <c r="N9423" s="5"/>
      <c r="O9423" s="5"/>
      <c r="P9423" s="5"/>
      <c r="Q9423" s="5"/>
      <c r="R9423" s="5"/>
      <c r="S9423" s="5"/>
      <c r="T9423" s="5"/>
      <c r="U9423" s="5"/>
      <c r="V9423" s="5"/>
      <c r="W9423" s="5"/>
      <c r="X9423" s="5"/>
      <c r="Y9423" s="5"/>
      <c r="Z9423" s="5"/>
    </row>
    <row r="9424" spans="1:26" ht="15" x14ac:dyDescent="0.25">
      <c r="A9424" s="4" t="s">
        <v>9422</v>
      </c>
      <c r="B9424" s="4" t="s">
        <v>9011</v>
      </c>
      <c r="C9424" s="2" t="str">
        <f ca="1">IFERROR(__xludf.DUMMYFUNCTION("GOOGLETRANSLATE(A9424,""bn"",""en"")"),"Going out of the cinema hall to chat with friends, I will take the wrong road")</f>
        <v>Going out of the cinema hall to chat with friends, I will take the wrong road</v>
      </c>
      <c r="D9424" s="5"/>
      <c r="E9424" s="5"/>
      <c r="F9424" s="5"/>
      <c r="G9424" s="5"/>
      <c r="H9424" s="5"/>
      <c r="I9424" s="5"/>
      <c r="J9424" s="5"/>
      <c r="K9424" s="5"/>
      <c r="L9424" s="5"/>
      <c r="M9424" s="5"/>
      <c r="N9424" s="5"/>
      <c r="O9424" s="5"/>
      <c r="P9424" s="5"/>
      <c r="Q9424" s="5"/>
      <c r="R9424" s="5"/>
      <c r="S9424" s="5"/>
      <c r="T9424" s="5"/>
      <c r="U9424" s="5"/>
      <c r="V9424" s="5"/>
      <c r="W9424" s="5"/>
      <c r="X9424" s="5"/>
      <c r="Y9424" s="5"/>
      <c r="Z9424" s="5"/>
    </row>
    <row r="9425" spans="1:26" ht="15" x14ac:dyDescent="0.25">
      <c r="A9425" s="4" t="s">
        <v>9423</v>
      </c>
      <c r="B9425" s="4" t="s">
        <v>9011</v>
      </c>
      <c r="C9425" s="2" t="str">
        <f ca="1">IFERROR(__xludf.DUMMYFUNCTION("GOOGLETRANSLATE(A9425,""bn"",""en"")"),"I will buy a special gift for myself today")</f>
        <v>I will buy a special gift for myself today</v>
      </c>
      <c r="D9425" s="5"/>
      <c r="E9425" s="5"/>
      <c r="F9425" s="5"/>
      <c r="G9425" s="5"/>
      <c r="H9425" s="5"/>
      <c r="I9425" s="5"/>
      <c r="J9425" s="5"/>
      <c r="K9425" s="5"/>
      <c r="L9425" s="5"/>
      <c r="M9425" s="5"/>
      <c r="N9425" s="5"/>
      <c r="O9425" s="5"/>
      <c r="P9425" s="5"/>
      <c r="Q9425" s="5"/>
      <c r="R9425" s="5"/>
      <c r="S9425" s="5"/>
      <c r="T9425" s="5"/>
      <c r="U9425" s="5"/>
      <c r="V9425" s="5"/>
      <c r="W9425" s="5"/>
      <c r="X9425" s="5"/>
      <c r="Y9425" s="5"/>
      <c r="Z9425" s="5"/>
    </row>
    <row r="9426" spans="1:26" ht="15" x14ac:dyDescent="0.25">
      <c r="A9426" s="4" t="s">
        <v>9424</v>
      </c>
      <c r="B9426" s="4" t="s">
        <v>9011</v>
      </c>
      <c r="C9426" s="2" t="str">
        <f ca="1">IFERROR(__xludf.DUMMYFUNCTION("GOOGLETRANSLATE(A9426,""bn"",""en"")"),"The end will give a shock that is beyond imagination")</f>
        <v>The end will give a shock that is beyond imagination</v>
      </c>
      <c r="D9426" s="5"/>
      <c r="E9426" s="5"/>
      <c r="F9426" s="5"/>
      <c r="G9426" s="5"/>
      <c r="H9426" s="5"/>
      <c r="I9426" s="5"/>
      <c r="J9426" s="5"/>
      <c r="K9426" s="5"/>
      <c r="L9426" s="5"/>
      <c r="M9426" s="5"/>
      <c r="N9426" s="5"/>
      <c r="O9426" s="5"/>
      <c r="P9426" s="5"/>
      <c r="Q9426" s="5"/>
      <c r="R9426" s="5"/>
      <c r="S9426" s="5"/>
      <c r="T9426" s="5"/>
      <c r="U9426" s="5"/>
      <c r="V9426" s="5"/>
      <c r="W9426" s="5"/>
      <c r="X9426" s="5"/>
      <c r="Y9426" s="5"/>
      <c r="Z9426" s="5"/>
    </row>
    <row r="9427" spans="1:26" ht="15" x14ac:dyDescent="0.25">
      <c r="A9427" s="4" t="s">
        <v>9425</v>
      </c>
      <c r="B9427" s="4" t="s">
        <v>9011</v>
      </c>
      <c r="C9427" s="2" t="str">
        <f ca="1">IFERROR(__xludf.DUMMYFUNCTION("GOOGLETRANSLATE(A9427,""bn"",""en"")"),"Nothing beats the fun of curling up in bed after a tiring day")</f>
        <v>Nothing beats the fun of curling up in bed after a tiring day</v>
      </c>
      <c r="D9427" s="5"/>
      <c r="E9427" s="5"/>
      <c r="F9427" s="5"/>
      <c r="G9427" s="5"/>
      <c r="H9427" s="5"/>
      <c r="I9427" s="5"/>
      <c r="J9427" s="5"/>
      <c r="K9427" s="5"/>
      <c r="L9427" s="5"/>
      <c r="M9427" s="5"/>
      <c r="N9427" s="5"/>
      <c r="O9427" s="5"/>
      <c r="P9427" s="5"/>
      <c r="Q9427" s="5"/>
      <c r="R9427" s="5"/>
      <c r="S9427" s="5"/>
      <c r="T9427" s="5"/>
      <c r="U9427" s="5"/>
      <c r="V9427" s="5"/>
      <c r="W9427" s="5"/>
      <c r="X9427" s="5"/>
      <c r="Y9427" s="5"/>
      <c r="Z9427" s="5"/>
    </row>
    <row r="9428" spans="1:26" ht="15" x14ac:dyDescent="0.25">
      <c r="A9428" s="4" t="s">
        <v>9426</v>
      </c>
      <c r="B9428" s="4" t="s">
        <v>9011</v>
      </c>
      <c r="C9428" s="2" t="str">
        <f ca="1">IFERROR(__xludf.DUMMYFUNCTION("GOOGLETRANSLATE(A9428,""bn"",""en"")"),"After completing my higher education abroad, I will return to my country and work for the betterment of the country")</f>
        <v>After completing my higher education abroad, I will return to my country and work for the betterment of the country</v>
      </c>
      <c r="D9428" s="5"/>
      <c r="E9428" s="5"/>
      <c r="F9428" s="5"/>
      <c r="G9428" s="5"/>
      <c r="H9428" s="5"/>
      <c r="I9428" s="5"/>
      <c r="J9428" s="5"/>
      <c r="K9428" s="5"/>
      <c r="L9428" s="5"/>
      <c r="M9428" s="5"/>
      <c r="N9428" s="5"/>
      <c r="O9428" s="5"/>
      <c r="P9428" s="5"/>
      <c r="Q9428" s="5"/>
      <c r="R9428" s="5"/>
      <c r="S9428" s="5"/>
      <c r="T9428" s="5"/>
      <c r="U9428" s="5"/>
      <c r="V9428" s="5"/>
      <c r="W9428" s="5"/>
      <c r="X9428" s="5"/>
      <c r="Y9428" s="5"/>
      <c r="Z9428" s="5"/>
    </row>
    <row r="9429" spans="1:26" ht="15" x14ac:dyDescent="0.25">
      <c r="A9429" s="4" t="s">
        <v>9427</v>
      </c>
      <c r="B9429" s="4" t="s">
        <v>9011</v>
      </c>
      <c r="C9429" s="2" t="str">
        <f ca="1">IFERROR(__xludf.DUMMYFUNCTION("GOOGLETRANSLATE(A9429,""bn"",""en"")"),"We hope this research will lead to the discovery of a new treatment")</f>
        <v>We hope this research will lead to the discovery of a new treatment</v>
      </c>
      <c r="D9429" s="5"/>
      <c r="E9429" s="5"/>
      <c r="F9429" s="5"/>
      <c r="G9429" s="5"/>
      <c r="H9429" s="5"/>
      <c r="I9429" s="5"/>
      <c r="J9429" s="5"/>
      <c r="K9429" s="5"/>
      <c r="L9429" s="5"/>
      <c r="M9429" s="5"/>
      <c r="N9429" s="5"/>
      <c r="O9429" s="5"/>
      <c r="P9429" s="5"/>
      <c r="Q9429" s="5"/>
      <c r="R9429" s="5"/>
      <c r="S9429" s="5"/>
      <c r="T9429" s="5"/>
      <c r="U9429" s="5"/>
      <c r="V9429" s="5"/>
      <c r="W9429" s="5"/>
      <c r="X9429" s="5"/>
      <c r="Y9429" s="5"/>
      <c r="Z9429" s="5"/>
    </row>
    <row r="9430" spans="1:26" ht="15" x14ac:dyDescent="0.25">
      <c r="A9430" s="4" t="s">
        <v>9428</v>
      </c>
      <c r="B9430" s="4" t="s">
        <v>9011</v>
      </c>
      <c r="C9430" s="2" t="str">
        <f ca="1">IFERROR(__xludf.DUMMYFUNCTION("GOOGLETRANSLATE(A9430,""bn"",""en"")"),"I will order online for new AC tomorrow")</f>
        <v>I will order online for new AC tomorrow</v>
      </c>
      <c r="D9430" s="5"/>
      <c r="E9430" s="5"/>
      <c r="F9430" s="5"/>
      <c r="G9430" s="5"/>
      <c r="H9430" s="5"/>
      <c r="I9430" s="5"/>
      <c r="J9430" s="5"/>
      <c r="K9430" s="5"/>
      <c r="L9430" s="5"/>
      <c r="M9430" s="5"/>
      <c r="N9430" s="5"/>
      <c r="O9430" s="5"/>
      <c r="P9430" s="5"/>
      <c r="Q9430" s="5"/>
      <c r="R9430" s="5"/>
      <c r="S9430" s="5"/>
      <c r="T9430" s="5"/>
      <c r="U9430" s="5"/>
      <c r="V9430" s="5"/>
      <c r="W9430" s="5"/>
      <c r="X9430" s="5"/>
      <c r="Y9430" s="5"/>
      <c r="Z9430" s="5"/>
    </row>
    <row r="9431" spans="1:26" ht="15" x14ac:dyDescent="0.25">
      <c r="A9431" s="4" t="s">
        <v>9429</v>
      </c>
      <c r="B9431" s="4" t="s">
        <v>9011</v>
      </c>
      <c r="C9431" s="2" t="str">
        <f ca="1">IFERROR(__xludf.DUMMYFUNCTION("GOOGLETRANSLATE(A9431,""bn"",""en"")"),"He will start learning the guitar market soon")</f>
        <v>He will start learning the guitar market soon</v>
      </c>
      <c r="D9431" s="5"/>
      <c r="E9431" s="5"/>
      <c r="F9431" s="5"/>
      <c r="G9431" s="5"/>
      <c r="H9431" s="5"/>
      <c r="I9431" s="5"/>
      <c r="J9431" s="5"/>
      <c r="K9431" s="5"/>
      <c r="L9431" s="5"/>
      <c r="M9431" s="5"/>
      <c r="N9431" s="5"/>
      <c r="O9431" s="5"/>
      <c r="P9431" s="5"/>
      <c r="Q9431" s="5"/>
      <c r="R9431" s="5"/>
      <c r="S9431" s="5"/>
      <c r="T9431" s="5"/>
      <c r="U9431" s="5"/>
      <c r="V9431" s="5"/>
      <c r="W9431" s="5"/>
      <c r="X9431" s="5"/>
      <c r="Y9431" s="5"/>
      <c r="Z9431" s="5"/>
    </row>
    <row r="9432" spans="1:26" ht="15" x14ac:dyDescent="0.25">
      <c r="A9432" s="4" t="s">
        <v>9430</v>
      </c>
      <c r="B9432" s="4" t="s">
        <v>9011</v>
      </c>
      <c r="C9432" s="2" t="str">
        <f ca="1">IFERROR(__xludf.DUMMYFUNCTION("GOOGLETRANSLATE(A9432,""bn"",""en"")"),"Karim will be very happy today as he will be able to save money to enroll his daughter in school after much hardship")</f>
        <v>Karim will be very happy today as he will be able to save money to enroll his daughter in school after much hardship</v>
      </c>
      <c r="D9432" s="5"/>
      <c r="E9432" s="5"/>
      <c r="F9432" s="5"/>
      <c r="G9432" s="5"/>
      <c r="H9432" s="5"/>
      <c r="I9432" s="5"/>
      <c r="J9432" s="5"/>
      <c r="K9432" s="5"/>
      <c r="L9432" s="5"/>
      <c r="M9432" s="5"/>
      <c r="N9432" s="5"/>
      <c r="O9432" s="5"/>
      <c r="P9432" s="5"/>
      <c r="Q9432" s="5"/>
      <c r="R9432" s="5"/>
      <c r="S9432" s="5"/>
      <c r="T9432" s="5"/>
      <c r="U9432" s="5"/>
      <c r="V9432" s="5"/>
      <c r="W9432" s="5"/>
      <c r="X9432" s="5"/>
      <c r="Y9432" s="5"/>
      <c r="Z9432" s="5"/>
    </row>
    <row r="9433" spans="1:26" ht="15" x14ac:dyDescent="0.25">
      <c r="A9433" s="4" t="s">
        <v>9431</v>
      </c>
      <c r="B9433" s="4" t="s">
        <v>9011</v>
      </c>
      <c r="C9433" s="2" t="str">
        <f ca="1">IFERROR(__xludf.DUMMYFUNCTION("GOOGLETRANSLATE(A9433,""bn"",""en"")"),"They will launch a new environmental conservation project next month that will protect our natural resources")</f>
        <v>They will launch a new environmental conservation project next month that will protect our natural resources</v>
      </c>
      <c r="D9433" s="5"/>
      <c r="E9433" s="5"/>
      <c r="F9433" s="5"/>
      <c r="G9433" s="5"/>
      <c r="H9433" s="5"/>
      <c r="I9433" s="5"/>
      <c r="J9433" s="5"/>
      <c r="K9433" s="5"/>
      <c r="L9433" s="5"/>
      <c r="M9433" s="5"/>
      <c r="N9433" s="5"/>
      <c r="O9433" s="5"/>
      <c r="P9433" s="5"/>
      <c r="Q9433" s="5"/>
      <c r="R9433" s="5"/>
      <c r="S9433" s="5"/>
      <c r="T9433" s="5"/>
      <c r="U9433" s="5"/>
      <c r="V9433" s="5"/>
      <c r="W9433" s="5"/>
      <c r="X9433" s="5"/>
      <c r="Y9433" s="5"/>
      <c r="Z9433" s="5"/>
    </row>
    <row r="9434" spans="1:26" ht="15" x14ac:dyDescent="0.25">
      <c r="A9434" s="4" t="s">
        <v>9432</v>
      </c>
      <c r="B9434" s="4" t="s">
        <v>9011</v>
      </c>
      <c r="C9434" s="2" t="str">
        <f ca="1">IFERROR(__xludf.DUMMYFUNCTION("GOOGLETRANSLATE(A9434,""bn"",""en"")"),"We will eat a lot of food tomorrow")</f>
        <v>We will eat a lot of food tomorrow</v>
      </c>
      <c r="D9434" s="5"/>
      <c r="E9434" s="5"/>
      <c r="F9434" s="5"/>
      <c r="G9434" s="5"/>
      <c r="H9434" s="5"/>
      <c r="I9434" s="5"/>
      <c r="J9434" s="5"/>
      <c r="K9434" s="5"/>
      <c r="L9434" s="5"/>
      <c r="M9434" s="5"/>
      <c r="N9434" s="5"/>
      <c r="O9434" s="5"/>
      <c r="P9434" s="5"/>
      <c r="Q9434" s="5"/>
      <c r="R9434" s="5"/>
      <c r="S9434" s="5"/>
      <c r="T9434" s="5"/>
      <c r="U9434" s="5"/>
      <c r="V9434" s="5"/>
      <c r="W9434" s="5"/>
      <c r="X9434" s="5"/>
      <c r="Y9434" s="5"/>
      <c r="Z9434" s="5"/>
    </row>
    <row r="9435" spans="1:26" ht="15" x14ac:dyDescent="0.25">
      <c r="A9435" s="4" t="s">
        <v>9433</v>
      </c>
      <c r="B9435" s="4" t="s">
        <v>9011</v>
      </c>
      <c r="C9435" s="2" t="str">
        <f ca="1">IFERROR(__xludf.DUMMYFUNCTION("GOOGLETRANSLATE(A9435,""bn"",""en"")"),"I will buy the dream car now it's time to move around")</f>
        <v>I will buy the dream car now it's time to move around</v>
      </c>
      <c r="D9435" s="5"/>
      <c r="E9435" s="5"/>
      <c r="F9435" s="5"/>
      <c r="G9435" s="5"/>
      <c r="H9435" s="5"/>
      <c r="I9435" s="5"/>
      <c r="J9435" s="5"/>
      <c r="K9435" s="5"/>
      <c r="L9435" s="5"/>
      <c r="M9435" s="5"/>
      <c r="N9435" s="5"/>
      <c r="O9435" s="5"/>
      <c r="P9435" s="5"/>
      <c r="Q9435" s="5"/>
      <c r="R9435" s="5"/>
      <c r="S9435" s="5"/>
      <c r="T9435" s="5"/>
      <c r="U9435" s="5"/>
      <c r="V9435" s="5"/>
      <c r="W9435" s="5"/>
      <c r="X9435" s="5"/>
      <c r="Y9435" s="5"/>
      <c r="Z9435" s="5"/>
    </row>
    <row r="9436" spans="1:26" ht="15" x14ac:dyDescent="0.25">
      <c r="A9436" s="4" t="s">
        <v>9434</v>
      </c>
      <c r="B9436" s="4" t="s">
        <v>9011</v>
      </c>
      <c r="C9436" s="2" t="str">
        <f ca="1">IFERROR(__xludf.DUMMYFUNCTION("GOOGLETRANSLATE(A9436,""bn"",""en"")"),"In the way of dancing, people's minds will be reborn, fountains of joy will emerge in every dance")</f>
        <v>In the way of dancing, people's minds will be reborn, fountains of joy will emerge in every dance</v>
      </c>
      <c r="D9436" s="5"/>
      <c r="E9436" s="5"/>
      <c r="F9436" s="5"/>
      <c r="G9436" s="5"/>
      <c r="H9436" s="5"/>
      <c r="I9436" s="5"/>
      <c r="J9436" s="5"/>
      <c r="K9436" s="5"/>
      <c r="L9436" s="5"/>
      <c r="M9436" s="5"/>
      <c r="N9436" s="5"/>
      <c r="O9436" s="5"/>
      <c r="P9436" s="5"/>
      <c r="Q9436" s="5"/>
      <c r="R9436" s="5"/>
      <c r="S9436" s="5"/>
      <c r="T9436" s="5"/>
      <c r="U9436" s="5"/>
      <c r="V9436" s="5"/>
      <c r="W9436" s="5"/>
      <c r="X9436" s="5"/>
      <c r="Y9436" s="5"/>
      <c r="Z9436" s="5"/>
    </row>
    <row r="9437" spans="1:26" ht="15" x14ac:dyDescent="0.25">
      <c r="A9437" s="4" t="s">
        <v>9435</v>
      </c>
      <c r="B9437" s="4" t="s">
        <v>9011</v>
      </c>
      <c r="C9437" s="2" t="str">
        <f ca="1">IFERROR(__xludf.DUMMYFUNCTION("GOOGLETRANSLATE(A9437,""bn"",""en"")"),"Fashion competition will be a fun fair, it will be trendy recently and people will compete it enthusiastically")</f>
        <v>Fashion competition will be a fun fair, it will be trendy recently and people will compete it enthusiastically</v>
      </c>
      <c r="D9437" s="5"/>
      <c r="E9437" s="5"/>
      <c r="F9437" s="5"/>
      <c r="G9437" s="5"/>
      <c r="H9437" s="5"/>
      <c r="I9437" s="5"/>
      <c r="J9437" s="5"/>
      <c r="K9437" s="5"/>
      <c r="L9437" s="5"/>
      <c r="M9437" s="5"/>
      <c r="N9437" s="5"/>
      <c r="O9437" s="5"/>
      <c r="P9437" s="5"/>
      <c r="Q9437" s="5"/>
      <c r="R9437" s="5"/>
      <c r="S9437" s="5"/>
      <c r="T9437" s="5"/>
      <c r="U9437" s="5"/>
      <c r="V9437" s="5"/>
      <c r="W9437" s="5"/>
      <c r="X9437" s="5"/>
      <c r="Y9437" s="5"/>
      <c r="Z9437" s="5"/>
    </row>
    <row r="9438" spans="1:26" ht="15" x14ac:dyDescent="0.25">
      <c r="A9438" s="4" t="s">
        <v>9436</v>
      </c>
      <c r="B9438" s="4" t="s">
        <v>9011</v>
      </c>
      <c r="C9438" s="2" t="str">
        <f ca="1">IFERROR(__xludf.DUMMYFUNCTION("GOOGLETRANSLATE(A9438,""bn"",""en"")"),"He will be very willing to stay with us while setting up his company in the new location")</f>
        <v>He will be very willing to stay with us while setting up his company in the new location</v>
      </c>
      <c r="D9438" s="5"/>
      <c r="E9438" s="5"/>
      <c r="F9438" s="5"/>
      <c r="G9438" s="5"/>
      <c r="H9438" s="5"/>
      <c r="I9438" s="5"/>
      <c r="J9438" s="5"/>
      <c r="K9438" s="5"/>
      <c r="L9438" s="5"/>
      <c r="M9438" s="5"/>
      <c r="N9438" s="5"/>
      <c r="O9438" s="5"/>
      <c r="P9438" s="5"/>
      <c r="Q9438" s="5"/>
      <c r="R9438" s="5"/>
      <c r="S9438" s="5"/>
      <c r="T9438" s="5"/>
      <c r="U9438" s="5"/>
      <c r="V9438" s="5"/>
      <c r="W9438" s="5"/>
      <c r="X9438" s="5"/>
      <c r="Y9438" s="5"/>
      <c r="Z9438" s="5"/>
    </row>
    <row r="9439" spans="1:26" ht="15" x14ac:dyDescent="0.25">
      <c r="A9439" s="4" t="s">
        <v>9437</v>
      </c>
      <c r="B9439" s="4" t="s">
        <v>9011</v>
      </c>
      <c r="C9439" s="2" t="str">
        <f ca="1">IFERROR(__xludf.DUMMYFUNCTION("GOOGLETRANSLATE(A9439,""bn"",""en"")"),"Today I will understand that earning money is really difficult but today's happiness will make you forget that pain")</f>
        <v>Today I will understand that earning money is really difficult but today's happiness will make you forget that pain</v>
      </c>
      <c r="D9439" s="5"/>
      <c r="E9439" s="5"/>
      <c r="F9439" s="5"/>
      <c r="G9439" s="5"/>
      <c r="H9439" s="5"/>
      <c r="I9439" s="5"/>
      <c r="J9439" s="5"/>
      <c r="K9439" s="5"/>
      <c r="L9439" s="5"/>
      <c r="M9439" s="5"/>
      <c r="N9439" s="5"/>
      <c r="O9439" s="5"/>
      <c r="P9439" s="5"/>
      <c r="Q9439" s="5"/>
      <c r="R9439" s="5"/>
      <c r="S9439" s="5"/>
      <c r="T9439" s="5"/>
      <c r="U9439" s="5"/>
      <c r="V9439" s="5"/>
      <c r="W9439" s="5"/>
      <c r="X9439" s="5"/>
      <c r="Y9439" s="5"/>
      <c r="Z9439" s="5"/>
    </row>
    <row r="9440" spans="1:26" ht="15" x14ac:dyDescent="0.25">
      <c r="A9440" s="4" t="s">
        <v>9438</v>
      </c>
      <c r="B9440" s="4" t="s">
        <v>9011</v>
      </c>
      <c r="C9440" s="2" t="str">
        <f ca="1">IFERROR(__xludf.DUMMYFUNCTION("GOOGLETRANSLATE(A9440,""bn"",""en"")"),"He will complete all specified tasks when the skill training under his direction is completed")</f>
        <v>He will complete all specified tasks when the skill training under his direction is completed</v>
      </c>
      <c r="D9440" s="5"/>
      <c r="E9440" s="5"/>
      <c r="F9440" s="5"/>
      <c r="G9440" s="5"/>
      <c r="H9440" s="5"/>
      <c r="I9440" s="5"/>
      <c r="J9440" s="5"/>
      <c r="K9440" s="5"/>
      <c r="L9440" s="5"/>
      <c r="M9440" s="5"/>
      <c r="N9440" s="5"/>
      <c r="O9440" s="5"/>
      <c r="P9440" s="5"/>
      <c r="Q9440" s="5"/>
      <c r="R9440" s="5"/>
      <c r="S9440" s="5"/>
      <c r="T9440" s="5"/>
      <c r="U9440" s="5"/>
      <c r="V9440" s="5"/>
      <c r="W9440" s="5"/>
      <c r="X9440" s="5"/>
      <c r="Y9440" s="5"/>
      <c r="Z9440" s="5"/>
    </row>
    <row r="9441" spans="1:26" ht="15" x14ac:dyDescent="0.25">
      <c r="A9441" s="4" t="s">
        <v>9439</v>
      </c>
      <c r="B9441" s="4" t="s">
        <v>9011</v>
      </c>
      <c r="C9441" s="2" t="str">
        <f ca="1">IFERROR(__xludf.DUMMYFUNCTION("GOOGLETRANSLATE(A9441,""bn"",""en"")"),"With God's prayers, the economic situation will gradually improve")</f>
        <v>With God's prayers, the economic situation will gradually improve</v>
      </c>
      <c r="D9441" s="5"/>
      <c r="E9441" s="5"/>
      <c r="F9441" s="5"/>
      <c r="G9441" s="5"/>
      <c r="H9441" s="5"/>
      <c r="I9441" s="5"/>
      <c r="J9441" s="5"/>
      <c r="K9441" s="5"/>
      <c r="L9441" s="5"/>
      <c r="M9441" s="5"/>
      <c r="N9441" s="5"/>
      <c r="O9441" s="5"/>
      <c r="P9441" s="5"/>
      <c r="Q9441" s="5"/>
      <c r="R9441" s="5"/>
      <c r="S9441" s="5"/>
      <c r="T9441" s="5"/>
      <c r="U9441" s="5"/>
      <c r="V9441" s="5"/>
      <c r="W9441" s="5"/>
      <c r="X9441" s="5"/>
      <c r="Y9441" s="5"/>
      <c r="Z9441" s="5"/>
    </row>
    <row r="9442" spans="1:26" ht="15" x14ac:dyDescent="0.25">
      <c r="A9442" s="4" t="s">
        <v>9440</v>
      </c>
      <c r="B9442" s="4" t="s">
        <v>9011</v>
      </c>
      <c r="C9442" s="2" t="str">
        <f ca="1">IFERROR(__xludf.DUMMYFUNCTION("GOOGLETRANSLATE(A9442,""bn"",""en"")"),"Movies are also a great medium for social messaging")</f>
        <v>Movies are also a great medium for social messaging</v>
      </c>
      <c r="D9442" s="5"/>
      <c r="E9442" s="5"/>
      <c r="F9442" s="5"/>
      <c r="G9442" s="5"/>
      <c r="H9442" s="5"/>
      <c r="I9442" s="5"/>
      <c r="J9442" s="5"/>
      <c r="K9442" s="5"/>
      <c r="L9442" s="5"/>
      <c r="M9442" s="5"/>
      <c r="N9442" s="5"/>
      <c r="O9442" s="5"/>
      <c r="P9442" s="5"/>
      <c r="Q9442" s="5"/>
      <c r="R9442" s="5"/>
      <c r="S9442" s="5"/>
      <c r="T9442" s="5"/>
      <c r="U9442" s="5"/>
      <c r="V9442" s="5"/>
      <c r="W9442" s="5"/>
      <c r="X9442" s="5"/>
      <c r="Y9442" s="5"/>
      <c r="Z9442" s="5"/>
    </row>
    <row r="9443" spans="1:26" ht="15" x14ac:dyDescent="0.25">
      <c r="A9443" s="4" t="s">
        <v>9441</v>
      </c>
      <c r="B9443" s="4" t="s">
        <v>9011</v>
      </c>
      <c r="C9443" s="2" t="str">
        <f ca="1">IFERROR(__xludf.DUMMYFUNCTION("GOOGLETRANSLATE(A9443,""bn"",""en"")"),"I had a dream to do something on my own, it will be fulfilled tomorrow, stay with me")</f>
        <v>I had a dream to do something on my own, it will be fulfilled tomorrow, stay with me</v>
      </c>
      <c r="D9443" s="5"/>
      <c r="E9443" s="5"/>
      <c r="F9443" s="5"/>
      <c r="G9443" s="5"/>
      <c r="H9443" s="5"/>
      <c r="I9443" s="5"/>
      <c r="J9443" s="5"/>
      <c r="K9443" s="5"/>
      <c r="L9443" s="5"/>
      <c r="M9443" s="5"/>
      <c r="N9443" s="5"/>
      <c r="O9443" s="5"/>
      <c r="P9443" s="5"/>
      <c r="Q9443" s="5"/>
      <c r="R9443" s="5"/>
      <c r="S9443" s="5"/>
      <c r="T9443" s="5"/>
      <c r="U9443" s="5"/>
      <c r="V9443" s="5"/>
      <c r="W9443" s="5"/>
      <c r="X9443" s="5"/>
      <c r="Y9443" s="5"/>
      <c r="Z9443" s="5"/>
    </row>
    <row r="9444" spans="1:26" ht="15" x14ac:dyDescent="0.25">
      <c r="A9444" s="4" t="s">
        <v>9442</v>
      </c>
      <c r="B9444" s="4" t="s">
        <v>9011</v>
      </c>
      <c r="C9444" s="2" t="str">
        <f ca="1">IFERROR(__xludf.DUMMYFUNCTION("GOOGLETRANSLATE(A9444,""bn"",""en"")"),"Bangladesh's freedom struggle will be a golden achievement in history")</f>
        <v>Bangladesh's freedom struggle will be a golden achievement in history</v>
      </c>
      <c r="D9444" s="5"/>
      <c r="E9444" s="5"/>
      <c r="F9444" s="5"/>
      <c r="G9444" s="5"/>
      <c r="H9444" s="5"/>
      <c r="I9444" s="5"/>
      <c r="J9444" s="5"/>
      <c r="K9444" s="5"/>
      <c r="L9444" s="5"/>
      <c r="M9444" s="5"/>
      <c r="N9444" s="5"/>
      <c r="O9444" s="5"/>
      <c r="P9444" s="5"/>
      <c r="Q9444" s="5"/>
      <c r="R9444" s="5"/>
      <c r="S9444" s="5"/>
      <c r="T9444" s="5"/>
      <c r="U9444" s="5"/>
      <c r="V9444" s="5"/>
      <c r="W9444" s="5"/>
      <c r="X9444" s="5"/>
      <c r="Y9444" s="5"/>
      <c r="Z9444" s="5"/>
    </row>
    <row r="9445" spans="1:26" ht="15" x14ac:dyDescent="0.25">
      <c r="A9445" s="4" t="s">
        <v>9443</v>
      </c>
      <c r="B9445" s="4" t="s">
        <v>9011</v>
      </c>
      <c r="C9445" s="2" t="str">
        <f ca="1">IFERROR(__xludf.DUMMYFUNCTION("GOOGLETRANSLATE(A9445,""bn"",""en"")"),"You buy a new mobile next month")</f>
        <v>You buy a new mobile next month</v>
      </c>
      <c r="D9445" s="5"/>
      <c r="E9445" s="5"/>
      <c r="F9445" s="5"/>
      <c r="G9445" s="5"/>
      <c r="H9445" s="5"/>
      <c r="I9445" s="5"/>
      <c r="J9445" s="5"/>
      <c r="K9445" s="5"/>
      <c r="L9445" s="5"/>
      <c r="M9445" s="5"/>
      <c r="N9445" s="5"/>
      <c r="O9445" s="5"/>
      <c r="P9445" s="5"/>
      <c r="Q9445" s="5"/>
      <c r="R9445" s="5"/>
      <c r="S9445" s="5"/>
      <c r="T9445" s="5"/>
      <c r="U9445" s="5"/>
      <c r="V9445" s="5"/>
      <c r="W9445" s="5"/>
      <c r="X9445" s="5"/>
      <c r="Y9445" s="5"/>
      <c r="Z9445" s="5"/>
    </row>
    <row r="9446" spans="1:26" ht="15" x14ac:dyDescent="0.25">
      <c r="A9446" s="4" t="s">
        <v>9444</v>
      </c>
      <c r="B9446" s="4" t="s">
        <v>9011</v>
      </c>
      <c r="C9446" s="2" t="str">
        <f ca="1">IFERROR(__xludf.DUMMYFUNCTION("GOOGLETRANSLATE(A9446,""bn"",""en"")"),"Next year we will expand our business which will increase our profit")</f>
        <v>Next year we will expand our business which will increase our profit</v>
      </c>
      <c r="D9446" s="5"/>
      <c r="E9446" s="5"/>
      <c r="F9446" s="5"/>
      <c r="G9446" s="5"/>
      <c r="H9446" s="5"/>
      <c r="I9446" s="5"/>
      <c r="J9446" s="5"/>
      <c r="K9446" s="5"/>
      <c r="L9446" s="5"/>
      <c r="M9446" s="5"/>
      <c r="N9446" s="5"/>
      <c r="O9446" s="5"/>
      <c r="P9446" s="5"/>
      <c r="Q9446" s="5"/>
      <c r="R9446" s="5"/>
      <c r="S9446" s="5"/>
      <c r="T9446" s="5"/>
      <c r="U9446" s="5"/>
      <c r="V9446" s="5"/>
      <c r="W9446" s="5"/>
      <c r="X9446" s="5"/>
      <c r="Y9446" s="5"/>
      <c r="Z9446" s="5"/>
    </row>
    <row r="9447" spans="1:26" ht="15" x14ac:dyDescent="0.25">
      <c r="A9447" s="4" t="s">
        <v>9445</v>
      </c>
      <c r="B9447" s="4" t="s">
        <v>9011</v>
      </c>
      <c r="C9447" s="2" t="str">
        <f ca="1">IFERROR(__xludf.DUMMYFUNCTION("GOOGLETRANSLATE(A9447,""bn"",""en"")"),"The fruits of hard work will be ours to win")</f>
        <v>The fruits of hard work will be ours to win</v>
      </c>
      <c r="D9447" s="5"/>
      <c r="E9447" s="5"/>
      <c r="F9447" s="5"/>
      <c r="G9447" s="5"/>
      <c r="H9447" s="5"/>
      <c r="I9447" s="5"/>
      <c r="J9447" s="5"/>
      <c r="K9447" s="5"/>
      <c r="L9447" s="5"/>
      <c r="M9447" s="5"/>
      <c r="N9447" s="5"/>
      <c r="O9447" s="5"/>
      <c r="P9447" s="5"/>
      <c r="Q9447" s="5"/>
      <c r="R9447" s="5"/>
      <c r="S9447" s="5"/>
      <c r="T9447" s="5"/>
      <c r="U9447" s="5"/>
      <c r="V9447" s="5"/>
      <c r="W9447" s="5"/>
      <c r="X9447" s="5"/>
      <c r="Y9447" s="5"/>
      <c r="Z9447" s="5"/>
    </row>
    <row r="9448" spans="1:26" ht="15" x14ac:dyDescent="0.25">
      <c r="A9448" s="4" t="s">
        <v>9446</v>
      </c>
      <c r="B9448" s="4" t="s">
        <v>9011</v>
      </c>
      <c r="C9448" s="2" t="str">
        <f ca="1">IFERROR(__xludf.DUMMYFUNCTION("GOOGLETRANSLATE(A9448,""bn"",""en"")"),"We will organize an event next month")</f>
        <v>We will organize an event next month</v>
      </c>
      <c r="D9448" s="5"/>
      <c r="E9448" s="5"/>
      <c r="F9448" s="5"/>
      <c r="G9448" s="5"/>
      <c r="H9448" s="5"/>
      <c r="I9448" s="5"/>
      <c r="J9448" s="5"/>
      <c r="K9448" s="5"/>
      <c r="L9448" s="5"/>
      <c r="M9448" s="5"/>
      <c r="N9448" s="5"/>
      <c r="O9448" s="5"/>
      <c r="P9448" s="5"/>
      <c r="Q9448" s="5"/>
      <c r="R9448" s="5"/>
      <c r="S9448" s="5"/>
      <c r="T9448" s="5"/>
      <c r="U9448" s="5"/>
      <c r="V9448" s="5"/>
      <c r="W9448" s="5"/>
      <c r="X9448" s="5"/>
      <c r="Y9448" s="5"/>
      <c r="Z9448" s="5"/>
    </row>
    <row r="9449" spans="1:26" ht="15" x14ac:dyDescent="0.25">
      <c r="A9449" s="4" t="s">
        <v>9447</v>
      </c>
      <c r="B9449" s="4" t="s">
        <v>9011</v>
      </c>
      <c r="C9449" s="2" t="str">
        <f ca="1">IFERROR(__xludf.DUMMYFUNCTION("GOOGLETRANSLATE(A9449,""bn"",""en"")"),"You will get the opportunity to enjoy the music of artists from different parts of the world sitting at home")</f>
        <v>You will get the opportunity to enjoy the music of artists from different parts of the world sitting at home</v>
      </c>
      <c r="D9449" s="5"/>
      <c r="E9449" s="5"/>
      <c r="F9449" s="5"/>
      <c r="G9449" s="5"/>
      <c r="H9449" s="5"/>
      <c r="I9449" s="5"/>
      <c r="J9449" s="5"/>
      <c r="K9449" s="5"/>
      <c r="L9449" s="5"/>
      <c r="M9449" s="5"/>
      <c r="N9449" s="5"/>
      <c r="O9449" s="5"/>
      <c r="P9449" s="5"/>
      <c r="Q9449" s="5"/>
      <c r="R9449" s="5"/>
      <c r="S9449" s="5"/>
      <c r="T9449" s="5"/>
      <c r="U9449" s="5"/>
      <c r="V9449" s="5"/>
      <c r="W9449" s="5"/>
      <c r="X9449" s="5"/>
      <c r="Y9449" s="5"/>
      <c r="Z9449" s="5"/>
    </row>
    <row r="9450" spans="1:26" ht="15" x14ac:dyDescent="0.25">
      <c r="A9450" s="4" t="s">
        <v>9448</v>
      </c>
      <c r="B9450" s="4" t="s">
        <v>9011</v>
      </c>
      <c r="C9450" s="2" t="str">
        <f ca="1">IFERROR(__xludf.DUMMYFUNCTION("GOOGLETRANSLATE(A9450,""bn"",""en"")"),"You will devote more time to learning new technologies in the coming months")</f>
        <v>You will devote more time to learning new technologies in the coming months</v>
      </c>
      <c r="D9450" s="5"/>
      <c r="E9450" s="5"/>
      <c r="F9450" s="5"/>
      <c r="G9450" s="5"/>
      <c r="H9450" s="5"/>
      <c r="I9450" s="5"/>
      <c r="J9450" s="5"/>
      <c r="K9450" s="5"/>
      <c r="L9450" s="5"/>
      <c r="M9450" s="5"/>
      <c r="N9450" s="5"/>
      <c r="O9450" s="5"/>
      <c r="P9450" s="5"/>
      <c r="Q9450" s="5"/>
      <c r="R9450" s="5"/>
      <c r="S9450" s="5"/>
      <c r="T9450" s="5"/>
      <c r="U9450" s="5"/>
      <c r="V9450" s="5"/>
      <c r="W9450" s="5"/>
      <c r="X9450" s="5"/>
      <c r="Y9450" s="5"/>
      <c r="Z9450" s="5"/>
    </row>
    <row r="9451" spans="1:26" ht="15" x14ac:dyDescent="0.25">
      <c r="A9451" s="4" t="s">
        <v>9449</v>
      </c>
      <c r="B9451" s="4" t="s">
        <v>9011</v>
      </c>
      <c r="C9451" s="2" t="str">
        <f ca="1">IFERROR(__xludf.DUMMYFUNCTION("GOOGLETRANSLATE(A9451,""bn"",""en"")"),"Endless love of parents will be covered with this gift")</f>
        <v>Endless love of parents will be covered with this gift</v>
      </c>
      <c r="D9451" s="5"/>
      <c r="E9451" s="5"/>
      <c r="F9451" s="5"/>
      <c r="G9451" s="5"/>
      <c r="H9451" s="5"/>
      <c r="I9451" s="5"/>
      <c r="J9451" s="5"/>
      <c r="K9451" s="5"/>
      <c r="L9451" s="5"/>
      <c r="M9451" s="5"/>
      <c r="N9451" s="5"/>
      <c r="O9451" s="5"/>
      <c r="P9451" s="5"/>
      <c r="Q9451" s="5"/>
      <c r="R9451" s="5"/>
      <c r="S9451" s="5"/>
      <c r="T9451" s="5"/>
      <c r="U9451" s="5"/>
      <c r="V9451" s="5"/>
      <c r="W9451" s="5"/>
      <c r="X9451" s="5"/>
      <c r="Y9451" s="5"/>
      <c r="Z9451" s="5"/>
    </row>
    <row r="9452" spans="1:26" ht="15" x14ac:dyDescent="0.25">
      <c r="A9452" s="4" t="s">
        <v>9450</v>
      </c>
      <c r="B9452" s="4" t="s">
        <v>9011</v>
      </c>
      <c r="C9452" s="2" t="str">
        <f ca="1">IFERROR(__xludf.DUMMYFUNCTION("GOOGLETRANSLATE(A9452,""bn"",""en"")"),"Next month we will have a big family reunion where we will relive our old memories")</f>
        <v>Next month we will have a big family reunion where we will relive our old memories</v>
      </c>
      <c r="D9452" s="5"/>
      <c r="E9452" s="5"/>
      <c r="F9452" s="5"/>
      <c r="G9452" s="5"/>
      <c r="H9452" s="5"/>
      <c r="I9452" s="5"/>
      <c r="J9452" s="5"/>
      <c r="K9452" s="5"/>
      <c r="L9452" s="5"/>
      <c r="M9452" s="5"/>
      <c r="N9452" s="5"/>
      <c r="O9452" s="5"/>
      <c r="P9452" s="5"/>
      <c r="Q9452" s="5"/>
      <c r="R9452" s="5"/>
      <c r="S9452" s="5"/>
      <c r="T9452" s="5"/>
      <c r="U9452" s="5"/>
      <c r="V9452" s="5"/>
      <c r="W9452" s="5"/>
      <c r="X9452" s="5"/>
      <c r="Y9452" s="5"/>
      <c r="Z9452" s="5"/>
    </row>
    <row r="9453" spans="1:26" ht="15" x14ac:dyDescent="0.25">
      <c r="A9453" s="4" t="s">
        <v>9451</v>
      </c>
      <c r="B9453" s="4" t="s">
        <v>9011</v>
      </c>
      <c r="C9453" s="2" t="str">
        <f ca="1">IFERROR(__xludf.DUMMYFUNCTION("GOOGLETRANSLATE(A9453,""bn"",""en"")"),"After seeing so many things in the shopping mall, choosing this one after understanding my preferences will be the biggest find")</f>
        <v>After seeing so many things in the shopping mall, choosing this one after understanding my preferences will be the biggest find</v>
      </c>
      <c r="D9453" s="5"/>
      <c r="E9453" s="5"/>
      <c r="F9453" s="5"/>
      <c r="G9453" s="5"/>
      <c r="H9453" s="5"/>
      <c r="I9453" s="5"/>
      <c r="J9453" s="5"/>
      <c r="K9453" s="5"/>
      <c r="L9453" s="5"/>
      <c r="M9453" s="5"/>
      <c r="N9453" s="5"/>
      <c r="O9453" s="5"/>
      <c r="P9453" s="5"/>
      <c r="Q9453" s="5"/>
      <c r="R9453" s="5"/>
      <c r="S9453" s="5"/>
      <c r="T9453" s="5"/>
      <c r="U9453" s="5"/>
      <c r="V9453" s="5"/>
      <c r="W9453" s="5"/>
      <c r="X9453" s="5"/>
      <c r="Y9453" s="5"/>
      <c r="Z9453" s="5"/>
    </row>
    <row r="9454" spans="1:26" ht="15" x14ac:dyDescent="0.25">
      <c r="A9454" s="4" t="s">
        <v>9452</v>
      </c>
      <c r="B9454" s="4" t="s">
        <v>9011</v>
      </c>
      <c r="C9454" s="2" t="str">
        <f ca="1">IFERROR(__xludf.DUMMYFUNCTION("GOOGLETRANSLATE(A9454,""bn"",""en"")"),"I will tread the path of happiness, a bold stony walker")</f>
        <v>I will tread the path of happiness, a bold stony walker</v>
      </c>
      <c r="D9454" s="5"/>
      <c r="E9454" s="5"/>
      <c r="F9454" s="5"/>
      <c r="G9454" s="5"/>
      <c r="H9454" s="5"/>
      <c r="I9454" s="5"/>
      <c r="J9454" s="5"/>
      <c r="K9454" s="5"/>
      <c r="L9454" s="5"/>
      <c r="M9454" s="5"/>
      <c r="N9454" s="5"/>
      <c r="O9454" s="5"/>
      <c r="P9454" s="5"/>
      <c r="Q9454" s="5"/>
      <c r="R9454" s="5"/>
      <c r="S9454" s="5"/>
      <c r="T9454" s="5"/>
      <c r="U9454" s="5"/>
      <c r="V9454" s="5"/>
      <c r="W9454" s="5"/>
      <c r="X9454" s="5"/>
      <c r="Y9454" s="5"/>
      <c r="Z9454" s="5"/>
    </row>
    <row r="9455" spans="1:26" ht="15" x14ac:dyDescent="0.25">
      <c r="A9455" s="4" t="s">
        <v>9453</v>
      </c>
      <c r="B9455" s="4" t="s">
        <v>9011</v>
      </c>
      <c r="C9455" s="2" t="str">
        <f ca="1">IFERROR(__xludf.DUMMYFUNCTION("GOOGLETRANSLATE(A9455,""bn"",""en"")"),"You will work for the development of education in international quality educational institutions next year")</f>
        <v>You will work for the development of education in international quality educational institutions next year</v>
      </c>
      <c r="D9455" s="5"/>
      <c r="E9455" s="5"/>
      <c r="F9455" s="5"/>
      <c r="G9455" s="5"/>
      <c r="H9455" s="5"/>
      <c r="I9455" s="5"/>
      <c r="J9455" s="5"/>
      <c r="K9455" s="5"/>
      <c r="L9455" s="5"/>
      <c r="M9455" s="5"/>
      <c r="N9455" s="5"/>
      <c r="O9455" s="5"/>
      <c r="P9455" s="5"/>
      <c r="Q9455" s="5"/>
      <c r="R9455" s="5"/>
      <c r="S9455" s="5"/>
      <c r="T9455" s="5"/>
      <c r="U9455" s="5"/>
      <c r="V9455" s="5"/>
      <c r="W9455" s="5"/>
      <c r="X9455" s="5"/>
      <c r="Y9455" s="5"/>
      <c r="Z9455" s="5"/>
    </row>
    <row r="9456" spans="1:26" ht="15" x14ac:dyDescent="0.25">
      <c r="A9456" s="4" t="s">
        <v>9454</v>
      </c>
      <c r="B9456" s="4" t="s">
        <v>9011</v>
      </c>
      <c r="C9456" s="2" t="str">
        <f ca="1">IFERROR(__xludf.DUMMYFUNCTION("GOOGLETRANSLATE(A9456,""bn"",""en"")"),"When I join my new job I will meet new colleagues")</f>
        <v>When I join my new job I will meet new colleagues</v>
      </c>
      <c r="D9456" s="5"/>
      <c r="E9456" s="5"/>
      <c r="F9456" s="5"/>
      <c r="G9456" s="5"/>
      <c r="H9456" s="5"/>
      <c r="I9456" s="5"/>
      <c r="J9456" s="5"/>
      <c r="K9456" s="5"/>
      <c r="L9456" s="5"/>
      <c r="M9456" s="5"/>
      <c r="N9456" s="5"/>
      <c r="O9456" s="5"/>
      <c r="P9456" s="5"/>
      <c r="Q9456" s="5"/>
      <c r="R9456" s="5"/>
      <c r="S9456" s="5"/>
      <c r="T9456" s="5"/>
      <c r="U9456" s="5"/>
      <c r="V9456" s="5"/>
      <c r="W9456" s="5"/>
      <c r="X9456" s="5"/>
      <c r="Y9456" s="5"/>
      <c r="Z9456" s="5"/>
    </row>
    <row r="9457" spans="1:26" ht="15" x14ac:dyDescent="0.25">
      <c r="A9457" s="4" t="s">
        <v>9455</v>
      </c>
      <c r="B9457" s="4" t="s">
        <v>9011</v>
      </c>
      <c r="C9457" s="2" t="str">
        <f ca="1">IFERROR(__xludf.DUMMYFUNCTION("GOOGLETRANSLATE(A9457,""bn"",""en"")"),"People eat food to survive but acquire education to make life beautiful")</f>
        <v>People eat food to survive but acquire education to make life beautiful</v>
      </c>
      <c r="D9457" s="5"/>
      <c r="E9457" s="5"/>
      <c r="F9457" s="5"/>
      <c r="G9457" s="5"/>
      <c r="H9457" s="5"/>
      <c r="I9457" s="5"/>
      <c r="J9457" s="5"/>
      <c r="K9457" s="5"/>
      <c r="L9457" s="5"/>
      <c r="M9457" s="5"/>
      <c r="N9457" s="5"/>
      <c r="O9457" s="5"/>
      <c r="P9457" s="5"/>
      <c r="Q9457" s="5"/>
      <c r="R9457" s="5"/>
      <c r="S9457" s="5"/>
      <c r="T9457" s="5"/>
      <c r="U9457" s="5"/>
      <c r="V9457" s="5"/>
      <c r="W9457" s="5"/>
      <c r="X9457" s="5"/>
      <c r="Y9457" s="5"/>
      <c r="Z9457" s="5"/>
    </row>
    <row r="9458" spans="1:26" ht="15" x14ac:dyDescent="0.25">
      <c r="A9458" s="4" t="s">
        <v>9456</v>
      </c>
      <c r="B9458" s="4" t="s">
        <v>9011</v>
      </c>
      <c r="C9458" s="2" t="str">
        <f ca="1">IFERROR(__xludf.DUMMYFUNCTION("GOOGLETRANSLATE(A9458,""bn"",""en"")"),"There will be liberation after prayers")</f>
        <v>There will be liberation after prayers</v>
      </c>
      <c r="D9458" s="5"/>
      <c r="E9458" s="5"/>
      <c r="F9458" s="5"/>
      <c r="G9458" s="5"/>
      <c r="H9458" s="5"/>
      <c r="I9458" s="5"/>
      <c r="J9458" s="5"/>
      <c r="K9458" s="5"/>
      <c r="L9458" s="5"/>
      <c r="M9458" s="5"/>
      <c r="N9458" s="5"/>
      <c r="O9458" s="5"/>
      <c r="P9458" s="5"/>
      <c r="Q9458" s="5"/>
      <c r="R9458" s="5"/>
      <c r="S9458" s="5"/>
      <c r="T9458" s="5"/>
      <c r="U9458" s="5"/>
      <c r="V9458" s="5"/>
      <c r="W9458" s="5"/>
      <c r="X9458" s="5"/>
      <c r="Y9458" s="5"/>
      <c r="Z9458" s="5"/>
    </row>
    <row r="9459" spans="1:26" ht="15" x14ac:dyDescent="0.25">
      <c r="A9459" s="4" t="s">
        <v>9457</v>
      </c>
      <c r="B9459" s="4" t="s">
        <v>9011</v>
      </c>
      <c r="C9459" s="2" t="str">
        <f ca="1">IFERROR(__xludf.DUMMYFUNCTION("GOOGLETRANSLATE(A9459,""bn"",""en"")"),"The experience of traveling will create new happiness in people's mind and they will meet happiness on the way")</f>
        <v>The experience of traveling will create new happiness in people's mind and they will meet happiness on the way</v>
      </c>
      <c r="D9459" s="5"/>
      <c r="E9459" s="5"/>
      <c r="F9459" s="5"/>
      <c r="G9459" s="5"/>
      <c r="H9459" s="5"/>
      <c r="I9459" s="5"/>
      <c r="J9459" s="5"/>
      <c r="K9459" s="5"/>
      <c r="L9459" s="5"/>
      <c r="M9459" s="5"/>
      <c r="N9459" s="5"/>
      <c r="O9459" s="5"/>
      <c r="P9459" s="5"/>
      <c r="Q9459" s="5"/>
      <c r="R9459" s="5"/>
      <c r="S9459" s="5"/>
      <c r="T9459" s="5"/>
      <c r="U9459" s="5"/>
      <c r="V9459" s="5"/>
      <c r="W9459" s="5"/>
      <c r="X9459" s="5"/>
      <c r="Y9459" s="5"/>
      <c r="Z9459" s="5"/>
    </row>
    <row r="9460" spans="1:26" ht="15" x14ac:dyDescent="0.25">
      <c r="A9460" s="4" t="s">
        <v>9458</v>
      </c>
      <c r="B9460" s="4" t="s">
        <v>9011</v>
      </c>
      <c r="C9460" s="2" t="str">
        <f ca="1">IFERROR(__xludf.DUMMYFUNCTION("GOOGLETRANSLATE(A9460,""bn"",""en"")"),"The distance will disappear, the bond of the mind will be stronger today by getting close to the loved ones")</f>
        <v>The distance will disappear, the bond of the mind will be stronger today by getting close to the loved ones</v>
      </c>
      <c r="D9460" s="5"/>
      <c r="E9460" s="5"/>
      <c r="F9460" s="5"/>
      <c r="G9460" s="5"/>
      <c r="H9460" s="5"/>
      <c r="I9460" s="5"/>
      <c r="J9460" s="5"/>
      <c r="K9460" s="5"/>
      <c r="L9460" s="5"/>
      <c r="M9460" s="5"/>
      <c r="N9460" s="5"/>
      <c r="O9460" s="5"/>
      <c r="P9460" s="5"/>
      <c r="Q9460" s="5"/>
      <c r="R9460" s="5"/>
      <c r="S9460" s="5"/>
      <c r="T9460" s="5"/>
      <c r="U9460" s="5"/>
      <c r="V9460" s="5"/>
      <c r="W9460" s="5"/>
      <c r="X9460" s="5"/>
      <c r="Y9460" s="5"/>
      <c r="Z9460" s="5"/>
    </row>
    <row r="9461" spans="1:26" ht="15" x14ac:dyDescent="0.25">
      <c r="A9461" s="4" t="s">
        <v>9459</v>
      </c>
      <c r="B9461" s="4" t="s">
        <v>9011</v>
      </c>
      <c r="C9461" s="2" t="str">
        <f ca="1">IFERROR(__xludf.DUMMYFUNCTION("GOOGLETRANSLATE(A9461,""bn"",""en"")"),"He will have a lot of help from his planning community as he reaches his goal")</f>
        <v>He will have a lot of help from his planning community as he reaches his goal</v>
      </c>
      <c r="D9461" s="5"/>
      <c r="E9461" s="5"/>
      <c r="F9461" s="5"/>
      <c r="G9461" s="5"/>
      <c r="H9461" s="5"/>
      <c r="I9461" s="5"/>
      <c r="J9461" s="5"/>
      <c r="K9461" s="5"/>
      <c r="L9461" s="5"/>
      <c r="M9461" s="5"/>
      <c r="N9461" s="5"/>
      <c r="O9461" s="5"/>
      <c r="P9461" s="5"/>
      <c r="Q9461" s="5"/>
      <c r="R9461" s="5"/>
      <c r="S9461" s="5"/>
      <c r="T9461" s="5"/>
      <c r="U9461" s="5"/>
      <c r="V9461" s="5"/>
      <c r="W9461" s="5"/>
      <c r="X9461" s="5"/>
      <c r="Y9461" s="5"/>
      <c r="Z9461" s="5"/>
    </row>
    <row r="9462" spans="1:26" ht="15" x14ac:dyDescent="0.25">
      <c r="A9462" s="4" t="s">
        <v>9460</v>
      </c>
      <c r="B9462" s="4" t="s">
        <v>9011</v>
      </c>
      <c r="C9462" s="2" t="str">
        <f ca="1">IFERROR(__xludf.DUMMYFUNCTION("GOOGLETRANSLATE(A9462,""bn"",""en"")"),"Once all the documents are completed we will complete all the work through hard work")</f>
        <v>Once all the documents are completed we will complete all the work through hard work</v>
      </c>
      <c r="D9462" s="5"/>
      <c r="E9462" s="5"/>
      <c r="F9462" s="5"/>
      <c r="G9462" s="5"/>
      <c r="H9462" s="5"/>
      <c r="I9462" s="5"/>
      <c r="J9462" s="5"/>
      <c r="K9462" s="5"/>
      <c r="L9462" s="5"/>
      <c r="M9462" s="5"/>
      <c r="N9462" s="5"/>
      <c r="O9462" s="5"/>
      <c r="P9462" s="5"/>
      <c r="Q9462" s="5"/>
      <c r="R9462" s="5"/>
      <c r="S9462" s="5"/>
      <c r="T9462" s="5"/>
      <c r="U9462" s="5"/>
      <c r="V9462" s="5"/>
      <c r="W9462" s="5"/>
      <c r="X9462" s="5"/>
      <c r="Y9462" s="5"/>
      <c r="Z9462" s="5"/>
    </row>
    <row r="9463" spans="1:26" ht="15" x14ac:dyDescent="0.25">
      <c r="A9463" s="4" t="s">
        <v>9461</v>
      </c>
      <c r="B9463" s="4" t="s">
        <v>9011</v>
      </c>
      <c r="C9463" s="2" t="str">
        <f ca="1">IFERROR(__xludf.DUMMYFUNCTION("GOOGLETRANSLATE(A9463,""bn"",""en"")"),"Not only the job but also my new identity. Thanks for following the dream")</f>
        <v>Not only the job but also my new identity. Thanks for following the dream</v>
      </c>
      <c r="D9463" s="5"/>
      <c r="E9463" s="5"/>
      <c r="F9463" s="5"/>
      <c r="G9463" s="5"/>
      <c r="H9463" s="5"/>
      <c r="I9463" s="5"/>
      <c r="J9463" s="5"/>
      <c r="K9463" s="5"/>
      <c r="L9463" s="5"/>
      <c r="M9463" s="5"/>
      <c r="N9463" s="5"/>
      <c r="O9463" s="5"/>
      <c r="P9463" s="5"/>
      <c r="Q9463" s="5"/>
      <c r="R9463" s="5"/>
      <c r="S9463" s="5"/>
      <c r="T9463" s="5"/>
      <c r="U9463" s="5"/>
      <c r="V9463" s="5"/>
      <c r="W9463" s="5"/>
      <c r="X9463" s="5"/>
      <c r="Y9463" s="5"/>
      <c r="Z9463" s="5"/>
    </row>
    <row r="9464" spans="1:26" ht="15" x14ac:dyDescent="0.25">
      <c r="A9464" s="4" t="s">
        <v>9462</v>
      </c>
      <c r="B9464" s="4" t="s">
        <v>9011</v>
      </c>
      <c r="C9464" s="2" t="str">
        <f ca="1">IFERROR(__xludf.DUMMYFUNCTION("GOOGLETRANSLATE(A9464,""bn"",""en"")"),"Your photos will look like you don't just take pictures but capture moments")</f>
        <v>Your photos will look like you don't just take pictures but capture moments</v>
      </c>
      <c r="D9464" s="5"/>
      <c r="E9464" s="5"/>
      <c r="F9464" s="5"/>
      <c r="G9464" s="5"/>
      <c r="H9464" s="5"/>
      <c r="I9464" s="5"/>
      <c r="J9464" s="5"/>
      <c r="K9464" s="5"/>
      <c r="L9464" s="5"/>
      <c r="M9464" s="5"/>
      <c r="N9464" s="5"/>
      <c r="O9464" s="5"/>
      <c r="P9464" s="5"/>
      <c r="Q9464" s="5"/>
      <c r="R9464" s="5"/>
      <c r="S9464" s="5"/>
      <c r="T9464" s="5"/>
      <c r="U9464" s="5"/>
      <c r="V9464" s="5"/>
      <c r="W9464" s="5"/>
      <c r="X9464" s="5"/>
      <c r="Y9464" s="5"/>
      <c r="Z9464" s="5"/>
    </row>
    <row r="9465" spans="1:26" ht="15" x14ac:dyDescent="0.25">
      <c r="A9465" s="4" t="s">
        <v>9463</v>
      </c>
      <c r="B9465" s="4" t="s">
        <v>9011</v>
      </c>
      <c r="C9465" s="2" t="str">
        <f ca="1">IFERROR(__xludf.DUMMYFUNCTION("GOOGLETRANSLATE(A9465,""bn"",""en"")"),"Peace of mind will come while sitting by the pool under the night sky and watching the stars")</f>
        <v>Peace of mind will come while sitting by the pool under the night sky and watching the stars</v>
      </c>
      <c r="D9465" s="5"/>
      <c r="E9465" s="5"/>
      <c r="F9465" s="5"/>
      <c r="G9465" s="5"/>
      <c r="H9465" s="5"/>
      <c r="I9465" s="5"/>
      <c r="J9465" s="5"/>
      <c r="K9465" s="5"/>
      <c r="L9465" s="5"/>
      <c r="M9465" s="5"/>
      <c r="N9465" s="5"/>
      <c r="O9465" s="5"/>
      <c r="P9465" s="5"/>
      <c r="Q9465" s="5"/>
      <c r="R9465" s="5"/>
      <c r="S9465" s="5"/>
      <c r="T9465" s="5"/>
      <c r="U9465" s="5"/>
      <c r="V9465" s="5"/>
      <c r="W9465" s="5"/>
      <c r="X9465" s="5"/>
      <c r="Y9465" s="5"/>
      <c r="Z9465" s="5"/>
    </row>
    <row r="9466" spans="1:26" ht="15" x14ac:dyDescent="0.25">
      <c r="A9466" s="4" t="s">
        <v>9464</v>
      </c>
      <c r="B9466" s="4" t="s">
        <v>9011</v>
      </c>
      <c r="C9466" s="2" t="str">
        <f ca="1">IFERROR(__xludf.DUMMYFUNCTION("GOOGLETRANSLATE(A9466,""bn"",""en"")"),"Our cricket team can now challenge any team in the world")</f>
        <v>Our cricket team can now challenge any team in the world</v>
      </c>
      <c r="D9466" s="5"/>
      <c r="E9466" s="5"/>
      <c r="F9466" s="5"/>
      <c r="G9466" s="5"/>
      <c r="H9466" s="5"/>
      <c r="I9466" s="5"/>
      <c r="J9466" s="5"/>
      <c r="K9466" s="5"/>
      <c r="L9466" s="5"/>
      <c r="M9466" s="5"/>
      <c r="N9466" s="5"/>
      <c r="O9466" s="5"/>
      <c r="P9466" s="5"/>
      <c r="Q9466" s="5"/>
      <c r="R9466" s="5"/>
      <c r="S9466" s="5"/>
      <c r="T9466" s="5"/>
      <c r="U9466" s="5"/>
      <c r="V9466" s="5"/>
      <c r="W9466" s="5"/>
      <c r="X9466" s="5"/>
      <c r="Y9466" s="5"/>
      <c r="Z9466" s="5"/>
    </row>
    <row r="9467" spans="1:26" ht="15" x14ac:dyDescent="0.25">
      <c r="A9467" s="4" t="s">
        <v>9465</v>
      </c>
      <c r="B9467" s="4" t="s">
        <v>9011</v>
      </c>
      <c r="C9467" s="2" t="str">
        <f ca="1">IFERROR(__xludf.DUMMYFUNCTION("GOOGLETRANSLATE(A9467,""bn"",""en"")"),"Everything comes to an end and suffering will end one day")</f>
        <v>Everything comes to an end and suffering will end one day</v>
      </c>
      <c r="D9467" s="5"/>
      <c r="E9467" s="5"/>
      <c r="F9467" s="5"/>
      <c r="G9467" s="5"/>
      <c r="H9467" s="5"/>
      <c r="I9467" s="5"/>
      <c r="J9467" s="5"/>
      <c r="K9467" s="5"/>
      <c r="L9467" s="5"/>
      <c r="M9467" s="5"/>
      <c r="N9467" s="5"/>
      <c r="O9467" s="5"/>
      <c r="P9467" s="5"/>
      <c r="Q9467" s="5"/>
      <c r="R9467" s="5"/>
      <c r="S9467" s="5"/>
      <c r="T9467" s="5"/>
      <c r="U9467" s="5"/>
      <c r="V9467" s="5"/>
      <c r="W9467" s="5"/>
      <c r="X9467" s="5"/>
      <c r="Y9467" s="5"/>
      <c r="Z9467" s="5"/>
    </row>
    <row r="9468" spans="1:26" ht="15" x14ac:dyDescent="0.25">
      <c r="A9468" s="4" t="s">
        <v>9466</v>
      </c>
      <c r="B9468" s="4" t="s">
        <v>9011</v>
      </c>
      <c r="C9468" s="2" t="str">
        <f ca="1">IFERROR(__xludf.DUMMYFUNCTION("GOOGLETRANSLATE(A9468,""bn"",""en"")"),"Winning a swimming competition will be a proud moment to enjoy the fruits of hard work")</f>
        <v>Winning a swimming competition will be a proud moment to enjoy the fruits of hard work</v>
      </c>
      <c r="D9468" s="5"/>
      <c r="E9468" s="5"/>
      <c r="F9468" s="5"/>
      <c r="G9468" s="5"/>
      <c r="H9468" s="5"/>
      <c r="I9468" s="5"/>
      <c r="J9468" s="5"/>
      <c r="K9468" s="5"/>
      <c r="L9468" s="5"/>
      <c r="M9468" s="5"/>
      <c r="N9468" s="5"/>
      <c r="O9468" s="5"/>
      <c r="P9468" s="5"/>
      <c r="Q9468" s="5"/>
      <c r="R9468" s="5"/>
      <c r="S9468" s="5"/>
      <c r="T9468" s="5"/>
      <c r="U9468" s="5"/>
      <c r="V9468" s="5"/>
      <c r="W9468" s="5"/>
      <c r="X9468" s="5"/>
      <c r="Y9468" s="5"/>
      <c r="Z9468" s="5"/>
    </row>
    <row r="9469" spans="1:26" ht="15" x14ac:dyDescent="0.25">
      <c r="A9469" s="4" t="s">
        <v>9467</v>
      </c>
      <c r="B9469" s="4" t="s">
        <v>9011</v>
      </c>
      <c r="C9469" s="2" t="str">
        <f ca="1">IFERROR(__xludf.DUMMYFUNCTION("GOOGLETRANSLATE(A9469,""bn"",""en"")"),"In the future I will launch a creative writing workshop to train budding writers")</f>
        <v>In the future I will launch a creative writing workshop to train budding writers</v>
      </c>
      <c r="D9469" s="5"/>
      <c r="E9469" s="5"/>
      <c r="F9469" s="5"/>
      <c r="G9469" s="5"/>
      <c r="H9469" s="5"/>
      <c r="I9469" s="5"/>
      <c r="J9469" s="5"/>
      <c r="K9469" s="5"/>
      <c r="L9469" s="5"/>
      <c r="M9469" s="5"/>
      <c r="N9469" s="5"/>
      <c r="O9469" s="5"/>
      <c r="P9469" s="5"/>
      <c r="Q9469" s="5"/>
      <c r="R9469" s="5"/>
      <c r="S9469" s="5"/>
      <c r="T9469" s="5"/>
      <c r="U9469" s="5"/>
      <c r="V9469" s="5"/>
      <c r="W9469" s="5"/>
      <c r="X9469" s="5"/>
      <c r="Y9469" s="5"/>
      <c r="Z9469" s="5"/>
    </row>
    <row r="9470" spans="1:26" ht="15" x14ac:dyDescent="0.25">
      <c r="A9470" s="4" t="s">
        <v>9468</v>
      </c>
      <c r="B9470" s="4" t="s">
        <v>9011</v>
      </c>
      <c r="C9470" s="2" t="str">
        <f ca="1">IFERROR(__xludf.DUMMYFUNCTION("GOOGLETRANSLATE(A9470,""bn"",""en"")"),"Next holiday we will visit an ancient city where we will get a mix of history and culture")</f>
        <v>Next holiday we will visit an ancient city where we will get a mix of history and culture</v>
      </c>
      <c r="D9470" s="5"/>
      <c r="E9470" s="5"/>
      <c r="F9470" s="5"/>
      <c r="G9470" s="5"/>
      <c r="H9470" s="5"/>
      <c r="I9470" s="5"/>
      <c r="J9470" s="5"/>
      <c r="K9470" s="5"/>
      <c r="L9470" s="5"/>
      <c r="M9470" s="5"/>
      <c r="N9470" s="5"/>
      <c r="O9470" s="5"/>
      <c r="P9470" s="5"/>
      <c r="Q9470" s="5"/>
      <c r="R9470" s="5"/>
      <c r="S9470" s="5"/>
      <c r="T9470" s="5"/>
      <c r="U9470" s="5"/>
      <c r="V9470" s="5"/>
      <c r="W9470" s="5"/>
      <c r="X9470" s="5"/>
      <c r="Y9470" s="5"/>
      <c r="Z9470" s="5"/>
    </row>
    <row r="9471" spans="1:26" ht="15" x14ac:dyDescent="0.25">
      <c r="A9471" s="4" t="s">
        <v>9469</v>
      </c>
      <c r="B9471" s="4" t="s">
        <v>9011</v>
      </c>
      <c r="C9471" s="2" t="str">
        <f ca="1">IFERROR(__xludf.DUMMYFUNCTION("GOOGLETRANSLATE(A9471,""bn"",""en"")"),"I will start using the new technology next week I hope it will be useful in my work")</f>
        <v>I will start using the new technology next week I hope it will be useful in my work</v>
      </c>
      <c r="D9471" s="5"/>
      <c r="E9471" s="5"/>
      <c r="F9471" s="5"/>
      <c r="G9471" s="5"/>
      <c r="H9471" s="5"/>
      <c r="I9471" s="5"/>
      <c r="J9471" s="5"/>
      <c r="K9471" s="5"/>
      <c r="L9471" s="5"/>
      <c r="M9471" s="5"/>
      <c r="N9471" s="5"/>
      <c r="O9471" s="5"/>
      <c r="P9471" s="5"/>
      <c r="Q9471" s="5"/>
      <c r="R9471" s="5"/>
      <c r="S9471" s="5"/>
      <c r="T9471" s="5"/>
      <c r="U9471" s="5"/>
      <c r="V9471" s="5"/>
      <c r="W9471" s="5"/>
      <c r="X9471" s="5"/>
      <c r="Y9471" s="5"/>
      <c r="Z9471" s="5"/>
    </row>
    <row r="9472" spans="1:26" ht="15" x14ac:dyDescent="0.25">
      <c r="A9472" s="4" t="s">
        <v>9470</v>
      </c>
      <c r="B9472" s="4" t="s">
        <v>9011</v>
      </c>
      <c r="C9472" s="2" t="str">
        <f ca="1">IFERROR(__xludf.DUMMYFUNCTION("GOOGLETRANSLATE(A9472,""bn"",""en"")"),"Next year we will sign a major business agreement that will create new possibilities for our company")</f>
        <v>Next year we will sign a major business agreement that will create new possibilities for our company</v>
      </c>
      <c r="D9472" s="5"/>
      <c r="E9472" s="5"/>
      <c r="F9472" s="5"/>
      <c r="G9472" s="5"/>
      <c r="H9472" s="5"/>
      <c r="I9472" s="5"/>
      <c r="J9472" s="5"/>
      <c r="K9472" s="5"/>
      <c r="L9472" s="5"/>
      <c r="M9472" s="5"/>
      <c r="N9472" s="5"/>
      <c r="O9472" s="5"/>
      <c r="P9472" s="5"/>
      <c r="Q9472" s="5"/>
      <c r="R9472" s="5"/>
      <c r="S9472" s="5"/>
      <c r="T9472" s="5"/>
      <c r="U9472" s="5"/>
      <c r="V9472" s="5"/>
      <c r="W9472" s="5"/>
      <c r="X9472" s="5"/>
      <c r="Y9472" s="5"/>
      <c r="Z9472" s="5"/>
    </row>
    <row r="9473" spans="1:26" ht="15" x14ac:dyDescent="0.25">
      <c r="A9473" s="4" t="s">
        <v>9471</v>
      </c>
      <c r="B9473" s="4" t="s">
        <v>9011</v>
      </c>
      <c r="C9473" s="2" t="str">
        <f ca="1">IFERROR(__xludf.DUMMYFUNCTION("GOOGLETRANSLATE(A9473,""bn"",""en"")"),"Everyone will be physically healthy")</f>
        <v>Everyone will be physically healthy</v>
      </c>
      <c r="D9473" s="5"/>
      <c r="E9473" s="5"/>
      <c r="F9473" s="5"/>
      <c r="G9473" s="5"/>
      <c r="H9473" s="5"/>
      <c r="I9473" s="5"/>
      <c r="J9473" s="5"/>
      <c r="K9473" s="5"/>
      <c r="L9473" s="5"/>
      <c r="M9473" s="5"/>
      <c r="N9473" s="5"/>
      <c r="O9473" s="5"/>
      <c r="P9473" s="5"/>
      <c r="Q9473" s="5"/>
      <c r="R9473" s="5"/>
      <c r="S9473" s="5"/>
      <c r="T9473" s="5"/>
      <c r="U9473" s="5"/>
      <c r="V9473" s="5"/>
      <c r="W9473" s="5"/>
      <c r="X9473" s="5"/>
      <c r="Y9473" s="5"/>
      <c r="Z9473" s="5"/>
    </row>
    <row r="9474" spans="1:26" ht="15" x14ac:dyDescent="0.25">
      <c r="A9474" s="4" t="s">
        <v>9472</v>
      </c>
      <c r="B9474" s="4" t="s">
        <v>9011</v>
      </c>
      <c r="C9474" s="2" t="str">
        <f ca="1">IFERROR(__xludf.DUMMYFUNCTION("GOOGLETRANSLATE(A9474,""bn"",""en"")"),"I will fight to make health insurance accessible to more people")</f>
        <v>I will fight to make health insurance accessible to more people</v>
      </c>
      <c r="D9474" s="5"/>
      <c r="E9474" s="5"/>
      <c r="F9474" s="5"/>
      <c r="G9474" s="5"/>
      <c r="H9474" s="5"/>
      <c r="I9474" s="5"/>
      <c r="J9474" s="5"/>
      <c r="K9474" s="5"/>
      <c r="L9474" s="5"/>
      <c r="M9474" s="5"/>
      <c r="N9474" s="5"/>
      <c r="O9474" s="5"/>
      <c r="P9474" s="5"/>
      <c r="Q9474" s="5"/>
      <c r="R9474" s="5"/>
      <c r="S9474" s="5"/>
      <c r="T9474" s="5"/>
      <c r="U9474" s="5"/>
      <c r="V9474" s="5"/>
      <c r="W9474" s="5"/>
      <c r="X9474" s="5"/>
      <c r="Y9474" s="5"/>
      <c r="Z9474" s="5"/>
    </row>
    <row r="9475" spans="1:26" ht="15" x14ac:dyDescent="0.25">
      <c r="A9475" s="4" t="s">
        <v>9473</v>
      </c>
      <c r="B9475" s="4" t="s">
        <v>9011</v>
      </c>
      <c r="C9475" s="2" t="str">
        <f ca="1">IFERROR(__xludf.DUMMYFUNCTION("GOOGLETRANSLATE(A9475,""bn"",""en"")"),"I will run a public health campaign to promote a healthy lifestyle")</f>
        <v>I will run a public health campaign to promote a healthy lifestyle</v>
      </c>
      <c r="D9475" s="5"/>
      <c r="E9475" s="5"/>
      <c r="F9475" s="5"/>
      <c r="G9475" s="5"/>
      <c r="H9475" s="5"/>
      <c r="I9475" s="5"/>
      <c r="J9475" s="5"/>
      <c r="K9475" s="5"/>
      <c r="L9475" s="5"/>
      <c r="M9475" s="5"/>
      <c r="N9475" s="5"/>
      <c r="O9475" s="5"/>
      <c r="P9475" s="5"/>
      <c r="Q9475" s="5"/>
      <c r="R9475" s="5"/>
      <c r="S9475" s="5"/>
      <c r="T9475" s="5"/>
      <c r="U9475" s="5"/>
      <c r="V9475" s="5"/>
      <c r="W9475" s="5"/>
      <c r="X9475" s="5"/>
      <c r="Y9475" s="5"/>
      <c r="Z9475" s="5"/>
    </row>
    <row r="9476" spans="1:26" ht="15" x14ac:dyDescent="0.25">
      <c r="A9476" s="4" t="s">
        <v>9474</v>
      </c>
      <c r="B9476" s="4" t="s">
        <v>9011</v>
      </c>
      <c r="C9476" s="2" t="str">
        <f ca="1">IFERROR(__xludf.DUMMYFUNCTION("GOOGLETRANSLATE(A9476,""bn"",""en"")"),"We will step by step ensure the improvement of the project community whenever they contact us")</f>
        <v>We will step by step ensure the improvement of the project community whenever they contact us</v>
      </c>
      <c r="D9476" s="5"/>
      <c r="E9476" s="5"/>
      <c r="F9476" s="5"/>
      <c r="G9476" s="5"/>
      <c r="H9476" s="5"/>
      <c r="I9476" s="5"/>
      <c r="J9476" s="5"/>
      <c r="K9476" s="5"/>
      <c r="L9476" s="5"/>
      <c r="M9476" s="5"/>
      <c r="N9476" s="5"/>
      <c r="O9476" s="5"/>
      <c r="P9476" s="5"/>
      <c r="Q9476" s="5"/>
      <c r="R9476" s="5"/>
      <c r="S9476" s="5"/>
      <c r="T9476" s="5"/>
      <c r="U9476" s="5"/>
      <c r="V9476" s="5"/>
      <c r="W9476" s="5"/>
      <c r="X9476" s="5"/>
      <c r="Y9476" s="5"/>
      <c r="Z9476" s="5"/>
    </row>
    <row r="9477" spans="1:26" ht="15" x14ac:dyDescent="0.25">
      <c r="A9477" s="4" t="s">
        <v>9475</v>
      </c>
      <c r="B9477" s="4" t="s">
        <v>9011</v>
      </c>
      <c r="C9477" s="2" t="str">
        <f ca="1">IFERROR(__xludf.DUMMYFUNCTION("GOOGLETRANSLATE(A9477,""bn"",""en"")"),"With the arrival of the new year the world will be colorful everyone will dress up in new clothes dance to new songs and taste happiness the festival of Baisakhi where everyone will unite through joy")</f>
        <v>With the arrival of the new year the world will be colorful everyone will dress up in new clothes dance to new songs and taste happiness the festival of Baisakhi where everyone will unite through joy</v>
      </c>
      <c r="D9477" s="5"/>
      <c r="E9477" s="5"/>
      <c r="F9477" s="5"/>
      <c r="G9477" s="5"/>
      <c r="H9477" s="5"/>
      <c r="I9477" s="5"/>
      <c r="J9477" s="5"/>
      <c r="K9477" s="5"/>
      <c r="L9477" s="5"/>
      <c r="M9477" s="5"/>
      <c r="N9477" s="5"/>
      <c r="O9477" s="5"/>
      <c r="P9477" s="5"/>
      <c r="Q9477" s="5"/>
      <c r="R9477" s="5"/>
      <c r="S9477" s="5"/>
      <c r="T9477" s="5"/>
      <c r="U9477" s="5"/>
      <c r="V9477" s="5"/>
      <c r="W9477" s="5"/>
      <c r="X9477" s="5"/>
      <c r="Y9477" s="5"/>
      <c r="Z9477" s="5"/>
    </row>
    <row r="9478" spans="1:26" ht="15" x14ac:dyDescent="0.25">
      <c r="A9478" s="4" t="s">
        <v>9476</v>
      </c>
      <c r="B9478" s="4" t="s">
        <v>9011</v>
      </c>
      <c r="C9478" s="2" t="str">
        <f ca="1">IFERROR(__xludf.DUMMYFUNCTION("GOOGLETRANSLATE(A9478,""bn"",""en"")"),"Next vacation we will go to a famous tourist spot where we will have a lot of fun")</f>
        <v>Next vacation we will go to a famous tourist spot where we will have a lot of fun</v>
      </c>
      <c r="D9478" s="5"/>
      <c r="E9478" s="5"/>
      <c r="F9478" s="5"/>
      <c r="G9478" s="5"/>
      <c r="H9478" s="5"/>
      <c r="I9478" s="5"/>
      <c r="J9478" s="5"/>
      <c r="K9478" s="5"/>
      <c r="L9478" s="5"/>
      <c r="M9478" s="5"/>
      <c r="N9478" s="5"/>
      <c r="O9478" s="5"/>
      <c r="P9478" s="5"/>
      <c r="Q9478" s="5"/>
      <c r="R9478" s="5"/>
      <c r="S9478" s="5"/>
      <c r="T9478" s="5"/>
      <c r="U9478" s="5"/>
      <c r="V9478" s="5"/>
      <c r="W9478" s="5"/>
      <c r="X9478" s="5"/>
      <c r="Y9478" s="5"/>
      <c r="Z9478" s="5"/>
    </row>
    <row r="9479" spans="1:26" ht="15" x14ac:dyDescent="0.25">
      <c r="A9479" s="4" t="s">
        <v>9477</v>
      </c>
      <c r="B9479" s="4" t="s">
        <v>9011</v>
      </c>
      <c r="C9479" s="2" t="str">
        <f ca="1">IFERROR(__xludf.DUMMYFUNCTION("GOOGLETRANSLATE(A9479,""bn"",""en"")"),"Next year I will pursue an advanced degree")</f>
        <v>Next year I will pursue an advanced degree</v>
      </c>
      <c r="D9479" s="5"/>
      <c r="E9479" s="5"/>
      <c r="F9479" s="5"/>
      <c r="G9479" s="5"/>
      <c r="H9479" s="5"/>
      <c r="I9479" s="5"/>
      <c r="J9479" s="5"/>
      <c r="K9479" s="5"/>
      <c r="L9479" s="5"/>
      <c r="M9479" s="5"/>
      <c r="N9479" s="5"/>
      <c r="O9479" s="5"/>
      <c r="P9479" s="5"/>
      <c r="Q9479" s="5"/>
      <c r="R9479" s="5"/>
      <c r="S9479" s="5"/>
      <c r="T9479" s="5"/>
      <c r="U9479" s="5"/>
      <c r="V9479" s="5"/>
      <c r="W9479" s="5"/>
      <c r="X9479" s="5"/>
      <c r="Y9479" s="5"/>
      <c r="Z9479" s="5"/>
    </row>
    <row r="9480" spans="1:26" ht="15" x14ac:dyDescent="0.25">
      <c r="A9480" s="4" t="s">
        <v>9478</v>
      </c>
      <c r="B9480" s="4" t="s">
        <v>9011</v>
      </c>
      <c r="C9480" s="2" t="str">
        <f ca="1">IFERROR(__xludf.DUMMYFUNCTION("GOOGLETRANSLATE(A9480,""bn"",""en"")"),"New trees will be planted at home to protect environment and peace of mind")</f>
        <v>New trees will be planted at home to protect environment and peace of mind</v>
      </c>
      <c r="D9480" s="5"/>
      <c r="E9480" s="5"/>
      <c r="F9480" s="5"/>
      <c r="G9480" s="5"/>
      <c r="H9480" s="5"/>
      <c r="I9480" s="5"/>
      <c r="J9480" s="5"/>
      <c r="K9480" s="5"/>
      <c r="L9480" s="5"/>
      <c r="M9480" s="5"/>
      <c r="N9480" s="5"/>
      <c r="O9480" s="5"/>
      <c r="P9480" s="5"/>
      <c r="Q9480" s="5"/>
      <c r="R9480" s="5"/>
      <c r="S9480" s="5"/>
      <c r="T9480" s="5"/>
      <c r="U9480" s="5"/>
      <c r="V9480" s="5"/>
      <c r="W9480" s="5"/>
      <c r="X9480" s="5"/>
      <c r="Y9480" s="5"/>
      <c r="Z9480" s="5"/>
    </row>
    <row r="9481" spans="1:26" ht="15" x14ac:dyDescent="0.25">
      <c r="A9481" s="4" t="s">
        <v>9479</v>
      </c>
      <c r="B9481" s="4" t="s">
        <v>9011</v>
      </c>
      <c r="C9481" s="2" t="str">
        <f ca="1">IFERROR(__xludf.DUMMYFUNCTION("GOOGLETRANSLATE(A9481,""bn"",""en"")"),"You will stage a play next week")</f>
        <v>You will stage a play next week</v>
      </c>
      <c r="D9481" s="5"/>
      <c r="E9481" s="5"/>
      <c r="F9481" s="5"/>
      <c r="G9481" s="5"/>
      <c r="H9481" s="5"/>
      <c r="I9481" s="5"/>
      <c r="J9481" s="5"/>
      <c r="K9481" s="5"/>
      <c r="L9481" s="5"/>
      <c r="M9481" s="5"/>
      <c r="N9481" s="5"/>
      <c r="O9481" s="5"/>
      <c r="P9481" s="5"/>
      <c r="Q9481" s="5"/>
      <c r="R9481" s="5"/>
      <c r="S9481" s="5"/>
      <c r="T9481" s="5"/>
      <c r="U9481" s="5"/>
      <c r="V9481" s="5"/>
      <c r="W9481" s="5"/>
      <c r="X9481" s="5"/>
      <c r="Y9481" s="5"/>
      <c r="Z9481" s="5"/>
    </row>
    <row r="9482" spans="1:26" ht="15" x14ac:dyDescent="0.25">
      <c r="A9482" s="4" t="s">
        <v>9480</v>
      </c>
      <c r="B9482" s="4" t="s">
        <v>9011</v>
      </c>
      <c r="C9482" s="2" t="str">
        <f ca="1">IFERROR(__xludf.DUMMYFUNCTION("GOOGLETRANSLATE(A9482,""bn"",""en"")"),"Fascinated this picture will touch the mind")</f>
        <v>Fascinated this picture will touch the mind</v>
      </c>
      <c r="D9482" s="5"/>
      <c r="E9482" s="5"/>
      <c r="F9482" s="5"/>
      <c r="G9482" s="5"/>
      <c r="H9482" s="5"/>
      <c r="I9482" s="5"/>
      <c r="J9482" s="5"/>
      <c r="K9482" s="5"/>
      <c r="L9482" s="5"/>
      <c r="M9482" s="5"/>
      <c r="N9482" s="5"/>
      <c r="O9482" s="5"/>
      <c r="P9482" s="5"/>
      <c r="Q9482" s="5"/>
      <c r="R9482" s="5"/>
      <c r="S9482" s="5"/>
      <c r="T9482" s="5"/>
      <c r="U9482" s="5"/>
      <c r="V9482" s="5"/>
      <c r="W9482" s="5"/>
      <c r="X9482" s="5"/>
      <c r="Y9482" s="5"/>
      <c r="Z9482" s="5"/>
    </row>
    <row r="9483" spans="1:26" ht="15" x14ac:dyDescent="0.25">
      <c r="A9483" s="4" t="s">
        <v>9481</v>
      </c>
      <c r="B9483" s="4" t="s">
        <v>9011</v>
      </c>
      <c r="C9483" s="2" t="str">
        <f ca="1">IFERROR(__xludf.DUMMYFUNCTION("GOOGLETRANSLATE(A9483,""bn"",""en"")"),"Celebrating the first paycheck and we will")</f>
        <v>Celebrating the first paycheck and we will</v>
      </c>
      <c r="D9483" s="5"/>
      <c r="E9483" s="5"/>
      <c r="F9483" s="5"/>
      <c r="G9483" s="5"/>
      <c r="H9483" s="5"/>
      <c r="I9483" s="5"/>
      <c r="J9483" s="5"/>
      <c r="K9483" s="5"/>
      <c r="L9483" s="5"/>
      <c r="M9483" s="5"/>
      <c r="N9483" s="5"/>
      <c r="O9483" s="5"/>
      <c r="P9483" s="5"/>
      <c r="Q9483" s="5"/>
      <c r="R9483" s="5"/>
      <c r="S9483" s="5"/>
      <c r="T9483" s="5"/>
      <c r="U9483" s="5"/>
      <c r="V9483" s="5"/>
      <c r="W9483" s="5"/>
      <c r="X9483" s="5"/>
      <c r="Y9483" s="5"/>
      <c r="Z9483" s="5"/>
    </row>
    <row r="9484" spans="1:26" ht="15" x14ac:dyDescent="0.25">
      <c r="A9484" s="4" t="s">
        <v>9482</v>
      </c>
      <c r="B9484" s="4" t="s">
        <v>9011</v>
      </c>
      <c r="C9484" s="2" t="str">
        <f ca="1">IFERROR(__xludf.DUMMYFUNCTION("GOOGLETRANSLATE(A9484,""bn"",""en"")"),"They will complete their technical prototype project as soon as they grow next month")</f>
        <v>They will complete their technical prototype project as soon as they grow next month</v>
      </c>
      <c r="D9484" s="5"/>
      <c r="E9484" s="5"/>
      <c r="F9484" s="5"/>
      <c r="G9484" s="5"/>
      <c r="H9484" s="5"/>
      <c r="I9484" s="5"/>
      <c r="J9484" s="5"/>
      <c r="K9484" s="5"/>
      <c r="L9484" s="5"/>
      <c r="M9484" s="5"/>
      <c r="N9484" s="5"/>
      <c r="O9484" s="5"/>
      <c r="P9484" s="5"/>
      <c r="Q9484" s="5"/>
      <c r="R9484" s="5"/>
      <c r="S9484" s="5"/>
      <c r="T9484" s="5"/>
      <c r="U9484" s="5"/>
      <c r="V9484" s="5"/>
      <c r="W9484" s="5"/>
      <c r="X9484" s="5"/>
      <c r="Y9484" s="5"/>
      <c r="Z9484" s="5"/>
    </row>
    <row r="9485" spans="1:26" ht="15" x14ac:dyDescent="0.25">
      <c r="A9485" s="4" t="s">
        <v>9483</v>
      </c>
      <c r="B9485" s="4" t="s">
        <v>9011</v>
      </c>
      <c r="C9485" s="2" t="str">
        <f ca="1">IFERROR(__xludf.DUMMYFUNCTION("GOOGLETRANSLATE(A9485,""bn"",""en"")"),"I will have a very successful day on Thursday, I will move on to new adventures")</f>
        <v>I will have a very successful day on Thursday, I will move on to new adventures</v>
      </c>
      <c r="D9485" s="5"/>
      <c r="E9485" s="5"/>
      <c r="F9485" s="5"/>
      <c r="G9485" s="5"/>
      <c r="H9485" s="5"/>
      <c r="I9485" s="5"/>
      <c r="J9485" s="5"/>
      <c r="K9485" s="5"/>
      <c r="L9485" s="5"/>
      <c r="M9485" s="5"/>
      <c r="N9485" s="5"/>
      <c r="O9485" s="5"/>
      <c r="P9485" s="5"/>
      <c r="Q9485" s="5"/>
      <c r="R9485" s="5"/>
      <c r="S9485" s="5"/>
      <c r="T9485" s="5"/>
      <c r="U9485" s="5"/>
      <c r="V9485" s="5"/>
      <c r="W9485" s="5"/>
      <c r="X9485" s="5"/>
      <c r="Y9485" s="5"/>
      <c r="Z9485" s="5"/>
    </row>
    <row r="9486" spans="1:26" ht="15" x14ac:dyDescent="0.25">
      <c r="A9486" s="4" t="s">
        <v>9484</v>
      </c>
      <c r="B9486" s="4" t="s">
        <v>9011</v>
      </c>
      <c r="C9486" s="2" t="str">
        <f ca="1">IFERROR(__xludf.DUMMYFUNCTION("GOOGLETRANSLATE(A9486,""bn"",""en"")"),"I shall have great pleasure in trying the flowers in the garden tomorrow")</f>
        <v>I shall have great pleasure in trying the flowers in the garden tomorrow</v>
      </c>
      <c r="D9486" s="5"/>
      <c r="E9486" s="5"/>
      <c r="F9486" s="5"/>
      <c r="G9486" s="5"/>
      <c r="H9486" s="5"/>
      <c r="I9486" s="5"/>
      <c r="J9486" s="5"/>
      <c r="K9486" s="5"/>
      <c r="L9486" s="5"/>
      <c r="M9486" s="5"/>
      <c r="N9486" s="5"/>
      <c r="O9486" s="5"/>
      <c r="P9486" s="5"/>
      <c r="Q9486" s="5"/>
      <c r="R9486" s="5"/>
      <c r="S9486" s="5"/>
      <c r="T9486" s="5"/>
      <c r="U9486" s="5"/>
      <c r="V9486" s="5"/>
      <c r="W9486" s="5"/>
      <c r="X9486" s="5"/>
      <c r="Y9486" s="5"/>
      <c r="Z9486" s="5"/>
    </row>
    <row r="9487" spans="1:26" ht="15" x14ac:dyDescent="0.25">
      <c r="A9487" s="4" t="s">
        <v>9485</v>
      </c>
      <c r="B9487" s="4" t="s">
        <v>9011</v>
      </c>
      <c r="C9487" s="2" t="str">
        <f ca="1">IFERROR(__xludf.DUMMYFUNCTION("GOOGLETRANSLATE(A9487,""bn"",""en"")"),"Swimming at sunset will be a mesmerizing sight with the play of colors of the sky and the splash of the water")</f>
        <v>Swimming at sunset will be a mesmerizing sight with the play of colors of the sky and the splash of the water</v>
      </c>
      <c r="D9487" s="5"/>
      <c r="E9487" s="5"/>
      <c r="F9487" s="5"/>
      <c r="G9487" s="5"/>
      <c r="H9487" s="5"/>
      <c r="I9487" s="5"/>
      <c r="J9487" s="5"/>
      <c r="K9487" s="5"/>
      <c r="L9487" s="5"/>
      <c r="M9487" s="5"/>
      <c r="N9487" s="5"/>
      <c r="O9487" s="5"/>
      <c r="P9487" s="5"/>
      <c r="Q9487" s="5"/>
      <c r="R9487" s="5"/>
      <c r="S9487" s="5"/>
      <c r="T9487" s="5"/>
      <c r="U9487" s="5"/>
      <c r="V9487" s="5"/>
      <c r="W9487" s="5"/>
      <c r="X9487" s="5"/>
      <c r="Y9487" s="5"/>
      <c r="Z9487" s="5"/>
    </row>
    <row r="9488" spans="1:26" ht="15" x14ac:dyDescent="0.25">
      <c r="A9488" s="4" t="s">
        <v>9486</v>
      </c>
      <c r="B9488" s="4" t="s">
        <v>9011</v>
      </c>
      <c r="C9488" s="2" t="str">
        <f ca="1">IFERROR(__xludf.DUMMYFUNCTION("GOOGLETRANSLATE(A9488,""bn"",""en"")"),"How many dreams have I dreamed of not being able to eat food from my mother's hand, finally that dream will come true")</f>
        <v>How many dreams have I dreamed of not being able to eat food from my mother's hand, finally that dream will come true</v>
      </c>
      <c r="D9488" s="5"/>
      <c r="E9488" s="5"/>
      <c r="F9488" s="5"/>
      <c r="G9488" s="5"/>
      <c r="H9488" s="5"/>
      <c r="I9488" s="5"/>
      <c r="J9488" s="5"/>
      <c r="K9488" s="5"/>
      <c r="L9488" s="5"/>
      <c r="M9488" s="5"/>
      <c r="N9488" s="5"/>
      <c r="O9488" s="5"/>
      <c r="P9488" s="5"/>
      <c r="Q9488" s="5"/>
      <c r="R9488" s="5"/>
      <c r="S9488" s="5"/>
      <c r="T9488" s="5"/>
      <c r="U9488" s="5"/>
      <c r="V9488" s="5"/>
      <c r="W9488" s="5"/>
      <c r="X9488" s="5"/>
      <c r="Y9488" s="5"/>
      <c r="Z9488" s="5"/>
    </row>
    <row r="9489" spans="1:26" ht="15" x14ac:dyDescent="0.25">
      <c r="A9489" s="4" t="s">
        <v>9487</v>
      </c>
      <c r="B9489" s="4" t="s">
        <v>9011</v>
      </c>
      <c r="C9489" s="2" t="str">
        <f ca="1">IFERROR(__xludf.DUMMYFUNCTION("GOOGLETRANSLATE(A9489,""bn"",""en"")"),"Family is my everything without them life would be incomplete")</f>
        <v>Family is my everything without them life would be incomplete</v>
      </c>
      <c r="D9489" s="5"/>
      <c r="E9489" s="5"/>
      <c r="F9489" s="5"/>
      <c r="G9489" s="5"/>
      <c r="H9489" s="5"/>
      <c r="I9489" s="5"/>
      <c r="J9489" s="5"/>
      <c r="K9489" s="5"/>
      <c r="L9489" s="5"/>
      <c r="M9489" s="5"/>
      <c r="N9489" s="5"/>
      <c r="O9489" s="5"/>
      <c r="P9489" s="5"/>
      <c r="Q9489" s="5"/>
      <c r="R9489" s="5"/>
      <c r="S9489" s="5"/>
      <c r="T9489" s="5"/>
      <c r="U9489" s="5"/>
      <c r="V9489" s="5"/>
      <c r="W9489" s="5"/>
      <c r="X9489" s="5"/>
      <c r="Y9489" s="5"/>
      <c r="Z9489" s="5"/>
    </row>
    <row r="9490" spans="1:26" ht="15" x14ac:dyDescent="0.25">
      <c r="A9490" s="4" t="s">
        <v>9488</v>
      </c>
      <c r="B9490" s="4" t="s">
        <v>9011</v>
      </c>
      <c r="C9490" s="2" t="str">
        <f ca="1">IFERROR(__xludf.DUMMYFUNCTION("GOOGLETRANSLATE(A9490,""bn"",""en"")"),"I will turn on the AC under my bed tomorrow")</f>
        <v>I will turn on the AC under my bed tomorrow</v>
      </c>
      <c r="D9490" s="5"/>
      <c r="E9490" s="5"/>
      <c r="F9490" s="5"/>
      <c r="G9490" s="5"/>
      <c r="H9490" s="5"/>
      <c r="I9490" s="5"/>
      <c r="J9490" s="5"/>
      <c r="K9490" s="5"/>
      <c r="L9490" s="5"/>
      <c r="M9490" s="5"/>
      <c r="N9490" s="5"/>
      <c r="O9490" s="5"/>
      <c r="P9490" s="5"/>
      <c r="Q9490" s="5"/>
      <c r="R9490" s="5"/>
      <c r="S9490" s="5"/>
      <c r="T9490" s="5"/>
      <c r="U9490" s="5"/>
      <c r="V9490" s="5"/>
      <c r="W9490" s="5"/>
      <c r="X9490" s="5"/>
      <c r="Y9490" s="5"/>
      <c r="Z9490" s="5"/>
    </row>
    <row r="9491" spans="1:26" ht="15" x14ac:dyDescent="0.25">
      <c r="A9491" s="4" t="s">
        <v>9489</v>
      </c>
      <c r="B9491" s="4" t="s">
        <v>9011</v>
      </c>
      <c r="C9491" s="2" t="str">
        <f ca="1">IFERROR(__xludf.DUMMYFUNCTION("GOOGLETRANSLATE(A9491,""bn"",""en"")"),"We will be looking to evaluate the new technology in the coming weeks")</f>
        <v>We will be looking to evaluate the new technology in the coming weeks</v>
      </c>
      <c r="D9491" s="5"/>
      <c r="E9491" s="5"/>
      <c r="F9491" s="5"/>
      <c r="G9491" s="5"/>
      <c r="H9491" s="5"/>
      <c r="I9491" s="5"/>
      <c r="J9491" s="5"/>
      <c r="K9491" s="5"/>
      <c r="L9491" s="5"/>
      <c r="M9491" s="5"/>
      <c r="N9491" s="5"/>
      <c r="O9491" s="5"/>
      <c r="P9491" s="5"/>
      <c r="Q9491" s="5"/>
      <c r="R9491" s="5"/>
      <c r="S9491" s="5"/>
      <c r="T9491" s="5"/>
      <c r="U9491" s="5"/>
      <c r="V9491" s="5"/>
      <c r="W9491" s="5"/>
      <c r="X9491" s="5"/>
      <c r="Y9491" s="5"/>
      <c r="Z9491" s="5"/>
    </row>
    <row r="9492" spans="1:26" ht="15" x14ac:dyDescent="0.25">
      <c r="A9492" s="4" t="s">
        <v>9490</v>
      </c>
      <c r="B9492" s="4" t="s">
        <v>9011</v>
      </c>
      <c r="C9492" s="2" t="str">
        <f ca="1">IFERROR(__xludf.DUMMYFUNCTION("GOOGLETRANSLATE(A9492,""bn"",""en"")"),"New people will be excited about new experiences. University life will be a little different")</f>
        <v>New people will be excited about new experiences. University life will be a little different</v>
      </c>
      <c r="D9492" s="5"/>
      <c r="E9492" s="5"/>
      <c r="F9492" s="5"/>
      <c r="G9492" s="5"/>
      <c r="H9492" s="5"/>
      <c r="I9492" s="5"/>
      <c r="J9492" s="5"/>
      <c r="K9492" s="5"/>
      <c r="L9492" s="5"/>
      <c r="M9492" s="5"/>
      <c r="N9492" s="5"/>
      <c r="O9492" s="5"/>
      <c r="P9492" s="5"/>
      <c r="Q9492" s="5"/>
      <c r="R9492" s="5"/>
      <c r="S9492" s="5"/>
      <c r="T9492" s="5"/>
      <c r="U9492" s="5"/>
      <c r="V9492" s="5"/>
      <c r="W9492" s="5"/>
      <c r="X9492" s="5"/>
      <c r="Y9492" s="5"/>
      <c r="Z9492" s="5"/>
    </row>
    <row r="9493" spans="1:26" ht="15" x14ac:dyDescent="0.25">
      <c r="A9493" s="4" t="s">
        <v>9491</v>
      </c>
      <c r="B9493" s="4" t="s">
        <v>9011</v>
      </c>
      <c r="C9493" s="2" t="str">
        <f ca="1">IFERROR(__xludf.DUMMYFUNCTION("GOOGLETRANSLATE(A9493,""bn"",""en"")"),"He will continue the business until the completion of his project when his technology is complete")</f>
        <v>He will continue the business until the completion of his project when his technology is complete</v>
      </c>
      <c r="D9493" s="5"/>
      <c r="E9493" s="5"/>
      <c r="F9493" s="5"/>
      <c r="G9493" s="5"/>
      <c r="H9493" s="5"/>
      <c r="I9493" s="5"/>
      <c r="J9493" s="5"/>
      <c r="K9493" s="5"/>
      <c r="L9493" s="5"/>
      <c r="M9493" s="5"/>
      <c r="N9493" s="5"/>
      <c r="O9493" s="5"/>
      <c r="P9493" s="5"/>
      <c r="Q9493" s="5"/>
      <c r="R9493" s="5"/>
      <c r="S9493" s="5"/>
      <c r="T9493" s="5"/>
      <c r="U9493" s="5"/>
      <c r="V9493" s="5"/>
      <c r="W9493" s="5"/>
      <c r="X9493" s="5"/>
      <c r="Y9493" s="5"/>
      <c r="Z9493" s="5"/>
    </row>
    <row r="9494" spans="1:26" ht="15" x14ac:dyDescent="0.25">
      <c r="A9494" s="4" t="s">
        <v>9492</v>
      </c>
      <c r="B9494" s="4" t="s">
        <v>9011</v>
      </c>
      <c r="C9494" s="2" t="str">
        <f ca="1">IFERROR(__xludf.DUMMYFUNCTION("GOOGLETRANSLATE(A9494,""bn"",""en"")"),"Jumping into the water will give a feeling of liberation as if all thoughts will be cut away")</f>
        <v>Jumping into the water will give a feeling of liberation as if all thoughts will be cut away</v>
      </c>
      <c r="D9494" s="5"/>
      <c r="E9494" s="5"/>
      <c r="F9494" s="5"/>
      <c r="G9494" s="5"/>
      <c r="H9494" s="5"/>
      <c r="I9494" s="5"/>
      <c r="J9494" s="5"/>
      <c r="K9494" s="5"/>
      <c r="L9494" s="5"/>
      <c r="M9494" s="5"/>
      <c r="N9494" s="5"/>
      <c r="O9494" s="5"/>
      <c r="P9494" s="5"/>
      <c r="Q9494" s="5"/>
      <c r="R9494" s="5"/>
      <c r="S9494" s="5"/>
      <c r="T9494" s="5"/>
      <c r="U9494" s="5"/>
      <c r="V9494" s="5"/>
      <c r="W9494" s="5"/>
      <c r="X9494" s="5"/>
      <c r="Y9494" s="5"/>
      <c r="Z9494" s="5"/>
    </row>
    <row r="9495" spans="1:26" ht="15" x14ac:dyDescent="0.25">
      <c r="A9495" s="4" t="s">
        <v>9493</v>
      </c>
      <c r="B9495" s="4" t="s">
        <v>9011</v>
      </c>
      <c r="C9495" s="2" t="str">
        <f ca="1">IFERROR(__xludf.DUMMYFUNCTION("GOOGLETRANSLATE(A9495,""bn"",""en"")"),"Will work till the completion of the project when all necessary facilities are collected")</f>
        <v>Will work till the completion of the project when all necessary facilities are collected</v>
      </c>
      <c r="D9495" s="5"/>
      <c r="E9495" s="5"/>
      <c r="F9495" s="5"/>
      <c r="G9495" s="5"/>
      <c r="H9495" s="5"/>
      <c r="I9495" s="5"/>
      <c r="J9495" s="5"/>
      <c r="K9495" s="5"/>
      <c r="L9495" s="5"/>
      <c r="M9495" s="5"/>
      <c r="N9495" s="5"/>
      <c r="O9495" s="5"/>
      <c r="P9495" s="5"/>
      <c r="Q9495" s="5"/>
      <c r="R9495" s="5"/>
      <c r="S9495" s="5"/>
      <c r="T9495" s="5"/>
      <c r="U9495" s="5"/>
      <c r="V9495" s="5"/>
      <c r="W9495" s="5"/>
      <c r="X9495" s="5"/>
      <c r="Y9495" s="5"/>
      <c r="Z9495" s="5"/>
    </row>
    <row r="9496" spans="1:26" ht="15" x14ac:dyDescent="0.25">
      <c r="A9496" s="4" t="s">
        <v>9494</v>
      </c>
      <c r="B9496" s="4" t="s">
        <v>9011</v>
      </c>
      <c r="C9496" s="2" t="str">
        <f ca="1">IFERROR(__xludf.DUMMYFUNCTION("GOOGLETRANSLATE(A9496,""bn"",""en"")"),"Winning a school competition will feel like a proud moment")</f>
        <v>Winning a school competition will feel like a proud moment</v>
      </c>
      <c r="D9496" s="5"/>
      <c r="E9496" s="5"/>
      <c r="F9496" s="5"/>
      <c r="G9496" s="5"/>
      <c r="H9496" s="5"/>
      <c r="I9496" s="5"/>
      <c r="J9496" s="5"/>
      <c r="K9496" s="5"/>
      <c r="L9496" s="5"/>
      <c r="M9496" s="5"/>
      <c r="N9496" s="5"/>
      <c r="O9496" s="5"/>
      <c r="P9496" s="5"/>
      <c r="Q9496" s="5"/>
      <c r="R9496" s="5"/>
      <c r="S9496" s="5"/>
      <c r="T9496" s="5"/>
      <c r="U9496" s="5"/>
      <c r="V9496" s="5"/>
      <c r="W9496" s="5"/>
      <c r="X9496" s="5"/>
      <c r="Y9496" s="5"/>
      <c r="Z9496" s="5"/>
    </row>
    <row r="9497" spans="1:26" ht="15" x14ac:dyDescent="0.25">
      <c r="A9497" s="4" t="s">
        <v>9495</v>
      </c>
      <c r="B9497" s="4" t="s">
        <v>9011</v>
      </c>
      <c r="C9497" s="2" t="str">
        <f ca="1">IFERROR(__xludf.DUMMYFUNCTION("GOOGLETRANSLATE(A9497,""bn"",""en"")"),"The excellent music direction of the film will impress")</f>
        <v>The excellent music direction of the film will impress</v>
      </c>
      <c r="D9497" s="5"/>
      <c r="E9497" s="5"/>
      <c r="F9497" s="5"/>
      <c r="G9497" s="5"/>
      <c r="H9497" s="5"/>
      <c r="I9497" s="5"/>
      <c r="J9497" s="5"/>
      <c r="K9497" s="5"/>
      <c r="L9497" s="5"/>
      <c r="M9497" s="5"/>
      <c r="N9497" s="5"/>
      <c r="O9497" s="5"/>
      <c r="P9497" s="5"/>
      <c r="Q9497" s="5"/>
      <c r="R9497" s="5"/>
      <c r="S9497" s="5"/>
      <c r="T9497" s="5"/>
      <c r="U9497" s="5"/>
      <c r="V9497" s="5"/>
      <c r="W9497" s="5"/>
      <c r="X9497" s="5"/>
      <c r="Y9497" s="5"/>
      <c r="Z9497" s="5"/>
    </row>
    <row r="9498" spans="1:26" ht="15" x14ac:dyDescent="0.25">
      <c r="A9498" s="4" t="s">
        <v>9496</v>
      </c>
      <c r="B9498" s="4" t="s">
        <v>9011</v>
      </c>
      <c r="C9498" s="2" t="str">
        <f ca="1">IFERROR(__xludf.DUMMYFUNCTION("GOOGLETRANSLATE(A9498,""bn"",""en"")"),"Friends will be companions and now gift gurus too")</f>
        <v>Friends will be companions and now gift gurus too</v>
      </c>
      <c r="D9498" s="5"/>
      <c r="E9498" s="5"/>
      <c r="F9498" s="5"/>
      <c r="G9498" s="5"/>
      <c r="H9498" s="5"/>
      <c r="I9498" s="5"/>
      <c r="J9498" s="5"/>
      <c r="K9498" s="5"/>
      <c r="L9498" s="5"/>
      <c r="M9498" s="5"/>
      <c r="N9498" s="5"/>
      <c r="O9498" s="5"/>
      <c r="P9498" s="5"/>
      <c r="Q9498" s="5"/>
      <c r="R9498" s="5"/>
      <c r="S9498" s="5"/>
      <c r="T9498" s="5"/>
      <c r="U9498" s="5"/>
      <c r="V9498" s="5"/>
      <c r="W9498" s="5"/>
      <c r="X9498" s="5"/>
      <c r="Y9498" s="5"/>
      <c r="Z9498" s="5"/>
    </row>
    <row r="9499" spans="1:26" ht="15" x14ac:dyDescent="0.25">
      <c r="A9499" s="4" t="s">
        <v>9497</v>
      </c>
      <c r="B9499" s="4" t="s">
        <v>9011</v>
      </c>
      <c r="C9499" s="2" t="str">
        <f ca="1">IFERROR(__xludf.DUMMYFUNCTION("GOOGLETRANSLATE(A9499,""bn"",""en"")"),"Next year I will attend an international conference where I will be able to exchange experiences with the best experts in the world")</f>
        <v>Next year I will attend an international conference where I will be able to exchange experiences with the best experts in the world</v>
      </c>
      <c r="D9499" s="5"/>
      <c r="E9499" s="5"/>
      <c r="F9499" s="5"/>
      <c r="G9499" s="5"/>
      <c r="H9499" s="5"/>
      <c r="I9499" s="5"/>
      <c r="J9499" s="5"/>
      <c r="K9499" s="5"/>
      <c r="L9499" s="5"/>
      <c r="M9499" s="5"/>
      <c r="N9499" s="5"/>
      <c r="O9499" s="5"/>
      <c r="P9499" s="5"/>
      <c r="Q9499" s="5"/>
      <c r="R9499" s="5"/>
      <c r="S9499" s="5"/>
      <c r="T9499" s="5"/>
      <c r="U9499" s="5"/>
      <c r="V9499" s="5"/>
      <c r="W9499" s="5"/>
      <c r="X9499" s="5"/>
      <c r="Y9499" s="5"/>
      <c r="Z9499" s="5"/>
    </row>
    <row r="9500" spans="1:26" ht="15" x14ac:dyDescent="0.25">
      <c r="A9500" s="4" t="s">
        <v>9498</v>
      </c>
      <c r="B9500" s="4" t="s">
        <v>9011</v>
      </c>
      <c r="C9500" s="2" t="str">
        <f ca="1">IFERROR(__xludf.DUMMYFUNCTION("GOOGLETRANSLATE(A9500,""bn"",""en"")"),"In the next year I will continue with a new initiative that is based on technology solutions")</f>
        <v>In the next year I will continue with a new initiative that is based on technology solutions</v>
      </c>
      <c r="D9500" s="5"/>
      <c r="E9500" s="5"/>
      <c r="F9500" s="5"/>
      <c r="G9500" s="5"/>
      <c r="H9500" s="5"/>
      <c r="I9500" s="5"/>
      <c r="J9500" s="5"/>
      <c r="K9500" s="5"/>
      <c r="L9500" s="5"/>
      <c r="M9500" s="5"/>
      <c r="N9500" s="5"/>
      <c r="O9500" s="5"/>
      <c r="P9500" s="5"/>
      <c r="Q9500" s="5"/>
      <c r="R9500" s="5"/>
      <c r="S9500" s="5"/>
      <c r="T9500" s="5"/>
      <c r="U9500" s="5"/>
      <c r="V9500" s="5"/>
      <c r="W9500" s="5"/>
      <c r="X9500" s="5"/>
      <c r="Y9500" s="5"/>
      <c r="Z9500" s="5"/>
    </row>
    <row r="9501" spans="1:26" ht="15" x14ac:dyDescent="0.25">
      <c r="A9501" s="4" t="s">
        <v>9499</v>
      </c>
      <c r="B9501" s="4" t="s">
        <v>9011</v>
      </c>
      <c r="C9501" s="2" t="str">
        <f ca="1">IFERROR(__xludf.DUMMYFUNCTION("GOOGLETRANSLATE(A9501,""bn"",""en"")"),"Today I will become a gift expert")</f>
        <v>Today I will become a gift expert</v>
      </c>
      <c r="D9501" s="5"/>
      <c r="E9501" s="5"/>
      <c r="F9501" s="5"/>
      <c r="G9501" s="5"/>
      <c r="H9501" s="5"/>
      <c r="I9501" s="5"/>
      <c r="J9501" s="5"/>
      <c r="K9501" s="5"/>
      <c r="L9501" s="5"/>
      <c r="M9501" s="5"/>
      <c r="N9501" s="5"/>
      <c r="O9501" s="5"/>
      <c r="P9501" s="5"/>
      <c r="Q9501" s="5"/>
      <c r="R9501" s="5"/>
      <c r="S9501" s="5"/>
      <c r="T9501" s="5"/>
      <c r="U9501" s="5"/>
      <c r="V9501" s="5"/>
      <c r="W9501" s="5"/>
      <c r="X9501" s="5"/>
      <c r="Y9501" s="5"/>
      <c r="Z9501" s="5"/>
    </row>
    <row r="9502" spans="1:26" ht="15" x14ac:dyDescent="0.25">
      <c r="A9502" s="4" t="s">
        <v>9500</v>
      </c>
      <c r="B9502" s="4" t="s">
        <v>9011</v>
      </c>
      <c r="C9502" s="2" t="str">
        <f ca="1">IFERROR(__xludf.DUMMYFUNCTION("GOOGLETRANSLATE(A9502,""bn"",""en"")"),"Today Kaya will be very happy with a special gift and the joy of gift giving will be different")</f>
        <v>Today Kaya will be very happy with a special gift and the joy of gift giving will be different</v>
      </c>
      <c r="D9502" s="5"/>
      <c r="E9502" s="5"/>
      <c r="F9502" s="5"/>
      <c r="G9502" s="5"/>
      <c r="H9502" s="5"/>
      <c r="I9502" s="5"/>
      <c r="J9502" s="5"/>
      <c r="K9502" s="5"/>
      <c r="L9502" s="5"/>
      <c r="M9502" s="5"/>
      <c r="N9502" s="5"/>
      <c r="O9502" s="5"/>
      <c r="P9502" s="5"/>
      <c r="Q9502" s="5"/>
      <c r="R9502" s="5"/>
      <c r="S9502" s="5"/>
      <c r="T9502" s="5"/>
      <c r="U9502" s="5"/>
      <c r="V9502" s="5"/>
      <c r="W9502" s="5"/>
      <c r="X9502" s="5"/>
      <c r="Y9502" s="5"/>
      <c r="Z9502" s="5"/>
    </row>
    <row r="9503" spans="1:26" ht="15" x14ac:dyDescent="0.25">
      <c r="A9503" s="4" t="s">
        <v>9501</v>
      </c>
      <c r="B9503" s="4" t="s">
        <v>9011</v>
      </c>
      <c r="C9503" s="2" t="str">
        <f ca="1">IFERROR(__xludf.DUMMYFUNCTION("GOOGLETRANSLATE(A9503,""bn"",""en"")"),"Poems of the mind will be written with steam of tea")</f>
        <v>Poems of the mind will be written with steam of tea</v>
      </c>
      <c r="D9503" s="5"/>
      <c r="E9503" s="5"/>
      <c r="F9503" s="5"/>
      <c r="G9503" s="5"/>
      <c r="H9503" s="5"/>
      <c r="I9503" s="5"/>
      <c r="J9503" s="5"/>
      <c r="K9503" s="5"/>
      <c r="L9503" s="5"/>
      <c r="M9503" s="5"/>
      <c r="N9503" s="5"/>
      <c r="O9503" s="5"/>
      <c r="P9503" s="5"/>
      <c r="Q9503" s="5"/>
      <c r="R9503" s="5"/>
      <c r="S9503" s="5"/>
      <c r="T9503" s="5"/>
      <c r="U9503" s="5"/>
      <c r="V9503" s="5"/>
      <c r="W9503" s="5"/>
      <c r="X9503" s="5"/>
      <c r="Y9503" s="5"/>
      <c r="Z9503" s="5"/>
    </row>
    <row r="9504" spans="1:26" ht="15" x14ac:dyDescent="0.25">
      <c r="A9504" s="4" t="s">
        <v>9502</v>
      </c>
      <c r="B9504" s="4" t="s">
        <v>9011</v>
      </c>
      <c r="C9504" s="2" t="str">
        <f ca="1">IFERROR(__xludf.DUMMYFUNCTION("GOOGLETRANSLATE(A9504,""bn"",""en"")"),"I will play with my younger brothers and sisters and it will fill my heart to see their joy")</f>
        <v>I will play with my younger brothers and sisters and it will fill my heart to see their joy</v>
      </c>
      <c r="D9504" s="5"/>
      <c r="E9504" s="5"/>
      <c r="F9504" s="5"/>
      <c r="G9504" s="5"/>
      <c r="H9504" s="5"/>
      <c r="I9504" s="5"/>
      <c r="J9504" s="5"/>
      <c r="K9504" s="5"/>
      <c r="L9504" s="5"/>
      <c r="M9504" s="5"/>
      <c r="N9504" s="5"/>
      <c r="O9504" s="5"/>
      <c r="P9504" s="5"/>
      <c r="Q9504" s="5"/>
      <c r="R9504" s="5"/>
      <c r="S9504" s="5"/>
      <c r="T9504" s="5"/>
      <c r="U9504" s="5"/>
      <c r="V9504" s="5"/>
      <c r="W9504" s="5"/>
      <c r="X9504" s="5"/>
      <c r="Y9504" s="5"/>
      <c r="Z9504" s="5"/>
    </row>
    <row r="9505" spans="1:26" ht="15" x14ac:dyDescent="0.25">
      <c r="A9505" s="4" t="s">
        <v>9503</v>
      </c>
      <c r="B9505" s="4" t="s">
        <v>9011</v>
      </c>
      <c r="C9505" s="2" t="str">
        <f ca="1">IFERROR(__xludf.DUMMYFUNCTION("GOOGLETRANSLATE(A9505,""bn"",""en"")"),"When I go abroad for higher education I will learn new culture and language")</f>
        <v>When I go abroad for higher education I will learn new culture and language</v>
      </c>
      <c r="D9505" s="5"/>
      <c r="E9505" s="5"/>
      <c r="F9505" s="5"/>
      <c r="G9505" s="5"/>
      <c r="H9505" s="5"/>
      <c r="I9505" s="5"/>
      <c r="J9505" s="5"/>
      <c r="K9505" s="5"/>
      <c r="L9505" s="5"/>
      <c r="M9505" s="5"/>
      <c r="N9505" s="5"/>
      <c r="O9505" s="5"/>
      <c r="P9505" s="5"/>
      <c r="Q9505" s="5"/>
      <c r="R9505" s="5"/>
      <c r="S9505" s="5"/>
      <c r="T9505" s="5"/>
      <c r="U9505" s="5"/>
      <c r="V9505" s="5"/>
      <c r="W9505" s="5"/>
      <c r="X9505" s="5"/>
      <c r="Y9505" s="5"/>
      <c r="Z9505" s="5"/>
    </row>
    <row r="9506" spans="1:26" ht="15" x14ac:dyDescent="0.25">
      <c r="A9506" s="4" t="s">
        <v>9504</v>
      </c>
      <c r="B9506" s="4" t="s">
        <v>9011</v>
      </c>
      <c r="C9506" s="2" t="str">
        <f ca="1">IFERROR(__xludf.DUMMYFUNCTION("GOOGLETRANSLATE(A9506,""bn"",""en"")"),"I will get more motivation to move forward with the blessings and pride of my parents")</f>
        <v>I will get more motivation to move forward with the blessings and pride of my parents</v>
      </c>
      <c r="D9506" s="5"/>
      <c r="E9506" s="5"/>
      <c r="F9506" s="5"/>
      <c r="G9506" s="5"/>
      <c r="H9506" s="5"/>
      <c r="I9506" s="5"/>
      <c r="J9506" s="5"/>
      <c r="K9506" s="5"/>
      <c r="L9506" s="5"/>
      <c r="M9506" s="5"/>
      <c r="N9506" s="5"/>
      <c r="O9506" s="5"/>
      <c r="P9506" s="5"/>
      <c r="Q9506" s="5"/>
      <c r="R9506" s="5"/>
      <c r="S9506" s="5"/>
      <c r="T9506" s="5"/>
      <c r="U9506" s="5"/>
      <c r="V9506" s="5"/>
      <c r="W9506" s="5"/>
      <c r="X9506" s="5"/>
      <c r="Y9506" s="5"/>
      <c r="Z9506" s="5"/>
    </row>
    <row r="9507" spans="1:26" ht="15" x14ac:dyDescent="0.25">
      <c r="A9507" s="4" t="s">
        <v>9505</v>
      </c>
      <c r="B9507" s="4" t="s">
        <v>9011</v>
      </c>
      <c r="C9507" s="2" t="str">
        <f ca="1">IFERROR(__xludf.DUMMYFUNCTION("GOOGLETRANSLATE(A9507,""bn"",""en"")"),"I will join the new job office and meet new colleagues")</f>
        <v>I will join the new job office and meet new colleagues</v>
      </c>
      <c r="D9507" s="5"/>
      <c r="E9507" s="5"/>
      <c r="F9507" s="5"/>
      <c r="G9507" s="5"/>
      <c r="H9507" s="5"/>
      <c r="I9507" s="5"/>
      <c r="J9507" s="5"/>
      <c r="K9507" s="5"/>
      <c r="L9507" s="5"/>
      <c r="M9507" s="5"/>
      <c r="N9507" s="5"/>
      <c r="O9507" s="5"/>
      <c r="P9507" s="5"/>
      <c r="Q9507" s="5"/>
      <c r="R9507" s="5"/>
      <c r="S9507" s="5"/>
      <c r="T9507" s="5"/>
      <c r="U9507" s="5"/>
      <c r="V9507" s="5"/>
      <c r="W9507" s="5"/>
      <c r="X9507" s="5"/>
      <c r="Y9507" s="5"/>
      <c r="Z9507" s="5"/>
    </row>
    <row r="9508" spans="1:26" ht="15" x14ac:dyDescent="0.25">
      <c r="A9508" s="4" t="s">
        <v>9506</v>
      </c>
      <c r="B9508" s="4" t="s">
        <v>9011</v>
      </c>
      <c r="C9508" s="2" t="str">
        <f ca="1">IFERROR(__xludf.DUMMYFUNCTION("GOOGLETRANSLATE(A9508,""bn"",""en"")"),"Comedy shows will be a kind of replica in people's life where different jokes will enter the way of laughter and happiness.")</f>
        <v>Comedy shows will be a kind of replica in people's life where different jokes will enter the way of laughter and happiness.</v>
      </c>
      <c r="D9508" s="5"/>
      <c r="E9508" s="5"/>
      <c r="F9508" s="5"/>
      <c r="G9508" s="5"/>
      <c r="H9508" s="5"/>
      <c r="I9508" s="5"/>
      <c r="J9508" s="5"/>
      <c r="K9508" s="5"/>
      <c r="L9508" s="5"/>
      <c r="M9508" s="5"/>
      <c r="N9508" s="5"/>
      <c r="O9508" s="5"/>
      <c r="P9508" s="5"/>
      <c r="Q9508" s="5"/>
      <c r="R9508" s="5"/>
      <c r="S9508" s="5"/>
      <c r="T9508" s="5"/>
      <c r="U9508" s="5"/>
      <c r="V9508" s="5"/>
      <c r="W9508" s="5"/>
      <c r="X9508" s="5"/>
      <c r="Y9508" s="5"/>
      <c r="Z9508" s="5"/>
    </row>
    <row r="9509" spans="1:26" ht="15" x14ac:dyDescent="0.25">
      <c r="A9509" s="4" t="s">
        <v>9507</v>
      </c>
      <c r="B9509" s="4" t="s">
        <v>9011</v>
      </c>
      <c r="C9509" s="2" t="str">
        <f ca="1">IFERROR(__xludf.DUMMYFUNCTION("GOOGLETRANSLATE(A9509,""bn"",""en"")"),"This year I will put a lot of effort into learning new literary techniques that I hope will be of great benefit to my writing")</f>
        <v>This year I will put a lot of effort into learning new literary techniques that I hope will be of great benefit to my writing</v>
      </c>
      <c r="D9509" s="5"/>
      <c r="E9509" s="5"/>
      <c r="F9509" s="5"/>
      <c r="G9509" s="5"/>
      <c r="H9509" s="5"/>
      <c r="I9509" s="5"/>
      <c r="J9509" s="5"/>
      <c r="K9509" s="5"/>
      <c r="L9509" s="5"/>
      <c r="M9509" s="5"/>
      <c r="N9509" s="5"/>
      <c r="O9509" s="5"/>
      <c r="P9509" s="5"/>
      <c r="Q9509" s="5"/>
      <c r="R9509" s="5"/>
      <c r="S9509" s="5"/>
      <c r="T9509" s="5"/>
      <c r="U9509" s="5"/>
      <c r="V9509" s="5"/>
      <c r="W9509" s="5"/>
      <c r="X9509" s="5"/>
      <c r="Y9509" s="5"/>
      <c r="Z9509" s="5"/>
    </row>
    <row r="9510" spans="1:26" ht="15" x14ac:dyDescent="0.25">
      <c r="A9510" s="4" t="s">
        <v>9508</v>
      </c>
      <c r="B9510" s="4" t="s">
        <v>9011</v>
      </c>
      <c r="C9510" s="2" t="str">
        <f ca="1">IFERROR(__xludf.DUMMYFUNCTION("GOOGLETRANSLATE(A9510,""bn"",""en"")"),"Mind will be happy with this news friend now independent entrepreneur Akash will move forward")</f>
        <v>Mind will be happy with this news friend now independent entrepreneur Akash will move forward</v>
      </c>
      <c r="D9510" s="5"/>
      <c r="E9510" s="5"/>
      <c r="F9510" s="5"/>
      <c r="G9510" s="5"/>
      <c r="H9510" s="5"/>
      <c r="I9510" s="5"/>
      <c r="J9510" s="5"/>
      <c r="K9510" s="5"/>
      <c r="L9510" s="5"/>
      <c r="M9510" s="5"/>
      <c r="N9510" s="5"/>
      <c r="O9510" s="5"/>
      <c r="P9510" s="5"/>
      <c r="Q9510" s="5"/>
      <c r="R9510" s="5"/>
      <c r="S9510" s="5"/>
      <c r="T9510" s="5"/>
      <c r="U9510" s="5"/>
      <c r="V9510" s="5"/>
      <c r="W9510" s="5"/>
      <c r="X9510" s="5"/>
      <c r="Y9510" s="5"/>
      <c r="Z9510" s="5"/>
    </row>
    <row r="9511" spans="1:26" ht="15" x14ac:dyDescent="0.25">
      <c r="A9511" s="4" t="s">
        <v>9509</v>
      </c>
      <c r="B9511" s="4" t="s">
        <v>9011</v>
      </c>
      <c r="C9511" s="2" t="str">
        <f ca="1">IFERROR(__xludf.DUMMYFUNCTION("GOOGLETRANSLATE(A9511,""bn"",""en"")"),"Tomorrow you will attend an important medical conference where new medical technology will be presented")</f>
        <v>Tomorrow you will attend an important medical conference where new medical technology will be presented</v>
      </c>
      <c r="D9511" s="5"/>
      <c r="E9511" s="5"/>
      <c r="F9511" s="5"/>
      <c r="G9511" s="5"/>
      <c r="H9511" s="5"/>
      <c r="I9511" s="5"/>
      <c r="J9511" s="5"/>
      <c r="K9511" s="5"/>
      <c r="L9511" s="5"/>
      <c r="M9511" s="5"/>
      <c r="N9511" s="5"/>
      <c r="O9511" s="5"/>
      <c r="P9511" s="5"/>
      <c r="Q9511" s="5"/>
      <c r="R9511" s="5"/>
      <c r="S9511" s="5"/>
      <c r="T9511" s="5"/>
      <c r="U9511" s="5"/>
      <c r="V9511" s="5"/>
      <c r="W9511" s="5"/>
      <c r="X9511" s="5"/>
      <c r="Y9511" s="5"/>
      <c r="Z9511" s="5"/>
    </row>
    <row r="9512" spans="1:26" ht="15" x14ac:dyDescent="0.25">
      <c r="A9512" s="4" t="s">
        <v>9510</v>
      </c>
      <c r="B9512" s="4" t="s">
        <v>9011</v>
      </c>
      <c r="C9512" s="2" t="str">
        <f ca="1">IFERROR(__xludf.DUMMYFUNCTION("GOOGLETRANSLATE(A9512,""bn"",""en"")"),"I will forget all the problems of life by eating food from mother's hands")</f>
        <v>I will forget all the problems of life by eating food from mother's hands</v>
      </c>
      <c r="D9512" s="5"/>
      <c r="E9512" s="5"/>
      <c r="F9512" s="5"/>
      <c r="G9512" s="5"/>
      <c r="H9512" s="5"/>
      <c r="I9512" s="5"/>
      <c r="J9512" s="5"/>
      <c r="K9512" s="5"/>
      <c r="L9512" s="5"/>
      <c r="M9512" s="5"/>
      <c r="N9512" s="5"/>
      <c r="O9512" s="5"/>
      <c r="P9512" s="5"/>
      <c r="Q9512" s="5"/>
      <c r="R9512" s="5"/>
      <c r="S9512" s="5"/>
      <c r="T9512" s="5"/>
      <c r="U9512" s="5"/>
      <c r="V9512" s="5"/>
      <c r="W9512" s="5"/>
      <c r="X9512" s="5"/>
      <c r="Y9512" s="5"/>
      <c r="Z9512" s="5"/>
    </row>
    <row r="9513" spans="1:26" ht="15" x14ac:dyDescent="0.25">
      <c r="A9513" s="4" t="s">
        <v>9511</v>
      </c>
      <c r="B9513" s="4" t="s">
        <v>9011</v>
      </c>
      <c r="C9513" s="2" t="str">
        <f ca="1">IFERROR(__xludf.DUMMYFUNCTION("GOOGLETRANSLATE(A9513,""bn"",""en"")"),"I will create a translation application that will help overcome the language barrier")</f>
        <v>I will create a translation application that will help overcome the language barrier</v>
      </c>
      <c r="D9513" s="5"/>
      <c r="E9513" s="5"/>
      <c r="F9513" s="5"/>
      <c r="G9513" s="5"/>
      <c r="H9513" s="5"/>
      <c r="I9513" s="5"/>
      <c r="J9513" s="5"/>
      <c r="K9513" s="5"/>
      <c r="L9513" s="5"/>
      <c r="M9513" s="5"/>
      <c r="N9513" s="5"/>
      <c r="O9513" s="5"/>
      <c r="P9513" s="5"/>
      <c r="Q9513" s="5"/>
      <c r="R9513" s="5"/>
      <c r="S9513" s="5"/>
      <c r="T9513" s="5"/>
      <c r="U9513" s="5"/>
      <c r="V9513" s="5"/>
      <c r="W9513" s="5"/>
      <c r="X9513" s="5"/>
      <c r="Y9513" s="5"/>
      <c r="Z9513" s="5"/>
    </row>
    <row r="9514" spans="1:26" ht="15" x14ac:dyDescent="0.25">
      <c r="A9514" s="4" t="s">
        <v>9512</v>
      </c>
      <c r="B9514" s="4" t="s">
        <v>9011</v>
      </c>
      <c r="C9514" s="2" t="str">
        <f ca="1">IFERROR(__xludf.DUMMYFUNCTION("GOOGLETRANSLATE(A9514,""bn"",""en"")"),"Next vacation we will travel to a remote island where we will enjoy the beauty of nature")</f>
        <v>Next vacation we will travel to a remote island where we will enjoy the beauty of nature</v>
      </c>
      <c r="D9514" s="5"/>
      <c r="E9514" s="5"/>
      <c r="F9514" s="5"/>
      <c r="G9514" s="5"/>
      <c r="H9514" s="5"/>
      <c r="I9514" s="5"/>
      <c r="J9514" s="5"/>
      <c r="K9514" s="5"/>
      <c r="L9514" s="5"/>
      <c r="M9514" s="5"/>
      <c r="N9514" s="5"/>
      <c r="O9514" s="5"/>
      <c r="P9514" s="5"/>
      <c r="Q9514" s="5"/>
      <c r="R9514" s="5"/>
      <c r="S9514" s="5"/>
      <c r="T9514" s="5"/>
      <c r="U9514" s="5"/>
      <c r="V9514" s="5"/>
      <c r="W9514" s="5"/>
      <c r="X9514" s="5"/>
      <c r="Y9514" s="5"/>
      <c r="Z9514" s="5"/>
    </row>
    <row r="9515" spans="1:26" ht="15" x14ac:dyDescent="0.25">
      <c r="A9515" s="4" t="s">
        <v>9513</v>
      </c>
      <c r="B9515" s="4" t="s">
        <v>9011</v>
      </c>
      <c r="C9515" s="2" t="str">
        <f ca="1">IFERROR(__xludf.DUMMYFUNCTION("GOOGLETRANSLATE(A9515,""bn"",""en"")"),"I look forward to the opportunity to learn a new language and converse with foreign friends")</f>
        <v>I look forward to the opportunity to learn a new language and converse with foreign friends</v>
      </c>
      <c r="D9515" s="5"/>
      <c r="E9515" s="5"/>
      <c r="F9515" s="5"/>
      <c r="G9515" s="5"/>
      <c r="H9515" s="5"/>
      <c r="I9515" s="5"/>
      <c r="J9515" s="5"/>
      <c r="K9515" s="5"/>
      <c r="L9515" s="5"/>
      <c r="M9515" s="5"/>
      <c r="N9515" s="5"/>
      <c r="O9515" s="5"/>
      <c r="P9515" s="5"/>
      <c r="Q9515" s="5"/>
      <c r="R9515" s="5"/>
      <c r="S9515" s="5"/>
      <c r="T9515" s="5"/>
      <c r="U9515" s="5"/>
      <c r="V9515" s="5"/>
      <c r="W9515" s="5"/>
      <c r="X9515" s="5"/>
      <c r="Y9515" s="5"/>
      <c r="Z9515" s="5"/>
    </row>
    <row r="9516" spans="1:26" ht="15" x14ac:dyDescent="0.25">
      <c r="A9516" s="4" t="s">
        <v>9514</v>
      </c>
      <c r="B9516" s="4" t="s">
        <v>9011</v>
      </c>
      <c r="C9516" s="2" t="str">
        <f ca="1">IFERROR(__xludf.DUMMYFUNCTION("GOOGLETRANSLATE(A9516,""bn"",""en"")"),"I will be ready to fly with my wings, the journey of business will begin")</f>
        <v>I will be ready to fly with my wings, the journey of business will begin</v>
      </c>
      <c r="D9516" s="5"/>
      <c r="E9516" s="5"/>
      <c r="F9516" s="5"/>
      <c r="G9516" s="5"/>
      <c r="H9516" s="5"/>
      <c r="I9516" s="5"/>
      <c r="J9516" s="5"/>
      <c r="K9516" s="5"/>
      <c r="L9516" s="5"/>
      <c r="M9516" s="5"/>
      <c r="N9516" s="5"/>
      <c r="O9516" s="5"/>
      <c r="P9516" s="5"/>
      <c r="Q9516" s="5"/>
      <c r="R9516" s="5"/>
      <c r="S9516" s="5"/>
      <c r="T9516" s="5"/>
      <c r="U9516" s="5"/>
      <c r="V9516" s="5"/>
      <c r="W9516" s="5"/>
      <c r="X9516" s="5"/>
      <c r="Y9516" s="5"/>
      <c r="Z9516" s="5"/>
    </row>
    <row r="9517" spans="1:26" ht="15" x14ac:dyDescent="0.25">
      <c r="A9517" s="4" t="s">
        <v>9515</v>
      </c>
      <c r="B9517" s="4" t="s">
        <v>9011</v>
      </c>
      <c r="C9517" s="2" t="str">
        <f ca="1">IFERROR(__xludf.DUMMYFUNCTION("GOOGLETRANSLATE(A9517,""bn"",""en"")"),"He will start learning the new guitar next month")</f>
        <v>He will start learning the new guitar next month</v>
      </c>
      <c r="D9517" s="5"/>
      <c r="E9517" s="5"/>
      <c r="F9517" s="5"/>
      <c r="G9517" s="5"/>
      <c r="H9517" s="5"/>
      <c r="I9517" s="5"/>
      <c r="J9517" s="5"/>
      <c r="K9517" s="5"/>
      <c r="L9517" s="5"/>
      <c r="M9517" s="5"/>
      <c r="N9517" s="5"/>
      <c r="O9517" s="5"/>
      <c r="P9517" s="5"/>
      <c r="Q9517" s="5"/>
      <c r="R9517" s="5"/>
      <c r="S9517" s="5"/>
      <c r="T9517" s="5"/>
      <c r="U9517" s="5"/>
      <c r="V9517" s="5"/>
      <c r="W9517" s="5"/>
      <c r="X9517" s="5"/>
      <c r="Y9517" s="5"/>
      <c r="Z9517" s="5"/>
    </row>
    <row r="9518" spans="1:26" ht="15" x14ac:dyDescent="0.25">
      <c r="A9518" s="4" t="s">
        <v>9516</v>
      </c>
      <c r="B9518" s="4" t="s">
        <v>9011</v>
      </c>
      <c r="C9518" s="2" t="str">
        <f ca="1">IFERROR(__xludf.DUMMYFUNCTION("GOOGLETRANSLATE(A9518,""bn"",""en"")"),"He will start learning a new technology next month")</f>
        <v>He will start learning a new technology next month</v>
      </c>
      <c r="D9518" s="5"/>
      <c r="E9518" s="5"/>
      <c r="F9518" s="5"/>
      <c r="G9518" s="5"/>
      <c r="H9518" s="5"/>
      <c r="I9518" s="5"/>
      <c r="J9518" s="5"/>
      <c r="K9518" s="5"/>
      <c r="L9518" s="5"/>
      <c r="M9518" s="5"/>
      <c r="N9518" s="5"/>
      <c r="O9518" s="5"/>
      <c r="P9518" s="5"/>
      <c r="Q9518" s="5"/>
      <c r="R9518" s="5"/>
      <c r="S9518" s="5"/>
      <c r="T9518" s="5"/>
      <c r="U9518" s="5"/>
      <c r="V9518" s="5"/>
      <c r="W9518" s="5"/>
      <c r="X9518" s="5"/>
      <c r="Y9518" s="5"/>
      <c r="Z9518" s="5"/>
    </row>
    <row r="9519" spans="1:26" ht="15" x14ac:dyDescent="0.25">
      <c r="A9519" s="4" t="s">
        <v>9517</v>
      </c>
      <c r="B9519" s="4" t="s">
        <v>9011</v>
      </c>
      <c r="C9519" s="2" t="str">
        <f ca="1">IFERROR(__xludf.DUMMYFUNCTION("GOOGLETRANSLATE(A9519,""bn"",""en"")"),"This trip to Cox's Bazar with my family will always be memorable for me")</f>
        <v>This trip to Cox's Bazar with my family will always be memorable for me</v>
      </c>
      <c r="D9519" s="5"/>
      <c r="E9519" s="5"/>
      <c r="F9519" s="5"/>
      <c r="G9519" s="5"/>
      <c r="H9519" s="5"/>
      <c r="I9519" s="5"/>
      <c r="J9519" s="5"/>
      <c r="K9519" s="5"/>
      <c r="L9519" s="5"/>
      <c r="M9519" s="5"/>
      <c r="N9519" s="5"/>
      <c r="O9519" s="5"/>
      <c r="P9519" s="5"/>
      <c r="Q9519" s="5"/>
      <c r="R9519" s="5"/>
      <c r="S9519" s="5"/>
      <c r="T9519" s="5"/>
      <c r="U9519" s="5"/>
      <c r="V9519" s="5"/>
      <c r="W9519" s="5"/>
      <c r="X9519" s="5"/>
      <c r="Y9519" s="5"/>
      <c r="Z9519" s="5"/>
    </row>
    <row r="9520" spans="1:26" ht="15" x14ac:dyDescent="0.25">
      <c r="A9520" s="4" t="s">
        <v>9518</v>
      </c>
      <c r="B9520" s="4" t="s">
        <v>9011</v>
      </c>
      <c r="C9520" s="2" t="str">
        <f ca="1">IFERROR(__xludf.DUMMYFUNCTION("GOOGLETRANSLATE(A9520,""bn"",""en"")"),"Next year I will write a book")</f>
        <v>Next year I will write a book</v>
      </c>
      <c r="D9520" s="5"/>
      <c r="E9520" s="5"/>
      <c r="F9520" s="5"/>
      <c r="G9520" s="5"/>
      <c r="H9520" s="5"/>
      <c r="I9520" s="5"/>
      <c r="J9520" s="5"/>
      <c r="K9520" s="5"/>
      <c r="L9520" s="5"/>
      <c r="M9520" s="5"/>
      <c r="N9520" s="5"/>
      <c r="O9520" s="5"/>
      <c r="P9520" s="5"/>
      <c r="Q9520" s="5"/>
      <c r="R9520" s="5"/>
      <c r="S9520" s="5"/>
      <c r="T9520" s="5"/>
      <c r="U9520" s="5"/>
      <c r="V9520" s="5"/>
      <c r="W9520" s="5"/>
      <c r="X9520" s="5"/>
      <c r="Y9520" s="5"/>
      <c r="Z9520" s="5"/>
    </row>
    <row r="9521" spans="1:26" ht="15" x14ac:dyDescent="0.25">
      <c r="A9521" s="4" t="s">
        <v>9519</v>
      </c>
      <c r="B9521" s="4" t="s">
        <v>9011</v>
      </c>
      <c r="C9521" s="2" t="str">
        <f ca="1">IFERROR(__xludf.DUMMYFUNCTION("GOOGLETRANSLATE(A9521,""bn"",""en"")"),"Today I will understand the truth of the saying that success will come if you try")</f>
        <v>Today I will understand the truth of the saying that success will come if you try</v>
      </c>
      <c r="D9521" s="5"/>
      <c r="E9521" s="5"/>
      <c r="F9521" s="5"/>
      <c r="G9521" s="5"/>
      <c r="H9521" s="5"/>
      <c r="I9521" s="5"/>
      <c r="J9521" s="5"/>
      <c r="K9521" s="5"/>
      <c r="L9521" s="5"/>
      <c r="M9521" s="5"/>
      <c r="N9521" s="5"/>
      <c r="O9521" s="5"/>
      <c r="P9521" s="5"/>
      <c r="Q9521" s="5"/>
      <c r="R9521" s="5"/>
      <c r="S9521" s="5"/>
      <c r="T9521" s="5"/>
      <c r="U9521" s="5"/>
      <c r="V9521" s="5"/>
      <c r="W9521" s="5"/>
      <c r="X9521" s="5"/>
      <c r="Y9521" s="5"/>
      <c r="Z9521" s="5"/>
    </row>
    <row r="9522" spans="1:26" ht="15" x14ac:dyDescent="0.25">
      <c r="A9522" s="4" t="s">
        <v>9520</v>
      </c>
      <c r="B9522" s="4" t="s">
        <v>9011</v>
      </c>
      <c r="C9522" s="2" t="str">
        <f ca="1">IFERROR(__xludf.DUMMYFUNCTION("GOOGLETRANSLATE(A9522,""bn"",""en"")"),"We will be here next week at our work")</f>
        <v>We will be here next week at our work</v>
      </c>
      <c r="D9522" s="5"/>
      <c r="E9522" s="5"/>
      <c r="F9522" s="5"/>
      <c r="G9522" s="5"/>
      <c r="H9522" s="5"/>
      <c r="I9522" s="5"/>
      <c r="J9522" s="5"/>
      <c r="K9522" s="5"/>
      <c r="L9522" s="5"/>
      <c r="M9522" s="5"/>
      <c r="N9522" s="5"/>
      <c r="O9522" s="5"/>
      <c r="P9522" s="5"/>
      <c r="Q9522" s="5"/>
      <c r="R9522" s="5"/>
      <c r="S9522" s="5"/>
      <c r="T9522" s="5"/>
      <c r="U9522" s="5"/>
      <c r="V9522" s="5"/>
      <c r="W9522" s="5"/>
      <c r="X9522" s="5"/>
      <c r="Y9522" s="5"/>
      <c r="Z9522" s="5"/>
    </row>
    <row r="9523" spans="1:26" ht="15" x14ac:dyDescent="0.25">
      <c r="A9523" s="4" t="s">
        <v>9521</v>
      </c>
      <c r="B9523" s="4" t="s">
        <v>9011</v>
      </c>
      <c r="C9523" s="2" t="str">
        <f ca="1">IFERROR(__xludf.DUMMYFUNCTION("GOOGLETRANSLATE(A9523,""bn"",""en"")"),"This summer, the sour taste of mango pickle will make the summer breathless")</f>
        <v>This summer, the sour taste of mango pickle will make the summer breathless</v>
      </c>
      <c r="D9523" s="5"/>
      <c r="E9523" s="5"/>
      <c r="F9523" s="5"/>
      <c r="G9523" s="5"/>
      <c r="H9523" s="5"/>
      <c r="I9523" s="5"/>
      <c r="J9523" s="5"/>
      <c r="K9523" s="5"/>
      <c r="L9523" s="5"/>
      <c r="M9523" s="5"/>
      <c r="N9523" s="5"/>
      <c r="O9523" s="5"/>
      <c r="P9523" s="5"/>
      <c r="Q9523" s="5"/>
      <c r="R9523" s="5"/>
      <c r="S9523" s="5"/>
      <c r="T9523" s="5"/>
      <c r="U9523" s="5"/>
      <c r="V9523" s="5"/>
      <c r="W9523" s="5"/>
      <c r="X9523" s="5"/>
      <c r="Y9523" s="5"/>
      <c r="Z9523" s="5"/>
    </row>
    <row r="9524" spans="1:26" ht="15" x14ac:dyDescent="0.25">
      <c r="A9524" s="4" t="s">
        <v>9522</v>
      </c>
      <c r="B9524" s="4" t="s">
        <v>9011</v>
      </c>
      <c r="C9524" s="2" t="str">
        <f ca="1">IFERROR(__xludf.DUMMYFUNCTION("GOOGLETRANSLATE(A9524,""bn"",""en"")"),"After the rain stops, the soil in the garden will be fragrant")</f>
        <v>After the rain stops, the soil in the garden will be fragrant</v>
      </c>
      <c r="D9524" s="5"/>
      <c r="E9524" s="5"/>
      <c r="F9524" s="5"/>
      <c r="G9524" s="5"/>
      <c r="H9524" s="5"/>
      <c r="I9524" s="5"/>
      <c r="J9524" s="5"/>
      <c r="K9524" s="5"/>
      <c r="L9524" s="5"/>
      <c r="M9524" s="5"/>
      <c r="N9524" s="5"/>
      <c r="O9524" s="5"/>
      <c r="P9524" s="5"/>
      <c r="Q9524" s="5"/>
      <c r="R9524" s="5"/>
      <c r="S9524" s="5"/>
      <c r="T9524" s="5"/>
      <c r="U9524" s="5"/>
      <c r="V9524" s="5"/>
      <c r="W9524" s="5"/>
      <c r="X9524" s="5"/>
      <c r="Y9524" s="5"/>
      <c r="Z9524" s="5"/>
    </row>
    <row r="9525" spans="1:26" ht="15" x14ac:dyDescent="0.25">
      <c r="A9525" s="4" t="s">
        <v>9523</v>
      </c>
      <c r="B9525" s="4" t="s">
        <v>9011</v>
      </c>
      <c r="C9525" s="2" t="str">
        <f ca="1">IFERROR(__xludf.DUMMYFUNCTION("GOOGLETRANSLATE(A9525,""bn"",""en"")"),"I'll be in the garden tomorrow after the clouds make flower pluckers with friends")</f>
        <v>I'll be in the garden tomorrow after the clouds make flower pluckers with friends</v>
      </c>
      <c r="D9525" s="5"/>
      <c r="E9525" s="5"/>
      <c r="F9525" s="5"/>
      <c r="G9525" s="5"/>
      <c r="H9525" s="5"/>
      <c r="I9525" s="5"/>
      <c r="J9525" s="5"/>
      <c r="K9525" s="5"/>
      <c r="L9525" s="5"/>
      <c r="M9525" s="5"/>
      <c r="N9525" s="5"/>
      <c r="O9525" s="5"/>
      <c r="P9525" s="5"/>
      <c r="Q9525" s="5"/>
      <c r="R9525" s="5"/>
      <c r="S9525" s="5"/>
      <c r="T9525" s="5"/>
      <c r="U9525" s="5"/>
      <c r="V9525" s="5"/>
      <c r="W9525" s="5"/>
      <c r="X9525" s="5"/>
      <c r="Y9525" s="5"/>
      <c r="Z9525" s="5"/>
    </row>
    <row r="9526" spans="1:26" ht="15" x14ac:dyDescent="0.25">
      <c r="A9526" s="4" t="s">
        <v>9524</v>
      </c>
      <c r="B9526" s="4" t="s">
        <v>9011</v>
      </c>
      <c r="C9526" s="2" t="str">
        <f ca="1">IFERROR(__xludf.DUMMYFUNCTION("GOOGLETRANSLATE(A9526,""bn"",""en"")"),"School friends will always be there and will remember the time spent with them")</f>
        <v>School friends will always be there and will remember the time spent with them</v>
      </c>
      <c r="D9526" s="5"/>
      <c r="E9526" s="5"/>
      <c r="F9526" s="5"/>
      <c r="G9526" s="5"/>
      <c r="H9526" s="5"/>
      <c r="I9526" s="5"/>
      <c r="J9526" s="5"/>
      <c r="K9526" s="5"/>
      <c r="L9526" s="5"/>
      <c r="M9526" s="5"/>
      <c r="N9526" s="5"/>
      <c r="O9526" s="5"/>
      <c r="P9526" s="5"/>
      <c r="Q9526" s="5"/>
      <c r="R9526" s="5"/>
      <c r="S9526" s="5"/>
      <c r="T9526" s="5"/>
      <c r="U9526" s="5"/>
      <c r="V9526" s="5"/>
      <c r="W9526" s="5"/>
      <c r="X9526" s="5"/>
      <c r="Y9526" s="5"/>
      <c r="Z9526" s="5"/>
    </row>
    <row r="9527" spans="1:26" ht="15" x14ac:dyDescent="0.25">
      <c r="A9527" s="4" t="s">
        <v>9525</v>
      </c>
      <c r="B9527" s="4" t="s">
        <v>9011</v>
      </c>
      <c r="C9527" s="2" t="str">
        <f ca="1">IFERROR(__xludf.DUMMYFUNCTION("GOOGLETRANSLATE(A9527,""bn"",""en"")"),"Leisure among the people in the market lane Burning incense in the ancient temple Pooja in the village mela Joyful procession of the people Acquainting with the local culture and that feeling will show the face of happiness to us.")</f>
        <v>Leisure among the people in the market lane Burning incense in the ancient temple Pooja in the village mela Joyful procession of the people Acquainting with the local culture and that feeling will show the face of happiness to us.</v>
      </c>
      <c r="D9527" s="5"/>
      <c r="E9527" s="5"/>
      <c r="F9527" s="5"/>
      <c r="G9527" s="5"/>
      <c r="H9527" s="5"/>
      <c r="I9527" s="5"/>
      <c r="J9527" s="5"/>
      <c r="K9527" s="5"/>
      <c r="L9527" s="5"/>
      <c r="M9527" s="5"/>
      <c r="N9527" s="5"/>
      <c r="O9527" s="5"/>
      <c r="P9527" s="5"/>
      <c r="Q9527" s="5"/>
      <c r="R9527" s="5"/>
      <c r="S9527" s="5"/>
      <c r="T9527" s="5"/>
      <c r="U9527" s="5"/>
      <c r="V9527" s="5"/>
      <c r="W9527" s="5"/>
      <c r="X9527" s="5"/>
      <c r="Y9527" s="5"/>
      <c r="Z9527" s="5"/>
    </row>
    <row r="9528" spans="1:26" ht="15" x14ac:dyDescent="0.25">
      <c r="A9528" s="4" t="s">
        <v>9526</v>
      </c>
      <c r="B9528" s="4" t="s">
        <v>9011</v>
      </c>
      <c r="C9528" s="2" t="str">
        <f ca="1">IFERROR(__xludf.DUMMYFUNCTION("GOOGLETRANSLATE(A9528,""bn"",""en"")"),"This coffee will taste incredible")</f>
        <v>This coffee will taste incredible</v>
      </c>
      <c r="D9528" s="5"/>
      <c r="E9528" s="5"/>
      <c r="F9528" s="5"/>
      <c r="G9528" s="5"/>
      <c r="H9528" s="5"/>
      <c r="I9528" s="5"/>
      <c r="J9528" s="5"/>
      <c r="K9528" s="5"/>
      <c r="L9528" s="5"/>
      <c r="M9528" s="5"/>
      <c r="N9528" s="5"/>
      <c r="O9528" s="5"/>
      <c r="P9528" s="5"/>
      <c r="Q9528" s="5"/>
      <c r="R9528" s="5"/>
      <c r="S9528" s="5"/>
      <c r="T9528" s="5"/>
      <c r="U9528" s="5"/>
      <c r="V9528" s="5"/>
      <c r="W9528" s="5"/>
      <c r="X9528" s="5"/>
      <c r="Y9528" s="5"/>
      <c r="Z9528" s="5"/>
    </row>
    <row r="9529" spans="1:26" ht="15" x14ac:dyDescent="0.25">
      <c r="A9529" s="4" t="s">
        <v>9527</v>
      </c>
      <c r="B9529" s="4" t="s">
        <v>9011</v>
      </c>
      <c r="C9529" s="2" t="str">
        <f ca="1">IFERROR(__xludf.DUMMYFUNCTION("GOOGLETRANSLATE(A9529,""bn"",""en"")"),"Congratulations to my husband for his promotion")</f>
        <v>Congratulations to my husband for his promotion</v>
      </c>
      <c r="D9529" s="5"/>
      <c r="E9529" s="5"/>
      <c r="F9529" s="5"/>
      <c r="G9529" s="5"/>
      <c r="H9529" s="5"/>
      <c r="I9529" s="5"/>
      <c r="J9529" s="5"/>
      <c r="K9529" s="5"/>
      <c r="L9529" s="5"/>
      <c r="M9529" s="5"/>
      <c r="N9529" s="5"/>
      <c r="O9529" s="5"/>
      <c r="P9529" s="5"/>
      <c r="Q9529" s="5"/>
      <c r="R9529" s="5"/>
      <c r="S9529" s="5"/>
      <c r="T9529" s="5"/>
      <c r="U9529" s="5"/>
      <c r="V9529" s="5"/>
      <c r="W9529" s="5"/>
      <c r="X9529" s="5"/>
      <c r="Y9529" s="5"/>
      <c r="Z9529" s="5"/>
    </row>
    <row r="9530" spans="1:26" ht="15" x14ac:dyDescent="0.25">
      <c r="A9530" s="4" t="s">
        <v>9528</v>
      </c>
      <c r="B9530" s="4" t="s">
        <v>9011</v>
      </c>
      <c r="C9530" s="2" t="str">
        <f ca="1">IFERROR(__xludf.DUMMYFUNCTION("GOOGLETRANSLATE(A9530,""bn"",""en"")"),"The beauty of Casa Batllo will impress anyone")</f>
        <v>The beauty of Casa Batllo will impress anyone</v>
      </c>
      <c r="D9530" s="5"/>
      <c r="E9530" s="5"/>
      <c r="F9530" s="5"/>
      <c r="G9530" s="5"/>
      <c r="H9530" s="5"/>
      <c r="I9530" s="5"/>
      <c r="J9530" s="5"/>
      <c r="K9530" s="5"/>
      <c r="L9530" s="5"/>
      <c r="M9530" s="5"/>
      <c r="N9530" s="5"/>
      <c r="O9530" s="5"/>
      <c r="P9530" s="5"/>
      <c r="Q9530" s="5"/>
      <c r="R9530" s="5"/>
      <c r="S9530" s="5"/>
      <c r="T9530" s="5"/>
      <c r="U9530" s="5"/>
      <c r="V9530" s="5"/>
      <c r="W9530" s="5"/>
      <c r="X9530" s="5"/>
      <c r="Y9530" s="5"/>
      <c r="Z9530" s="5"/>
    </row>
    <row r="9531" spans="1:26" ht="15" x14ac:dyDescent="0.25">
      <c r="A9531" s="4" t="s">
        <v>9529</v>
      </c>
      <c r="B9531" s="4" t="s">
        <v>9011</v>
      </c>
      <c r="C9531" s="2" t="str">
        <f ca="1">IFERROR(__xludf.DUMMYFUNCTION("GOOGLETRANSLATE(A9531,""bn"",""en"")"),"You will meet new friends next week")</f>
        <v>You will meet new friends next week</v>
      </c>
      <c r="D9531" s="5"/>
      <c r="E9531" s="5"/>
      <c r="F9531" s="5"/>
      <c r="G9531" s="5"/>
      <c r="H9531" s="5"/>
      <c r="I9531" s="5"/>
      <c r="J9531" s="5"/>
      <c r="K9531" s="5"/>
      <c r="L9531" s="5"/>
      <c r="M9531" s="5"/>
      <c r="N9531" s="5"/>
      <c r="O9531" s="5"/>
      <c r="P9531" s="5"/>
      <c r="Q9531" s="5"/>
      <c r="R9531" s="5"/>
      <c r="S9531" s="5"/>
      <c r="T9531" s="5"/>
      <c r="U9531" s="5"/>
      <c r="V9531" s="5"/>
      <c r="W9531" s="5"/>
      <c r="X9531" s="5"/>
      <c r="Y9531" s="5"/>
      <c r="Z9531" s="5"/>
    </row>
    <row r="9532" spans="1:26" ht="15" x14ac:dyDescent="0.25">
      <c r="A9532" s="4" t="s">
        <v>9530</v>
      </c>
      <c r="B9532" s="4" t="s">
        <v>9011</v>
      </c>
      <c r="C9532" s="2" t="str">
        <f ca="1">IFERROR(__xludf.DUMMYFUNCTION("GOOGLETRANSLATE(A9532,""bn"",""en"")"),"I will rise early in the morning I will spend time in my garden I will be enchanted by the smell of the soil I will find joy in the flowers")</f>
        <v>I will rise early in the morning I will spend time in my garden I will be enchanted by the smell of the soil I will find joy in the flowers</v>
      </c>
      <c r="D9532" s="5"/>
      <c r="E9532" s="5"/>
      <c r="F9532" s="5"/>
      <c r="G9532" s="5"/>
      <c r="H9532" s="5"/>
      <c r="I9532" s="5"/>
      <c r="J9532" s="5"/>
      <c r="K9532" s="5"/>
      <c r="L9532" s="5"/>
      <c r="M9532" s="5"/>
      <c r="N9532" s="5"/>
      <c r="O9532" s="5"/>
      <c r="P9532" s="5"/>
      <c r="Q9532" s="5"/>
      <c r="R9532" s="5"/>
      <c r="S9532" s="5"/>
      <c r="T9532" s="5"/>
      <c r="U9532" s="5"/>
      <c r="V9532" s="5"/>
      <c r="W9532" s="5"/>
      <c r="X9532" s="5"/>
      <c r="Y9532" s="5"/>
      <c r="Z9532" s="5"/>
    </row>
    <row r="9533" spans="1:26" ht="15" x14ac:dyDescent="0.25">
      <c r="A9533" s="4" t="s">
        <v>9531</v>
      </c>
      <c r="B9533" s="4" t="s">
        <v>9011</v>
      </c>
      <c r="C9533" s="2" t="str">
        <f ca="1">IFERROR(__xludf.DUMMYFUNCTION("GOOGLETRANSLATE(A9533,""bn"",""en"")"),"Next month we will have a big family reunion with all our family members")</f>
        <v>Next month we will have a big family reunion with all our family members</v>
      </c>
      <c r="D9533" s="5"/>
      <c r="E9533" s="5"/>
      <c r="F9533" s="5"/>
      <c r="G9533" s="5"/>
      <c r="H9533" s="5"/>
      <c r="I9533" s="5"/>
      <c r="J9533" s="5"/>
      <c r="K9533" s="5"/>
      <c r="L9533" s="5"/>
      <c r="M9533" s="5"/>
      <c r="N9533" s="5"/>
      <c r="O9533" s="5"/>
      <c r="P9533" s="5"/>
      <c r="Q9533" s="5"/>
      <c r="R9533" s="5"/>
      <c r="S9533" s="5"/>
      <c r="T9533" s="5"/>
      <c r="U9533" s="5"/>
      <c r="V9533" s="5"/>
      <c r="W9533" s="5"/>
      <c r="X9533" s="5"/>
      <c r="Y9533" s="5"/>
      <c r="Z9533" s="5"/>
    </row>
    <row r="9534" spans="1:26" ht="15" x14ac:dyDescent="0.25">
      <c r="A9534" s="4" t="s">
        <v>9532</v>
      </c>
      <c r="B9534" s="4" t="s">
        <v>9011</v>
      </c>
      <c r="C9534" s="2" t="str">
        <f ca="1">IFERROR(__xludf.DUMMYFUNCTION("GOOGLETRANSLATE(A9534,""bn"",""en"")"),"You will conduct a training workshop next month on the use of advanced technology")</f>
        <v>You will conduct a training workshop next month on the use of advanced technology</v>
      </c>
      <c r="D9534" s="5"/>
      <c r="E9534" s="5"/>
      <c r="F9534" s="5"/>
      <c r="G9534" s="5"/>
      <c r="H9534" s="5"/>
      <c r="I9534" s="5"/>
      <c r="J9534" s="5"/>
      <c r="K9534" s="5"/>
      <c r="L9534" s="5"/>
      <c r="M9534" s="5"/>
      <c r="N9534" s="5"/>
      <c r="O9534" s="5"/>
      <c r="P9534" s="5"/>
      <c r="Q9534" s="5"/>
      <c r="R9534" s="5"/>
      <c r="S9534" s="5"/>
      <c r="T9534" s="5"/>
      <c r="U9534" s="5"/>
      <c r="V9534" s="5"/>
      <c r="W9534" s="5"/>
      <c r="X9534" s="5"/>
      <c r="Y9534" s="5"/>
      <c r="Z9534" s="5"/>
    </row>
    <row r="9535" spans="1:26" ht="15" x14ac:dyDescent="0.25">
      <c r="A9535" s="4" t="s">
        <v>9533</v>
      </c>
      <c r="B9535" s="4" t="s">
        <v>9011</v>
      </c>
      <c r="C9535" s="2" t="str">
        <f ca="1">IFERROR(__xludf.DUMMYFUNCTION("GOOGLETRANSLATE(A9535,""bn"",""en"")"),"Ma's success will be a reminder to all of us that hard work always pays off")</f>
        <v>Ma's success will be a reminder to all of us that hard work always pays off</v>
      </c>
      <c r="D9535" s="5"/>
      <c r="E9535" s="5"/>
      <c r="F9535" s="5"/>
      <c r="G9535" s="5"/>
      <c r="H9535" s="5"/>
      <c r="I9535" s="5"/>
      <c r="J9535" s="5"/>
      <c r="K9535" s="5"/>
      <c r="L9535" s="5"/>
      <c r="M9535" s="5"/>
      <c r="N9535" s="5"/>
      <c r="O9535" s="5"/>
      <c r="P9535" s="5"/>
      <c r="Q9535" s="5"/>
      <c r="R9535" s="5"/>
      <c r="S9535" s="5"/>
      <c r="T9535" s="5"/>
      <c r="U9535" s="5"/>
      <c r="V9535" s="5"/>
      <c r="W9535" s="5"/>
      <c r="X9535" s="5"/>
      <c r="Y9535" s="5"/>
      <c r="Z9535" s="5"/>
    </row>
    <row r="9536" spans="1:26" ht="15" x14ac:dyDescent="0.25">
      <c r="A9536" s="4" t="s">
        <v>9534</v>
      </c>
      <c r="B9536" s="4" t="s">
        <v>9011</v>
      </c>
      <c r="C9536" s="2" t="str">
        <f ca="1">IFERROR(__xludf.DUMMYFUNCTION("GOOGLETRANSLATE(A9536,""bn"",""en"")"),"We will continue to progress on our campus")</f>
        <v>We will continue to progress on our campus</v>
      </c>
      <c r="D9536" s="5"/>
      <c r="E9536" s="5"/>
      <c r="F9536" s="5"/>
      <c r="G9536" s="5"/>
      <c r="H9536" s="5"/>
      <c r="I9536" s="5"/>
      <c r="J9536" s="5"/>
      <c r="K9536" s="5"/>
      <c r="L9536" s="5"/>
      <c r="M9536" s="5"/>
      <c r="N9536" s="5"/>
      <c r="O9536" s="5"/>
      <c r="P9536" s="5"/>
      <c r="Q9536" s="5"/>
      <c r="R9536" s="5"/>
      <c r="S9536" s="5"/>
      <c r="T9536" s="5"/>
      <c r="U9536" s="5"/>
      <c r="V9536" s="5"/>
      <c r="W9536" s="5"/>
      <c r="X9536" s="5"/>
      <c r="Y9536" s="5"/>
      <c r="Z9536" s="5"/>
    </row>
    <row r="9537" spans="1:26" ht="15" x14ac:dyDescent="0.25">
      <c r="A9537" s="4" t="s">
        <v>9535</v>
      </c>
      <c r="B9537" s="4" t="s">
        <v>9011</v>
      </c>
      <c r="C9537" s="2" t="str">
        <f ca="1">IFERROR(__xludf.DUMMYFUNCTION("GOOGLETRANSLATE(A9537,""bn"",""en"")"),"They will start an environmental awareness campaign tomorrow where they will encourage the local community to save the environment")</f>
        <v>They will start an environmental awareness campaign tomorrow where they will encourage the local community to save the environment</v>
      </c>
      <c r="D9537" s="5"/>
      <c r="E9537" s="5"/>
      <c r="F9537" s="5"/>
      <c r="G9537" s="5"/>
      <c r="H9537" s="5"/>
      <c r="I9537" s="5"/>
      <c r="J9537" s="5"/>
      <c r="K9537" s="5"/>
      <c r="L9537" s="5"/>
      <c r="M9537" s="5"/>
      <c r="N9537" s="5"/>
      <c r="O9537" s="5"/>
      <c r="P9537" s="5"/>
      <c r="Q9537" s="5"/>
      <c r="R9537" s="5"/>
      <c r="S9537" s="5"/>
      <c r="T9537" s="5"/>
      <c r="U9537" s="5"/>
      <c r="V9537" s="5"/>
      <c r="W9537" s="5"/>
      <c r="X9537" s="5"/>
      <c r="Y9537" s="5"/>
      <c r="Z9537" s="5"/>
    </row>
    <row r="9538" spans="1:26" ht="15" x14ac:dyDescent="0.25">
      <c r="A9538" s="4" t="s">
        <v>9536</v>
      </c>
      <c r="B9538" s="4" t="s">
        <v>9011</v>
      </c>
      <c r="C9538" s="2" t="str">
        <f ca="1">IFERROR(__xludf.DUMMYFUNCTION("GOOGLETRANSLATE(A9538,""bn"",""en"")"),"Today will be another happy moment in the bond of friendship. I will be proud of Himi's success")</f>
        <v>Today will be another happy moment in the bond of friendship. I will be proud of Himi's success</v>
      </c>
      <c r="D9538" s="5"/>
      <c r="E9538" s="5"/>
      <c r="F9538" s="5"/>
      <c r="G9538" s="5"/>
      <c r="H9538" s="5"/>
      <c r="I9538" s="5"/>
      <c r="J9538" s="5"/>
      <c r="K9538" s="5"/>
      <c r="L9538" s="5"/>
      <c r="M9538" s="5"/>
      <c r="N9538" s="5"/>
      <c r="O9538" s="5"/>
      <c r="P9538" s="5"/>
      <c r="Q9538" s="5"/>
      <c r="R9538" s="5"/>
      <c r="S9538" s="5"/>
      <c r="T9538" s="5"/>
      <c r="U9538" s="5"/>
      <c r="V9538" s="5"/>
      <c r="W9538" s="5"/>
      <c r="X9538" s="5"/>
      <c r="Y9538" s="5"/>
      <c r="Z9538" s="5"/>
    </row>
    <row r="9539" spans="1:26" ht="15" x14ac:dyDescent="0.25">
      <c r="A9539" s="4" t="s">
        <v>9537</v>
      </c>
      <c r="B9539" s="4" t="s">
        <v>9011</v>
      </c>
      <c r="C9539" s="2" t="str">
        <f ca="1">IFERROR(__xludf.DUMMYFUNCTION("GOOGLETRANSLATE(A9539,""bn"",""en"")"),"This is the beginning of the fulfillment of childhood dreams, many more days to come")</f>
        <v>This is the beginning of the fulfillment of childhood dreams, many more days to come</v>
      </c>
      <c r="D9539" s="5"/>
      <c r="E9539" s="5"/>
      <c r="F9539" s="5"/>
      <c r="G9539" s="5"/>
      <c r="H9539" s="5"/>
      <c r="I9539" s="5"/>
      <c r="J9539" s="5"/>
      <c r="K9539" s="5"/>
      <c r="L9539" s="5"/>
      <c r="M9539" s="5"/>
      <c r="N9539" s="5"/>
      <c r="O9539" s="5"/>
      <c r="P9539" s="5"/>
      <c r="Q9539" s="5"/>
      <c r="R9539" s="5"/>
      <c r="S9539" s="5"/>
      <c r="T9539" s="5"/>
      <c r="U9539" s="5"/>
      <c r="V9539" s="5"/>
      <c r="W9539" s="5"/>
      <c r="X9539" s="5"/>
      <c r="Y9539" s="5"/>
      <c r="Z9539" s="5"/>
    </row>
    <row r="9540" spans="1:26" ht="15" x14ac:dyDescent="0.25">
      <c r="A9540" s="4" t="s">
        <v>9538</v>
      </c>
      <c r="B9540" s="4" t="s">
        <v>9011</v>
      </c>
      <c r="C9540" s="2" t="str">
        <f ca="1">IFERROR(__xludf.DUMMYFUNCTION("GOOGLETRANSLATE(A9540,""bn"",""en"")"),"We will publish the results of our research in the coming months, which will provide a new perspective to the scientific community")</f>
        <v>We will publish the results of our research in the coming months, which will provide a new perspective to the scientific community</v>
      </c>
      <c r="D9540" s="5"/>
      <c r="E9540" s="5"/>
      <c r="F9540" s="5"/>
      <c r="G9540" s="5"/>
      <c r="H9540" s="5"/>
      <c r="I9540" s="5"/>
      <c r="J9540" s="5"/>
      <c r="K9540" s="5"/>
      <c r="L9540" s="5"/>
      <c r="M9540" s="5"/>
      <c r="N9540" s="5"/>
      <c r="O9540" s="5"/>
      <c r="P9540" s="5"/>
      <c r="Q9540" s="5"/>
      <c r="R9540" s="5"/>
      <c r="S9540" s="5"/>
      <c r="T9540" s="5"/>
      <c r="U9540" s="5"/>
      <c r="V9540" s="5"/>
      <c r="W9540" s="5"/>
      <c r="X9540" s="5"/>
      <c r="Y9540" s="5"/>
      <c r="Z9540" s="5"/>
    </row>
    <row r="9541" spans="1:26" ht="15" x14ac:dyDescent="0.25">
      <c r="A9541" s="4" t="s">
        <v>9539</v>
      </c>
      <c r="B9541" s="4" t="s">
        <v>9011</v>
      </c>
      <c r="C9541" s="2" t="str">
        <f ca="1">IFERROR(__xludf.DUMMYFUNCTION("GOOGLETRANSLATE(A9541,""bn"",""en"")"),"Living without loved ones in this world is difficult but not impossible. Life doesn't stop for someone. Life will flow as it should.")</f>
        <v>Living without loved ones in this world is difficult but not impossible. Life doesn't stop for someone. Life will flow as it should.</v>
      </c>
      <c r="D9541" s="5"/>
      <c r="E9541" s="5"/>
      <c r="F9541" s="5"/>
      <c r="G9541" s="5"/>
      <c r="H9541" s="5"/>
      <c r="I9541" s="5"/>
      <c r="J9541" s="5"/>
      <c r="K9541" s="5"/>
      <c r="L9541" s="5"/>
      <c r="M9541" s="5"/>
      <c r="N9541" s="5"/>
      <c r="O9541" s="5"/>
      <c r="P9541" s="5"/>
      <c r="Q9541" s="5"/>
      <c r="R9541" s="5"/>
      <c r="S9541" s="5"/>
      <c r="T9541" s="5"/>
      <c r="U9541" s="5"/>
      <c r="V9541" s="5"/>
      <c r="W9541" s="5"/>
      <c r="X9541" s="5"/>
      <c r="Y9541" s="5"/>
      <c r="Z9541" s="5"/>
    </row>
    <row r="9542" spans="1:26" ht="15" x14ac:dyDescent="0.25">
      <c r="A9542" s="4" t="s">
        <v>9540</v>
      </c>
      <c r="B9542" s="4" t="s">
        <v>9011</v>
      </c>
      <c r="C9542" s="2" t="str">
        <f ca="1">IFERROR(__xludf.DUMMYFUNCTION("GOOGLETRANSLATE(A9542,""bn"",""en"")"),"Arrange the makeup brushes and get colorful dreams")</f>
        <v>Arrange the makeup brushes and get colorful dreams</v>
      </c>
      <c r="D9542" s="5"/>
      <c r="E9542" s="5"/>
      <c r="F9542" s="5"/>
      <c r="G9542" s="5"/>
      <c r="H9542" s="5"/>
      <c r="I9542" s="5"/>
      <c r="J9542" s="5"/>
      <c r="K9542" s="5"/>
      <c r="L9542" s="5"/>
      <c r="M9542" s="5"/>
      <c r="N9542" s="5"/>
      <c r="O9542" s="5"/>
      <c r="P9542" s="5"/>
      <c r="Q9542" s="5"/>
      <c r="R9542" s="5"/>
      <c r="S9542" s="5"/>
      <c r="T9542" s="5"/>
      <c r="U9542" s="5"/>
      <c r="V9542" s="5"/>
      <c r="W9542" s="5"/>
      <c r="X9542" s="5"/>
      <c r="Y9542" s="5"/>
      <c r="Z9542" s="5"/>
    </row>
    <row r="9543" spans="1:26" ht="15" x14ac:dyDescent="0.25">
      <c r="A9543" s="4" t="s">
        <v>9541</v>
      </c>
      <c r="B9543" s="4" t="s">
        <v>9011</v>
      </c>
      <c r="C9543" s="2" t="str">
        <f ca="1">IFERROR(__xludf.DUMMYFUNCTION("GOOGLETRANSLATE(A9543,""bn"",""en"")"),"BTS' songs will inspire fans to find strength and hope to face life's challenges and pursue their dreams.")</f>
        <v>BTS' songs will inspire fans to find strength and hope to face life's challenges and pursue their dreams.</v>
      </c>
      <c r="D9543" s="5"/>
      <c r="E9543" s="5"/>
      <c r="F9543" s="5"/>
      <c r="G9543" s="5"/>
      <c r="H9543" s="5"/>
      <c r="I9543" s="5"/>
      <c r="J9543" s="5"/>
      <c r="K9543" s="5"/>
      <c r="L9543" s="5"/>
      <c r="M9543" s="5"/>
      <c r="N9543" s="5"/>
      <c r="O9543" s="5"/>
      <c r="P9543" s="5"/>
      <c r="Q9543" s="5"/>
      <c r="R9543" s="5"/>
      <c r="S9543" s="5"/>
      <c r="T9543" s="5"/>
      <c r="U9543" s="5"/>
      <c r="V9543" s="5"/>
      <c r="W9543" s="5"/>
      <c r="X9543" s="5"/>
      <c r="Y9543" s="5"/>
      <c r="Z9543" s="5"/>
    </row>
    <row r="9544" spans="1:26" ht="15" x14ac:dyDescent="0.25">
      <c r="A9544" s="4" t="s">
        <v>9542</v>
      </c>
      <c r="B9544" s="4" t="s">
        <v>9011</v>
      </c>
      <c r="C9544" s="2" t="str">
        <f ca="1">IFERROR(__xludf.DUMMYFUNCTION("GOOGLETRANSLATE(A9544,""bn"",""en"")"),"Suman Sen, the author of this book will truly be a journey of joy. The author's words will discover the richness of the mind. Every page will spread the light of a new day of happiness.")</f>
        <v>Suman Sen, the author of this book will truly be a journey of joy. The author's words will discover the richness of the mind. Every page will spread the light of a new day of happiness.</v>
      </c>
      <c r="D9544" s="5"/>
      <c r="E9544" s="5"/>
      <c r="F9544" s="5"/>
      <c r="G9544" s="5"/>
      <c r="H9544" s="5"/>
      <c r="I9544" s="5"/>
      <c r="J9544" s="5"/>
      <c r="K9544" s="5"/>
      <c r="L9544" s="5"/>
      <c r="M9544" s="5"/>
      <c r="N9544" s="5"/>
      <c r="O9544" s="5"/>
      <c r="P9544" s="5"/>
      <c r="Q9544" s="5"/>
      <c r="R9544" s="5"/>
      <c r="S9544" s="5"/>
      <c r="T9544" s="5"/>
      <c r="U9544" s="5"/>
      <c r="V9544" s="5"/>
      <c r="W9544" s="5"/>
      <c r="X9544" s="5"/>
      <c r="Y9544" s="5"/>
      <c r="Z9544" s="5"/>
    </row>
    <row r="9545" spans="1:26" ht="15" x14ac:dyDescent="0.25">
      <c r="A9545" s="4" t="s">
        <v>9543</v>
      </c>
      <c r="B9545" s="4" t="s">
        <v>9011</v>
      </c>
      <c r="C9545" s="2" t="str">
        <f ca="1">IFERROR(__xludf.DUMMYFUNCTION("GOOGLETRANSLATE(A9545,""bn"",""en"")"),"It doesn't take a lot of money to show love, this little gift will prove it")</f>
        <v>It doesn't take a lot of money to show love, this little gift will prove it</v>
      </c>
      <c r="D9545" s="5"/>
      <c r="E9545" s="5"/>
      <c r="F9545" s="5"/>
      <c r="G9545" s="5"/>
      <c r="H9545" s="5"/>
      <c r="I9545" s="5"/>
      <c r="J9545" s="5"/>
      <c r="K9545" s="5"/>
      <c r="L9545" s="5"/>
      <c r="M9545" s="5"/>
      <c r="N9545" s="5"/>
      <c r="O9545" s="5"/>
      <c r="P9545" s="5"/>
      <c r="Q9545" s="5"/>
      <c r="R9545" s="5"/>
      <c r="S9545" s="5"/>
      <c r="T9545" s="5"/>
      <c r="U9545" s="5"/>
      <c r="V9545" s="5"/>
      <c r="W9545" s="5"/>
      <c r="X9545" s="5"/>
      <c r="Y9545" s="5"/>
      <c r="Z9545" s="5"/>
    </row>
    <row r="9546" spans="1:26" ht="15" x14ac:dyDescent="0.25">
      <c r="A9546" s="4" t="s">
        <v>9544</v>
      </c>
      <c r="B9546" s="4" t="s">
        <v>9011</v>
      </c>
      <c r="C9546" s="2" t="str">
        <f ca="1">IFERROR(__xludf.DUMMYFUNCTION("GOOGLETRANSLATE(A9546,""bn"",""en"")"),"There will be opportunities to participate in international conferences with world experts")</f>
        <v>There will be opportunities to participate in international conferences with world experts</v>
      </c>
      <c r="D9546" s="5"/>
      <c r="E9546" s="5"/>
      <c r="F9546" s="5"/>
      <c r="G9546" s="5"/>
      <c r="H9546" s="5"/>
      <c r="I9546" s="5"/>
      <c r="J9546" s="5"/>
      <c r="K9546" s="5"/>
      <c r="L9546" s="5"/>
      <c r="M9546" s="5"/>
      <c r="N9546" s="5"/>
      <c r="O9546" s="5"/>
      <c r="P9546" s="5"/>
      <c r="Q9546" s="5"/>
      <c r="R9546" s="5"/>
      <c r="S9546" s="5"/>
      <c r="T9546" s="5"/>
      <c r="U9546" s="5"/>
      <c r="V9546" s="5"/>
      <c r="W9546" s="5"/>
      <c r="X9546" s="5"/>
      <c r="Y9546" s="5"/>
      <c r="Z9546" s="5"/>
    </row>
    <row r="9547" spans="1:26" ht="15" x14ac:dyDescent="0.25">
      <c r="A9547" s="4" t="s">
        <v>9545</v>
      </c>
      <c r="B9547" s="4" t="s">
        <v>9011</v>
      </c>
      <c r="C9547" s="2" t="str">
        <f ca="1">IFERROR(__xludf.DUMMYFUNCTION("GOOGLETRANSLATE(A9547,""bn"",""en"")"),"She will finish all the new decorations in her house next month")</f>
        <v>She will finish all the new decorations in her house next month</v>
      </c>
      <c r="D9547" s="5"/>
      <c r="E9547" s="5"/>
      <c r="F9547" s="5"/>
      <c r="G9547" s="5"/>
      <c r="H9547" s="5"/>
      <c r="I9547" s="5"/>
      <c r="J9547" s="5"/>
      <c r="K9547" s="5"/>
      <c r="L9547" s="5"/>
      <c r="M9547" s="5"/>
      <c r="N9547" s="5"/>
      <c r="O9547" s="5"/>
      <c r="P9547" s="5"/>
      <c r="Q9547" s="5"/>
      <c r="R9547" s="5"/>
      <c r="S9547" s="5"/>
      <c r="T9547" s="5"/>
      <c r="U9547" s="5"/>
      <c r="V9547" s="5"/>
      <c r="W9547" s="5"/>
      <c r="X9547" s="5"/>
      <c r="Y9547" s="5"/>
      <c r="Z9547" s="5"/>
    </row>
    <row r="9548" spans="1:26" ht="15" x14ac:dyDescent="0.25">
      <c r="A9548" s="4" t="s">
        <v>9546</v>
      </c>
      <c r="B9548" s="4" t="s">
        <v>9011</v>
      </c>
      <c r="C9548" s="2" t="str">
        <f ca="1">IFERROR(__xludf.DUMMYFUNCTION("GOOGLETRANSLATE(A9548,""bn"",""en"")"),"I will be able to stay there during the next week")</f>
        <v>I will be able to stay there during the next week</v>
      </c>
      <c r="D9548" s="5"/>
      <c r="E9548" s="5"/>
      <c r="F9548" s="5"/>
      <c r="G9548" s="5"/>
      <c r="H9548" s="5"/>
      <c r="I9548" s="5"/>
      <c r="J9548" s="5"/>
      <c r="K9548" s="5"/>
      <c r="L9548" s="5"/>
      <c r="M9548" s="5"/>
      <c r="N9548" s="5"/>
      <c r="O9548" s="5"/>
      <c r="P9548" s="5"/>
      <c r="Q9548" s="5"/>
      <c r="R9548" s="5"/>
      <c r="S9548" s="5"/>
      <c r="T9548" s="5"/>
      <c r="U9548" s="5"/>
      <c r="V9548" s="5"/>
      <c r="W9548" s="5"/>
      <c r="X9548" s="5"/>
      <c r="Y9548" s="5"/>
      <c r="Z9548" s="5"/>
    </row>
    <row r="9549" spans="1:26" ht="15" x14ac:dyDescent="0.25">
      <c r="A9549" s="4" t="s">
        <v>9547</v>
      </c>
      <c r="B9549" s="4" t="s">
        <v>9011</v>
      </c>
      <c r="C9549" s="2" t="str">
        <f ca="1">IFERROR(__xludf.DUMMYFUNCTION("GOOGLETRANSLATE(A9549,""bn"",""en"")"),"Traveling helps us learn about the traditions of others")</f>
        <v>Traveling helps us learn about the traditions of others</v>
      </c>
      <c r="D9549" s="5"/>
      <c r="E9549" s="5"/>
      <c r="F9549" s="5"/>
      <c r="G9549" s="5"/>
      <c r="H9549" s="5"/>
      <c r="I9549" s="5"/>
      <c r="J9549" s="5"/>
      <c r="K9549" s="5"/>
      <c r="L9549" s="5"/>
      <c r="M9549" s="5"/>
      <c r="N9549" s="5"/>
      <c r="O9549" s="5"/>
      <c r="P9549" s="5"/>
      <c r="Q9549" s="5"/>
      <c r="R9549" s="5"/>
      <c r="S9549" s="5"/>
      <c r="T9549" s="5"/>
      <c r="U9549" s="5"/>
      <c r="V9549" s="5"/>
      <c r="W9549" s="5"/>
      <c r="X9549" s="5"/>
      <c r="Y9549" s="5"/>
      <c r="Z9549" s="5"/>
    </row>
    <row r="9550" spans="1:26" ht="15" x14ac:dyDescent="0.25">
      <c r="A9550" s="4" t="s">
        <v>9548</v>
      </c>
      <c r="B9550" s="4" t="s">
        <v>9011</v>
      </c>
      <c r="C9550" s="2" t="str">
        <f ca="1">IFERROR(__xludf.DUMMYFUNCTION("GOOGLETRANSLATE(A9550,""bn"",""en"")"),"In a school class it will be difficult to stop laughing with a funny answer to a teacher's question without knowing the answer")</f>
        <v>In a school class it will be difficult to stop laughing with a funny answer to a teacher's question without knowing the answer</v>
      </c>
      <c r="D9550" s="5"/>
      <c r="E9550" s="5"/>
      <c r="F9550" s="5"/>
      <c r="G9550" s="5"/>
      <c r="H9550" s="5"/>
      <c r="I9550" s="5"/>
      <c r="J9550" s="5"/>
      <c r="K9550" s="5"/>
      <c r="L9550" s="5"/>
      <c r="M9550" s="5"/>
      <c r="N9550" s="5"/>
      <c r="O9550" s="5"/>
      <c r="P9550" s="5"/>
      <c r="Q9550" s="5"/>
      <c r="R9550" s="5"/>
      <c r="S9550" s="5"/>
      <c r="T9550" s="5"/>
      <c r="U9550" s="5"/>
      <c r="V9550" s="5"/>
      <c r="W9550" s="5"/>
      <c r="X9550" s="5"/>
      <c r="Y9550" s="5"/>
      <c r="Z9550" s="5"/>
    </row>
    <row r="9551" spans="1:26" ht="15" x14ac:dyDescent="0.25">
      <c r="A9551" s="4" t="s">
        <v>9549</v>
      </c>
      <c r="B9551" s="4" t="s">
        <v>9011</v>
      </c>
      <c r="C9551" s="2" t="str">
        <f ca="1">IFERROR(__xludf.DUMMYFUNCTION("GOOGLETRANSLATE(A9551,""bn"",""en"")"),"Faith, love and respect will stand on these three pillars, our family will have a happy wedding anniversary")</f>
        <v>Faith, love and respect will stand on these three pillars, our family will have a happy wedding anniversary</v>
      </c>
      <c r="D9551" s="5"/>
      <c r="E9551" s="5"/>
      <c r="F9551" s="5"/>
      <c r="G9551" s="5"/>
      <c r="H9551" s="5"/>
      <c r="I9551" s="5"/>
      <c r="J9551" s="5"/>
      <c r="K9551" s="5"/>
      <c r="L9551" s="5"/>
      <c r="M9551" s="5"/>
      <c r="N9551" s="5"/>
      <c r="O9551" s="5"/>
      <c r="P9551" s="5"/>
      <c r="Q9551" s="5"/>
      <c r="R9551" s="5"/>
      <c r="S9551" s="5"/>
      <c r="T9551" s="5"/>
      <c r="U9551" s="5"/>
      <c r="V9551" s="5"/>
      <c r="W9551" s="5"/>
      <c r="X9551" s="5"/>
      <c r="Y9551" s="5"/>
      <c r="Z9551" s="5"/>
    </row>
    <row r="9552" spans="1:26" ht="15" x14ac:dyDescent="0.25">
      <c r="A9552" s="4" t="s">
        <v>9550</v>
      </c>
      <c r="B9552" s="4" t="s">
        <v>9011</v>
      </c>
      <c r="C9552" s="2" t="str">
        <f ca="1">IFERROR(__xludf.DUMMYFUNCTION("GOOGLETRANSLATE(A9552,""bn"",""en"")"),"From introduction to love to love to marriage, the new chapter of this beautiful story will begin")</f>
        <v>From introduction to love to love to marriage, the new chapter of this beautiful story will begin</v>
      </c>
      <c r="D9552" s="5"/>
      <c r="E9552" s="5"/>
      <c r="F9552" s="5"/>
      <c r="G9552" s="5"/>
      <c r="H9552" s="5"/>
      <c r="I9552" s="5"/>
      <c r="J9552" s="5"/>
      <c r="K9552" s="5"/>
      <c r="L9552" s="5"/>
      <c r="M9552" s="5"/>
      <c r="N9552" s="5"/>
      <c r="O9552" s="5"/>
      <c r="P9552" s="5"/>
      <c r="Q9552" s="5"/>
      <c r="R9552" s="5"/>
      <c r="S9552" s="5"/>
      <c r="T9552" s="5"/>
      <c r="U9552" s="5"/>
      <c r="V9552" s="5"/>
      <c r="W9552" s="5"/>
      <c r="X9552" s="5"/>
      <c r="Y9552" s="5"/>
      <c r="Z9552" s="5"/>
    </row>
    <row r="9553" spans="1:26" ht="15" x14ac:dyDescent="0.25">
      <c r="A9553" s="4" t="s">
        <v>9551</v>
      </c>
      <c r="B9553" s="4" t="s">
        <v>9011</v>
      </c>
      <c r="C9553" s="2" t="str">
        <f ca="1">IFERROR(__xludf.DUMMYFUNCTION("GOOGLETRANSLATE(A9553,""bn"",""en"")"),"Leaving the glitter of foreign countries and seeing Riya in my small town, I feel like conquering the world")</f>
        <v>Leaving the glitter of foreign countries and seeing Riya in my small town, I feel like conquering the world</v>
      </c>
      <c r="D9553" s="5"/>
      <c r="E9553" s="5"/>
      <c r="F9553" s="5"/>
      <c r="G9553" s="5"/>
      <c r="H9553" s="5"/>
      <c r="I9553" s="5"/>
      <c r="J9553" s="5"/>
      <c r="K9553" s="5"/>
      <c r="L9553" s="5"/>
      <c r="M9553" s="5"/>
      <c r="N9553" s="5"/>
      <c r="O9553" s="5"/>
      <c r="P9553" s="5"/>
      <c r="Q9553" s="5"/>
      <c r="R9553" s="5"/>
      <c r="S9553" s="5"/>
      <c r="T9553" s="5"/>
      <c r="U9553" s="5"/>
      <c r="V9553" s="5"/>
      <c r="W9553" s="5"/>
      <c r="X9553" s="5"/>
      <c r="Y9553" s="5"/>
      <c r="Z9553" s="5"/>
    </row>
    <row r="9554" spans="1:26" ht="15" x14ac:dyDescent="0.25">
      <c r="A9554" s="4" t="s">
        <v>9552</v>
      </c>
      <c r="B9554" s="4" t="s">
        <v>9011</v>
      </c>
      <c r="C9554" s="2" t="str">
        <f ca="1">IFERROR(__xludf.DUMMYFUNCTION("GOOGLETRANSLATE(A9554,""bn"",""en"")"),"Tomorrow I will attend an important meeting that will determine the future of our company")</f>
        <v>Tomorrow I will attend an important meeting that will determine the future of our company</v>
      </c>
      <c r="D9554" s="5"/>
      <c r="E9554" s="5"/>
      <c r="F9554" s="5"/>
      <c r="G9554" s="5"/>
      <c r="H9554" s="5"/>
      <c r="I9554" s="5"/>
      <c r="J9554" s="5"/>
      <c r="K9554" s="5"/>
      <c r="L9554" s="5"/>
      <c r="M9554" s="5"/>
      <c r="N9554" s="5"/>
      <c r="O9554" s="5"/>
      <c r="P9554" s="5"/>
      <c r="Q9554" s="5"/>
      <c r="R9554" s="5"/>
      <c r="S9554" s="5"/>
      <c r="T9554" s="5"/>
      <c r="U9554" s="5"/>
      <c r="V9554" s="5"/>
      <c r="W9554" s="5"/>
      <c r="X9554" s="5"/>
      <c r="Y9554" s="5"/>
      <c r="Z9554" s="5"/>
    </row>
    <row r="9555" spans="1:26" ht="15" x14ac:dyDescent="0.25">
      <c r="A9555" s="4" t="s">
        <v>9553</v>
      </c>
      <c r="B9555" s="4" t="s">
        <v>9011</v>
      </c>
      <c r="C9555" s="2" t="str">
        <f ca="1">IFERROR(__xludf.DUMMYFUNCTION("GOOGLETRANSLATE(A9555,""bn"",""en"")"),"You will be speaking at a seminar next month on advanced agricultural production technology")</f>
        <v>You will be speaking at a seminar next month on advanced agricultural production technology</v>
      </c>
      <c r="D9555" s="5"/>
      <c r="E9555" s="5"/>
      <c r="F9555" s="5"/>
      <c r="G9555" s="5"/>
      <c r="H9555" s="5"/>
      <c r="I9555" s="5"/>
      <c r="J9555" s="5"/>
      <c r="K9555" s="5"/>
      <c r="L9555" s="5"/>
      <c r="M9555" s="5"/>
      <c r="N9555" s="5"/>
      <c r="O9555" s="5"/>
      <c r="P9555" s="5"/>
      <c r="Q9555" s="5"/>
      <c r="R9555" s="5"/>
      <c r="S9555" s="5"/>
      <c r="T9555" s="5"/>
      <c r="U9555" s="5"/>
      <c r="V9555" s="5"/>
      <c r="W9555" s="5"/>
      <c r="X9555" s="5"/>
      <c r="Y9555" s="5"/>
      <c r="Z9555" s="5"/>
    </row>
    <row r="9556" spans="1:26" ht="15" x14ac:dyDescent="0.25">
      <c r="A9556" s="4" t="s">
        <v>9554</v>
      </c>
      <c r="B9556" s="4" t="s">
        <v>9011</v>
      </c>
      <c r="C9556" s="2" t="str">
        <f ca="1">IFERROR(__xludf.DUMMYFUNCTION("GOOGLETRANSLATE(A9556,""bn"",""en"")"),"I will be launching a healthy kitchen workshop next month")</f>
        <v>I will be launching a healthy kitchen workshop next month</v>
      </c>
      <c r="D9556" s="5"/>
      <c r="E9556" s="5"/>
      <c r="F9556" s="5"/>
      <c r="G9556" s="5"/>
      <c r="H9556" s="5"/>
      <c r="I9556" s="5"/>
      <c r="J9556" s="5"/>
      <c r="K9556" s="5"/>
      <c r="L9556" s="5"/>
      <c r="M9556" s="5"/>
      <c r="N9556" s="5"/>
      <c r="O9556" s="5"/>
      <c r="P9556" s="5"/>
      <c r="Q9556" s="5"/>
      <c r="R9556" s="5"/>
      <c r="S9556" s="5"/>
      <c r="T9556" s="5"/>
      <c r="U9556" s="5"/>
      <c r="V9556" s="5"/>
      <c r="W9556" s="5"/>
      <c r="X9556" s="5"/>
      <c r="Y9556" s="5"/>
      <c r="Z9556" s="5"/>
    </row>
    <row r="9557" spans="1:26" ht="15" x14ac:dyDescent="0.25">
      <c r="A9557" s="4" t="s">
        <v>9555</v>
      </c>
      <c r="B9557" s="4" t="s">
        <v>9011</v>
      </c>
      <c r="C9557" s="2" t="str">
        <f ca="1">IFERROR(__xludf.DUMMYFUNCTION("GOOGLETRANSLATE(A9557,""bn"",""en"")"),"It will be such a beautiful moment when we all talk together at home")</f>
        <v>It will be such a beautiful moment when we all talk together at home</v>
      </c>
      <c r="D9557" s="5"/>
      <c r="E9557" s="5"/>
      <c r="F9557" s="5"/>
      <c r="G9557" s="5"/>
      <c r="H9557" s="5"/>
      <c r="I9557" s="5"/>
      <c r="J9557" s="5"/>
      <c r="K9557" s="5"/>
      <c r="L9557" s="5"/>
      <c r="M9557" s="5"/>
      <c r="N9557" s="5"/>
      <c r="O9557" s="5"/>
      <c r="P9557" s="5"/>
      <c r="Q9557" s="5"/>
      <c r="R9557" s="5"/>
      <c r="S9557" s="5"/>
      <c r="T9557" s="5"/>
      <c r="U9557" s="5"/>
      <c r="V9557" s="5"/>
      <c r="W9557" s="5"/>
      <c r="X9557" s="5"/>
      <c r="Y9557" s="5"/>
      <c r="Z9557" s="5"/>
    </row>
    <row r="9558" spans="1:26" ht="15" x14ac:dyDescent="0.25">
      <c r="A9558" s="4" t="s">
        <v>9556</v>
      </c>
      <c r="B9558" s="4" t="s">
        <v>9011</v>
      </c>
      <c r="C9558" s="2" t="str">
        <f ca="1">IFERROR(__xludf.DUMMYFUNCTION("GOOGLETRANSLATE(A9558,""bn"",""en"")"),"I will give my family a life full of joy")</f>
        <v>I will give my family a life full of joy</v>
      </c>
      <c r="D9558" s="5"/>
      <c r="E9558" s="5"/>
      <c r="F9558" s="5"/>
      <c r="G9558" s="5"/>
      <c r="H9558" s="5"/>
      <c r="I9558" s="5"/>
      <c r="J9558" s="5"/>
      <c r="K9558" s="5"/>
      <c r="L9558" s="5"/>
      <c r="M9558" s="5"/>
      <c r="N9558" s="5"/>
      <c r="O9558" s="5"/>
      <c r="P9558" s="5"/>
      <c r="Q9558" s="5"/>
      <c r="R9558" s="5"/>
      <c r="S9558" s="5"/>
      <c r="T9558" s="5"/>
      <c r="U9558" s="5"/>
      <c r="V9558" s="5"/>
      <c r="W9558" s="5"/>
      <c r="X9558" s="5"/>
      <c r="Y9558" s="5"/>
      <c r="Z9558" s="5"/>
    </row>
    <row r="9559" spans="1:26" ht="15" x14ac:dyDescent="0.25">
      <c r="A9559" s="4" t="s">
        <v>9557</v>
      </c>
      <c r="B9559" s="4" t="s">
        <v>9011</v>
      </c>
      <c r="C9559" s="2" t="str">
        <f ca="1">IFERROR(__xludf.DUMMYFUNCTION("GOOGLETRANSLATE(A9559,""bn"",""en"")"),"The gift of our friendship will be made by mixing this madness, this quarrel and this fun")</f>
        <v>The gift of our friendship will be made by mixing this madness, this quarrel and this fun</v>
      </c>
      <c r="D9559" s="5"/>
      <c r="E9559" s="5"/>
      <c r="F9559" s="5"/>
      <c r="G9559" s="5"/>
      <c r="H9559" s="5"/>
      <c r="I9559" s="5"/>
      <c r="J9559" s="5"/>
      <c r="K9559" s="5"/>
      <c r="L9559" s="5"/>
      <c r="M9559" s="5"/>
      <c r="N9559" s="5"/>
      <c r="O9559" s="5"/>
      <c r="P9559" s="5"/>
      <c r="Q9559" s="5"/>
      <c r="R9559" s="5"/>
      <c r="S9559" s="5"/>
      <c r="T9559" s="5"/>
      <c r="U9559" s="5"/>
      <c r="V9559" s="5"/>
      <c r="W9559" s="5"/>
      <c r="X9559" s="5"/>
      <c r="Y9559" s="5"/>
      <c r="Z9559" s="5"/>
    </row>
    <row r="9560" spans="1:26" ht="15" x14ac:dyDescent="0.25">
      <c r="A9560" s="4" t="s">
        <v>9558</v>
      </c>
      <c r="B9560" s="4" t="s">
        <v>9011</v>
      </c>
      <c r="C9560" s="2" t="str">
        <f ca="1">IFERROR(__xludf.DUMMYFUNCTION("GOOGLETRANSLATE(A9560,""bn"",""en"")"),"I will look at the sky and dream about the future")</f>
        <v>I will look at the sky and dream about the future</v>
      </c>
      <c r="D9560" s="5"/>
      <c r="E9560" s="5"/>
      <c r="F9560" s="5"/>
      <c r="G9560" s="5"/>
      <c r="H9560" s="5"/>
      <c r="I9560" s="5"/>
      <c r="J9560" s="5"/>
      <c r="K9560" s="5"/>
      <c r="L9560" s="5"/>
      <c r="M9560" s="5"/>
      <c r="N9560" s="5"/>
      <c r="O9560" s="5"/>
      <c r="P9560" s="5"/>
      <c r="Q9560" s="5"/>
      <c r="R9560" s="5"/>
      <c r="S9560" s="5"/>
      <c r="T9560" s="5"/>
      <c r="U9560" s="5"/>
      <c r="V9560" s="5"/>
      <c r="W9560" s="5"/>
      <c r="X9560" s="5"/>
      <c r="Y9560" s="5"/>
      <c r="Z9560" s="5"/>
    </row>
    <row r="9561" spans="1:26" ht="15" x14ac:dyDescent="0.25">
      <c r="A9561" s="4" t="s">
        <v>9559</v>
      </c>
      <c r="B9561" s="4" t="s">
        <v>9011</v>
      </c>
      <c r="C9561" s="2" t="str">
        <f ca="1">IFERROR(__xludf.DUMMYFUNCTION("GOOGLETRANSLATE(A9561,""bn"",""en"")"),"I will be producing a detailed report next month on new technologies that will be very important to our team")</f>
        <v>I will be producing a detailed report next month on new technologies that will be very important to our team</v>
      </c>
      <c r="D9561" s="5"/>
      <c r="E9561" s="5"/>
      <c r="F9561" s="5"/>
      <c r="G9561" s="5"/>
      <c r="H9561" s="5"/>
      <c r="I9561" s="5"/>
      <c r="J9561" s="5"/>
      <c r="K9561" s="5"/>
      <c r="L9561" s="5"/>
      <c r="M9561" s="5"/>
      <c r="N9561" s="5"/>
      <c r="O9561" s="5"/>
      <c r="P9561" s="5"/>
      <c r="Q9561" s="5"/>
      <c r="R9561" s="5"/>
      <c r="S9561" s="5"/>
      <c r="T9561" s="5"/>
      <c r="U9561" s="5"/>
      <c r="V9561" s="5"/>
      <c r="W9561" s="5"/>
      <c r="X9561" s="5"/>
      <c r="Y9561" s="5"/>
      <c r="Z9561" s="5"/>
    </row>
    <row r="9562" spans="1:26" ht="15" x14ac:dyDescent="0.25">
      <c r="A9562" s="4" t="s">
        <v>9560</v>
      </c>
      <c r="B9562" s="4" t="s">
        <v>9011</v>
      </c>
      <c r="C9562" s="2" t="str">
        <f ca="1">IFERROR(__xludf.DUMMYFUNCTION("GOOGLETRANSLATE(A9562,""bn"",""en"")"),"He will be fully satisfied with his business when his new technology gets successful approval")</f>
        <v>He will be fully satisfied with his business when his new technology gets successful approval</v>
      </c>
      <c r="D9562" s="5"/>
      <c r="E9562" s="5"/>
      <c r="F9562" s="5"/>
      <c r="G9562" s="5"/>
      <c r="H9562" s="5"/>
      <c r="I9562" s="5"/>
      <c r="J9562" s="5"/>
      <c r="K9562" s="5"/>
      <c r="L9562" s="5"/>
      <c r="M9562" s="5"/>
      <c r="N9562" s="5"/>
      <c r="O9562" s="5"/>
      <c r="P9562" s="5"/>
      <c r="Q9562" s="5"/>
      <c r="R9562" s="5"/>
      <c r="S9562" s="5"/>
      <c r="T9562" s="5"/>
      <c r="U9562" s="5"/>
      <c r="V9562" s="5"/>
      <c r="W9562" s="5"/>
      <c r="X9562" s="5"/>
      <c r="Y9562" s="5"/>
      <c r="Z9562" s="5"/>
    </row>
    <row r="9563" spans="1:26" ht="15" x14ac:dyDescent="0.25">
      <c r="A9563" s="4" t="s">
        <v>9561</v>
      </c>
      <c r="B9563" s="4" t="s">
        <v>9011</v>
      </c>
      <c r="C9563" s="2" t="str">
        <f ca="1">IFERROR(__xludf.DUMMYFUNCTION("GOOGLETRANSLATE(A9563,""bn"",""en"")"),"The excitement of football cannot be described in words")</f>
        <v>The excitement of football cannot be described in words</v>
      </c>
      <c r="D9563" s="5"/>
      <c r="E9563" s="5"/>
      <c r="F9563" s="5"/>
      <c r="G9563" s="5"/>
      <c r="H9563" s="5"/>
      <c r="I9563" s="5"/>
      <c r="J9563" s="5"/>
      <c r="K9563" s="5"/>
      <c r="L9563" s="5"/>
      <c r="M9563" s="5"/>
      <c r="N9563" s="5"/>
      <c r="O9563" s="5"/>
      <c r="P9563" s="5"/>
      <c r="Q9563" s="5"/>
      <c r="R9563" s="5"/>
      <c r="S9563" s="5"/>
      <c r="T9563" s="5"/>
      <c r="U9563" s="5"/>
      <c r="V9563" s="5"/>
      <c r="W9563" s="5"/>
      <c r="X9563" s="5"/>
      <c r="Y9563" s="5"/>
      <c r="Z9563" s="5"/>
    </row>
    <row r="9564" spans="1:26" ht="15" x14ac:dyDescent="0.25">
      <c r="A9564" s="4" t="s">
        <v>9562</v>
      </c>
      <c r="B9564" s="4" t="s">
        <v>9011</v>
      </c>
      <c r="C9564" s="2" t="str">
        <f ca="1">IFERROR(__xludf.DUMMYFUNCTION("GOOGLETRANSLATE(A9564,""bn"",""en"")"),"You will join a new sports coaching class next week to improve your sports skills")</f>
        <v>You will join a new sports coaching class next week to improve your sports skills</v>
      </c>
      <c r="D9564" s="5"/>
      <c r="E9564" s="5"/>
      <c r="F9564" s="5"/>
      <c r="G9564" s="5"/>
      <c r="H9564" s="5"/>
      <c r="I9564" s="5"/>
      <c r="J9564" s="5"/>
      <c r="K9564" s="5"/>
      <c r="L9564" s="5"/>
      <c r="M9564" s="5"/>
      <c r="N9564" s="5"/>
      <c r="O9564" s="5"/>
      <c r="P9564" s="5"/>
      <c r="Q9564" s="5"/>
      <c r="R9564" s="5"/>
      <c r="S9564" s="5"/>
      <c r="T9564" s="5"/>
      <c r="U9564" s="5"/>
      <c r="V9564" s="5"/>
      <c r="W9564" s="5"/>
      <c r="X9564" s="5"/>
      <c r="Y9564" s="5"/>
      <c r="Z9564" s="5"/>
    </row>
    <row r="9565" spans="1:26" ht="15" x14ac:dyDescent="0.25">
      <c r="A9565" s="4" t="s">
        <v>9563</v>
      </c>
      <c r="B9565" s="4" t="s">
        <v>9011</v>
      </c>
      <c r="C9565" s="2" t="str">
        <f ca="1">IFERROR(__xludf.DUMMYFUNCTION("GOOGLETRANSLATE(A9565,""bn"",""en"")"),"In the future I will be a successful engineer where I will invent new technologies")</f>
        <v>In the future I will be a successful engineer where I will invent new technologies</v>
      </c>
      <c r="D9565" s="5"/>
      <c r="E9565" s="5"/>
      <c r="F9565" s="5"/>
      <c r="G9565" s="5"/>
      <c r="H9565" s="5"/>
      <c r="I9565" s="5"/>
      <c r="J9565" s="5"/>
      <c r="K9565" s="5"/>
      <c r="L9565" s="5"/>
      <c r="M9565" s="5"/>
      <c r="N9565" s="5"/>
      <c r="O9565" s="5"/>
      <c r="P9565" s="5"/>
      <c r="Q9565" s="5"/>
      <c r="R9565" s="5"/>
      <c r="S9565" s="5"/>
      <c r="T9565" s="5"/>
      <c r="U9565" s="5"/>
      <c r="V9565" s="5"/>
      <c r="W9565" s="5"/>
      <c r="X9565" s="5"/>
      <c r="Y9565" s="5"/>
      <c r="Z9565" s="5"/>
    </row>
    <row r="9566" spans="1:26" ht="15" x14ac:dyDescent="0.25">
      <c r="A9566" s="4" t="s">
        <v>9564</v>
      </c>
      <c r="B9566" s="4" t="s">
        <v>9011</v>
      </c>
      <c r="C9566" s="2" t="str">
        <f ca="1">IFERROR(__xludf.DUMMYFUNCTION("GOOGLETRANSLATE(A9566,""bn"",""en"")"),"I will start watching an old series after a long time and I will want to sit and watch it all night")</f>
        <v>I will start watching an old series after a long time and I will want to sit and watch it all night</v>
      </c>
      <c r="D9566" s="5"/>
      <c r="E9566" s="5"/>
      <c r="F9566" s="5"/>
      <c r="G9566" s="5"/>
      <c r="H9566" s="5"/>
      <c r="I9566" s="5"/>
      <c r="J9566" s="5"/>
      <c r="K9566" s="5"/>
      <c r="L9566" s="5"/>
      <c r="M9566" s="5"/>
      <c r="N9566" s="5"/>
      <c r="O9566" s="5"/>
      <c r="P9566" s="5"/>
      <c r="Q9566" s="5"/>
      <c r="R9566" s="5"/>
      <c r="S9566" s="5"/>
      <c r="T9566" s="5"/>
      <c r="U9566" s="5"/>
      <c r="V9566" s="5"/>
      <c r="W9566" s="5"/>
      <c r="X9566" s="5"/>
      <c r="Y9566" s="5"/>
      <c r="Z9566" s="5"/>
    </row>
    <row r="9567" spans="1:26" ht="15" x14ac:dyDescent="0.25">
      <c r="A9567" s="4" t="s">
        <v>9565</v>
      </c>
      <c r="B9567" s="4" t="s">
        <v>9011</v>
      </c>
      <c r="C9567" s="2" t="str">
        <f ca="1">IFERROR(__xludf.DUMMYFUNCTION("GOOGLETRANSLATE(A9567,""bn"",""en"")"),"We will be enraptured with joy in the mahamayar fair of dance, we will enjoy the true air with funny talk, the light of art with everyone will excite the mountains of laughter in our minds all the time.")</f>
        <v>We will be enraptured with joy in the mahamayar fair of dance, we will enjoy the true air with funny talk, the light of art with everyone will excite the mountains of laughter in our minds all the time.</v>
      </c>
      <c r="D9567" s="5"/>
      <c r="E9567" s="5"/>
      <c r="F9567" s="5"/>
      <c r="G9567" s="5"/>
      <c r="H9567" s="5"/>
      <c r="I9567" s="5"/>
      <c r="J9567" s="5"/>
      <c r="K9567" s="5"/>
      <c r="L9567" s="5"/>
      <c r="M9567" s="5"/>
      <c r="N9567" s="5"/>
      <c r="O9567" s="5"/>
      <c r="P9567" s="5"/>
      <c r="Q9567" s="5"/>
      <c r="R9567" s="5"/>
      <c r="S9567" s="5"/>
      <c r="T9567" s="5"/>
      <c r="U9567" s="5"/>
      <c r="V9567" s="5"/>
      <c r="W9567" s="5"/>
      <c r="X9567" s="5"/>
      <c r="Y9567" s="5"/>
      <c r="Z9567" s="5"/>
    </row>
    <row r="9568" spans="1:26" ht="15" x14ac:dyDescent="0.25">
      <c r="A9568" s="4" t="s">
        <v>9566</v>
      </c>
      <c r="B9568" s="4" t="s">
        <v>9011</v>
      </c>
      <c r="C9568" s="2" t="str">
        <f ca="1">IFERROR(__xludf.DUMMYFUNCTION("GOOGLETRANSLATE(A9568,""bn"",""en"")"),"Next month we will organize a big sports competition where players from different countries will participate")</f>
        <v>Next month we will organize a big sports competition where players from different countries will participate</v>
      </c>
      <c r="D9568" s="5"/>
      <c r="E9568" s="5"/>
      <c r="F9568" s="5"/>
      <c r="G9568" s="5"/>
      <c r="H9568" s="5"/>
      <c r="I9568" s="5"/>
      <c r="J9568" s="5"/>
      <c r="K9568" s="5"/>
      <c r="L9568" s="5"/>
      <c r="M9568" s="5"/>
      <c r="N9568" s="5"/>
      <c r="O9568" s="5"/>
      <c r="P9568" s="5"/>
      <c r="Q9568" s="5"/>
      <c r="R9568" s="5"/>
      <c r="S9568" s="5"/>
      <c r="T9568" s="5"/>
      <c r="U9568" s="5"/>
      <c r="V9568" s="5"/>
      <c r="W9568" s="5"/>
      <c r="X9568" s="5"/>
      <c r="Y9568" s="5"/>
      <c r="Z9568" s="5"/>
    </row>
    <row r="9569" spans="1:26" ht="15" x14ac:dyDescent="0.25">
      <c r="A9569" s="4" t="s">
        <v>9567</v>
      </c>
      <c r="B9569" s="4" t="s">
        <v>9011</v>
      </c>
      <c r="C9569" s="2" t="str">
        <f ca="1">IFERROR(__xludf.DUMMYFUNCTION("GOOGLETRANSLATE(A9569,""bn"",""en"")"),"I will win a big award when I direct my first movie")</f>
        <v>I will win a big award when I direct my first movie</v>
      </c>
      <c r="D9569" s="5"/>
      <c r="E9569" s="5"/>
      <c r="F9569" s="5"/>
      <c r="G9569" s="5"/>
      <c r="H9569" s="5"/>
      <c r="I9569" s="5"/>
      <c r="J9569" s="5"/>
      <c r="K9569" s="5"/>
      <c r="L9569" s="5"/>
      <c r="M9569" s="5"/>
      <c r="N9569" s="5"/>
      <c r="O9569" s="5"/>
      <c r="P9569" s="5"/>
      <c r="Q9569" s="5"/>
      <c r="R9569" s="5"/>
      <c r="S9569" s="5"/>
      <c r="T9569" s="5"/>
      <c r="U9569" s="5"/>
      <c r="V9569" s="5"/>
      <c r="W9569" s="5"/>
      <c r="X9569" s="5"/>
      <c r="Y9569" s="5"/>
      <c r="Z9569" s="5"/>
    </row>
    <row r="9570" spans="1:26" ht="15" x14ac:dyDescent="0.25">
      <c r="A9570" s="4" t="s">
        <v>9568</v>
      </c>
      <c r="B9570" s="4" t="s">
        <v>9011</v>
      </c>
      <c r="C9570" s="2" t="str">
        <f ca="1">IFERROR(__xludf.DUMMYFUNCTION("GOOGLETRANSLATE(A9570,""bn"",""en"")"),"The sky will look the most beautiful from my roof")</f>
        <v>The sky will look the most beautiful from my roof</v>
      </c>
      <c r="D9570" s="5"/>
      <c r="E9570" s="5"/>
      <c r="F9570" s="5"/>
      <c r="G9570" s="5"/>
      <c r="H9570" s="5"/>
      <c r="I9570" s="5"/>
      <c r="J9570" s="5"/>
      <c r="K9570" s="5"/>
      <c r="L9570" s="5"/>
      <c r="M9570" s="5"/>
      <c r="N9570" s="5"/>
      <c r="O9570" s="5"/>
      <c r="P9570" s="5"/>
      <c r="Q9570" s="5"/>
      <c r="R9570" s="5"/>
      <c r="S9570" s="5"/>
      <c r="T9570" s="5"/>
      <c r="U9570" s="5"/>
      <c r="V9570" s="5"/>
      <c r="W9570" s="5"/>
      <c r="X9570" s="5"/>
      <c r="Y9570" s="5"/>
      <c r="Z9570" s="5"/>
    </row>
    <row r="9571" spans="1:26" ht="15" x14ac:dyDescent="0.25">
      <c r="A9571" s="4" t="s">
        <v>9569</v>
      </c>
      <c r="B9571" s="4" t="s">
        <v>9011</v>
      </c>
      <c r="C9571" s="2" t="str">
        <f ca="1">IFERROR(__xludf.DUMMYFUNCTION("GOOGLETRANSLATE(A9571,""bn"",""en"")"),"I will turn on the AC in my room tomorrow morning")</f>
        <v>I will turn on the AC in my room tomorrow morning</v>
      </c>
      <c r="D9571" s="5"/>
      <c r="E9571" s="5"/>
      <c r="F9571" s="5"/>
      <c r="G9571" s="5"/>
      <c r="H9571" s="5"/>
      <c r="I9571" s="5"/>
      <c r="J9571" s="5"/>
      <c r="K9571" s="5"/>
      <c r="L9571" s="5"/>
      <c r="M9571" s="5"/>
      <c r="N9571" s="5"/>
      <c r="O9571" s="5"/>
      <c r="P9571" s="5"/>
      <c r="Q9571" s="5"/>
      <c r="R9571" s="5"/>
      <c r="S9571" s="5"/>
      <c r="T9571" s="5"/>
      <c r="U9571" s="5"/>
      <c r="V9571" s="5"/>
      <c r="W9571" s="5"/>
      <c r="X9571" s="5"/>
      <c r="Y9571" s="5"/>
      <c r="Z9571" s="5"/>
    </row>
    <row r="9572" spans="1:26" ht="15" x14ac:dyDescent="0.25">
      <c r="A9572" s="4" t="s">
        <v>9570</v>
      </c>
      <c r="B9572" s="4" t="s">
        <v>9011</v>
      </c>
      <c r="C9572" s="2" t="str">
        <f ca="1">IFERROR(__xludf.DUMMYFUNCTION("GOOGLETRANSLATE(A9572,""bn"",""en"")"),"Parents, I will learn from you how to sustain love and family. Happy wedding anniversary")</f>
        <v>Parents, I will learn from you how to sustain love and family. Happy wedding anniversary</v>
      </c>
      <c r="D9572" s="5"/>
      <c r="E9572" s="5"/>
      <c r="F9572" s="5"/>
      <c r="G9572" s="5"/>
      <c r="H9572" s="5"/>
      <c r="I9572" s="5"/>
      <c r="J9572" s="5"/>
      <c r="K9572" s="5"/>
      <c r="L9572" s="5"/>
      <c r="M9572" s="5"/>
      <c r="N9572" s="5"/>
      <c r="O9572" s="5"/>
      <c r="P9572" s="5"/>
      <c r="Q9572" s="5"/>
      <c r="R9572" s="5"/>
      <c r="S9572" s="5"/>
      <c r="T9572" s="5"/>
      <c r="U9572" s="5"/>
      <c r="V9572" s="5"/>
      <c r="W9572" s="5"/>
      <c r="X9572" s="5"/>
      <c r="Y9572" s="5"/>
      <c r="Z9572" s="5"/>
    </row>
    <row r="9573" spans="1:26" ht="15" x14ac:dyDescent="0.25">
      <c r="A9573" s="4" t="s">
        <v>9571</v>
      </c>
      <c r="B9573" s="4" t="s">
        <v>9011</v>
      </c>
      <c r="C9573" s="2" t="str">
        <f ca="1">IFERROR(__xludf.DUMMYFUNCTION("GOOGLETRANSLATE(A9573,""bn"",""en"")"),"After a long time, I will find the black saree in Lalpad and my mind will dance with joy")</f>
        <v>After a long time, I will find the black saree in Lalpad and my mind will dance with joy</v>
      </c>
      <c r="D9573" s="5"/>
      <c r="E9573" s="5"/>
      <c r="F9573" s="5"/>
      <c r="G9573" s="5"/>
      <c r="H9573" s="5"/>
      <c r="I9573" s="5"/>
      <c r="J9573" s="5"/>
      <c r="K9573" s="5"/>
      <c r="L9573" s="5"/>
      <c r="M9573" s="5"/>
      <c r="N9573" s="5"/>
      <c r="O9573" s="5"/>
      <c r="P9573" s="5"/>
      <c r="Q9573" s="5"/>
      <c r="R9573" s="5"/>
      <c r="S9573" s="5"/>
      <c r="T9573" s="5"/>
      <c r="U9573" s="5"/>
      <c r="V9573" s="5"/>
      <c r="W9573" s="5"/>
      <c r="X9573" s="5"/>
      <c r="Y9573" s="5"/>
      <c r="Z9573" s="5"/>
    </row>
    <row r="9574" spans="1:26" ht="15" x14ac:dyDescent="0.25">
      <c r="A9574" s="4" t="s">
        <v>9572</v>
      </c>
      <c r="B9574" s="4" t="s">
        <v>9011</v>
      </c>
      <c r="C9574" s="2" t="str">
        <f ca="1">IFERROR(__xludf.DUMMYFUNCTION("GOOGLETRANSLATE(A9574,""bn"",""en"")"),"You will get a different pleasure of shopping with your hard earned money")</f>
        <v>You will get a different pleasure of shopping with your hard earned money</v>
      </c>
      <c r="D9574" s="5"/>
      <c r="E9574" s="5"/>
      <c r="F9574" s="5"/>
      <c r="G9574" s="5"/>
      <c r="H9574" s="5"/>
      <c r="I9574" s="5"/>
      <c r="J9574" s="5"/>
      <c r="K9574" s="5"/>
      <c r="L9574" s="5"/>
      <c r="M9574" s="5"/>
      <c r="N9574" s="5"/>
      <c r="O9574" s="5"/>
      <c r="P9574" s="5"/>
      <c r="Q9574" s="5"/>
      <c r="R9574" s="5"/>
      <c r="S9574" s="5"/>
      <c r="T9574" s="5"/>
      <c r="U9574" s="5"/>
      <c r="V9574" s="5"/>
      <c r="W9574" s="5"/>
      <c r="X9574" s="5"/>
      <c r="Y9574" s="5"/>
      <c r="Z9574" s="5"/>
    </row>
    <row r="9575" spans="1:26" ht="15" x14ac:dyDescent="0.25">
      <c r="A9575" s="4" t="s">
        <v>9573</v>
      </c>
      <c r="B9575" s="4" t="s">
        <v>9011</v>
      </c>
      <c r="C9575" s="2" t="str">
        <f ca="1">IFERROR(__xludf.DUMMYFUNCTION("GOOGLETRANSLATE(A9575,""bn"",""en"")"),"In the future, robots will assist humans in various tasks")</f>
        <v>In the future, robots will assist humans in various tasks</v>
      </c>
      <c r="D9575" s="5"/>
      <c r="E9575" s="5"/>
      <c r="F9575" s="5"/>
      <c r="G9575" s="5"/>
      <c r="H9575" s="5"/>
      <c r="I9575" s="5"/>
      <c r="J9575" s="5"/>
      <c r="K9575" s="5"/>
      <c r="L9575" s="5"/>
      <c r="M9575" s="5"/>
      <c r="N9575" s="5"/>
      <c r="O9575" s="5"/>
      <c r="P9575" s="5"/>
      <c r="Q9575" s="5"/>
      <c r="R9575" s="5"/>
      <c r="S9575" s="5"/>
      <c r="T9575" s="5"/>
      <c r="U9575" s="5"/>
      <c r="V9575" s="5"/>
      <c r="W9575" s="5"/>
      <c r="X9575" s="5"/>
      <c r="Y9575" s="5"/>
      <c r="Z9575" s="5"/>
    </row>
    <row r="9576" spans="1:26" ht="15" x14ac:dyDescent="0.25">
      <c r="A9576" s="4" t="s">
        <v>9574</v>
      </c>
      <c r="B9576" s="4" t="s">
        <v>9011</v>
      </c>
      <c r="C9576" s="2" t="str">
        <f ca="1">IFERROR(__xludf.DUMMYFUNCTION("GOOGLETRANSLATE(A9576,""bn"",""en"")"),"School friends will be the best companions in life")</f>
        <v>School friends will be the best companions in life</v>
      </c>
      <c r="D9576" s="5"/>
      <c r="E9576" s="5"/>
      <c r="F9576" s="5"/>
      <c r="G9576" s="5"/>
      <c r="H9576" s="5"/>
      <c r="I9576" s="5"/>
      <c r="J9576" s="5"/>
      <c r="K9576" s="5"/>
      <c r="L9576" s="5"/>
      <c r="M9576" s="5"/>
      <c r="N9576" s="5"/>
      <c r="O9576" s="5"/>
      <c r="P9576" s="5"/>
      <c r="Q9576" s="5"/>
      <c r="R9576" s="5"/>
      <c r="S9576" s="5"/>
      <c r="T9576" s="5"/>
      <c r="U9576" s="5"/>
      <c r="V9576" s="5"/>
      <c r="W9576" s="5"/>
      <c r="X9576" s="5"/>
      <c r="Y9576" s="5"/>
      <c r="Z9576" s="5"/>
    </row>
    <row r="9577" spans="1:26" ht="15" x14ac:dyDescent="0.25">
      <c r="A9577" s="4" t="s">
        <v>9575</v>
      </c>
      <c r="B9577" s="4" t="s">
        <v>9011</v>
      </c>
      <c r="C9577" s="2" t="str">
        <f ca="1">IFERROR(__xludf.DUMMYFUNCTION("GOOGLETRANSLATE(A9577,""bn"",""en"")"),"Life with this animal companion will be a rich experience")</f>
        <v>Life with this animal companion will be a rich experience</v>
      </c>
      <c r="D9577" s="5"/>
      <c r="E9577" s="5"/>
      <c r="F9577" s="5"/>
      <c r="G9577" s="5"/>
      <c r="H9577" s="5"/>
      <c r="I9577" s="5"/>
      <c r="J9577" s="5"/>
      <c r="K9577" s="5"/>
      <c r="L9577" s="5"/>
      <c r="M9577" s="5"/>
      <c r="N9577" s="5"/>
      <c r="O9577" s="5"/>
      <c r="P9577" s="5"/>
      <c r="Q9577" s="5"/>
      <c r="R9577" s="5"/>
      <c r="S9577" s="5"/>
      <c r="T9577" s="5"/>
      <c r="U9577" s="5"/>
      <c r="V9577" s="5"/>
      <c r="W9577" s="5"/>
      <c r="X9577" s="5"/>
      <c r="Y9577" s="5"/>
      <c r="Z9577" s="5"/>
    </row>
    <row r="9578" spans="1:26" ht="15" x14ac:dyDescent="0.25">
      <c r="A9578" s="4" t="s">
        <v>9576</v>
      </c>
      <c r="B9578" s="4" t="s">
        <v>9011</v>
      </c>
      <c r="C9578" s="2" t="str">
        <f ca="1">IFERROR(__xludf.DUMMYFUNCTION("GOOGLETRANSLATE(A9578,""bn"",""en"")"),"I will join new project next week which will increase my skills and experience")</f>
        <v>I will join new project next week which will increase my skills and experience</v>
      </c>
      <c r="D9578" s="5"/>
      <c r="E9578" s="5"/>
      <c r="F9578" s="5"/>
      <c r="G9578" s="5"/>
      <c r="H9578" s="5"/>
      <c r="I9578" s="5"/>
      <c r="J9578" s="5"/>
      <c r="K9578" s="5"/>
      <c r="L9578" s="5"/>
      <c r="M9578" s="5"/>
      <c r="N9578" s="5"/>
      <c r="O9578" s="5"/>
      <c r="P9578" s="5"/>
      <c r="Q9578" s="5"/>
      <c r="R9578" s="5"/>
      <c r="S9578" s="5"/>
      <c r="T9578" s="5"/>
      <c r="U9578" s="5"/>
      <c r="V9578" s="5"/>
      <c r="W9578" s="5"/>
      <c r="X9578" s="5"/>
      <c r="Y9578" s="5"/>
      <c r="Z9578" s="5"/>
    </row>
    <row r="9579" spans="1:26" ht="15" x14ac:dyDescent="0.25">
      <c r="A9579" s="4" t="s">
        <v>9577</v>
      </c>
      <c r="B9579" s="4" t="s">
        <v>9011</v>
      </c>
      <c r="C9579" s="2" t="str">
        <f ca="1">IFERROR(__xludf.DUMMYFUNCTION("GOOGLETRANSLATE(A9579,""bn"",""en"")"),"We will be hosting a new workshop next week where new innovative ideas will be discussed")</f>
        <v>We will be hosting a new workshop next week where new innovative ideas will be discussed</v>
      </c>
      <c r="D9579" s="5"/>
      <c r="E9579" s="5"/>
      <c r="F9579" s="5"/>
      <c r="G9579" s="5"/>
      <c r="H9579" s="5"/>
      <c r="I9579" s="5"/>
      <c r="J9579" s="5"/>
      <c r="K9579" s="5"/>
      <c r="L9579" s="5"/>
      <c r="M9579" s="5"/>
      <c r="N9579" s="5"/>
      <c r="O9579" s="5"/>
      <c r="P9579" s="5"/>
      <c r="Q9579" s="5"/>
      <c r="R9579" s="5"/>
      <c r="S9579" s="5"/>
      <c r="T9579" s="5"/>
      <c r="U9579" s="5"/>
      <c r="V9579" s="5"/>
      <c r="W9579" s="5"/>
      <c r="X9579" s="5"/>
      <c r="Y9579" s="5"/>
      <c r="Z9579" s="5"/>
    </row>
    <row r="9580" spans="1:26" ht="15" x14ac:dyDescent="0.25">
      <c r="A9580" s="4" t="s">
        <v>9578</v>
      </c>
      <c r="B9580" s="4" t="s">
        <v>9011</v>
      </c>
      <c r="C9580" s="2" t="str">
        <f ca="1">IFERROR(__xludf.DUMMYFUNCTION("GOOGLETRANSLATE(A9580,""bn"",""en"")"),"I am going to watch the football match with my friends tomorrow")</f>
        <v>I am going to watch the football match with my friends tomorrow</v>
      </c>
      <c r="D9580" s="5"/>
      <c r="E9580" s="5"/>
      <c r="F9580" s="5"/>
      <c r="G9580" s="5"/>
      <c r="H9580" s="5"/>
      <c r="I9580" s="5"/>
      <c r="J9580" s="5"/>
      <c r="K9580" s="5"/>
      <c r="L9580" s="5"/>
      <c r="M9580" s="5"/>
      <c r="N9580" s="5"/>
      <c r="O9580" s="5"/>
      <c r="P9580" s="5"/>
      <c r="Q9580" s="5"/>
      <c r="R9580" s="5"/>
      <c r="S9580" s="5"/>
      <c r="T9580" s="5"/>
      <c r="U9580" s="5"/>
      <c r="V9580" s="5"/>
      <c r="W9580" s="5"/>
      <c r="X9580" s="5"/>
      <c r="Y9580" s="5"/>
      <c r="Z9580" s="5"/>
    </row>
    <row r="9581" spans="1:26" ht="15" x14ac:dyDescent="0.25">
      <c r="A9581" s="4" t="s">
        <v>9579</v>
      </c>
      <c r="B9581" s="4" t="s">
        <v>9011</v>
      </c>
      <c r="C9581" s="2" t="str">
        <f ca="1">IFERROR(__xludf.DUMMYFUNCTION("GOOGLETRANSLATE(A9581,""bn"",""en"")"),"They will make a big show next year with better quality medical care")</f>
        <v>They will make a big show next year with better quality medical care</v>
      </c>
      <c r="D9581" s="5"/>
      <c r="E9581" s="5"/>
      <c r="F9581" s="5"/>
      <c r="G9581" s="5"/>
      <c r="H9581" s="5"/>
      <c r="I9581" s="5"/>
      <c r="J9581" s="5"/>
      <c r="K9581" s="5"/>
      <c r="L9581" s="5"/>
      <c r="M9581" s="5"/>
      <c r="N9581" s="5"/>
      <c r="O9581" s="5"/>
      <c r="P9581" s="5"/>
      <c r="Q9581" s="5"/>
      <c r="R9581" s="5"/>
      <c r="S9581" s="5"/>
      <c r="T9581" s="5"/>
      <c r="U9581" s="5"/>
      <c r="V9581" s="5"/>
      <c r="W9581" s="5"/>
      <c r="X9581" s="5"/>
      <c r="Y9581" s="5"/>
      <c r="Z9581" s="5"/>
    </row>
    <row r="9582" spans="1:26" ht="15" x14ac:dyDescent="0.25">
      <c r="A9582" s="4" t="s">
        <v>9580</v>
      </c>
      <c r="B9582" s="4" t="s">
        <v>9011</v>
      </c>
      <c r="C9582" s="2" t="str">
        <f ca="1">IFERROR(__xludf.DUMMYFUNCTION("GOOGLETRANSLATE(A9582,""bn"",""en"")"),"A favorite celebrity makeup look that you can do for yourself will be the look of your loved one")</f>
        <v>A favorite celebrity makeup look that you can do for yourself will be the look of your loved one</v>
      </c>
      <c r="D9582" s="5"/>
      <c r="E9582" s="5"/>
      <c r="F9582" s="5"/>
      <c r="G9582" s="5"/>
      <c r="H9582" s="5"/>
      <c r="I9582" s="5"/>
      <c r="J9582" s="5"/>
      <c r="K9582" s="5"/>
      <c r="L9582" s="5"/>
      <c r="M9582" s="5"/>
      <c r="N9582" s="5"/>
      <c r="O9582" s="5"/>
      <c r="P9582" s="5"/>
      <c r="Q9582" s="5"/>
      <c r="R9582" s="5"/>
      <c r="S9582" s="5"/>
      <c r="T9582" s="5"/>
      <c r="U9582" s="5"/>
      <c r="V9582" s="5"/>
      <c r="W9582" s="5"/>
      <c r="X9582" s="5"/>
      <c r="Y9582" s="5"/>
      <c r="Z9582" s="5"/>
    </row>
    <row r="9583" spans="1:26" ht="15" x14ac:dyDescent="0.25">
      <c r="A9583" s="4" t="s">
        <v>9581</v>
      </c>
      <c r="B9583" s="4" t="s">
        <v>9011</v>
      </c>
      <c r="C9583" s="2" t="str">
        <f ca="1">IFERROR(__xludf.DUMMYFUNCTION("GOOGLETRANSLATE(A9583,""bn"",""en"")"),"The whole world will become colorful again due to the sudden meeting with an old friend after so long")</f>
        <v>The whole world will become colorful again due to the sudden meeting with an old friend after so long</v>
      </c>
      <c r="D9583" s="5"/>
      <c r="E9583" s="5"/>
      <c r="F9583" s="5"/>
      <c r="G9583" s="5"/>
      <c r="H9583" s="5"/>
      <c r="I9583" s="5"/>
      <c r="J9583" s="5"/>
      <c r="K9583" s="5"/>
      <c r="L9583" s="5"/>
      <c r="M9583" s="5"/>
      <c r="N9583" s="5"/>
      <c r="O9583" s="5"/>
      <c r="P9583" s="5"/>
      <c r="Q9583" s="5"/>
      <c r="R9583" s="5"/>
      <c r="S9583" s="5"/>
      <c r="T9583" s="5"/>
      <c r="U9583" s="5"/>
      <c r="V9583" s="5"/>
      <c r="W9583" s="5"/>
      <c r="X9583" s="5"/>
      <c r="Y9583" s="5"/>
      <c r="Z9583" s="5"/>
    </row>
    <row r="9584" spans="1:26" ht="15" x14ac:dyDescent="0.25">
      <c r="A9584" s="4" t="s">
        <v>9582</v>
      </c>
      <c r="B9584" s="4" t="s">
        <v>9011</v>
      </c>
      <c r="C9584" s="2" t="str">
        <f ca="1">IFERROR(__xludf.DUMMYFUNCTION("GOOGLETRANSLATE(A9584,""bn"",""en"")"),"We will express our feelings through dance and we will be happy when we move our feet to the rhythm of Dhamaka songs")</f>
        <v>We will express our feelings through dance and we will be happy when we move our feet to the rhythm of Dhamaka songs</v>
      </c>
      <c r="D9584" s="5"/>
      <c r="E9584" s="5"/>
      <c r="F9584" s="5"/>
      <c r="G9584" s="5"/>
      <c r="H9584" s="5"/>
      <c r="I9584" s="5"/>
      <c r="J9584" s="5"/>
      <c r="K9584" s="5"/>
      <c r="L9584" s="5"/>
      <c r="M9584" s="5"/>
      <c r="N9584" s="5"/>
      <c r="O9584" s="5"/>
      <c r="P9584" s="5"/>
      <c r="Q9584" s="5"/>
      <c r="R9584" s="5"/>
      <c r="S9584" s="5"/>
      <c r="T9584" s="5"/>
      <c r="U9584" s="5"/>
      <c r="V9584" s="5"/>
      <c r="W9584" s="5"/>
      <c r="X9584" s="5"/>
      <c r="Y9584" s="5"/>
      <c r="Z9584" s="5"/>
    </row>
    <row r="9585" spans="1:26" ht="15" x14ac:dyDescent="0.25">
      <c r="A9585" s="4" t="s">
        <v>9583</v>
      </c>
      <c r="B9585" s="4" t="s">
        <v>9011</v>
      </c>
      <c r="C9585" s="2" t="str">
        <f ca="1">IFERROR(__xludf.DUMMYFUNCTION("GOOGLETRANSLATE(A9585,""bn"",""en"")"),"On saturday i will start learning new code i hope it will help me learn a lot")</f>
        <v>On saturday i will start learning new code i hope it will help me learn a lot</v>
      </c>
      <c r="D9585" s="5"/>
      <c r="E9585" s="5"/>
      <c r="F9585" s="5"/>
      <c r="G9585" s="5"/>
      <c r="H9585" s="5"/>
      <c r="I9585" s="5"/>
      <c r="J9585" s="5"/>
      <c r="K9585" s="5"/>
      <c r="L9585" s="5"/>
      <c r="M9585" s="5"/>
      <c r="N9585" s="5"/>
      <c r="O9585" s="5"/>
      <c r="P9585" s="5"/>
      <c r="Q9585" s="5"/>
      <c r="R9585" s="5"/>
      <c r="S9585" s="5"/>
      <c r="T9585" s="5"/>
      <c r="U9585" s="5"/>
      <c r="V9585" s="5"/>
      <c r="W9585" s="5"/>
      <c r="X9585" s="5"/>
      <c r="Y9585" s="5"/>
      <c r="Z9585" s="5"/>
    </row>
    <row r="9586" spans="1:26" ht="15" x14ac:dyDescent="0.25">
      <c r="A9586" s="4" t="s">
        <v>9584</v>
      </c>
      <c r="B9586" s="4" t="s">
        <v>9011</v>
      </c>
      <c r="C9586" s="2" t="str">
        <f ca="1">IFERROR(__xludf.DUMMYFUNCTION("GOOGLETRANSLATE(A9586,""bn"",""en"")"),"Tomorrow I will join a new sports academy to improve my physical abilities")</f>
        <v>Tomorrow I will join a new sports academy to improve my physical abilities</v>
      </c>
      <c r="D9586" s="5"/>
      <c r="E9586" s="5"/>
      <c r="F9586" s="5"/>
      <c r="G9586" s="5"/>
      <c r="H9586" s="5"/>
      <c r="I9586" s="5"/>
      <c r="J9586" s="5"/>
      <c r="K9586" s="5"/>
      <c r="L9586" s="5"/>
      <c r="M9586" s="5"/>
      <c r="N9586" s="5"/>
      <c r="O9586" s="5"/>
      <c r="P9586" s="5"/>
      <c r="Q9586" s="5"/>
      <c r="R9586" s="5"/>
      <c r="S9586" s="5"/>
      <c r="T9586" s="5"/>
      <c r="U9586" s="5"/>
      <c r="V9586" s="5"/>
      <c r="W9586" s="5"/>
      <c r="X9586" s="5"/>
      <c r="Y9586" s="5"/>
      <c r="Z9586" s="5"/>
    </row>
    <row r="9587" spans="1:26" ht="15" x14ac:dyDescent="0.25">
      <c r="A9587" s="4" t="s">
        <v>9585</v>
      </c>
      <c r="B9587" s="4" t="s">
        <v>9011</v>
      </c>
      <c r="C9587" s="2" t="str">
        <f ca="1">IFERROR(__xludf.DUMMYFUNCTION("GOOGLETRANSLATE(A9587,""bn"",""en"")"),"Use whatever education you have, never try what you don't know, the results will be terrible.")</f>
        <v>Use whatever education you have, never try what you don't know, the results will be terrible.</v>
      </c>
      <c r="D9587" s="5"/>
      <c r="E9587" s="5"/>
      <c r="F9587" s="5"/>
      <c r="G9587" s="5"/>
      <c r="H9587" s="5"/>
      <c r="I9587" s="5"/>
      <c r="J9587" s="5"/>
      <c r="K9587" s="5"/>
      <c r="L9587" s="5"/>
      <c r="M9587" s="5"/>
      <c r="N9587" s="5"/>
      <c r="O9587" s="5"/>
      <c r="P9587" s="5"/>
      <c r="Q9587" s="5"/>
      <c r="R9587" s="5"/>
      <c r="S9587" s="5"/>
      <c r="T9587" s="5"/>
      <c r="U9587" s="5"/>
      <c r="V9587" s="5"/>
      <c r="W9587" s="5"/>
      <c r="X9587" s="5"/>
      <c r="Y9587" s="5"/>
      <c r="Z9587" s="5"/>
    </row>
    <row r="9588" spans="1:26" ht="15" x14ac:dyDescent="0.25">
      <c r="A9588" s="4" t="s">
        <v>9586</v>
      </c>
      <c r="B9588" s="4" t="s">
        <v>9011</v>
      </c>
      <c r="C9588" s="2" t="str">
        <f ca="1">IFERROR(__xludf.DUMMYFUNCTION("GOOGLETRANSLATE(A9588,""bn"",""en"")"),"Tomorrow you will attend a workshop on advanced graphics design")</f>
        <v>Tomorrow you will attend a workshop on advanced graphics design</v>
      </c>
      <c r="D9588" s="5"/>
      <c r="E9588" s="5"/>
      <c r="F9588" s="5"/>
      <c r="G9588" s="5"/>
      <c r="H9588" s="5"/>
      <c r="I9588" s="5"/>
      <c r="J9588" s="5"/>
      <c r="K9588" s="5"/>
      <c r="L9588" s="5"/>
      <c r="M9588" s="5"/>
      <c r="N9588" s="5"/>
      <c r="O9588" s="5"/>
      <c r="P9588" s="5"/>
      <c r="Q9588" s="5"/>
      <c r="R9588" s="5"/>
      <c r="S9588" s="5"/>
      <c r="T9588" s="5"/>
      <c r="U9588" s="5"/>
      <c r="V9588" s="5"/>
      <c r="W9588" s="5"/>
      <c r="X9588" s="5"/>
      <c r="Y9588" s="5"/>
      <c r="Z9588" s="5"/>
    </row>
    <row r="9589" spans="1:26" ht="15" x14ac:dyDescent="0.25">
      <c r="A9589" s="4" t="s">
        <v>9587</v>
      </c>
      <c r="B9589" s="4" t="s">
        <v>9011</v>
      </c>
      <c r="C9589" s="2" t="str">
        <f ca="1">IFERROR(__xludf.DUMMYFUNCTION("GOOGLETRANSLATE(A9589,""bn"",""en"")"),"In the future I will be a successful doctor where I will cure patients")</f>
        <v>In the future I will be a successful doctor where I will cure patients</v>
      </c>
      <c r="D9589" s="5"/>
      <c r="E9589" s="5"/>
      <c r="F9589" s="5"/>
      <c r="G9589" s="5"/>
      <c r="H9589" s="5"/>
      <c r="I9589" s="5"/>
      <c r="J9589" s="5"/>
      <c r="K9589" s="5"/>
      <c r="L9589" s="5"/>
      <c r="M9589" s="5"/>
      <c r="N9589" s="5"/>
      <c r="O9589" s="5"/>
      <c r="P9589" s="5"/>
      <c r="Q9589" s="5"/>
      <c r="R9589" s="5"/>
      <c r="S9589" s="5"/>
      <c r="T9589" s="5"/>
      <c r="U9589" s="5"/>
      <c r="V9589" s="5"/>
      <c r="W9589" s="5"/>
      <c r="X9589" s="5"/>
      <c r="Y9589" s="5"/>
      <c r="Z9589" s="5"/>
    </row>
    <row r="9590" spans="1:26" ht="15" x14ac:dyDescent="0.25">
      <c r="A9590" s="4" t="s">
        <v>9588</v>
      </c>
      <c r="B9590" s="4" t="s">
        <v>9011</v>
      </c>
      <c r="C9590" s="2" t="str">
        <f ca="1">IFERROR(__xludf.DUMMYFUNCTION("GOOGLETRANSLATE(A9590,""bn"",""en"")"),"You will learn new cooking next week")</f>
        <v>You will learn new cooking next week</v>
      </c>
      <c r="D9590" s="5"/>
      <c r="E9590" s="5"/>
      <c r="F9590" s="5"/>
      <c r="G9590" s="5"/>
      <c r="H9590" s="5"/>
      <c r="I9590" s="5"/>
      <c r="J9590" s="5"/>
      <c r="K9590" s="5"/>
      <c r="L9590" s="5"/>
      <c r="M9590" s="5"/>
      <c r="N9590" s="5"/>
      <c r="O9590" s="5"/>
      <c r="P9590" s="5"/>
      <c r="Q9590" s="5"/>
      <c r="R9590" s="5"/>
      <c r="S9590" s="5"/>
      <c r="T9590" s="5"/>
      <c r="U9590" s="5"/>
      <c r="V9590" s="5"/>
      <c r="W9590" s="5"/>
      <c r="X9590" s="5"/>
      <c r="Y9590" s="5"/>
      <c r="Z9590" s="5"/>
    </row>
    <row r="9591" spans="1:26" ht="15" x14ac:dyDescent="0.25">
      <c r="A9591" s="4" t="s">
        <v>9589</v>
      </c>
      <c r="B9591" s="4" t="s">
        <v>9011</v>
      </c>
      <c r="C9591" s="2" t="str">
        <f ca="1">IFERROR(__xludf.DUMMYFUNCTION("GOOGLETRANSLATE(A9591,""bn"",""en"")"),"Tomorrow we will conduct a scientific study on improving quality education")</f>
        <v>Tomorrow we will conduct a scientific study on improving quality education</v>
      </c>
      <c r="D9591" s="5"/>
      <c r="E9591" s="5"/>
      <c r="F9591" s="5"/>
      <c r="G9591" s="5"/>
      <c r="H9591" s="5"/>
      <c r="I9591" s="5"/>
      <c r="J9591" s="5"/>
      <c r="K9591" s="5"/>
      <c r="L9591" s="5"/>
      <c r="M9591" s="5"/>
      <c r="N9591" s="5"/>
      <c r="O9591" s="5"/>
      <c r="P9591" s="5"/>
      <c r="Q9591" s="5"/>
      <c r="R9591" s="5"/>
      <c r="S9591" s="5"/>
      <c r="T9591" s="5"/>
      <c r="U9591" s="5"/>
      <c r="V9591" s="5"/>
      <c r="W9591" s="5"/>
      <c r="X9591" s="5"/>
      <c r="Y9591" s="5"/>
      <c r="Z9591" s="5"/>
    </row>
    <row r="9592" spans="1:26" ht="15" x14ac:dyDescent="0.25">
      <c r="A9592" s="4" t="s">
        <v>9590</v>
      </c>
      <c r="B9592" s="4" t="s">
        <v>9011</v>
      </c>
      <c r="C9592" s="2" t="str">
        <f ca="1">IFERROR(__xludf.DUMMYFUNCTION("GOOGLETRANSLATE(A9592,""bn"",""en"")"),"In the future I will fulfill my father's dream by becoming a successful teacher")</f>
        <v>In the future I will fulfill my father's dream by becoming a successful teacher</v>
      </c>
      <c r="D9592" s="5"/>
      <c r="E9592" s="5"/>
      <c r="F9592" s="5"/>
      <c r="G9592" s="5"/>
      <c r="H9592" s="5"/>
      <c r="I9592" s="5"/>
      <c r="J9592" s="5"/>
      <c r="K9592" s="5"/>
      <c r="L9592" s="5"/>
      <c r="M9592" s="5"/>
      <c r="N9592" s="5"/>
      <c r="O9592" s="5"/>
      <c r="P9592" s="5"/>
      <c r="Q9592" s="5"/>
      <c r="R9592" s="5"/>
      <c r="S9592" s="5"/>
      <c r="T9592" s="5"/>
      <c r="U9592" s="5"/>
      <c r="V9592" s="5"/>
      <c r="W9592" s="5"/>
      <c r="X9592" s="5"/>
      <c r="Y9592" s="5"/>
      <c r="Z9592" s="5"/>
    </row>
    <row r="9593" spans="1:26" ht="15" x14ac:dyDescent="0.25">
      <c r="A9593" s="4" t="s">
        <v>9591</v>
      </c>
      <c r="B9593" s="4" t="s">
        <v>9011</v>
      </c>
      <c r="C9593" s="2" t="str">
        <f ca="1">IFERROR(__xludf.DUMMYFUNCTION("GOOGLETRANSLATE(A9593,""bn"",""en"")"),"Singing loudly while driving An hour of long road singing will relieve the fatigue of the driver and increase the fun of the journey.")</f>
        <v>Singing loudly while driving An hour of long road singing will relieve the fatigue of the driver and increase the fun of the journey.</v>
      </c>
      <c r="D9593" s="5"/>
      <c r="E9593" s="5"/>
      <c r="F9593" s="5"/>
      <c r="G9593" s="5"/>
      <c r="H9593" s="5"/>
      <c r="I9593" s="5"/>
      <c r="J9593" s="5"/>
      <c r="K9593" s="5"/>
      <c r="L9593" s="5"/>
      <c r="M9593" s="5"/>
      <c r="N9593" s="5"/>
      <c r="O9593" s="5"/>
      <c r="P9593" s="5"/>
      <c r="Q9593" s="5"/>
      <c r="R9593" s="5"/>
      <c r="S9593" s="5"/>
      <c r="T9593" s="5"/>
      <c r="U9593" s="5"/>
      <c r="V9593" s="5"/>
      <c r="W9593" s="5"/>
      <c r="X9593" s="5"/>
      <c r="Y9593" s="5"/>
      <c r="Z9593" s="5"/>
    </row>
    <row r="9594" spans="1:26" ht="15" x14ac:dyDescent="0.25">
      <c r="A9594" s="4" t="s">
        <v>9592</v>
      </c>
      <c r="B9594" s="4" t="s">
        <v>9011</v>
      </c>
      <c r="C9594" s="2" t="str">
        <f ca="1">IFERROR(__xludf.DUMMYFUNCTION("GOOGLETRANSLATE(A9594,""bn"",""en"")"),"Animals will develop a kinship with us, spending time with them will be a precious part of life and we will always be enlightened by their love.")</f>
        <v>Animals will develop a kinship with us, spending time with them will be a precious part of life and we will always be enlightened by their love.</v>
      </c>
      <c r="D9594" s="5"/>
      <c r="E9594" s="5"/>
      <c r="F9594" s="5"/>
      <c r="G9594" s="5"/>
      <c r="H9594" s="5"/>
      <c r="I9594" s="5"/>
      <c r="J9594" s="5"/>
      <c r="K9594" s="5"/>
      <c r="L9594" s="5"/>
      <c r="M9594" s="5"/>
      <c r="N9594" s="5"/>
      <c r="O9594" s="5"/>
      <c r="P9594" s="5"/>
      <c r="Q9594" s="5"/>
      <c r="R9594" s="5"/>
      <c r="S9594" s="5"/>
      <c r="T9594" s="5"/>
      <c r="U9594" s="5"/>
      <c r="V9594" s="5"/>
      <c r="W9594" s="5"/>
      <c r="X9594" s="5"/>
      <c r="Y9594" s="5"/>
      <c r="Z9594" s="5"/>
    </row>
    <row r="9595" spans="1:26" ht="15" x14ac:dyDescent="0.25">
      <c r="A9595" s="4" t="s">
        <v>9593</v>
      </c>
      <c r="B9595" s="4" t="s">
        <v>9011</v>
      </c>
      <c r="C9595" s="2" t="str">
        <f ca="1">IFERROR(__xludf.DUMMYFUNCTION("GOOGLETRANSLATE(A9595,""bn"",""en"")"),"There are many fears that Donald Trump will not start a new war")</f>
        <v>There are many fears that Donald Trump will not start a new war</v>
      </c>
      <c r="D9595" s="5"/>
      <c r="E9595" s="5"/>
      <c r="F9595" s="5"/>
      <c r="G9595" s="5"/>
      <c r="H9595" s="5"/>
      <c r="I9595" s="5"/>
      <c r="J9595" s="5"/>
      <c r="K9595" s="5"/>
      <c r="L9595" s="5"/>
      <c r="M9595" s="5"/>
      <c r="N9595" s="5"/>
      <c r="O9595" s="5"/>
      <c r="P9595" s="5"/>
      <c r="Q9595" s="5"/>
      <c r="R9595" s="5"/>
      <c r="S9595" s="5"/>
      <c r="T9595" s="5"/>
      <c r="U9595" s="5"/>
      <c r="V9595" s="5"/>
      <c r="W9595" s="5"/>
      <c r="X9595" s="5"/>
      <c r="Y9595" s="5"/>
      <c r="Z9595" s="5"/>
    </row>
    <row r="9596" spans="1:26" ht="15" x14ac:dyDescent="0.25">
      <c r="A9596" s="4" t="s">
        <v>9594</v>
      </c>
      <c r="B9596" s="4" t="s">
        <v>9011</v>
      </c>
      <c r="C9596" s="2" t="str">
        <f ca="1">IFERROR(__xludf.DUMMYFUNCTION("GOOGLETRANSLATE(A9596,""bn"",""en"")"),"After hearing the news of Shubo's promotion, the entire neighborhood will be in a frenzy")</f>
        <v>After hearing the news of Shubo's promotion, the entire neighborhood will be in a frenzy</v>
      </c>
      <c r="D9596" s="5"/>
      <c r="E9596" s="5"/>
      <c r="F9596" s="5"/>
      <c r="G9596" s="5"/>
      <c r="H9596" s="5"/>
      <c r="I9596" s="5"/>
      <c r="J9596" s="5"/>
      <c r="K9596" s="5"/>
      <c r="L9596" s="5"/>
      <c r="M9596" s="5"/>
      <c r="N9596" s="5"/>
      <c r="O9596" s="5"/>
      <c r="P9596" s="5"/>
      <c r="Q9596" s="5"/>
      <c r="R9596" s="5"/>
      <c r="S9596" s="5"/>
      <c r="T9596" s="5"/>
      <c r="U9596" s="5"/>
      <c r="V9596" s="5"/>
      <c r="W9596" s="5"/>
      <c r="X9596" s="5"/>
      <c r="Y9596" s="5"/>
      <c r="Z9596" s="5"/>
    </row>
    <row r="9597" spans="1:26" ht="15" x14ac:dyDescent="0.25">
      <c r="A9597" s="4" t="s">
        <v>9595</v>
      </c>
      <c r="B9597" s="4" t="s">
        <v>9011</v>
      </c>
      <c r="C9597" s="2" t="str">
        <f ca="1">IFERROR(__xludf.DUMMYFUNCTION("GOOGLETRANSLATE(A9597,""bn"",""en"")"),"Education will solve many of the problems that people face in life")</f>
        <v>Education will solve many of the problems that people face in life</v>
      </c>
      <c r="D9597" s="5"/>
      <c r="E9597" s="5"/>
      <c r="F9597" s="5"/>
      <c r="G9597" s="5"/>
      <c r="H9597" s="5"/>
      <c r="I9597" s="5"/>
      <c r="J9597" s="5"/>
      <c r="K9597" s="5"/>
      <c r="L9597" s="5"/>
      <c r="M9597" s="5"/>
      <c r="N9597" s="5"/>
      <c r="O9597" s="5"/>
      <c r="P9597" s="5"/>
      <c r="Q9597" s="5"/>
      <c r="R9597" s="5"/>
      <c r="S9597" s="5"/>
      <c r="T9597" s="5"/>
      <c r="U9597" s="5"/>
      <c r="V9597" s="5"/>
      <c r="W9597" s="5"/>
      <c r="X9597" s="5"/>
      <c r="Y9597" s="5"/>
      <c r="Z9597" s="5"/>
    </row>
    <row r="9598" spans="1:26" ht="15" x14ac:dyDescent="0.25">
      <c r="A9598" s="4" t="s">
        <v>9596</v>
      </c>
      <c r="B9598" s="4" t="s">
        <v>9011</v>
      </c>
      <c r="C9598" s="2" t="str">
        <f ca="1">IFERROR(__xludf.DUMMYFUNCTION("GOOGLETRANSLATE(A9598,""bn"",""en"")"),"While giving a gift to a friend, you have to suppress your desire to buy, but seeing his happy face will make it all go away")</f>
        <v>While giving a gift to a friend, you have to suppress your desire to buy, but seeing his happy face will make it all go away</v>
      </c>
      <c r="D9598" s="5"/>
      <c r="E9598" s="5"/>
      <c r="F9598" s="5"/>
      <c r="G9598" s="5"/>
      <c r="H9598" s="5"/>
      <c r="I9598" s="5"/>
      <c r="J9598" s="5"/>
      <c r="K9598" s="5"/>
      <c r="L9598" s="5"/>
      <c r="M9598" s="5"/>
      <c r="N9598" s="5"/>
      <c r="O9598" s="5"/>
      <c r="P9598" s="5"/>
      <c r="Q9598" s="5"/>
      <c r="R9598" s="5"/>
      <c r="S9598" s="5"/>
      <c r="T9598" s="5"/>
      <c r="U9598" s="5"/>
      <c r="V9598" s="5"/>
      <c r="W9598" s="5"/>
      <c r="X9598" s="5"/>
      <c r="Y9598" s="5"/>
      <c r="Z9598" s="5"/>
    </row>
    <row r="9599" spans="1:26" ht="15" x14ac:dyDescent="0.25">
      <c r="A9599" s="4" t="s">
        <v>9597</v>
      </c>
      <c r="B9599" s="4" t="s">
        <v>9011</v>
      </c>
      <c r="C9599" s="2" t="str">
        <f ca="1">IFERROR(__xludf.DUMMYFUNCTION("GOOGLETRANSLATE(A9599,""bn"",""en"")"),"Watching Korean dramas together, discussing stories, laughing and having fun will strengthen the bonds of friendship")</f>
        <v>Watching Korean dramas together, discussing stories, laughing and having fun will strengthen the bonds of friendship</v>
      </c>
      <c r="D9599" s="5"/>
      <c r="E9599" s="5"/>
      <c r="F9599" s="5"/>
      <c r="G9599" s="5"/>
      <c r="H9599" s="5"/>
      <c r="I9599" s="5"/>
      <c r="J9599" s="5"/>
      <c r="K9599" s="5"/>
      <c r="L9599" s="5"/>
      <c r="M9599" s="5"/>
      <c r="N9599" s="5"/>
      <c r="O9599" s="5"/>
      <c r="P9599" s="5"/>
      <c r="Q9599" s="5"/>
      <c r="R9599" s="5"/>
      <c r="S9599" s="5"/>
      <c r="T9599" s="5"/>
      <c r="U9599" s="5"/>
      <c r="V9599" s="5"/>
      <c r="W9599" s="5"/>
      <c r="X9599" s="5"/>
      <c r="Y9599" s="5"/>
      <c r="Z9599" s="5"/>
    </row>
    <row r="9600" spans="1:26" ht="15" x14ac:dyDescent="0.25">
      <c r="A9600" s="4" t="s">
        <v>9598</v>
      </c>
      <c r="B9600" s="4" t="s">
        <v>9011</v>
      </c>
      <c r="C9600" s="2" t="str">
        <f ca="1">IFERROR(__xludf.DUMMYFUNCTION("GOOGLETRANSLATE(A9600,""bn"",""en"")"),"I will understand that the taste will be more delicious as the family grows by eating the food from Boudi's hands")</f>
        <v>I will understand that the taste will be more delicious as the family grows by eating the food from Boudi's hands</v>
      </c>
      <c r="D9600" s="5"/>
      <c r="E9600" s="5"/>
      <c r="F9600" s="5"/>
      <c r="G9600" s="5"/>
      <c r="H9600" s="5"/>
      <c r="I9600" s="5"/>
      <c r="J9600" s="5"/>
      <c r="K9600" s="5"/>
      <c r="L9600" s="5"/>
      <c r="M9600" s="5"/>
      <c r="N9600" s="5"/>
      <c r="O9600" s="5"/>
      <c r="P9600" s="5"/>
      <c r="Q9600" s="5"/>
      <c r="R9600" s="5"/>
      <c r="S9600" s="5"/>
      <c r="T9600" s="5"/>
      <c r="U9600" s="5"/>
      <c r="V9600" s="5"/>
      <c r="W9600" s="5"/>
      <c r="X9600" s="5"/>
      <c r="Y9600" s="5"/>
      <c r="Z9600" s="5"/>
    </row>
    <row r="9601" spans="1:26" ht="15" x14ac:dyDescent="0.25">
      <c r="A9601" s="4" t="s">
        <v>9599</v>
      </c>
      <c r="B9601" s="4" t="s">
        <v>9011</v>
      </c>
      <c r="C9601" s="2" t="str">
        <f ca="1">IFERROR(__xludf.DUMMYFUNCTION("GOOGLETRANSLATE(A9601,""bn"",""en"")"),"Fashion contests will be a way of encouragement and happiness that will help people to showcase themselves and feel joy")</f>
        <v>Fashion contests will be a way of encouragement and happiness that will help people to showcase themselves and feel joy</v>
      </c>
      <c r="D9601" s="5"/>
      <c r="E9601" s="5"/>
      <c r="F9601" s="5"/>
      <c r="G9601" s="5"/>
      <c r="H9601" s="5"/>
      <c r="I9601" s="5"/>
      <c r="J9601" s="5"/>
      <c r="K9601" s="5"/>
      <c r="L9601" s="5"/>
      <c r="M9601" s="5"/>
      <c r="N9601" s="5"/>
      <c r="O9601" s="5"/>
      <c r="P9601" s="5"/>
      <c r="Q9601" s="5"/>
      <c r="R9601" s="5"/>
      <c r="S9601" s="5"/>
      <c r="T9601" s="5"/>
      <c r="U9601" s="5"/>
      <c r="V9601" s="5"/>
      <c r="W9601" s="5"/>
      <c r="X9601" s="5"/>
      <c r="Y9601" s="5"/>
      <c r="Z9601" s="5"/>
    </row>
    <row r="9602" spans="1:26" ht="15" x14ac:dyDescent="0.25">
      <c r="A9602" s="4" t="s">
        <v>9600</v>
      </c>
      <c r="B9602" s="4" t="s">
        <v>9011</v>
      </c>
      <c r="C9602" s="2" t="str">
        <f ca="1">IFERROR(__xludf.DUMMYFUNCTION("GOOGLETRANSLATE(A9602,""bn"",""en"")"),"At the end of all studies, I will have the intention of working, I will have my own business, in sha Allah.")</f>
        <v>At the end of all studies, I will have the intention of working, I will have my own business, in sha Allah.</v>
      </c>
      <c r="D9602" s="5"/>
      <c r="E9602" s="5"/>
      <c r="F9602" s="5"/>
      <c r="G9602" s="5"/>
      <c r="H9602" s="5"/>
      <c r="I9602" s="5"/>
      <c r="J9602" s="5"/>
      <c r="K9602" s="5"/>
      <c r="L9602" s="5"/>
      <c r="M9602" s="5"/>
      <c r="N9602" s="5"/>
      <c r="O9602" s="5"/>
      <c r="P9602" s="5"/>
      <c r="Q9602" s="5"/>
      <c r="R9602" s="5"/>
      <c r="S9602" s="5"/>
      <c r="T9602" s="5"/>
      <c r="U9602" s="5"/>
      <c r="V9602" s="5"/>
      <c r="W9602" s="5"/>
      <c r="X9602" s="5"/>
      <c r="Y9602" s="5"/>
      <c r="Z9602" s="5"/>
    </row>
    <row r="9603" spans="1:26" ht="15" x14ac:dyDescent="0.25">
      <c r="A9603" s="4" t="s">
        <v>9601</v>
      </c>
      <c r="B9603" s="4" t="s">
        <v>9011</v>
      </c>
      <c r="C9603" s="2" t="str">
        <f ca="1">IFERROR(__xludf.DUMMYFUNCTION("GOOGLETRANSLATE(A9603,""bn"",""en"")"),"The use of US clients will be different for each person.")</f>
        <v>The use of US clients will be different for each person.</v>
      </c>
      <c r="D9603" s="5"/>
      <c r="E9603" s="5"/>
      <c r="F9603" s="5"/>
      <c r="G9603" s="5"/>
      <c r="H9603" s="5"/>
      <c r="I9603" s="5"/>
      <c r="J9603" s="5"/>
      <c r="K9603" s="5"/>
      <c r="L9603" s="5"/>
      <c r="M9603" s="5"/>
      <c r="N9603" s="5"/>
      <c r="O9603" s="5"/>
      <c r="P9603" s="5"/>
      <c r="Q9603" s="5"/>
      <c r="R9603" s="5"/>
      <c r="S9603" s="5"/>
      <c r="T9603" s="5"/>
      <c r="U9603" s="5"/>
      <c r="V9603" s="5"/>
      <c r="W9603" s="5"/>
      <c r="X9603" s="5"/>
      <c r="Y9603" s="5"/>
      <c r="Z9603" s="5"/>
    </row>
    <row r="9604" spans="1:26" ht="15" x14ac:dyDescent="0.25">
      <c r="A9604" s="4" t="s">
        <v>9602</v>
      </c>
      <c r="B9604" s="4" t="s">
        <v>9011</v>
      </c>
      <c r="C9604" s="2" t="str">
        <f ca="1">IFERROR(__xludf.DUMMYFUNCTION("GOOGLETRANSLATE(A9604,""bn"",""en"")"),"They will start a project on improved power transmission system next year")</f>
        <v>They will start a project on improved power transmission system next year</v>
      </c>
      <c r="D9604" s="5"/>
      <c r="E9604" s="5"/>
      <c r="F9604" s="5"/>
      <c r="G9604" s="5"/>
      <c r="H9604" s="5"/>
      <c r="I9604" s="5"/>
      <c r="J9604" s="5"/>
      <c r="K9604" s="5"/>
      <c r="L9604" s="5"/>
      <c r="M9604" s="5"/>
      <c r="N9604" s="5"/>
      <c r="O9604" s="5"/>
      <c r="P9604" s="5"/>
      <c r="Q9604" s="5"/>
      <c r="R9604" s="5"/>
      <c r="S9604" s="5"/>
      <c r="T9604" s="5"/>
      <c r="U9604" s="5"/>
      <c r="V9604" s="5"/>
      <c r="W9604" s="5"/>
      <c r="X9604" s="5"/>
      <c r="Y9604" s="5"/>
      <c r="Z9604" s="5"/>
    </row>
    <row r="9605" spans="1:26" ht="15" x14ac:dyDescent="0.25">
      <c r="A9605" s="4" t="s">
        <v>9603</v>
      </c>
      <c r="B9605" s="4" t="s">
        <v>9011</v>
      </c>
      <c r="C9605" s="2" t="str">
        <f ca="1">IFERROR(__xludf.DUMMYFUNCTION("GOOGLETRANSLATE(A9605,""bn"",""en"")"),"A person's mind will be rich in the joy of dancing, all sorrows will disappear in the dance")</f>
        <v>A person's mind will be rich in the joy of dancing, all sorrows will disappear in the dance</v>
      </c>
      <c r="D9605" s="5"/>
      <c r="E9605" s="5"/>
      <c r="F9605" s="5"/>
      <c r="G9605" s="5"/>
      <c r="H9605" s="5"/>
      <c r="I9605" s="5"/>
      <c r="J9605" s="5"/>
      <c r="K9605" s="5"/>
      <c r="L9605" s="5"/>
      <c r="M9605" s="5"/>
      <c r="N9605" s="5"/>
      <c r="O9605" s="5"/>
      <c r="P9605" s="5"/>
      <c r="Q9605" s="5"/>
      <c r="R9605" s="5"/>
      <c r="S9605" s="5"/>
      <c r="T9605" s="5"/>
      <c r="U9605" s="5"/>
      <c r="V9605" s="5"/>
      <c r="W9605" s="5"/>
      <c r="X9605" s="5"/>
      <c r="Y9605" s="5"/>
      <c r="Z9605" s="5"/>
    </row>
    <row r="9606" spans="1:26" ht="15" x14ac:dyDescent="0.25">
      <c r="A9606" s="4" t="s">
        <v>9604</v>
      </c>
      <c r="B9606" s="4" t="s">
        <v>9011</v>
      </c>
      <c r="C9606" s="2" t="str">
        <f ca="1">IFERROR(__xludf.DUMMYFUNCTION("GOOGLETRANSLATE(A9606,""bn"",""en"")"),"Those are the lucky ones who got the love of Nana Nani at a young age and the prayers of Nana Nani will always be with them")</f>
        <v>Those are the lucky ones who got the love of Nana Nani at a young age and the prayers of Nana Nani will always be with them</v>
      </c>
      <c r="D9606" s="5"/>
      <c r="E9606" s="5"/>
      <c r="F9606" s="5"/>
      <c r="G9606" s="5"/>
      <c r="H9606" s="5"/>
      <c r="I9606" s="5"/>
      <c r="J9606" s="5"/>
      <c r="K9606" s="5"/>
      <c r="L9606" s="5"/>
      <c r="M9606" s="5"/>
      <c r="N9606" s="5"/>
      <c r="O9606" s="5"/>
      <c r="P9606" s="5"/>
      <c r="Q9606" s="5"/>
      <c r="R9606" s="5"/>
      <c r="S9606" s="5"/>
      <c r="T9606" s="5"/>
      <c r="U9606" s="5"/>
      <c r="V9606" s="5"/>
      <c r="W9606" s="5"/>
      <c r="X9606" s="5"/>
      <c r="Y9606" s="5"/>
      <c r="Z9606" s="5"/>
    </row>
    <row r="9607" spans="1:26" ht="15" x14ac:dyDescent="0.25">
      <c r="A9607" s="4" t="s">
        <v>9605</v>
      </c>
      <c r="B9607" s="4" t="s">
        <v>9011</v>
      </c>
      <c r="C9607" s="2" t="str">
        <f ca="1">IFERROR(__xludf.DUMMYFUNCTION("GOOGLETRANSLATE(A9607,""bn"",""en"")"),"After watching the movie, coming out and seeing the rain, you will remember the romantic song of the movie")</f>
        <v>After watching the movie, coming out and seeing the rain, you will remember the romantic song of the movie</v>
      </c>
      <c r="D9607" s="5"/>
      <c r="E9607" s="5"/>
      <c r="F9607" s="5"/>
      <c r="G9607" s="5"/>
      <c r="H9607" s="5"/>
      <c r="I9607" s="5"/>
      <c r="J9607" s="5"/>
      <c r="K9607" s="5"/>
      <c r="L9607" s="5"/>
      <c r="M9607" s="5"/>
      <c r="N9607" s="5"/>
      <c r="O9607" s="5"/>
      <c r="P9607" s="5"/>
      <c r="Q9607" s="5"/>
      <c r="R9607" s="5"/>
      <c r="S9607" s="5"/>
      <c r="T9607" s="5"/>
      <c r="U9607" s="5"/>
      <c r="V9607" s="5"/>
      <c r="W9607" s="5"/>
      <c r="X9607" s="5"/>
      <c r="Y9607" s="5"/>
      <c r="Z9607" s="5"/>
    </row>
    <row r="9608" spans="1:26" ht="15" x14ac:dyDescent="0.25">
      <c r="A9608" s="4" t="s">
        <v>9606</v>
      </c>
      <c r="B9608" s="4" t="s">
        <v>9011</v>
      </c>
      <c r="C9608" s="2" t="str">
        <f ca="1">IFERROR(__xludf.DUMMYFUNCTION("GOOGLETRANSLATE(A9608,""bn"",""en"")"),"My result will be the result of my hard work")</f>
        <v>My result will be the result of my hard work</v>
      </c>
      <c r="D9608" s="5"/>
      <c r="E9608" s="5"/>
      <c r="F9608" s="5"/>
      <c r="G9608" s="5"/>
      <c r="H9608" s="5"/>
      <c r="I9608" s="5"/>
      <c r="J9608" s="5"/>
      <c r="K9608" s="5"/>
      <c r="L9608" s="5"/>
      <c r="M9608" s="5"/>
      <c r="N9608" s="5"/>
      <c r="O9608" s="5"/>
      <c r="P9608" s="5"/>
      <c r="Q9608" s="5"/>
      <c r="R9608" s="5"/>
      <c r="S9608" s="5"/>
      <c r="T9608" s="5"/>
      <c r="U9608" s="5"/>
      <c r="V9608" s="5"/>
      <c r="W9608" s="5"/>
      <c r="X9608" s="5"/>
      <c r="Y9608" s="5"/>
      <c r="Z9608" s="5"/>
    </row>
    <row r="9609" spans="1:26" ht="15" x14ac:dyDescent="0.25">
      <c r="A9609" s="4" t="s">
        <v>9607</v>
      </c>
      <c r="B9609" s="4" t="s">
        <v>9011</v>
      </c>
      <c r="C9609" s="2" t="str">
        <f ca="1">IFERROR(__xludf.DUMMYFUNCTION("GOOGLETRANSLATE(A9609,""bn"",""en"")"),"Suddenly you will remember the trip to Bandarban last year, this natural beauty will not compare")</f>
        <v>Suddenly you will remember the trip to Bandarban last year, this natural beauty will not compare</v>
      </c>
      <c r="D9609" s="5"/>
      <c r="E9609" s="5"/>
      <c r="F9609" s="5"/>
      <c r="G9609" s="5"/>
      <c r="H9609" s="5"/>
      <c r="I9609" s="5"/>
      <c r="J9609" s="5"/>
      <c r="K9609" s="5"/>
      <c r="L9609" s="5"/>
      <c r="M9609" s="5"/>
      <c r="N9609" s="5"/>
      <c r="O9609" s="5"/>
      <c r="P9609" s="5"/>
      <c r="Q9609" s="5"/>
      <c r="R9609" s="5"/>
      <c r="S9609" s="5"/>
      <c r="T9609" s="5"/>
      <c r="U9609" s="5"/>
      <c r="V9609" s="5"/>
      <c r="W9609" s="5"/>
      <c r="X9609" s="5"/>
      <c r="Y9609" s="5"/>
      <c r="Z9609" s="5"/>
    </row>
    <row r="9610" spans="1:26" ht="15" x14ac:dyDescent="0.25">
      <c r="A9610" s="4" t="s">
        <v>9608</v>
      </c>
      <c r="B9610" s="4" t="s">
        <v>9011</v>
      </c>
      <c r="C9610" s="2" t="str">
        <f ca="1">IFERROR(__xludf.DUMMYFUNCTION("GOOGLETRANSLATE(A9610,""bn"",""en"")"),"My child will grow up to be a successful person and fulfill his goals in life")</f>
        <v>My child will grow up to be a successful person and fulfill his goals in life</v>
      </c>
      <c r="D9610" s="5"/>
      <c r="E9610" s="5"/>
      <c r="F9610" s="5"/>
      <c r="G9610" s="5"/>
      <c r="H9610" s="5"/>
      <c r="I9610" s="5"/>
      <c r="J9610" s="5"/>
      <c r="K9610" s="5"/>
      <c r="L9610" s="5"/>
      <c r="M9610" s="5"/>
      <c r="N9610" s="5"/>
      <c r="O9610" s="5"/>
      <c r="P9610" s="5"/>
      <c r="Q9610" s="5"/>
      <c r="R9610" s="5"/>
      <c r="S9610" s="5"/>
      <c r="T9610" s="5"/>
      <c r="U9610" s="5"/>
      <c r="V9610" s="5"/>
      <c r="W9610" s="5"/>
      <c r="X9610" s="5"/>
      <c r="Y9610" s="5"/>
      <c r="Z9610" s="5"/>
    </row>
    <row r="9611" spans="1:26" ht="15" x14ac:dyDescent="0.25">
      <c r="A9611" s="4" t="s">
        <v>9609</v>
      </c>
      <c r="B9611" s="4" t="s">
        <v>9011</v>
      </c>
      <c r="C9611" s="2" t="str">
        <f ca="1">IFERROR(__xludf.DUMMYFUNCTION("GOOGLETRANSLATE(A9611,""bn"",""en"")"),"They are going to a new movie premiere tomorrow")</f>
        <v>They are going to a new movie premiere tomorrow</v>
      </c>
      <c r="D9611" s="5"/>
      <c r="E9611" s="5"/>
      <c r="F9611" s="5"/>
      <c r="G9611" s="5"/>
      <c r="H9611" s="5"/>
      <c r="I9611" s="5"/>
      <c r="J9611" s="5"/>
      <c r="K9611" s="5"/>
      <c r="L9611" s="5"/>
      <c r="M9611" s="5"/>
      <c r="N9611" s="5"/>
      <c r="O9611" s="5"/>
      <c r="P9611" s="5"/>
      <c r="Q9611" s="5"/>
      <c r="R9611" s="5"/>
      <c r="S9611" s="5"/>
      <c r="T9611" s="5"/>
      <c r="U9611" s="5"/>
      <c r="V9611" s="5"/>
      <c r="W9611" s="5"/>
      <c r="X9611" s="5"/>
      <c r="Y9611" s="5"/>
      <c r="Z9611" s="5"/>
    </row>
    <row r="9612" spans="1:26" ht="15" x14ac:dyDescent="0.25">
      <c r="A9612" s="4" t="s">
        <v>9610</v>
      </c>
      <c r="B9612" s="4" t="s">
        <v>9011</v>
      </c>
      <c r="C9612" s="2" t="str">
        <f ca="1">IFERROR(__xludf.DUMMYFUNCTION("GOOGLETRANSLATE(A9612,""bn"",""en"")"),"You will get a new pet tomorrow")</f>
        <v>You will get a new pet tomorrow</v>
      </c>
      <c r="D9612" s="5"/>
      <c r="E9612" s="5"/>
      <c r="F9612" s="5"/>
      <c r="G9612" s="5"/>
      <c r="H9612" s="5"/>
      <c r="I9612" s="5"/>
      <c r="J9612" s="5"/>
      <c r="K9612" s="5"/>
      <c r="L9612" s="5"/>
      <c r="M9612" s="5"/>
      <c r="N9612" s="5"/>
      <c r="O9612" s="5"/>
      <c r="P9612" s="5"/>
      <c r="Q9612" s="5"/>
      <c r="R9612" s="5"/>
      <c r="S9612" s="5"/>
      <c r="T9612" s="5"/>
      <c r="U9612" s="5"/>
      <c r="V9612" s="5"/>
      <c r="W9612" s="5"/>
      <c r="X9612" s="5"/>
      <c r="Y9612" s="5"/>
      <c r="Z9612" s="5"/>
    </row>
    <row r="9613" spans="1:26" ht="15" x14ac:dyDescent="0.25">
      <c r="A9613" s="4" t="s">
        <v>9611</v>
      </c>
      <c r="B9613" s="4" t="s">
        <v>9011</v>
      </c>
      <c r="C9613" s="2" t="str">
        <f ca="1">IFERROR(__xludf.DUMMYFUNCTION("GOOGLETRANSLATE(A9613,""bn"",""en"")"),"You can meet Biswas with me tomorrow")</f>
        <v>You can meet Biswas with me tomorrow</v>
      </c>
      <c r="D9613" s="5"/>
      <c r="E9613" s="5"/>
      <c r="F9613" s="5"/>
      <c r="G9613" s="5"/>
      <c r="H9613" s="5"/>
      <c r="I9613" s="5"/>
      <c r="J9613" s="5"/>
      <c r="K9613" s="5"/>
      <c r="L9613" s="5"/>
      <c r="M9613" s="5"/>
      <c r="N9613" s="5"/>
      <c r="O9613" s="5"/>
      <c r="P9613" s="5"/>
      <c r="Q9613" s="5"/>
      <c r="R9613" s="5"/>
      <c r="S9613" s="5"/>
      <c r="T9613" s="5"/>
      <c r="U9613" s="5"/>
      <c r="V9613" s="5"/>
      <c r="W9613" s="5"/>
      <c r="X9613" s="5"/>
      <c r="Y9613" s="5"/>
      <c r="Z9613" s="5"/>
    </row>
    <row r="9614" spans="1:26" ht="15" x14ac:dyDescent="0.25">
      <c r="A9614" s="4" t="s">
        <v>9612</v>
      </c>
      <c r="B9614" s="4" t="s">
        <v>9011</v>
      </c>
      <c r="C9614" s="2" t="str">
        <f ca="1">IFERROR(__xludf.DUMMYFUNCTION("GOOGLETRANSLATE(A9614,""bn"",""en"")"),"He is going to play golf tomorrow at the golf course")</f>
        <v>He is going to play golf tomorrow at the golf course</v>
      </c>
      <c r="D9614" s="5"/>
      <c r="E9614" s="5"/>
      <c r="F9614" s="5"/>
      <c r="G9614" s="5"/>
      <c r="H9614" s="5"/>
      <c r="I9614" s="5"/>
      <c r="J9614" s="5"/>
      <c r="K9614" s="5"/>
      <c r="L9614" s="5"/>
      <c r="M9614" s="5"/>
      <c r="N9614" s="5"/>
      <c r="O9614" s="5"/>
      <c r="P9614" s="5"/>
      <c r="Q9614" s="5"/>
      <c r="R9614" s="5"/>
      <c r="S9614" s="5"/>
      <c r="T9614" s="5"/>
      <c r="U9614" s="5"/>
      <c r="V9614" s="5"/>
      <c r="W9614" s="5"/>
      <c r="X9614" s="5"/>
      <c r="Y9614" s="5"/>
      <c r="Z9614" s="5"/>
    </row>
    <row r="9615" spans="1:26" ht="15" x14ac:dyDescent="0.25">
      <c r="A9615" s="4" t="s">
        <v>9613</v>
      </c>
      <c r="B9615" s="4" t="s">
        <v>9011</v>
      </c>
      <c r="C9615" s="2" t="str">
        <f ca="1">IFERROR(__xludf.DUMMYFUNCTION("GOOGLETRANSLATE(A9615,""bn"",""en"")"),"The movie theater will be a fun experience with friends")</f>
        <v>The movie theater will be a fun experience with friends</v>
      </c>
      <c r="D9615" s="5"/>
      <c r="E9615" s="5"/>
      <c r="F9615" s="5"/>
      <c r="G9615" s="5"/>
      <c r="H9615" s="5"/>
      <c r="I9615" s="5"/>
      <c r="J9615" s="5"/>
      <c r="K9615" s="5"/>
      <c r="L9615" s="5"/>
      <c r="M9615" s="5"/>
      <c r="N9615" s="5"/>
      <c r="O9615" s="5"/>
      <c r="P9615" s="5"/>
      <c r="Q9615" s="5"/>
      <c r="R9615" s="5"/>
      <c r="S9615" s="5"/>
      <c r="T9615" s="5"/>
      <c r="U9615" s="5"/>
      <c r="V9615" s="5"/>
      <c r="W9615" s="5"/>
      <c r="X9615" s="5"/>
      <c r="Y9615" s="5"/>
      <c r="Z9615" s="5"/>
    </row>
    <row r="9616" spans="1:26" ht="15" x14ac:dyDescent="0.25">
      <c r="A9616" s="4" t="s">
        <v>9614</v>
      </c>
      <c r="B9616" s="4" t="s">
        <v>9011</v>
      </c>
      <c r="C9616" s="2" t="str">
        <f ca="1">IFERROR(__xludf.DUMMYFUNCTION("GOOGLETRANSLATE(A9616,""bn"",""en"")"),"Code will be my creative medium through which I will turn my ideas into reality")</f>
        <v>Code will be my creative medium through which I will turn my ideas into reality</v>
      </c>
      <c r="D9616" s="5"/>
      <c r="E9616" s="5"/>
      <c r="F9616" s="5"/>
      <c r="G9616" s="5"/>
      <c r="H9616" s="5"/>
      <c r="I9616" s="5"/>
      <c r="J9616" s="5"/>
      <c r="K9616" s="5"/>
      <c r="L9616" s="5"/>
      <c r="M9616" s="5"/>
      <c r="N9616" s="5"/>
      <c r="O9616" s="5"/>
      <c r="P9616" s="5"/>
      <c r="Q9616" s="5"/>
      <c r="R9616" s="5"/>
      <c r="S9616" s="5"/>
      <c r="T9616" s="5"/>
      <c r="U9616" s="5"/>
      <c r="V9616" s="5"/>
      <c r="W9616" s="5"/>
      <c r="X9616" s="5"/>
      <c r="Y9616" s="5"/>
      <c r="Z9616" s="5"/>
    </row>
    <row r="9617" spans="1:26" ht="15" x14ac:dyDescent="0.25">
      <c r="A9617" s="4" t="s">
        <v>9615</v>
      </c>
      <c r="B9617" s="4" t="s">
        <v>9011</v>
      </c>
      <c r="C9617" s="2" t="str">
        <f ca="1">IFERROR(__xludf.DUMMYFUNCTION("GOOGLETRANSLATE(A9617,""bn"",""en"")"),"Animal companions will be an essential part of our daily life to bring peace and happiness to the home and the time spent with them will bring us peace of mind.")</f>
        <v>Animal companions will be an essential part of our daily life to bring peace and happiness to the home and the time spent with them will bring us peace of mind.</v>
      </c>
      <c r="D9617" s="5"/>
      <c r="E9617" s="5"/>
      <c r="F9617" s="5"/>
      <c r="G9617" s="5"/>
      <c r="H9617" s="5"/>
      <c r="I9617" s="5"/>
      <c r="J9617" s="5"/>
      <c r="K9617" s="5"/>
      <c r="L9617" s="5"/>
      <c r="M9617" s="5"/>
      <c r="N9617" s="5"/>
      <c r="O9617" s="5"/>
      <c r="P9617" s="5"/>
      <c r="Q9617" s="5"/>
      <c r="R9617" s="5"/>
      <c r="S9617" s="5"/>
      <c r="T9617" s="5"/>
      <c r="U9617" s="5"/>
      <c r="V9617" s="5"/>
      <c r="W9617" s="5"/>
      <c r="X9617" s="5"/>
      <c r="Y9617" s="5"/>
      <c r="Z9617" s="5"/>
    </row>
    <row r="9618" spans="1:26" ht="15" x14ac:dyDescent="0.25">
      <c r="A9618" s="4" t="s">
        <v>9616</v>
      </c>
      <c r="B9618" s="4" t="s">
        <v>9011</v>
      </c>
      <c r="C9618" s="2" t="str">
        <f ca="1">IFERROR(__xludf.DUMMYFUNCTION("GOOGLETRANSLATE(A9618,""bn"",""en"")"),"You will be proud to see all these items made by your own hands")</f>
        <v>You will be proud to see all these items made by your own hands</v>
      </c>
      <c r="D9618" s="5"/>
      <c r="E9618" s="5"/>
      <c r="F9618" s="5"/>
      <c r="G9618" s="5"/>
      <c r="H9618" s="5"/>
      <c r="I9618" s="5"/>
      <c r="J9618" s="5"/>
      <c r="K9618" s="5"/>
      <c r="L9618" s="5"/>
      <c r="M9618" s="5"/>
      <c r="N9618" s="5"/>
      <c r="O9618" s="5"/>
      <c r="P9618" s="5"/>
      <c r="Q9618" s="5"/>
      <c r="R9618" s="5"/>
      <c r="S9618" s="5"/>
      <c r="T9618" s="5"/>
      <c r="U9618" s="5"/>
      <c r="V9618" s="5"/>
      <c r="W9618" s="5"/>
      <c r="X9618" s="5"/>
      <c r="Y9618" s="5"/>
      <c r="Z9618" s="5"/>
    </row>
    <row r="9619" spans="1:26" ht="15" x14ac:dyDescent="0.25">
      <c r="A9619" s="4" t="s">
        <v>9617</v>
      </c>
      <c r="B9619" s="4" t="s">
        <v>9011</v>
      </c>
      <c r="C9619" s="2" t="str">
        <f ca="1">IFERROR(__xludf.DUMMYFUNCTION("GOOGLETRANSLATE(A9619,""bn"",""en"")"),"In the future I will be a successful author where my books will be sold all over the world")</f>
        <v>In the future I will be a successful author where my books will be sold all over the world</v>
      </c>
      <c r="D9619" s="5"/>
      <c r="E9619" s="5"/>
      <c r="F9619" s="5"/>
      <c r="G9619" s="5"/>
      <c r="H9619" s="5"/>
      <c r="I9619" s="5"/>
      <c r="J9619" s="5"/>
      <c r="K9619" s="5"/>
      <c r="L9619" s="5"/>
      <c r="M9619" s="5"/>
      <c r="N9619" s="5"/>
      <c r="O9619" s="5"/>
      <c r="P9619" s="5"/>
      <c r="Q9619" s="5"/>
      <c r="R9619" s="5"/>
      <c r="S9619" s="5"/>
      <c r="T9619" s="5"/>
      <c r="U9619" s="5"/>
      <c r="V9619" s="5"/>
      <c r="W9619" s="5"/>
      <c r="X9619" s="5"/>
      <c r="Y9619" s="5"/>
      <c r="Z9619" s="5"/>
    </row>
    <row r="9620" spans="1:26" ht="15" x14ac:dyDescent="0.25">
      <c r="A9620" s="4" t="s">
        <v>9618</v>
      </c>
      <c r="B9620" s="4" t="s">
        <v>9011</v>
      </c>
      <c r="C9620" s="2" t="str">
        <f ca="1">IFERROR(__xludf.DUMMYFUNCTION("GOOGLETRANSLATE(A9620,""bn"",""en"")"),"In the middle of the sea will be the story of my joy hidden in the heart of my dream country travel")</f>
        <v>In the middle of the sea will be the story of my joy hidden in the heart of my dream country travel</v>
      </c>
      <c r="D9620" s="5"/>
      <c r="E9620" s="5"/>
      <c r="F9620" s="5"/>
      <c r="G9620" s="5"/>
      <c r="H9620" s="5"/>
      <c r="I9620" s="5"/>
      <c r="J9620" s="5"/>
      <c r="K9620" s="5"/>
      <c r="L9620" s="5"/>
      <c r="M9620" s="5"/>
      <c r="N9620" s="5"/>
      <c r="O9620" s="5"/>
      <c r="P9620" s="5"/>
      <c r="Q9620" s="5"/>
      <c r="R9620" s="5"/>
      <c r="S9620" s="5"/>
      <c r="T9620" s="5"/>
      <c r="U9620" s="5"/>
      <c r="V9620" s="5"/>
      <c r="W9620" s="5"/>
      <c r="X9620" s="5"/>
      <c r="Y9620" s="5"/>
      <c r="Z9620" s="5"/>
    </row>
    <row r="9621" spans="1:26" ht="15" x14ac:dyDescent="0.25">
      <c r="A9621" s="4" t="s">
        <v>9619</v>
      </c>
      <c r="B9621" s="4" t="s">
        <v>9011</v>
      </c>
      <c r="C9621" s="2" t="str">
        <f ca="1">IFERROR(__xludf.DUMMYFUNCTION("GOOGLETRANSLATE(A9621,""bn"",""en"")"),"Eating the food from the grandmother's hand, it will feel like the taste of childhood again.")</f>
        <v>Eating the food from the grandmother's hand, it will feel like the taste of childhood again.</v>
      </c>
      <c r="D9621" s="5"/>
      <c r="E9621" s="5"/>
      <c r="F9621" s="5"/>
      <c r="G9621" s="5"/>
      <c r="H9621" s="5"/>
      <c r="I9621" s="5"/>
      <c r="J9621" s="5"/>
      <c r="K9621" s="5"/>
      <c r="L9621" s="5"/>
      <c r="M9621" s="5"/>
      <c r="N9621" s="5"/>
      <c r="O9621" s="5"/>
      <c r="P9621" s="5"/>
      <c r="Q9621" s="5"/>
      <c r="R9621" s="5"/>
      <c r="S9621" s="5"/>
      <c r="T9621" s="5"/>
      <c r="U9621" s="5"/>
      <c r="V9621" s="5"/>
      <c r="W9621" s="5"/>
      <c r="X9621" s="5"/>
      <c r="Y9621" s="5"/>
      <c r="Z9621" s="5"/>
    </row>
    <row r="9622" spans="1:26" ht="15" x14ac:dyDescent="0.25">
      <c r="A9622" s="4" t="s">
        <v>9620</v>
      </c>
      <c r="B9622" s="4" t="s">
        <v>9011</v>
      </c>
      <c r="C9622" s="2" t="str">
        <f ca="1">IFERROR(__xludf.DUMMYFUNCTION("GOOGLETRANSLATE(A9622,""bn"",""en"")"),"I will finish reading this book by the end of this month")</f>
        <v>I will finish reading this book by the end of this month</v>
      </c>
      <c r="D9622" s="5"/>
      <c r="E9622" s="5"/>
      <c r="F9622" s="5"/>
      <c r="G9622" s="5"/>
      <c r="H9622" s="5"/>
      <c r="I9622" s="5"/>
      <c r="J9622" s="5"/>
      <c r="K9622" s="5"/>
      <c r="L9622" s="5"/>
      <c r="M9622" s="5"/>
      <c r="N9622" s="5"/>
      <c r="O9622" s="5"/>
      <c r="P9622" s="5"/>
      <c r="Q9622" s="5"/>
      <c r="R9622" s="5"/>
      <c r="S9622" s="5"/>
      <c r="T9622" s="5"/>
      <c r="U9622" s="5"/>
      <c r="V9622" s="5"/>
      <c r="W9622" s="5"/>
      <c r="X9622" s="5"/>
      <c r="Y9622" s="5"/>
      <c r="Z9622" s="5"/>
    </row>
    <row r="9623" spans="1:26" ht="15" x14ac:dyDescent="0.25">
      <c r="A9623" s="4" t="s">
        <v>9621</v>
      </c>
      <c r="B9623" s="4" t="s">
        <v>9011</v>
      </c>
      <c r="C9623" s="2" t="str">
        <f ca="1">IFERROR(__xludf.DUMMYFUNCTION("GOOGLETRANSLATE(A9623,""bn"",""en"")"),"Next month I will be attending a reunion with my friends")</f>
        <v>Next month I will be attending a reunion with my friends</v>
      </c>
      <c r="D9623" s="5"/>
      <c r="E9623" s="5"/>
      <c r="F9623" s="5"/>
      <c r="G9623" s="5"/>
      <c r="H9623" s="5"/>
      <c r="I9623" s="5"/>
      <c r="J9623" s="5"/>
      <c r="K9623" s="5"/>
      <c r="L9623" s="5"/>
      <c r="M9623" s="5"/>
      <c r="N9623" s="5"/>
      <c r="O9623" s="5"/>
      <c r="P9623" s="5"/>
      <c r="Q9623" s="5"/>
      <c r="R9623" s="5"/>
      <c r="S9623" s="5"/>
      <c r="T9623" s="5"/>
      <c r="U9623" s="5"/>
      <c r="V9623" s="5"/>
      <c r="W9623" s="5"/>
      <c r="X9623" s="5"/>
      <c r="Y9623" s="5"/>
      <c r="Z9623" s="5"/>
    </row>
    <row r="9624" spans="1:26" ht="15" x14ac:dyDescent="0.25">
      <c r="A9624" s="4" t="s">
        <v>9622</v>
      </c>
      <c r="B9624" s="4" t="s">
        <v>9011</v>
      </c>
      <c r="C9624" s="2" t="str">
        <f ca="1">IFERROR(__xludf.DUMMYFUNCTION("GOOGLETRANSLATE(A9624,""bn"",""en"")"),"Wearing new shoes will be a different kind of joy")</f>
        <v>Wearing new shoes will be a different kind of joy</v>
      </c>
      <c r="D9624" s="5"/>
      <c r="E9624" s="5"/>
      <c r="F9624" s="5"/>
      <c r="G9624" s="5"/>
      <c r="H9624" s="5"/>
      <c r="I9624" s="5"/>
      <c r="J9624" s="5"/>
      <c r="K9624" s="5"/>
      <c r="L9624" s="5"/>
      <c r="M9624" s="5"/>
      <c r="N9624" s="5"/>
      <c r="O9624" s="5"/>
      <c r="P9624" s="5"/>
      <c r="Q9624" s="5"/>
      <c r="R9624" s="5"/>
      <c r="S9624" s="5"/>
      <c r="T9624" s="5"/>
      <c r="U9624" s="5"/>
      <c r="V9624" s="5"/>
      <c r="W9624" s="5"/>
      <c r="X9624" s="5"/>
      <c r="Y9624" s="5"/>
      <c r="Z9624" s="5"/>
    </row>
    <row r="9625" spans="1:26" ht="15" x14ac:dyDescent="0.25">
      <c r="A9625" s="4" t="s">
        <v>9623</v>
      </c>
      <c r="B9625" s="4" t="s">
        <v>9011</v>
      </c>
      <c r="C9625" s="2" t="str">
        <f ca="1">IFERROR(__xludf.DUMMYFUNCTION("GOOGLETRANSLATE(A9625,""bn"",""en"")"),"The joy of swimming in the water is not only in summer but also in the cold season swimming in the warm water under the sunlight will be enchanting.")</f>
        <v>The joy of swimming in the water is not only in summer but also in the cold season swimming in the warm water under the sunlight will be enchanting.</v>
      </c>
      <c r="D9625" s="5"/>
      <c r="E9625" s="5"/>
      <c r="F9625" s="5"/>
      <c r="G9625" s="5"/>
      <c r="H9625" s="5"/>
      <c r="I9625" s="5"/>
      <c r="J9625" s="5"/>
      <c r="K9625" s="5"/>
      <c r="L9625" s="5"/>
      <c r="M9625" s="5"/>
      <c r="N9625" s="5"/>
      <c r="O9625" s="5"/>
      <c r="P9625" s="5"/>
      <c r="Q9625" s="5"/>
      <c r="R9625" s="5"/>
      <c r="S9625" s="5"/>
      <c r="T9625" s="5"/>
      <c r="U9625" s="5"/>
      <c r="V9625" s="5"/>
      <c r="W9625" s="5"/>
      <c r="X9625" s="5"/>
      <c r="Y9625" s="5"/>
      <c r="Z9625" s="5"/>
    </row>
    <row r="9626" spans="1:26" ht="15" x14ac:dyDescent="0.25">
      <c r="A9626" s="4" t="s">
        <v>9624</v>
      </c>
      <c r="B9626" s="4" t="s">
        <v>9011</v>
      </c>
      <c r="C9626" s="2" t="str">
        <f ca="1">IFERROR(__xludf.DUMMYFUNCTION("GOOGLETRANSLATE(A9626,""bn"",""en"")"),"Sunil Gangopadhyay author Sunil Gangopadhyay reading this book will fill the mind with an invisible joy the author's words will bring a new reflection in the joy of life.")</f>
        <v>Sunil Gangopadhyay author Sunil Gangopadhyay reading this book will fill the mind with an invisible joy the author's words will bring a new reflection in the joy of life.</v>
      </c>
      <c r="D9626" s="5"/>
      <c r="E9626" s="5"/>
      <c r="F9626" s="5"/>
      <c r="G9626" s="5"/>
      <c r="H9626" s="5"/>
      <c r="I9626" s="5"/>
      <c r="J9626" s="5"/>
      <c r="K9626" s="5"/>
      <c r="L9626" s="5"/>
      <c r="M9626" s="5"/>
      <c r="N9626" s="5"/>
      <c r="O9626" s="5"/>
      <c r="P9626" s="5"/>
      <c r="Q9626" s="5"/>
      <c r="R9626" s="5"/>
      <c r="S9626" s="5"/>
      <c r="T9626" s="5"/>
      <c r="U9626" s="5"/>
      <c r="V9626" s="5"/>
      <c r="W9626" s="5"/>
      <c r="X9626" s="5"/>
      <c r="Y9626" s="5"/>
      <c r="Z9626" s="5"/>
    </row>
    <row r="9627" spans="1:26" ht="15" x14ac:dyDescent="0.25">
      <c r="A9627" s="4" t="s">
        <v>9625</v>
      </c>
      <c r="B9627" s="4" t="s">
        <v>9011</v>
      </c>
      <c r="C9627" s="2" t="str">
        <f ca="1">IFERROR(__xludf.DUMMYFUNCTION("GOOGLETRANSLATE(A9627,""bn"",""en"")"),"Quarrel with wife then get together again in this sweet trouble your life will be more colorful Happy marriage Dada")</f>
        <v>Quarrel with wife then get together again in this sweet trouble your life will be more colorful Happy marriage Dada</v>
      </c>
      <c r="D9627" s="5"/>
      <c r="E9627" s="5"/>
      <c r="F9627" s="5"/>
      <c r="G9627" s="5"/>
      <c r="H9627" s="5"/>
      <c r="I9627" s="5"/>
      <c r="J9627" s="5"/>
      <c r="K9627" s="5"/>
      <c r="L9627" s="5"/>
      <c r="M9627" s="5"/>
      <c r="N9627" s="5"/>
      <c r="O9627" s="5"/>
      <c r="P9627" s="5"/>
      <c r="Q9627" s="5"/>
      <c r="R9627" s="5"/>
      <c r="S9627" s="5"/>
      <c r="T9627" s="5"/>
      <c r="U9627" s="5"/>
      <c r="V9627" s="5"/>
      <c r="W9627" s="5"/>
      <c r="X9627" s="5"/>
      <c r="Y9627" s="5"/>
      <c r="Z9627" s="5"/>
    </row>
    <row r="9628" spans="1:26" ht="15" x14ac:dyDescent="0.25">
      <c r="A9628" s="4" t="s">
        <v>9626</v>
      </c>
      <c r="B9628" s="4" t="s">
        <v>9011</v>
      </c>
      <c r="C9628" s="2" t="str">
        <f ca="1">IFERROR(__xludf.DUMMYFUNCTION("GOOGLETRANSLATE(A9628,""bn"",""en"")"),"They will take up a new social venture in the coming year which will help in the development of the community")</f>
        <v>They will take up a new social venture in the coming year which will help in the development of the community</v>
      </c>
      <c r="D9628" s="5"/>
      <c r="E9628" s="5"/>
      <c r="F9628" s="5"/>
      <c r="G9628" s="5"/>
      <c r="H9628" s="5"/>
      <c r="I9628" s="5"/>
      <c r="J9628" s="5"/>
      <c r="K9628" s="5"/>
      <c r="L9628" s="5"/>
      <c r="M9628" s="5"/>
      <c r="N9628" s="5"/>
      <c r="O9628" s="5"/>
      <c r="P9628" s="5"/>
      <c r="Q9628" s="5"/>
      <c r="R9628" s="5"/>
      <c r="S9628" s="5"/>
      <c r="T9628" s="5"/>
      <c r="U9628" s="5"/>
      <c r="V9628" s="5"/>
      <c r="W9628" s="5"/>
      <c r="X9628" s="5"/>
      <c r="Y9628" s="5"/>
      <c r="Z9628" s="5"/>
    </row>
    <row r="9629" spans="1:26" ht="15" x14ac:dyDescent="0.25">
      <c r="A9629" s="4" t="s">
        <v>9627</v>
      </c>
      <c r="B9629" s="4" t="s">
        <v>9011</v>
      </c>
      <c r="C9629" s="2" t="str">
        <f ca="1">IFERROR(__xludf.DUMMYFUNCTION("GOOGLETRANSLATE(A9629,""bn"",""en"")"),"We will continue to research new topics")</f>
        <v>We will continue to research new topics</v>
      </c>
      <c r="D9629" s="5"/>
      <c r="E9629" s="5"/>
      <c r="F9629" s="5"/>
      <c r="G9629" s="5"/>
      <c r="H9629" s="5"/>
      <c r="I9629" s="5"/>
      <c r="J9629" s="5"/>
      <c r="K9629" s="5"/>
      <c r="L9629" s="5"/>
      <c r="M9629" s="5"/>
      <c r="N9629" s="5"/>
      <c r="O9629" s="5"/>
      <c r="P9629" s="5"/>
      <c r="Q9629" s="5"/>
      <c r="R9629" s="5"/>
      <c r="S9629" s="5"/>
      <c r="T9629" s="5"/>
      <c r="U9629" s="5"/>
      <c r="V9629" s="5"/>
      <c r="W9629" s="5"/>
      <c r="X9629" s="5"/>
      <c r="Y9629" s="5"/>
      <c r="Z9629" s="5"/>
    </row>
    <row r="9630" spans="1:26" ht="15" x14ac:dyDescent="0.25">
      <c r="A9630" s="4" t="s">
        <v>9628</v>
      </c>
      <c r="B9630" s="4" t="s">
        <v>9011</v>
      </c>
      <c r="C9630" s="2" t="str">
        <f ca="1">IFERROR(__xludf.DUMMYFUNCTION("GOOGLETRANSLATE(A9630,""bn"",""en"")"),"Tomorrow we will attend a workshop on better quality education")</f>
        <v>Tomorrow we will attend a workshop on better quality education</v>
      </c>
      <c r="D9630" s="5"/>
      <c r="E9630" s="5"/>
      <c r="F9630" s="5"/>
      <c r="G9630" s="5"/>
      <c r="H9630" s="5"/>
      <c r="I9630" s="5"/>
      <c r="J9630" s="5"/>
      <c r="K9630" s="5"/>
      <c r="L9630" s="5"/>
      <c r="M9630" s="5"/>
      <c r="N9630" s="5"/>
      <c r="O9630" s="5"/>
      <c r="P9630" s="5"/>
      <c r="Q9630" s="5"/>
      <c r="R9630" s="5"/>
      <c r="S9630" s="5"/>
      <c r="T9630" s="5"/>
      <c r="U9630" s="5"/>
      <c r="V9630" s="5"/>
      <c r="W9630" s="5"/>
      <c r="X9630" s="5"/>
      <c r="Y9630" s="5"/>
      <c r="Z9630" s="5"/>
    </row>
    <row r="9631" spans="1:26" ht="15" x14ac:dyDescent="0.25">
      <c r="A9631" s="4" t="s">
        <v>9629</v>
      </c>
      <c r="B9631" s="4" t="s">
        <v>9011</v>
      </c>
      <c r="C9631" s="2" t="str">
        <f ca="1">IFERROR(__xludf.DUMMYFUNCTION("GOOGLETRANSLATE(A9631,""bn"",""en"")"),"Learn the best way to eat five roasted winter vegetables")</f>
        <v>Learn the best way to eat five roasted winter vegetables</v>
      </c>
      <c r="D9631" s="5"/>
      <c r="E9631" s="5"/>
      <c r="F9631" s="5"/>
      <c r="G9631" s="5"/>
      <c r="H9631" s="5"/>
      <c r="I9631" s="5"/>
      <c r="J9631" s="5"/>
      <c r="K9631" s="5"/>
      <c r="L9631" s="5"/>
      <c r="M9631" s="5"/>
      <c r="N9631" s="5"/>
      <c r="O9631" s="5"/>
      <c r="P9631" s="5"/>
      <c r="Q9631" s="5"/>
      <c r="R9631" s="5"/>
      <c r="S9631" s="5"/>
      <c r="T9631" s="5"/>
      <c r="U9631" s="5"/>
      <c r="V9631" s="5"/>
      <c r="W9631" s="5"/>
      <c r="X9631" s="5"/>
      <c r="Y9631" s="5"/>
      <c r="Z9631" s="5"/>
    </row>
    <row r="9632" spans="1:26" ht="15" x14ac:dyDescent="0.25">
      <c r="A9632" s="4" t="s">
        <v>9630</v>
      </c>
      <c r="B9632" s="4" t="s">
        <v>9011</v>
      </c>
      <c r="C9632" s="2" t="str">
        <f ca="1">IFERROR(__xludf.DUMMYFUNCTION("GOOGLETRANSLATE(A9632,""bn"",""en"")"),"You will get success in the exam")</f>
        <v>You will get success in the exam</v>
      </c>
      <c r="D9632" s="5"/>
      <c r="E9632" s="5"/>
      <c r="F9632" s="5"/>
      <c r="G9632" s="5"/>
      <c r="H9632" s="5"/>
      <c r="I9632" s="5"/>
      <c r="J9632" s="5"/>
      <c r="K9632" s="5"/>
      <c r="L9632" s="5"/>
      <c r="M9632" s="5"/>
      <c r="N9632" s="5"/>
      <c r="O9632" s="5"/>
      <c r="P9632" s="5"/>
      <c r="Q9632" s="5"/>
      <c r="R9632" s="5"/>
      <c r="S9632" s="5"/>
      <c r="T9632" s="5"/>
      <c r="U9632" s="5"/>
      <c r="V9632" s="5"/>
      <c r="W9632" s="5"/>
      <c r="X9632" s="5"/>
      <c r="Y9632" s="5"/>
      <c r="Z9632" s="5"/>
    </row>
    <row r="9633" spans="1:26" ht="15" x14ac:dyDescent="0.25">
      <c r="A9633" s="4" t="s">
        <v>9631</v>
      </c>
      <c r="B9633" s="4" t="s">
        <v>9011</v>
      </c>
      <c r="C9633" s="2" t="str">
        <f ca="1">IFERROR(__xludf.DUMMYFUNCTION("GOOGLETRANSLATE(A9633,""bn"",""en"")"),"I will be educated if I want to maintain my dignity in the society")</f>
        <v>I will be educated if I want to maintain my dignity in the society</v>
      </c>
      <c r="D9633" s="5"/>
      <c r="E9633" s="5"/>
      <c r="F9633" s="5"/>
      <c r="G9633" s="5"/>
      <c r="H9633" s="5"/>
      <c r="I9633" s="5"/>
      <c r="J9633" s="5"/>
      <c r="K9633" s="5"/>
      <c r="L9633" s="5"/>
      <c r="M9633" s="5"/>
      <c r="N9633" s="5"/>
      <c r="O9633" s="5"/>
      <c r="P9633" s="5"/>
      <c r="Q9633" s="5"/>
      <c r="R9633" s="5"/>
      <c r="S9633" s="5"/>
      <c r="T9633" s="5"/>
      <c r="U9633" s="5"/>
      <c r="V9633" s="5"/>
      <c r="W9633" s="5"/>
      <c r="X9633" s="5"/>
      <c r="Y9633" s="5"/>
      <c r="Z9633" s="5"/>
    </row>
    <row r="9634" spans="1:26" ht="15" x14ac:dyDescent="0.25">
      <c r="A9634" s="4" t="s">
        <v>9632</v>
      </c>
      <c r="B9634" s="4" t="s">
        <v>9011</v>
      </c>
      <c r="C9634" s="2" t="str">
        <f ca="1">IFERROR(__xludf.DUMMYFUNCTION("GOOGLETRANSLATE(A9634,""bn"",""en"")"),"Learn to love, learn to give love, then you will not lack love in your life")</f>
        <v>Learn to love, learn to give love, then you will not lack love in your life</v>
      </c>
      <c r="D9634" s="5"/>
      <c r="E9634" s="5"/>
      <c r="F9634" s="5"/>
      <c r="G9634" s="5"/>
      <c r="H9634" s="5"/>
      <c r="I9634" s="5"/>
      <c r="J9634" s="5"/>
      <c r="K9634" s="5"/>
      <c r="L9634" s="5"/>
      <c r="M9634" s="5"/>
      <c r="N9634" s="5"/>
      <c r="O9634" s="5"/>
      <c r="P9634" s="5"/>
      <c r="Q9634" s="5"/>
      <c r="R9634" s="5"/>
      <c r="S9634" s="5"/>
      <c r="T9634" s="5"/>
      <c r="U9634" s="5"/>
      <c r="V9634" s="5"/>
      <c r="W9634" s="5"/>
      <c r="X9634" s="5"/>
      <c r="Y9634" s="5"/>
      <c r="Z9634" s="5"/>
    </row>
    <row r="9635" spans="1:26" ht="15" x14ac:dyDescent="0.25">
      <c r="A9635" s="4" t="s">
        <v>9633</v>
      </c>
      <c r="B9635" s="4" t="s">
        <v>9011</v>
      </c>
      <c r="C9635" s="2" t="str">
        <f ca="1">IFERROR(__xludf.DUMMYFUNCTION("GOOGLETRANSLATE(A9635,""bn"",""en"")"),"I will create an interactive learning game that will make learning more fun")</f>
        <v>I will create an interactive learning game that will make learning more fun</v>
      </c>
      <c r="D9635" s="5"/>
      <c r="E9635" s="5"/>
      <c r="F9635" s="5"/>
      <c r="G9635" s="5"/>
      <c r="H9635" s="5"/>
      <c r="I9635" s="5"/>
      <c r="J9635" s="5"/>
      <c r="K9635" s="5"/>
      <c r="L9635" s="5"/>
      <c r="M9635" s="5"/>
      <c r="N9635" s="5"/>
      <c r="O9635" s="5"/>
      <c r="P9635" s="5"/>
      <c r="Q9635" s="5"/>
      <c r="R9635" s="5"/>
      <c r="S9635" s="5"/>
      <c r="T9635" s="5"/>
      <c r="U9635" s="5"/>
      <c r="V9635" s="5"/>
      <c r="W9635" s="5"/>
      <c r="X9635" s="5"/>
      <c r="Y9635" s="5"/>
      <c r="Z9635" s="5"/>
    </row>
    <row r="9636" spans="1:26" ht="15" x14ac:dyDescent="0.25">
      <c r="A9636" s="4" t="s">
        <v>9634</v>
      </c>
      <c r="B9636" s="4" t="s">
        <v>9011</v>
      </c>
      <c r="C9636" s="2" t="str">
        <f ca="1">IFERROR(__xludf.DUMMYFUNCTION("GOOGLETRANSLATE(A9636,""bn"",""en"")"),"Reaching the people of the world with your own writing would be just amazing")</f>
        <v>Reaching the people of the world with your own writing would be just amazing</v>
      </c>
      <c r="D9636" s="5"/>
      <c r="E9636" s="5"/>
      <c r="F9636" s="5"/>
      <c r="G9636" s="5"/>
      <c r="H9636" s="5"/>
      <c r="I9636" s="5"/>
      <c r="J9636" s="5"/>
      <c r="K9636" s="5"/>
      <c r="L9636" s="5"/>
      <c r="M9636" s="5"/>
      <c r="N9636" s="5"/>
      <c r="O9636" s="5"/>
      <c r="P9636" s="5"/>
      <c r="Q9636" s="5"/>
      <c r="R9636" s="5"/>
      <c r="S9636" s="5"/>
      <c r="T9636" s="5"/>
      <c r="U9636" s="5"/>
      <c r="V9636" s="5"/>
      <c r="W9636" s="5"/>
      <c r="X9636" s="5"/>
      <c r="Y9636" s="5"/>
      <c r="Z9636" s="5"/>
    </row>
    <row r="9637" spans="1:26" ht="15" x14ac:dyDescent="0.25">
      <c r="A9637" s="4" t="s">
        <v>9635</v>
      </c>
      <c r="B9637" s="4" t="s">
        <v>9011</v>
      </c>
      <c r="C9637" s="2" t="str">
        <f ca="1">IFERROR(__xludf.DUMMYFUNCTION("GOOGLETRANSLATE(A9637,""bn"",""en"")"),"I will continue to leave the house periodically")</f>
        <v>I will continue to leave the house periodically</v>
      </c>
      <c r="D9637" s="5"/>
      <c r="E9637" s="5"/>
      <c r="F9637" s="5"/>
      <c r="G9637" s="5"/>
      <c r="H9637" s="5"/>
      <c r="I9637" s="5"/>
      <c r="J9637" s="5"/>
      <c r="K9637" s="5"/>
      <c r="L9637" s="5"/>
      <c r="M9637" s="5"/>
      <c r="N9637" s="5"/>
      <c r="O9637" s="5"/>
      <c r="P9637" s="5"/>
      <c r="Q9637" s="5"/>
      <c r="R9637" s="5"/>
      <c r="S9637" s="5"/>
      <c r="T9637" s="5"/>
      <c r="U9637" s="5"/>
      <c r="V9637" s="5"/>
      <c r="W9637" s="5"/>
      <c r="X9637" s="5"/>
      <c r="Y9637" s="5"/>
      <c r="Z9637" s="5"/>
    </row>
    <row r="9638" spans="1:26" ht="15" x14ac:dyDescent="0.25">
      <c r="A9638" s="4" t="s">
        <v>9636</v>
      </c>
      <c r="B9638" s="4" t="s">
        <v>9011</v>
      </c>
      <c r="C9638" s="2" t="str">
        <f ca="1">IFERROR(__xludf.DUMMYFUNCTION("GOOGLETRANSLATE(A9638,""bn"",""en"")"),"Congratulations I will be very happy to see your results")</f>
        <v>Congratulations I will be very happy to see your results</v>
      </c>
      <c r="D9638" s="5"/>
      <c r="E9638" s="5"/>
      <c r="F9638" s="5"/>
      <c r="G9638" s="5"/>
      <c r="H9638" s="5"/>
      <c r="I9638" s="5"/>
      <c r="J9638" s="5"/>
      <c r="K9638" s="5"/>
      <c r="L9638" s="5"/>
      <c r="M9638" s="5"/>
      <c r="N9638" s="5"/>
      <c r="O9638" s="5"/>
      <c r="P9638" s="5"/>
      <c r="Q9638" s="5"/>
      <c r="R9638" s="5"/>
      <c r="S9638" s="5"/>
      <c r="T9638" s="5"/>
      <c r="U9638" s="5"/>
      <c r="V9638" s="5"/>
      <c r="W9638" s="5"/>
      <c r="X9638" s="5"/>
      <c r="Y9638" s="5"/>
      <c r="Z9638" s="5"/>
    </row>
    <row r="9639" spans="1:26" ht="15" x14ac:dyDescent="0.25">
      <c r="A9639" s="4" t="s">
        <v>9637</v>
      </c>
      <c r="B9639" s="4" t="s">
        <v>9011</v>
      </c>
      <c r="C9639" s="2" t="str">
        <f ca="1">IFERROR(__xludf.DUMMYFUNCTION("GOOGLETRANSLATE(A9639,""bn"",""en"")"),"You are my greatest gift but today your independence will make me more proud. Best wishes dear")</f>
        <v>You are my greatest gift but today your independence will make me more proud. Best wishes dear</v>
      </c>
      <c r="D9639" s="5"/>
      <c r="E9639" s="5"/>
      <c r="F9639" s="5"/>
      <c r="G9639" s="5"/>
      <c r="H9639" s="5"/>
      <c r="I9639" s="5"/>
      <c r="J9639" s="5"/>
      <c r="K9639" s="5"/>
      <c r="L9639" s="5"/>
      <c r="M9639" s="5"/>
      <c r="N9639" s="5"/>
      <c r="O9639" s="5"/>
      <c r="P9639" s="5"/>
      <c r="Q9639" s="5"/>
      <c r="R9639" s="5"/>
      <c r="S9639" s="5"/>
      <c r="T9639" s="5"/>
      <c r="U9639" s="5"/>
      <c r="V9639" s="5"/>
      <c r="W9639" s="5"/>
      <c r="X9639" s="5"/>
      <c r="Y9639" s="5"/>
      <c r="Z9639" s="5"/>
    </row>
    <row r="9640" spans="1:26" ht="15" x14ac:dyDescent="0.25">
      <c r="A9640" s="4" t="s">
        <v>9638</v>
      </c>
      <c r="B9640" s="4" t="s">
        <v>9011</v>
      </c>
      <c r="C9640" s="2" t="str">
        <f ca="1">IFERROR(__xludf.DUMMYFUNCTION("GOOGLETRANSLATE(A9640,""bn"",""en"")"),"After eating food from mother's hands, I will understand that some flavors will remain in my mind forever")</f>
        <v>After eating food from mother's hands, I will understand that some flavors will remain in my mind forever</v>
      </c>
      <c r="D9640" s="5"/>
      <c r="E9640" s="5"/>
      <c r="F9640" s="5"/>
      <c r="G9640" s="5"/>
      <c r="H9640" s="5"/>
      <c r="I9640" s="5"/>
      <c r="J9640" s="5"/>
      <c r="K9640" s="5"/>
      <c r="L9640" s="5"/>
      <c r="M9640" s="5"/>
      <c r="N9640" s="5"/>
      <c r="O9640" s="5"/>
      <c r="P9640" s="5"/>
      <c r="Q9640" s="5"/>
      <c r="R9640" s="5"/>
      <c r="S9640" s="5"/>
      <c r="T9640" s="5"/>
      <c r="U9640" s="5"/>
      <c r="V9640" s="5"/>
      <c r="W9640" s="5"/>
      <c r="X9640" s="5"/>
      <c r="Y9640" s="5"/>
      <c r="Z9640" s="5"/>
    </row>
    <row r="9641" spans="1:26" ht="15" x14ac:dyDescent="0.25">
      <c r="A9641" s="4" t="s">
        <v>9639</v>
      </c>
      <c r="B9641" s="4" t="s">
        <v>9011</v>
      </c>
      <c r="C9641" s="2" t="str">
        <f ca="1">IFERROR(__xludf.DUMMYFUNCTION("GOOGLETRANSLATE(A9641,""bn"",""en"")"),"He will go on an international business trip next year to look for new business opportunities to grow his company")</f>
        <v>He will go on an international business trip next year to look for new business opportunities to grow his company</v>
      </c>
      <c r="D9641" s="5"/>
      <c r="E9641" s="5"/>
      <c r="F9641" s="5"/>
      <c r="G9641" s="5"/>
      <c r="H9641" s="5"/>
      <c r="I9641" s="5"/>
      <c r="J9641" s="5"/>
      <c r="K9641" s="5"/>
      <c r="L9641" s="5"/>
      <c r="M9641" s="5"/>
      <c r="N9641" s="5"/>
      <c r="O9641" s="5"/>
      <c r="P9641" s="5"/>
      <c r="Q9641" s="5"/>
      <c r="R9641" s="5"/>
      <c r="S9641" s="5"/>
      <c r="T9641" s="5"/>
      <c r="U9641" s="5"/>
      <c r="V9641" s="5"/>
      <c r="W9641" s="5"/>
      <c r="X9641" s="5"/>
      <c r="Y9641" s="5"/>
      <c r="Z9641" s="5"/>
    </row>
    <row r="9642" spans="1:26" ht="15" x14ac:dyDescent="0.25">
      <c r="A9642" s="4" t="s">
        <v>9640</v>
      </c>
      <c r="B9642" s="4" t="s">
        <v>9011</v>
      </c>
      <c r="C9642" s="2" t="str">
        <f ca="1">IFERROR(__xludf.DUMMYFUNCTION("GOOGLETRANSLATE(A9642,""bn"",""en"")"),"By changing your appearance, your confidence will increase and your inner beauty will be revealed")</f>
        <v>By changing your appearance, your confidence will increase and your inner beauty will be revealed</v>
      </c>
      <c r="D9642" s="5"/>
      <c r="E9642" s="5"/>
      <c r="F9642" s="5"/>
      <c r="G9642" s="5"/>
      <c r="H9642" s="5"/>
      <c r="I9642" s="5"/>
      <c r="J9642" s="5"/>
      <c r="K9642" s="5"/>
      <c r="L9642" s="5"/>
      <c r="M9642" s="5"/>
      <c r="N9642" s="5"/>
      <c r="O9642" s="5"/>
      <c r="P9642" s="5"/>
      <c r="Q9642" s="5"/>
      <c r="R9642" s="5"/>
      <c r="S9642" s="5"/>
      <c r="T9642" s="5"/>
      <c r="U9642" s="5"/>
      <c r="V9642" s="5"/>
      <c r="W9642" s="5"/>
      <c r="X9642" s="5"/>
      <c r="Y9642" s="5"/>
      <c r="Z9642" s="5"/>
    </row>
    <row r="9643" spans="1:26" ht="15" x14ac:dyDescent="0.25">
      <c r="A9643" s="4" t="s">
        <v>9641</v>
      </c>
      <c r="B9643" s="4" t="s">
        <v>9011</v>
      </c>
      <c r="C9643" s="2" t="str">
        <f ca="1">IFERROR(__xludf.DUMMYFUNCTION("GOOGLETRANSLATE(A9643,""bn"",""en"")"),"Can you always be available for my help?")</f>
        <v>Can you always be available for my help?</v>
      </c>
      <c r="D9643" s="5"/>
      <c r="E9643" s="5"/>
      <c r="F9643" s="5"/>
      <c r="G9643" s="5"/>
      <c r="H9643" s="5"/>
      <c r="I9643" s="5"/>
      <c r="J9643" s="5"/>
      <c r="K9643" s="5"/>
      <c r="L9643" s="5"/>
      <c r="M9643" s="5"/>
      <c r="N9643" s="5"/>
      <c r="O9643" s="5"/>
      <c r="P9643" s="5"/>
      <c r="Q9643" s="5"/>
      <c r="R9643" s="5"/>
      <c r="S9643" s="5"/>
      <c r="T9643" s="5"/>
      <c r="U9643" s="5"/>
      <c r="V9643" s="5"/>
      <c r="W9643" s="5"/>
      <c r="X9643" s="5"/>
      <c r="Y9643" s="5"/>
      <c r="Z9643" s="5"/>
    </row>
    <row r="9644" spans="1:26" ht="15" x14ac:dyDescent="0.25">
      <c r="A9644" s="4" t="s">
        <v>9642</v>
      </c>
      <c r="B9644" s="4" t="s">
        <v>9011</v>
      </c>
      <c r="C9644" s="2" t="str">
        <f ca="1">IFERROR(__xludf.DUMMYFUNCTION("GOOGLETRANSLATE(A9644,""bn"",""en"")"),"I will build an artificial intelligence powered teaching assistant that will help improve student learning by providing personalized learning")</f>
        <v>I will build an artificial intelligence powered teaching assistant that will help improve student learning by providing personalized learning</v>
      </c>
      <c r="D9644" s="5"/>
      <c r="E9644" s="5"/>
      <c r="F9644" s="5"/>
      <c r="G9644" s="5"/>
      <c r="H9644" s="5"/>
      <c r="I9644" s="5"/>
      <c r="J9644" s="5"/>
      <c r="K9644" s="5"/>
      <c r="L9644" s="5"/>
      <c r="M9644" s="5"/>
      <c r="N9644" s="5"/>
      <c r="O9644" s="5"/>
      <c r="P9644" s="5"/>
      <c r="Q9644" s="5"/>
      <c r="R9644" s="5"/>
      <c r="S9644" s="5"/>
      <c r="T9644" s="5"/>
      <c r="U9644" s="5"/>
      <c r="V9644" s="5"/>
      <c r="W9644" s="5"/>
      <c r="X9644" s="5"/>
      <c r="Y9644" s="5"/>
      <c r="Z9644" s="5"/>
    </row>
    <row r="9645" spans="1:26" ht="15" x14ac:dyDescent="0.25">
      <c r="A9645" s="4" t="s">
        <v>9643</v>
      </c>
      <c r="B9645" s="4" t="s">
        <v>9011</v>
      </c>
      <c r="C9645" s="2" t="str">
        <f ca="1">IFERROR(__xludf.DUMMYFUNCTION("GOOGLETRANSLATE(A9645,""bn"",""en"")"),"In the future I will be a successful engineer where I will work on new construction projects")</f>
        <v>In the future I will be a successful engineer where I will work on new construction projects</v>
      </c>
      <c r="D9645" s="5"/>
      <c r="E9645" s="5"/>
      <c r="F9645" s="5"/>
      <c r="G9645" s="5"/>
      <c r="H9645" s="5"/>
      <c r="I9645" s="5"/>
      <c r="J9645" s="5"/>
      <c r="K9645" s="5"/>
      <c r="L9645" s="5"/>
      <c r="M9645" s="5"/>
      <c r="N9645" s="5"/>
      <c r="O9645" s="5"/>
      <c r="P9645" s="5"/>
      <c r="Q9645" s="5"/>
      <c r="R9645" s="5"/>
      <c r="S9645" s="5"/>
      <c r="T9645" s="5"/>
      <c r="U9645" s="5"/>
      <c r="V9645" s="5"/>
      <c r="W9645" s="5"/>
      <c r="X9645" s="5"/>
      <c r="Y9645" s="5"/>
      <c r="Z9645" s="5"/>
    </row>
    <row r="9646" spans="1:26" ht="15" x14ac:dyDescent="0.25">
      <c r="A9646" s="4" t="s">
        <v>9644</v>
      </c>
      <c r="B9646" s="4" t="s">
        <v>9011</v>
      </c>
      <c r="C9646" s="2" t="str">
        <f ca="1">IFERROR(__xludf.DUMMYFUNCTION("GOOGLETRANSLATE(A9646,""bn"",""en"")"),"I will donate some food today. The eyes of hungry people cannot see the lack")</f>
        <v>I will donate some food today. The eyes of hungry people cannot see the lack</v>
      </c>
      <c r="D9646" s="5"/>
      <c r="E9646" s="5"/>
      <c r="F9646" s="5"/>
      <c r="G9646" s="5"/>
      <c r="H9646" s="5"/>
      <c r="I9646" s="5"/>
      <c r="J9646" s="5"/>
      <c r="K9646" s="5"/>
      <c r="L9646" s="5"/>
      <c r="M9646" s="5"/>
      <c r="N9646" s="5"/>
      <c r="O9646" s="5"/>
      <c r="P9646" s="5"/>
      <c r="Q9646" s="5"/>
      <c r="R9646" s="5"/>
      <c r="S9646" s="5"/>
      <c r="T9646" s="5"/>
      <c r="U9646" s="5"/>
      <c r="V9646" s="5"/>
      <c r="W9646" s="5"/>
      <c r="X9646" s="5"/>
      <c r="Y9646" s="5"/>
      <c r="Z9646" s="5"/>
    </row>
    <row r="9647" spans="1:26" ht="15" x14ac:dyDescent="0.25">
      <c r="A9647" s="4" t="s">
        <v>9645</v>
      </c>
      <c r="B9647" s="4" t="s">
        <v>9011</v>
      </c>
      <c r="C9647" s="2" t="str">
        <f ca="1">IFERROR(__xludf.DUMMYFUNCTION("GOOGLETRANSLATE(A9647,""bn"",""en"")"),"Next month we will participate in a cultural festival where cultures from different countries will be showcased")</f>
        <v>Next month we will participate in a cultural festival where cultures from different countries will be showcased</v>
      </c>
      <c r="D9647" s="5"/>
      <c r="E9647" s="5"/>
      <c r="F9647" s="5"/>
      <c r="G9647" s="5"/>
      <c r="H9647" s="5"/>
      <c r="I9647" s="5"/>
      <c r="J9647" s="5"/>
      <c r="K9647" s="5"/>
      <c r="L9647" s="5"/>
      <c r="M9647" s="5"/>
      <c r="N9647" s="5"/>
      <c r="O9647" s="5"/>
      <c r="P9647" s="5"/>
      <c r="Q9647" s="5"/>
      <c r="R9647" s="5"/>
      <c r="S9647" s="5"/>
      <c r="T9647" s="5"/>
      <c r="U9647" s="5"/>
      <c r="V9647" s="5"/>
      <c r="W9647" s="5"/>
      <c r="X9647" s="5"/>
      <c r="Y9647" s="5"/>
      <c r="Z9647" s="5"/>
    </row>
    <row r="9648" spans="1:26" ht="15" x14ac:dyDescent="0.25">
      <c r="A9648" s="4" t="s">
        <v>9646</v>
      </c>
      <c r="B9648" s="4" t="s">
        <v>9011</v>
      </c>
      <c r="C9648" s="2" t="str">
        <f ca="1">IFERROR(__xludf.DUMMYFUNCTION("GOOGLETRANSLATE(A9648,""bn"",""en"")"),"I will share great infinite joy with my little trees drenched in rain water")</f>
        <v>I will share great infinite joy with my little trees drenched in rain water</v>
      </c>
      <c r="D9648" s="5"/>
      <c r="E9648" s="5"/>
      <c r="F9648" s="5"/>
      <c r="G9648" s="5"/>
      <c r="H9648" s="5"/>
      <c r="I9648" s="5"/>
      <c r="J9648" s="5"/>
      <c r="K9648" s="5"/>
      <c r="L9648" s="5"/>
      <c r="M9648" s="5"/>
      <c r="N9648" s="5"/>
      <c r="O9648" s="5"/>
      <c r="P9648" s="5"/>
      <c r="Q9648" s="5"/>
      <c r="R9648" s="5"/>
      <c r="S9648" s="5"/>
      <c r="T9648" s="5"/>
      <c r="U9648" s="5"/>
      <c r="V9648" s="5"/>
      <c r="W9648" s="5"/>
      <c r="X9648" s="5"/>
      <c r="Y9648" s="5"/>
      <c r="Z9648" s="5"/>
    </row>
    <row r="9649" spans="1:26" ht="15" x14ac:dyDescent="0.25">
      <c r="A9649" s="4" t="s">
        <v>9647</v>
      </c>
      <c r="B9649" s="4" t="s">
        <v>9011</v>
      </c>
      <c r="C9649" s="2" t="str">
        <f ca="1">IFERROR(__xludf.DUMMYFUNCTION("GOOGLETRANSLATE(A9649,""bn"",""en"")"),"They will succeed in their technical projects when they do the necessary due diligence")</f>
        <v>They will succeed in their technical projects when they do the necessary due diligence</v>
      </c>
      <c r="D9649" s="5"/>
      <c r="E9649" s="5"/>
      <c r="F9649" s="5"/>
      <c r="G9649" s="5"/>
      <c r="H9649" s="5"/>
      <c r="I9649" s="5"/>
      <c r="J9649" s="5"/>
      <c r="K9649" s="5"/>
      <c r="L9649" s="5"/>
      <c r="M9649" s="5"/>
      <c r="N9649" s="5"/>
      <c r="O9649" s="5"/>
      <c r="P9649" s="5"/>
      <c r="Q9649" s="5"/>
      <c r="R9649" s="5"/>
      <c r="S9649" s="5"/>
      <c r="T9649" s="5"/>
      <c r="U9649" s="5"/>
      <c r="V9649" s="5"/>
      <c r="W9649" s="5"/>
      <c r="X9649" s="5"/>
      <c r="Y9649" s="5"/>
      <c r="Z9649" s="5"/>
    </row>
    <row r="9650" spans="1:26" ht="15" x14ac:dyDescent="0.25">
      <c r="A9650" s="4" t="s">
        <v>9648</v>
      </c>
      <c r="B9650" s="4" t="s">
        <v>9011</v>
      </c>
      <c r="C9650" s="2" t="str">
        <f ca="1">IFERROR(__xludf.DUMMYFUNCTION("GOOGLETRANSLATE(A9650,""bn"",""en"")"),"Tomorrow I will attend a new conference that will improve my career")</f>
        <v>Tomorrow I will attend a new conference that will improve my career</v>
      </c>
      <c r="D9650" s="5"/>
      <c r="E9650" s="5"/>
      <c r="F9650" s="5"/>
      <c r="G9650" s="5"/>
      <c r="H9650" s="5"/>
      <c r="I9650" s="5"/>
      <c r="J9650" s="5"/>
      <c r="K9650" s="5"/>
      <c r="L9650" s="5"/>
      <c r="M9650" s="5"/>
      <c r="N9650" s="5"/>
      <c r="O9650" s="5"/>
      <c r="P9650" s="5"/>
      <c r="Q9650" s="5"/>
      <c r="R9650" s="5"/>
      <c r="S9650" s="5"/>
      <c r="T9650" s="5"/>
      <c r="U9650" s="5"/>
      <c r="V9650" s="5"/>
      <c r="W9650" s="5"/>
      <c r="X9650" s="5"/>
      <c r="Y9650" s="5"/>
      <c r="Z9650" s="5"/>
    </row>
    <row r="9651" spans="1:26" ht="15" x14ac:dyDescent="0.25">
      <c r="A9651" s="4" t="s">
        <v>9649</v>
      </c>
      <c r="B9651" s="4" t="s">
        <v>9011</v>
      </c>
      <c r="C9651" s="2" t="str">
        <f ca="1">IFERROR(__xludf.DUMMYFUNCTION("GOOGLETRANSLATE(A9651,""bn"",""en"")"),"The companionship of animal companions is an inspiration of life. Brighter days and brighter experiences of life with them will be part of our daily life")</f>
        <v>The companionship of animal companions is an inspiration of life. Brighter days and brighter experiences of life with them will be part of our daily life</v>
      </c>
      <c r="D9651" s="5"/>
      <c r="E9651" s="5"/>
      <c r="F9651" s="5"/>
      <c r="G9651" s="5"/>
      <c r="H9651" s="5"/>
      <c r="I9651" s="5"/>
      <c r="J9651" s="5"/>
      <c r="K9651" s="5"/>
      <c r="L9651" s="5"/>
      <c r="M9651" s="5"/>
      <c r="N9651" s="5"/>
      <c r="O9651" s="5"/>
      <c r="P9651" s="5"/>
      <c r="Q9651" s="5"/>
      <c r="R9651" s="5"/>
      <c r="S9651" s="5"/>
      <c r="T9651" s="5"/>
      <c r="U9651" s="5"/>
      <c r="V9651" s="5"/>
      <c r="W9651" s="5"/>
      <c r="X9651" s="5"/>
      <c r="Y9651" s="5"/>
      <c r="Z9651" s="5"/>
    </row>
    <row r="9652" spans="1:26" ht="15" x14ac:dyDescent="0.25">
      <c r="A9652" s="4" t="s">
        <v>9650</v>
      </c>
      <c r="B9652" s="4" t="s">
        <v>9011</v>
      </c>
      <c r="C9652" s="2" t="str">
        <f ca="1">IFERROR(__xludf.DUMMYFUNCTION("GOOGLETRANSLATE(A9652,""bn"",""en"")"),"Due to the investment of money in the development of the country's infrastructure, the work area will increase")</f>
        <v>Due to the investment of money in the development of the country's infrastructure, the work area will increase</v>
      </c>
      <c r="D9652" s="5"/>
      <c r="E9652" s="5"/>
      <c r="F9652" s="5"/>
      <c r="G9652" s="5"/>
      <c r="H9652" s="5"/>
      <c r="I9652" s="5"/>
      <c r="J9652" s="5"/>
      <c r="K9652" s="5"/>
      <c r="L9652" s="5"/>
      <c r="M9652" s="5"/>
      <c r="N9652" s="5"/>
      <c r="O9652" s="5"/>
      <c r="P9652" s="5"/>
      <c r="Q9652" s="5"/>
      <c r="R9652" s="5"/>
      <c r="S9652" s="5"/>
      <c r="T9652" s="5"/>
      <c r="U9652" s="5"/>
      <c r="V9652" s="5"/>
      <c r="W9652" s="5"/>
      <c r="X9652" s="5"/>
      <c r="Y9652" s="5"/>
      <c r="Z9652" s="5"/>
    </row>
    <row r="9653" spans="1:26" ht="15" x14ac:dyDescent="0.25">
      <c r="A9653" s="4" t="s">
        <v>9651</v>
      </c>
      <c r="B9653" s="4" t="s">
        <v>9011</v>
      </c>
      <c r="C9653" s="2" t="str">
        <f ca="1">IFERROR(__xludf.DUMMYFUNCTION("GOOGLETRANSLATE(A9653,""bn"",""en"")"),"I decided that I would go with them but eat at my father's house")</f>
        <v>I decided that I would go with them but eat at my father's house</v>
      </c>
      <c r="D9653" s="5"/>
      <c r="E9653" s="5"/>
      <c r="F9653" s="5"/>
      <c r="G9653" s="5"/>
      <c r="H9653" s="5"/>
      <c r="I9653" s="5"/>
      <c r="J9653" s="5"/>
      <c r="K9653" s="5"/>
      <c r="L9653" s="5"/>
      <c r="M9653" s="5"/>
      <c r="N9653" s="5"/>
      <c r="O9653" s="5"/>
      <c r="P9653" s="5"/>
      <c r="Q9653" s="5"/>
      <c r="R9653" s="5"/>
      <c r="S9653" s="5"/>
      <c r="T9653" s="5"/>
      <c r="U9653" s="5"/>
      <c r="V9653" s="5"/>
      <c r="W9653" s="5"/>
      <c r="X9653" s="5"/>
      <c r="Y9653" s="5"/>
      <c r="Z9653" s="5"/>
    </row>
    <row r="9654" spans="1:26" ht="15" x14ac:dyDescent="0.25">
      <c r="A9654" s="4" t="s">
        <v>9652</v>
      </c>
      <c r="B9654" s="4" t="s">
        <v>9011</v>
      </c>
      <c r="C9654" s="2" t="str">
        <f ca="1">IFERROR(__xludf.DUMMYFUNCTION("GOOGLETRANSLATE(A9654,""bn"",""en"")"),"I gave my heart only to you, I have opened the door of my heart saying that you will come, you will come, you will sit next to me, you will sing.")</f>
        <v>I gave my heart only to you, I have opened the door of my heart saying that you will come, you will come, you will sit next to me, you will sing.</v>
      </c>
      <c r="D9654" s="5"/>
      <c r="E9654" s="5"/>
      <c r="F9654" s="5"/>
      <c r="G9654" s="5"/>
      <c r="H9654" s="5"/>
      <c r="I9654" s="5"/>
      <c r="J9654" s="5"/>
      <c r="K9654" s="5"/>
      <c r="L9654" s="5"/>
      <c r="M9654" s="5"/>
      <c r="N9654" s="5"/>
      <c r="O9654" s="5"/>
      <c r="P9654" s="5"/>
      <c r="Q9654" s="5"/>
      <c r="R9654" s="5"/>
      <c r="S9654" s="5"/>
      <c r="T9654" s="5"/>
      <c r="U9654" s="5"/>
      <c r="V9654" s="5"/>
      <c r="W9654" s="5"/>
      <c r="X9654" s="5"/>
      <c r="Y9654" s="5"/>
      <c r="Z9654" s="5"/>
    </row>
    <row r="9655" spans="1:26" ht="15" x14ac:dyDescent="0.25">
      <c r="A9655" s="4" t="s">
        <v>9653</v>
      </c>
      <c r="B9655" s="4" t="s">
        <v>9011</v>
      </c>
      <c r="C9655" s="2" t="str">
        <f ca="1">IFERROR(__xludf.DUMMYFUNCTION("GOOGLETRANSLATE(A9655,""bn"",""en"")"),"You will be admitted to university next year")</f>
        <v>You will be admitted to university next year</v>
      </c>
      <c r="D9655" s="5"/>
      <c r="E9655" s="5"/>
      <c r="F9655" s="5"/>
      <c r="G9655" s="5"/>
      <c r="H9655" s="5"/>
      <c r="I9655" s="5"/>
      <c r="J9655" s="5"/>
      <c r="K9655" s="5"/>
      <c r="L9655" s="5"/>
      <c r="M9655" s="5"/>
      <c r="N9655" s="5"/>
      <c r="O9655" s="5"/>
      <c r="P9655" s="5"/>
      <c r="Q9655" s="5"/>
      <c r="R9655" s="5"/>
      <c r="S9655" s="5"/>
      <c r="T9655" s="5"/>
      <c r="U9655" s="5"/>
      <c r="V9655" s="5"/>
      <c r="W9655" s="5"/>
      <c r="X9655" s="5"/>
      <c r="Y9655" s="5"/>
      <c r="Z9655" s="5"/>
    </row>
    <row r="9656" spans="1:26" ht="15" x14ac:dyDescent="0.25">
      <c r="A9656" s="4" t="s">
        <v>9654</v>
      </c>
      <c r="B9656" s="4" t="s">
        <v>9011</v>
      </c>
      <c r="C9656" s="2" t="str">
        <f ca="1">IFERROR(__xludf.DUMMYFUNCTION("GOOGLETRANSLATE(A9656,""bn"",""en"")"),"We will start an environmental protection program next week where there will be workshops to raise awareness among the locals")</f>
        <v>We will start an environmental protection program next week where there will be workshops to raise awareness among the locals</v>
      </c>
      <c r="D9656" s="5"/>
      <c r="E9656" s="5"/>
      <c r="F9656" s="5"/>
      <c r="G9656" s="5"/>
      <c r="H9656" s="5"/>
      <c r="I9656" s="5"/>
      <c r="J9656" s="5"/>
      <c r="K9656" s="5"/>
      <c r="L9656" s="5"/>
      <c r="M9656" s="5"/>
      <c r="N9656" s="5"/>
      <c r="O9656" s="5"/>
      <c r="P9656" s="5"/>
      <c r="Q9656" s="5"/>
      <c r="R9656" s="5"/>
      <c r="S9656" s="5"/>
      <c r="T9656" s="5"/>
      <c r="U9656" s="5"/>
      <c r="V9656" s="5"/>
      <c r="W9656" s="5"/>
      <c r="X9656" s="5"/>
      <c r="Y9656" s="5"/>
      <c r="Z9656" s="5"/>
    </row>
    <row r="9657" spans="1:26" ht="15" x14ac:dyDescent="0.25">
      <c r="A9657" s="4" t="s">
        <v>9655</v>
      </c>
      <c r="B9657" s="4" t="s">
        <v>9011</v>
      </c>
      <c r="C9657" s="2" t="str">
        <f ca="1">IFERROR(__xludf.DUMMYFUNCTION("GOOGLETRANSLATE(A9657,""bn"",""en"")"),"My pictures will be like my dreams")</f>
        <v>My pictures will be like my dreams</v>
      </c>
      <c r="D9657" s="5"/>
      <c r="E9657" s="5"/>
      <c r="F9657" s="5"/>
      <c r="G9657" s="5"/>
      <c r="H9657" s="5"/>
      <c r="I9657" s="5"/>
      <c r="J9657" s="5"/>
      <c r="K9657" s="5"/>
      <c r="L9657" s="5"/>
      <c r="M9657" s="5"/>
      <c r="N9657" s="5"/>
      <c r="O9657" s="5"/>
      <c r="P9657" s="5"/>
      <c r="Q9657" s="5"/>
      <c r="R9657" s="5"/>
      <c r="S9657" s="5"/>
      <c r="T9657" s="5"/>
      <c r="U9657" s="5"/>
      <c r="V9657" s="5"/>
      <c r="W9657" s="5"/>
      <c r="X9657" s="5"/>
      <c r="Y9657" s="5"/>
      <c r="Z9657" s="5"/>
    </row>
    <row r="9658" spans="1:26" ht="15" x14ac:dyDescent="0.25">
      <c r="A9658" s="4" t="s">
        <v>9656</v>
      </c>
      <c r="B9658" s="4" t="s">
        <v>9011</v>
      </c>
      <c r="C9658" s="2" t="str">
        <f ca="1">IFERROR(__xludf.DUMMYFUNCTION("GOOGLETRANSLATE(A9658,""bn"",""en"")"),"I will buy beautiful things to decorate the new house")</f>
        <v>I will buy beautiful things to decorate the new house</v>
      </c>
      <c r="D9658" s="5"/>
      <c r="E9658" s="5"/>
      <c r="F9658" s="5"/>
      <c r="G9658" s="5"/>
      <c r="H9658" s="5"/>
      <c r="I9658" s="5"/>
      <c r="J9658" s="5"/>
      <c r="K9658" s="5"/>
      <c r="L9658" s="5"/>
      <c r="M9658" s="5"/>
      <c r="N9658" s="5"/>
      <c r="O9658" s="5"/>
      <c r="P9658" s="5"/>
      <c r="Q9658" s="5"/>
      <c r="R9658" s="5"/>
      <c r="S9658" s="5"/>
      <c r="T9658" s="5"/>
      <c r="U9658" s="5"/>
      <c r="V9658" s="5"/>
      <c r="W9658" s="5"/>
      <c r="X9658" s="5"/>
      <c r="Y9658" s="5"/>
      <c r="Z9658" s="5"/>
    </row>
    <row r="9659" spans="1:26" ht="15" x14ac:dyDescent="0.25">
      <c r="A9659" s="4" t="s">
        <v>9657</v>
      </c>
      <c r="B9659" s="4" t="s">
        <v>9011</v>
      </c>
      <c r="C9659" s="2" t="str">
        <f ca="1">IFERROR(__xludf.DUMMYFUNCTION("GOOGLETRANSLATE(A9659,""bn"",""en"")"),"I will observe when my students complete the training")</f>
        <v>I will observe when my students complete the training</v>
      </c>
      <c r="D9659" s="5"/>
      <c r="E9659" s="5"/>
      <c r="F9659" s="5"/>
      <c r="G9659" s="5"/>
      <c r="H9659" s="5"/>
      <c r="I9659" s="5"/>
      <c r="J9659" s="5"/>
      <c r="K9659" s="5"/>
      <c r="L9659" s="5"/>
      <c r="M9659" s="5"/>
      <c r="N9659" s="5"/>
      <c r="O9659" s="5"/>
      <c r="P9659" s="5"/>
      <c r="Q9659" s="5"/>
      <c r="R9659" s="5"/>
      <c r="S9659" s="5"/>
      <c r="T9659" s="5"/>
      <c r="U9659" s="5"/>
      <c r="V9659" s="5"/>
      <c r="W9659" s="5"/>
      <c r="X9659" s="5"/>
      <c r="Y9659" s="5"/>
      <c r="Z9659" s="5"/>
    </row>
    <row r="9660" spans="1:26" ht="15" x14ac:dyDescent="0.25">
      <c r="A9660" s="4" t="s">
        <v>9658</v>
      </c>
      <c r="B9660" s="4" t="s">
        <v>9011</v>
      </c>
      <c r="C9660" s="2" t="str">
        <f ca="1">IFERROR(__xludf.DUMMYFUNCTION("GOOGLETRANSLATE(A9660,""bn"",""en"")"),"I will continue to show up next week before my plan is completed")</f>
        <v>I will continue to show up next week before my plan is completed</v>
      </c>
      <c r="D9660" s="5"/>
      <c r="E9660" s="5"/>
      <c r="F9660" s="5"/>
      <c r="G9660" s="5"/>
      <c r="H9660" s="5"/>
      <c r="I9660" s="5"/>
      <c r="J9660" s="5"/>
      <c r="K9660" s="5"/>
      <c r="L9660" s="5"/>
      <c r="M9660" s="5"/>
      <c r="N9660" s="5"/>
      <c r="O9660" s="5"/>
      <c r="P9660" s="5"/>
      <c r="Q9660" s="5"/>
      <c r="R9660" s="5"/>
      <c r="S9660" s="5"/>
      <c r="T9660" s="5"/>
      <c r="U9660" s="5"/>
      <c r="V9660" s="5"/>
      <c r="W9660" s="5"/>
      <c r="X9660" s="5"/>
      <c r="Y9660" s="5"/>
      <c r="Z9660" s="5"/>
    </row>
    <row r="9661" spans="1:26" ht="15" x14ac:dyDescent="0.25">
      <c r="A9661" s="4" t="s">
        <v>9659</v>
      </c>
      <c r="B9661" s="4" t="s">
        <v>9011</v>
      </c>
      <c r="C9661" s="2" t="str">
        <f ca="1">IFERROR(__xludf.DUMMYFUNCTION("GOOGLETRANSLATE(A9661,""bn"",""en"")"),"Before starting a new project we will have a good plan to increase the chances of success")</f>
        <v>Before starting a new project we will have a good plan to increase the chances of success</v>
      </c>
      <c r="D9661" s="5"/>
      <c r="E9661" s="5"/>
      <c r="F9661" s="5"/>
      <c r="G9661" s="5"/>
      <c r="H9661" s="5"/>
      <c r="I9661" s="5"/>
      <c r="J9661" s="5"/>
      <c r="K9661" s="5"/>
      <c r="L9661" s="5"/>
      <c r="M9661" s="5"/>
      <c r="N9661" s="5"/>
      <c r="O9661" s="5"/>
      <c r="P9661" s="5"/>
      <c r="Q9661" s="5"/>
      <c r="R9661" s="5"/>
      <c r="S9661" s="5"/>
      <c r="T9661" s="5"/>
      <c r="U9661" s="5"/>
      <c r="V9661" s="5"/>
      <c r="W9661" s="5"/>
      <c r="X9661" s="5"/>
      <c r="Y9661" s="5"/>
      <c r="Z9661" s="5"/>
    </row>
    <row r="9662" spans="1:26" ht="15" x14ac:dyDescent="0.25">
      <c r="A9662" s="4" t="s">
        <v>9660</v>
      </c>
      <c r="B9662" s="4" t="s">
        <v>9011</v>
      </c>
      <c r="C9662" s="2" t="str">
        <f ca="1">IFERROR(__xludf.DUMMYFUNCTION("GOOGLETRANSLATE(A9662,""bn"",""en"")"),"I will share countless laughs with friends")</f>
        <v>I will share countless laughs with friends</v>
      </c>
      <c r="D9662" s="5"/>
      <c r="E9662" s="5"/>
      <c r="F9662" s="5"/>
      <c r="G9662" s="5"/>
      <c r="H9662" s="5"/>
      <c r="I9662" s="5"/>
      <c r="J9662" s="5"/>
      <c r="K9662" s="5"/>
      <c r="L9662" s="5"/>
      <c r="M9662" s="5"/>
      <c r="N9662" s="5"/>
      <c r="O9662" s="5"/>
      <c r="P9662" s="5"/>
      <c r="Q9662" s="5"/>
      <c r="R9662" s="5"/>
      <c r="S9662" s="5"/>
      <c r="T9662" s="5"/>
      <c r="U9662" s="5"/>
      <c r="V9662" s="5"/>
      <c r="W9662" s="5"/>
      <c r="X9662" s="5"/>
      <c r="Y9662" s="5"/>
      <c r="Z9662" s="5"/>
    </row>
    <row r="9663" spans="1:26" ht="15" x14ac:dyDescent="0.25">
      <c r="A9663" s="4" t="s">
        <v>9661</v>
      </c>
      <c r="B9663" s="4" t="s">
        <v>9011</v>
      </c>
      <c r="C9663" s="2" t="str">
        <f ca="1">IFERROR(__xludf.DUMMYFUNCTION("GOOGLETRANSLATE(A9663,""bn"",""en"")"),"The people close to the story of the playmate will now be with me too. I will welcome you my little footy baby")</f>
        <v>The people close to the story of the playmate will now be with me too. I will welcome you my little footy baby</v>
      </c>
      <c r="D9663" s="5"/>
      <c r="E9663" s="5"/>
      <c r="F9663" s="5"/>
      <c r="G9663" s="5"/>
      <c r="H9663" s="5"/>
      <c r="I9663" s="5"/>
      <c r="J9663" s="5"/>
      <c r="K9663" s="5"/>
      <c r="L9663" s="5"/>
      <c r="M9663" s="5"/>
      <c r="N9663" s="5"/>
      <c r="O9663" s="5"/>
      <c r="P9663" s="5"/>
      <c r="Q9663" s="5"/>
      <c r="R9663" s="5"/>
      <c r="S9663" s="5"/>
      <c r="T9663" s="5"/>
      <c r="U9663" s="5"/>
      <c r="V9663" s="5"/>
      <c r="W9663" s="5"/>
      <c r="X9663" s="5"/>
      <c r="Y9663" s="5"/>
      <c r="Z9663" s="5"/>
    </row>
    <row r="9664" spans="1:26" ht="15" x14ac:dyDescent="0.25">
      <c r="A9664" s="4" t="s">
        <v>9662</v>
      </c>
      <c r="B9664" s="4" t="s">
        <v>9011</v>
      </c>
      <c r="C9664" s="2" t="str">
        <f ca="1">IFERROR(__xludf.DUMMYFUNCTION("GOOGLETRANSLATE(A9664,""bn"",""en"")"),"This gift from my parents will be an invaluable asset to me")</f>
        <v>This gift from my parents will be an invaluable asset to me</v>
      </c>
      <c r="D9664" s="5"/>
      <c r="E9664" s="5"/>
      <c r="F9664" s="5"/>
      <c r="G9664" s="5"/>
      <c r="H9664" s="5"/>
      <c r="I9664" s="5"/>
      <c r="J9664" s="5"/>
      <c r="K9664" s="5"/>
      <c r="L9664" s="5"/>
      <c r="M9664" s="5"/>
      <c r="N9664" s="5"/>
      <c r="O9664" s="5"/>
      <c r="P9664" s="5"/>
      <c r="Q9664" s="5"/>
      <c r="R9664" s="5"/>
      <c r="S9664" s="5"/>
      <c r="T9664" s="5"/>
      <c r="U9664" s="5"/>
      <c r="V9664" s="5"/>
      <c r="W9664" s="5"/>
      <c r="X9664" s="5"/>
      <c r="Y9664" s="5"/>
      <c r="Z9664" s="5"/>
    </row>
    <row r="9665" spans="1:26" ht="15" x14ac:dyDescent="0.25">
      <c r="A9665" s="4" t="s">
        <v>9663</v>
      </c>
      <c r="B9665" s="4" t="s">
        <v>9011</v>
      </c>
      <c r="C9665" s="2" t="str">
        <f ca="1">IFERROR(__xludf.DUMMYFUNCTION("GOOGLETRANSLATE(A9665,""bn"",""en"")"),"The pages of stories will depict the happiness of life")</f>
        <v>The pages of stories will depict the happiness of life</v>
      </c>
      <c r="D9665" s="5"/>
      <c r="E9665" s="5"/>
      <c r="F9665" s="5"/>
      <c r="G9665" s="5"/>
      <c r="H9665" s="5"/>
      <c r="I9665" s="5"/>
      <c r="J9665" s="5"/>
      <c r="K9665" s="5"/>
      <c r="L9665" s="5"/>
      <c r="M9665" s="5"/>
      <c r="N9665" s="5"/>
      <c r="O9665" s="5"/>
      <c r="P9665" s="5"/>
      <c r="Q9665" s="5"/>
      <c r="R9665" s="5"/>
      <c r="S9665" s="5"/>
      <c r="T9665" s="5"/>
      <c r="U9665" s="5"/>
      <c r="V9665" s="5"/>
      <c r="W9665" s="5"/>
      <c r="X9665" s="5"/>
      <c r="Y9665" s="5"/>
      <c r="Z9665" s="5"/>
    </row>
    <row r="9666" spans="1:26" ht="15" x14ac:dyDescent="0.25">
      <c r="A9666" s="4" t="s">
        <v>9664</v>
      </c>
      <c r="B9666" s="4" t="s">
        <v>9011</v>
      </c>
      <c r="C9666" s="2" t="str">
        <f ca="1">IFERROR(__xludf.DUMMYFUNCTION("GOOGLETRANSLATE(A9666,""bn"",""en"")"),"I will join a multinational company when my final year of university is over")</f>
        <v>I will join a multinational company when my final year of university is over</v>
      </c>
      <c r="D9666" s="5"/>
      <c r="E9666" s="5"/>
      <c r="F9666" s="5"/>
      <c r="G9666" s="5"/>
      <c r="H9666" s="5"/>
      <c r="I9666" s="5"/>
      <c r="J9666" s="5"/>
      <c r="K9666" s="5"/>
      <c r="L9666" s="5"/>
      <c r="M9666" s="5"/>
      <c r="N9666" s="5"/>
      <c r="O9666" s="5"/>
      <c r="P9666" s="5"/>
      <c r="Q9666" s="5"/>
      <c r="R9666" s="5"/>
      <c r="S9666" s="5"/>
      <c r="T9666" s="5"/>
      <c r="U9666" s="5"/>
      <c r="V9666" s="5"/>
      <c r="W9666" s="5"/>
      <c r="X9666" s="5"/>
      <c r="Y9666" s="5"/>
      <c r="Z9666" s="5"/>
    </row>
    <row r="9667" spans="1:26" ht="15" x14ac:dyDescent="0.25">
      <c r="A9667" s="4" t="s">
        <v>9665</v>
      </c>
      <c r="B9667" s="4" t="s">
        <v>9011</v>
      </c>
      <c r="C9667" s="2" t="str">
        <f ca="1">IFERROR(__xludf.DUMMYFUNCTION("GOOGLETRANSLATE(A9667,""bn"",""en"")"),"If you want to be alone then be like a tiger and if you want company then be like an ant in a group")</f>
        <v>If you want to be alone then be like a tiger and if you want company then be like an ant in a group</v>
      </c>
      <c r="D9667" s="5"/>
      <c r="E9667" s="5"/>
      <c r="F9667" s="5"/>
      <c r="G9667" s="5"/>
      <c r="H9667" s="5"/>
      <c r="I9667" s="5"/>
      <c r="J9667" s="5"/>
      <c r="K9667" s="5"/>
      <c r="L9667" s="5"/>
      <c r="M9667" s="5"/>
      <c r="N9667" s="5"/>
      <c r="O9667" s="5"/>
      <c r="P9667" s="5"/>
      <c r="Q9667" s="5"/>
      <c r="R9667" s="5"/>
      <c r="S9667" s="5"/>
      <c r="T9667" s="5"/>
      <c r="U9667" s="5"/>
      <c r="V9667" s="5"/>
      <c r="W9667" s="5"/>
      <c r="X9667" s="5"/>
      <c r="Y9667" s="5"/>
      <c r="Z9667" s="5"/>
    </row>
    <row r="9668" spans="1:26" ht="15" x14ac:dyDescent="0.25">
      <c r="A9668" s="4" t="s">
        <v>9666</v>
      </c>
      <c r="B9668" s="4" t="s">
        <v>9011</v>
      </c>
      <c r="C9668" s="2" t="str">
        <f ca="1">IFERROR(__xludf.DUMMYFUNCTION("GOOGLETRANSLATE(A9668,""bn"",""en"")"),"We will be implementing all necessary business opportunities as we progress step by step towards the completion of the project")</f>
        <v>We will be implementing all necessary business opportunities as we progress step by step towards the completion of the project</v>
      </c>
      <c r="D9668" s="5"/>
      <c r="E9668" s="5"/>
      <c r="F9668" s="5"/>
      <c r="G9668" s="5"/>
      <c r="H9668" s="5"/>
      <c r="I9668" s="5"/>
      <c r="J9668" s="5"/>
      <c r="K9668" s="5"/>
      <c r="L9668" s="5"/>
      <c r="M9668" s="5"/>
      <c r="N9668" s="5"/>
      <c r="O9668" s="5"/>
      <c r="P9668" s="5"/>
      <c r="Q9668" s="5"/>
      <c r="R9668" s="5"/>
      <c r="S9668" s="5"/>
      <c r="T9668" s="5"/>
      <c r="U9668" s="5"/>
      <c r="V9668" s="5"/>
      <c r="W9668" s="5"/>
      <c r="X9668" s="5"/>
      <c r="Y9668" s="5"/>
      <c r="Z9668" s="5"/>
    </row>
    <row r="9669" spans="1:26" ht="15" x14ac:dyDescent="0.25">
      <c r="A9669" s="4" t="s">
        <v>9667</v>
      </c>
      <c r="B9669" s="4" t="s">
        <v>9011</v>
      </c>
      <c r="C9669" s="2" t="str">
        <f ca="1">IFERROR(__xludf.DUMMYFUNCTION("GOOGLETRANSLATE(A9669,""bn"",""en"")"),"We will be starting a new film production project next month where local talent will be given an opportunity")</f>
        <v>We will be starting a new film production project next month where local talent will be given an opportunity</v>
      </c>
      <c r="D9669" s="5"/>
      <c r="E9669" s="5"/>
      <c r="F9669" s="5"/>
      <c r="G9669" s="5"/>
      <c r="H9669" s="5"/>
      <c r="I9669" s="5"/>
      <c r="J9669" s="5"/>
      <c r="K9669" s="5"/>
      <c r="L9669" s="5"/>
      <c r="M9669" s="5"/>
      <c r="N9669" s="5"/>
      <c r="O9669" s="5"/>
      <c r="P9669" s="5"/>
      <c r="Q9669" s="5"/>
      <c r="R9669" s="5"/>
      <c r="S9669" s="5"/>
      <c r="T9669" s="5"/>
      <c r="U9669" s="5"/>
      <c r="V9669" s="5"/>
      <c r="W9669" s="5"/>
      <c r="X9669" s="5"/>
      <c r="Y9669" s="5"/>
      <c r="Z9669" s="5"/>
    </row>
    <row r="9670" spans="1:26" ht="15" x14ac:dyDescent="0.25">
      <c r="A9670" s="4" t="s">
        <v>9668</v>
      </c>
      <c r="B9670" s="4" t="s">
        <v>9011</v>
      </c>
      <c r="C9670" s="2" t="str">
        <f ca="1">IFERROR(__xludf.DUMMYFUNCTION("GOOGLETRANSLATE(A9670,""bn"",""en"")"),"We will be planning to decorate the house next month")</f>
        <v>We will be planning to decorate the house next month</v>
      </c>
      <c r="D9670" s="5"/>
      <c r="E9670" s="5"/>
      <c r="F9670" s="5"/>
      <c r="G9670" s="5"/>
      <c r="H9670" s="5"/>
      <c r="I9670" s="5"/>
      <c r="J9670" s="5"/>
      <c r="K9670" s="5"/>
      <c r="L9670" s="5"/>
      <c r="M9670" s="5"/>
      <c r="N9670" s="5"/>
      <c r="O9670" s="5"/>
      <c r="P9670" s="5"/>
      <c r="Q9670" s="5"/>
      <c r="R9670" s="5"/>
      <c r="S9670" s="5"/>
      <c r="T9670" s="5"/>
      <c r="U9670" s="5"/>
      <c r="V9670" s="5"/>
      <c r="W9670" s="5"/>
      <c r="X9670" s="5"/>
      <c r="Y9670" s="5"/>
      <c r="Z9670" s="5"/>
    </row>
    <row r="9671" spans="1:26" ht="15" x14ac:dyDescent="0.25">
      <c r="A9671" s="4" t="s">
        <v>9669</v>
      </c>
      <c r="B9671" s="4" t="s">
        <v>9011</v>
      </c>
      <c r="C9671" s="2" t="str">
        <f ca="1">IFERROR(__xludf.DUMMYFUNCTION("GOOGLETRANSLATE(A9671,""bn"",""en"")"),"I will start learning new technologies in the coming year which I hope will help me in my professional path")</f>
        <v>I will start learning new technologies in the coming year which I hope will help me in my professional path</v>
      </c>
      <c r="D9671" s="5"/>
      <c r="E9671" s="5"/>
      <c r="F9671" s="5"/>
      <c r="G9671" s="5"/>
      <c r="H9671" s="5"/>
      <c r="I9671" s="5"/>
      <c r="J9671" s="5"/>
      <c r="K9671" s="5"/>
      <c r="L9671" s="5"/>
      <c r="M9671" s="5"/>
      <c r="N9671" s="5"/>
      <c r="O9671" s="5"/>
      <c r="P9671" s="5"/>
      <c r="Q9671" s="5"/>
      <c r="R9671" s="5"/>
      <c r="S9671" s="5"/>
      <c r="T9671" s="5"/>
      <c r="U9671" s="5"/>
      <c r="V9671" s="5"/>
      <c r="W9671" s="5"/>
      <c r="X9671" s="5"/>
      <c r="Y9671" s="5"/>
      <c r="Z9671" s="5"/>
    </row>
    <row r="9672" spans="1:26" ht="15" x14ac:dyDescent="0.25">
      <c r="A9672" s="4" t="s">
        <v>9670</v>
      </c>
      <c r="B9672" s="4" t="s">
        <v>9011</v>
      </c>
      <c r="C9672" s="2" t="str">
        <f ca="1">IFERROR(__xludf.DUMMYFUNCTION("GOOGLETRANSLATE(A9672,""bn"",""en"")"),"I will work to educate people about the importance of caring for the environment")</f>
        <v>I will work to educate people about the importance of caring for the environment</v>
      </c>
      <c r="D9672" s="5"/>
      <c r="E9672" s="5"/>
      <c r="F9672" s="5"/>
      <c r="G9672" s="5"/>
      <c r="H9672" s="5"/>
      <c r="I9672" s="5"/>
      <c r="J9672" s="5"/>
      <c r="K9672" s="5"/>
      <c r="L9672" s="5"/>
      <c r="M9672" s="5"/>
      <c r="N9672" s="5"/>
      <c r="O9672" s="5"/>
      <c r="P9672" s="5"/>
      <c r="Q9672" s="5"/>
      <c r="R9672" s="5"/>
      <c r="S9672" s="5"/>
      <c r="T9672" s="5"/>
      <c r="U9672" s="5"/>
      <c r="V9672" s="5"/>
      <c r="W9672" s="5"/>
      <c r="X9672" s="5"/>
      <c r="Y9672" s="5"/>
      <c r="Z9672" s="5"/>
    </row>
    <row r="9673" spans="1:26" ht="15" x14ac:dyDescent="0.25">
      <c r="A9673" s="4" t="s">
        <v>9671</v>
      </c>
      <c r="B9673" s="4" t="s">
        <v>9011</v>
      </c>
      <c r="C9673" s="2" t="str">
        <f ca="1">IFERROR(__xludf.DUMMYFUNCTION("GOOGLETRANSLATE(A9673,""bn"",""en"")"),"We will start new project tomorrow")</f>
        <v>We will start new project tomorrow</v>
      </c>
      <c r="D9673" s="5"/>
      <c r="E9673" s="5"/>
      <c r="F9673" s="5"/>
      <c r="G9673" s="5"/>
      <c r="H9673" s="5"/>
      <c r="I9673" s="5"/>
      <c r="J9673" s="5"/>
      <c r="K9673" s="5"/>
      <c r="L9673" s="5"/>
      <c r="M9673" s="5"/>
      <c r="N9673" s="5"/>
      <c r="O9673" s="5"/>
      <c r="P9673" s="5"/>
      <c r="Q9673" s="5"/>
      <c r="R9673" s="5"/>
      <c r="S9673" s="5"/>
      <c r="T9673" s="5"/>
      <c r="U9673" s="5"/>
      <c r="V9673" s="5"/>
      <c r="W9673" s="5"/>
      <c r="X9673" s="5"/>
      <c r="Y9673" s="5"/>
      <c r="Z9673" s="5"/>
    </row>
    <row r="9674" spans="1:26" ht="15" x14ac:dyDescent="0.25">
      <c r="A9674" s="4" t="s">
        <v>9672</v>
      </c>
      <c r="B9674" s="4" t="s">
        <v>9011</v>
      </c>
      <c r="C9674" s="2" t="str">
        <f ca="1">IFERROR(__xludf.DUMMYFUNCTION("GOOGLETRANSLATE(A9674,""bn"",""en"")"),"In future I will be a successful teacher where I can give good education to many students")</f>
        <v>In future I will be a successful teacher where I can give good education to many students</v>
      </c>
      <c r="D9674" s="5"/>
      <c r="E9674" s="5"/>
      <c r="F9674" s="5"/>
      <c r="G9674" s="5"/>
      <c r="H9674" s="5"/>
      <c r="I9674" s="5"/>
      <c r="J9674" s="5"/>
      <c r="K9674" s="5"/>
      <c r="L9674" s="5"/>
      <c r="M9674" s="5"/>
      <c r="N9674" s="5"/>
      <c r="O9674" s="5"/>
      <c r="P9674" s="5"/>
      <c r="Q9674" s="5"/>
      <c r="R9674" s="5"/>
      <c r="S9674" s="5"/>
      <c r="T9674" s="5"/>
      <c r="U9674" s="5"/>
      <c r="V9674" s="5"/>
      <c r="W9674" s="5"/>
      <c r="X9674" s="5"/>
      <c r="Y9674" s="5"/>
      <c r="Z9674" s="5"/>
    </row>
    <row r="9675" spans="1:26" ht="15" x14ac:dyDescent="0.25">
      <c r="A9675" s="4" t="s">
        <v>9673</v>
      </c>
      <c r="B9675" s="4" t="s">
        <v>9011</v>
      </c>
      <c r="C9675" s="2" t="str">
        <f ca="1">IFERROR(__xludf.DUMMYFUNCTION("GOOGLETRANSLATE(A9675,""bn"",""en"")"),"Today will be a new challenge in the kitchen to try to make biryani, stay with us to know the result")</f>
        <v>Today will be a new challenge in the kitchen to try to make biryani, stay with us to know the result</v>
      </c>
      <c r="D9675" s="5"/>
      <c r="E9675" s="5"/>
      <c r="F9675" s="5"/>
      <c r="G9675" s="5"/>
      <c r="H9675" s="5"/>
      <c r="I9675" s="5"/>
      <c r="J9675" s="5"/>
      <c r="K9675" s="5"/>
      <c r="L9675" s="5"/>
      <c r="M9675" s="5"/>
      <c r="N9675" s="5"/>
      <c r="O9675" s="5"/>
      <c r="P9675" s="5"/>
      <c r="Q9675" s="5"/>
      <c r="R9675" s="5"/>
      <c r="S9675" s="5"/>
      <c r="T9675" s="5"/>
      <c r="U9675" s="5"/>
      <c r="V9675" s="5"/>
      <c r="W9675" s="5"/>
      <c r="X9675" s="5"/>
      <c r="Y9675" s="5"/>
      <c r="Z9675" s="5"/>
    </row>
    <row r="9676" spans="1:26" ht="15" x14ac:dyDescent="0.25">
      <c r="A9676" s="4" t="s">
        <v>9674</v>
      </c>
      <c r="B9676" s="4" t="s">
        <v>9011</v>
      </c>
      <c r="C9676" s="2" t="str">
        <f ca="1">IFERROR(__xludf.DUMMYFUNCTION("GOOGLETRANSLATE(A9676,""bn"",""en"")"),"A man will get his valuable education from his family")</f>
        <v>A man will get his valuable education from his family</v>
      </c>
      <c r="D9676" s="5"/>
      <c r="E9676" s="5"/>
      <c r="F9676" s="5"/>
      <c r="G9676" s="5"/>
      <c r="H9676" s="5"/>
      <c r="I9676" s="5"/>
      <c r="J9676" s="5"/>
      <c r="K9676" s="5"/>
      <c r="L9676" s="5"/>
      <c r="M9676" s="5"/>
      <c r="N9676" s="5"/>
      <c r="O9676" s="5"/>
      <c r="P9676" s="5"/>
      <c r="Q9676" s="5"/>
      <c r="R9676" s="5"/>
      <c r="S9676" s="5"/>
      <c r="T9676" s="5"/>
      <c r="U9676" s="5"/>
      <c r="V9676" s="5"/>
      <c r="W9676" s="5"/>
      <c r="X9676" s="5"/>
      <c r="Y9676" s="5"/>
      <c r="Z9676" s="5"/>
    </row>
    <row r="9677" spans="1:26" ht="15" x14ac:dyDescent="0.25">
      <c r="A9677" s="4" t="s">
        <v>9675</v>
      </c>
      <c r="B9677" s="4" t="s">
        <v>9011</v>
      </c>
      <c r="C9677" s="2" t="str">
        <f ca="1">IFERROR(__xludf.DUMMYFUNCTION("GOOGLETRANSLATE(A9677,""bn"",""en"")"),"Comedy show will provide light of laughter in people's hearts through various stories and funny stories. Watching this comedy show people will get new motivation and encouragement for their daily work.")</f>
        <v>Comedy show will provide light of laughter in people's hearts through various stories and funny stories. Watching this comedy show people will get new motivation and encouragement for their daily work.</v>
      </c>
      <c r="D9677" s="5"/>
      <c r="E9677" s="5"/>
      <c r="F9677" s="5"/>
      <c r="G9677" s="5"/>
      <c r="H9677" s="5"/>
      <c r="I9677" s="5"/>
      <c r="J9677" s="5"/>
      <c r="K9677" s="5"/>
      <c r="L9677" s="5"/>
      <c r="M9677" s="5"/>
      <c r="N9677" s="5"/>
      <c r="O9677" s="5"/>
      <c r="P9677" s="5"/>
      <c r="Q9677" s="5"/>
      <c r="R9677" s="5"/>
      <c r="S9677" s="5"/>
      <c r="T9677" s="5"/>
      <c r="U9677" s="5"/>
      <c r="V9677" s="5"/>
      <c r="W9677" s="5"/>
      <c r="X9677" s="5"/>
      <c r="Y9677" s="5"/>
      <c r="Z9677" s="5"/>
    </row>
    <row r="9678" spans="1:26" ht="15" x14ac:dyDescent="0.25">
      <c r="A9678" s="4" t="s">
        <v>9676</v>
      </c>
      <c r="B9678" s="4" t="s">
        <v>9011</v>
      </c>
      <c r="C9678" s="2" t="str">
        <f ca="1">IFERROR(__xludf.DUMMYFUNCTION("GOOGLETRANSLATE(A9678,""bn"",""en"")"),"Next year I will participate in a scientific research project that will create new opportunities for mankind")</f>
        <v>Next year I will participate in a scientific research project that will create new opportunities for mankind</v>
      </c>
      <c r="D9678" s="5"/>
      <c r="E9678" s="5"/>
      <c r="F9678" s="5"/>
      <c r="G9678" s="5"/>
      <c r="H9678" s="5"/>
      <c r="I9678" s="5"/>
      <c r="J9678" s="5"/>
      <c r="K9678" s="5"/>
      <c r="L9678" s="5"/>
      <c r="M9678" s="5"/>
      <c r="N9678" s="5"/>
      <c r="O9678" s="5"/>
      <c r="P9678" s="5"/>
      <c r="Q9678" s="5"/>
      <c r="R9678" s="5"/>
      <c r="S9678" s="5"/>
      <c r="T9678" s="5"/>
      <c r="U9678" s="5"/>
      <c r="V9678" s="5"/>
      <c r="W9678" s="5"/>
      <c r="X9678" s="5"/>
      <c r="Y9678" s="5"/>
      <c r="Z9678" s="5"/>
    </row>
    <row r="9679" spans="1:26" ht="15" x14ac:dyDescent="0.25">
      <c r="A9679" s="4" t="s">
        <v>9677</v>
      </c>
      <c r="B9679" s="4" t="s">
        <v>9011</v>
      </c>
      <c r="C9679" s="2" t="str">
        <f ca="1">IFERROR(__xludf.DUMMYFUNCTION("GOOGLETRANSLATE(A9679,""bn"",""en"")"),"By eating food from the hand of the grandchild, it will seem that the grandchild will take care of it like a mother")</f>
        <v>By eating food from the hand of the grandchild, it will seem that the grandchild will take care of it like a mother</v>
      </c>
      <c r="D9679" s="5"/>
      <c r="E9679" s="5"/>
      <c r="F9679" s="5"/>
      <c r="G9679" s="5"/>
      <c r="H9679" s="5"/>
      <c r="I9679" s="5"/>
      <c r="J9679" s="5"/>
      <c r="K9679" s="5"/>
      <c r="L9679" s="5"/>
      <c r="M9679" s="5"/>
      <c r="N9679" s="5"/>
      <c r="O9679" s="5"/>
      <c r="P9679" s="5"/>
      <c r="Q9679" s="5"/>
      <c r="R9679" s="5"/>
      <c r="S9679" s="5"/>
      <c r="T9679" s="5"/>
      <c r="U9679" s="5"/>
      <c r="V9679" s="5"/>
      <c r="W9679" s="5"/>
      <c r="X9679" s="5"/>
      <c r="Y9679" s="5"/>
      <c r="Z9679" s="5"/>
    </row>
    <row r="9680" spans="1:26" ht="15" x14ac:dyDescent="0.25">
      <c r="A9680" s="4" t="s">
        <v>9678</v>
      </c>
      <c r="B9680" s="4" t="s">
        <v>9011</v>
      </c>
      <c r="C9680" s="2" t="str">
        <f ca="1">IFERROR(__xludf.DUMMYFUNCTION("GOOGLETRANSLATE(A9680,""bn"",""en"")"),"Next month we will participate in a cultural festival where we will learn about the cultures of different countries")</f>
        <v>Next month we will participate in a cultural festival where we will learn about the cultures of different countries</v>
      </c>
      <c r="D9680" s="5"/>
      <c r="E9680" s="5"/>
      <c r="F9680" s="5"/>
      <c r="G9680" s="5"/>
      <c r="H9680" s="5"/>
      <c r="I9680" s="5"/>
      <c r="J9680" s="5"/>
      <c r="K9680" s="5"/>
      <c r="L9680" s="5"/>
      <c r="M9680" s="5"/>
      <c r="N9680" s="5"/>
      <c r="O9680" s="5"/>
      <c r="P9680" s="5"/>
      <c r="Q9680" s="5"/>
      <c r="R9680" s="5"/>
      <c r="S9680" s="5"/>
      <c r="T9680" s="5"/>
      <c r="U9680" s="5"/>
      <c r="V9680" s="5"/>
      <c r="W9680" s="5"/>
      <c r="X9680" s="5"/>
      <c r="Y9680" s="5"/>
      <c r="Z9680" s="5"/>
    </row>
    <row r="9681" spans="1:26" ht="15" x14ac:dyDescent="0.25">
      <c r="A9681" s="4" t="s">
        <v>9679</v>
      </c>
      <c r="B9681" s="4" t="s">
        <v>9011</v>
      </c>
      <c r="C9681" s="2" t="str">
        <f ca="1">IFERROR(__xludf.DUMMYFUNCTION("GOOGLETRANSLATE(A9681,""bn"",""en"")"),"A water picnic will be organized for all of us next week")</f>
        <v>A water picnic will be organized for all of us next week</v>
      </c>
      <c r="D9681" s="5"/>
      <c r="E9681" s="5"/>
      <c r="F9681" s="5"/>
      <c r="G9681" s="5"/>
      <c r="H9681" s="5"/>
      <c r="I9681" s="5"/>
      <c r="J9681" s="5"/>
      <c r="K9681" s="5"/>
      <c r="L9681" s="5"/>
      <c r="M9681" s="5"/>
      <c r="N9681" s="5"/>
      <c r="O9681" s="5"/>
      <c r="P9681" s="5"/>
      <c r="Q9681" s="5"/>
      <c r="R9681" s="5"/>
      <c r="S9681" s="5"/>
      <c r="T9681" s="5"/>
      <c r="U9681" s="5"/>
      <c r="V9681" s="5"/>
      <c r="W9681" s="5"/>
      <c r="X9681" s="5"/>
      <c r="Y9681" s="5"/>
      <c r="Z9681" s="5"/>
    </row>
    <row r="9682" spans="1:26" ht="15" x14ac:dyDescent="0.25">
      <c r="A9682" s="4" t="s">
        <v>9680</v>
      </c>
      <c r="B9682" s="4" t="s">
        <v>9011</v>
      </c>
      <c r="C9682" s="2" t="str">
        <f ca="1">IFERROR(__xludf.DUMMYFUNCTION("GOOGLETRANSLATE(A9682,""bn"",""en"")"),"You can meet Biswas with me tomorrow")</f>
        <v>You can meet Biswas with me tomorrow</v>
      </c>
      <c r="D9682" s="5"/>
      <c r="E9682" s="5"/>
      <c r="F9682" s="5"/>
      <c r="G9682" s="5"/>
      <c r="H9682" s="5"/>
      <c r="I9682" s="5"/>
      <c r="J9682" s="5"/>
      <c r="K9682" s="5"/>
      <c r="L9682" s="5"/>
      <c r="M9682" s="5"/>
      <c r="N9682" s="5"/>
      <c r="O9682" s="5"/>
      <c r="P9682" s="5"/>
      <c r="Q9682" s="5"/>
      <c r="R9682" s="5"/>
      <c r="S9682" s="5"/>
      <c r="T9682" s="5"/>
      <c r="U9682" s="5"/>
      <c r="V9682" s="5"/>
      <c r="W9682" s="5"/>
      <c r="X9682" s="5"/>
      <c r="Y9682" s="5"/>
      <c r="Z9682" s="5"/>
    </row>
    <row r="9683" spans="1:26" ht="15" x14ac:dyDescent="0.25">
      <c r="A9683" s="4" t="s">
        <v>9681</v>
      </c>
      <c r="B9683" s="4" t="s">
        <v>9011</v>
      </c>
      <c r="C9683" s="2" t="str">
        <f ca="1">IFERROR(__xludf.DUMMYFUNCTION("GOOGLETRANSLATE(A9683,""bn"",""en"")"),"We will recognize the hard work of the new director of the organization only if they meet all the business goals")</f>
        <v>We will recognize the hard work of the new director of the organization only if they meet all the business goals</v>
      </c>
      <c r="D9683" s="5"/>
      <c r="E9683" s="5"/>
      <c r="F9683" s="5"/>
      <c r="G9683" s="5"/>
      <c r="H9683" s="5"/>
      <c r="I9683" s="5"/>
      <c r="J9683" s="5"/>
      <c r="K9683" s="5"/>
      <c r="L9683" s="5"/>
      <c r="M9683" s="5"/>
      <c r="N9683" s="5"/>
      <c r="O9683" s="5"/>
      <c r="P9683" s="5"/>
      <c r="Q9683" s="5"/>
      <c r="R9683" s="5"/>
      <c r="S9683" s="5"/>
      <c r="T9683" s="5"/>
      <c r="U9683" s="5"/>
      <c r="V9683" s="5"/>
      <c r="W9683" s="5"/>
      <c r="X9683" s="5"/>
      <c r="Y9683" s="5"/>
      <c r="Z9683" s="5"/>
    </row>
    <row r="9684" spans="1:26" ht="15" x14ac:dyDescent="0.25">
      <c r="A9684" s="4" t="s">
        <v>9682</v>
      </c>
      <c r="B9684" s="4" t="s">
        <v>9011</v>
      </c>
      <c r="C9684" s="2" t="str">
        <f ca="1">IFERROR(__xludf.DUMMYFUNCTION("GOOGLETRANSLATE(A9684,""bn"",""en"")"),"They will participate in a seminar on advanced power generation technology next year")</f>
        <v>They will participate in a seminar on advanced power generation technology next year</v>
      </c>
      <c r="D9684" s="5"/>
      <c r="E9684" s="5"/>
      <c r="F9684" s="5"/>
      <c r="G9684" s="5"/>
      <c r="H9684" s="5"/>
      <c r="I9684" s="5"/>
      <c r="J9684" s="5"/>
      <c r="K9684" s="5"/>
      <c r="L9684" s="5"/>
      <c r="M9684" s="5"/>
      <c r="N9684" s="5"/>
      <c r="O9684" s="5"/>
      <c r="P9684" s="5"/>
      <c r="Q9684" s="5"/>
      <c r="R9684" s="5"/>
      <c r="S9684" s="5"/>
      <c r="T9684" s="5"/>
      <c r="U9684" s="5"/>
      <c r="V9684" s="5"/>
      <c r="W9684" s="5"/>
      <c r="X9684" s="5"/>
      <c r="Y9684" s="5"/>
      <c r="Z9684" s="5"/>
    </row>
    <row r="9685" spans="1:26" ht="15" x14ac:dyDescent="0.25">
      <c r="A9685" s="4" t="s">
        <v>9683</v>
      </c>
      <c r="B9685" s="4" t="s">
        <v>9011</v>
      </c>
      <c r="C9685" s="2" t="str">
        <f ca="1">IFERROR(__xludf.DUMMYFUNCTION("GOOGLETRANSLATE(A9685,""bn"",""en"")"),"Your smile will be the most beautiful sight in my life Happy Wedding Anniversary dear")</f>
        <v>Your smile will be the most beautiful sight in my life Happy Wedding Anniversary dear</v>
      </c>
      <c r="D9685" s="5"/>
      <c r="E9685" s="5"/>
      <c r="F9685" s="5"/>
      <c r="G9685" s="5"/>
      <c r="H9685" s="5"/>
      <c r="I9685" s="5"/>
      <c r="J9685" s="5"/>
      <c r="K9685" s="5"/>
      <c r="L9685" s="5"/>
      <c r="M9685" s="5"/>
      <c r="N9685" s="5"/>
      <c r="O9685" s="5"/>
      <c r="P9685" s="5"/>
      <c r="Q9685" s="5"/>
      <c r="R9685" s="5"/>
      <c r="S9685" s="5"/>
      <c r="T9685" s="5"/>
      <c r="U9685" s="5"/>
      <c r="V9685" s="5"/>
      <c r="W9685" s="5"/>
      <c r="X9685" s="5"/>
      <c r="Y9685" s="5"/>
      <c r="Z9685" s="5"/>
    </row>
    <row r="9686" spans="1:26" ht="15" x14ac:dyDescent="0.25">
      <c r="A9686" s="4" t="s">
        <v>9684</v>
      </c>
      <c r="B9686" s="4" t="s">
        <v>9011</v>
      </c>
      <c r="C9686" s="2" t="str">
        <f ca="1">IFERROR(__xludf.DUMMYFUNCTION("GOOGLETRANSLATE(A9686,""bn"",""en"")"),"We will be exploring a larger market in the next year that will drive our marketing")</f>
        <v>We will be exploring a larger market in the next year that will drive our marketing</v>
      </c>
      <c r="D9686" s="5"/>
      <c r="E9686" s="5"/>
      <c r="F9686" s="5"/>
      <c r="G9686" s="5"/>
      <c r="H9686" s="5"/>
      <c r="I9686" s="5"/>
      <c r="J9686" s="5"/>
      <c r="K9686" s="5"/>
      <c r="L9686" s="5"/>
      <c r="M9686" s="5"/>
      <c r="N9686" s="5"/>
      <c r="O9686" s="5"/>
      <c r="P9686" s="5"/>
      <c r="Q9686" s="5"/>
      <c r="R9686" s="5"/>
      <c r="S9686" s="5"/>
      <c r="T9686" s="5"/>
      <c r="U9686" s="5"/>
      <c r="V9686" s="5"/>
      <c r="W9686" s="5"/>
      <c r="X9686" s="5"/>
      <c r="Y9686" s="5"/>
      <c r="Z9686" s="5"/>
    </row>
    <row r="9687" spans="1:26" ht="15" x14ac:dyDescent="0.25">
      <c r="A9687" s="4" t="s">
        <v>9685</v>
      </c>
      <c r="B9687" s="4" t="s">
        <v>9011</v>
      </c>
      <c r="C9687" s="2" t="str">
        <f ca="1">IFERROR(__xludf.DUMMYFUNCTION("GOOGLETRANSLATE(A9687,""bn"",""en"")"),"We will launch a new social initiative next week which will help the weaker sections of the society")</f>
        <v>We will launch a new social initiative next week which will help the weaker sections of the society</v>
      </c>
      <c r="D9687" s="5"/>
      <c r="E9687" s="5"/>
      <c r="F9687" s="5"/>
      <c r="G9687" s="5"/>
      <c r="H9687" s="5"/>
      <c r="I9687" s="5"/>
      <c r="J9687" s="5"/>
      <c r="K9687" s="5"/>
      <c r="L9687" s="5"/>
      <c r="M9687" s="5"/>
      <c r="N9687" s="5"/>
      <c r="O9687" s="5"/>
      <c r="P9687" s="5"/>
      <c r="Q9687" s="5"/>
      <c r="R9687" s="5"/>
      <c r="S9687" s="5"/>
      <c r="T9687" s="5"/>
      <c r="U9687" s="5"/>
      <c r="V9687" s="5"/>
      <c r="W9687" s="5"/>
      <c r="X9687" s="5"/>
      <c r="Y9687" s="5"/>
      <c r="Z9687" s="5"/>
    </row>
    <row r="9688" spans="1:26" ht="15" x14ac:dyDescent="0.25">
      <c r="A9688" s="4" t="s">
        <v>9686</v>
      </c>
      <c r="B9688" s="4" t="s">
        <v>9011</v>
      </c>
      <c r="C9688" s="2" t="str">
        <f ca="1">IFERROR(__xludf.DUMMYFUNCTION("GOOGLETRANSLATE(A9688,""bn"",""en"")"),"Little by little, a lot of clouds have accumulated in the sky of the mind, one day it will rain and all will be washed away")</f>
        <v>Little by little, a lot of clouds have accumulated in the sky of the mind, one day it will rain and all will be washed away</v>
      </c>
      <c r="D9688" s="5"/>
      <c r="E9688" s="5"/>
      <c r="F9688" s="5"/>
      <c r="G9688" s="5"/>
      <c r="H9688" s="5"/>
      <c r="I9688" s="5"/>
      <c r="J9688" s="5"/>
      <c r="K9688" s="5"/>
      <c r="L9688" s="5"/>
      <c r="M9688" s="5"/>
      <c r="N9688" s="5"/>
      <c r="O9688" s="5"/>
      <c r="P9688" s="5"/>
      <c r="Q9688" s="5"/>
      <c r="R9688" s="5"/>
      <c r="S9688" s="5"/>
      <c r="T9688" s="5"/>
      <c r="U9688" s="5"/>
      <c r="V9688" s="5"/>
      <c r="W9688" s="5"/>
      <c r="X9688" s="5"/>
      <c r="Y9688" s="5"/>
      <c r="Z9688" s="5"/>
    </row>
    <row r="9689" spans="1:26" ht="15" x14ac:dyDescent="0.25">
      <c r="A9689" s="4" t="s">
        <v>9687</v>
      </c>
      <c r="B9689" s="4" t="s">
        <v>9011</v>
      </c>
      <c r="C9689" s="2" t="str">
        <f ca="1">IFERROR(__xludf.DUMMYFUNCTION("GOOGLETRANSLATE(A9689,""bn"",""en"")"),"Next month I will start learning a new language so I can travel abroad")</f>
        <v>Next month I will start learning a new language so I can travel abroad</v>
      </c>
      <c r="D9689" s="5"/>
      <c r="E9689" s="5"/>
      <c r="F9689" s="5"/>
      <c r="G9689" s="5"/>
      <c r="H9689" s="5"/>
      <c r="I9689" s="5"/>
      <c r="J9689" s="5"/>
      <c r="K9689" s="5"/>
      <c r="L9689" s="5"/>
      <c r="M9689" s="5"/>
      <c r="N9689" s="5"/>
      <c r="O9689" s="5"/>
      <c r="P9689" s="5"/>
      <c r="Q9689" s="5"/>
      <c r="R9689" s="5"/>
      <c r="S9689" s="5"/>
      <c r="T9689" s="5"/>
      <c r="U9689" s="5"/>
      <c r="V9689" s="5"/>
      <c r="W9689" s="5"/>
      <c r="X9689" s="5"/>
      <c r="Y9689" s="5"/>
      <c r="Z9689" s="5"/>
    </row>
    <row r="9690" spans="1:26" ht="15" x14ac:dyDescent="0.25">
      <c r="A9690" s="4" t="s">
        <v>9688</v>
      </c>
      <c r="B9690" s="4" t="s">
        <v>9011</v>
      </c>
      <c r="C9690" s="2" t="str">
        <f ca="1">IFERROR(__xludf.DUMMYFUNCTION("GOOGLETRANSLATE(A9690,""bn"",""en"")"),"Purify the mind with prayer and life will be beautiful")</f>
        <v>Purify the mind with prayer and life will be beautiful</v>
      </c>
      <c r="D9690" s="5"/>
      <c r="E9690" s="5"/>
      <c r="F9690" s="5"/>
      <c r="G9690" s="5"/>
      <c r="H9690" s="5"/>
      <c r="I9690" s="5"/>
      <c r="J9690" s="5"/>
      <c r="K9690" s="5"/>
      <c r="L9690" s="5"/>
      <c r="M9690" s="5"/>
      <c r="N9690" s="5"/>
      <c r="O9690" s="5"/>
      <c r="P9690" s="5"/>
      <c r="Q9690" s="5"/>
      <c r="R9690" s="5"/>
      <c r="S9690" s="5"/>
      <c r="T9690" s="5"/>
      <c r="U9690" s="5"/>
      <c r="V9690" s="5"/>
      <c r="W9690" s="5"/>
      <c r="X9690" s="5"/>
      <c r="Y9690" s="5"/>
      <c r="Z9690" s="5"/>
    </row>
    <row r="9691" spans="1:26" ht="15" x14ac:dyDescent="0.25">
      <c r="A9691" s="4" t="s">
        <v>9689</v>
      </c>
      <c r="B9691" s="4" t="s">
        <v>9011</v>
      </c>
      <c r="C9691" s="2" t="str">
        <f ca="1">IFERROR(__xludf.DUMMYFUNCTION("GOOGLETRANSLATE(A9691,""bn"",""en"")"),"Kanak's business will be successful my prayer will be good luck")</f>
        <v>Kanak's business will be successful my prayer will be good luck</v>
      </c>
      <c r="D9691" s="5"/>
      <c r="E9691" s="5"/>
      <c r="F9691" s="5"/>
      <c r="G9691" s="5"/>
      <c r="H9691" s="5"/>
      <c r="I9691" s="5"/>
      <c r="J9691" s="5"/>
      <c r="K9691" s="5"/>
      <c r="L9691" s="5"/>
      <c r="M9691" s="5"/>
      <c r="N9691" s="5"/>
      <c r="O9691" s="5"/>
      <c r="P9691" s="5"/>
      <c r="Q9691" s="5"/>
      <c r="R9691" s="5"/>
      <c r="S9691" s="5"/>
      <c r="T9691" s="5"/>
      <c r="U9691" s="5"/>
      <c r="V9691" s="5"/>
      <c r="W9691" s="5"/>
      <c r="X9691" s="5"/>
      <c r="Y9691" s="5"/>
      <c r="Z9691" s="5"/>
    </row>
    <row r="9692" spans="1:26" ht="15" x14ac:dyDescent="0.25">
      <c r="A9692" s="4" t="s">
        <v>9690</v>
      </c>
      <c r="B9692" s="4" t="s">
        <v>9011</v>
      </c>
      <c r="C9692" s="2" t="str">
        <f ca="1">IFERROR(__xludf.DUMMYFUNCTION("GOOGLETRANSLATE(A9692,""bn"",""en"")"),"Never associate with busy people because busy people will not talk to you unless they need you")</f>
        <v>Never associate with busy people because busy people will not talk to you unless they need you</v>
      </c>
      <c r="D9692" s="5"/>
      <c r="E9692" s="5"/>
      <c r="F9692" s="5"/>
      <c r="G9692" s="5"/>
      <c r="H9692" s="5"/>
      <c r="I9692" s="5"/>
      <c r="J9692" s="5"/>
      <c r="K9692" s="5"/>
      <c r="L9692" s="5"/>
      <c r="M9692" s="5"/>
      <c r="N9692" s="5"/>
      <c r="O9692" s="5"/>
      <c r="P9692" s="5"/>
      <c r="Q9692" s="5"/>
      <c r="R9692" s="5"/>
      <c r="S9692" s="5"/>
      <c r="T9692" s="5"/>
      <c r="U9692" s="5"/>
      <c r="V9692" s="5"/>
      <c r="W9692" s="5"/>
      <c r="X9692" s="5"/>
      <c r="Y9692" s="5"/>
      <c r="Z9692" s="5"/>
    </row>
    <row r="9693" spans="1:26" ht="15" x14ac:dyDescent="0.25">
      <c r="A9693" s="4" t="s">
        <v>9691</v>
      </c>
      <c r="B9693" s="4" t="s">
        <v>9011</v>
      </c>
      <c r="C9693" s="2" t="str">
        <f ca="1">IFERROR(__xludf.DUMMYFUNCTION("GOOGLETRANSLATE(A9693,""bn"",""en"")"),"You will grow up in the care of your parents and in the care of your aunt, we all will be happy")</f>
        <v>You will grow up in the care of your parents and in the care of your aunt, we all will be happy</v>
      </c>
      <c r="D9693" s="5"/>
      <c r="E9693" s="5"/>
      <c r="F9693" s="5"/>
      <c r="G9693" s="5"/>
      <c r="H9693" s="5"/>
      <c r="I9693" s="5"/>
      <c r="J9693" s="5"/>
      <c r="K9693" s="5"/>
      <c r="L9693" s="5"/>
      <c r="M9693" s="5"/>
      <c r="N9693" s="5"/>
      <c r="O9693" s="5"/>
      <c r="P9693" s="5"/>
      <c r="Q9693" s="5"/>
      <c r="R9693" s="5"/>
      <c r="S9693" s="5"/>
      <c r="T9693" s="5"/>
      <c r="U9693" s="5"/>
      <c r="V9693" s="5"/>
      <c r="W9693" s="5"/>
      <c r="X9693" s="5"/>
      <c r="Y9693" s="5"/>
      <c r="Z9693" s="5"/>
    </row>
    <row r="9694" spans="1:26" ht="15" x14ac:dyDescent="0.25">
      <c r="A9694" s="4" t="s">
        <v>9692</v>
      </c>
      <c r="B9694" s="4" t="s">
        <v>9011</v>
      </c>
      <c r="C9694" s="2" t="str">
        <f ca="1">IFERROR(__xludf.DUMMYFUNCTION("GOOGLETRANSLATE(A9694,""bn"",""en"")"),"They will go to World War Center next year")</f>
        <v>They will go to World War Center next year</v>
      </c>
      <c r="D9694" s="5"/>
      <c r="E9694" s="5"/>
      <c r="F9694" s="5"/>
      <c r="G9694" s="5"/>
      <c r="H9694" s="5"/>
      <c r="I9694" s="5"/>
      <c r="J9694" s="5"/>
      <c r="K9694" s="5"/>
      <c r="L9694" s="5"/>
      <c r="M9694" s="5"/>
      <c r="N9694" s="5"/>
      <c r="O9694" s="5"/>
      <c r="P9694" s="5"/>
      <c r="Q9694" s="5"/>
      <c r="R9694" s="5"/>
      <c r="S9694" s="5"/>
      <c r="T9694" s="5"/>
      <c r="U9694" s="5"/>
      <c r="V9694" s="5"/>
      <c r="W9694" s="5"/>
      <c r="X9694" s="5"/>
      <c r="Y9694" s="5"/>
      <c r="Z9694" s="5"/>
    </row>
    <row r="9695" spans="1:26" ht="15" x14ac:dyDescent="0.25">
      <c r="A9695" s="4" t="s">
        <v>9693</v>
      </c>
      <c r="B9695" s="4" t="s">
        <v>9011</v>
      </c>
      <c r="C9695" s="2" t="str">
        <f ca="1">IFERROR(__xludf.DUMMYFUNCTION("GOOGLETRANSLATE(A9695,""bn"",""en"")"),"Eating this food will remind you of childhood memories")</f>
        <v>Eating this food will remind you of childhood memories</v>
      </c>
      <c r="D9695" s="5"/>
      <c r="E9695" s="5"/>
      <c r="F9695" s="5"/>
      <c r="G9695" s="5"/>
      <c r="H9695" s="5"/>
      <c r="I9695" s="5"/>
      <c r="J9695" s="5"/>
      <c r="K9695" s="5"/>
      <c r="L9695" s="5"/>
      <c r="M9695" s="5"/>
      <c r="N9695" s="5"/>
      <c r="O9695" s="5"/>
      <c r="P9695" s="5"/>
      <c r="Q9695" s="5"/>
      <c r="R9695" s="5"/>
      <c r="S9695" s="5"/>
      <c r="T9695" s="5"/>
      <c r="U9695" s="5"/>
      <c r="V9695" s="5"/>
      <c r="W9695" s="5"/>
      <c r="X9695" s="5"/>
      <c r="Y9695" s="5"/>
      <c r="Z9695" s="5"/>
    </row>
    <row r="9696" spans="1:26" ht="15" x14ac:dyDescent="0.25">
      <c r="A9696" s="4" t="s">
        <v>9694</v>
      </c>
      <c r="B9696" s="4" t="s">
        <v>9011</v>
      </c>
      <c r="C9696" s="2" t="str">
        <f ca="1">IFERROR(__xludf.DUMMYFUNCTION("GOOGLETRANSLATE(A9696,""bn"",""en"")"),"Bond of happiness poet Reema Mukherjee poetry of Reema Mukherjee by reading Bond of happiness, the mind will be bound in the bond of happiness.")</f>
        <v>Bond of happiness poet Reema Mukherjee poetry of Reema Mukherjee by reading Bond of happiness, the mind will be bound in the bond of happiness.</v>
      </c>
      <c r="D9696" s="5"/>
      <c r="E9696" s="5"/>
      <c r="F9696" s="5"/>
      <c r="G9696" s="5"/>
      <c r="H9696" s="5"/>
      <c r="I9696" s="5"/>
      <c r="J9696" s="5"/>
      <c r="K9696" s="5"/>
      <c r="L9696" s="5"/>
      <c r="M9696" s="5"/>
      <c r="N9696" s="5"/>
      <c r="O9696" s="5"/>
      <c r="P9696" s="5"/>
      <c r="Q9696" s="5"/>
      <c r="R9696" s="5"/>
      <c r="S9696" s="5"/>
      <c r="T9696" s="5"/>
      <c r="U9696" s="5"/>
      <c r="V9696" s="5"/>
      <c r="W9696" s="5"/>
      <c r="X9696" s="5"/>
      <c r="Y9696" s="5"/>
      <c r="Z9696" s="5"/>
    </row>
    <row r="9697" spans="1:26" ht="15" x14ac:dyDescent="0.25">
      <c r="A9697" s="4" t="s">
        <v>9695</v>
      </c>
      <c r="B9697" s="4" t="s">
        <v>9011</v>
      </c>
      <c r="C9697" s="2" t="str">
        <f ca="1">IFERROR(__xludf.DUMMYFUNCTION("GOOGLETRANSLATE(A9697,""bn"",""en"")"),"Seeing this gift, I know someone will know my choice well")</f>
        <v>Seeing this gift, I know someone will know my choice well</v>
      </c>
      <c r="D9697" s="5"/>
      <c r="E9697" s="5"/>
      <c r="F9697" s="5"/>
      <c r="G9697" s="5"/>
      <c r="H9697" s="5"/>
      <c r="I9697" s="5"/>
      <c r="J9697" s="5"/>
      <c r="K9697" s="5"/>
      <c r="L9697" s="5"/>
      <c r="M9697" s="5"/>
      <c r="N9697" s="5"/>
      <c r="O9697" s="5"/>
      <c r="P9697" s="5"/>
      <c r="Q9697" s="5"/>
      <c r="R9697" s="5"/>
      <c r="S9697" s="5"/>
      <c r="T9697" s="5"/>
      <c r="U9697" s="5"/>
      <c r="V9697" s="5"/>
      <c r="W9697" s="5"/>
      <c r="X9697" s="5"/>
      <c r="Y9697" s="5"/>
      <c r="Z9697" s="5"/>
    </row>
    <row r="9698" spans="1:26" ht="15" x14ac:dyDescent="0.25">
      <c r="A9698" s="4" t="s">
        <v>9696</v>
      </c>
      <c r="B9698" s="4" t="s">
        <v>9011</v>
      </c>
      <c r="C9698" s="2" t="str">
        <f ca="1">IFERROR(__xludf.DUMMYFUNCTION("GOOGLETRANSLATE(A9698,""bn"",""en"")"),"In the future I will attend a major scientific conference where I will present my research")</f>
        <v>In the future I will attend a major scientific conference where I will present my research</v>
      </c>
      <c r="D9698" s="5"/>
      <c r="E9698" s="5"/>
      <c r="F9698" s="5"/>
      <c r="G9698" s="5"/>
      <c r="H9698" s="5"/>
      <c r="I9698" s="5"/>
      <c r="J9698" s="5"/>
      <c r="K9698" s="5"/>
      <c r="L9698" s="5"/>
      <c r="M9698" s="5"/>
      <c r="N9698" s="5"/>
      <c r="O9698" s="5"/>
      <c r="P9698" s="5"/>
      <c r="Q9698" s="5"/>
      <c r="R9698" s="5"/>
      <c r="S9698" s="5"/>
      <c r="T9698" s="5"/>
      <c r="U9698" s="5"/>
      <c r="V9698" s="5"/>
      <c r="W9698" s="5"/>
      <c r="X9698" s="5"/>
      <c r="Y9698" s="5"/>
      <c r="Z9698" s="5"/>
    </row>
    <row r="9699" spans="1:26" ht="15" x14ac:dyDescent="0.25">
      <c r="A9699" s="4" t="s">
        <v>9697</v>
      </c>
      <c r="B9699" s="4" t="s">
        <v>9011</v>
      </c>
      <c r="C9699" s="2" t="str">
        <f ca="1">IFERROR(__xludf.DUMMYFUNCTION("GOOGLETRANSLATE(A9699,""bn"",""en"")"),"A victory greater than yourself will be your victory")</f>
        <v>A victory greater than yourself will be your victory</v>
      </c>
      <c r="D9699" s="5"/>
      <c r="E9699" s="5"/>
      <c r="F9699" s="5"/>
      <c r="G9699" s="5"/>
      <c r="H9699" s="5"/>
      <c r="I9699" s="5"/>
      <c r="J9699" s="5"/>
      <c r="K9699" s="5"/>
      <c r="L9699" s="5"/>
      <c r="M9699" s="5"/>
      <c r="N9699" s="5"/>
      <c r="O9699" s="5"/>
      <c r="P9699" s="5"/>
      <c r="Q9699" s="5"/>
      <c r="R9699" s="5"/>
      <c r="S9699" s="5"/>
      <c r="T9699" s="5"/>
      <c r="U9699" s="5"/>
      <c r="V9699" s="5"/>
      <c r="W9699" s="5"/>
      <c r="X9699" s="5"/>
      <c r="Y9699" s="5"/>
      <c r="Z9699" s="5"/>
    </row>
    <row r="9700" spans="1:26" ht="15" x14ac:dyDescent="0.25">
      <c r="A9700" s="4" t="s">
        <v>9698</v>
      </c>
      <c r="B9700" s="4" t="s">
        <v>9011</v>
      </c>
      <c r="C9700" s="2" t="str">
        <f ca="1">IFERROR(__xludf.DUMMYFUNCTION("GOOGLETRANSLATE(A9700,""bn"",""en"")"),"Friend will want to spread this success story of yours to everyone will be very proud of you")</f>
        <v>Friend will want to spread this success story of yours to everyone will be very proud of you</v>
      </c>
      <c r="D9700" s="5"/>
      <c r="E9700" s="5"/>
      <c r="F9700" s="5"/>
      <c r="G9700" s="5"/>
      <c r="H9700" s="5"/>
      <c r="I9700" s="5"/>
      <c r="J9700" s="5"/>
      <c r="K9700" s="5"/>
      <c r="L9700" s="5"/>
      <c r="M9700" s="5"/>
      <c r="N9700" s="5"/>
      <c r="O9700" s="5"/>
      <c r="P9700" s="5"/>
      <c r="Q9700" s="5"/>
      <c r="R9700" s="5"/>
      <c r="S9700" s="5"/>
      <c r="T9700" s="5"/>
      <c r="U9700" s="5"/>
      <c r="V9700" s="5"/>
      <c r="W9700" s="5"/>
      <c r="X9700" s="5"/>
      <c r="Y9700" s="5"/>
      <c r="Z9700" s="5"/>
    </row>
    <row r="9701" spans="1:26" ht="15" x14ac:dyDescent="0.25">
      <c r="A9701" s="4" t="s">
        <v>9699</v>
      </c>
      <c r="B9701" s="4" t="s">
        <v>9011</v>
      </c>
      <c r="C9701" s="2" t="str">
        <f ca="1">IFERROR(__xludf.DUMMYFUNCTION("GOOGLETRANSLATE(A9701,""bn"",""en"")"),"I will continue to work with you on my next project")</f>
        <v>I will continue to work with you on my next project</v>
      </c>
      <c r="D9701" s="5"/>
      <c r="E9701" s="5"/>
      <c r="F9701" s="5"/>
      <c r="G9701" s="5"/>
      <c r="H9701" s="5"/>
      <c r="I9701" s="5"/>
      <c r="J9701" s="5"/>
      <c r="K9701" s="5"/>
      <c r="L9701" s="5"/>
      <c r="M9701" s="5"/>
      <c r="N9701" s="5"/>
      <c r="O9701" s="5"/>
      <c r="P9701" s="5"/>
      <c r="Q9701" s="5"/>
      <c r="R9701" s="5"/>
      <c r="S9701" s="5"/>
      <c r="T9701" s="5"/>
      <c r="U9701" s="5"/>
      <c r="V9701" s="5"/>
      <c r="W9701" s="5"/>
      <c r="X9701" s="5"/>
      <c r="Y9701" s="5"/>
      <c r="Z9701" s="5"/>
    </row>
    <row r="9702" spans="1:26" ht="15" x14ac:dyDescent="0.25">
      <c r="A9702" s="4" t="s">
        <v>9700</v>
      </c>
      <c r="B9702" s="4" t="s">
        <v>9011</v>
      </c>
      <c r="C9702" s="2" t="str">
        <f ca="1">IFERROR(__xludf.DUMMYFUNCTION("GOOGLETRANSLATE(A9702,""bn"",""en"")"),"I will look forward to seeing the beauty of the world through travel")</f>
        <v>I will look forward to seeing the beauty of the world through travel</v>
      </c>
      <c r="D9702" s="5"/>
      <c r="E9702" s="5"/>
      <c r="F9702" s="5"/>
      <c r="G9702" s="5"/>
      <c r="H9702" s="5"/>
      <c r="I9702" s="5"/>
      <c r="J9702" s="5"/>
      <c r="K9702" s="5"/>
      <c r="L9702" s="5"/>
      <c r="M9702" s="5"/>
      <c r="N9702" s="5"/>
      <c r="O9702" s="5"/>
      <c r="P9702" s="5"/>
      <c r="Q9702" s="5"/>
      <c r="R9702" s="5"/>
      <c r="S9702" s="5"/>
      <c r="T9702" s="5"/>
      <c r="U9702" s="5"/>
      <c r="V9702" s="5"/>
      <c r="W9702" s="5"/>
      <c r="X9702" s="5"/>
      <c r="Y9702" s="5"/>
      <c r="Z9702" s="5"/>
    </row>
    <row r="9703" spans="1:26" ht="15" x14ac:dyDescent="0.25">
      <c r="A9703" s="4" t="s">
        <v>9701</v>
      </c>
      <c r="B9703" s="4" t="s">
        <v>9011</v>
      </c>
      <c r="C9703" s="2" t="str">
        <f ca="1">IFERROR(__xludf.DUMMYFUNCTION("GOOGLETRANSLATE(A9703,""bn"",""en"")"),"I will surprise mom with biryani today")</f>
        <v>I will surprise mom with biryani today</v>
      </c>
      <c r="D9703" s="5"/>
      <c r="E9703" s="5"/>
      <c r="F9703" s="5"/>
      <c r="G9703" s="5"/>
      <c r="H9703" s="5"/>
      <c r="I9703" s="5"/>
      <c r="J9703" s="5"/>
      <c r="K9703" s="5"/>
      <c r="L9703" s="5"/>
      <c r="M9703" s="5"/>
      <c r="N9703" s="5"/>
      <c r="O9703" s="5"/>
      <c r="P9703" s="5"/>
      <c r="Q9703" s="5"/>
      <c r="R9703" s="5"/>
      <c r="S9703" s="5"/>
      <c r="T9703" s="5"/>
      <c r="U9703" s="5"/>
      <c r="V9703" s="5"/>
      <c r="W9703" s="5"/>
      <c r="X9703" s="5"/>
      <c r="Y9703" s="5"/>
      <c r="Z9703" s="5"/>
    </row>
    <row r="9704" spans="1:26" ht="15" x14ac:dyDescent="0.25">
      <c r="A9704" s="4" t="s">
        <v>9702</v>
      </c>
      <c r="B9704" s="4" t="s">
        <v>9011</v>
      </c>
      <c r="C9704" s="2" t="str">
        <f ca="1">IFERROR(__xludf.DUMMYFUNCTION("GOOGLETRANSLATE(A9704,""bn"",""en"")"),"He will build a new garden next week")</f>
        <v>He will build a new garden next week</v>
      </c>
      <c r="D9704" s="5"/>
      <c r="E9704" s="5"/>
      <c r="F9704" s="5"/>
      <c r="G9704" s="5"/>
      <c r="H9704" s="5"/>
      <c r="I9704" s="5"/>
      <c r="J9704" s="5"/>
      <c r="K9704" s="5"/>
      <c r="L9704" s="5"/>
      <c r="M9704" s="5"/>
      <c r="N9704" s="5"/>
      <c r="O9704" s="5"/>
      <c r="P9704" s="5"/>
      <c r="Q9704" s="5"/>
      <c r="R9704" s="5"/>
      <c r="S9704" s="5"/>
      <c r="T9704" s="5"/>
      <c r="U9704" s="5"/>
      <c r="V9704" s="5"/>
      <c r="W9704" s="5"/>
      <c r="X9704" s="5"/>
      <c r="Y9704" s="5"/>
      <c r="Z9704" s="5"/>
    </row>
    <row r="9705" spans="1:26" ht="15" x14ac:dyDescent="0.25">
      <c r="A9705" s="4" t="s">
        <v>9703</v>
      </c>
      <c r="B9705" s="4" t="s">
        <v>9011</v>
      </c>
      <c r="C9705" s="2" t="str">
        <f ca="1">IFERROR(__xludf.DUMMYFUNCTION("GOOGLETRANSLATE(A9705,""bn"",""en"")"),"Will you be working tomorrow if you were recently in the process?")</f>
        <v>Will you be working tomorrow if you were recently in the process?</v>
      </c>
      <c r="D9705" s="5"/>
      <c r="E9705" s="5"/>
      <c r="F9705" s="5"/>
      <c r="G9705" s="5"/>
      <c r="H9705" s="5"/>
      <c r="I9705" s="5"/>
      <c r="J9705" s="5"/>
      <c r="K9705" s="5"/>
      <c r="L9705" s="5"/>
      <c r="M9705" s="5"/>
      <c r="N9705" s="5"/>
      <c r="O9705" s="5"/>
      <c r="P9705" s="5"/>
      <c r="Q9705" s="5"/>
      <c r="R9705" s="5"/>
      <c r="S9705" s="5"/>
      <c r="T9705" s="5"/>
      <c r="U9705" s="5"/>
      <c r="V9705" s="5"/>
      <c r="W9705" s="5"/>
      <c r="X9705" s="5"/>
      <c r="Y9705" s="5"/>
      <c r="Z9705" s="5"/>
    </row>
    <row r="9706" spans="1:26" ht="15" x14ac:dyDescent="0.25">
      <c r="A9706" s="4" t="s">
        <v>9704</v>
      </c>
      <c r="B9706" s="4" t="s">
        <v>9011</v>
      </c>
      <c r="C9706" s="2" t="str">
        <f ca="1">IFERROR(__xludf.DUMMYFUNCTION("GOOGLETRANSLATE(A9706,""bn"",""en"")"),"Next year I will develop an artificial intelligence driven application that will make life easier for people with disabilities")</f>
        <v>Next year I will develop an artificial intelligence driven application that will make life easier for people with disabilities</v>
      </c>
      <c r="D9706" s="5"/>
      <c r="E9706" s="5"/>
      <c r="F9706" s="5"/>
      <c r="G9706" s="5"/>
      <c r="H9706" s="5"/>
      <c r="I9706" s="5"/>
      <c r="J9706" s="5"/>
      <c r="K9706" s="5"/>
      <c r="L9706" s="5"/>
      <c r="M9706" s="5"/>
      <c r="N9706" s="5"/>
      <c r="O9706" s="5"/>
      <c r="P9706" s="5"/>
      <c r="Q9706" s="5"/>
      <c r="R9706" s="5"/>
      <c r="S9706" s="5"/>
      <c r="T9706" s="5"/>
      <c r="U9706" s="5"/>
      <c r="V9706" s="5"/>
      <c r="W9706" s="5"/>
      <c r="X9706" s="5"/>
      <c r="Y9706" s="5"/>
      <c r="Z9706" s="5"/>
    </row>
    <row r="9707" spans="1:26" ht="15" x14ac:dyDescent="0.25">
      <c r="A9707" s="4" t="s">
        <v>9705</v>
      </c>
      <c r="B9707" s="4" t="s">
        <v>9011</v>
      </c>
      <c r="C9707" s="2" t="str">
        <f ca="1">IFERROR(__xludf.DUMMYFUNCTION("GOOGLETRANSLATE(A9707,""bn"",""en"")"),"I will feel so much peace after donating, I will feel blessed to make life easier for others with my little bit")</f>
        <v>I will feel so much peace after donating, I will feel blessed to make life easier for others with my little bit</v>
      </c>
      <c r="D9707" s="5"/>
      <c r="E9707" s="5"/>
      <c r="F9707" s="5"/>
      <c r="G9707" s="5"/>
      <c r="H9707" s="5"/>
      <c r="I9707" s="5"/>
      <c r="J9707" s="5"/>
      <c r="K9707" s="5"/>
      <c r="L9707" s="5"/>
      <c r="M9707" s="5"/>
      <c r="N9707" s="5"/>
      <c r="O9707" s="5"/>
      <c r="P9707" s="5"/>
      <c r="Q9707" s="5"/>
      <c r="R9707" s="5"/>
      <c r="S9707" s="5"/>
      <c r="T9707" s="5"/>
      <c r="U9707" s="5"/>
      <c r="V9707" s="5"/>
      <c r="W9707" s="5"/>
      <c r="X9707" s="5"/>
      <c r="Y9707" s="5"/>
      <c r="Z9707" s="5"/>
    </row>
    <row r="9708" spans="1:26" ht="15" x14ac:dyDescent="0.25">
      <c r="A9708" s="4" t="s">
        <v>9706</v>
      </c>
      <c r="B9708" s="4" t="s">
        <v>9011</v>
      </c>
      <c r="C9708" s="2" t="str">
        <f ca="1">IFERROR(__xludf.DUMMYFUNCTION("GOOGLETRANSLATE(A9708,""bn"",""en"")"),"He will release his new book next year which will be a huge response among literature lovers")</f>
        <v>He will release his new book next year which will be a huge response among literature lovers</v>
      </c>
      <c r="D9708" s="5"/>
      <c r="E9708" s="5"/>
      <c r="F9708" s="5"/>
      <c r="G9708" s="5"/>
      <c r="H9708" s="5"/>
      <c r="I9708" s="5"/>
      <c r="J9708" s="5"/>
      <c r="K9708" s="5"/>
      <c r="L9708" s="5"/>
      <c r="M9708" s="5"/>
      <c r="N9708" s="5"/>
      <c r="O9708" s="5"/>
      <c r="P9708" s="5"/>
      <c r="Q9708" s="5"/>
      <c r="R9708" s="5"/>
      <c r="S9708" s="5"/>
      <c r="T9708" s="5"/>
      <c r="U9708" s="5"/>
      <c r="V9708" s="5"/>
      <c r="W9708" s="5"/>
      <c r="X9708" s="5"/>
      <c r="Y9708" s="5"/>
      <c r="Z9708" s="5"/>
    </row>
    <row r="9709" spans="1:26" ht="15" x14ac:dyDescent="0.25">
      <c r="A9709" s="4" t="s">
        <v>9707</v>
      </c>
      <c r="B9709" s="4" t="s">
        <v>9011</v>
      </c>
      <c r="C9709" s="2" t="str">
        <f ca="1">IFERROR(__xludf.DUMMYFUNCTION("GOOGLETRANSLATE(A9709,""bn"",""en"")"),"Standing in the open under the sky, everything seems possible")</f>
        <v>Standing in the open under the sky, everything seems possible</v>
      </c>
      <c r="D9709" s="5"/>
      <c r="E9709" s="5"/>
      <c r="F9709" s="5"/>
      <c r="G9709" s="5"/>
      <c r="H9709" s="5"/>
      <c r="I9709" s="5"/>
      <c r="J9709" s="5"/>
      <c r="K9709" s="5"/>
      <c r="L9709" s="5"/>
      <c r="M9709" s="5"/>
      <c r="N9709" s="5"/>
      <c r="O9709" s="5"/>
      <c r="P9709" s="5"/>
      <c r="Q9709" s="5"/>
      <c r="R9709" s="5"/>
      <c r="S9709" s="5"/>
      <c r="T9709" s="5"/>
      <c r="U9709" s="5"/>
      <c r="V9709" s="5"/>
      <c r="W9709" s="5"/>
      <c r="X9709" s="5"/>
      <c r="Y9709" s="5"/>
      <c r="Z9709" s="5"/>
    </row>
    <row r="9710" spans="1:26" ht="15" x14ac:dyDescent="0.25">
      <c r="A9710" s="4" t="s">
        <v>9708</v>
      </c>
      <c r="B9710" s="4" t="s">
        <v>9011</v>
      </c>
      <c r="C9710" s="2" t="str">
        <f ca="1">IFERROR(__xludf.DUMMYFUNCTION("GOOGLETRANSLATE(A9710,""bn"",""en"")"),"I will never forget to thank you and will always love you.")</f>
        <v>I will never forget to thank you and will always love you.</v>
      </c>
      <c r="D9710" s="5"/>
      <c r="E9710" s="5"/>
      <c r="F9710" s="5"/>
      <c r="G9710" s="5"/>
      <c r="H9710" s="5"/>
      <c r="I9710" s="5"/>
      <c r="J9710" s="5"/>
      <c r="K9710" s="5"/>
      <c r="L9710" s="5"/>
      <c r="M9710" s="5"/>
      <c r="N9710" s="5"/>
      <c r="O9710" s="5"/>
      <c r="P9710" s="5"/>
      <c r="Q9710" s="5"/>
      <c r="R9710" s="5"/>
      <c r="S9710" s="5"/>
      <c r="T9710" s="5"/>
      <c r="U9710" s="5"/>
      <c r="V9710" s="5"/>
      <c r="W9710" s="5"/>
      <c r="X9710" s="5"/>
      <c r="Y9710" s="5"/>
      <c r="Z9710" s="5"/>
    </row>
    <row r="9711" spans="1:26" ht="15" x14ac:dyDescent="0.25">
      <c r="A9711" s="4" t="s">
        <v>9709</v>
      </c>
      <c r="B9711" s="4" t="s">
        <v>9011</v>
      </c>
      <c r="C9711" s="2" t="str">
        <f ca="1">IFERROR(__xludf.DUMMYFUNCTION("GOOGLETRANSLATE(A9711,""bn"",""en"")"),"You will learn a new song tomorrow")</f>
        <v>You will learn a new song tomorrow</v>
      </c>
      <c r="D9711" s="5"/>
      <c r="E9711" s="5"/>
      <c r="F9711" s="5"/>
      <c r="G9711" s="5"/>
      <c r="H9711" s="5"/>
      <c r="I9711" s="5"/>
      <c r="J9711" s="5"/>
      <c r="K9711" s="5"/>
      <c r="L9711" s="5"/>
      <c r="M9711" s="5"/>
      <c r="N9711" s="5"/>
      <c r="O9711" s="5"/>
      <c r="P9711" s="5"/>
      <c r="Q9711" s="5"/>
      <c r="R9711" s="5"/>
      <c r="S9711" s="5"/>
      <c r="T9711" s="5"/>
      <c r="U9711" s="5"/>
      <c r="V9711" s="5"/>
      <c r="W9711" s="5"/>
      <c r="X9711" s="5"/>
      <c r="Y9711" s="5"/>
      <c r="Z9711" s="5"/>
    </row>
    <row r="9712" spans="1:26" ht="15" x14ac:dyDescent="0.25">
      <c r="A9712" s="4" t="s">
        <v>9710</v>
      </c>
      <c r="B9712" s="4" t="s">
        <v>9011</v>
      </c>
      <c r="C9712" s="2" t="str">
        <f ca="1">IFERROR(__xludf.DUMMYFUNCTION("GOOGLETRANSLATE(A9712,""bn"",""en"")"),"When you start listening to your favorite songs, the smile on your face will create a different kind of joy in your heart")</f>
        <v>When you start listening to your favorite songs, the smile on your face will create a different kind of joy in your heart</v>
      </c>
      <c r="D9712" s="5"/>
      <c r="E9712" s="5"/>
      <c r="F9712" s="5"/>
      <c r="G9712" s="5"/>
      <c r="H9712" s="5"/>
      <c r="I9712" s="5"/>
      <c r="J9712" s="5"/>
      <c r="K9712" s="5"/>
      <c r="L9712" s="5"/>
      <c r="M9712" s="5"/>
      <c r="N9712" s="5"/>
      <c r="O9712" s="5"/>
      <c r="P9712" s="5"/>
      <c r="Q9712" s="5"/>
      <c r="R9712" s="5"/>
      <c r="S9712" s="5"/>
      <c r="T9712" s="5"/>
      <c r="U9712" s="5"/>
      <c r="V9712" s="5"/>
      <c r="W9712" s="5"/>
      <c r="X9712" s="5"/>
      <c r="Y9712" s="5"/>
      <c r="Z9712" s="5"/>
    </row>
    <row r="9713" spans="1:26" ht="15" x14ac:dyDescent="0.25">
      <c r="A9713" s="4" t="s">
        <v>9711</v>
      </c>
      <c r="B9713" s="4" t="s">
        <v>9011</v>
      </c>
      <c r="C9713" s="2" t="str">
        <f ca="1">IFERROR(__xludf.DUMMYFUNCTION("GOOGLETRANSLATE(A9713,""bn"",""en"")"),"I will run a campaign to reduce the use of plastic")</f>
        <v>I will run a campaign to reduce the use of plastic</v>
      </c>
      <c r="D9713" s="5"/>
      <c r="E9713" s="5"/>
      <c r="F9713" s="5"/>
      <c r="G9713" s="5"/>
      <c r="H9713" s="5"/>
      <c r="I9713" s="5"/>
      <c r="J9713" s="5"/>
      <c r="K9713" s="5"/>
      <c r="L9713" s="5"/>
      <c r="M9713" s="5"/>
      <c r="N9713" s="5"/>
      <c r="O9713" s="5"/>
      <c r="P9713" s="5"/>
      <c r="Q9713" s="5"/>
      <c r="R9713" s="5"/>
      <c r="S9713" s="5"/>
      <c r="T9713" s="5"/>
      <c r="U9713" s="5"/>
      <c r="V9713" s="5"/>
      <c r="W9713" s="5"/>
      <c r="X9713" s="5"/>
      <c r="Y9713" s="5"/>
      <c r="Z9713" s="5"/>
    </row>
    <row r="9714" spans="1:26" ht="15" x14ac:dyDescent="0.25">
      <c r="A9714" s="4" t="s">
        <v>9712</v>
      </c>
      <c r="B9714" s="4" t="s">
        <v>9011</v>
      </c>
      <c r="C9714" s="2" t="str">
        <f ca="1">IFERROR(__xludf.DUMMYFUNCTION("GOOGLETRANSLATE(A9714,""bn"",""en"")"),"I will get caught cheating in school exams but will have fun stories with friends")</f>
        <v>I will get caught cheating in school exams but will have fun stories with friends</v>
      </c>
      <c r="D9714" s="5"/>
      <c r="E9714" s="5"/>
      <c r="F9714" s="5"/>
      <c r="G9714" s="5"/>
      <c r="H9714" s="5"/>
      <c r="I9714" s="5"/>
      <c r="J9714" s="5"/>
      <c r="K9714" s="5"/>
      <c r="L9714" s="5"/>
      <c r="M9714" s="5"/>
      <c r="N9714" s="5"/>
      <c r="O9714" s="5"/>
      <c r="P9714" s="5"/>
      <c r="Q9714" s="5"/>
      <c r="R9714" s="5"/>
      <c r="S9714" s="5"/>
      <c r="T9714" s="5"/>
      <c r="U9714" s="5"/>
      <c r="V9714" s="5"/>
      <c r="W9714" s="5"/>
      <c r="X9714" s="5"/>
      <c r="Y9714" s="5"/>
      <c r="Z9714" s="5"/>
    </row>
    <row r="9715" spans="1:26" ht="15" x14ac:dyDescent="0.25">
      <c r="A9715" s="4" t="s">
        <v>9713</v>
      </c>
      <c r="B9715" s="4" t="s">
        <v>9011</v>
      </c>
      <c r="C9715" s="2" t="str">
        <f ca="1">IFERROR(__xludf.DUMMYFUNCTION("GOOGLETRANSLATE(A9715,""bn"",""en"")"),"Wishing everyone a very happy Durga Puja")</f>
        <v>Wishing everyone a very happy Durga Puja</v>
      </c>
      <c r="D9715" s="5"/>
      <c r="E9715" s="5"/>
      <c r="F9715" s="5"/>
      <c r="G9715" s="5"/>
      <c r="H9715" s="5"/>
      <c r="I9715" s="5"/>
      <c r="J9715" s="5"/>
      <c r="K9715" s="5"/>
      <c r="L9715" s="5"/>
      <c r="M9715" s="5"/>
      <c r="N9715" s="5"/>
      <c r="O9715" s="5"/>
      <c r="P9715" s="5"/>
      <c r="Q9715" s="5"/>
      <c r="R9715" s="5"/>
      <c r="S9715" s="5"/>
      <c r="T9715" s="5"/>
      <c r="U9715" s="5"/>
      <c r="V9715" s="5"/>
      <c r="W9715" s="5"/>
      <c r="X9715" s="5"/>
      <c r="Y9715" s="5"/>
      <c r="Z9715" s="5"/>
    </row>
    <row r="9716" spans="1:26" ht="15" x14ac:dyDescent="0.25">
      <c r="A9716" s="4" t="s">
        <v>9714</v>
      </c>
      <c r="B9716" s="4" t="s">
        <v>9011</v>
      </c>
      <c r="C9716" s="2" t="str">
        <f ca="1">IFERROR(__xludf.DUMMYFUNCTION("GOOGLETRANSLATE(A9716,""bn"",""en"")"),"Hope to see more interactive cinema experiences in the future")</f>
        <v>Hope to see more interactive cinema experiences in the future</v>
      </c>
      <c r="D9716" s="5"/>
      <c r="E9716" s="5"/>
      <c r="F9716" s="5"/>
      <c r="G9716" s="5"/>
      <c r="H9716" s="5"/>
      <c r="I9716" s="5"/>
      <c r="J9716" s="5"/>
      <c r="K9716" s="5"/>
      <c r="L9716" s="5"/>
      <c r="M9716" s="5"/>
      <c r="N9716" s="5"/>
      <c r="O9716" s="5"/>
      <c r="P9716" s="5"/>
      <c r="Q9716" s="5"/>
      <c r="R9716" s="5"/>
      <c r="S9716" s="5"/>
      <c r="T9716" s="5"/>
      <c r="U9716" s="5"/>
      <c r="V9716" s="5"/>
      <c r="W9716" s="5"/>
      <c r="X9716" s="5"/>
      <c r="Y9716" s="5"/>
      <c r="Z9716" s="5"/>
    </row>
    <row r="9717" spans="1:26" ht="15" x14ac:dyDescent="0.25">
      <c r="A9717" s="4" t="s">
        <v>9715</v>
      </c>
      <c r="B9717" s="4" t="s">
        <v>9011</v>
      </c>
      <c r="C9717" s="2" t="str">
        <f ca="1">IFERROR(__xludf.DUMMYFUNCTION("GOOGLETRANSLATE(A9717,""bn"",""en"")"),"I can't recognize myself in new clothes")</f>
        <v>I can't recognize myself in new clothes</v>
      </c>
      <c r="D9717" s="5"/>
      <c r="E9717" s="5"/>
      <c r="F9717" s="5"/>
      <c r="G9717" s="5"/>
      <c r="H9717" s="5"/>
      <c r="I9717" s="5"/>
      <c r="J9717" s="5"/>
      <c r="K9717" s="5"/>
      <c r="L9717" s="5"/>
      <c r="M9717" s="5"/>
      <c r="N9717" s="5"/>
      <c r="O9717" s="5"/>
      <c r="P9717" s="5"/>
      <c r="Q9717" s="5"/>
      <c r="R9717" s="5"/>
      <c r="S9717" s="5"/>
      <c r="T9717" s="5"/>
      <c r="U9717" s="5"/>
      <c r="V9717" s="5"/>
      <c r="W9717" s="5"/>
      <c r="X9717" s="5"/>
      <c r="Y9717" s="5"/>
      <c r="Z9717" s="5"/>
    </row>
    <row r="9718" spans="1:26" ht="15" x14ac:dyDescent="0.25">
      <c r="A9718" s="4" t="s">
        <v>9716</v>
      </c>
      <c r="B9718" s="4" t="s">
        <v>9011</v>
      </c>
      <c r="C9718" s="2" t="str">
        <f ca="1">IFERROR(__xludf.DUMMYFUNCTION("GOOGLETRANSLATE(A9718,""bn"",""en"")"),"A combination of fading gulal, laughter, worship, love words and dancing with everyone, Holi will be the annual festival in everyone's life where everyone will be filled with joy.")</f>
        <v>A combination of fading gulal, laughter, worship, love words and dancing with everyone, Holi will be the annual festival in everyone's life where everyone will be filled with joy.</v>
      </c>
      <c r="D9718" s="5"/>
      <c r="E9718" s="5"/>
      <c r="F9718" s="5"/>
      <c r="G9718" s="5"/>
      <c r="H9718" s="5"/>
      <c r="I9718" s="5"/>
      <c r="J9718" s="5"/>
      <c r="K9718" s="5"/>
      <c r="L9718" s="5"/>
      <c r="M9718" s="5"/>
      <c r="N9718" s="5"/>
      <c r="O9718" s="5"/>
      <c r="P9718" s="5"/>
      <c r="Q9718" s="5"/>
      <c r="R9718" s="5"/>
      <c r="S9718" s="5"/>
      <c r="T9718" s="5"/>
      <c r="U9718" s="5"/>
      <c r="V9718" s="5"/>
      <c r="W9718" s="5"/>
      <c r="X9718" s="5"/>
      <c r="Y9718" s="5"/>
      <c r="Z9718" s="5"/>
    </row>
    <row r="9719" spans="1:26" ht="15" x14ac:dyDescent="0.25">
      <c r="A9719" s="4" t="s">
        <v>9717</v>
      </c>
      <c r="B9719" s="4" t="s">
        <v>9011</v>
      </c>
      <c r="C9719" s="2" t="str">
        <f ca="1">IFERROR(__xludf.DUMMYFUNCTION("GOOGLETRANSLATE(A9719,""bn"",""en"")"),"A time will come when I will buy an iPhone with my own money. By the grace of God I will be able to buy it with my own money. Thank God.")</f>
        <v>A time will come when I will buy an iPhone with my own money. By the grace of God I will be able to buy it with my own money. Thank God.</v>
      </c>
      <c r="D9719" s="5"/>
      <c r="E9719" s="5"/>
      <c r="F9719" s="5"/>
      <c r="G9719" s="5"/>
      <c r="H9719" s="5"/>
      <c r="I9719" s="5"/>
      <c r="J9719" s="5"/>
      <c r="K9719" s="5"/>
      <c r="L9719" s="5"/>
      <c r="M9719" s="5"/>
      <c r="N9719" s="5"/>
      <c r="O9719" s="5"/>
      <c r="P9719" s="5"/>
      <c r="Q9719" s="5"/>
      <c r="R9719" s="5"/>
      <c r="S9719" s="5"/>
      <c r="T9719" s="5"/>
      <c r="U9719" s="5"/>
      <c r="V9719" s="5"/>
      <c r="W9719" s="5"/>
      <c r="X9719" s="5"/>
      <c r="Y9719" s="5"/>
      <c r="Z9719" s="5"/>
    </row>
    <row r="9720" spans="1:26" ht="15" x14ac:dyDescent="0.25">
      <c r="A9720" s="4" t="s">
        <v>9718</v>
      </c>
      <c r="B9720" s="4" t="s">
        <v>9011</v>
      </c>
      <c r="C9720" s="2" t="str">
        <f ca="1">IFERROR(__xludf.DUMMYFUNCTION("GOOGLETRANSLATE(A9720,""bn"",""en"")"),"Lying by the pool with the cool breeze and the sun will refresh the body and mind")</f>
        <v>Lying by the pool with the cool breeze and the sun will refresh the body and mind</v>
      </c>
      <c r="D9720" s="5"/>
      <c r="E9720" s="5"/>
      <c r="F9720" s="5"/>
      <c r="G9720" s="5"/>
      <c r="H9720" s="5"/>
      <c r="I9720" s="5"/>
      <c r="J9720" s="5"/>
      <c r="K9720" s="5"/>
      <c r="L9720" s="5"/>
      <c r="M9720" s="5"/>
      <c r="N9720" s="5"/>
      <c r="O9720" s="5"/>
      <c r="P9720" s="5"/>
      <c r="Q9720" s="5"/>
      <c r="R9720" s="5"/>
      <c r="S9720" s="5"/>
      <c r="T9720" s="5"/>
      <c r="U9720" s="5"/>
      <c r="V9720" s="5"/>
      <c r="W9720" s="5"/>
      <c r="X9720" s="5"/>
      <c r="Y9720" s="5"/>
      <c r="Z9720" s="5"/>
    </row>
    <row r="9721" spans="1:26" ht="15" x14ac:dyDescent="0.25">
      <c r="A9721" s="4" t="s">
        <v>9719</v>
      </c>
      <c r="B9721" s="4" t="s">
        <v>9011</v>
      </c>
      <c r="C9721" s="2" t="str">
        <f ca="1">IFERROR(__xludf.DUMMYFUNCTION("GOOGLETRANSLATE(A9721,""bn"",""en"")"),"Family will enjoy Puja with light food and meet relatives")</f>
        <v>Family will enjoy Puja with light food and meet relatives</v>
      </c>
      <c r="D9721" s="5"/>
      <c r="E9721" s="5"/>
      <c r="F9721" s="5"/>
      <c r="G9721" s="5"/>
      <c r="H9721" s="5"/>
      <c r="I9721" s="5"/>
      <c r="J9721" s="5"/>
      <c r="K9721" s="5"/>
      <c r="L9721" s="5"/>
      <c r="M9721" s="5"/>
      <c r="N9721" s="5"/>
      <c r="O9721" s="5"/>
      <c r="P9721" s="5"/>
      <c r="Q9721" s="5"/>
      <c r="R9721" s="5"/>
      <c r="S9721" s="5"/>
      <c r="T9721" s="5"/>
      <c r="U9721" s="5"/>
      <c r="V9721" s="5"/>
      <c r="W9721" s="5"/>
      <c r="X9721" s="5"/>
      <c r="Y9721" s="5"/>
      <c r="Z9721" s="5"/>
    </row>
    <row r="9722" spans="1:26" ht="15" x14ac:dyDescent="0.25">
      <c r="A9722" s="4" t="s">
        <v>9720</v>
      </c>
      <c r="B9722" s="4" t="s">
        <v>9011</v>
      </c>
      <c r="C9722" s="2" t="str">
        <f ca="1">IFERROR(__xludf.DUMMYFUNCTION("GOOGLETRANSLATE(A9722,""bn"",""en"")"),"I don't know when the time will pass to see the game that the clouds will play in the sky")</f>
        <v>I don't know when the time will pass to see the game that the clouds will play in the sky</v>
      </c>
      <c r="D9722" s="5"/>
      <c r="E9722" s="5"/>
      <c r="F9722" s="5"/>
      <c r="G9722" s="5"/>
      <c r="H9722" s="5"/>
      <c r="I9722" s="5"/>
      <c r="J9722" s="5"/>
      <c r="K9722" s="5"/>
      <c r="L9722" s="5"/>
      <c r="M9722" s="5"/>
      <c r="N9722" s="5"/>
      <c r="O9722" s="5"/>
      <c r="P9722" s="5"/>
      <c r="Q9722" s="5"/>
      <c r="R9722" s="5"/>
      <c r="S9722" s="5"/>
      <c r="T9722" s="5"/>
      <c r="U9722" s="5"/>
      <c r="V9722" s="5"/>
      <c r="W9722" s="5"/>
      <c r="X9722" s="5"/>
      <c r="Y9722" s="5"/>
      <c r="Z9722" s="5"/>
    </row>
    <row r="9723" spans="1:26" ht="15" x14ac:dyDescent="0.25">
      <c r="A9723" s="4" t="s">
        <v>9721</v>
      </c>
      <c r="B9723" s="4" t="s">
        <v>9011</v>
      </c>
      <c r="C9723" s="2" t="str">
        <f ca="1">IFERROR(__xludf.DUMMYFUNCTION("GOOGLETRANSLATE(A9723,""bn"",""en"")"),"They will realize their dreams when they work hard with all the opportunities they need")</f>
        <v>They will realize their dreams when they work hard with all the opportunities they need</v>
      </c>
      <c r="D9723" s="5"/>
      <c r="E9723" s="5"/>
      <c r="F9723" s="5"/>
      <c r="G9723" s="5"/>
      <c r="H9723" s="5"/>
      <c r="I9723" s="5"/>
      <c r="J9723" s="5"/>
      <c r="K9723" s="5"/>
      <c r="L9723" s="5"/>
      <c r="M9723" s="5"/>
      <c r="N9723" s="5"/>
      <c r="O9723" s="5"/>
      <c r="P9723" s="5"/>
      <c r="Q9723" s="5"/>
      <c r="R9723" s="5"/>
      <c r="S9723" s="5"/>
      <c r="T9723" s="5"/>
      <c r="U9723" s="5"/>
      <c r="V9723" s="5"/>
      <c r="W9723" s="5"/>
      <c r="X9723" s="5"/>
      <c r="Y9723" s="5"/>
      <c r="Z9723" s="5"/>
    </row>
    <row r="9724" spans="1:26" ht="15" x14ac:dyDescent="0.25">
      <c r="A9724" s="4" t="s">
        <v>9722</v>
      </c>
      <c r="B9724" s="4" t="s">
        <v>9011</v>
      </c>
      <c r="C9724" s="2" t="str">
        <f ca="1">IFERROR(__xludf.DUMMYFUNCTION("GOOGLETRANSLATE(A9724,""bn"",""en"")"),"Seeing the smile on Rohan's face, I can understand the value of giving a gift")</f>
        <v>Seeing the smile on Rohan's face, I can understand the value of giving a gift</v>
      </c>
      <c r="D9724" s="5"/>
      <c r="E9724" s="5"/>
      <c r="F9724" s="5"/>
      <c r="G9724" s="5"/>
      <c r="H9724" s="5"/>
      <c r="I9724" s="5"/>
      <c r="J9724" s="5"/>
      <c r="K9724" s="5"/>
      <c r="L9724" s="5"/>
      <c r="M9724" s="5"/>
      <c r="N9724" s="5"/>
      <c r="O9724" s="5"/>
      <c r="P9724" s="5"/>
      <c r="Q9724" s="5"/>
      <c r="R9724" s="5"/>
      <c r="S9724" s="5"/>
      <c r="T9724" s="5"/>
      <c r="U9724" s="5"/>
      <c r="V9724" s="5"/>
      <c r="W9724" s="5"/>
      <c r="X9724" s="5"/>
      <c r="Y9724" s="5"/>
      <c r="Z9724" s="5"/>
    </row>
    <row r="9725" spans="1:26" ht="15" x14ac:dyDescent="0.25">
      <c r="A9725" s="4" t="s">
        <v>9723</v>
      </c>
      <c r="B9725" s="4" t="s">
        <v>9011</v>
      </c>
      <c r="C9725" s="2" t="str">
        <f ca="1">IFERROR(__xludf.DUMMYFUNCTION("GOOGLETRANSLATE(A9725,""bn"",""en"")"),"I will open a new company next month")</f>
        <v>I will open a new company next month</v>
      </c>
      <c r="D9725" s="5"/>
      <c r="E9725" s="5"/>
      <c r="F9725" s="5"/>
      <c r="G9725" s="5"/>
      <c r="H9725" s="5"/>
      <c r="I9725" s="5"/>
      <c r="J9725" s="5"/>
      <c r="K9725" s="5"/>
      <c r="L9725" s="5"/>
      <c r="M9725" s="5"/>
      <c r="N9725" s="5"/>
      <c r="O9725" s="5"/>
      <c r="P9725" s="5"/>
      <c r="Q9725" s="5"/>
      <c r="R9725" s="5"/>
      <c r="S9725" s="5"/>
      <c r="T9725" s="5"/>
      <c r="U9725" s="5"/>
      <c r="V9725" s="5"/>
      <c r="W9725" s="5"/>
      <c r="X9725" s="5"/>
      <c r="Y9725" s="5"/>
      <c r="Z9725" s="5"/>
    </row>
    <row r="9726" spans="1:26" ht="15" x14ac:dyDescent="0.25">
      <c r="A9726" s="4" t="s">
        <v>9724</v>
      </c>
      <c r="B9726" s="4" t="s">
        <v>9011</v>
      </c>
      <c r="C9726" s="2" t="str">
        <f ca="1">IFERROR(__xludf.DUMMYFUNCTION("GOOGLETRANSLATE(A9726,""bn"",""en"")"),"The beauty of Casa Mila will always amaze me")</f>
        <v>The beauty of Casa Mila will always amaze me</v>
      </c>
      <c r="D9726" s="5"/>
      <c r="E9726" s="5"/>
      <c r="F9726" s="5"/>
      <c r="G9726" s="5"/>
      <c r="H9726" s="5"/>
      <c r="I9726" s="5"/>
      <c r="J9726" s="5"/>
      <c r="K9726" s="5"/>
      <c r="L9726" s="5"/>
      <c r="M9726" s="5"/>
      <c r="N9726" s="5"/>
      <c r="O9726" s="5"/>
      <c r="P9726" s="5"/>
      <c r="Q9726" s="5"/>
      <c r="R9726" s="5"/>
      <c r="S9726" s="5"/>
      <c r="T9726" s="5"/>
      <c r="U9726" s="5"/>
      <c r="V9726" s="5"/>
      <c r="W9726" s="5"/>
      <c r="X9726" s="5"/>
      <c r="Y9726" s="5"/>
      <c r="Z9726" s="5"/>
    </row>
    <row r="9727" spans="1:26" ht="15" x14ac:dyDescent="0.25">
      <c r="A9727" s="4" t="s">
        <v>9725</v>
      </c>
      <c r="B9727" s="4" t="s">
        <v>9011</v>
      </c>
      <c r="C9727" s="2" t="str">
        <f ca="1">IFERROR(__xludf.DUMMYFUNCTION("GOOGLETRANSLATE(A9727,""bn"",""en"")"),"They will make a connection with nature in the garden tomorrow")</f>
        <v>They will make a connection with nature in the garden tomorrow</v>
      </c>
      <c r="D9727" s="5"/>
      <c r="E9727" s="5"/>
      <c r="F9727" s="5"/>
      <c r="G9727" s="5"/>
      <c r="H9727" s="5"/>
      <c r="I9727" s="5"/>
      <c r="J9727" s="5"/>
      <c r="K9727" s="5"/>
      <c r="L9727" s="5"/>
      <c r="M9727" s="5"/>
      <c r="N9727" s="5"/>
      <c r="O9727" s="5"/>
      <c r="P9727" s="5"/>
      <c r="Q9727" s="5"/>
      <c r="R9727" s="5"/>
      <c r="S9727" s="5"/>
      <c r="T9727" s="5"/>
      <c r="U9727" s="5"/>
      <c r="V9727" s="5"/>
      <c r="W9727" s="5"/>
      <c r="X9727" s="5"/>
      <c r="Y9727" s="5"/>
      <c r="Z9727" s="5"/>
    </row>
    <row r="9728" spans="1:26" ht="15" x14ac:dyDescent="0.25">
      <c r="A9728" s="4" t="s">
        <v>9726</v>
      </c>
      <c r="B9728" s="4" t="s">
        <v>9011</v>
      </c>
      <c r="C9728" s="2" t="str">
        <f ca="1">IFERROR(__xludf.DUMMYFUNCTION("GOOGLETRANSLATE(A9728,""bn"",""en"")"),"I will go on a trip with my friends")</f>
        <v>I will go on a trip with my friends</v>
      </c>
      <c r="D9728" s="5"/>
      <c r="E9728" s="5"/>
      <c r="F9728" s="5"/>
      <c r="G9728" s="5"/>
      <c r="H9728" s="5"/>
      <c r="I9728" s="5"/>
      <c r="J9728" s="5"/>
      <c r="K9728" s="5"/>
      <c r="L9728" s="5"/>
      <c r="M9728" s="5"/>
      <c r="N9728" s="5"/>
      <c r="O9728" s="5"/>
      <c r="P9728" s="5"/>
      <c r="Q9728" s="5"/>
      <c r="R9728" s="5"/>
      <c r="S9728" s="5"/>
      <c r="T9728" s="5"/>
      <c r="U9728" s="5"/>
      <c r="V9728" s="5"/>
      <c r="W9728" s="5"/>
      <c r="X9728" s="5"/>
      <c r="Y9728" s="5"/>
      <c r="Z9728" s="5"/>
    </row>
    <row r="9729" spans="1:26" ht="15" x14ac:dyDescent="0.25">
      <c r="A9729" s="4" t="s">
        <v>9727</v>
      </c>
      <c r="B9729" s="4" t="s">
        <v>9011</v>
      </c>
      <c r="C9729" s="2" t="str">
        <f ca="1">IFERROR(__xludf.DUMMYFUNCTION("GOOGLETRANSLATE(A9729,""bn"",""en"")"),"We will travel on unknown roads, we will talk with unknown people, we will be fascinated by natural attractions, we will introduce new joys through each journey")</f>
        <v>We will travel on unknown roads, we will talk with unknown people, we will be fascinated by natural attractions, we will introduce new joys through each journey</v>
      </c>
      <c r="D9729" s="5"/>
      <c r="E9729" s="5"/>
      <c r="F9729" s="5"/>
      <c r="G9729" s="5"/>
      <c r="H9729" s="5"/>
      <c r="I9729" s="5"/>
      <c r="J9729" s="5"/>
      <c r="K9729" s="5"/>
      <c r="L9729" s="5"/>
      <c r="M9729" s="5"/>
      <c r="N9729" s="5"/>
      <c r="O9729" s="5"/>
      <c r="P9729" s="5"/>
      <c r="Q9729" s="5"/>
      <c r="R9729" s="5"/>
      <c r="S9729" s="5"/>
      <c r="T9729" s="5"/>
      <c r="U9729" s="5"/>
      <c r="V9729" s="5"/>
      <c r="W9729" s="5"/>
      <c r="X9729" s="5"/>
      <c r="Y9729" s="5"/>
      <c r="Z9729" s="5"/>
    </row>
    <row r="9730" spans="1:26" ht="15" x14ac:dyDescent="0.25">
      <c r="A9730" s="4" t="s">
        <v>9728</v>
      </c>
      <c r="B9730" s="4" t="s">
        <v>9011</v>
      </c>
      <c r="C9730" s="2" t="str">
        <f ca="1">IFERROR(__xludf.DUMMYFUNCTION("GOOGLETRANSLATE(A9730,""bn"",""en"")"),"He will learn to play the guitar next year")</f>
        <v>He will learn to play the guitar next year</v>
      </c>
      <c r="D9730" s="5"/>
      <c r="E9730" s="5"/>
      <c r="F9730" s="5"/>
      <c r="G9730" s="5"/>
      <c r="H9730" s="5"/>
      <c r="I9730" s="5"/>
      <c r="J9730" s="5"/>
      <c r="K9730" s="5"/>
      <c r="L9730" s="5"/>
      <c r="M9730" s="5"/>
      <c r="N9730" s="5"/>
      <c r="O9730" s="5"/>
      <c r="P9730" s="5"/>
      <c r="Q9730" s="5"/>
      <c r="R9730" s="5"/>
      <c r="S9730" s="5"/>
      <c r="T9730" s="5"/>
      <c r="U9730" s="5"/>
      <c r="V9730" s="5"/>
      <c r="W9730" s="5"/>
      <c r="X9730" s="5"/>
      <c r="Y9730" s="5"/>
      <c r="Z9730" s="5"/>
    </row>
    <row r="9731" spans="1:26" ht="15" x14ac:dyDescent="0.25">
      <c r="A9731" s="4" t="s">
        <v>9729</v>
      </c>
      <c r="B9731" s="4" t="s">
        <v>9011</v>
      </c>
      <c r="C9731" s="2" t="str">
        <f ca="1">IFERROR(__xludf.DUMMYFUNCTION("GOOGLETRANSLATE(A9731,""bn"",""en"")"),"In the future I will write a book where I will share my life experiences and learnings")</f>
        <v>In the future I will write a book where I will share my life experiences and learnings</v>
      </c>
      <c r="D9731" s="5"/>
      <c r="E9731" s="5"/>
      <c r="F9731" s="5"/>
      <c r="G9731" s="5"/>
      <c r="H9731" s="5"/>
      <c r="I9731" s="5"/>
      <c r="J9731" s="5"/>
      <c r="K9731" s="5"/>
      <c r="L9731" s="5"/>
      <c r="M9731" s="5"/>
      <c r="N9731" s="5"/>
      <c r="O9731" s="5"/>
      <c r="P9731" s="5"/>
      <c r="Q9731" s="5"/>
      <c r="R9731" s="5"/>
      <c r="S9731" s="5"/>
      <c r="T9731" s="5"/>
      <c r="U9731" s="5"/>
      <c r="V9731" s="5"/>
      <c r="W9731" s="5"/>
      <c r="X9731" s="5"/>
      <c r="Y9731" s="5"/>
      <c r="Z9731" s="5"/>
    </row>
    <row r="9732" spans="1:26" ht="15" x14ac:dyDescent="0.25">
      <c r="A9732" s="4" t="s">
        <v>9730</v>
      </c>
      <c r="B9732" s="4" t="s">
        <v>9011</v>
      </c>
      <c r="C9732" s="2" t="str">
        <f ca="1">IFERROR(__xludf.DUMMYFUNCTION("GOOGLETRANSLATE(A9732,""bn"",""en"")"),"In the future I will attend a creative writing workshop and improve my writing skills")</f>
        <v>In the future I will attend a creative writing workshop and improve my writing skills</v>
      </c>
      <c r="D9732" s="5"/>
      <c r="E9732" s="5"/>
      <c r="F9732" s="5"/>
      <c r="G9732" s="5"/>
      <c r="H9732" s="5"/>
      <c r="I9732" s="5"/>
      <c r="J9732" s="5"/>
      <c r="K9732" s="5"/>
      <c r="L9732" s="5"/>
      <c r="M9732" s="5"/>
      <c r="N9732" s="5"/>
      <c r="O9732" s="5"/>
      <c r="P9732" s="5"/>
      <c r="Q9732" s="5"/>
      <c r="R9732" s="5"/>
      <c r="S9732" s="5"/>
      <c r="T9732" s="5"/>
      <c r="U9732" s="5"/>
      <c r="V9732" s="5"/>
      <c r="W9732" s="5"/>
      <c r="X9732" s="5"/>
      <c r="Y9732" s="5"/>
      <c r="Z9732" s="5"/>
    </row>
    <row r="9733" spans="1:26" ht="15" x14ac:dyDescent="0.25">
      <c r="A9733" s="4" t="s">
        <v>9731</v>
      </c>
      <c r="B9733" s="4" t="s">
        <v>9011</v>
      </c>
      <c r="C9733" s="2" t="str">
        <f ca="1">IFERROR(__xludf.DUMMYFUNCTION("GOOGLETRANSLATE(A9733,""bn"",""en"")"),"I will be completing all the specific tasks until the completion of my project next week")</f>
        <v>I will be completing all the specific tasks until the completion of my project next week</v>
      </c>
      <c r="D9733" s="5"/>
      <c r="E9733" s="5"/>
      <c r="F9733" s="5"/>
      <c r="G9733" s="5"/>
      <c r="H9733" s="5"/>
      <c r="I9733" s="5"/>
      <c r="J9733" s="5"/>
      <c r="K9733" s="5"/>
      <c r="L9733" s="5"/>
      <c r="M9733" s="5"/>
      <c r="N9733" s="5"/>
      <c r="O9733" s="5"/>
      <c r="P9733" s="5"/>
      <c r="Q9733" s="5"/>
      <c r="R9733" s="5"/>
      <c r="S9733" s="5"/>
      <c r="T9733" s="5"/>
      <c r="U9733" s="5"/>
      <c r="V9733" s="5"/>
      <c r="W9733" s="5"/>
      <c r="X9733" s="5"/>
      <c r="Y9733" s="5"/>
      <c r="Z9733" s="5"/>
    </row>
    <row r="9734" spans="1:26" ht="15" x14ac:dyDescent="0.25">
      <c r="A9734" s="4" t="s">
        <v>9732</v>
      </c>
      <c r="B9734" s="4" t="s">
        <v>9011</v>
      </c>
      <c r="C9734" s="2" t="str">
        <f ca="1">IFERROR(__xludf.DUMMYFUNCTION("GOOGLETRANSLATE(A9734,""bn"",""en"")"),"Today will be my first program run, what a sweet taste of success!")</f>
        <v>Today will be my first program run, what a sweet taste of success!</v>
      </c>
      <c r="D9734" s="5"/>
      <c r="E9734" s="5"/>
      <c r="F9734" s="5"/>
      <c r="G9734" s="5"/>
      <c r="H9734" s="5"/>
      <c r="I9734" s="5"/>
      <c r="J9734" s="5"/>
      <c r="K9734" s="5"/>
      <c r="L9734" s="5"/>
      <c r="M9734" s="5"/>
      <c r="N9734" s="5"/>
      <c r="O9734" s="5"/>
      <c r="P9734" s="5"/>
      <c r="Q9734" s="5"/>
      <c r="R9734" s="5"/>
      <c r="S9734" s="5"/>
      <c r="T9734" s="5"/>
      <c r="U9734" s="5"/>
      <c r="V9734" s="5"/>
      <c r="W9734" s="5"/>
      <c r="X9734" s="5"/>
      <c r="Y9734" s="5"/>
      <c r="Z9734" s="5"/>
    </row>
    <row r="9735" spans="1:26" ht="15" x14ac:dyDescent="0.25">
      <c r="A9735" s="4" t="s">
        <v>9733</v>
      </c>
      <c r="B9735" s="4" t="s">
        <v>9011</v>
      </c>
      <c r="C9735" s="2" t="str">
        <f ca="1">IFERROR(__xludf.DUMMYFUNCTION("GOOGLETRANSLATE(A9735,""bn"",""en"")"),"I will get an award for writing")</f>
        <v>I will get an award for writing</v>
      </c>
      <c r="D9735" s="5"/>
      <c r="E9735" s="5"/>
      <c r="F9735" s="5"/>
      <c r="G9735" s="5"/>
      <c r="H9735" s="5"/>
      <c r="I9735" s="5"/>
      <c r="J9735" s="5"/>
      <c r="K9735" s="5"/>
      <c r="L9735" s="5"/>
      <c r="M9735" s="5"/>
      <c r="N9735" s="5"/>
      <c r="O9735" s="5"/>
      <c r="P9735" s="5"/>
      <c r="Q9735" s="5"/>
      <c r="R9735" s="5"/>
      <c r="S9735" s="5"/>
      <c r="T9735" s="5"/>
      <c r="U9735" s="5"/>
      <c r="V9735" s="5"/>
      <c r="W9735" s="5"/>
      <c r="X9735" s="5"/>
      <c r="Y9735" s="5"/>
      <c r="Z9735" s="5"/>
    </row>
    <row r="9736" spans="1:26" ht="15" x14ac:dyDescent="0.25">
      <c r="A9736" s="4" t="s">
        <v>9734</v>
      </c>
      <c r="B9736" s="4" t="s">
        <v>9011</v>
      </c>
      <c r="C9736" s="2" t="str">
        <f ca="1">IFERROR(__xludf.DUMMYFUNCTION("GOOGLETRANSLATE(A9736,""bn"",""en"")"),"It will be a fun-filled afternoon running around the school playground")</f>
        <v>It will be a fun-filled afternoon running around the school playground</v>
      </c>
      <c r="D9736" s="5"/>
      <c r="E9736" s="5"/>
      <c r="F9736" s="5"/>
      <c r="G9736" s="5"/>
      <c r="H9736" s="5"/>
      <c r="I9736" s="5"/>
      <c r="J9736" s="5"/>
      <c r="K9736" s="5"/>
      <c r="L9736" s="5"/>
      <c r="M9736" s="5"/>
      <c r="N9736" s="5"/>
      <c r="O9736" s="5"/>
      <c r="P9736" s="5"/>
      <c r="Q9736" s="5"/>
      <c r="R9736" s="5"/>
      <c r="S9736" s="5"/>
      <c r="T9736" s="5"/>
      <c r="U9736" s="5"/>
      <c r="V9736" s="5"/>
      <c r="W9736" s="5"/>
      <c r="X9736" s="5"/>
      <c r="Y9736" s="5"/>
      <c r="Z9736" s="5"/>
    </row>
    <row r="9737" spans="1:26" ht="15" x14ac:dyDescent="0.25">
      <c r="A9737" s="4" t="s">
        <v>9735</v>
      </c>
      <c r="B9737" s="4" t="s">
        <v>9011</v>
      </c>
      <c r="C9737" s="2" t="str">
        <f ca="1">IFERROR(__xludf.DUMMYFUNCTION("GOOGLETRANSLATE(A9737,""bn"",""en"")"),"Giving today will make the mind very happy. If someone is happy with a small amount, it will be a great reward")</f>
        <v>Giving today will make the mind very happy. If someone is happy with a small amount, it will be a great reward</v>
      </c>
      <c r="D9737" s="5"/>
      <c r="E9737" s="5"/>
      <c r="F9737" s="5"/>
      <c r="G9737" s="5"/>
      <c r="H9737" s="5"/>
      <c r="I9737" s="5"/>
      <c r="J9737" s="5"/>
      <c r="K9737" s="5"/>
      <c r="L9737" s="5"/>
      <c r="M9737" s="5"/>
      <c r="N9737" s="5"/>
      <c r="O9737" s="5"/>
      <c r="P9737" s="5"/>
      <c r="Q9737" s="5"/>
      <c r="R9737" s="5"/>
      <c r="S9737" s="5"/>
      <c r="T9737" s="5"/>
      <c r="U9737" s="5"/>
      <c r="V9737" s="5"/>
      <c r="W9737" s="5"/>
      <c r="X9737" s="5"/>
      <c r="Y9737" s="5"/>
      <c r="Z9737" s="5"/>
    </row>
    <row r="9738" spans="1:26" ht="15" x14ac:dyDescent="0.25">
      <c r="A9738" s="4" t="s">
        <v>9736</v>
      </c>
      <c r="B9738" s="4" t="s">
        <v>9011</v>
      </c>
      <c r="C9738" s="2" t="str">
        <f ca="1">IFERROR(__xludf.DUMMYFUNCTION("GOOGLETRANSLATE(A9738,""bn"",""en"")"),"Today I will be surprised to see my own game in the Keram game")</f>
        <v>Today I will be surprised to see my own game in the Keram game</v>
      </c>
      <c r="D9738" s="5"/>
      <c r="E9738" s="5"/>
      <c r="F9738" s="5"/>
      <c r="G9738" s="5"/>
      <c r="H9738" s="5"/>
      <c r="I9738" s="5"/>
      <c r="J9738" s="5"/>
      <c r="K9738" s="5"/>
      <c r="L9738" s="5"/>
      <c r="M9738" s="5"/>
      <c r="N9738" s="5"/>
      <c r="O9738" s="5"/>
      <c r="P9738" s="5"/>
      <c r="Q9738" s="5"/>
      <c r="R9738" s="5"/>
      <c r="S9738" s="5"/>
      <c r="T9738" s="5"/>
      <c r="U9738" s="5"/>
      <c r="V9738" s="5"/>
      <c r="W9738" s="5"/>
      <c r="X9738" s="5"/>
      <c r="Y9738" s="5"/>
      <c r="Z9738" s="5"/>
    </row>
    <row r="9739" spans="1:26" ht="15" x14ac:dyDescent="0.25">
      <c r="A9739" s="4" t="s">
        <v>9737</v>
      </c>
      <c r="B9739" s="4" t="s">
        <v>9011</v>
      </c>
      <c r="C9739" s="2" t="str">
        <f ca="1">IFERROR(__xludf.DUMMYFUNCTION("GOOGLETRANSLATE(A9739,""bn"",""en"")"),"I will go to buy a new mobile telephone tomorrow")</f>
        <v>I will go to buy a new mobile telephone tomorrow</v>
      </c>
      <c r="D9739" s="5"/>
      <c r="E9739" s="5"/>
      <c r="F9739" s="5"/>
      <c r="G9739" s="5"/>
      <c r="H9739" s="5"/>
      <c r="I9739" s="5"/>
      <c r="J9739" s="5"/>
      <c r="K9739" s="5"/>
      <c r="L9739" s="5"/>
      <c r="M9739" s="5"/>
      <c r="N9739" s="5"/>
      <c r="O9739" s="5"/>
      <c r="P9739" s="5"/>
      <c r="Q9739" s="5"/>
      <c r="R9739" s="5"/>
      <c r="S9739" s="5"/>
      <c r="T9739" s="5"/>
      <c r="U9739" s="5"/>
      <c r="V9739" s="5"/>
      <c r="W9739" s="5"/>
      <c r="X9739" s="5"/>
      <c r="Y9739" s="5"/>
      <c r="Z9739" s="5"/>
    </row>
    <row r="9740" spans="1:26" ht="15" x14ac:dyDescent="0.25">
      <c r="A9740" s="4" t="s">
        <v>9738</v>
      </c>
      <c r="B9740" s="4" t="s">
        <v>9011</v>
      </c>
      <c r="C9740" s="2" t="str">
        <f ca="1">IFERROR(__xludf.DUMMYFUNCTION("GOOGLETRANSLATE(A9740,""bn"",""en"")"),"We will be hosting a new technical workshop next month that will upskill our staff")</f>
        <v>We will be hosting a new technical workshop next month that will upskill our staff</v>
      </c>
      <c r="D9740" s="5"/>
      <c r="E9740" s="5"/>
      <c r="F9740" s="5"/>
      <c r="G9740" s="5"/>
      <c r="H9740" s="5"/>
      <c r="I9740" s="5"/>
      <c r="J9740" s="5"/>
      <c r="K9740" s="5"/>
      <c r="L9740" s="5"/>
      <c r="M9740" s="5"/>
      <c r="N9740" s="5"/>
      <c r="O9740" s="5"/>
      <c r="P9740" s="5"/>
      <c r="Q9740" s="5"/>
      <c r="R9740" s="5"/>
      <c r="S9740" s="5"/>
      <c r="T9740" s="5"/>
      <c r="U9740" s="5"/>
      <c r="V9740" s="5"/>
      <c r="W9740" s="5"/>
      <c r="X9740" s="5"/>
      <c r="Y9740" s="5"/>
      <c r="Z9740" s="5"/>
    </row>
    <row r="9741" spans="1:26" ht="15" x14ac:dyDescent="0.25">
      <c r="A9741" s="4" t="s">
        <v>9739</v>
      </c>
      <c r="B9741" s="4" t="s">
        <v>9011</v>
      </c>
      <c r="C9741" s="2" t="str">
        <f ca="1">IFERROR(__xludf.DUMMYFUNCTION("GOOGLETRANSLATE(A9741,""bn"",""en"")"),"Next month we will organize a big festival where everyone will celebrate together")</f>
        <v>Next month we will organize a big festival where everyone will celebrate together</v>
      </c>
      <c r="D9741" s="5"/>
      <c r="E9741" s="5"/>
      <c r="F9741" s="5"/>
      <c r="G9741" s="5"/>
      <c r="H9741" s="5"/>
      <c r="I9741" s="5"/>
      <c r="J9741" s="5"/>
      <c r="K9741" s="5"/>
      <c r="L9741" s="5"/>
      <c r="M9741" s="5"/>
      <c r="N9741" s="5"/>
      <c r="O9741" s="5"/>
      <c r="P9741" s="5"/>
      <c r="Q9741" s="5"/>
      <c r="R9741" s="5"/>
      <c r="S9741" s="5"/>
      <c r="T9741" s="5"/>
      <c r="U9741" s="5"/>
      <c r="V9741" s="5"/>
      <c r="W9741" s="5"/>
      <c r="X9741" s="5"/>
      <c r="Y9741" s="5"/>
      <c r="Z9741" s="5"/>
    </row>
    <row r="9742" spans="1:26" ht="15" x14ac:dyDescent="0.25">
      <c r="A9742" s="4" t="s">
        <v>9740</v>
      </c>
      <c r="B9742" s="4" t="s">
        <v>9011</v>
      </c>
      <c r="C9742" s="2" t="str">
        <f ca="1">IFERROR(__xludf.DUMMYFUNCTION("GOOGLETRANSLATE(A9742,""bn"",""en"")"),"Through dance people's minds will be filled with new joy and their lives will be bright")</f>
        <v>Through dance people's minds will be filled with new joy and their lives will be bright</v>
      </c>
      <c r="D9742" s="5"/>
      <c r="E9742" s="5"/>
      <c r="F9742" s="5"/>
      <c r="G9742" s="5"/>
      <c r="H9742" s="5"/>
      <c r="I9742" s="5"/>
      <c r="J9742" s="5"/>
      <c r="K9742" s="5"/>
      <c r="L9742" s="5"/>
      <c r="M9742" s="5"/>
      <c r="N9742" s="5"/>
      <c r="O9742" s="5"/>
      <c r="P9742" s="5"/>
      <c r="Q9742" s="5"/>
      <c r="R9742" s="5"/>
      <c r="S9742" s="5"/>
      <c r="T9742" s="5"/>
      <c r="U9742" s="5"/>
      <c r="V9742" s="5"/>
      <c r="W9742" s="5"/>
      <c r="X9742" s="5"/>
      <c r="Y9742" s="5"/>
      <c r="Z9742" s="5"/>
    </row>
    <row r="9743" spans="1:26" ht="15" x14ac:dyDescent="0.25">
      <c r="A9743" s="4" t="s">
        <v>9741</v>
      </c>
      <c r="B9743" s="4" t="s">
        <v>9011</v>
      </c>
      <c r="C9743" s="2" t="str">
        <f ca="1">IFERROR(__xludf.DUMMYFUNCTION("GOOGLETRANSLATE(A9743,""bn"",""en"")"),"If you give food to a kitten on the street, seeing happiness in its hungry eyes will awaken a strange joy in yourself")</f>
        <v>If you give food to a kitten on the street, seeing happiness in its hungry eyes will awaken a strange joy in yourself</v>
      </c>
      <c r="D9743" s="5"/>
      <c r="E9743" s="5"/>
      <c r="F9743" s="5"/>
      <c r="G9743" s="5"/>
      <c r="H9743" s="5"/>
      <c r="I9743" s="5"/>
      <c r="J9743" s="5"/>
      <c r="K9743" s="5"/>
      <c r="L9743" s="5"/>
      <c r="M9743" s="5"/>
      <c r="N9743" s="5"/>
      <c r="O9743" s="5"/>
      <c r="P9743" s="5"/>
      <c r="Q9743" s="5"/>
      <c r="R9743" s="5"/>
      <c r="S9743" s="5"/>
      <c r="T9743" s="5"/>
      <c r="U9743" s="5"/>
      <c r="V9743" s="5"/>
      <c r="W9743" s="5"/>
      <c r="X9743" s="5"/>
      <c r="Y9743" s="5"/>
      <c r="Z9743" s="5"/>
    </row>
    <row r="9744" spans="1:26" ht="15" x14ac:dyDescent="0.25">
      <c r="A9744" s="4" t="s">
        <v>9742</v>
      </c>
      <c r="B9744" s="4" t="s">
        <v>9011</v>
      </c>
      <c r="C9744" s="2" t="str">
        <f ca="1">IFERROR(__xludf.DUMMYFUNCTION("GOOGLETRANSLATE(A9744,""bn"",""en"")"),"Just as rainbows do not form without rain, joy does not occur without sorrow")</f>
        <v>Just as rainbows do not form without rain, joy does not occur without sorrow</v>
      </c>
      <c r="D9744" s="5"/>
      <c r="E9744" s="5"/>
      <c r="F9744" s="5"/>
      <c r="G9744" s="5"/>
      <c r="H9744" s="5"/>
      <c r="I9744" s="5"/>
      <c r="J9744" s="5"/>
      <c r="K9744" s="5"/>
      <c r="L9744" s="5"/>
      <c r="M9744" s="5"/>
      <c r="N9744" s="5"/>
      <c r="O9744" s="5"/>
      <c r="P9744" s="5"/>
      <c r="Q9744" s="5"/>
      <c r="R9744" s="5"/>
      <c r="S9744" s="5"/>
      <c r="T9744" s="5"/>
      <c r="U9744" s="5"/>
      <c r="V9744" s="5"/>
      <c r="W9744" s="5"/>
      <c r="X9744" s="5"/>
      <c r="Y9744" s="5"/>
      <c r="Z9744" s="5"/>
    </row>
    <row r="9745" spans="1:26" ht="15" x14ac:dyDescent="0.25">
      <c r="A9745" s="4" t="s">
        <v>9743</v>
      </c>
      <c r="B9745" s="4" t="s">
        <v>9011</v>
      </c>
      <c r="C9745" s="2" t="str">
        <f ca="1">IFERROR(__xludf.DUMMYFUNCTION("GOOGLETRANSLATE(A9745,""bn"",""en"")"),"I will create an international exchange program for students that will help them learn about different cultures")</f>
        <v>I will create an international exchange program for students that will help them learn about different cultures</v>
      </c>
      <c r="D9745" s="5"/>
      <c r="E9745" s="5"/>
      <c r="F9745" s="5"/>
      <c r="G9745" s="5"/>
      <c r="H9745" s="5"/>
      <c r="I9745" s="5"/>
      <c r="J9745" s="5"/>
      <c r="K9745" s="5"/>
      <c r="L9745" s="5"/>
      <c r="M9745" s="5"/>
      <c r="N9745" s="5"/>
      <c r="O9745" s="5"/>
      <c r="P9745" s="5"/>
      <c r="Q9745" s="5"/>
      <c r="R9745" s="5"/>
      <c r="S9745" s="5"/>
      <c r="T9745" s="5"/>
      <c r="U9745" s="5"/>
      <c r="V9745" s="5"/>
      <c r="W9745" s="5"/>
      <c r="X9745" s="5"/>
      <c r="Y9745" s="5"/>
      <c r="Z9745" s="5"/>
    </row>
    <row r="9746" spans="1:26" ht="15" x14ac:dyDescent="0.25">
      <c r="A9746" s="4" t="s">
        <v>9744</v>
      </c>
      <c r="B9746" s="4" t="s">
        <v>9011</v>
      </c>
      <c r="C9746" s="2" t="str">
        <f ca="1">IFERROR(__xludf.DUMMYFUNCTION("GOOGLETRANSLATE(A9746,""bn"",""en"")"),"It seems like every day there is news of new technology and it is difficult to stay updated")</f>
        <v>It seems like every day there is news of new technology and it is difficult to stay updated</v>
      </c>
      <c r="D9746" s="5"/>
      <c r="E9746" s="5"/>
      <c r="F9746" s="5"/>
      <c r="G9746" s="5"/>
      <c r="H9746" s="5"/>
      <c r="I9746" s="5"/>
      <c r="J9746" s="5"/>
      <c r="K9746" s="5"/>
      <c r="L9746" s="5"/>
      <c r="M9746" s="5"/>
      <c r="N9746" s="5"/>
      <c r="O9746" s="5"/>
      <c r="P9746" s="5"/>
      <c r="Q9746" s="5"/>
      <c r="R9746" s="5"/>
      <c r="S9746" s="5"/>
      <c r="T9746" s="5"/>
      <c r="U9746" s="5"/>
      <c r="V9746" s="5"/>
      <c r="W9746" s="5"/>
      <c r="X9746" s="5"/>
      <c r="Y9746" s="5"/>
      <c r="Z9746" s="5"/>
    </row>
    <row r="9747" spans="1:26" ht="15" x14ac:dyDescent="0.25">
      <c r="A9747" s="4" t="s">
        <v>9745</v>
      </c>
      <c r="B9747" s="4" t="s">
        <v>9011</v>
      </c>
      <c r="C9747" s="2" t="str">
        <f ca="1">IFERROR(__xludf.DUMMYFUNCTION("GOOGLETRANSLATE(A9747,""bn"",""en"")"),"Victory will come but I will learn a lot along the way")</f>
        <v>Victory will come but I will learn a lot along the way</v>
      </c>
      <c r="D9747" s="5"/>
      <c r="E9747" s="5"/>
      <c r="F9747" s="5"/>
      <c r="G9747" s="5"/>
      <c r="H9747" s="5"/>
      <c r="I9747" s="5"/>
      <c r="J9747" s="5"/>
      <c r="K9747" s="5"/>
      <c r="L9747" s="5"/>
      <c r="M9747" s="5"/>
      <c r="N9747" s="5"/>
      <c r="O9747" s="5"/>
      <c r="P9747" s="5"/>
      <c r="Q9747" s="5"/>
      <c r="R9747" s="5"/>
      <c r="S9747" s="5"/>
      <c r="T9747" s="5"/>
      <c r="U9747" s="5"/>
      <c r="V9747" s="5"/>
      <c r="W9747" s="5"/>
      <c r="X9747" s="5"/>
      <c r="Y9747" s="5"/>
      <c r="Z9747" s="5"/>
    </row>
    <row r="9748" spans="1:26" ht="15" x14ac:dyDescent="0.25">
      <c r="A9748" s="4" t="s">
        <v>9746</v>
      </c>
      <c r="B9748" s="4" t="s">
        <v>9011</v>
      </c>
      <c r="C9748" s="2" t="str">
        <f ca="1">IFERROR(__xludf.DUMMYFUNCTION("GOOGLETRANSLATE(A9748,""bn"",""en"")"),"In the future I will get a job in a big employer")</f>
        <v>In the future I will get a job in a big employer</v>
      </c>
      <c r="D9748" s="5"/>
      <c r="E9748" s="5"/>
      <c r="F9748" s="5"/>
      <c r="G9748" s="5"/>
      <c r="H9748" s="5"/>
      <c r="I9748" s="5"/>
      <c r="J9748" s="5"/>
      <c r="K9748" s="5"/>
      <c r="L9748" s="5"/>
      <c r="M9748" s="5"/>
      <c r="N9748" s="5"/>
      <c r="O9748" s="5"/>
      <c r="P9748" s="5"/>
      <c r="Q9748" s="5"/>
      <c r="R9748" s="5"/>
      <c r="S9748" s="5"/>
      <c r="T9748" s="5"/>
      <c r="U9748" s="5"/>
      <c r="V9748" s="5"/>
      <c r="W9748" s="5"/>
      <c r="X9748" s="5"/>
      <c r="Y9748" s="5"/>
      <c r="Z9748" s="5"/>
    </row>
    <row r="9749" spans="1:26" ht="15" x14ac:dyDescent="0.25">
      <c r="A9749" s="4" t="s">
        <v>9747</v>
      </c>
      <c r="B9749" s="4" t="s">
        <v>9011</v>
      </c>
      <c r="C9749" s="2" t="str">
        <f ca="1">IFERROR(__xludf.DUMMYFUNCTION("GOOGLETRANSLATE(A9749,""bn"",""en"")"),"I will already add the songs of the film to my favorites list")</f>
        <v>I will already add the songs of the film to my favorites list</v>
      </c>
      <c r="D9749" s="5"/>
      <c r="E9749" s="5"/>
      <c r="F9749" s="5"/>
      <c r="G9749" s="5"/>
      <c r="H9749" s="5"/>
      <c r="I9749" s="5"/>
      <c r="J9749" s="5"/>
      <c r="K9749" s="5"/>
      <c r="L9749" s="5"/>
      <c r="M9749" s="5"/>
      <c r="N9749" s="5"/>
      <c r="O9749" s="5"/>
      <c r="P9749" s="5"/>
      <c r="Q9749" s="5"/>
      <c r="R9749" s="5"/>
      <c r="S9749" s="5"/>
      <c r="T9749" s="5"/>
      <c r="U9749" s="5"/>
      <c r="V9749" s="5"/>
      <c r="W9749" s="5"/>
      <c r="X9749" s="5"/>
      <c r="Y9749" s="5"/>
      <c r="Z9749" s="5"/>
    </row>
    <row r="9750" spans="1:26" ht="15" x14ac:dyDescent="0.25">
      <c r="A9750" s="4" t="s">
        <v>9748</v>
      </c>
      <c r="B9750" s="4" t="s">
        <v>9011</v>
      </c>
      <c r="C9750" s="2" t="str">
        <f ca="1">IFERROR(__xludf.DUMMYFUNCTION("GOOGLETRANSLATE(A9750,""bn"",""en"")"),"You will attend a special function tomorrow")</f>
        <v>You will attend a special function tomorrow</v>
      </c>
      <c r="D9750" s="5"/>
      <c r="E9750" s="5"/>
      <c r="F9750" s="5"/>
      <c r="G9750" s="5"/>
      <c r="H9750" s="5"/>
      <c r="I9750" s="5"/>
      <c r="J9750" s="5"/>
      <c r="K9750" s="5"/>
      <c r="L9750" s="5"/>
      <c r="M9750" s="5"/>
      <c r="N9750" s="5"/>
      <c r="O9750" s="5"/>
      <c r="P9750" s="5"/>
      <c r="Q9750" s="5"/>
      <c r="R9750" s="5"/>
      <c r="S9750" s="5"/>
      <c r="T9750" s="5"/>
      <c r="U9750" s="5"/>
      <c r="V9750" s="5"/>
      <c r="W9750" s="5"/>
      <c r="X9750" s="5"/>
      <c r="Y9750" s="5"/>
      <c r="Z9750" s="5"/>
    </row>
    <row r="9751" spans="1:26" ht="15" x14ac:dyDescent="0.25">
      <c r="A9751" s="4" t="s">
        <v>9749</v>
      </c>
      <c r="B9751" s="4" t="s">
        <v>9011</v>
      </c>
      <c r="C9751" s="2" t="str">
        <f ca="1">IFERROR(__xludf.DUMMYFUNCTION("GOOGLETRANSLATE(A9751,""bn"",""en"")"),"Shopping therapy will continue. Shopping will feel good")</f>
        <v>Shopping therapy will continue. Shopping will feel good</v>
      </c>
      <c r="D9751" s="5"/>
      <c r="E9751" s="5"/>
      <c r="F9751" s="5"/>
      <c r="G9751" s="5"/>
      <c r="H9751" s="5"/>
      <c r="I9751" s="5"/>
      <c r="J9751" s="5"/>
      <c r="K9751" s="5"/>
      <c r="L9751" s="5"/>
      <c r="M9751" s="5"/>
      <c r="N9751" s="5"/>
      <c r="O9751" s="5"/>
      <c r="P9751" s="5"/>
      <c r="Q9751" s="5"/>
      <c r="R9751" s="5"/>
      <c r="S9751" s="5"/>
      <c r="T9751" s="5"/>
      <c r="U9751" s="5"/>
      <c r="V9751" s="5"/>
      <c r="W9751" s="5"/>
      <c r="X9751" s="5"/>
      <c r="Y9751" s="5"/>
      <c r="Z9751" s="5"/>
    </row>
    <row r="9752" spans="1:26" ht="15" x14ac:dyDescent="0.25">
      <c r="A9752" s="4" t="s">
        <v>9750</v>
      </c>
      <c r="B9752" s="4" t="s">
        <v>9011</v>
      </c>
      <c r="C9752" s="2" t="str">
        <f ca="1">IFERROR(__xludf.DUMMYFUNCTION("GOOGLETRANSLATE(A9752,""bn"",""en"")"),"When I retire I will live permanently in a peaceful village")</f>
        <v>When I retire I will live permanently in a peaceful village</v>
      </c>
      <c r="D9752" s="5"/>
      <c r="E9752" s="5"/>
      <c r="F9752" s="5"/>
      <c r="G9752" s="5"/>
      <c r="H9752" s="5"/>
      <c r="I9752" s="5"/>
      <c r="J9752" s="5"/>
      <c r="K9752" s="5"/>
      <c r="L9752" s="5"/>
      <c r="M9752" s="5"/>
      <c r="N9752" s="5"/>
      <c r="O9752" s="5"/>
      <c r="P9752" s="5"/>
      <c r="Q9752" s="5"/>
      <c r="R9752" s="5"/>
      <c r="S9752" s="5"/>
      <c r="T9752" s="5"/>
      <c r="U9752" s="5"/>
      <c r="V9752" s="5"/>
      <c r="W9752" s="5"/>
      <c r="X9752" s="5"/>
      <c r="Y9752" s="5"/>
      <c r="Z9752" s="5"/>
    </row>
    <row r="9753" spans="1:26" ht="15" x14ac:dyDescent="0.25">
      <c r="A9753" s="4" t="s">
        <v>9751</v>
      </c>
      <c r="B9753" s="4" t="s">
        <v>9011</v>
      </c>
      <c r="C9753" s="2" t="str">
        <f ca="1">IFERROR(__xludf.DUMMYFUNCTION("GOOGLETRANSLATE(A9753,""bn"",""en"")"),"Pineapple water and ice make the best companion on a hot summer afternoon")</f>
        <v>Pineapple water and ice make the best companion on a hot summer afternoon</v>
      </c>
      <c r="D9753" s="5"/>
      <c r="E9753" s="5"/>
      <c r="F9753" s="5"/>
      <c r="G9753" s="5"/>
      <c r="H9753" s="5"/>
      <c r="I9753" s="5"/>
      <c r="J9753" s="5"/>
      <c r="K9753" s="5"/>
      <c r="L9753" s="5"/>
      <c r="M9753" s="5"/>
      <c r="N9753" s="5"/>
      <c r="O9753" s="5"/>
      <c r="P9753" s="5"/>
      <c r="Q9753" s="5"/>
      <c r="R9753" s="5"/>
      <c r="S9753" s="5"/>
      <c r="T9753" s="5"/>
      <c r="U9753" s="5"/>
      <c r="V9753" s="5"/>
      <c r="W9753" s="5"/>
      <c r="X9753" s="5"/>
      <c r="Y9753" s="5"/>
      <c r="Z9753" s="5"/>
    </row>
    <row r="9754" spans="1:26" ht="15" x14ac:dyDescent="0.25">
      <c r="A9754" s="4" t="s">
        <v>9752</v>
      </c>
      <c r="B9754" s="4" t="s">
        <v>9011</v>
      </c>
      <c r="C9754" s="2" t="str">
        <f ca="1">IFERROR(__xludf.DUMMYFUNCTION("GOOGLETRANSLATE(A9754,""bn"",""en"")"),"Learning to code will strengthen my reasoning and problem solving skills")</f>
        <v>Learning to code will strengthen my reasoning and problem solving skills</v>
      </c>
      <c r="D9754" s="5"/>
      <c r="E9754" s="5"/>
      <c r="F9754" s="5"/>
      <c r="G9754" s="5"/>
      <c r="H9754" s="5"/>
      <c r="I9754" s="5"/>
      <c r="J9754" s="5"/>
      <c r="K9754" s="5"/>
      <c r="L9754" s="5"/>
      <c r="M9754" s="5"/>
      <c r="N9754" s="5"/>
      <c r="O9754" s="5"/>
      <c r="P9754" s="5"/>
      <c r="Q9754" s="5"/>
      <c r="R9754" s="5"/>
      <c r="S9754" s="5"/>
      <c r="T9754" s="5"/>
      <c r="U9754" s="5"/>
      <c r="V9754" s="5"/>
      <c r="W9754" s="5"/>
      <c r="X9754" s="5"/>
      <c r="Y9754" s="5"/>
      <c r="Z9754" s="5"/>
    </row>
    <row r="9755" spans="1:26" ht="15" x14ac:dyDescent="0.25">
      <c r="A9755" s="4" t="s">
        <v>9753</v>
      </c>
      <c r="B9755" s="4" t="s">
        <v>9011</v>
      </c>
      <c r="C9755" s="2" t="str">
        <f ca="1">IFERROR(__xludf.DUMMYFUNCTION("GOOGLETRANSLATE(A9755,""bn"",""en"")"),"My daughter will finally start appreciating the beauty of nature today as she helps me plant sunflower seeds with a big smile")</f>
        <v>My daughter will finally start appreciating the beauty of nature today as she helps me plant sunflower seeds with a big smile</v>
      </c>
      <c r="D9755" s="5"/>
      <c r="E9755" s="5"/>
      <c r="F9755" s="5"/>
      <c r="G9755" s="5"/>
      <c r="H9755" s="5"/>
      <c r="I9755" s="5"/>
      <c r="J9755" s="5"/>
      <c r="K9755" s="5"/>
      <c r="L9755" s="5"/>
      <c r="M9755" s="5"/>
      <c r="N9755" s="5"/>
      <c r="O9755" s="5"/>
      <c r="P9755" s="5"/>
      <c r="Q9755" s="5"/>
      <c r="R9755" s="5"/>
      <c r="S9755" s="5"/>
      <c r="T9755" s="5"/>
      <c r="U9755" s="5"/>
      <c r="V9755" s="5"/>
      <c r="W9755" s="5"/>
      <c r="X9755" s="5"/>
      <c r="Y9755" s="5"/>
      <c r="Z9755" s="5"/>
    </row>
    <row r="9756" spans="1:26" ht="15" x14ac:dyDescent="0.25">
      <c r="A9756" s="4" t="s">
        <v>9754</v>
      </c>
      <c r="B9756" s="4" t="s">
        <v>9011</v>
      </c>
      <c r="C9756" s="2" t="str">
        <f ca="1">IFERROR(__xludf.DUMMYFUNCTION("GOOGLETRANSLATE(A9756,""bn"",""en"")"),"After a delicious meal the mind will be filled with new dreams and hopes")</f>
        <v>After a delicious meal the mind will be filled with new dreams and hopes</v>
      </c>
      <c r="D9756" s="5"/>
      <c r="E9756" s="5"/>
      <c r="F9756" s="5"/>
      <c r="G9756" s="5"/>
      <c r="H9756" s="5"/>
      <c r="I9756" s="5"/>
      <c r="J9756" s="5"/>
      <c r="K9756" s="5"/>
      <c r="L9756" s="5"/>
      <c r="M9756" s="5"/>
      <c r="N9756" s="5"/>
      <c r="O9756" s="5"/>
      <c r="P9756" s="5"/>
      <c r="Q9756" s="5"/>
      <c r="R9756" s="5"/>
      <c r="S9756" s="5"/>
      <c r="T9756" s="5"/>
      <c r="U9756" s="5"/>
      <c r="V9756" s="5"/>
      <c r="W9756" s="5"/>
      <c r="X9756" s="5"/>
      <c r="Y9756" s="5"/>
      <c r="Z9756" s="5"/>
    </row>
    <row r="9757" spans="1:26" ht="15" x14ac:dyDescent="0.25">
      <c r="A9757" s="4" t="s">
        <v>9755</v>
      </c>
      <c r="B9757" s="4" t="s">
        <v>9011</v>
      </c>
      <c r="C9757" s="2" t="str">
        <f ca="1">IFERROR(__xludf.DUMMYFUNCTION("GOOGLETRANSLATE(A9757,""bn"",""en"")"),"Jute decoration Alpana Sweet Pahela Boishakh will have a pleasant atmosphere Happy New Year")</f>
        <v>Jute decoration Alpana Sweet Pahela Boishakh will have a pleasant atmosphere Happy New Year</v>
      </c>
      <c r="D9757" s="5"/>
      <c r="E9757" s="5"/>
      <c r="F9757" s="5"/>
      <c r="G9757" s="5"/>
      <c r="H9757" s="5"/>
      <c r="I9757" s="5"/>
      <c r="J9757" s="5"/>
      <c r="K9757" s="5"/>
      <c r="L9757" s="5"/>
      <c r="M9757" s="5"/>
      <c r="N9757" s="5"/>
      <c r="O9757" s="5"/>
      <c r="P9757" s="5"/>
      <c r="Q9757" s="5"/>
      <c r="R9757" s="5"/>
      <c r="S9757" s="5"/>
      <c r="T9757" s="5"/>
      <c r="U9757" s="5"/>
      <c r="V9757" s="5"/>
      <c r="W9757" s="5"/>
      <c r="X9757" s="5"/>
      <c r="Y9757" s="5"/>
      <c r="Z9757" s="5"/>
    </row>
    <row r="9758" spans="1:26" ht="15" x14ac:dyDescent="0.25">
      <c r="A9758" s="4" t="s">
        <v>9756</v>
      </c>
      <c r="B9758" s="4" t="s">
        <v>9011</v>
      </c>
      <c r="C9758" s="2" t="str">
        <f ca="1">IFERROR(__xludf.DUMMYFUNCTION("GOOGLETRANSLATE(A9758,""bn"",""en"")"),"A friend will be helpful in all dangers")</f>
        <v>A friend will be helpful in all dangers</v>
      </c>
      <c r="D9758" s="5"/>
      <c r="E9758" s="5"/>
      <c r="F9758" s="5"/>
      <c r="G9758" s="5"/>
      <c r="H9758" s="5"/>
      <c r="I9758" s="5"/>
      <c r="J9758" s="5"/>
      <c r="K9758" s="5"/>
      <c r="L9758" s="5"/>
      <c r="M9758" s="5"/>
      <c r="N9758" s="5"/>
      <c r="O9758" s="5"/>
      <c r="P9758" s="5"/>
      <c r="Q9758" s="5"/>
      <c r="R9758" s="5"/>
      <c r="S9758" s="5"/>
      <c r="T9758" s="5"/>
      <c r="U9758" s="5"/>
      <c r="V9758" s="5"/>
      <c r="W9758" s="5"/>
      <c r="X9758" s="5"/>
      <c r="Y9758" s="5"/>
      <c r="Z9758" s="5"/>
    </row>
    <row r="9759" spans="1:26" ht="15" x14ac:dyDescent="0.25">
      <c r="A9759" s="4" t="s">
        <v>9757</v>
      </c>
      <c r="B9759" s="4" t="s">
        <v>9011</v>
      </c>
      <c r="C9759" s="2" t="str">
        <f ca="1">IFERROR(__xludf.DUMMYFUNCTION("GOOGLETRANSLATE(A9759,""bn"",""en"")"),"New office environment New colleague Rohan wishes for this new experience")</f>
        <v>New office environment New colleague Rohan wishes for this new experience</v>
      </c>
      <c r="D9759" s="5"/>
      <c r="E9759" s="5"/>
      <c r="F9759" s="5"/>
      <c r="G9759" s="5"/>
      <c r="H9759" s="5"/>
      <c r="I9759" s="5"/>
      <c r="J9759" s="5"/>
      <c r="K9759" s="5"/>
      <c r="L9759" s="5"/>
      <c r="M9759" s="5"/>
      <c r="N9759" s="5"/>
      <c r="O9759" s="5"/>
      <c r="P9759" s="5"/>
      <c r="Q9759" s="5"/>
      <c r="R9759" s="5"/>
      <c r="S9759" s="5"/>
      <c r="T9759" s="5"/>
      <c r="U9759" s="5"/>
      <c r="V9759" s="5"/>
      <c r="W9759" s="5"/>
      <c r="X9759" s="5"/>
      <c r="Y9759" s="5"/>
      <c r="Z9759" s="5"/>
    </row>
    <row r="9760" spans="1:26" ht="15" x14ac:dyDescent="0.25">
      <c r="A9760" s="4" t="s">
        <v>9758</v>
      </c>
      <c r="B9760" s="4" t="s">
        <v>9011</v>
      </c>
      <c r="C9760" s="2" t="str">
        <f ca="1">IFERROR(__xludf.DUMMYFUNCTION("GOOGLETRANSLATE(A9760,""bn"",""en"")"),"I will love my work because if I can't love my work then I will never be able to lead a happy life")</f>
        <v>I will love my work because if I can't love my work then I will never be able to lead a happy life</v>
      </c>
      <c r="D9760" s="5"/>
      <c r="E9760" s="5"/>
      <c r="F9760" s="5"/>
      <c r="G9760" s="5"/>
      <c r="H9760" s="5"/>
      <c r="I9760" s="5"/>
      <c r="J9760" s="5"/>
      <c r="K9760" s="5"/>
      <c r="L9760" s="5"/>
      <c r="M9760" s="5"/>
      <c r="N9760" s="5"/>
      <c r="O9760" s="5"/>
      <c r="P9760" s="5"/>
      <c r="Q9760" s="5"/>
      <c r="R9760" s="5"/>
      <c r="S9760" s="5"/>
      <c r="T9760" s="5"/>
      <c r="U9760" s="5"/>
      <c r="V9760" s="5"/>
      <c r="W9760" s="5"/>
      <c r="X9760" s="5"/>
      <c r="Y9760" s="5"/>
      <c r="Z9760" s="5"/>
    </row>
    <row r="9761" spans="1:26" ht="15" x14ac:dyDescent="0.25">
      <c r="A9761" s="4" t="s">
        <v>9759</v>
      </c>
      <c r="B9761" s="4" t="s">
        <v>9011</v>
      </c>
      <c r="C9761" s="2" t="str">
        <f ca="1">IFERROR(__xludf.DUMMYFUNCTION("GOOGLETRANSLATE(A9761,""bn"",""en"")"),"Special thanks to the teachers for the class will be cancelled")</f>
        <v>Special thanks to the teachers for the class will be cancelled</v>
      </c>
      <c r="D9761" s="5"/>
      <c r="E9761" s="5"/>
      <c r="F9761" s="5"/>
      <c r="G9761" s="5"/>
      <c r="H9761" s="5"/>
      <c r="I9761" s="5"/>
      <c r="J9761" s="5"/>
      <c r="K9761" s="5"/>
      <c r="L9761" s="5"/>
      <c r="M9761" s="5"/>
      <c r="N9761" s="5"/>
      <c r="O9761" s="5"/>
      <c r="P9761" s="5"/>
      <c r="Q9761" s="5"/>
      <c r="R9761" s="5"/>
      <c r="S9761" s="5"/>
      <c r="T9761" s="5"/>
      <c r="U9761" s="5"/>
      <c r="V9761" s="5"/>
      <c r="W9761" s="5"/>
      <c r="X9761" s="5"/>
      <c r="Y9761" s="5"/>
      <c r="Z9761" s="5"/>
    </row>
    <row r="9762" spans="1:26" ht="15" x14ac:dyDescent="0.25">
      <c r="A9762" s="4" t="s">
        <v>9760</v>
      </c>
      <c r="B9762" s="4" t="s">
        <v>9011</v>
      </c>
      <c r="C9762" s="2" t="str">
        <f ca="1">IFERROR(__xludf.DUMMYFUNCTION("GOOGLETRANSLATE(A9762,""bn"",""en"")"),"A friend's dream business will start a heap of wishes to Kanak")</f>
        <v>A friend's dream business will start a heap of wishes to Kanak</v>
      </c>
      <c r="D9762" s="5"/>
      <c r="E9762" s="5"/>
      <c r="F9762" s="5"/>
      <c r="G9762" s="5"/>
      <c r="H9762" s="5"/>
      <c r="I9762" s="5"/>
      <c r="J9762" s="5"/>
      <c r="K9762" s="5"/>
      <c r="L9762" s="5"/>
      <c r="M9762" s="5"/>
      <c r="N9762" s="5"/>
      <c r="O9762" s="5"/>
      <c r="P9762" s="5"/>
      <c r="Q9762" s="5"/>
      <c r="R9762" s="5"/>
      <c r="S9762" s="5"/>
      <c r="T9762" s="5"/>
      <c r="U9762" s="5"/>
      <c r="V9762" s="5"/>
      <c r="W9762" s="5"/>
      <c r="X9762" s="5"/>
      <c r="Y9762" s="5"/>
      <c r="Z9762" s="5"/>
    </row>
    <row r="9763" spans="1:26" ht="15" x14ac:dyDescent="0.25">
      <c r="A9763" s="4" t="s">
        <v>9761</v>
      </c>
      <c r="B9763" s="4" t="s">
        <v>9011</v>
      </c>
      <c r="C9763" s="2" t="str">
        <f ca="1">IFERROR(__xludf.DUMMYFUNCTION("GOOGLETRANSLATE(A9763,""bn"",""en"")"),"He will be gaining new ideas about his business when his new product is complete")</f>
        <v>He will be gaining new ideas about his business when his new product is complete</v>
      </c>
      <c r="D9763" s="5"/>
      <c r="E9763" s="5"/>
      <c r="F9763" s="5"/>
      <c r="G9763" s="5"/>
      <c r="H9763" s="5"/>
      <c r="I9763" s="5"/>
      <c r="J9763" s="5"/>
      <c r="K9763" s="5"/>
      <c r="L9763" s="5"/>
      <c r="M9763" s="5"/>
      <c r="N9763" s="5"/>
      <c r="O9763" s="5"/>
      <c r="P9763" s="5"/>
      <c r="Q9763" s="5"/>
      <c r="R9763" s="5"/>
      <c r="S9763" s="5"/>
      <c r="T9763" s="5"/>
      <c r="U9763" s="5"/>
      <c r="V9763" s="5"/>
      <c r="W9763" s="5"/>
      <c r="X9763" s="5"/>
      <c r="Y9763" s="5"/>
      <c r="Z9763" s="5"/>
    </row>
    <row r="9764" spans="1:26" ht="15" x14ac:dyDescent="0.25">
      <c r="A9764" s="4" t="s">
        <v>9762</v>
      </c>
      <c r="B9764" s="4" t="s">
        <v>9011</v>
      </c>
      <c r="C9764" s="2" t="str">
        <f ca="1">IFERROR(__xludf.DUMMYFUNCTION("GOOGLETRANSLATE(A9764,""bn"",""en"")"),"Both study and travel will go together")</f>
        <v>Both study and travel will go together</v>
      </c>
      <c r="D9764" s="5"/>
      <c r="E9764" s="5"/>
      <c r="F9764" s="5"/>
      <c r="G9764" s="5"/>
      <c r="H9764" s="5"/>
      <c r="I9764" s="5"/>
      <c r="J9764" s="5"/>
      <c r="K9764" s="5"/>
      <c r="L9764" s="5"/>
      <c r="M9764" s="5"/>
      <c r="N9764" s="5"/>
      <c r="O9764" s="5"/>
      <c r="P9764" s="5"/>
      <c r="Q9764" s="5"/>
      <c r="R9764" s="5"/>
      <c r="S9764" s="5"/>
      <c r="T9764" s="5"/>
      <c r="U9764" s="5"/>
      <c r="V9764" s="5"/>
      <c r="W9764" s="5"/>
      <c r="X9764" s="5"/>
      <c r="Y9764" s="5"/>
      <c r="Z9764" s="5"/>
    </row>
    <row r="9765" spans="1:26" ht="15" x14ac:dyDescent="0.25">
      <c r="A9765" s="4" t="s">
        <v>9763</v>
      </c>
      <c r="B9765" s="4" t="s">
        <v>9011</v>
      </c>
      <c r="C9765" s="2" t="str">
        <f ca="1">IFERROR(__xludf.DUMMYFUNCTION("GOOGLETRANSLATE(A9765,""bn"",""en"")"),"In future I will establish an institution where students will get free education")</f>
        <v>In future I will establish an institution where students will get free education</v>
      </c>
      <c r="D9765" s="5"/>
      <c r="E9765" s="5"/>
      <c r="F9765" s="5"/>
      <c r="G9765" s="5"/>
      <c r="H9765" s="5"/>
      <c r="I9765" s="5"/>
      <c r="J9765" s="5"/>
      <c r="K9765" s="5"/>
      <c r="L9765" s="5"/>
      <c r="M9765" s="5"/>
      <c r="N9765" s="5"/>
      <c r="O9765" s="5"/>
      <c r="P9765" s="5"/>
      <c r="Q9765" s="5"/>
      <c r="R9765" s="5"/>
      <c r="S9765" s="5"/>
      <c r="T9765" s="5"/>
      <c r="U9765" s="5"/>
      <c r="V9765" s="5"/>
      <c r="W9765" s="5"/>
      <c r="X9765" s="5"/>
      <c r="Y9765" s="5"/>
      <c r="Z9765" s="5"/>
    </row>
    <row r="9766" spans="1:26" ht="15" x14ac:dyDescent="0.25">
      <c r="A9766" s="4" t="s">
        <v>9764</v>
      </c>
      <c r="B9766" s="4" t="s">
        <v>9011</v>
      </c>
      <c r="C9766" s="2" t="str">
        <f ca="1">IFERROR(__xludf.DUMMYFUNCTION("GOOGLETRANSLATE(A9766,""bn"",""en"")"),"Back home, a cup of tea in the hands of mother, no one can tear this happiness")</f>
        <v>Back home, a cup of tea in the hands of mother, no one can tear this happiness</v>
      </c>
      <c r="D9766" s="5"/>
      <c r="E9766" s="5"/>
      <c r="F9766" s="5"/>
      <c r="G9766" s="5"/>
      <c r="H9766" s="5"/>
      <c r="I9766" s="5"/>
      <c r="J9766" s="5"/>
      <c r="K9766" s="5"/>
      <c r="L9766" s="5"/>
      <c r="M9766" s="5"/>
      <c r="N9766" s="5"/>
      <c r="O9766" s="5"/>
      <c r="P9766" s="5"/>
      <c r="Q9766" s="5"/>
      <c r="R9766" s="5"/>
      <c r="S9766" s="5"/>
      <c r="T9766" s="5"/>
      <c r="U9766" s="5"/>
      <c r="V9766" s="5"/>
      <c r="W9766" s="5"/>
      <c r="X9766" s="5"/>
      <c r="Y9766" s="5"/>
      <c r="Z9766" s="5"/>
    </row>
    <row r="9767" spans="1:26" ht="15" x14ac:dyDescent="0.25">
      <c r="A9767" s="4" t="s">
        <v>9765</v>
      </c>
      <c r="B9767" s="4" t="s">
        <v>9011</v>
      </c>
      <c r="C9767" s="2" t="str">
        <f ca="1">IFERROR(__xludf.DUMMYFUNCTION("GOOGLETRANSLATE(A9767,""bn"",""en"")"),"Organize a function to celebrate Himi's promotion")</f>
        <v>Organize a function to celebrate Himi's promotion</v>
      </c>
      <c r="D9767" s="5"/>
      <c r="E9767" s="5"/>
      <c r="F9767" s="5"/>
      <c r="G9767" s="5"/>
      <c r="H9767" s="5"/>
      <c r="I9767" s="5"/>
      <c r="J9767" s="5"/>
      <c r="K9767" s="5"/>
      <c r="L9767" s="5"/>
      <c r="M9767" s="5"/>
      <c r="N9767" s="5"/>
      <c r="O9767" s="5"/>
      <c r="P9767" s="5"/>
      <c r="Q9767" s="5"/>
      <c r="R9767" s="5"/>
      <c r="S9767" s="5"/>
      <c r="T9767" s="5"/>
      <c r="U9767" s="5"/>
      <c r="V9767" s="5"/>
      <c r="W9767" s="5"/>
      <c r="X9767" s="5"/>
      <c r="Y9767" s="5"/>
      <c r="Z9767" s="5"/>
    </row>
    <row r="9768" spans="1:26" ht="15" x14ac:dyDescent="0.25">
      <c r="A9768" s="4" t="s">
        <v>9766</v>
      </c>
      <c r="B9768" s="4" t="s">
        <v>9011</v>
      </c>
      <c r="C9768" s="2" t="str">
        <f ca="1">IFERROR(__xludf.DUMMYFUNCTION("GOOGLETRANSLATE(A9768,""bn"",""en"")"),"We will start working on developing a new software solution tomorrow")</f>
        <v>We will start working on developing a new software solution tomorrow</v>
      </c>
      <c r="D9768" s="5"/>
      <c r="E9768" s="5"/>
      <c r="F9768" s="5"/>
      <c r="G9768" s="5"/>
      <c r="H9768" s="5"/>
      <c r="I9768" s="5"/>
      <c r="J9768" s="5"/>
      <c r="K9768" s="5"/>
      <c r="L9768" s="5"/>
      <c r="M9768" s="5"/>
      <c r="N9768" s="5"/>
      <c r="O9768" s="5"/>
      <c r="P9768" s="5"/>
      <c r="Q9768" s="5"/>
      <c r="R9768" s="5"/>
      <c r="S9768" s="5"/>
      <c r="T9768" s="5"/>
      <c r="U9768" s="5"/>
      <c r="V9768" s="5"/>
      <c r="W9768" s="5"/>
      <c r="X9768" s="5"/>
      <c r="Y9768" s="5"/>
      <c r="Z9768" s="5"/>
    </row>
    <row r="9769" spans="1:26" ht="15" x14ac:dyDescent="0.25">
      <c r="A9769" s="4" t="s">
        <v>9767</v>
      </c>
      <c r="B9769" s="4" t="s">
        <v>9011</v>
      </c>
      <c r="C9769" s="2" t="str">
        <f ca="1">IFERROR(__xludf.DUMMYFUNCTION("GOOGLETRANSLATE(A9769,""bn"",""en"")"),"Holding the ticket for the first time will feel like holding a magic wand")</f>
        <v>Holding the ticket for the first time will feel like holding a magic wand</v>
      </c>
      <c r="D9769" s="5"/>
      <c r="E9769" s="5"/>
      <c r="F9769" s="5"/>
      <c r="G9769" s="5"/>
      <c r="H9769" s="5"/>
      <c r="I9769" s="5"/>
      <c r="J9769" s="5"/>
      <c r="K9769" s="5"/>
      <c r="L9769" s="5"/>
      <c r="M9769" s="5"/>
      <c r="N9769" s="5"/>
      <c r="O9769" s="5"/>
      <c r="P9769" s="5"/>
      <c r="Q9769" s="5"/>
      <c r="R9769" s="5"/>
      <c r="S9769" s="5"/>
      <c r="T9769" s="5"/>
      <c r="U9769" s="5"/>
      <c r="V9769" s="5"/>
      <c r="W9769" s="5"/>
      <c r="X9769" s="5"/>
      <c r="Y9769" s="5"/>
      <c r="Z9769" s="5"/>
    </row>
    <row r="9770" spans="1:26" ht="15" x14ac:dyDescent="0.25">
      <c r="A9770" s="4" t="s">
        <v>9768</v>
      </c>
      <c r="B9770" s="4" t="s">
        <v>9011</v>
      </c>
      <c r="C9770" s="2" t="str">
        <f ca="1">IFERROR(__xludf.DUMMYFUNCTION("GOOGLETRANSLATE(A9770,""bn"",""en"")"),"He will complete all the work within the stipulated time only after completing the training")</f>
        <v>He will complete all the work within the stipulated time only after completing the training</v>
      </c>
      <c r="D9770" s="5"/>
      <c r="E9770" s="5"/>
      <c r="F9770" s="5"/>
      <c r="G9770" s="5"/>
      <c r="H9770" s="5"/>
      <c r="I9770" s="5"/>
      <c r="J9770" s="5"/>
      <c r="K9770" s="5"/>
      <c r="L9770" s="5"/>
      <c r="M9770" s="5"/>
      <c r="N9770" s="5"/>
      <c r="O9770" s="5"/>
      <c r="P9770" s="5"/>
      <c r="Q9770" s="5"/>
      <c r="R9770" s="5"/>
      <c r="S9770" s="5"/>
      <c r="T9770" s="5"/>
      <c r="U9770" s="5"/>
      <c r="V9770" s="5"/>
      <c r="W9770" s="5"/>
      <c r="X9770" s="5"/>
      <c r="Y9770" s="5"/>
      <c r="Z9770" s="5"/>
    </row>
    <row r="9771" spans="1:26" ht="15" x14ac:dyDescent="0.25">
      <c r="A9771" s="4" t="s">
        <v>9769</v>
      </c>
      <c r="B9771" s="4" t="s">
        <v>9011</v>
      </c>
      <c r="C9771" s="2" t="str">
        <f ca="1">IFERROR(__xludf.DUMMYFUNCTION("GOOGLETRANSLATE(A9771,""bn"",""en"")"),"By shaking the drum stick, the body will be fully charged")</f>
        <v>By shaking the drum stick, the body will be fully charged</v>
      </c>
      <c r="D9771" s="5"/>
      <c r="E9771" s="5"/>
      <c r="F9771" s="5"/>
      <c r="G9771" s="5"/>
      <c r="H9771" s="5"/>
      <c r="I9771" s="5"/>
      <c r="J9771" s="5"/>
      <c r="K9771" s="5"/>
      <c r="L9771" s="5"/>
      <c r="M9771" s="5"/>
      <c r="N9771" s="5"/>
      <c r="O9771" s="5"/>
      <c r="P9771" s="5"/>
      <c r="Q9771" s="5"/>
      <c r="R9771" s="5"/>
      <c r="S9771" s="5"/>
      <c r="T9771" s="5"/>
      <c r="U9771" s="5"/>
      <c r="V9771" s="5"/>
      <c r="W9771" s="5"/>
      <c r="X9771" s="5"/>
      <c r="Y9771" s="5"/>
      <c r="Z9771" s="5"/>
    </row>
    <row r="9772" spans="1:26" ht="15" x14ac:dyDescent="0.25">
      <c r="A9772" s="4" t="s">
        <v>9770</v>
      </c>
      <c r="B9772" s="4" t="s">
        <v>9011</v>
      </c>
      <c r="C9772" s="2" t="str">
        <f ca="1">IFERROR(__xludf.DUMMYFUNCTION("GOOGLETRANSLATE(A9772,""bn"",""en"")"),"Be prepared for such natural tranquility")</f>
        <v>Be prepared for such natural tranquility</v>
      </c>
      <c r="D9772" s="5"/>
      <c r="E9772" s="5"/>
      <c r="F9772" s="5"/>
      <c r="G9772" s="5"/>
      <c r="H9772" s="5"/>
      <c r="I9772" s="5"/>
      <c r="J9772" s="5"/>
      <c r="K9772" s="5"/>
      <c r="L9772" s="5"/>
      <c r="M9772" s="5"/>
      <c r="N9772" s="5"/>
      <c r="O9772" s="5"/>
      <c r="P9772" s="5"/>
      <c r="Q9772" s="5"/>
      <c r="R9772" s="5"/>
      <c r="S9772" s="5"/>
      <c r="T9772" s="5"/>
      <c r="U9772" s="5"/>
      <c r="V9772" s="5"/>
      <c r="W9772" s="5"/>
      <c r="X9772" s="5"/>
      <c r="Y9772" s="5"/>
      <c r="Z9772" s="5"/>
    </row>
    <row r="9773" spans="1:26" ht="15" x14ac:dyDescent="0.25">
      <c r="A9773" s="4" t="s">
        <v>9771</v>
      </c>
      <c r="B9773" s="4" t="s">
        <v>9011</v>
      </c>
      <c r="C9773" s="2" t="str">
        <f ca="1">IFERROR(__xludf.DUMMYFUNCTION("GOOGLETRANSLATE(A9773,""bn"",""en"")"),"Tomorrow I will address an important seminar which is very important for my career")</f>
        <v>Tomorrow I will address an important seminar which is very important for my career</v>
      </c>
      <c r="D9773" s="5"/>
      <c r="E9773" s="5"/>
      <c r="F9773" s="5"/>
      <c r="G9773" s="5"/>
      <c r="H9773" s="5"/>
      <c r="I9773" s="5"/>
      <c r="J9773" s="5"/>
      <c r="K9773" s="5"/>
      <c r="L9773" s="5"/>
      <c r="M9773" s="5"/>
      <c r="N9773" s="5"/>
      <c r="O9773" s="5"/>
      <c r="P9773" s="5"/>
      <c r="Q9773" s="5"/>
      <c r="R9773" s="5"/>
      <c r="S9773" s="5"/>
      <c r="T9773" s="5"/>
      <c r="U9773" s="5"/>
      <c r="V9773" s="5"/>
      <c r="W9773" s="5"/>
      <c r="X9773" s="5"/>
      <c r="Y9773" s="5"/>
      <c r="Z9773" s="5"/>
    </row>
    <row r="9774" spans="1:26" ht="15" x14ac:dyDescent="0.25">
      <c r="A9774" s="4" t="s">
        <v>9772</v>
      </c>
      <c r="B9774" s="4" t="s">
        <v>9011</v>
      </c>
      <c r="C9774" s="2" t="str">
        <f ca="1">IFERROR(__xludf.DUMMYFUNCTION("GOOGLETRANSLATE(A9774,""bn"",""en"")"),"Next month I will introduce a new educational technology technology that will facilitate student learning")</f>
        <v>Next month I will introduce a new educational technology technology that will facilitate student learning</v>
      </c>
      <c r="D9774" s="5"/>
      <c r="E9774" s="5"/>
      <c r="F9774" s="5"/>
      <c r="G9774" s="5"/>
      <c r="H9774" s="5"/>
      <c r="I9774" s="5"/>
      <c r="J9774" s="5"/>
      <c r="K9774" s="5"/>
      <c r="L9774" s="5"/>
      <c r="M9774" s="5"/>
      <c r="N9774" s="5"/>
      <c r="O9774" s="5"/>
      <c r="P9774" s="5"/>
      <c r="Q9774" s="5"/>
      <c r="R9774" s="5"/>
      <c r="S9774" s="5"/>
      <c r="T9774" s="5"/>
      <c r="U9774" s="5"/>
      <c r="V9774" s="5"/>
      <c r="W9774" s="5"/>
      <c r="X9774" s="5"/>
      <c r="Y9774" s="5"/>
      <c r="Z9774" s="5"/>
    </row>
    <row r="9775" spans="1:26" ht="15" x14ac:dyDescent="0.25">
      <c r="A9775" s="4" t="s">
        <v>9773</v>
      </c>
      <c r="B9775" s="4" t="s">
        <v>9011</v>
      </c>
      <c r="C9775" s="2" t="str">
        <f ca="1">IFERROR(__xludf.DUMMYFUNCTION("GOOGLETRANSLATE(A9775,""bn"",""en"")"),"Next year we will organize a big music festival where artists from all over the world will participate")</f>
        <v>Next year we will organize a big music festival where artists from all over the world will participate</v>
      </c>
      <c r="D9775" s="5"/>
      <c r="E9775" s="5"/>
      <c r="F9775" s="5"/>
      <c r="G9775" s="5"/>
      <c r="H9775" s="5"/>
      <c r="I9775" s="5"/>
      <c r="J9775" s="5"/>
      <c r="K9775" s="5"/>
      <c r="L9775" s="5"/>
      <c r="M9775" s="5"/>
      <c r="N9775" s="5"/>
      <c r="O9775" s="5"/>
      <c r="P9775" s="5"/>
      <c r="Q9775" s="5"/>
      <c r="R9775" s="5"/>
      <c r="S9775" s="5"/>
      <c r="T9775" s="5"/>
      <c r="U9775" s="5"/>
      <c r="V9775" s="5"/>
      <c r="W9775" s="5"/>
      <c r="X9775" s="5"/>
      <c r="Y9775" s="5"/>
      <c r="Z9775" s="5"/>
    </row>
    <row r="9776" spans="1:26" ht="15" x14ac:dyDescent="0.25">
      <c r="A9776" s="4" t="s">
        <v>9774</v>
      </c>
      <c r="B9776" s="4" t="s">
        <v>9011</v>
      </c>
      <c r="C9776" s="2" t="str">
        <f ca="1">IFERROR(__xludf.DUMMYFUNCTION("GOOGLETRANSLATE(A9776,""bn"",""en"")"),"Decorate the house with garden flowers on the morning of Eid – will add a special dimension to the decoration of the house")</f>
        <v>Decorate the house with garden flowers on the morning of Eid – will add a special dimension to the decoration of the house</v>
      </c>
      <c r="D9776" s="5"/>
      <c r="E9776" s="5"/>
      <c r="F9776" s="5"/>
      <c r="G9776" s="5"/>
      <c r="H9776" s="5"/>
      <c r="I9776" s="5"/>
      <c r="J9776" s="5"/>
      <c r="K9776" s="5"/>
      <c r="L9776" s="5"/>
      <c r="M9776" s="5"/>
      <c r="N9776" s="5"/>
      <c r="O9776" s="5"/>
      <c r="P9776" s="5"/>
      <c r="Q9776" s="5"/>
      <c r="R9776" s="5"/>
      <c r="S9776" s="5"/>
      <c r="T9776" s="5"/>
      <c r="U9776" s="5"/>
      <c r="V9776" s="5"/>
      <c r="W9776" s="5"/>
      <c r="X9776" s="5"/>
      <c r="Y9776" s="5"/>
      <c r="Z9776" s="5"/>
    </row>
    <row r="9777" spans="1:26" ht="15" x14ac:dyDescent="0.25">
      <c r="A9777" s="4" t="s">
        <v>9775</v>
      </c>
      <c r="B9777" s="4" t="s">
        <v>9011</v>
      </c>
      <c r="C9777" s="2" t="str">
        <f ca="1">IFERROR(__xludf.DUMMYFUNCTION("GOOGLETRANSLATE(A9777,""bn"",""en"")"),"I will have the pleasure of sharing the heritage of Bangladesh with the people of the world")</f>
        <v>I will have the pleasure of sharing the heritage of Bangladesh with the people of the world</v>
      </c>
      <c r="D9777" s="5"/>
      <c r="E9777" s="5"/>
      <c r="F9777" s="5"/>
      <c r="G9777" s="5"/>
      <c r="H9777" s="5"/>
      <c r="I9777" s="5"/>
      <c r="J9777" s="5"/>
      <c r="K9777" s="5"/>
      <c r="L9777" s="5"/>
      <c r="M9777" s="5"/>
      <c r="N9777" s="5"/>
      <c r="O9777" s="5"/>
      <c r="P9777" s="5"/>
      <c r="Q9777" s="5"/>
      <c r="R9777" s="5"/>
      <c r="S9777" s="5"/>
      <c r="T9777" s="5"/>
      <c r="U9777" s="5"/>
      <c r="V9777" s="5"/>
      <c r="W9777" s="5"/>
      <c r="X9777" s="5"/>
      <c r="Y9777" s="5"/>
      <c r="Z9777" s="5"/>
    </row>
    <row r="9778" spans="1:26" ht="15" x14ac:dyDescent="0.25">
      <c r="A9778" s="4" t="s">
        <v>9776</v>
      </c>
      <c r="B9778" s="4" t="s">
        <v>9011</v>
      </c>
      <c r="C9778" s="2" t="str">
        <f ca="1">IFERROR(__xludf.DUMMYFUNCTION("GOOGLETRANSLATE(A9778,""bn"",""en"")"),"Mixing with each color will be an exciting experience for children who will enjoy creating new colors and discovering different shades.")</f>
        <v>Mixing with each color will be an exciting experience for children who will enjoy creating new colors and discovering different shades.</v>
      </c>
      <c r="D9778" s="5"/>
      <c r="E9778" s="5"/>
      <c r="F9778" s="5"/>
      <c r="G9778" s="5"/>
      <c r="H9778" s="5"/>
      <c r="I9778" s="5"/>
      <c r="J9778" s="5"/>
      <c r="K9778" s="5"/>
      <c r="L9778" s="5"/>
      <c r="M9778" s="5"/>
      <c r="N9778" s="5"/>
      <c r="O9778" s="5"/>
      <c r="P9778" s="5"/>
      <c r="Q9778" s="5"/>
      <c r="R9778" s="5"/>
      <c r="S9778" s="5"/>
      <c r="T9778" s="5"/>
      <c r="U9778" s="5"/>
      <c r="V9778" s="5"/>
      <c r="W9778" s="5"/>
      <c r="X9778" s="5"/>
      <c r="Y9778" s="5"/>
      <c r="Z9778" s="5"/>
    </row>
    <row r="9779" spans="1:26" ht="15" x14ac:dyDescent="0.25">
      <c r="A9779" s="4" t="s">
        <v>9777</v>
      </c>
      <c r="B9779" s="4" t="s">
        <v>9011</v>
      </c>
      <c r="C9779" s="2" t="str">
        <f ca="1">IFERROR(__xludf.DUMMYFUNCTION("GOOGLETRANSLATE(A9779,""bn"",""en"")"),"I am going to play badminton at Spordha Club tomorrow")</f>
        <v>I am going to play badminton at Spordha Club tomorrow</v>
      </c>
      <c r="D9779" s="5"/>
      <c r="E9779" s="5"/>
      <c r="F9779" s="5"/>
      <c r="G9779" s="5"/>
      <c r="H9779" s="5"/>
      <c r="I9779" s="5"/>
      <c r="J9779" s="5"/>
      <c r="K9779" s="5"/>
      <c r="L9779" s="5"/>
      <c r="M9779" s="5"/>
      <c r="N9779" s="5"/>
      <c r="O9779" s="5"/>
      <c r="P9779" s="5"/>
      <c r="Q9779" s="5"/>
      <c r="R9779" s="5"/>
      <c r="S9779" s="5"/>
      <c r="T9779" s="5"/>
      <c r="U9779" s="5"/>
      <c r="V9779" s="5"/>
      <c r="W9779" s="5"/>
      <c r="X9779" s="5"/>
      <c r="Y9779" s="5"/>
      <c r="Z9779" s="5"/>
    </row>
    <row r="9780" spans="1:26" ht="15" x14ac:dyDescent="0.25">
      <c r="A9780" s="4" t="s">
        <v>9778</v>
      </c>
      <c r="B9780" s="4" t="s">
        <v>9011</v>
      </c>
      <c r="C9780" s="2" t="str">
        <f ca="1">IFERROR(__xludf.DUMMYFUNCTION("GOOGLETRANSLATE(A9780,""bn"",""en"")"),"Big brother till now you were my protector from today you will be someone's life partner good marriage grandpa")</f>
        <v>Big brother till now you were my protector from today you will be someone's life partner good marriage grandpa</v>
      </c>
      <c r="D9780" s="5"/>
      <c r="E9780" s="5"/>
      <c r="F9780" s="5"/>
      <c r="G9780" s="5"/>
      <c r="H9780" s="5"/>
      <c r="I9780" s="5"/>
      <c r="J9780" s="5"/>
      <c r="K9780" s="5"/>
      <c r="L9780" s="5"/>
      <c r="M9780" s="5"/>
      <c r="N9780" s="5"/>
      <c r="O9780" s="5"/>
      <c r="P9780" s="5"/>
      <c r="Q9780" s="5"/>
      <c r="R9780" s="5"/>
      <c r="S9780" s="5"/>
      <c r="T9780" s="5"/>
      <c r="U9780" s="5"/>
      <c r="V9780" s="5"/>
      <c r="W9780" s="5"/>
      <c r="X9780" s="5"/>
      <c r="Y9780" s="5"/>
      <c r="Z9780" s="5"/>
    </row>
    <row r="9781" spans="1:26" ht="15" x14ac:dyDescent="0.25">
      <c r="A9781" s="4" t="s">
        <v>9779</v>
      </c>
      <c r="B9781" s="4" t="s">
        <v>9011</v>
      </c>
      <c r="C9781" s="2" t="str">
        <f ca="1">IFERROR(__xludf.DUMMYFUNCTION("GOOGLETRANSLATE(A9781,""bn"",""en"")"),"Rinki will be very happy to see that the fish will be cooked today after a long time")</f>
        <v>Rinki will be very happy to see that the fish will be cooked today after a long time</v>
      </c>
      <c r="D9781" s="5"/>
      <c r="E9781" s="5"/>
      <c r="F9781" s="5"/>
      <c r="G9781" s="5"/>
      <c r="H9781" s="5"/>
      <c r="I9781" s="5"/>
      <c r="J9781" s="5"/>
      <c r="K9781" s="5"/>
      <c r="L9781" s="5"/>
      <c r="M9781" s="5"/>
      <c r="N9781" s="5"/>
      <c r="O9781" s="5"/>
      <c r="P9781" s="5"/>
      <c r="Q9781" s="5"/>
      <c r="R9781" s="5"/>
      <c r="S9781" s="5"/>
      <c r="T9781" s="5"/>
      <c r="U9781" s="5"/>
      <c r="V9781" s="5"/>
      <c r="W9781" s="5"/>
      <c r="X9781" s="5"/>
      <c r="Y9781" s="5"/>
      <c r="Z9781" s="5"/>
    </row>
    <row r="9782" spans="1:26" ht="15" x14ac:dyDescent="0.25">
      <c r="A9782" s="4" t="s">
        <v>9780</v>
      </c>
      <c r="B9782" s="4" t="s">
        <v>9011</v>
      </c>
      <c r="C9782" s="2" t="str">
        <f ca="1">IFERROR(__xludf.DUMMYFUNCTION("GOOGLETRANSLATE(A9782,""bn"",""en"")"),"But you have to let me know what you will pay first")</f>
        <v>But you have to let me know what you will pay first</v>
      </c>
      <c r="D9782" s="5"/>
      <c r="E9782" s="5"/>
      <c r="F9782" s="5"/>
      <c r="G9782" s="5"/>
      <c r="H9782" s="5"/>
      <c r="I9782" s="5"/>
      <c r="J9782" s="5"/>
      <c r="K9782" s="5"/>
      <c r="L9782" s="5"/>
      <c r="M9782" s="5"/>
      <c r="N9782" s="5"/>
      <c r="O9782" s="5"/>
      <c r="P9782" s="5"/>
      <c r="Q9782" s="5"/>
      <c r="R9782" s="5"/>
      <c r="S9782" s="5"/>
      <c r="T9782" s="5"/>
      <c r="U9782" s="5"/>
      <c r="V9782" s="5"/>
      <c r="W9782" s="5"/>
      <c r="X9782" s="5"/>
      <c r="Y9782" s="5"/>
      <c r="Z9782" s="5"/>
    </row>
    <row r="9783" spans="1:26" ht="15" x14ac:dyDescent="0.25">
      <c r="A9783" s="4" t="s">
        <v>9781</v>
      </c>
      <c r="B9783" s="4" t="s">
        <v>9011</v>
      </c>
      <c r="C9783" s="2" t="str">
        <f ca="1">IFERROR(__xludf.DUMMYFUNCTION("GOOGLETRANSLATE(A9783,""bn"",""en"")"),"Don't post pictures of the food, you'll die of envy")</f>
        <v>Don't post pictures of the food, you'll die of envy</v>
      </c>
      <c r="D9783" s="5"/>
      <c r="E9783" s="5"/>
      <c r="F9783" s="5"/>
      <c r="G9783" s="5"/>
      <c r="H9783" s="5"/>
      <c r="I9783" s="5"/>
      <c r="J9783" s="5"/>
      <c r="K9783" s="5"/>
      <c r="L9783" s="5"/>
      <c r="M9783" s="5"/>
      <c r="N9783" s="5"/>
      <c r="O9783" s="5"/>
      <c r="P9783" s="5"/>
      <c r="Q9783" s="5"/>
      <c r="R9783" s="5"/>
      <c r="S9783" s="5"/>
      <c r="T9783" s="5"/>
      <c r="U9783" s="5"/>
      <c r="V9783" s="5"/>
      <c r="W9783" s="5"/>
      <c r="X9783" s="5"/>
      <c r="Y9783" s="5"/>
      <c r="Z9783" s="5"/>
    </row>
    <row r="9784" spans="1:26" ht="15" x14ac:dyDescent="0.25">
      <c r="A9784" s="4" t="s">
        <v>9782</v>
      </c>
      <c r="B9784" s="4" t="s">
        <v>9011</v>
      </c>
      <c r="C9784" s="2" t="str">
        <f ca="1">IFERROR(__xludf.DUMMYFUNCTION("GOOGLETRANSLATE(A9784,""bn"",""en"")"),"Dream Pages Author Suman Chakraborty Reading this book will reveal the richness of the mind.")</f>
        <v>Dream Pages Author Suman Chakraborty Reading this book will reveal the richness of the mind.</v>
      </c>
      <c r="D9784" s="5"/>
      <c r="E9784" s="5"/>
      <c r="F9784" s="5"/>
      <c r="G9784" s="5"/>
      <c r="H9784" s="5"/>
      <c r="I9784" s="5"/>
      <c r="J9784" s="5"/>
      <c r="K9784" s="5"/>
      <c r="L9784" s="5"/>
      <c r="M9784" s="5"/>
      <c r="N9784" s="5"/>
      <c r="O9784" s="5"/>
      <c r="P9784" s="5"/>
      <c r="Q9784" s="5"/>
      <c r="R9784" s="5"/>
      <c r="S9784" s="5"/>
      <c r="T9784" s="5"/>
      <c r="U9784" s="5"/>
      <c r="V9784" s="5"/>
      <c r="W9784" s="5"/>
      <c r="X9784" s="5"/>
      <c r="Y9784" s="5"/>
      <c r="Z9784" s="5"/>
    </row>
    <row r="9785" spans="1:26" ht="15" x14ac:dyDescent="0.25">
      <c r="A9785" s="4" t="s">
        <v>9783</v>
      </c>
      <c r="B9785" s="4" t="s">
        <v>9011</v>
      </c>
      <c r="C9785" s="2" t="str">
        <f ca="1">IFERROR(__xludf.DUMMYFUNCTION("GOOGLETRANSLATE(A9785,""bn"",""en"")"),"Every member of the family will feel proud of their success")</f>
        <v>Every member of the family will feel proud of their success</v>
      </c>
      <c r="D9785" s="5"/>
      <c r="E9785" s="5"/>
      <c r="F9785" s="5"/>
      <c r="G9785" s="5"/>
      <c r="H9785" s="5"/>
      <c r="I9785" s="5"/>
      <c r="J9785" s="5"/>
      <c r="K9785" s="5"/>
      <c r="L9785" s="5"/>
      <c r="M9785" s="5"/>
      <c r="N9785" s="5"/>
      <c r="O9785" s="5"/>
      <c r="P9785" s="5"/>
      <c r="Q9785" s="5"/>
      <c r="R9785" s="5"/>
      <c r="S9785" s="5"/>
      <c r="T9785" s="5"/>
      <c r="U9785" s="5"/>
      <c r="V9785" s="5"/>
      <c r="W9785" s="5"/>
      <c r="X9785" s="5"/>
      <c r="Y9785" s="5"/>
      <c r="Z9785" s="5"/>
    </row>
    <row r="9786" spans="1:26" ht="15" x14ac:dyDescent="0.25">
      <c r="A9786" s="4" t="s">
        <v>9784</v>
      </c>
      <c r="B9786" s="4" t="s">
        <v>9011</v>
      </c>
      <c r="C9786" s="2" t="str">
        <f ca="1">IFERROR(__xludf.DUMMYFUNCTION("GOOGLETRANSLATE(A9786,""bn"",""en"")"),"Today I will do a little experiment in the kitchen, I will try to make new food")</f>
        <v>Today I will do a little experiment in the kitchen, I will try to make new food</v>
      </c>
      <c r="D9786" s="5"/>
      <c r="E9786" s="5"/>
      <c r="F9786" s="5"/>
      <c r="G9786" s="5"/>
      <c r="H9786" s="5"/>
      <c r="I9786" s="5"/>
      <c r="J9786" s="5"/>
      <c r="K9786" s="5"/>
      <c r="L9786" s="5"/>
      <c r="M9786" s="5"/>
      <c r="N9786" s="5"/>
      <c r="O9786" s="5"/>
      <c r="P9786" s="5"/>
      <c r="Q9786" s="5"/>
      <c r="R9786" s="5"/>
      <c r="S9786" s="5"/>
      <c r="T9786" s="5"/>
      <c r="U9786" s="5"/>
      <c r="V9786" s="5"/>
      <c r="W9786" s="5"/>
      <c r="X9786" s="5"/>
      <c r="Y9786" s="5"/>
      <c r="Z9786" s="5"/>
    </row>
    <row r="9787" spans="1:26" ht="15" x14ac:dyDescent="0.25">
      <c r="A9787" s="4" t="s">
        <v>9785</v>
      </c>
      <c r="B9787" s="4" t="s">
        <v>9011</v>
      </c>
      <c r="C9787" s="2" t="str">
        <f ca="1">IFERROR(__xludf.DUMMYFUNCTION("GOOGLETRANSLATE(A9787,""bn"",""en"")"),"You'll be joining a new fitness program next month to improve your fitness")</f>
        <v>You'll be joining a new fitness program next month to improve your fitness</v>
      </c>
      <c r="D9787" s="5"/>
      <c r="E9787" s="5"/>
      <c r="F9787" s="5"/>
      <c r="G9787" s="5"/>
      <c r="H9787" s="5"/>
      <c r="I9787" s="5"/>
      <c r="J9787" s="5"/>
      <c r="K9787" s="5"/>
      <c r="L9787" s="5"/>
      <c r="M9787" s="5"/>
      <c r="N9787" s="5"/>
      <c r="O9787" s="5"/>
      <c r="P9787" s="5"/>
      <c r="Q9787" s="5"/>
      <c r="R9787" s="5"/>
      <c r="S9787" s="5"/>
      <c r="T9787" s="5"/>
      <c r="U9787" s="5"/>
      <c r="V9787" s="5"/>
      <c r="W9787" s="5"/>
      <c r="X9787" s="5"/>
      <c r="Y9787" s="5"/>
      <c r="Z9787" s="5"/>
    </row>
    <row r="9788" spans="1:26" ht="15" x14ac:dyDescent="0.25">
      <c r="A9788" s="4" t="s">
        <v>9786</v>
      </c>
      <c r="B9788" s="4" t="s">
        <v>9011</v>
      </c>
      <c r="C9788" s="2" t="str">
        <f ca="1">IFERROR(__xludf.DUMMYFUNCTION("GOOGLETRANSLATE(A9788,""bn"",""en"")"),"I'll be using the new camera feature with the phone tomorrow")</f>
        <v>I'll be using the new camera feature with the phone tomorrow</v>
      </c>
      <c r="D9788" s="5"/>
      <c r="E9788" s="5"/>
      <c r="F9788" s="5"/>
      <c r="G9788" s="5"/>
      <c r="H9788" s="5"/>
      <c r="I9788" s="5"/>
      <c r="J9788" s="5"/>
      <c r="K9788" s="5"/>
      <c r="L9788" s="5"/>
      <c r="M9788" s="5"/>
      <c r="N9788" s="5"/>
      <c r="O9788" s="5"/>
      <c r="P9788" s="5"/>
      <c r="Q9788" s="5"/>
      <c r="R9788" s="5"/>
      <c r="S9788" s="5"/>
      <c r="T9788" s="5"/>
      <c r="U9788" s="5"/>
      <c r="V9788" s="5"/>
      <c r="W9788" s="5"/>
      <c r="X9788" s="5"/>
      <c r="Y9788" s="5"/>
      <c r="Z9788" s="5"/>
    </row>
    <row r="9789" spans="1:26" ht="15" x14ac:dyDescent="0.25">
      <c r="A9789" s="4" t="s">
        <v>9787</v>
      </c>
      <c r="B9789" s="4" t="s">
        <v>9011</v>
      </c>
      <c r="C9789" s="2" t="str">
        <f ca="1">IFERROR(__xludf.DUMMYFUNCTION("GOOGLETRANSLATE(A9789,""bn"",""en"")"),"After eating food from mother's hands, I will understand that happiness is not very complicated")</f>
        <v>After eating food from mother's hands, I will understand that happiness is not very complicated</v>
      </c>
      <c r="D9789" s="5"/>
      <c r="E9789" s="5"/>
      <c r="F9789" s="5"/>
      <c r="G9789" s="5"/>
      <c r="H9789" s="5"/>
      <c r="I9789" s="5"/>
      <c r="J9789" s="5"/>
      <c r="K9789" s="5"/>
      <c r="L9789" s="5"/>
      <c r="M9789" s="5"/>
      <c r="N9789" s="5"/>
      <c r="O9789" s="5"/>
      <c r="P9789" s="5"/>
      <c r="Q9789" s="5"/>
      <c r="R9789" s="5"/>
      <c r="S9789" s="5"/>
      <c r="T9789" s="5"/>
      <c r="U9789" s="5"/>
      <c r="V9789" s="5"/>
      <c r="W9789" s="5"/>
      <c r="X9789" s="5"/>
      <c r="Y9789" s="5"/>
      <c r="Z9789" s="5"/>
    </row>
    <row r="9790" spans="1:26" ht="15" x14ac:dyDescent="0.25">
      <c r="A9790" s="4" t="s">
        <v>9788</v>
      </c>
      <c r="B9790" s="4" t="s">
        <v>9011</v>
      </c>
      <c r="C9790" s="2" t="str">
        <f ca="1">IFERROR(__xludf.DUMMYFUNCTION("GOOGLETRANSLATE(A9790,""bn"",""en"")"),"We will be working on improving our technical project in the coming months")</f>
        <v>We will be working on improving our technical project in the coming months</v>
      </c>
      <c r="D9790" s="5"/>
      <c r="E9790" s="5"/>
      <c r="F9790" s="5"/>
      <c r="G9790" s="5"/>
      <c r="H9790" s="5"/>
      <c r="I9790" s="5"/>
      <c r="J9790" s="5"/>
      <c r="K9790" s="5"/>
      <c r="L9790" s="5"/>
      <c r="M9790" s="5"/>
      <c r="N9790" s="5"/>
      <c r="O9790" s="5"/>
      <c r="P9790" s="5"/>
      <c r="Q9790" s="5"/>
      <c r="R9790" s="5"/>
      <c r="S9790" s="5"/>
      <c r="T9790" s="5"/>
      <c r="U9790" s="5"/>
      <c r="V9790" s="5"/>
      <c r="W9790" s="5"/>
      <c r="X9790" s="5"/>
      <c r="Y9790" s="5"/>
      <c r="Z9790" s="5"/>
    </row>
    <row r="9791" spans="1:26" ht="15" x14ac:dyDescent="0.25">
      <c r="A9791" s="4" t="s">
        <v>9789</v>
      </c>
      <c r="B9791" s="4" t="s">
        <v>9011</v>
      </c>
      <c r="C9791" s="2" t="str">
        <f ca="1">IFERROR(__xludf.DUMMYFUNCTION("GOOGLETRANSLATE(A9791,""bn"",""en"")"),"When I'm with friends I feel completely alone")</f>
        <v>When I'm with friends I feel completely alone</v>
      </c>
      <c r="D9791" s="5"/>
      <c r="E9791" s="5"/>
      <c r="F9791" s="5"/>
      <c r="G9791" s="5"/>
      <c r="H9791" s="5"/>
      <c r="I9791" s="5"/>
      <c r="J9791" s="5"/>
      <c r="K9791" s="5"/>
      <c r="L9791" s="5"/>
      <c r="M9791" s="5"/>
      <c r="N9791" s="5"/>
      <c r="O9791" s="5"/>
      <c r="P9791" s="5"/>
      <c r="Q9791" s="5"/>
      <c r="R9791" s="5"/>
      <c r="S9791" s="5"/>
      <c r="T9791" s="5"/>
      <c r="U9791" s="5"/>
      <c r="V9791" s="5"/>
      <c r="W9791" s="5"/>
      <c r="X9791" s="5"/>
      <c r="Y9791" s="5"/>
      <c r="Z9791" s="5"/>
    </row>
    <row r="9792" spans="1:26" ht="15" x14ac:dyDescent="0.25">
      <c r="A9792" s="4" t="s">
        <v>9790</v>
      </c>
      <c r="B9792" s="4" t="s">
        <v>9011</v>
      </c>
      <c r="C9792" s="2" t="str">
        <f ca="1">IFERROR(__xludf.DUMMYFUNCTION("GOOGLETRANSLATE(A9792,""bn"",""en"")"),"The party of single life is over, now it's time for double date. Happy marriage to Sujan and Jaya")</f>
        <v>The party of single life is over, now it's time for double date. Happy marriage to Sujan and Jaya</v>
      </c>
      <c r="D9792" s="5"/>
      <c r="E9792" s="5"/>
      <c r="F9792" s="5"/>
      <c r="G9792" s="5"/>
      <c r="H9792" s="5"/>
      <c r="I9792" s="5"/>
      <c r="J9792" s="5"/>
      <c r="K9792" s="5"/>
      <c r="L9792" s="5"/>
      <c r="M9792" s="5"/>
      <c r="N9792" s="5"/>
      <c r="O9792" s="5"/>
      <c r="P9792" s="5"/>
      <c r="Q9792" s="5"/>
      <c r="R9792" s="5"/>
      <c r="S9792" s="5"/>
      <c r="T9792" s="5"/>
      <c r="U9792" s="5"/>
      <c r="V9792" s="5"/>
      <c r="W9792" s="5"/>
      <c r="X9792" s="5"/>
      <c r="Y9792" s="5"/>
      <c r="Z9792" s="5"/>
    </row>
    <row r="9793" spans="1:26" ht="15" x14ac:dyDescent="0.25">
      <c r="A9793" s="4" t="s">
        <v>9791</v>
      </c>
      <c r="B9793" s="4" t="s">
        <v>9011</v>
      </c>
      <c r="C9793" s="2" t="str">
        <f ca="1">IFERROR(__xludf.DUMMYFUNCTION("GOOGLETRANSLATE(A9793,""bn"",""en"")"),"Next year I will get admission in the best university in the world")</f>
        <v>Next year I will get admission in the best university in the world</v>
      </c>
      <c r="D9793" s="5"/>
      <c r="E9793" s="5"/>
      <c r="F9793" s="5"/>
      <c r="G9793" s="5"/>
      <c r="H9793" s="5"/>
      <c r="I9793" s="5"/>
      <c r="J9793" s="5"/>
      <c r="K9793" s="5"/>
      <c r="L9793" s="5"/>
      <c r="M9793" s="5"/>
      <c r="N9793" s="5"/>
      <c r="O9793" s="5"/>
      <c r="P9793" s="5"/>
      <c r="Q9793" s="5"/>
      <c r="R9793" s="5"/>
      <c r="S9793" s="5"/>
      <c r="T9793" s="5"/>
      <c r="U9793" s="5"/>
      <c r="V9793" s="5"/>
      <c r="W9793" s="5"/>
      <c r="X9793" s="5"/>
      <c r="Y9793" s="5"/>
      <c r="Z9793" s="5"/>
    </row>
    <row r="9794" spans="1:26" ht="15" x14ac:dyDescent="0.25">
      <c r="A9794" s="4" t="s">
        <v>9792</v>
      </c>
      <c r="B9794" s="4" t="s">
        <v>9011</v>
      </c>
      <c r="C9794" s="2" t="str">
        <f ca="1">IFERROR(__xludf.DUMMYFUNCTION("GOOGLETRANSLATE(A9794,""bn"",""en"")"),"You can understand what sacrifice is when you look at your parents")</f>
        <v>You can understand what sacrifice is when you look at your parents</v>
      </c>
      <c r="D9794" s="5"/>
      <c r="E9794" s="5"/>
      <c r="F9794" s="5"/>
      <c r="G9794" s="5"/>
      <c r="H9794" s="5"/>
      <c r="I9794" s="5"/>
      <c r="J9794" s="5"/>
      <c r="K9794" s="5"/>
      <c r="L9794" s="5"/>
      <c r="M9794" s="5"/>
      <c r="N9794" s="5"/>
      <c r="O9794" s="5"/>
      <c r="P9794" s="5"/>
      <c r="Q9794" s="5"/>
      <c r="R9794" s="5"/>
      <c r="S9794" s="5"/>
      <c r="T9794" s="5"/>
      <c r="U9794" s="5"/>
      <c r="V9794" s="5"/>
      <c r="W9794" s="5"/>
      <c r="X9794" s="5"/>
      <c r="Y9794" s="5"/>
      <c r="Z9794" s="5"/>
    </row>
    <row r="9795" spans="1:26" ht="15" x14ac:dyDescent="0.25">
      <c r="A9795" s="4" t="s">
        <v>9793</v>
      </c>
      <c r="B9795" s="4" t="s">
        <v>9011</v>
      </c>
      <c r="C9795" s="2" t="str">
        <f ca="1">IFERROR(__xludf.DUMMYFUNCTION("GOOGLETRANSLATE(A9795,""bn"",""en"")"),"I will fulfill all my dreams and achieve success through high standards")</f>
        <v>I will fulfill all my dreams and achieve success through high standards</v>
      </c>
      <c r="D9795" s="5"/>
      <c r="E9795" s="5"/>
      <c r="F9795" s="5"/>
      <c r="G9795" s="5"/>
      <c r="H9795" s="5"/>
      <c r="I9795" s="5"/>
      <c r="J9795" s="5"/>
      <c r="K9795" s="5"/>
      <c r="L9795" s="5"/>
      <c r="M9795" s="5"/>
      <c r="N9795" s="5"/>
      <c r="O9795" s="5"/>
      <c r="P9795" s="5"/>
      <c r="Q9795" s="5"/>
      <c r="R9795" s="5"/>
      <c r="S9795" s="5"/>
      <c r="T9795" s="5"/>
      <c r="U9795" s="5"/>
      <c r="V9795" s="5"/>
      <c r="W9795" s="5"/>
      <c r="X9795" s="5"/>
      <c r="Y9795" s="5"/>
      <c r="Z9795" s="5"/>
    </row>
    <row r="9796" spans="1:26" ht="15" x14ac:dyDescent="0.25">
      <c r="A9796" s="4" t="s">
        <v>9794</v>
      </c>
      <c r="B9796" s="4" t="s">
        <v>9011</v>
      </c>
      <c r="C9796" s="2" t="str">
        <f ca="1">IFERROR(__xludf.DUMMYFUNCTION("GOOGLETRANSLATE(A9796,""bn"",""en"")"),"We will go on a picnic tomorrow")</f>
        <v>We will go on a picnic tomorrow</v>
      </c>
      <c r="D9796" s="5"/>
      <c r="E9796" s="5"/>
      <c r="F9796" s="5"/>
      <c r="G9796" s="5"/>
      <c r="H9796" s="5"/>
      <c r="I9796" s="5"/>
      <c r="J9796" s="5"/>
      <c r="K9796" s="5"/>
      <c r="L9796" s="5"/>
      <c r="M9796" s="5"/>
      <c r="N9796" s="5"/>
      <c r="O9796" s="5"/>
      <c r="P9796" s="5"/>
      <c r="Q9796" s="5"/>
      <c r="R9796" s="5"/>
      <c r="S9796" s="5"/>
      <c r="T9796" s="5"/>
      <c r="U9796" s="5"/>
      <c r="V9796" s="5"/>
      <c r="W9796" s="5"/>
      <c r="X9796" s="5"/>
      <c r="Y9796" s="5"/>
      <c r="Z9796" s="5"/>
    </row>
    <row r="9797" spans="1:26" ht="15" x14ac:dyDescent="0.25">
      <c r="A9797" s="4" t="s">
        <v>9795</v>
      </c>
      <c r="B9797" s="4" t="s">
        <v>9011</v>
      </c>
      <c r="C9797" s="2" t="str">
        <f ca="1">IFERROR(__xludf.DUMMYFUNCTION("GOOGLETRANSLATE(A9797,""bn"",""en"")"),"He will come tomorrow to repair AC in our office")</f>
        <v>He will come tomorrow to repair AC in our office</v>
      </c>
      <c r="D9797" s="5"/>
      <c r="E9797" s="5"/>
      <c r="F9797" s="5"/>
      <c r="G9797" s="5"/>
      <c r="H9797" s="5"/>
      <c r="I9797" s="5"/>
      <c r="J9797" s="5"/>
      <c r="K9797" s="5"/>
      <c r="L9797" s="5"/>
      <c r="M9797" s="5"/>
      <c r="N9797" s="5"/>
      <c r="O9797" s="5"/>
      <c r="P9797" s="5"/>
      <c r="Q9797" s="5"/>
      <c r="R9797" s="5"/>
      <c r="S9797" s="5"/>
      <c r="T9797" s="5"/>
      <c r="U9797" s="5"/>
      <c r="V9797" s="5"/>
      <c r="W9797" s="5"/>
      <c r="X9797" s="5"/>
      <c r="Y9797" s="5"/>
      <c r="Z9797" s="5"/>
    </row>
    <row r="9798" spans="1:26" ht="15" x14ac:dyDescent="0.25">
      <c r="A9798" s="4" t="s">
        <v>9796</v>
      </c>
      <c r="B9798" s="4" t="s">
        <v>9011</v>
      </c>
      <c r="C9798" s="2" t="str">
        <f ca="1">IFERROR(__xludf.DUMMYFUNCTION("GOOGLETRANSLATE(A9798,""bn"",""en"")"),"I will also remember the little things of the family because these will be the golden chapter of memory")</f>
        <v>I will also remember the little things of the family because these will be the golden chapter of memory</v>
      </c>
      <c r="D9798" s="5"/>
      <c r="E9798" s="5"/>
      <c r="F9798" s="5"/>
      <c r="G9798" s="5"/>
      <c r="H9798" s="5"/>
      <c r="I9798" s="5"/>
      <c r="J9798" s="5"/>
      <c r="K9798" s="5"/>
      <c r="L9798" s="5"/>
      <c r="M9798" s="5"/>
      <c r="N9798" s="5"/>
      <c r="O9798" s="5"/>
      <c r="P9798" s="5"/>
      <c r="Q9798" s="5"/>
      <c r="R9798" s="5"/>
      <c r="S9798" s="5"/>
      <c r="T9798" s="5"/>
      <c r="U9798" s="5"/>
      <c r="V9798" s="5"/>
      <c r="W9798" s="5"/>
      <c r="X9798" s="5"/>
      <c r="Y9798" s="5"/>
      <c r="Z9798" s="5"/>
    </row>
    <row r="9799" spans="1:26" ht="15" x14ac:dyDescent="0.25">
      <c r="A9799" s="4" t="s">
        <v>9797</v>
      </c>
      <c r="B9799" s="4" t="s">
        <v>9011</v>
      </c>
      <c r="C9799" s="2" t="str">
        <f ca="1">IFERROR(__xludf.DUMMYFUNCTION("GOOGLETRANSLATE(A9799,""bn"",""en"")"),"There will be a whole universe of joy in dance, people's minds will be opened through dance")</f>
        <v>There will be a whole universe of joy in dance, people's minds will be opened through dance</v>
      </c>
      <c r="D9799" s="5"/>
      <c r="E9799" s="5"/>
      <c r="F9799" s="5"/>
      <c r="G9799" s="5"/>
      <c r="H9799" s="5"/>
      <c r="I9799" s="5"/>
      <c r="J9799" s="5"/>
      <c r="K9799" s="5"/>
      <c r="L9799" s="5"/>
      <c r="M9799" s="5"/>
      <c r="N9799" s="5"/>
      <c r="O9799" s="5"/>
      <c r="P9799" s="5"/>
      <c r="Q9799" s="5"/>
      <c r="R9799" s="5"/>
      <c r="S9799" s="5"/>
      <c r="T9799" s="5"/>
      <c r="U9799" s="5"/>
      <c r="V9799" s="5"/>
      <c r="W9799" s="5"/>
      <c r="X9799" s="5"/>
      <c r="Y9799" s="5"/>
      <c r="Z9799" s="5"/>
    </row>
    <row r="9800" spans="1:26" ht="15" x14ac:dyDescent="0.25">
      <c r="A9800" s="4" t="s">
        <v>9798</v>
      </c>
      <c r="B9800" s="4" t="s">
        <v>9011</v>
      </c>
      <c r="C9800" s="2" t="str">
        <f ca="1">IFERROR(__xludf.DUMMYFUNCTION("GOOGLETRANSLATE(A9800,""bn"",""en"")"),"They will start work tomorrow at a new technology startup where they will work on innovative solutions")</f>
        <v>They will start work tomorrow at a new technology startup where they will work on innovative solutions</v>
      </c>
      <c r="D9800" s="5"/>
      <c r="E9800" s="5"/>
      <c r="F9800" s="5"/>
      <c r="G9800" s="5"/>
      <c r="H9800" s="5"/>
      <c r="I9800" s="5"/>
      <c r="J9800" s="5"/>
      <c r="K9800" s="5"/>
      <c r="L9800" s="5"/>
      <c r="M9800" s="5"/>
      <c r="N9800" s="5"/>
      <c r="O9800" s="5"/>
      <c r="P9800" s="5"/>
      <c r="Q9800" s="5"/>
      <c r="R9800" s="5"/>
      <c r="S9800" s="5"/>
      <c r="T9800" s="5"/>
      <c r="U9800" s="5"/>
      <c r="V9800" s="5"/>
      <c r="W9800" s="5"/>
      <c r="X9800" s="5"/>
      <c r="Y9800" s="5"/>
      <c r="Z9800" s="5"/>
    </row>
    <row r="9801" spans="1:26" ht="15" x14ac:dyDescent="0.25">
      <c r="A9801" s="4" t="s">
        <v>9799</v>
      </c>
      <c r="B9801" s="4" t="s">
        <v>9011</v>
      </c>
      <c r="C9801" s="2" t="str">
        <f ca="1">IFERROR(__xludf.DUMMYFUNCTION("GOOGLETRANSLATE(A9801,""bn"",""en"")"),"I will pick up the guitar and I will have a strange joy in my mind and I will want to let go of the melody")</f>
        <v>I will pick up the guitar and I will have a strange joy in my mind and I will want to let go of the melody</v>
      </c>
      <c r="D9801" s="5"/>
      <c r="E9801" s="5"/>
      <c r="F9801" s="5"/>
      <c r="G9801" s="5"/>
      <c r="H9801" s="5"/>
      <c r="I9801" s="5"/>
      <c r="J9801" s="5"/>
      <c r="K9801" s="5"/>
      <c r="L9801" s="5"/>
      <c r="M9801" s="5"/>
      <c r="N9801" s="5"/>
      <c r="O9801" s="5"/>
      <c r="P9801" s="5"/>
      <c r="Q9801" s="5"/>
      <c r="R9801" s="5"/>
      <c r="S9801" s="5"/>
      <c r="T9801" s="5"/>
      <c r="U9801" s="5"/>
      <c r="V9801" s="5"/>
      <c r="W9801" s="5"/>
      <c r="X9801" s="5"/>
      <c r="Y9801" s="5"/>
      <c r="Z9801" s="5"/>
    </row>
    <row r="9802" spans="1:26" ht="15" x14ac:dyDescent="0.25">
      <c r="A9802" s="4" t="s">
        <v>9800</v>
      </c>
      <c r="B9802" s="4" t="s">
        <v>9011</v>
      </c>
      <c r="C9802" s="2" t="str">
        <f ca="1">IFERROR(__xludf.DUMMYFUNCTION("GOOGLETRANSLATE(A9802,""bn"",""en"")"),"Many things will change in so many years but the sweetness of our friendship will not change")</f>
        <v>Many things will change in so many years but the sweetness of our friendship will not change</v>
      </c>
      <c r="D9802" s="5"/>
      <c r="E9802" s="5"/>
      <c r="F9802" s="5"/>
      <c r="G9802" s="5"/>
      <c r="H9802" s="5"/>
      <c r="I9802" s="5"/>
      <c r="J9802" s="5"/>
      <c r="K9802" s="5"/>
      <c r="L9802" s="5"/>
      <c r="M9802" s="5"/>
      <c r="N9802" s="5"/>
      <c r="O9802" s="5"/>
      <c r="P9802" s="5"/>
      <c r="Q9802" s="5"/>
      <c r="R9802" s="5"/>
      <c r="S9802" s="5"/>
      <c r="T9802" s="5"/>
      <c r="U9802" s="5"/>
      <c r="V9802" s="5"/>
      <c r="W9802" s="5"/>
      <c r="X9802" s="5"/>
      <c r="Y9802" s="5"/>
      <c r="Z9802" s="5"/>
    </row>
    <row r="9803" spans="1:26" ht="15" x14ac:dyDescent="0.25">
      <c r="A9803" s="4" t="s">
        <v>9801</v>
      </c>
      <c r="B9803" s="4" t="s">
        <v>9011</v>
      </c>
      <c r="C9803" s="2" t="str">
        <f ca="1">IFERROR(__xludf.DUMMYFUNCTION("GOOGLETRANSLATE(A9803,""bn"",""en"")"),"Trying out new genres of dance and going beyond the mainstream will showcase the dancers' struggle to conquer the challenge of crossing these boundaries and delight them.")</f>
        <v>Trying out new genres of dance and going beyond the mainstream will showcase the dancers' struggle to conquer the challenge of crossing these boundaries and delight them.</v>
      </c>
      <c r="D9803" s="5"/>
      <c r="E9803" s="5"/>
      <c r="F9803" s="5"/>
      <c r="G9803" s="5"/>
      <c r="H9803" s="5"/>
      <c r="I9803" s="5"/>
      <c r="J9803" s="5"/>
      <c r="K9803" s="5"/>
      <c r="L9803" s="5"/>
      <c r="M9803" s="5"/>
      <c r="N9803" s="5"/>
      <c r="O9803" s="5"/>
      <c r="P9803" s="5"/>
      <c r="Q9803" s="5"/>
      <c r="R9803" s="5"/>
      <c r="S9803" s="5"/>
      <c r="T9803" s="5"/>
      <c r="U9803" s="5"/>
      <c r="V9803" s="5"/>
      <c r="W9803" s="5"/>
      <c r="X9803" s="5"/>
      <c r="Y9803" s="5"/>
      <c r="Z9803" s="5"/>
    </row>
    <row r="9804" spans="1:26" ht="15" x14ac:dyDescent="0.25">
      <c r="A9804" s="4" t="s">
        <v>9802</v>
      </c>
      <c r="B9804" s="4" t="s">
        <v>9011</v>
      </c>
      <c r="C9804" s="2" t="str">
        <f ca="1">IFERROR(__xludf.DUMMYFUNCTION("GOOGLETRANSLATE(A9804,""bn"",""en"")"),"I think I will start learning a new language next month I hope it will broaden me and increase my special skills")</f>
        <v>I think I will start learning a new language next month I hope it will broaden me and increase my special skills</v>
      </c>
      <c r="D9804" s="5"/>
      <c r="E9804" s="5"/>
      <c r="F9804" s="5"/>
      <c r="G9804" s="5"/>
      <c r="H9804" s="5"/>
      <c r="I9804" s="5"/>
      <c r="J9804" s="5"/>
      <c r="K9804" s="5"/>
      <c r="L9804" s="5"/>
      <c r="M9804" s="5"/>
      <c r="N9804" s="5"/>
      <c r="O9804" s="5"/>
      <c r="P9804" s="5"/>
      <c r="Q9804" s="5"/>
      <c r="R9804" s="5"/>
      <c r="S9804" s="5"/>
      <c r="T9804" s="5"/>
      <c r="U9804" s="5"/>
      <c r="V9804" s="5"/>
      <c r="W9804" s="5"/>
      <c r="X9804" s="5"/>
      <c r="Y9804" s="5"/>
      <c r="Z9804" s="5"/>
    </row>
    <row r="9805" spans="1:26" ht="15" x14ac:dyDescent="0.25">
      <c r="A9805" s="4" t="s">
        <v>9803</v>
      </c>
      <c r="B9805" s="4" t="s">
        <v>9011</v>
      </c>
      <c r="C9805" s="2" t="str">
        <f ca="1">IFERROR(__xludf.DUMMYFUNCTION("GOOGLETRANSLATE(A9805,""bn"",""en"")"),"In future I will be a successful businessman")</f>
        <v>In future I will be a successful businessman</v>
      </c>
      <c r="D9805" s="5"/>
      <c r="E9805" s="5"/>
      <c r="F9805" s="5"/>
      <c r="G9805" s="5"/>
      <c r="H9805" s="5"/>
      <c r="I9805" s="5"/>
      <c r="J9805" s="5"/>
      <c r="K9805" s="5"/>
      <c r="L9805" s="5"/>
      <c r="M9805" s="5"/>
      <c r="N9805" s="5"/>
      <c r="O9805" s="5"/>
      <c r="P9805" s="5"/>
      <c r="Q9805" s="5"/>
      <c r="R9805" s="5"/>
      <c r="S9805" s="5"/>
      <c r="T9805" s="5"/>
      <c r="U9805" s="5"/>
      <c r="V9805" s="5"/>
      <c r="W9805" s="5"/>
      <c r="X9805" s="5"/>
      <c r="Y9805" s="5"/>
      <c r="Z9805" s="5"/>
    </row>
    <row r="9806" spans="1:26" ht="15" x14ac:dyDescent="0.25">
      <c r="A9806" s="4" t="s">
        <v>9804</v>
      </c>
      <c r="B9806" s="4" t="s">
        <v>9011</v>
      </c>
      <c r="C9806" s="2" t="str">
        <f ca="1">IFERROR(__xludf.DUMMYFUNCTION("GOOGLETRANSLATE(A9806,""bn"",""en"")"),"Standing under the fountain, the splash of cold water and the strong sound will invigorate the body and mind")</f>
        <v>Standing under the fountain, the splash of cold water and the strong sound will invigorate the body and mind</v>
      </c>
      <c r="D9806" s="5"/>
      <c r="E9806" s="5"/>
      <c r="F9806" s="5"/>
      <c r="G9806" s="5"/>
      <c r="H9806" s="5"/>
      <c r="I9806" s="5"/>
      <c r="J9806" s="5"/>
      <c r="K9806" s="5"/>
      <c r="L9806" s="5"/>
      <c r="M9806" s="5"/>
      <c r="N9806" s="5"/>
      <c r="O9806" s="5"/>
      <c r="P9806" s="5"/>
      <c r="Q9806" s="5"/>
      <c r="R9806" s="5"/>
      <c r="S9806" s="5"/>
      <c r="T9806" s="5"/>
      <c r="U9806" s="5"/>
      <c r="V9806" s="5"/>
      <c r="W9806" s="5"/>
      <c r="X9806" s="5"/>
      <c r="Y9806" s="5"/>
      <c r="Z9806" s="5"/>
    </row>
    <row r="9807" spans="1:26" ht="15" x14ac:dyDescent="0.25">
      <c r="A9807" s="4" t="s">
        <v>9805</v>
      </c>
      <c r="B9807" s="4" t="s">
        <v>9011</v>
      </c>
      <c r="C9807" s="2" t="str">
        <f ca="1">IFERROR(__xludf.DUMMYFUNCTION("GOOGLETRANSLATE(A9807,""bn"",""en"")"),"There may be quarrels between brothers and sisters but behind these quarrels there will be an unbreakable relationship")</f>
        <v>There may be quarrels between brothers and sisters but behind these quarrels there will be an unbreakable relationship</v>
      </c>
      <c r="D9807" s="5"/>
      <c r="E9807" s="5"/>
      <c r="F9807" s="5"/>
      <c r="G9807" s="5"/>
      <c r="H9807" s="5"/>
      <c r="I9807" s="5"/>
      <c r="J9807" s="5"/>
      <c r="K9807" s="5"/>
      <c r="L9807" s="5"/>
      <c r="M9807" s="5"/>
      <c r="N9807" s="5"/>
      <c r="O9807" s="5"/>
      <c r="P9807" s="5"/>
      <c r="Q9807" s="5"/>
      <c r="R9807" s="5"/>
      <c r="S9807" s="5"/>
      <c r="T9807" s="5"/>
      <c r="U9807" s="5"/>
      <c r="V9807" s="5"/>
      <c r="W9807" s="5"/>
      <c r="X9807" s="5"/>
      <c r="Y9807" s="5"/>
      <c r="Z9807" s="5"/>
    </row>
    <row r="9808" spans="1:26" ht="15" x14ac:dyDescent="0.25">
      <c r="A9808" s="4" t="s">
        <v>9806</v>
      </c>
      <c r="B9808" s="4" t="s">
        <v>9011</v>
      </c>
      <c r="C9808" s="2" t="str">
        <f ca="1">IFERROR(__xludf.DUMMYFUNCTION("GOOGLETRANSLATE(A9808,""bn"",""en"")"),"Next month we will start a new project where everyone will work together")</f>
        <v>Next month we will start a new project where everyone will work together</v>
      </c>
      <c r="D9808" s="5"/>
      <c r="E9808" s="5"/>
      <c r="F9808" s="5"/>
      <c r="G9808" s="5"/>
      <c r="H9808" s="5"/>
      <c r="I9808" s="5"/>
      <c r="J9808" s="5"/>
      <c r="K9808" s="5"/>
      <c r="L9808" s="5"/>
      <c r="M9808" s="5"/>
      <c r="N9808" s="5"/>
      <c r="O9808" s="5"/>
      <c r="P9808" s="5"/>
      <c r="Q9808" s="5"/>
      <c r="R9808" s="5"/>
      <c r="S9808" s="5"/>
      <c r="T9808" s="5"/>
      <c r="U9808" s="5"/>
      <c r="V9808" s="5"/>
      <c r="W9808" s="5"/>
      <c r="X9808" s="5"/>
      <c r="Y9808" s="5"/>
      <c r="Z9808" s="5"/>
    </row>
    <row r="9809" spans="1:26" ht="15" x14ac:dyDescent="0.25">
      <c r="A9809" s="4" t="s">
        <v>9807</v>
      </c>
      <c r="B9809" s="4" t="s">
        <v>9011</v>
      </c>
      <c r="C9809" s="2" t="str">
        <f ca="1">IFERROR(__xludf.DUMMYFUNCTION("GOOGLETRANSLATE(A9809,""bn"",""en"")"),"Bonds of Joy by Salman Rushdie Reading this book will take the mind into a world of bliss Author's creations will increase inspiration for the joy of the mind Reading the book the mind will travel on a journey of joy")</f>
        <v>Bonds of Joy by Salman Rushdie Reading this book will take the mind into a world of bliss Author's creations will increase inspiration for the joy of the mind Reading the book the mind will travel on a journey of joy</v>
      </c>
      <c r="D9809" s="5"/>
      <c r="E9809" s="5"/>
      <c r="F9809" s="5"/>
      <c r="G9809" s="5"/>
      <c r="H9809" s="5"/>
      <c r="I9809" s="5"/>
      <c r="J9809" s="5"/>
      <c r="K9809" s="5"/>
      <c r="L9809" s="5"/>
      <c r="M9809" s="5"/>
      <c r="N9809" s="5"/>
      <c r="O9809" s="5"/>
      <c r="P9809" s="5"/>
      <c r="Q9809" s="5"/>
      <c r="R9809" s="5"/>
      <c r="S9809" s="5"/>
      <c r="T9809" s="5"/>
      <c r="U9809" s="5"/>
      <c r="V9809" s="5"/>
      <c r="W9809" s="5"/>
      <c r="X9809" s="5"/>
      <c r="Y9809" s="5"/>
      <c r="Z9809" s="5"/>
    </row>
    <row r="9810" spans="1:26" ht="15" x14ac:dyDescent="0.25">
      <c r="A9810" s="4" t="s">
        <v>9808</v>
      </c>
      <c r="B9810" s="4" t="s">
        <v>9011</v>
      </c>
      <c r="C9810" s="2" t="str">
        <f ca="1">IFERROR(__xludf.DUMMYFUNCTION("GOOGLETRANSLATE(A9810,""bn"",""en"")"),"By reading this book by author Muhammad Yusuf, the mind will enter the world of prosperity. The creation of the author will increase the inspiration for the joy of the mind.")</f>
        <v>By reading this book by author Muhammad Yusuf, the mind will enter the world of prosperity. The creation of the author will increase the inspiration for the joy of the mind.</v>
      </c>
      <c r="D9810" s="5"/>
      <c r="E9810" s="5"/>
      <c r="F9810" s="5"/>
      <c r="G9810" s="5"/>
      <c r="H9810" s="5"/>
      <c r="I9810" s="5"/>
      <c r="J9810" s="5"/>
      <c r="K9810" s="5"/>
      <c r="L9810" s="5"/>
      <c r="M9810" s="5"/>
      <c r="N9810" s="5"/>
      <c r="O9810" s="5"/>
      <c r="P9810" s="5"/>
      <c r="Q9810" s="5"/>
      <c r="R9810" s="5"/>
      <c r="S9810" s="5"/>
      <c r="T9810" s="5"/>
      <c r="U9810" s="5"/>
      <c r="V9810" s="5"/>
      <c r="W9810" s="5"/>
      <c r="X9810" s="5"/>
      <c r="Y9810" s="5"/>
      <c r="Z9810" s="5"/>
    </row>
    <row r="9811" spans="1:26" ht="15" x14ac:dyDescent="0.25">
      <c r="A9811" s="4" t="s">
        <v>9809</v>
      </c>
      <c r="B9811" s="4" t="s">
        <v>9011</v>
      </c>
      <c r="C9811" s="2" t="str">
        <f ca="1">IFERROR(__xludf.DUMMYFUNCTION("GOOGLETRANSLATE(A9811,""bn"",""en"")"),"He will go tomorrow to install the new mobile extension certificate")</f>
        <v>He will go tomorrow to install the new mobile extension certificate</v>
      </c>
      <c r="D9811" s="5"/>
      <c r="E9811" s="5"/>
      <c r="F9811" s="5"/>
      <c r="G9811" s="5"/>
      <c r="H9811" s="5"/>
      <c r="I9811" s="5"/>
      <c r="J9811" s="5"/>
      <c r="K9811" s="5"/>
      <c r="L9811" s="5"/>
      <c r="M9811" s="5"/>
      <c r="N9811" s="5"/>
      <c r="O9811" s="5"/>
      <c r="P9811" s="5"/>
      <c r="Q9811" s="5"/>
      <c r="R9811" s="5"/>
      <c r="S9811" s="5"/>
      <c r="T9811" s="5"/>
      <c r="U9811" s="5"/>
      <c r="V9811" s="5"/>
      <c r="W9811" s="5"/>
      <c r="X9811" s="5"/>
      <c r="Y9811" s="5"/>
      <c r="Z9811" s="5"/>
    </row>
    <row r="9812" spans="1:26" ht="15" x14ac:dyDescent="0.25">
      <c r="A9812" s="4" t="s">
        <v>9810</v>
      </c>
      <c r="B9812" s="4" t="s">
        <v>9011</v>
      </c>
      <c r="C9812" s="2" t="str">
        <f ca="1">IFERROR(__xludf.DUMMYFUNCTION("GOOGLETRANSLATE(A9812,""bn"",""en"")"),"They will actually come in spacecraft")</f>
        <v>They will actually come in spacecraft</v>
      </c>
      <c r="D9812" s="5"/>
      <c r="E9812" s="5"/>
      <c r="F9812" s="5"/>
      <c r="G9812" s="5"/>
      <c r="H9812" s="5"/>
      <c r="I9812" s="5"/>
      <c r="J9812" s="5"/>
      <c r="K9812" s="5"/>
      <c r="L9812" s="5"/>
      <c r="M9812" s="5"/>
      <c r="N9812" s="5"/>
      <c r="O9812" s="5"/>
      <c r="P9812" s="5"/>
      <c r="Q9812" s="5"/>
      <c r="R9812" s="5"/>
      <c r="S9812" s="5"/>
      <c r="T9812" s="5"/>
      <c r="U9812" s="5"/>
      <c r="V9812" s="5"/>
      <c r="W9812" s="5"/>
      <c r="X9812" s="5"/>
      <c r="Y9812" s="5"/>
      <c r="Z9812" s="5"/>
    </row>
    <row r="9813" spans="1:26" ht="15" x14ac:dyDescent="0.25">
      <c r="A9813" s="4" t="s">
        <v>9811</v>
      </c>
      <c r="B9813" s="4" t="s">
        <v>9011</v>
      </c>
      <c r="C9813" s="2" t="str">
        <f ca="1">IFERROR(__xludf.DUMMYFUNCTION("GOOGLETRANSLATE(A9813,""bn"",""en"")"),"I will go abroad carrying the dignity of Bangladesh")</f>
        <v>I will go abroad carrying the dignity of Bangladesh</v>
      </c>
      <c r="D9813" s="5"/>
      <c r="E9813" s="5"/>
      <c r="F9813" s="5"/>
      <c r="G9813" s="5"/>
      <c r="H9813" s="5"/>
      <c r="I9813" s="5"/>
      <c r="J9813" s="5"/>
      <c r="K9813" s="5"/>
      <c r="L9813" s="5"/>
      <c r="M9813" s="5"/>
      <c r="N9813" s="5"/>
      <c r="O9813" s="5"/>
      <c r="P9813" s="5"/>
      <c r="Q9813" s="5"/>
      <c r="R9813" s="5"/>
      <c r="S9813" s="5"/>
      <c r="T9813" s="5"/>
      <c r="U9813" s="5"/>
      <c r="V9813" s="5"/>
      <c r="W9813" s="5"/>
      <c r="X9813" s="5"/>
      <c r="Y9813" s="5"/>
      <c r="Z9813" s="5"/>
    </row>
    <row r="9814" spans="1:26" ht="15" x14ac:dyDescent="0.25">
      <c r="A9814" s="4" t="s">
        <v>9812</v>
      </c>
      <c r="B9814" s="4" t="s">
        <v>9011</v>
      </c>
      <c r="C9814" s="2" t="str">
        <f ca="1">IFERROR(__xludf.DUMMYFUNCTION("GOOGLETRANSLATE(A9814,""bn"",""en"")"),"By eating food from mother's hands, I will understand that mother is really home")</f>
        <v>By eating food from mother's hands, I will understand that mother is really home</v>
      </c>
      <c r="D9814" s="5"/>
      <c r="E9814" s="5"/>
      <c r="F9814" s="5"/>
      <c r="G9814" s="5"/>
      <c r="H9814" s="5"/>
      <c r="I9814" s="5"/>
      <c r="J9814" s="5"/>
      <c r="K9814" s="5"/>
      <c r="L9814" s="5"/>
      <c r="M9814" s="5"/>
      <c r="N9814" s="5"/>
      <c r="O9814" s="5"/>
      <c r="P9814" s="5"/>
      <c r="Q9814" s="5"/>
      <c r="R9814" s="5"/>
      <c r="S9814" s="5"/>
      <c r="T9814" s="5"/>
      <c r="U9814" s="5"/>
      <c r="V9814" s="5"/>
      <c r="W9814" s="5"/>
      <c r="X9814" s="5"/>
      <c r="Y9814" s="5"/>
      <c r="Z9814" s="5"/>
    </row>
    <row r="9815" spans="1:26" ht="15" x14ac:dyDescent="0.25">
      <c r="A9815" s="4" t="s">
        <v>9813</v>
      </c>
      <c r="B9815" s="4" t="s">
        <v>9011</v>
      </c>
      <c r="C9815" s="2" t="str">
        <f ca="1">IFERROR(__xludf.DUMMYFUNCTION("GOOGLETRANSLATE(A9815,""bn"",""en"")"),"In future I will work on a research project which will help our country to improve")</f>
        <v>In future I will work on a research project which will help our country to improve</v>
      </c>
      <c r="D9815" s="5"/>
      <c r="E9815" s="5"/>
      <c r="F9815" s="5"/>
      <c r="G9815" s="5"/>
      <c r="H9815" s="5"/>
      <c r="I9815" s="5"/>
      <c r="J9815" s="5"/>
      <c r="K9815" s="5"/>
      <c r="L9815" s="5"/>
      <c r="M9815" s="5"/>
      <c r="N9815" s="5"/>
      <c r="O9815" s="5"/>
      <c r="P9815" s="5"/>
      <c r="Q9815" s="5"/>
      <c r="R9815" s="5"/>
      <c r="S9815" s="5"/>
      <c r="T9815" s="5"/>
      <c r="U9815" s="5"/>
      <c r="V9815" s="5"/>
      <c r="W9815" s="5"/>
      <c r="X9815" s="5"/>
      <c r="Y9815" s="5"/>
      <c r="Z9815" s="5"/>
    </row>
    <row r="9816" spans="1:26" ht="15" x14ac:dyDescent="0.25">
      <c r="A9816" s="4" t="s">
        <v>9814</v>
      </c>
      <c r="B9816" s="4" t="s">
        <v>9011</v>
      </c>
      <c r="C9816" s="2" t="str">
        <f ca="1">IFERROR(__xludf.DUMMYFUNCTION("GOOGLETRANSLATE(A9816,""bn"",""en"")"),"BTS will perform music with other artists that will inspire fans to discover new sounds")</f>
        <v>BTS will perform music with other artists that will inspire fans to discover new sounds</v>
      </c>
      <c r="D9816" s="5"/>
      <c r="E9816" s="5"/>
      <c r="F9816" s="5"/>
      <c r="G9816" s="5"/>
      <c r="H9816" s="5"/>
      <c r="I9816" s="5"/>
      <c r="J9816" s="5"/>
      <c r="K9816" s="5"/>
      <c r="L9816" s="5"/>
      <c r="M9816" s="5"/>
      <c r="N9816" s="5"/>
      <c r="O9816" s="5"/>
      <c r="P9816" s="5"/>
      <c r="Q9816" s="5"/>
      <c r="R9816" s="5"/>
      <c r="S9816" s="5"/>
      <c r="T9816" s="5"/>
      <c r="U9816" s="5"/>
      <c r="V9816" s="5"/>
      <c r="W9816" s="5"/>
      <c r="X9816" s="5"/>
      <c r="Y9816" s="5"/>
      <c r="Z9816" s="5"/>
    </row>
    <row r="9817" spans="1:26" ht="15" x14ac:dyDescent="0.25">
      <c r="A9817" s="4" t="s">
        <v>9815</v>
      </c>
      <c r="B9817" s="4" t="s">
        <v>9011</v>
      </c>
      <c r="C9817" s="2" t="str">
        <f ca="1">IFERROR(__xludf.DUMMYFUNCTION("GOOGLETRANSLATE(A9817,""bn"",""en"")"),"Gain freelancing skills and move forward with it As everything changes, you have to move forward with the changes.")</f>
        <v>Gain freelancing skills and move forward with it As everything changes, you have to move forward with the changes.</v>
      </c>
      <c r="D9817" s="5"/>
      <c r="E9817" s="5"/>
      <c r="F9817" s="5"/>
      <c r="G9817" s="5"/>
      <c r="H9817" s="5"/>
      <c r="I9817" s="5"/>
      <c r="J9817" s="5"/>
      <c r="K9817" s="5"/>
      <c r="L9817" s="5"/>
      <c r="M9817" s="5"/>
      <c r="N9817" s="5"/>
      <c r="O9817" s="5"/>
      <c r="P9817" s="5"/>
      <c r="Q9817" s="5"/>
      <c r="R9817" s="5"/>
      <c r="S9817" s="5"/>
      <c r="T9817" s="5"/>
      <c r="U9817" s="5"/>
      <c r="V9817" s="5"/>
      <c r="W9817" s="5"/>
      <c r="X9817" s="5"/>
      <c r="Y9817" s="5"/>
      <c r="Z9817" s="5"/>
    </row>
    <row r="9818" spans="1:26" ht="15" x14ac:dyDescent="0.25">
      <c r="A9818" s="4" t="s">
        <v>9816</v>
      </c>
      <c r="B9818" s="4" t="s">
        <v>9011</v>
      </c>
      <c r="C9818" s="2" t="str">
        <f ca="1">IFERROR(__xludf.DUMMYFUNCTION("GOOGLETRANSLATE(A9818,""bn"",""en"")"),"I will write in Bengali language and go to foreign soil to increase my knowledge. I will feel proud to get such an opportunity as a son and daughter of Bangladesh")</f>
        <v>I will write in Bengali language and go to foreign soil to increase my knowledge. I will feel proud to get such an opportunity as a son and daughter of Bangladesh</v>
      </c>
      <c r="D9818" s="5"/>
      <c r="E9818" s="5"/>
      <c r="F9818" s="5"/>
      <c r="G9818" s="5"/>
      <c r="H9818" s="5"/>
      <c r="I9818" s="5"/>
      <c r="J9818" s="5"/>
      <c r="K9818" s="5"/>
      <c r="L9818" s="5"/>
      <c r="M9818" s="5"/>
      <c r="N9818" s="5"/>
      <c r="O9818" s="5"/>
      <c r="P9818" s="5"/>
      <c r="Q9818" s="5"/>
      <c r="R9818" s="5"/>
      <c r="S9818" s="5"/>
      <c r="T9818" s="5"/>
      <c r="U9818" s="5"/>
      <c r="V9818" s="5"/>
      <c r="W9818" s="5"/>
      <c r="X9818" s="5"/>
      <c r="Y9818" s="5"/>
      <c r="Z9818" s="5"/>
    </row>
    <row r="9819" spans="1:26" ht="15" x14ac:dyDescent="0.25">
      <c r="A9819" s="4" t="s">
        <v>9817</v>
      </c>
      <c r="B9819" s="4" t="s">
        <v>9011</v>
      </c>
      <c r="C9819" s="2" t="str">
        <f ca="1">IFERROR(__xludf.DUMMYFUNCTION("GOOGLETRANSLATE(A9819,""bn"",""en"")"),"At night, walking under the light of the lanterns, nature's own illumination, the magical atmosphere will add to the joy of the mind")</f>
        <v>At night, walking under the light of the lanterns, nature's own illumination, the magical atmosphere will add to the joy of the mind</v>
      </c>
      <c r="D9819" s="5"/>
      <c r="E9819" s="5"/>
      <c r="F9819" s="5"/>
      <c r="G9819" s="5"/>
      <c r="H9819" s="5"/>
      <c r="I9819" s="5"/>
      <c r="J9819" s="5"/>
      <c r="K9819" s="5"/>
      <c r="L9819" s="5"/>
      <c r="M9819" s="5"/>
      <c r="N9819" s="5"/>
      <c r="O9819" s="5"/>
      <c r="P9819" s="5"/>
      <c r="Q9819" s="5"/>
      <c r="R9819" s="5"/>
      <c r="S9819" s="5"/>
      <c r="T9819" s="5"/>
      <c r="U9819" s="5"/>
      <c r="V9819" s="5"/>
      <c r="W9819" s="5"/>
      <c r="X9819" s="5"/>
      <c r="Y9819" s="5"/>
      <c r="Z9819" s="5"/>
    </row>
    <row r="9820" spans="1:26" ht="15" x14ac:dyDescent="0.25">
      <c r="A9820" s="4" t="s">
        <v>9818</v>
      </c>
      <c r="B9820" s="4" t="s">
        <v>9011</v>
      </c>
      <c r="C9820" s="2" t="str">
        <f ca="1">IFERROR(__xludf.DUMMYFUNCTION("GOOGLETRANSLATE(A9820,""bn"",""en"")"),"This success will be an unforgettable part of my life")</f>
        <v>This success will be an unforgettable part of my life</v>
      </c>
      <c r="D9820" s="5"/>
      <c r="E9820" s="5"/>
      <c r="F9820" s="5"/>
      <c r="G9820" s="5"/>
      <c r="H9820" s="5"/>
      <c r="I9820" s="5"/>
      <c r="J9820" s="5"/>
      <c r="K9820" s="5"/>
      <c r="L9820" s="5"/>
      <c r="M9820" s="5"/>
      <c r="N9820" s="5"/>
      <c r="O9820" s="5"/>
      <c r="P9820" s="5"/>
      <c r="Q9820" s="5"/>
      <c r="R9820" s="5"/>
      <c r="S9820" s="5"/>
      <c r="T9820" s="5"/>
      <c r="U9820" s="5"/>
      <c r="V9820" s="5"/>
      <c r="W9820" s="5"/>
      <c r="X9820" s="5"/>
      <c r="Y9820" s="5"/>
      <c r="Z9820" s="5"/>
    </row>
    <row r="9821" spans="1:26" ht="15" x14ac:dyDescent="0.25">
      <c r="A9821" s="4" t="s">
        <v>9819</v>
      </c>
      <c r="B9821" s="4" t="s">
        <v>9011</v>
      </c>
      <c r="C9821" s="2" t="str">
        <f ca="1">IFERROR(__xludf.DUMMYFUNCTION("GOOGLETRANSLATE(A9821,""bn"",""en"")"),"In future I will be a successful athlete where my name will be known all over the world")</f>
        <v>In future I will be a successful athlete where my name will be known all over the world</v>
      </c>
      <c r="D9821" s="5"/>
      <c r="E9821" s="5"/>
      <c r="F9821" s="5"/>
      <c r="G9821" s="5"/>
      <c r="H9821" s="5"/>
      <c r="I9821" s="5"/>
      <c r="J9821" s="5"/>
      <c r="K9821" s="5"/>
      <c r="L9821" s="5"/>
      <c r="M9821" s="5"/>
      <c r="N9821" s="5"/>
      <c r="O9821" s="5"/>
      <c r="P9821" s="5"/>
      <c r="Q9821" s="5"/>
      <c r="R9821" s="5"/>
      <c r="S9821" s="5"/>
      <c r="T9821" s="5"/>
      <c r="U9821" s="5"/>
      <c r="V9821" s="5"/>
      <c r="W9821" s="5"/>
      <c r="X9821" s="5"/>
      <c r="Y9821" s="5"/>
      <c r="Z9821" s="5"/>
    </row>
    <row r="9822" spans="1:26" ht="15" x14ac:dyDescent="0.25">
      <c r="A9822" s="4" t="s">
        <v>9820</v>
      </c>
      <c r="B9822" s="4" t="s">
        <v>9011</v>
      </c>
      <c r="C9822" s="2" t="str">
        <f ca="1">IFERROR(__xludf.DUMMYFUNCTION("GOOGLETRANSLATE(A9822,""bn"",""en"")"),"A small step towards a big dream. Always stay with business and succeed in it")</f>
        <v>A small step towards a big dream. Always stay with business and succeed in it</v>
      </c>
      <c r="D9822" s="5"/>
      <c r="E9822" s="5"/>
      <c r="F9822" s="5"/>
      <c r="G9822" s="5"/>
      <c r="H9822" s="5"/>
      <c r="I9822" s="5"/>
      <c r="J9822" s="5"/>
      <c r="K9822" s="5"/>
      <c r="L9822" s="5"/>
      <c r="M9822" s="5"/>
      <c r="N9822" s="5"/>
      <c r="O9822" s="5"/>
      <c r="P9822" s="5"/>
      <c r="Q9822" s="5"/>
      <c r="R9822" s="5"/>
      <c r="S9822" s="5"/>
      <c r="T9822" s="5"/>
      <c r="U9822" s="5"/>
      <c r="V9822" s="5"/>
      <c r="W9822" s="5"/>
      <c r="X9822" s="5"/>
      <c r="Y9822" s="5"/>
      <c r="Z9822" s="5"/>
    </row>
    <row r="9823" spans="1:26" ht="15" x14ac:dyDescent="0.25">
      <c r="A9823" s="4" t="s">
        <v>9821</v>
      </c>
      <c r="B9823" s="4" t="s">
        <v>9011</v>
      </c>
      <c r="C9823" s="2" t="str">
        <f ca="1">IFERROR(__xludf.DUMMYFUNCTION("GOOGLETRANSLATE(A9823,""bn"",""en"")"),"We will meet again one day on that familiar road, then we will be like two strangers")</f>
        <v>We will meet again one day on that familiar road, then we will be like two strangers</v>
      </c>
      <c r="D9823" s="5"/>
      <c r="E9823" s="5"/>
      <c r="F9823" s="5"/>
      <c r="G9823" s="5"/>
      <c r="H9823" s="5"/>
      <c r="I9823" s="5"/>
      <c r="J9823" s="5"/>
      <c r="K9823" s="5"/>
      <c r="L9823" s="5"/>
      <c r="M9823" s="5"/>
      <c r="N9823" s="5"/>
      <c r="O9823" s="5"/>
      <c r="P9823" s="5"/>
      <c r="Q9823" s="5"/>
      <c r="R9823" s="5"/>
      <c r="S9823" s="5"/>
      <c r="T9823" s="5"/>
      <c r="U9823" s="5"/>
      <c r="V9823" s="5"/>
      <c r="W9823" s="5"/>
      <c r="X9823" s="5"/>
      <c r="Y9823" s="5"/>
      <c r="Z9823" s="5"/>
    </row>
    <row r="9824" spans="1:26" ht="15" x14ac:dyDescent="0.25">
      <c r="A9824" s="4" t="s">
        <v>9822</v>
      </c>
      <c r="B9824" s="4" t="s">
        <v>9011</v>
      </c>
      <c r="C9824" s="2" t="str">
        <f ca="1">IFERROR(__xludf.DUMMYFUNCTION("GOOGLETRANSLATE(A9824,""bn"",""en"")"),"I am going to play table tennis at the club tomorrow")</f>
        <v>I am going to play table tennis at the club tomorrow</v>
      </c>
      <c r="D9824" s="5"/>
      <c r="E9824" s="5"/>
      <c r="F9824" s="5"/>
      <c r="G9824" s="5"/>
      <c r="H9824" s="5"/>
      <c r="I9824" s="5"/>
      <c r="J9824" s="5"/>
      <c r="K9824" s="5"/>
      <c r="L9824" s="5"/>
      <c r="M9824" s="5"/>
      <c r="N9824" s="5"/>
      <c r="O9824" s="5"/>
      <c r="P9824" s="5"/>
      <c r="Q9824" s="5"/>
      <c r="R9824" s="5"/>
      <c r="S9824" s="5"/>
      <c r="T9824" s="5"/>
      <c r="U9824" s="5"/>
      <c r="V9824" s="5"/>
      <c r="W9824" s="5"/>
      <c r="X9824" s="5"/>
      <c r="Y9824" s="5"/>
      <c r="Z9824" s="5"/>
    </row>
    <row r="9825" spans="1:26" ht="15" x14ac:dyDescent="0.25">
      <c r="A9825" s="4" t="s">
        <v>9823</v>
      </c>
      <c r="B9825" s="4" t="s">
        <v>9011</v>
      </c>
      <c r="C9825" s="2" t="str">
        <f ca="1">IFERROR(__xludf.DUMMYFUNCTION("GOOGLETRANSLATE(A9825,""bn"",""en"")"),"I will start a charity for wildlife conservation")</f>
        <v>I will start a charity for wildlife conservation</v>
      </c>
      <c r="D9825" s="5"/>
      <c r="E9825" s="5"/>
      <c r="F9825" s="5"/>
      <c r="G9825" s="5"/>
      <c r="H9825" s="5"/>
      <c r="I9825" s="5"/>
      <c r="J9825" s="5"/>
      <c r="K9825" s="5"/>
      <c r="L9825" s="5"/>
      <c r="M9825" s="5"/>
      <c r="N9825" s="5"/>
      <c r="O9825" s="5"/>
      <c r="P9825" s="5"/>
      <c r="Q9825" s="5"/>
      <c r="R9825" s="5"/>
      <c r="S9825" s="5"/>
      <c r="T9825" s="5"/>
      <c r="U9825" s="5"/>
      <c r="V9825" s="5"/>
      <c r="W9825" s="5"/>
      <c r="X9825" s="5"/>
      <c r="Y9825" s="5"/>
      <c r="Z9825" s="5"/>
    </row>
    <row r="9826" spans="1:26" ht="15" x14ac:dyDescent="0.25">
      <c r="A9826" s="4" t="s">
        <v>9824</v>
      </c>
      <c r="B9826" s="4" t="s">
        <v>9011</v>
      </c>
      <c r="C9826" s="2" t="str">
        <f ca="1">IFERROR(__xludf.DUMMYFUNCTION("GOOGLETRANSLATE(A9826,""bn"",""en"")"),"There will be a lesson of unity in praying together with brothers next to brothers")</f>
        <v>There will be a lesson of unity in praying together with brothers next to brothers</v>
      </c>
      <c r="D9826" s="5"/>
      <c r="E9826" s="5"/>
      <c r="F9826" s="5"/>
      <c r="G9826" s="5"/>
      <c r="H9826" s="5"/>
      <c r="I9826" s="5"/>
      <c r="J9826" s="5"/>
      <c r="K9826" s="5"/>
      <c r="L9826" s="5"/>
      <c r="M9826" s="5"/>
      <c r="N9826" s="5"/>
      <c r="O9826" s="5"/>
      <c r="P9826" s="5"/>
      <c r="Q9826" s="5"/>
      <c r="R9826" s="5"/>
      <c r="S9826" s="5"/>
      <c r="T9826" s="5"/>
      <c r="U9826" s="5"/>
      <c r="V9826" s="5"/>
      <c r="W9826" s="5"/>
      <c r="X9826" s="5"/>
      <c r="Y9826" s="5"/>
      <c r="Z9826" s="5"/>
    </row>
    <row r="9827" spans="1:26" ht="15" x14ac:dyDescent="0.25">
      <c r="A9827" s="4" t="s">
        <v>9825</v>
      </c>
      <c r="B9827" s="4" t="s">
        <v>9011</v>
      </c>
      <c r="C9827" s="2" t="str">
        <f ca="1">IFERROR(__xludf.DUMMYFUNCTION("GOOGLETRANSLATE(A9827,""bn"",""en"")"),"I will write an important article tomorrow on advanced methods in scientific research")</f>
        <v>I will write an important article tomorrow on advanced methods in scientific research</v>
      </c>
      <c r="D9827" s="5"/>
      <c r="E9827" s="5"/>
      <c r="F9827" s="5"/>
      <c r="G9827" s="5"/>
      <c r="H9827" s="5"/>
      <c r="I9827" s="5"/>
      <c r="J9827" s="5"/>
      <c r="K9827" s="5"/>
      <c r="L9827" s="5"/>
      <c r="M9827" s="5"/>
      <c r="N9827" s="5"/>
      <c r="O9827" s="5"/>
      <c r="P9827" s="5"/>
      <c r="Q9827" s="5"/>
      <c r="R9827" s="5"/>
      <c r="S9827" s="5"/>
      <c r="T9827" s="5"/>
      <c r="U9827" s="5"/>
      <c r="V9827" s="5"/>
      <c r="W9827" s="5"/>
      <c r="X9827" s="5"/>
      <c r="Y9827" s="5"/>
      <c r="Z9827" s="5"/>
    </row>
    <row r="9828" spans="1:26" ht="15" x14ac:dyDescent="0.25">
      <c r="A9828" s="4" t="s">
        <v>9826</v>
      </c>
      <c r="B9828" s="4" t="s">
        <v>9011</v>
      </c>
      <c r="C9828" s="2" t="str">
        <f ca="1">IFERROR(__xludf.DUMMYFUNCTION("GOOGLETRANSLATE(A9828,""bn"",""en"")"),"I will find myself after all thoughts")</f>
        <v>I will find myself after all thoughts</v>
      </c>
      <c r="D9828" s="5"/>
      <c r="E9828" s="5"/>
      <c r="F9828" s="5"/>
      <c r="G9828" s="5"/>
      <c r="H9828" s="5"/>
      <c r="I9828" s="5"/>
      <c r="J9828" s="5"/>
      <c r="K9828" s="5"/>
      <c r="L9828" s="5"/>
      <c r="M9828" s="5"/>
      <c r="N9828" s="5"/>
      <c r="O9828" s="5"/>
      <c r="P9828" s="5"/>
      <c r="Q9828" s="5"/>
      <c r="R9828" s="5"/>
      <c r="S9828" s="5"/>
      <c r="T9828" s="5"/>
      <c r="U9828" s="5"/>
      <c r="V9828" s="5"/>
      <c r="W9828" s="5"/>
      <c r="X9828" s="5"/>
      <c r="Y9828" s="5"/>
      <c r="Z9828" s="5"/>
    </row>
    <row r="9829" spans="1:26" ht="15" x14ac:dyDescent="0.25">
      <c r="A9829" s="4" t="s">
        <v>9827</v>
      </c>
      <c r="B9829" s="4" t="s">
        <v>9011</v>
      </c>
      <c r="C9829" s="2" t="str">
        <f ca="1">IFERROR(__xludf.DUMMYFUNCTION("GOOGLETRANSLATE(A9829,""bn"",""en"")"),"He will train up to his specialization when he is assigned to the new post")</f>
        <v>He will train up to his specialization when he is assigned to the new post</v>
      </c>
      <c r="D9829" s="5"/>
      <c r="E9829" s="5"/>
      <c r="F9829" s="5"/>
      <c r="G9829" s="5"/>
      <c r="H9829" s="5"/>
      <c r="I9829" s="5"/>
      <c r="J9829" s="5"/>
      <c r="K9829" s="5"/>
      <c r="L9829" s="5"/>
      <c r="M9829" s="5"/>
      <c r="N9829" s="5"/>
      <c r="O9829" s="5"/>
      <c r="P9829" s="5"/>
      <c r="Q9829" s="5"/>
      <c r="R9829" s="5"/>
      <c r="S9829" s="5"/>
      <c r="T9829" s="5"/>
      <c r="U9829" s="5"/>
      <c r="V9829" s="5"/>
      <c r="W9829" s="5"/>
      <c r="X9829" s="5"/>
      <c r="Y9829" s="5"/>
      <c r="Z9829" s="5"/>
    </row>
    <row r="9830" spans="1:26" ht="15" x14ac:dyDescent="0.25">
      <c r="A9830" s="4" t="s">
        <v>9828</v>
      </c>
      <c r="B9830" s="4" t="s">
        <v>9011</v>
      </c>
      <c r="C9830" s="2" t="str">
        <f ca="1">IFERROR(__xludf.DUMMYFUNCTION("GOOGLETRANSLATE(A9830,""bn"",""en"")"),"Next month we will organize a big family festival where all our relatives will come together")</f>
        <v>Next month we will organize a big family festival where all our relatives will come together</v>
      </c>
      <c r="D9830" s="5"/>
      <c r="E9830" s="5"/>
      <c r="F9830" s="5"/>
      <c r="G9830" s="5"/>
      <c r="H9830" s="5"/>
      <c r="I9830" s="5"/>
      <c r="J9830" s="5"/>
      <c r="K9830" s="5"/>
      <c r="L9830" s="5"/>
      <c r="M9830" s="5"/>
      <c r="N9830" s="5"/>
      <c r="O9830" s="5"/>
      <c r="P9830" s="5"/>
      <c r="Q9830" s="5"/>
      <c r="R9830" s="5"/>
      <c r="S9830" s="5"/>
      <c r="T9830" s="5"/>
      <c r="U9830" s="5"/>
      <c r="V9830" s="5"/>
      <c r="W9830" s="5"/>
      <c r="X9830" s="5"/>
      <c r="Y9830" s="5"/>
      <c r="Z9830" s="5"/>
    </row>
    <row r="9831" spans="1:26" ht="15" x14ac:dyDescent="0.25">
      <c r="A9831" s="4" t="s">
        <v>9829</v>
      </c>
      <c r="B9831" s="4" t="s">
        <v>9011</v>
      </c>
      <c r="C9831" s="2" t="str">
        <f ca="1">IFERROR(__xludf.DUMMYFUNCTION("GOOGLETRANSLATE(A9831,""bn"",""en"")"),"Next month we will organize a big cultural festival where all our dignitaries will come together")</f>
        <v>Next month we will organize a big cultural festival where all our dignitaries will come together</v>
      </c>
      <c r="D9831" s="5"/>
      <c r="E9831" s="5"/>
      <c r="F9831" s="5"/>
      <c r="G9831" s="5"/>
      <c r="H9831" s="5"/>
      <c r="I9831" s="5"/>
      <c r="J9831" s="5"/>
      <c r="K9831" s="5"/>
      <c r="L9831" s="5"/>
      <c r="M9831" s="5"/>
      <c r="N9831" s="5"/>
      <c r="O9831" s="5"/>
      <c r="P9831" s="5"/>
      <c r="Q9831" s="5"/>
      <c r="R9831" s="5"/>
      <c r="S9831" s="5"/>
      <c r="T9831" s="5"/>
      <c r="U9831" s="5"/>
      <c r="V9831" s="5"/>
      <c r="W9831" s="5"/>
      <c r="X9831" s="5"/>
      <c r="Y9831" s="5"/>
      <c r="Z9831" s="5"/>
    </row>
    <row r="9832" spans="1:26" ht="15" x14ac:dyDescent="0.25">
      <c r="A9832" s="4" t="s">
        <v>9830</v>
      </c>
      <c r="B9832" s="4" t="s">
        <v>9011</v>
      </c>
      <c r="C9832" s="2" t="str">
        <f ca="1">IFERROR(__xludf.DUMMYFUNCTION("GOOGLETRANSLATE(A9832,""bn"",""en"")"),"I want to get lost in the storm of colors to break the bonds of thought")</f>
        <v>I want to get lost in the storm of colors to break the bonds of thought</v>
      </c>
      <c r="D9832" s="5"/>
      <c r="E9832" s="5"/>
      <c r="F9832" s="5"/>
      <c r="G9832" s="5"/>
      <c r="H9832" s="5"/>
      <c r="I9832" s="5"/>
      <c r="J9832" s="5"/>
      <c r="K9832" s="5"/>
      <c r="L9832" s="5"/>
      <c r="M9832" s="5"/>
      <c r="N9832" s="5"/>
      <c r="O9832" s="5"/>
      <c r="P9832" s="5"/>
      <c r="Q9832" s="5"/>
      <c r="R9832" s="5"/>
      <c r="S9832" s="5"/>
      <c r="T9832" s="5"/>
      <c r="U9832" s="5"/>
      <c r="V9832" s="5"/>
      <c r="W9832" s="5"/>
      <c r="X9832" s="5"/>
      <c r="Y9832" s="5"/>
      <c r="Z9832" s="5"/>
    </row>
    <row r="9833" spans="1:26" ht="15" x14ac:dyDescent="0.25">
      <c r="A9833" s="4" t="s">
        <v>9831</v>
      </c>
      <c r="B9833" s="4" t="s">
        <v>9011</v>
      </c>
      <c r="C9833" s="2" t="str">
        <f ca="1">IFERROR(__xludf.DUMMYFUNCTION("GOOGLETRANSLATE(A9833,""bn"",""en"")"),"What's the point in life if you can't eat such beautiful food")</f>
        <v>What's the point in life if you can't eat such beautiful food</v>
      </c>
      <c r="D9833" s="5"/>
      <c r="E9833" s="5"/>
      <c r="F9833" s="5"/>
      <c r="G9833" s="5"/>
      <c r="H9833" s="5"/>
      <c r="I9833" s="5"/>
      <c r="J9833" s="5"/>
      <c r="K9833" s="5"/>
      <c r="L9833" s="5"/>
      <c r="M9833" s="5"/>
      <c r="N9833" s="5"/>
      <c r="O9833" s="5"/>
      <c r="P9833" s="5"/>
      <c r="Q9833" s="5"/>
      <c r="R9833" s="5"/>
      <c r="S9833" s="5"/>
      <c r="T9833" s="5"/>
      <c r="U9833" s="5"/>
      <c r="V9833" s="5"/>
      <c r="W9833" s="5"/>
      <c r="X9833" s="5"/>
      <c r="Y9833" s="5"/>
      <c r="Z9833" s="5"/>
    </row>
    <row r="9834" spans="1:26" ht="15" x14ac:dyDescent="0.25">
      <c r="A9834" s="4" t="s">
        <v>9832</v>
      </c>
      <c r="B9834" s="4" t="s">
        <v>9011</v>
      </c>
      <c r="C9834" s="2" t="str">
        <f ca="1">IFERROR(__xludf.DUMMYFUNCTION("GOOGLETRANSLATE(A9834,""bn"",""en"")"),"Tomorrow, I will tell my brother to take me for a walk somewhere, he will scold me in front of everyone, he will take me out in the morning, now I will walk on the sea beach holding his hand.")</f>
        <v>Tomorrow, I will tell my brother to take me for a walk somewhere, he will scold me in front of everyone, he will take me out in the morning, now I will walk on the sea beach holding his hand.</v>
      </c>
      <c r="D9834" s="5"/>
      <c r="E9834" s="5"/>
      <c r="F9834" s="5"/>
      <c r="G9834" s="5"/>
      <c r="H9834" s="5"/>
      <c r="I9834" s="5"/>
      <c r="J9834" s="5"/>
      <c r="K9834" s="5"/>
      <c r="L9834" s="5"/>
      <c r="M9834" s="5"/>
      <c r="N9834" s="5"/>
      <c r="O9834" s="5"/>
      <c r="P9834" s="5"/>
      <c r="Q9834" s="5"/>
      <c r="R9834" s="5"/>
      <c r="S9834" s="5"/>
      <c r="T9834" s="5"/>
      <c r="U9834" s="5"/>
      <c r="V9834" s="5"/>
      <c r="W9834" s="5"/>
      <c r="X9834" s="5"/>
      <c r="Y9834" s="5"/>
      <c r="Z9834" s="5"/>
    </row>
    <row r="9835" spans="1:26" ht="15" x14ac:dyDescent="0.25">
      <c r="A9835" s="4" t="s">
        <v>9833</v>
      </c>
      <c r="B9835" s="4" t="s">
        <v>9011</v>
      </c>
      <c r="C9835" s="2" t="str">
        <f ca="1">IFERROR(__xludf.DUMMYFUNCTION("GOOGLETRANSLATE(A9835,""bn"",""en"")"),"BTS songs will give a new way of thinking about different aspects of life, this new way of thinking will bring positive changes in the life philosophy of fans which will increase happiness.")</f>
        <v>BTS songs will give a new way of thinking about different aspects of life, this new way of thinking will bring positive changes in the life philosophy of fans which will increase happiness.</v>
      </c>
      <c r="D9835" s="5"/>
      <c r="E9835" s="5"/>
      <c r="F9835" s="5"/>
      <c r="G9835" s="5"/>
      <c r="H9835" s="5"/>
      <c r="I9835" s="5"/>
      <c r="J9835" s="5"/>
      <c r="K9835" s="5"/>
      <c r="L9835" s="5"/>
      <c r="M9835" s="5"/>
      <c r="N9835" s="5"/>
      <c r="O9835" s="5"/>
      <c r="P9835" s="5"/>
      <c r="Q9835" s="5"/>
      <c r="R9835" s="5"/>
      <c r="S9835" s="5"/>
      <c r="T9835" s="5"/>
      <c r="U9835" s="5"/>
      <c r="V9835" s="5"/>
      <c r="W9835" s="5"/>
      <c r="X9835" s="5"/>
      <c r="Y9835" s="5"/>
      <c r="Z9835" s="5"/>
    </row>
    <row r="9836" spans="1:26" ht="15" x14ac:dyDescent="0.25">
      <c r="A9836" s="4" t="s">
        <v>9834</v>
      </c>
      <c r="B9836" s="4" t="s">
        <v>9011</v>
      </c>
      <c r="C9836" s="2" t="str">
        <f ca="1">IFERROR(__xludf.DUMMYFUNCTION("GOOGLETRANSLATE(A9836,""bn"",""en"")"),"Money will come one day but don't be disappointed")</f>
        <v>Money will come one day but don't be disappointed</v>
      </c>
      <c r="D9836" s="5"/>
      <c r="E9836" s="5"/>
      <c r="F9836" s="5"/>
      <c r="G9836" s="5"/>
      <c r="H9836" s="5"/>
      <c r="I9836" s="5"/>
      <c r="J9836" s="5"/>
      <c r="K9836" s="5"/>
      <c r="L9836" s="5"/>
      <c r="M9836" s="5"/>
      <c r="N9836" s="5"/>
      <c r="O9836" s="5"/>
      <c r="P9836" s="5"/>
      <c r="Q9836" s="5"/>
      <c r="R9836" s="5"/>
      <c r="S9836" s="5"/>
      <c r="T9836" s="5"/>
      <c r="U9836" s="5"/>
      <c r="V9836" s="5"/>
      <c r="W9836" s="5"/>
      <c r="X9836" s="5"/>
      <c r="Y9836" s="5"/>
      <c r="Z9836" s="5"/>
    </row>
    <row r="9837" spans="1:26" ht="15" x14ac:dyDescent="0.25">
      <c r="A9837" s="4" t="s">
        <v>9835</v>
      </c>
      <c r="B9837" s="4" t="s">
        <v>9011</v>
      </c>
      <c r="C9837" s="2" t="str">
        <f ca="1">IFERROR(__xludf.DUMMYFUNCTION("GOOGLETRANSLATE(A9837,""bn"",""en"")"),"He will go to Dhaka next week")</f>
        <v>He will go to Dhaka next week</v>
      </c>
      <c r="D9837" s="5"/>
      <c r="E9837" s="5"/>
      <c r="F9837" s="5"/>
      <c r="G9837" s="5"/>
      <c r="H9837" s="5"/>
      <c r="I9837" s="5"/>
      <c r="J9837" s="5"/>
      <c r="K9837" s="5"/>
      <c r="L9837" s="5"/>
      <c r="M9837" s="5"/>
      <c r="N9837" s="5"/>
      <c r="O9837" s="5"/>
      <c r="P9837" s="5"/>
      <c r="Q9837" s="5"/>
      <c r="R9837" s="5"/>
      <c r="S9837" s="5"/>
      <c r="T9837" s="5"/>
      <c r="U9837" s="5"/>
      <c r="V9837" s="5"/>
      <c r="W9837" s="5"/>
      <c r="X9837" s="5"/>
      <c r="Y9837" s="5"/>
      <c r="Z9837" s="5"/>
    </row>
    <row r="9838" spans="1:26" ht="15" x14ac:dyDescent="0.25">
      <c r="A9838" s="4" t="s">
        <v>9836</v>
      </c>
      <c r="B9838" s="4" t="s">
        <v>9011</v>
      </c>
      <c r="C9838" s="2" t="str">
        <f ca="1">IFERROR(__xludf.DUMMYFUNCTION("GOOGLETRANSLATE(A9838,""bn"",""en"")"),"The joy of opening the tiffin box will be a special moment in school life")</f>
        <v>The joy of opening the tiffin box will be a special moment in school life</v>
      </c>
      <c r="D9838" s="5"/>
      <c r="E9838" s="5"/>
      <c r="F9838" s="5"/>
      <c r="G9838" s="5"/>
      <c r="H9838" s="5"/>
      <c r="I9838" s="5"/>
      <c r="J9838" s="5"/>
      <c r="K9838" s="5"/>
      <c r="L9838" s="5"/>
      <c r="M9838" s="5"/>
      <c r="N9838" s="5"/>
      <c r="O9838" s="5"/>
      <c r="P9838" s="5"/>
      <c r="Q9838" s="5"/>
      <c r="R9838" s="5"/>
      <c r="S9838" s="5"/>
      <c r="T9838" s="5"/>
      <c r="U9838" s="5"/>
      <c r="V9838" s="5"/>
      <c r="W9838" s="5"/>
      <c r="X9838" s="5"/>
      <c r="Y9838" s="5"/>
      <c r="Z9838" s="5"/>
    </row>
    <row r="9839" spans="1:26" ht="15" x14ac:dyDescent="0.25">
      <c r="A9839" s="4" t="s">
        <v>9837</v>
      </c>
      <c r="B9839" s="4" t="s">
        <v>9011</v>
      </c>
      <c r="C9839" s="2" t="str">
        <f ca="1">IFERROR(__xludf.DUMMYFUNCTION("GOOGLETRANSLATE(A9839,""bn"",""en"")"),"We will continue to obtain practical commitments on all necessary preparations while the project is on its way to completion")</f>
        <v>We will continue to obtain practical commitments on all necessary preparations while the project is on its way to completion</v>
      </c>
      <c r="D9839" s="5"/>
      <c r="E9839" s="5"/>
      <c r="F9839" s="5"/>
      <c r="G9839" s="5"/>
      <c r="H9839" s="5"/>
      <c r="I9839" s="5"/>
      <c r="J9839" s="5"/>
      <c r="K9839" s="5"/>
      <c r="L9839" s="5"/>
      <c r="M9839" s="5"/>
      <c r="N9839" s="5"/>
      <c r="O9839" s="5"/>
      <c r="P9839" s="5"/>
      <c r="Q9839" s="5"/>
      <c r="R9839" s="5"/>
      <c r="S9839" s="5"/>
      <c r="T9839" s="5"/>
      <c r="U9839" s="5"/>
      <c r="V9839" s="5"/>
      <c r="W9839" s="5"/>
      <c r="X9839" s="5"/>
      <c r="Y9839" s="5"/>
      <c r="Z9839" s="5"/>
    </row>
    <row r="9840" spans="1:26" ht="15" x14ac:dyDescent="0.25">
      <c r="A9840" s="4" t="s">
        <v>9838</v>
      </c>
      <c r="B9840" s="4" t="s">
        <v>9011</v>
      </c>
      <c r="C9840" s="2" t="str">
        <f ca="1">IFERROR(__xludf.DUMMYFUNCTION("GOOGLETRANSLATE(A9840,""bn"",""en"")"),"Tomorrow we will start a new project that will bring success to our company")</f>
        <v>Tomorrow we will start a new project that will bring success to our company</v>
      </c>
      <c r="D9840" s="5"/>
      <c r="E9840" s="5"/>
      <c r="F9840" s="5"/>
      <c r="G9840" s="5"/>
      <c r="H9840" s="5"/>
      <c r="I9840" s="5"/>
      <c r="J9840" s="5"/>
      <c r="K9840" s="5"/>
      <c r="L9840" s="5"/>
      <c r="M9840" s="5"/>
      <c r="N9840" s="5"/>
      <c r="O9840" s="5"/>
      <c r="P9840" s="5"/>
      <c r="Q9840" s="5"/>
      <c r="R9840" s="5"/>
      <c r="S9840" s="5"/>
      <c r="T9840" s="5"/>
      <c r="U9840" s="5"/>
      <c r="V9840" s="5"/>
      <c r="W9840" s="5"/>
      <c r="X9840" s="5"/>
      <c r="Y9840" s="5"/>
      <c r="Z9840" s="5"/>
    </row>
    <row r="9841" spans="1:26" ht="15" x14ac:dyDescent="0.25">
      <c r="A9841" s="4" t="s">
        <v>9839</v>
      </c>
      <c r="B9841" s="4" t="s">
        <v>9011</v>
      </c>
      <c r="C9841" s="2" t="str">
        <f ca="1">IFERROR(__xludf.DUMMYFUNCTION("GOOGLETRANSLATE(A9841,""bn"",""en"")"),"Immerse yourself in the diverse storylines of Thriller Comedy Mystery or Historical Korean Drama.")</f>
        <v>Immerse yourself in the diverse storylines of Thriller Comedy Mystery or Historical Korean Drama.</v>
      </c>
      <c r="D9841" s="5"/>
      <c r="E9841" s="5"/>
      <c r="F9841" s="5"/>
      <c r="G9841" s="5"/>
      <c r="H9841" s="5"/>
      <c r="I9841" s="5"/>
      <c r="J9841" s="5"/>
      <c r="K9841" s="5"/>
      <c r="L9841" s="5"/>
      <c r="M9841" s="5"/>
      <c r="N9841" s="5"/>
      <c r="O9841" s="5"/>
      <c r="P9841" s="5"/>
      <c r="Q9841" s="5"/>
      <c r="R9841" s="5"/>
      <c r="S9841" s="5"/>
      <c r="T9841" s="5"/>
      <c r="U9841" s="5"/>
      <c r="V9841" s="5"/>
      <c r="W9841" s="5"/>
      <c r="X9841" s="5"/>
      <c r="Y9841" s="5"/>
      <c r="Z9841" s="5"/>
    </row>
    <row r="9842" spans="1:26" ht="15" x14ac:dyDescent="0.25">
      <c r="A9842" s="4" t="s">
        <v>9840</v>
      </c>
      <c r="B9842" s="4" t="s">
        <v>9011</v>
      </c>
      <c r="C9842" s="2" t="str">
        <f ca="1">IFERROR(__xludf.DUMMYFUNCTION("GOOGLETRANSLATE(A9842,""bn"",""en"")"),"Reading, writing and Vidya Maa Saraswati festival where the students will be filled with enthusiasm and enjoy the joy")</f>
        <v>Reading, writing and Vidya Maa Saraswati festival where the students will be filled with enthusiasm and enjoy the joy</v>
      </c>
      <c r="D9842" s="5"/>
      <c r="E9842" s="5"/>
      <c r="F9842" s="5"/>
      <c r="G9842" s="5"/>
      <c r="H9842" s="5"/>
      <c r="I9842" s="5"/>
      <c r="J9842" s="5"/>
      <c r="K9842" s="5"/>
      <c r="L9842" s="5"/>
      <c r="M9842" s="5"/>
      <c r="N9842" s="5"/>
      <c r="O9842" s="5"/>
      <c r="P9842" s="5"/>
      <c r="Q9842" s="5"/>
      <c r="R9842" s="5"/>
      <c r="S9842" s="5"/>
      <c r="T9842" s="5"/>
      <c r="U9842" s="5"/>
      <c r="V9842" s="5"/>
      <c r="W9842" s="5"/>
      <c r="X9842" s="5"/>
      <c r="Y9842" s="5"/>
      <c r="Z9842" s="5"/>
    </row>
    <row r="9843" spans="1:26" ht="15" x14ac:dyDescent="0.25">
      <c r="A9843" s="4" t="s">
        <v>9841</v>
      </c>
      <c r="B9843" s="4" t="s">
        <v>9011</v>
      </c>
      <c r="C9843" s="2" t="str">
        <f ca="1">IFERROR(__xludf.DUMMYFUNCTION("GOOGLETRANSLATE(A9843,""bn"",""en"")"),"The specialty of Friday prayer will be talking with Allah for a while in the gap of office work")</f>
        <v>The specialty of Friday prayer will be talking with Allah for a while in the gap of office work</v>
      </c>
      <c r="D9843" s="5"/>
      <c r="E9843" s="5"/>
      <c r="F9843" s="5"/>
      <c r="G9843" s="5"/>
      <c r="H9843" s="5"/>
      <c r="I9843" s="5"/>
      <c r="J9843" s="5"/>
      <c r="K9843" s="5"/>
      <c r="L9843" s="5"/>
      <c r="M9843" s="5"/>
      <c r="N9843" s="5"/>
      <c r="O9843" s="5"/>
      <c r="P9843" s="5"/>
      <c r="Q9843" s="5"/>
      <c r="R9843" s="5"/>
      <c r="S9843" s="5"/>
      <c r="T9843" s="5"/>
      <c r="U9843" s="5"/>
      <c r="V9843" s="5"/>
      <c r="W9843" s="5"/>
      <c r="X9843" s="5"/>
      <c r="Y9843" s="5"/>
      <c r="Z9843" s="5"/>
    </row>
    <row r="9844" spans="1:26" ht="15" x14ac:dyDescent="0.25">
      <c r="A9844" s="4" t="s">
        <v>9842</v>
      </c>
      <c r="B9844" s="4" t="s">
        <v>9011</v>
      </c>
      <c r="C9844" s="2" t="str">
        <f ca="1">IFERROR(__xludf.DUMMYFUNCTION("GOOGLETRANSLATE(A9844,""bn"",""en"")"),"There will be no comfort like sitting under a huge tree under the sky and reading a book")</f>
        <v>There will be no comfort like sitting under a huge tree under the sky and reading a book</v>
      </c>
      <c r="D9844" s="5"/>
      <c r="E9844" s="5"/>
      <c r="F9844" s="5"/>
      <c r="G9844" s="5"/>
      <c r="H9844" s="5"/>
      <c r="I9844" s="5"/>
      <c r="J9844" s="5"/>
      <c r="K9844" s="5"/>
      <c r="L9844" s="5"/>
      <c r="M9844" s="5"/>
      <c r="N9844" s="5"/>
      <c r="O9844" s="5"/>
      <c r="P9844" s="5"/>
      <c r="Q9844" s="5"/>
      <c r="R9844" s="5"/>
      <c r="S9844" s="5"/>
      <c r="T9844" s="5"/>
      <c r="U9844" s="5"/>
      <c r="V9844" s="5"/>
      <c r="W9844" s="5"/>
      <c r="X9844" s="5"/>
      <c r="Y9844" s="5"/>
      <c r="Z9844" s="5"/>
    </row>
    <row r="9845" spans="1:26" ht="15" x14ac:dyDescent="0.25">
      <c r="A9845" s="4" t="s">
        <v>9843</v>
      </c>
      <c r="B9845" s="4" t="s">
        <v>9011</v>
      </c>
      <c r="C9845" s="2" t="str">
        <f ca="1">IFERROR(__xludf.DUMMYFUNCTION("GOOGLETRANSLATE(A9845,""bn"",""en"")"),"He will publish an important paper on biotechnology next week")</f>
        <v>He will publish an important paper on biotechnology next week</v>
      </c>
      <c r="D9845" s="5"/>
      <c r="E9845" s="5"/>
      <c r="F9845" s="5"/>
      <c r="G9845" s="5"/>
      <c r="H9845" s="5"/>
      <c r="I9845" s="5"/>
      <c r="J9845" s="5"/>
      <c r="K9845" s="5"/>
      <c r="L9845" s="5"/>
      <c r="M9845" s="5"/>
      <c r="N9845" s="5"/>
      <c r="O9845" s="5"/>
      <c r="P9845" s="5"/>
      <c r="Q9845" s="5"/>
      <c r="R9845" s="5"/>
      <c r="S9845" s="5"/>
      <c r="T9845" s="5"/>
      <c r="U9845" s="5"/>
      <c r="V9845" s="5"/>
      <c r="W9845" s="5"/>
      <c r="X9845" s="5"/>
      <c r="Y9845" s="5"/>
      <c r="Z9845" s="5"/>
    </row>
    <row r="9846" spans="1:26" ht="15" x14ac:dyDescent="0.25">
      <c r="A9846" s="4" t="s">
        <v>9844</v>
      </c>
      <c r="B9846" s="4" t="s">
        <v>9011</v>
      </c>
      <c r="C9846" s="2" t="str">
        <f ca="1">IFERROR(__xludf.DUMMYFUNCTION("GOOGLETRANSLATE(A9846,""bn"",""en"")"),"I dedicate this promotion to my family and I would do nothing without their support.")</f>
        <v>I dedicate this promotion to my family and I would do nothing without their support.</v>
      </c>
      <c r="D9846" s="5"/>
      <c r="E9846" s="5"/>
      <c r="F9846" s="5"/>
      <c r="G9846" s="5"/>
      <c r="H9846" s="5"/>
      <c r="I9846" s="5"/>
      <c r="J9846" s="5"/>
      <c r="K9846" s="5"/>
      <c r="L9846" s="5"/>
      <c r="M9846" s="5"/>
      <c r="N9846" s="5"/>
      <c r="O9846" s="5"/>
      <c r="P9846" s="5"/>
      <c r="Q9846" s="5"/>
      <c r="R9846" s="5"/>
      <c r="S9846" s="5"/>
      <c r="T9846" s="5"/>
      <c r="U9846" s="5"/>
      <c r="V9846" s="5"/>
      <c r="W9846" s="5"/>
      <c r="X9846" s="5"/>
      <c r="Y9846" s="5"/>
      <c r="Z9846" s="5"/>
    </row>
    <row r="9847" spans="1:26" ht="15" x14ac:dyDescent="0.25">
      <c r="A9847" s="4" t="s">
        <v>9845</v>
      </c>
      <c r="B9847" s="4" t="s">
        <v>9011</v>
      </c>
      <c r="C9847" s="2" t="str">
        <f ca="1">IFERROR(__xludf.DUMMYFUNCTION("GOOGLETRANSLATE(A9847,""bn"",""en"")"),"After completing B.Sc studies, Master's will want to move outside the country In Sha Allah")</f>
        <v>After completing B.Sc studies, Master's will want to move outside the country In Sha Allah</v>
      </c>
      <c r="D9847" s="5"/>
      <c r="E9847" s="5"/>
      <c r="F9847" s="5"/>
      <c r="G9847" s="5"/>
      <c r="H9847" s="5"/>
      <c r="I9847" s="5"/>
      <c r="J9847" s="5"/>
      <c r="K9847" s="5"/>
      <c r="L9847" s="5"/>
      <c r="M9847" s="5"/>
      <c r="N9847" s="5"/>
      <c r="O9847" s="5"/>
      <c r="P9847" s="5"/>
      <c r="Q9847" s="5"/>
      <c r="R9847" s="5"/>
      <c r="S9847" s="5"/>
      <c r="T9847" s="5"/>
      <c r="U9847" s="5"/>
      <c r="V9847" s="5"/>
      <c r="W9847" s="5"/>
      <c r="X9847" s="5"/>
      <c r="Y9847" s="5"/>
      <c r="Z9847" s="5"/>
    </row>
    <row r="9848" spans="1:26" ht="15" x14ac:dyDescent="0.25">
      <c r="A9848" s="4" t="s">
        <v>9846</v>
      </c>
      <c r="B9848" s="4" t="s">
        <v>9011</v>
      </c>
      <c r="C9848" s="2" t="str">
        <f ca="1">IFERROR(__xludf.DUMMYFUNCTION("GOOGLETRANSLATE(A9848,""bn"",""en"")"),"In future I will be the CEO of a big company where I will create employment for many people")</f>
        <v>In future I will be the CEO of a big company where I will create employment for many people</v>
      </c>
      <c r="D9848" s="5"/>
      <c r="E9848" s="5"/>
      <c r="F9848" s="5"/>
      <c r="G9848" s="5"/>
      <c r="H9848" s="5"/>
      <c r="I9848" s="5"/>
      <c r="J9848" s="5"/>
      <c r="K9848" s="5"/>
      <c r="L9848" s="5"/>
      <c r="M9848" s="5"/>
      <c r="N9848" s="5"/>
      <c r="O9848" s="5"/>
      <c r="P9848" s="5"/>
      <c r="Q9848" s="5"/>
      <c r="R9848" s="5"/>
      <c r="S9848" s="5"/>
      <c r="T9848" s="5"/>
      <c r="U9848" s="5"/>
      <c r="V9848" s="5"/>
      <c r="W9848" s="5"/>
      <c r="X9848" s="5"/>
      <c r="Y9848" s="5"/>
      <c r="Z9848" s="5"/>
    </row>
    <row r="9849" spans="1:26" ht="15" x14ac:dyDescent="0.25">
      <c r="A9849" s="4" t="s">
        <v>9847</v>
      </c>
      <c r="B9849" s="4" t="s">
        <v>9011</v>
      </c>
      <c r="C9849" s="2" t="str">
        <f ca="1">IFERROR(__xludf.DUMMYFUNCTION("GOOGLETRANSLATE(A9849,""bn"",""en"")"),"Eating food in the hands of grandpa will feel like eating with grandpa in the same way as a child")</f>
        <v>Eating food in the hands of grandpa will feel like eating with grandpa in the same way as a child</v>
      </c>
      <c r="D9849" s="5"/>
      <c r="E9849" s="5"/>
      <c r="F9849" s="5"/>
      <c r="G9849" s="5"/>
      <c r="H9849" s="5"/>
      <c r="I9849" s="5"/>
      <c r="J9849" s="5"/>
      <c r="K9849" s="5"/>
      <c r="L9849" s="5"/>
      <c r="M9849" s="5"/>
      <c r="N9849" s="5"/>
      <c r="O9849" s="5"/>
      <c r="P9849" s="5"/>
      <c r="Q9849" s="5"/>
      <c r="R9849" s="5"/>
      <c r="S9849" s="5"/>
      <c r="T9849" s="5"/>
      <c r="U9849" s="5"/>
      <c r="V9849" s="5"/>
      <c r="W9849" s="5"/>
      <c r="X9849" s="5"/>
      <c r="Y9849" s="5"/>
      <c r="Z9849" s="5"/>
    </row>
    <row r="9850" spans="1:26" ht="15" x14ac:dyDescent="0.25">
      <c r="A9850" s="4" t="s">
        <v>9848</v>
      </c>
      <c r="B9850" s="4" t="s">
        <v>9011</v>
      </c>
      <c r="C9850" s="2" t="str">
        <f ca="1">IFERROR(__xludf.DUMMYFUNCTION("GOOGLETRANSLATE(A9850,""bn"",""en"")"),"This picture will seem like a magical world of cinema")</f>
        <v>This picture will seem like a magical world of cinema</v>
      </c>
      <c r="D9850" s="5"/>
      <c r="E9850" s="5"/>
      <c r="F9850" s="5"/>
      <c r="G9850" s="5"/>
      <c r="H9850" s="5"/>
      <c r="I9850" s="5"/>
      <c r="J9850" s="5"/>
      <c r="K9850" s="5"/>
      <c r="L9850" s="5"/>
      <c r="M9850" s="5"/>
      <c r="N9850" s="5"/>
      <c r="O9850" s="5"/>
      <c r="P9850" s="5"/>
      <c r="Q9850" s="5"/>
      <c r="R9850" s="5"/>
      <c r="S9850" s="5"/>
      <c r="T9850" s="5"/>
      <c r="U9850" s="5"/>
      <c r="V9850" s="5"/>
      <c r="W9850" s="5"/>
      <c r="X9850" s="5"/>
      <c r="Y9850" s="5"/>
      <c r="Z9850" s="5"/>
    </row>
    <row r="9851" spans="1:26" ht="15" x14ac:dyDescent="0.25">
      <c r="A9851" s="4" t="s">
        <v>9849</v>
      </c>
      <c r="B9851" s="4" t="s">
        <v>9011</v>
      </c>
      <c r="C9851" s="2" t="str">
        <f ca="1">IFERROR(__xludf.DUMMYFUNCTION("GOOGLETRANSLATE(A9851,""bn"",""en"")"),"The melody and magic of Bengal Pahela Boishakh Let's keep Bengali culture alive Happy New Year")</f>
        <v>The melody and magic of Bengal Pahela Boishakh Let's keep Bengali culture alive Happy New Year</v>
      </c>
      <c r="D9851" s="5"/>
      <c r="E9851" s="5"/>
      <c r="F9851" s="5"/>
      <c r="G9851" s="5"/>
      <c r="H9851" s="5"/>
      <c r="I9851" s="5"/>
      <c r="J9851" s="5"/>
      <c r="K9851" s="5"/>
      <c r="L9851" s="5"/>
      <c r="M9851" s="5"/>
      <c r="N9851" s="5"/>
      <c r="O9851" s="5"/>
      <c r="P9851" s="5"/>
      <c r="Q9851" s="5"/>
      <c r="R9851" s="5"/>
      <c r="S9851" s="5"/>
      <c r="T9851" s="5"/>
      <c r="U9851" s="5"/>
      <c r="V9851" s="5"/>
      <c r="W9851" s="5"/>
      <c r="X9851" s="5"/>
      <c r="Y9851" s="5"/>
      <c r="Z9851" s="5"/>
    </row>
    <row r="9852" spans="1:26" ht="15" x14ac:dyDescent="0.25">
      <c r="A9852" s="4" t="s">
        <v>9850</v>
      </c>
      <c r="B9852" s="4" t="s">
        <v>9011</v>
      </c>
      <c r="C9852" s="2" t="str">
        <f ca="1">IFERROR(__xludf.DUMMYFUNCTION("GOOGLETRANSLATE(A9852,""bn"",""en"")"),"After some time, the familiar environment of the home will continue the wave of peace in the mind of the parents")</f>
        <v>After some time, the familiar environment of the home will continue the wave of peace in the mind of the parents</v>
      </c>
      <c r="D9852" s="5"/>
      <c r="E9852" s="5"/>
      <c r="F9852" s="5"/>
      <c r="G9852" s="5"/>
      <c r="H9852" s="5"/>
      <c r="I9852" s="5"/>
      <c r="J9852" s="5"/>
      <c r="K9852" s="5"/>
      <c r="L9852" s="5"/>
      <c r="M9852" s="5"/>
      <c r="N9852" s="5"/>
      <c r="O9852" s="5"/>
      <c r="P9852" s="5"/>
      <c r="Q9852" s="5"/>
      <c r="R9852" s="5"/>
      <c r="S9852" s="5"/>
      <c r="T9852" s="5"/>
      <c r="U9852" s="5"/>
      <c r="V9852" s="5"/>
      <c r="W9852" s="5"/>
      <c r="X9852" s="5"/>
      <c r="Y9852" s="5"/>
      <c r="Z9852" s="5"/>
    </row>
    <row r="9853" spans="1:26" ht="15" x14ac:dyDescent="0.25">
      <c r="A9853" s="4" t="s">
        <v>9851</v>
      </c>
      <c r="B9853" s="4" t="s">
        <v>9011</v>
      </c>
      <c r="C9853" s="2" t="str">
        <f ca="1">IFERROR(__xludf.DUMMYFUNCTION("GOOGLETRANSLATE(A9853,""bn"",""en"")"),"Tomorrow we will do a scientific study on better quality education system")</f>
        <v>Tomorrow we will do a scientific study on better quality education system</v>
      </c>
      <c r="D9853" s="5"/>
      <c r="E9853" s="5"/>
      <c r="F9853" s="5"/>
      <c r="G9853" s="5"/>
      <c r="H9853" s="5"/>
      <c r="I9853" s="5"/>
      <c r="J9853" s="5"/>
      <c r="K9853" s="5"/>
      <c r="L9853" s="5"/>
      <c r="M9853" s="5"/>
      <c r="N9853" s="5"/>
      <c r="O9853" s="5"/>
      <c r="P9853" s="5"/>
      <c r="Q9853" s="5"/>
      <c r="R9853" s="5"/>
      <c r="S9853" s="5"/>
      <c r="T9853" s="5"/>
      <c r="U9853" s="5"/>
      <c r="V9853" s="5"/>
      <c r="W9853" s="5"/>
      <c r="X9853" s="5"/>
      <c r="Y9853" s="5"/>
      <c r="Z9853" s="5"/>
    </row>
    <row r="9854" spans="1:26" ht="15" x14ac:dyDescent="0.25">
      <c r="A9854" s="4" t="s">
        <v>9852</v>
      </c>
      <c r="B9854" s="4" t="s">
        <v>9011</v>
      </c>
      <c r="C9854" s="2" t="str">
        <f ca="1">IFERROR(__xludf.DUMMYFUNCTION("GOOGLETRANSLATE(A9854,""bn"",""en"")"),"Let's go eat tonight at your favorite place")</f>
        <v>Let's go eat tonight at your favorite place</v>
      </c>
      <c r="D9854" s="5"/>
      <c r="E9854" s="5"/>
      <c r="F9854" s="5"/>
      <c r="G9854" s="5"/>
      <c r="H9854" s="5"/>
      <c r="I9854" s="5"/>
      <c r="J9854" s="5"/>
      <c r="K9854" s="5"/>
      <c r="L9854" s="5"/>
      <c r="M9854" s="5"/>
      <c r="N9854" s="5"/>
      <c r="O9854" s="5"/>
      <c r="P9854" s="5"/>
      <c r="Q9854" s="5"/>
      <c r="R9854" s="5"/>
      <c r="S9854" s="5"/>
      <c r="T9854" s="5"/>
      <c r="U9854" s="5"/>
      <c r="V9854" s="5"/>
      <c r="W9854" s="5"/>
      <c r="X9854" s="5"/>
      <c r="Y9854" s="5"/>
      <c r="Z9854" s="5"/>
    </row>
    <row r="9855" spans="1:26" ht="15" x14ac:dyDescent="0.25">
      <c r="A9855" s="4" t="s">
        <v>9853</v>
      </c>
      <c r="B9855" s="4" t="s">
        <v>9011</v>
      </c>
      <c r="C9855" s="2" t="str">
        <f ca="1">IFERROR(__xludf.DUMMYFUNCTION("GOOGLETRANSLATE(A9855,""bn"",""en"")"),"New responsibilities new opportunities I will be ready for this new chapter of my career")</f>
        <v>New responsibilities new opportunities I will be ready for this new chapter of my career</v>
      </c>
      <c r="D9855" s="5"/>
      <c r="E9855" s="5"/>
      <c r="F9855" s="5"/>
      <c r="G9855" s="5"/>
      <c r="H9855" s="5"/>
      <c r="I9855" s="5"/>
      <c r="J9855" s="5"/>
      <c r="K9855" s="5"/>
      <c r="L9855" s="5"/>
      <c r="M9855" s="5"/>
      <c r="N9855" s="5"/>
      <c r="O9855" s="5"/>
      <c r="P9855" s="5"/>
      <c r="Q9855" s="5"/>
      <c r="R9855" s="5"/>
      <c r="S9855" s="5"/>
      <c r="T9855" s="5"/>
      <c r="U9855" s="5"/>
      <c r="V9855" s="5"/>
      <c r="W9855" s="5"/>
      <c r="X9855" s="5"/>
      <c r="Y9855" s="5"/>
      <c r="Z9855" s="5"/>
    </row>
    <row r="9856" spans="1:26" ht="15" x14ac:dyDescent="0.25">
      <c r="A9856" s="4" t="s">
        <v>9854</v>
      </c>
      <c r="B9856" s="4" t="s">
        <v>9011</v>
      </c>
      <c r="C9856" s="2" t="str">
        <f ca="1">IFERROR(__xludf.DUMMYFUNCTION("GOOGLETRANSLATE(A9856,""bn"",""en"")"),"You can prepare new plans for school tomorrow")</f>
        <v>You can prepare new plans for school tomorrow</v>
      </c>
      <c r="D9856" s="5"/>
      <c r="E9856" s="5"/>
      <c r="F9856" s="5"/>
      <c r="G9856" s="5"/>
      <c r="H9856" s="5"/>
      <c r="I9856" s="5"/>
      <c r="J9856" s="5"/>
      <c r="K9856" s="5"/>
      <c r="L9856" s="5"/>
      <c r="M9856" s="5"/>
      <c r="N9856" s="5"/>
      <c r="O9856" s="5"/>
      <c r="P9856" s="5"/>
      <c r="Q9856" s="5"/>
      <c r="R9856" s="5"/>
      <c r="S9856" s="5"/>
      <c r="T9856" s="5"/>
      <c r="U9856" s="5"/>
      <c r="V9856" s="5"/>
      <c r="W9856" s="5"/>
      <c r="X9856" s="5"/>
      <c r="Y9856" s="5"/>
      <c r="Z9856" s="5"/>
    </row>
    <row r="9857" spans="1:26" ht="15" x14ac:dyDescent="0.25">
      <c r="A9857" s="4" t="s">
        <v>9855</v>
      </c>
      <c r="B9857" s="4" t="s">
        <v>9011</v>
      </c>
      <c r="C9857" s="2" t="str">
        <f ca="1">IFERROR(__xludf.DUMMYFUNCTION("GOOGLETRANSLATE(A9857,""bn"",""en"")"),"Going with my friends will be one of the oldest paths of my dreams")</f>
        <v>Going with my friends will be one of the oldest paths of my dreams</v>
      </c>
      <c r="D9857" s="5"/>
      <c r="E9857" s="5"/>
      <c r="F9857" s="5"/>
      <c r="G9857" s="5"/>
      <c r="H9857" s="5"/>
      <c r="I9857" s="5"/>
      <c r="J9857" s="5"/>
      <c r="K9857" s="5"/>
      <c r="L9857" s="5"/>
      <c r="M9857" s="5"/>
      <c r="N9857" s="5"/>
      <c r="O9857" s="5"/>
      <c r="P9857" s="5"/>
      <c r="Q9857" s="5"/>
      <c r="R9857" s="5"/>
      <c r="S9857" s="5"/>
      <c r="T9857" s="5"/>
      <c r="U9857" s="5"/>
      <c r="V9857" s="5"/>
      <c r="W9857" s="5"/>
      <c r="X9857" s="5"/>
      <c r="Y9857" s="5"/>
      <c r="Z9857" s="5"/>
    </row>
    <row r="9858" spans="1:26" ht="15" x14ac:dyDescent="0.25">
      <c r="A9858" s="4" t="s">
        <v>9856</v>
      </c>
      <c r="B9858" s="4" t="s">
        <v>9011</v>
      </c>
      <c r="C9858" s="2" t="str">
        <f ca="1">IFERROR(__xludf.DUMMYFUNCTION("GOOGLETRANSLATE(A9858,""bn"",""en"")"),"He will be singing tomorrow")</f>
        <v>He will be singing tomorrow</v>
      </c>
      <c r="D9858" s="5"/>
      <c r="E9858" s="5"/>
      <c r="F9858" s="5"/>
      <c r="G9858" s="5"/>
      <c r="H9858" s="5"/>
      <c r="I9858" s="5"/>
      <c r="J9858" s="5"/>
      <c r="K9858" s="5"/>
      <c r="L9858" s="5"/>
      <c r="M9858" s="5"/>
      <c r="N9858" s="5"/>
      <c r="O9858" s="5"/>
      <c r="P9858" s="5"/>
      <c r="Q9858" s="5"/>
      <c r="R9858" s="5"/>
      <c r="S9858" s="5"/>
      <c r="T9858" s="5"/>
      <c r="U9858" s="5"/>
      <c r="V9858" s="5"/>
      <c r="W9858" s="5"/>
      <c r="X9858" s="5"/>
      <c r="Y9858" s="5"/>
      <c r="Z9858" s="5"/>
    </row>
    <row r="9859" spans="1:26" ht="15" x14ac:dyDescent="0.25">
      <c r="A9859" s="4" t="s">
        <v>9857</v>
      </c>
      <c r="B9859" s="4" t="s">
        <v>9011</v>
      </c>
      <c r="C9859" s="2" t="str">
        <f ca="1">IFERROR(__xludf.DUMMYFUNCTION("GOOGLETRANSLATE(A9859,""bn"",""en"")"),"We will continue to prepare for the morning")</f>
        <v>We will continue to prepare for the morning</v>
      </c>
      <c r="D9859" s="5"/>
      <c r="E9859" s="5"/>
      <c r="F9859" s="5"/>
      <c r="G9859" s="5"/>
      <c r="H9859" s="5"/>
      <c r="I9859" s="5"/>
      <c r="J9859" s="5"/>
      <c r="K9859" s="5"/>
      <c r="L9859" s="5"/>
      <c r="M9859" s="5"/>
      <c r="N9859" s="5"/>
      <c r="O9859" s="5"/>
      <c r="P9859" s="5"/>
      <c r="Q9859" s="5"/>
      <c r="R9859" s="5"/>
      <c r="S9859" s="5"/>
      <c r="T9859" s="5"/>
      <c r="U9859" s="5"/>
      <c r="V9859" s="5"/>
      <c r="W9859" s="5"/>
      <c r="X9859" s="5"/>
      <c r="Y9859" s="5"/>
      <c r="Z9859" s="5"/>
    </row>
    <row r="9860" spans="1:26" ht="15" x14ac:dyDescent="0.25">
      <c r="A9860" s="4" t="s">
        <v>9858</v>
      </c>
      <c r="B9860" s="4" t="s">
        <v>9011</v>
      </c>
      <c r="C9860" s="2" t="str">
        <f ca="1">IFERROR(__xludf.DUMMYFUNCTION("GOOGLETRANSLATE(A9860,""bn"",""en"")"),"They will enroll in a new sports class next month")</f>
        <v>They will enroll in a new sports class next month</v>
      </c>
      <c r="D9860" s="5"/>
      <c r="E9860" s="5"/>
      <c r="F9860" s="5"/>
      <c r="G9860" s="5"/>
      <c r="H9860" s="5"/>
      <c r="I9860" s="5"/>
      <c r="J9860" s="5"/>
      <c r="K9860" s="5"/>
      <c r="L9860" s="5"/>
      <c r="M9860" s="5"/>
      <c r="N9860" s="5"/>
      <c r="O9860" s="5"/>
      <c r="P9860" s="5"/>
      <c r="Q9860" s="5"/>
      <c r="R9860" s="5"/>
      <c r="S9860" s="5"/>
      <c r="T9860" s="5"/>
      <c r="U9860" s="5"/>
      <c r="V9860" s="5"/>
      <c r="W9860" s="5"/>
      <c r="X9860" s="5"/>
      <c r="Y9860" s="5"/>
      <c r="Z9860" s="5"/>
    </row>
    <row r="9861" spans="1:26" ht="15" x14ac:dyDescent="0.25">
      <c r="A9861" s="4" t="s">
        <v>9859</v>
      </c>
      <c r="B9861" s="4" t="s">
        <v>9011</v>
      </c>
      <c r="C9861" s="2" t="str">
        <f ca="1">IFERROR(__xludf.DUMMYFUNCTION("GOOGLETRANSLATE(A9861,""bn"",""en"")"),"I will publish an article on better data collection methods tomorrow")</f>
        <v>I will publish an article on better data collection methods tomorrow</v>
      </c>
      <c r="D9861" s="5"/>
      <c r="E9861" s="5"/>
      <c r="F9861" s="5"/>
      <c r="G9861" s="5"/>
      <c r="H9861" s="5"/>
      <c r="I9861" s="5"/>
      <c r="J9861" s="5"/>
      <c r="K9861" s="5"/>
      <c r="L9861" s="5"/>
      <c r="M9861" s="5"/>
      <c r="N9861" s="5"/>
      <c r="O9861" s="5"/>
      <c r="P9861" s="5"/>
      <c r="Q9861" s="5"/>
      <c r="R9861" s="5"/>
      <c r="S9861" s="5"/>
      <c r="T9861" s="5"/>
      <c r="U9861" s="5"/>
      <c r="V9861" s="5"/>
      <c r="W9861" s="5"/>
      <c r="X9861" s="5"/>
      <c r="Y9861" s="5"/>
      <c r="Z9861" s="5"/>
    </row>
    <row r="9862" spans="1:26" ht="15" x14ac:dyDescent="0.25">
      <c r="A9862" s="4" t="s">
        <v>9860</v>
      </c>
      <c r="B9862" s="4" t="s">
        <v>9011</v>
      </c>
      <c r="C9862" s="2" t="str">
        <f ca="1">IFERROR(__xludf.DUMMYFUNCTION("GOOGLETRANSLATE(A9862,""bn"",""en"")"),"Next year we will buy a new house which will be our dream house")</f>
        <v>Next year we will buy a new house which will be our dream house</v>
      </c>
      <c r="D9862" s="5"/>
      <c r="E9862" s="5"/>
      <c r="F9862" s="5"/>
      <c r="G9862" s="5"/>
      <c r="H9862" s="5"/>
      <c r="I9862" s="5"/>
      <c r="J9862" s="5"/>
      <c r="K9862" s="5"/>
      <c r="L9862" s="5"/>
      <c r="M9862" s="5"/>
      <c r="N9862" s="5"/>
      <c r="O9862" s="5"/>
      <c r="P9862" s="5"/>
      <c r="Q9862" s="5"/>
      <c r="R9862" s="5"/>
      <c r="S9862" s="5"/>
      <c r="T9862" s="5"/>
      <c r="U9862" s="5"/>
      <c r="V9862" s="5"/>
      <c r="W9862" s="5"/>
      <c r="X9862" s="5"/>
      <c r="Y9862" s="5"/>
      <c r="Z9862" s="5"/>
    </row>
    <row r="9863" spans="1:26" ht="15" x14ac:dyDescent="0.25">
      <c r="A9863" s="4" t="s">
        <v>9861</v>
      </c>
      <c r="B9863" s="4" t="s">
        <v>9011</v>
      </c>
      <c r="C9863" s="2" t="str">
        <f ca="1">IFERROR(__xludf.DUMMYFUNCTION("GOOGLETRANSLATE(A9863,""bn"",""en"")"),"New clothes sweet food with relatives this joy of Eid will be unforgettable Eid Mubarak")</f>
        <v>New clothes sweet food with relatives this joy of Eid will be unforgettable Eid Mubarak</v>
      </c>
      <c r="D9863" s="5"/>
      <c r="E9863" s="5"/>
      <c r="F9863" s="5"/>
      <c r="G9863" s="5"/>
      <c r="H9863" s="5"/>
      <c r="I9863" s="5"/>
      <c r="J9863" s="5"/>
      <c r="K9863" s="5"/>
      <c r="L9863" s="5"/>
      <c r="M9863" s="5"/>
      <c r="N9863" s="5"/>
      <c r="O9863" s="5"/>
      <c r="P9863" s="5"/>
      <c r="Q9863" s="5"/>
      <c r="R9863" s="5"/>
      <c r="S9863" s="5"/>
      <c r="T9863" s="5"/>
      <c r="U9863" s="5"/>
      <c r="V9863" s="5"/>
      <c r="W9863" s="5"/>
      <c r="X9863" s="5"/>
      <c r="Y9863" s="5"/>
      <c r="Z9863" s="5"/>
    </row>
    <row r="9864" spans="1:26" ht="15" x14ac:dyDescent="0.25">
      <c r="A9864" s="4" t="s">
        <v>9862</v>
      </c>
      <c r="B9864" s="4" t="s">
        <v>9011</v>
      </c>
      <c r="C9864" s="2" t="str">
        <f ca="1">IFERROR(__xludf.DUMMYFUNCTION("GOOGLETRANSLATE(A9864,""bn"",""en"")"),"He will start writing a new novel next month which will be a huge hit among the readers")</f>
        <v>He will start writing a new novel next month which will be a huge hit among the readers</v>
      </c>
      <c r="D9864" s="5"/>
      <c r="E9864" s="5"/>
      <c r="F9864" s="5"/>
      <c r="G9864" s="5"/>
      <c r="H9864" s="5"/>
      <c r="I9864" s="5"/>
      <c r="J9864" s="5"/>
      <c r="K9864" s="5"/>
      <c r="L9864" s="5"/>
      <c r="M9864" s="5"/>
      <c r="N9864" s="5"/>
      <c r="O9864" s="5"/>
      <c r="P9864" s="5"/>
      <c r="Q9864" s="5"/>
      <c r="R9864" s="5"/>
      <c r="S9864" s="5"/>
      <c r="T9864" s="5"/>
      <c r="U9864" s="5"/>
      <c r="V9864" s="5"/>
      <c r="W9864" s="5"/>
      <c r="X9864" s="5"/>
      <c r="Y9864" s="5"/>
      <c r="Z9864" s="5"/>
    </row>
    <row r="9865" spans="1:26" ht="15" x14ac:dyDescent="0.25">
      <c r="A9865" s="4" t="s">
        <v>9863</v>
      </c>
      <c r="B9865" s="4" t="s">
        <v>9011</v>
      </c>
      <c r="C9865" s="2" t="str">
        <f ca="1">IFERROR(__xludf.DUMMYFUNCTION("GOOGLETRANSLATE(A9865,""bn"",""en"")"),"Such a beautiful picture that nature will get lost in your photography")</f>
        <v>Such a beautiful picture that nature will get lost in your photography</v>
      </c>
      <c r="D9865" s="5"/>
      <c r="E9865" s="5"/>
      <c r="F9865" s="5"/>
      <c r="G9865" s="5"/>
      <c r="H9865" s="5"/>
      <c r="I9865" s="5"/>
      <c r="J9865" s="5"/>
      <c r="K9865" s="5"/>
      <c r="L9865" s="5"/>
      <c r="M9865" s="5"/>
      <c r="N9865" s="5"/>
      <c r="O9865" s="5"/>
      <c r="P9865" s="5"/>
      <c r="Q9865" s="5"/>
      <c r="R9865" s="5"/>
      <c r="S9865" s="5"/>
      <c r="T9865" s="5"/>
      <c r="U9865" s="5"/>
      <c r="V9865" s="5"/>
      <c r="W9865" s="5"/>
      <c r="X9865" s="5"/>
      <c r="Y9865" s="5"/>
      <c r="Z9865" s="5"/>
    </row>
    <row r="9866" spans="1:26" ht="15" x14ac:dyDescent="0.25">
      <c r="A9866" s="4" t="s">
        <v>9864</v>
      </c>
      <c r="B9866" s="4" t="s">
        <v>9011</v>
      </c>
      <c r="C9866" s="2" t="str">
        <f ca="1">IFERROR(__xludf.DUMMYFUNCTION("GOOGLETRANSLATE(A9866,""bn"",""en"")"),"Next year you will attend an international exhibition of high-quality technology startups")</f>
        <v>Next year you will attend an international exhibition of high-quality technology startups</v>
      </c>
      <c r="D9866" s="5"/>
      <c r="E9866" s="5"/>
      <c r="F9866" s="5"/>
      <c r="G9866" s="5"/>
      <c r="H9866" s="5"/>
      <c r="I9866" s="5"/>
      <c r="J9866" s="5"/>
      <c r="K9866" s="5"/>
      <c r="L9866" s="5"/>
      <c r="M9866" s="5"/>
      <c r="N9866" s="5"/>
      <c r="O9866" s="5"/>
      <c r="P9866" s="5"/>
      <c r="Q9866" s="5"/>
      <c r="R9866" s="5"/>
      <c r="S9866" s="5"/>
      <c r="T9866" s="5"/>
      <c r="U9866" s="5"/>
      <c r="V9866" s="5"/>
      <c r="W9866" s="5"/>
      <c r="X9866" s="5"/>
      <c r="Y9866" s="5"/>
      <c r="Z9866" s="5"/>
    </row>
    <row r="9867" spans="1:26" ht="15" x14ac:dyDescent="0.25">
      <c r="A9867" s="4" t="s">
        <v>9865</v>
      </c>
      <c r="B9867" s="4" t="s">
        <v>9011</v>
      </c>
      <c r="C9867" s="2" t="str">
        <f ca="1">IFERROR(__xludf.DUMMYFUNCTION("GOOGLETRANSLATE(A9867,""bn"",""en"")"),"The opportunity to study in the world's leading universities will be a dream come true")</f>
        <v>The opportunity to study in the world's leading universities will be a dream come true</v>
      </c>
      <c r="D9867" s="5"/>
      <c r="E9867" s="5"/>
      <c r="F9867" s="5"/>
      <c r="G9867" s="5"/>
      <c r="H9867" s="5"/>
      <c r="I9867" s="5"/>
      <c r="J9867" s="5"/>
      <c r="K9867" s="5"/>
      <c r="L9867" s="5"/>
      <c r="M9867" s="5"/>
      <c r="N9867" s="5"/>
      <c r="O9867" s="5"/>
      <c r="P9867" s="5"/>
      <c r="Q9867" s="5"/>
      <c r="R9867" s="5"/>
      <c r="S9867" s="5"/>
      <c r="T9867" s="5"/>
      <c r="U9867" s="5"/>
      <c r="V9867" s="5"/>
      <c r="W9867" s="5"/>
      <c r="X9867" s="5"/>
      <c r="Y9867" s="5"/>
      <c r="Z9867" s="5"/>
    </row>
    <row r="9868" spans="1:26" ht="15" x14ac:dyDescent="0.25">
      <c r="A9868" s="4" t="s">
        <v>9866</v>
      </c>
      <c r="B9868" s="4" t="s">
        <v>9011</v>
      </c>
      <c r="C9868" s="2" t="str">
        <f ca="1">IFERROR(__xludf.DUMMYFUNCTION("GOOGLETRANSLATE(A9868,""bn"",""en"")"),"Friendship will be the foundation of two bodies of one soul")</f>
        <v>Friendship will be the foundation of two bodies of one soul</v>
      </c>
      <c r="D9868" s="5"/>
      <c r="E9868" s="5"/>
      <c r="F9868" s="5"/>
      <c r="G9868" s="5"/>
      <c r="H9868" s="5"/>
      <c r="I9868" s="5"/>
      <c r="J9868" s="5"/>
      <c r="K9868" s="5"/>
      <c r="L9868" s="5"/>
      <c r="M9868" s="5"/>
      <c r="N9868" s="5"/>
      <c r="O9868" s="5"/>
      <c r="P9868" s="5"/>
      <c r="Q9868" s="5"/>
      <c r="R9868" s="5"/>
      <c r="S9868" s="5"/>
      <c r="T9868" s="5"/>
      <c r="U9868" s="5"/>
      <c r="V9868" s="5"/>
      <c r="W9868" s="5"/>
      <c r="X9868" s="5"/>
      <c r="Y9868" s="5"/>
      <c r="Z9868" s="5"/>
    </row>
    <row r="9869" spans="1:26" ht="15" x14ac:dyDescent="0.25">
      <c r="A9869" s="4" t="s">
        <v>9867</v>
      </c>
      <c r="B9869" s="4" t="s">
        <v>9011</v>
      </c>
      <c r="C9869" s="2" t="str">
        <f ca="1">IFERROR(__xludf.DUMMYFUNCTION("GOOGLETRANSLATE(A9869,""bn"",""en"")"),"In the future I will organize a creative workshop where various creative professionals will participate")</f>
        <v>In the future I will organize a creative workshop where various creative professionals will participate</v>
      </c>
      <c r="D9869" s="5"/>
      <c r="E9869" s="5"/>
      <c r="F9869" s="5"/>
      <c r="G9869" s="5"/>
      <c r="H9869" s="5"/>
      <c r="I9869" s="5"/>
      <c r="J9869" s="5"/>
      <c r="K9869" s="5"/>
      <c r="L9869" s="5"/>
      <c r="M9869" s="5"/>
      <c r="N9869" s="5"/>
      <c r="O9869" s="5"/>
      <c r="P9869" s="5"/>
      <c r="Q9869" s="5"/>
      <c r="R9869" s="5"/>
      <c r="S9869" s="5"/>
      <c r="T9869" s="5"/>
      <c r="U9869" s="5"/>
      <c r="V9869" s="5"/>
      <c r="W9869" s="5"/>
      <c r="X9869" s="5"/>
      <c r="Y9869" s="5"/>
      <c r="Z9869" s="5"/>
    </row>
    <row r="9870" spans="1:26" ht="15" x14ac:dyDescent="0.25">
      <c r="A9870" s="4" t="s">
        <v>9868</v>
      </c>
      <c r="B9870" s="4" t="s">
        <v>9011</v>
      </c>
      <c r="C9870" s="2" t="str">
        <f ca="1">IFERROR(__xludf.DUMMYFUNCTION("GOOGLETRANSLATE(A9870,""bn"",""en"")"),"I consider the joy of picking fruit directly from the tree a gift of nature")</f>
        <v>I consider the joy of picking fruit directly from the tree a gift of nature</v>
      </c>
      <c r="D9870" s="5"/>
      <c r="E9870" s="5"/>
      <c r="F9870" s="5"/>
      <c r="G9870" s="5"/>
      <c r="H9870" s="5"/>
      <c r="I9870" s="5"/>
      <c r="J9870" s="5"/>
      <c r="K9870" s="5"/>
      <c r="L9870" s="5"/>
      <c r="M9870" s="5"/>
      <c r="N9870" s="5"/>
      <c r="O9870" s="5"/>
      <c r="P9870" s="5"/>
      <c r="Q9870" s="5"/>
      <c r="R9870" s="5"/>
      <c r="S9870" s="5"/>
      <c r="T9870" s="5"/>
      <c r="U9870" s="5"/>
      <c r="V9870" s="5"/>
      <c r="W9870" s="5"/>
      <c r="X9870" s="5"/>
      <c r="Y9870" s="5"/>
      <c r="Z9870" s="5"/>
    </row>
    <row r="9871" spans="1:26" ht="15" x14ac:dyDescent="0.25">
      <c r="A9871" s="4" t="s">
        <v>9869</v>
      </c>
      <c r="B9871" s="4" t="s">
        <v>9011</v>
      </c>
      <c r="C9871" s="2" t="str">
        <f ca="1">IFERROR(__xludf.DUMMYFUNCTION("GOOGLETRANSLATE(A9871,""bn"",""en"")"),"We will have completed our framework project by the end of next year")</f>
        <v>We will have completed our framework project by the end of next year</v>
      </c>
      <c r="D9871" s="5"/>
      <c r="E9871" s="5"/>
      <c r="F9871" s="5"/>
      <c r="G9871" s="5"/>
      <c r="H9871" s="5"/>
      <c r="I9871" s="5"/>
      <c r="J9871" s="5"/>
      <c r="K9871" s="5"/>
      <c r="L9871" s="5"/>
      <c r="M9871" s="5"/>
      <c r="N9871" s="5"/>
      <c r="O9871" s="5"/>
      <c r="P9871" s="5"/>
      <c r="Q9871" s="5"/>
      <c r="R9871" s="5"/>
      <c r="S9871" s="5"/>
      <c r="T9871" s="5"/>
      <c r="U9871" s="5"/>
      <c r="V9871" s="5"/>
      <c r="W9871" s="5"/>
      <c r="X9871" s="5"/>
      <c r="Y9871" s="5"/>
      <c r="Z9871" s="5"/>
    </row>
    <row r="9872" spans="1:26" ht="15" x14ac:dyDescent="0.25">
      <c r="A9872" s="4" t="s">
        <v>9870</v>
      </c>
      <c r="B9872" s="4" t="s">
        <v>9011</v>
      </c>
      <c r="C9872" s="2" t="str">
        <f ca="1">IFERROR(__xludf.DUMMYFUNCTION("GOOGLETRANSLATE(A9872,""bn"",""en"")"),"Next year I will work hard for my promotion")</f>
        <v>Next year I will work hard for my promotion</v>
      </c>
      <c r="D9872" s="5"/>
      <c r="E9872" s="5"/>
      <c r="F9872" s="5"/>
      <c r="G9872" s="5"/>
      <c r="H9872" s="5"/>
      <c r="I9872" s="5"/>
      <c r="J9872" s="5"/>
      <c r="K9872" s="5"/>
      <c r="L9872" s="5"/>
      <c r="M9872" s="5"/>
      <c r="N9872" s="5"/>
      <c r="O9872" s="5"/>
      <c r="P9872" s="5"/>
      <c r="Q9872" s="5"/>
      <c r="R9872" s="5"/>
      <c r="S9872" s="5"/>
      <c r="T9872" s="5"/>
      <c r="U9872" s="5"/>
      <c r="V9872" s="5"/>
      <c r="W9872" s="5"/>
      <c r="X9872" s="5"/>
      <c r="Y9872" s="5"/>
      <c r="Z9872" s="5"/>
    </row>
    <row r="9873" spans="1:26" ht="15" x14ac:dyDescent="0.25">
      <c r="A9873" s="4" t="s">
        <v>9871</v>
      </c>
      <c r="B9873" s="4" t="s">
        <v>9011</v>
      </c>
      <c r="C9873" s="2" t="str">
        <f ca="1">IFERROR(__xludf.DUMMYFUNCTION("GOOGLETRANSLATE(A9873,""bn"",""en"")"),"We will be preparing to attend the new art exhibition next week")</f>
        <v>We will be preparing to attend the new art exhibition next week</v>
      </c>
      <c r="D9873" s="5"/>
      <c r="E9873" s="5"/>
      <c r="F9873" s="5"/>
      <c r="G9873" s="5"/>
      <c r="H9873" s="5"/>
      <c r="I9873" s="5"/>
      <c r="J9873" s="5"/>
      <c r="K9873" s="5"/>
      <c r="L9873" s="5"/>
      <c r="M9873" s="5"/>
      <c r="N9873" s="5"/>
      <c r="O9873" s="5"/>
      <c r="P9873" s="5"/>
      <c r="Q9873" s="5"/>
      <c r="R9873" s="5"/>
      <c r="S9873" s="5"/>
      <c r="T9873" s="5"/>
      <c r="U9873" s="5"/>
      <c r="V9873" s="5"/>
      <c r="W9873" s="5"/>
      <c r="X9873" s="5"/>
      <c r="Y9873" s="5"/>
      <c r="Z9873" s="5"/>
    </row>
    <row r="9874" spans="1:26" ht="15" x14ac:dyDescent="0.25">
      <c r="A9874" s="4" t="s">
        <v>9872</v>
      </c>
      <c r="B9874" s="4" t="s">
        <v>9011</v>
      </c>
      <c r="C9874" s="2" t="str">
        <f ca="1">IFERROR(__xludf.DUMMYFUNCTION("GOOGLETRANSLATE(A9874,""bn"",""en"")"),"I will come to school and hear that the class has been cancelled. Will it be a dream?")</f>
        <v>I will come to school and hear that the class has been cancelled. Will it be a dream?</v>
      </c>
      <c r="D9874" s="5"/>
      <c r="E9874" s="5"/>
      <c r="F9874" s="5"/>
      <c r="G9874" s="5"/>
      <c r="H9874" s="5"/>
      <c r="I9874" s="5"/>
      <c r="J9874" s="5"/>
      <c r="K9874" s="5"/>
      <c r="L9874" s="5"/>
      <c r="M9874" s="5"/>
      <c r="N9874" s="5"/>
      <c r="O9874" s="5"/>
      <c r="P9874" s="5"/>
      <c r="Q9874" s="5"/>
      <c r="R9874" s="5"/>
      <c r="S9874" s="5"/>
      <c r="T9874" s="5"/>
      <c r="U9874" s="5"/>
      <c r="V9874" s="5"/>
      <c r="W9874" s="5"/>
      <c r="X9874" s="5"/>
      <c r="Y9874" s="5"/>
      <c r="Z9874" s="5"/>
    </row>
    <row r="9875" spans="1:26" ht="15" x14ac:dyDescent="0.25">
      <c r="A9875" s="4" t="s">
        <v>9873</v>
      </c>
      <c r="B9875" s="4" t="s">
        <v>9011</v>
      </c>
      <c r="C9875" s="2" t="str">
        <f ca="1">IFERROR(__xludf.DUMMYFUNCTION("GOOGLETRANSLATE(A9875,""bn"",""en"")"),"Hummingbirds will eat the juice of garden flowers and will be fascinated by this beauty of nature")</f>
        <v>Hummingbirds will eat the juice of garden flowers and will be fascinated by this beauty of nature</v>
      </c>
      <c r="D9875" s="5"/>
      <c r="E9875" s="5"/>
      <c r="F9875" s="5"/>
      <c r="G9875" s="5"/>
      <c r="H9875" s="5"/>
      <c r="I9875" s="5"/>
      <c r="J9875" s="5"/>
      <c r="K9875" s="5"/>
      <c r="L9875" s="5"/>
      <c r="M9875" s="5"/>
      <c r="N9875" s="5"/>
      <c r="O9875" s="5"/>
      <c r="P9875" s="5"/>
      <c r="Q9875" s="5"/>
      <c r="R9875" s="5"/>
      <c r="S9875" s="5"/>
      <c r="T9875" s="5"/>
      <c r="U9875" s="5"/>
      <c r="V9875" s="5"/>
      <c r="W9875" s="5"/>
      <c r="X9875" s="5"/>
      <c r="Y9875" s="5"/>
      <c r="Z9875" s="5"/>
    </row>
    <row r="9876" spans="1:26" ht="15" x14ac:dyDescent="0.25">
      <c r="A9876" s="4" t="s">
        <v>9874</v>
      </c>
      <c r="B9876" s="4" t="s">
        <v>9011</v>
      </c>
      <c r="C9876" s="2" t="str">
        <f ca="1">IFERROR(__xludf.DUMMYFUNCTION("GOOGLETRANSLATE(A9876,""bn"",""en"")"),"Listening to old songs will open up the fountains of memories, feelings of past happiness and sadness will come back, there will be a kind of joy hidden in these mixed feelings.")</f>
        <v>Listening to old songs will open up the fountains of memories, feelings of past happiness and sadness will come back, there will be a kind of joy hidden in these mixed feelings.</v>
      </c>
      <c r="D9876" s="5"/>
      <c r="E9876" s="5"/>
      <c r="F9876" s="5"/>
      <c r="G9876" s="5"/>
      <c r="H9876" s="5"/>
      <c r="I9876" s="5"/>
      <c r="J9876" s="5"/>
      <c r="K9876" s="5"/>
      <c r="L9876" s="5"/>
      <c r="M9876" s="5"/>
      <c r="N9876" s="5"/>
      <c r="O9876" s="5"/>
      <c r="P9876" s="5"/>
      <c r="Q9876" s="5"/>
      <c r="R9876" s="5"/>
      <c r="S9876" s="5"/>
      <c r="T9876" s="5"/>
      <c r="U9876" s="5"/>
      <c r="V9876" s="5"/>
      <c r="W9876" s="5"/>
      <c r="X9876" s="5"/>
      <c r="Y9876" s="5"/>
      <c r="Z9876" s="5"/>
    </row>
    <row r="9877" spans="1:26" ht="15" x14ac:dyDescent="0.25">
      <c r="A9877" s="4" t="s">
        <v>9875</v>
      </c>
      <c r="B9877" s="4" t="s">
        <v>9011</v>
      </c>
      <c r="C9877" s="2" t="str">
        <f ca="1">IFERROR(__xludf.DUMMYFUNCTION("GOOGLETRANSLATE(A9877,""bn"",""en"")"),"Three years later I wrote and published my first book")</f>
        <v>Three years later I wrote and published my first book</v>
      </c>
      <c r="D9877" s="5"/>
      <c r="E9877" s="5"/>
      <c r="F9877" s="5"/>
      <c r="G9877" s="5"/>
      <c r="H9877" s="5"/>
      <c r="I9877" s="5"/>
      <c r="J9877" s="5"/>
      <c r="K9877" s="5"/>
      <c r="L9877" s="5"/>
      <c r="M9877" s="5"/>
      <c r="N9877" s="5"/>
      <c r="O9877" s="5"/>
      <c r="P9877" s="5"/>
      <c r="Q9877" s="5"/>
      <c r="R9877" s="5"/>
      <c r="S9877" s="5"/>
      <c r="T9877" s="5"/>
      <c r="U9877" s="5"/>
      <c r="V9877" s="5"/>
      <c r="W9877" s="5"/>
      <c r="X9877" s="5"/>
      <c r="Y9877" s="5"/>
      <c r="Z9877" s="5"/>
    </row>
    <row r="9878" spans="1:26" ht="15" x14ac:dyDescent="0.25">
      <c r="A9878" s="4" t="s">
        <v>9876</v>
      </c>
      <c r="B9878" s="4" t="s">
        <v>9011</v>
      </c>
      <c r="C9878" s="2" t="str">
        <f ca="1">IFERROR(__xludf.DUMMYFUNCTION("GOOGLETRANSLATE(A9878,""bn"",""en"")"),"My experience will guide your life")</f>
        <v>My experience will guide your life</v>
      </c>
      <c r="D9878" s="5"/>
      <c r="E9878" s="5"/>
      <c r="F9878" s="5"/>
      <c r="G9878" s="5"/>
      <c r="H9878" s="5"/>
      <c r="I9878" s="5"/>
      <c r="J9878" s="5"/>
      <c r="K9878" s="5"/>
      <c r="L9878" s="5"/>
      <c r="M9878" s="5"/>
      <c r="N9878" s="5"/>
      <c r="O9878" s="5"/>
      <c r="P9878" s="5"/>
      <c r="Q9878" s="5"/>
      <c r="R9878" s="5"/>
      <c r="S9878" s="5"/>
      <c r="T9878" s="5"/>
      <c r="U9878" s="5"/>
      <c r="V9878" s="5"/>
      <c r="W9878" s="5"/>
      <c r="X9878" s="5"/>
      <c r="Y9878" s="5"/>
      <c r="Z9878" s="5"/>
    </row>
    <row r="9879" spans="1:26" ht="15" x14ac:dyDescent="0.25">
      <c r="A9879" s="4" t="s">
        <v>9877</v>
      </c>
      <c r="B9879" s="4" t="s">
        <v>9011</v>
      </c>
      <c r="C9879" s="2" t="str">
        <f ca="1">IFERROR(__xludf.DUMMYFUNCTION("GOOGLETRANSLATE(A9879,""bn"",""en"")"),"I will create a mentorship program for students to help them achieve their goals")</f>
        <v>I will create a mentorship program for students to help them achieve their goals</v>
      </c>
      <c r="D9879" s="5"/>
      <c r="E9879" s="5"/>
      <c r="F9879" s="5"/>
      <c r="G9879" s="5"/>
      <c r="H9879" s="5"/>
      <c r="I9879" s="5"/>
      <c r="J9879" s="5"/>
      <c r="K9879" s="5"/>
      <c r="L9879" s="5"/>
      <c r="M9879" s="5"/>
      <c r="N9879" s="5"/>
      <c r="O9879" s="5"/>
      <c r="P9879" s="5"/>
      <c r="Q9879" s="5"/>
      <c r="R9879" s="5"/>
      <c r="S9879" s="5"/>
      <c r="T9879" s="5"/>
      <c r="U9879" s="5"/>
      <c r="V9879" s="5"/>
      <c r="W9879" s="5"/>
      <c r="X9879" s="5"/>
      <c r="Y9879" s="5"/>
      <c r="Z9879" s="5"/>
    </row>
    <row r="9880" spans="1:26" ht="15" x14ac:dyDescent="0.25">
      <c r="A9880" s="4" t="s">
        <v>9878</v>
      </c>
      <c r="B9880" s="4" t="s">
        <v>9011</v>
      </c>
      <c r="C9880" s="2" t="str">
        <f ca="1">IFERROR(__xludf.DUMMYFUNCTION("GOOGLETRANSLATE(A9880,""bn"",""en"")"),"Thinking about one's mistakes in prayer and waiting for correction")</f>
        <v>Thinking about one's mistakes in prayer and waiting for correction</v>
      </c>
      <c r="D9880" s="5"/>
      <c r="E9880" s="5"/>
      <c r="F9880" s="5"/>
      <c r="G9880" s="5"/>
      <c r="H9880" s="5"/>
      <c r="I9880" s="5"/>
      <c r="J9880" s="5"/>
      <c r="K9880" s="5"/>
      <c r="L9880" s="5"/>
      <c r="M9880" s="5"/>
      <c r="N9880" s="5"/>
      <c r="O9880" s="5"/>
      <c r="P9880" s="5"/>
      <c r="Q9880" s="5"/>
      <c r="R9880" s="5"/>
      <c r="S9880" s="5"/>
      <c r="T9880" s="5"/>
      <c r="U9880" s="5"/>
      <c r="V9880" s="5"/>
      <c r="W9880" s="5"/>
      <c r="X9880" s="5"/>
      <c r="Y9880" s="5"/>
      <c r="Z9880" s="5"/>
    </row>
    <row r="9881" spans="1:26" ht="15" x14ac:dyDescent="0.25">
      <c r="A9881" s="4" t="s">
        <v>9879</v>
      </c>
      <c r="B9881" s="4" t="s">
        <v>9011</v>
      </c>
      <c r="C9881" s="2" t="str">
        <f ca="1">IFERROR(__xludf.DUMMYFUNCTION("GOOGLETRANSLATE(A9881,""bn"",""en"")"),"They will diligently complete our project once all the setup is complete")</f>
        <v>They will diligently complete our project once all the setup is complete</v>
      </c>
      <c r="D9881" s="5"/>
      <c r="E9881" s="5"/>
      <c r="F9881" s="5"/>
      <c r="G9881" s="5"/>
      <c r="H9881" s="5"/>
      <c r="I9881" s="5"/>
      <c r="J9881" s="5"/>
      <c r="K9881" s="5"/>
      <c r="L9881" s="5"/>
      <c r="M9881" s="5"/>
      <c r="N9881" s="5"/>
      <c r="O9881" s="5"/>
      <c r="P9881" s="5"/>
      <c r="Q9881" s="5"/>
      <c r="R9881" s="5"/>
      <c r="S9881" s="5"/>
      <c r="T9881" s="5"/>
      <c r="U9881" s="5"/>
      <c r="V9881" s="5"/>
      <c r="W9881" s="5"/>
      <c r="X9881" s="5"/>
      <c r="Y9881" s="5"/>
      <c r="Z9881" s="5"/>
    </row>
    <row r="9882" spans="1:26" ht="15" x14ac:dyDescent="0.25">
      <c r="A9882" s="4" t="s">
        <v>9880</v>
      </c>
      <c r="B9882" s="4" t="s">
        <v>9011</v>
      </c>
      <c r="C9882" s="2" t="str">
        <f ca="1">IFERROR(__xludf.DUMMYFUNCTION("GOOGLETRANSLATE(A9882,""bn"",""en"")"),"He will be participating in a new project next week which will be a milestone for his career")</f>
        <v>He will be participating in a new project next week which will be a milestone for his career</v>
      </c>
      <c r="D9882" s="5"/>
      <c r="E9882" s="5"/>
      <c r="F9882" s="5"/>
      <c r="G9882" s="5"/>
      <c r="H9882" s="5"/>
      <c r="I9882" s="5"/>
      <c r="J9882" s="5"/>
      <c r="K9882" s="5"/>
      <c r="L9882" s="5"/>
      <c r="M9882" s="5"/>
      <c r="N9882" s="5"/>
      <c r="O9882" s="5"/>
      <c r="P9882" s="5"/>
      <c r="Q9882" s="5"/>
      <c r="R9882" s="5"/>
      <c r="S9882" s="5"/>
      <c r="T9882" s="5"/>
      <c r="U9882" s="5"/>
      <c r="V9882" s="5"/>
      <c r="W9882" s="5"/>
      <c r="X9882" s="5"/>
      <c r="Y9882" s="5"/>
      <c r="Z9882" s="5"/>
    </row>
    <row r="9883" spans="1:26" ht="15" x14ac:dyDescent="0.25">
      <c r="A9883" s="4" t="s">
        <v>9881</v>
      </c>
      <c r="B9883" s="4" t="s">
        <v>9011</v>
      </c>
      <c r="C9883" s="2" t="str">
        <f ca="1">IFERROR(__xludf.DUMMYFUNCTION("GOOGLETRANSLATE(A9883,""bn"",""en"")"),"Bangladesh will not be more happy than defeating India")</f>
        <v>Bangladesh will not be more happy than defeating India</v>
      </c>
      <c r="D9883" s="5"/>
      <c r="E9883" s="5"/>
      <c r="F9883" s="5"/>
      <c r="G9883" s="5"/>
      <c r="H9883" s="5"/>
      <c r="I9883" s="5"/>
      <c r="J9883" s="5"/>
      <c r="K9883" s="5"/>
      <c r="L9883" s="5"/>
      <c r="M9883" s="5"/>
      <c r="N9883" s="5"/>
      <c r="O9883" s="5"/>
      <c r="P9883" s="5"/>
      <c r="Q9883" s="5"/>
      <c r="R9883" s="5"/>
      <c r="S9883" s="5"/>
      <c r="T9883" s="5"/>
      <c r="U9883" s="5"/>
      <c r="V9883" s="5"/>
      <c r="W9883" s="5"/>
      <c r="X9883" s="5"/>
      <c r="Y9883" s="5"/>
      <c r="Z9883" s="5"/>
    </row>
    <row r="9884" spans="1:26" ht="15" x14ac:dyDescent="0.25">
      <c r="A9884" s="4" t="s">
        <v>9882</v>
      </c>
      <c r="B9884" s="4" t="s">
        <v>9011</v>
      </c>
      <c r="C9884" s="2" t="str">
        <f ca="1">IFERROR(__xludf.DUMMYFUNCTION("GOOGLETRANSLATE(A9884,""bn"",""en"")"),"Tomorrow I will give my friend a surprise gift that will make him very happy")</f>
        <v>Tomorrow I will give my friend a surprise gift that will make him very happy</v>
      </c>
      <c r="D9884" s="5"/>
      <c r="E9884" s="5"/>
      <c r="F9884" s="5"/>
      <c r="G9884" s="5"/>
      <c r="H9884" s="5"/>
      <c r="I9884" s="5"/>
      <c r="J9884" s="5"/>
      <c r="K9884" s="5"/>
      <c r="L9884" s="5"/>
      <c r="M9884" s="5"/>
      <c r="N9884" s="5"/>
      <c r="O9884" s="5"/>
      <c r="P9884" s="5"/>
      <c r="Q9884" s="5"/>
      <c r="R9884" s="5"/>
      <c r="S9884" s="5"/>
      <c r="T9884" s="5"/>
      <c r="U9884" s="5"/>
      <c r="V9884" s="5"/>
      <c r="W9884" s="5"/>
      <c r="X9884" s="5"/>
      <c r="Y9884" s="5"/>
      <c r="Z9884" s="5"/>
    </row>
    <row r="9885" spans="1:26" ht="15" x14ac:dyDescent="0.25">
      <c r="A9885" s="4" t="s">
        <v>9883</v>
      </c>
      <c r="B9885" s="4" t="s">
        <v>9011</v>
      </c>
      <c r="C9885" s="2" t="str">
        <f ca="1">IFERROR(__xludf.DUMMYFUNCTION("GOOGLETRANSLATE(A9885,""bn"",""en"")"),"BTS members' affectionate behavior and playful moments will delight fans by instilling a sense of belonging")</f>
        <v>BTS members' affectionate behavior and playful moments will delight fans by instilling a sense of belonging</v>
      </c>
      <c r="D9885" s="5"/>
      <c r="E9885" s="5"/>
      <c r="F9885" s="5"/>
      <c r="G9885" s="5"/>
      <c r="H9885" s="5"/>
      <c r="I9885" s="5"/>
      <c r="J9885" s="5"/>
      <c r="K9885" s="5"/>
      <c r="L9885" s="5"/>
      <c r="M9885" s="5"/>
      <c r="N9885" s="5"/>
      <c r="O9885" s="5"/>
      <c r="P9885" s="5"/>
      <c r="Q9885" s="5"/>
      <c r="R9885" s="5"/>
      <c r="S9885" s="5"/>
      <c r="T9885" s="5"/>
      <c r="U9885" s="5"/>
      <c r="V9885" s="5"/>
      <c r="W9885" s="5"/>
      <c r="X9885" s="5"/>
      <c r="Y9885" s="5"/>
      <c r="Z9885" s="5"/>
    </row>
    <row r="9886" spans="1:26" ht="15" x14ac:dyDescent="0.25">
      <c r="A9886" s="4" t="s">
        <v>9884</v>
      </c>
      <c r="B9886" s="4" t="s">
        <v>9011</v>
      </c>
      <c r="C9886" s="2" t="str">
        <f ca="1">IFERROR(__xludf.DUMMYFUNCTION("GOOGLETRANSLATE(A9886,""bn"",""en"")"),"But hope the first marriage will be sweet for life")</f>
        <v>But hope the first marriage will be sweet for life</v>
      </c>
      <c r="D9886" s="5"/>
      <c r="E9886" s="5"/>
      <c r="F9886" s="5"/>
      <c r="G9886" s="5"/>
      <c r="H9886" s="5"/>
      <c r="I9886" s="5"/>
      <c r="J9886" s="5"/>
      <c r="K9886" s="5"/>
      <c r="L9886" s="5"/>
      <c r="M9886" s="5"/>
      <c r="N9886" s="5"/>
      <c r="O9886" s="5"/>
      <c r="P9886" s="5"/>
      <c r="Q9886" s="5"/>
      <c r="R9886" s="5"/>
      <c r="S9886" s="5"/>
      <c r="T9886" s="5"/>
      <c r="U9886" s="5"/>
      <c r="V9886" s="5"/>
      <c r="W9886" s="5"/>
      <c r="X9886" s="5"/>
      <c r="Y9886" s="5"/>
      <c r="Z9886" s="5"/>
    </row>
    <row r="9887" spans="1:26" ht="15" x14ac:dyDescent="0.25">
      <c r="A9887" s="4" t="s">
        <v>9885</v>
      </c>
      <c r="B9887" s="4" t="s">
        <v>9011</v>
      </c>
      <c r="C9887" s="2" t="str">
        <f ca="1">IFERROR(__xludf.DUMMYFUNCTION("GOOGLETRANSLATE(A9887,""bn"",""en"")"),"I will be married next year")</f>
        <v>I will be married next year</v>
      </c>
      <c r="D9887" s="5"/>
      <c r="E9887" s="5"/>
      <c r="F9887" s="5"/>
      <c r="G9887" s="5"/>
      <c r="H9887" s="5"/>
      <c r="I9887" s="5"/>
      <c r="J9887" s="5"/>
      <c r="K9887" s="5"/>
      <c r="L9887" s="5"/>
      <c r="M9887" s="5"/>
      <c r="N9887" s="5"/>
      <c r="O9887" s="5"/>
      <c r="P9887" s="5"/>
      <c r="Q9887" s="5"/>
      <c r="R9887" s="5"/>
      <c r="S9887" s="5"/>
      <c r="T9887" s="5"/>
      <c r="U9887" s="5"/>
      <c r="V9887" s="5"/>
      <c r="W9887" s="5"/>
      <c r="X9887" s="5"/>
      <c r="Y9887" s="5"/>
      <c r="Z9887" s="5"/>
    </row>
    <row r="9888" spans="1:26" ht="15" x14ac:dyDescent="0.25">
      <c r="A9888" s="4" t="s">
        <v>9886</v>
      </c>
      <c r="B9888" s="4" t="s">
        <v>9011</v>
      </c>
      <c r="C9888" s="2" t="str">
        <f ca="1">IFERROR(__xludf.DUMMYFUNCTION("GOOGLETRANSLATE(A9888,""bn"",""en"")"),"Certain types of musical music will help in meditation, clear the mind and give a sense of peace.")</f>
        <v>Certain types of musical music will help in meditation, clear the mind and give a sense of peace.</v>
      </c>
      <c r="D9888" s="5"/>
      <c r="E9888" s="5"/>
      <c r="F9888" s="5"/>
      <c r="G9888" s="5"/>
      <c r="H9888" s="5"/>
      <c r="I9888" s="5"/>
      <c r="J9888" s="5"/>
      <c r="K9888" s="5"/>
      <c r="L9888" s="5"/>
      <c r="M9888" s="5"/>
      <c r="N9888" s="5"/>
      <c r="O9888" s="5"/>
      <c r="P9888" s="5"/>
      <c r="Q9888" s="5"/>
      <c r="R9888" s="5"/>
      <c r="S9888" s="5"/>
      <c r="T9888" s="5"/>
      <c r="U9888" s="5"/>
      <c r="V9888" s="5"/>
      <c r="W9888" s="5"/>
      <c r="X9888" s="5"/>
      <c r="Y9888" s="5"/>
      <c r="Z9888" s="5"/>
    </row>
    <row r="9889" spans="1:26" ht="15" x14ac:dyDescent="0.25">
      <c r="A9889" s="4" t="s">
        <v>9887</v>
      </c>
      <c r="B9889" s="4" t="s">
        <v>9011</v>
      </c>
      <c r="C9889" s="2" t="str">
        <f ca="1">IFERROR(__xludf.DUMMYFUNCTION("GOOGLETRANSLATE(A9889,""bn"",""en"")"),"Participating in swimming competitions will be an opportunity to test your skills as well as make new friends")</f>
        <v>Participating in swimming competitions will be an opportunity to test your skills as well as make new friends</v>
      </c>
      <c r="D9889" s="5"/>
      <c r="E9889" s="5"/>
      <c r="F9889" s="5"/>
      <c r="G9889" s="5"/>
      <c r="H9889" s="5"/>
      <c r="I9889" s="5"/>
      <c r="J9889" s="5"/>
      <c r="K9889" s="5"/>
      <c r="L9889" s="5"/>
      <c r="M9889" s="5"/>
      <c r="N9889" s="5"/>
      <c r="O9889" s="5"/>
      <c r="P9889" s="5"/>
      <c r="Q9889" s="5"/>
      <c r="R9889" s="5"/>
      <c r="S9889" s="5"/>
      <c r="T9889" s="5"/>
      <c r="U9889" s="5"/>
      <c r="V9889" s="5"/>
      <c r="W9889" s="5"/>
      <c r="X9889" s="5"/>
      <c r="Y9889" s="5"/>
      <c r="Z9889" s="5"/>
    </row>
    <row r="9890" spans="1:26" ht="15" x14ac:dyDescent="0.25">
      <c r="A9890" s="4" t="s">
        <v>9888</v>
      </c>
      <c r="B9890" s="4" t="s">
        <v>9011</v>
      </c>
      <c r="C9890" s="2" t="str">
        <f ca="1">IFERROR(__xludf.DUMMYFUNCTION("GOOGLETRANSLATE(A9890,""bn"",""en"")"),"There is no greater satisfaction than breaking yourself hundreds of times and building yourself up, rather than showing people how to be good")</f>
        <v>There is no greater satisfaction than breaking yourself hundreds of times and building yourself up, rather than showing people how to be good</v>
      </c>
      <c r="D9890" s="5"/>
      <c r="E9890" s="5"/>
      <c r="F9890" s="5"/>
      <c r="G9890" s="5"/>
      <c r="H9890" s="5"/>
      <c r="I9890" s="5"/>
      <c r="J9890" s="5"/>
      <c r="K9890" s="5"/>
      <c r="L9890" s="5"/>
      <c r="M9890" s="5"/>
      <c r="N9890" s="5"/>
      <c r="O9890" s="5"/>
      <c r="P9890" s="5"/>
      <c r="Q9890" s="5"/>
      <c r="R9890" s="5"/>
      <c r="S9890" s="5"/>
      <c r="T9890" s="5"/>
      <c r="U9890" s="5"/>
      <c r="V9890" s="5"/>
      <c r="W9890" s="5"/>
      <c r="X9890" s="5"/>
      <c r="Y9890" s="5"/>
      <c r="Z9890" s="5"/>
    </row>
    <row r="9891" spans="1:26" ht="15" x14ac:dyDescent="0.25">
      <c r="A9891" s="4" t="s">
        <v>9889</v>
      </c>
      <c r="B9891" s="4" t="s">
        <v>9011</v>
      </c>
      <c r="C9891" s="2" t="str">
        <f ca="1">IFERROR(__xludf.DUMMYFUNCTION("GOOGLETRANSLATE(A9891,""bn"",""en"")"),"I will create a cyber security system that helps people stay safe online")</f>
        <v>I will create a cyber security system that helps people stay safe online</v>
      </c>
      <c r="D9891" s="5"/>
      <c r="E9891" s="5"/>
      <c r="F9891" s="5"/>
      <c r="G9891" s="5"/>
      <c r="H9891" s="5"/>
      <c r="I9891" s="5"/>
      <c r="J9891" s="5"/>
      <c r="K9891" s="5"/>
      <c r="L9891" s="5"/>
      <c r="M9891" s="5"/>
      <c r="N9891" s="5"/>
      <c r="O9891" s="5"/>
      <c r="P9891" s="5"/>
      <c r="Q9891" s="5"/>
      <c r="R9891" s="5"/>
      <c r="S9891" s="5"/>
      <c r="T9891" s="5"/>
      <c r="U9891" s="5"/>
      <c r="V9891" s="5"/>
      <c r="W9891" s="5"/>
      <c r="X9891" s="5"/>
      <c r="Y9891" s="5"/>
      <c r="Z9891" s="5"/>
    </row>
    <row r="9892" spans="1:26" ht="15" x14ac:dyDescent="0.25">
      <c r="A9892" s="4" t="s">
        <v>9890</v>
      </c>
      <c r="B9892" s="4" t="s">
        <v>9011</v>
      </c>
      <c r="C9892" s="2" t="str">
        <f ca="1">IFERROR(__xludf.DUMMYFUNCTION("GOOGLETRANSLATE(A9892,""bn"",""en"")"),"Next month I will be going abroad for my higher studies where I will be studying in a reputed university")</f>
        <v>Next month I will be going abroad for my higher studies where I will be studying in a reputed university</v>
      </c>
      <c r="D9892" s="5"/>
      <c r="E9892" s="5"/>
      <c r="F9892" s="5"/>
      <c r="G9892" s="5"/>
      <c r="H9892" s="5"/>
      <c r="I9892" s="5"/>
      <c r="J9892" s="5"/>
      <c r="K9892" s="5"/>
      <c r="L9892" s="5"/>
      <c r="M9892" s="5"/>
      <c r="N9892" s="5"/>
      <c r="O9892" s="5"/>
      <c r="P9892" s="5"/>
      <c r="Q9892" s="5"/>
      <c r="R9892" s="5"/>
      <c r="S9892" s="5"/>
      <c r="T9892" s="5"/>
      <c r="U9892" s="5"/>
      <c r="V9892" s="5"/>
      <c r="W9892" s="5"/>
      <c r="X9892" s="5"/>
      <c r="Y9892" s="5"/>
      <c r="Z9892" s="5"/>
    </row>
    <row r="9893" spans="1:26" ht="15" x14ac:dyDescent="0.25">
      <c r="A9893" s="4" t="s">
        <v>9891</v>
      </c>
      <c r="B9893" s="4" t="s">
        <v>9011</v>
      </c>
      <c r="C9893" s="2" t="str">
        <f ca="1">IFERROR(__xludf.DUMMYFUNCTION("GOOGLETRANSLATE(A9893,""bn"",""en"")"),"Their projects will be completed only on time")</f>
        <v>Their projects will be completed only on time</v>
      </c>
      <c r="D9893" s="5"/>
      <c r="E9893" s="5"/>
      <c r="F9893" s="5"/>
      <c r="G9893" s="5"/>
      <c r="H9893" s="5"/>
      <c r="I9893" s="5"/>
      <c r="J9893" s="5"/>
      <c r="K9893" s="5"/>
      <c r="L9893" s="5"/>
      <c r="M9893" s="5"/>
      <c r="N9893" s="5"/>
      <c r="O9893" s="5"/>
      <c r="P9893" s="5"/>
      <c r="Q9893" s="5"/>
      <c r="R9893" s="5"/>
      <c r="S9893" s="5"/>
      <c r="T9893" s="5"/>
      <c r="U9893" s="5"/>
      <c r="V9893" s="5"/>
      <c r="W9893" s="5"/>
      <c r="X9893" s="5"/>
      <c r="Y9893" s="5"/>
      <c r="Z9893" s="5"/>
    </row>
    <row r="9894" spans="1:26" ht="15" x14ac:dyDescent="0.25">
      <c r="A9894" s="4" t="s">
        <v>9892</v>
      </c>
      <c r="B9894" s="4" t="s">
        <v>9011</v>
      </c>
      <c r="C9894" s="2" t="str">
        <f ca="1">IFERROR(__xludf.DUMMYFUNCTION("GOOGLETRANSLATE(A9894,""bn"",""en"")"),"I am proud to see you as a brother, let's celebrate today")</f>
        <v>I am proud to see you as a brother, let's celebrate today</v>
      </c>
      <c r="D9894" s="5"/>
      <c r="E9894" s="5"/>
      <c r="F9894" s="5"/>
      <c r="G9894" s="5"/>
      <c r="H9894" s="5"/>
      <c r="I9894" s="5"/>
      <c r="J9894" s="5"/>
      <c r="K9894" s="5"/>
      <c r="L9894" s="5"/>
      <c r="M9894" s="5"/>
      <c r="N9894" s="5"/>
      <c r="O9894" s="5"/>
      <c r="P9894" s="5"/>
      <c r="Q9894" s="5"/>
      <c r="R9894" s="5"/>
      <c r="S9894" s="5"/>
      <c r="T9894" s="5"/>
      <c r="U9894" s="5"/>
      <c r="V9894" s="5"/>
      <c r="W9894" s="5"/>
      <c r="X9894" s="5"/>
      <c r="Y9894" s="5"/>
      <c r="Z9894" s="5"/>
    </row>
    <row r="9895" spans="1:26" ht="15" x14ac:dyDescent="0.25">
      <c r="A9895" s="4" t="s">
        <v>9893</v>
      </c>
      <c r="B9895" s="4" t="s">
        <v>9011</v>
      </c>
      <c r="C9895" s="2" t="str">
        <f ca="1">IFERROR(__xludf.DUMMYFUNCTION("GOOGLETRANSLATE(A9895,""bn"",""en"")"),"We will complete the development of this project when all the necessary opportunity opportunities will be collected")</f>
        <v>We will complete the development of this project when all the necessary opportunity opportunities will be collected</v>
      </c>
      <c r="D9895" s="5"/>
      <c r="E9895" s="5"/>
      <c r="F9895" s="5"/>
      <c r="G9895" s="5"/>
      <c r="H9895" s="5"/>
      <c r="I9895" s="5"/>
      <c r="J9895" s="5"/>
      <c r="K9895" s="5"/>
      <c r="L9895" s="5"/>
      <c r="M9895" s="5"/>
      <c r="N9895" s="5"/>
      <c r="O9895" s="5"/>
      <c r="P9895" s="5"/>
      <c r="Q9895" s="5"/>
      <c r="R9895" s="5"/>
      <c r="S9895" s="5"/>
      <c r="T9895" s="5"/>
      <c r="U9895" s="5"/>
      <c r="V9895" s="5"/>
      <c r="W9895" s="5"/>
      <c r="X9895" s="5"/>
      <c r="Y9895" s="5"/>
      <c r="Z9895" s="5"/>
    </row>
    <row r="9896" spans="1:26" ht="15" x14ac:dyDescent="0.25">
      <c r="A9896" s="4" t="s">
        <v>9894</v>
      </c>
      <c r="B9896" s="4" t="s">
        <v>9011</v>
      </c>
      <c r="C9896" s="2" t="str">
        <f ca="1">IFERROR(__xludf.DUMMYFUNCTION("GOOGLETRANSLATE(A9896,""bn"",""en"")"),"From the beginning of student life, every student should advance with career goals in mind, then they will be successful")</f>
        <v>From the beginning of student life, every student should advance with career goals in mind, then they will be successful</v>
      </c>
      <c r="D9896" s="5"/>
      <c r="E9896" s="5"/>
      <c r="F9896" s="5"/>
      <c r="G9896" s="5"/>
      <c r="H9896" s="5"/>
      <c r="I9896" s="5"/>
      <c r="J9896" s="5"/>
      <c r="K9896" s="5"/>
      <c r="L9896" s="5"/>
      <c r="M9896" s="5"/>
      <c r="N9896" s="5"/>
      <c r="O9896" s="5"/>
      <c r="P9896" s="5"/>
      <c r="Q9896" s="5"/>
      <c r="R9896" s="5"/>
      <c r="S9896" s="5"/>
      <c r="T9896" s="5"/>
      <c r="U9896" s="5"/>
      <c r="V9896" s="5"/>
      <c r="W9896" s="5"/>
      <c r="X9896" s="5"/>
      <c r="Y9896" s="5"/>
      <c r="Z9896" s="5"/>
    </row>
    <row r="9897" spans="1:26" ht="15" x14ac:dyDescent="0.25">
      <c r="A9897" s="4" t="s">
        <v>9895</v>
      </c>
      <c r="B9897" s="4" t="s">
        <v>9011</v>
      </c>
      <c r="C9897" s="2" t="str">
        <f ca="1">IFERROR(__xludf.DUMMYFUNCTION("GOOGLETRANSLATE(A9897,""bn"",""en"")"),"Congratulations on getting hired, this job will pave a solid path for your growth and development soon")</f>
        <v>Congratulations on getting hired, this job will pave a solid path for your growth and development soon</v>
      </c>
      <c r="D9897" s="5"/>
      <c r="E9897" s="5"/>
      <c r="F9897" s="5"/>
      <c r="G9897" s="5"/>
      <c r="H9897" s="5"/>
      <c r="I9897" s="5"/>
      <c r="J9897" s="5"/>
      <c r="K9897" s="5"/>
      <c r="L9897" s="5"/>
      <c r="M9897" s="5"/>
      <c r="N9897" s="5"/>
      <c r="O9897" s="5"/>
      <c r="P9897" s="5"/>
      <c r="Q9897" s="5"/>
      <c r="R9897" s="5"/>
      <c r="S9897" s="5"/>
      <c r="T9897" s="5"/>
      <c r="U9897" s="5"/>
      <c r="V9897" s="5"/>
      <c r="W9897" s="5"/>
      <c r="X9897" s="5"/>
      <c r="Y9897" s="5"/>
      <c r="Z9897" s="5"/>
    </row>
    <row r="9898" spans="1:26" ht="15" x14ac:dyDescent="0.25">
      <c r="A9898" s="4" t="s">
        <v>9896</v>
      </c>
      <c r="B9898" s="4" t="s">
        <v>9011</v>
      </c>
      <c r="C9898" s="2" t="str">
        <f ca="1">IFERROR(__xludf.DUMMYFUNCTION("GOOGLETRANSLATE(A9898,""bn"",""en"")"),"They will be joining a new gym next month")</f>
        <v>They will be joining a new gym next month</v>
      </c>
      <c r="D9898" s="5"/>
      <c r="E9898" s="5"/>
      <c r="F9898" s="5"/>
      <c r="G9898" s="5"/>
      <c r="H9898" s="5"/>
      <c r="I9898" s="5"/>
      <c r="J9898" s="5"/>
      <c r="K9898" s="5"/>
      <c r="L9898" s="5"/>
      <c r="M9898" s="5"/>
      <c r="N9898" s="5"/>
      <c r="O9898" s="5"/>
      <c r="P9898" s="5"/>
      <c r="Q9898" s="5"/>
      <c r="R9898" s="5"/>
      <c r="S9898" s="5"/>
      <c r="T9898" s="5"/>
      <c r="U9898" s="5"/>
      <c r="V9898" s="5"/>
      <c r="W9898" s="5"/>
      <c r="X9898" s="5"/>
      <c r="Y9898" s="5"/>
      <c r="Z9898" s="5"/>
    </row>
    <row r="9899" spans="1:26" ht="15" x14ac:dyDescent="0.25">
      <c r="A9899" s="4" t="s">
        <v>9897</v>
      </c>
      <c r="B9899" s="4" t="s">
        <v>9011</v>
      </c>
      <c r="C9899" s="2" t="str">
        <f ca="1">IFERROR(__xludf.DUMMYFUNCTION("GOOGLETRANSLATE(A9899,""bn"",""en"")"),"Knowing the story behind your favorite song will be a fun experience to learn about the song's composition and artist")</f>
        <v>Knowing the story behind your favorite song will be a fun experience to learn about the song's composition and artist</v>
      </c>
      <c r="D9899" s="5"/>
      <c r="E9899" s="5"/>
      <c r="F9899" s="5"/>
      <c r="G9899" s="5"/>
      <c r="H9899" s="5"/>
      <c r="I9899" s="5"/>
      <c r="J9899" s="5"/>
      <c r="K9899" s="5"/>
      <c r="L9899" s="5"/>
      <c r="M9899" s="5"/>
      <c r="N9899" s="5"/>
      <c r="O9899" s="5"/>
      <c r="P9899" s="5"/>
      <c r="Q9899" s="5"/>
      <c r="R9899" s="5"/>
      <c r="S9899" s="5"/>
      <c r="T9899" s="5"/>
      <c r="U9899" s="5"/>
      <c r="V9899" s="5"/>
      <c r="W9899" s="5"/>
      <c r="X9899" s="5"/>
      <c r="Y9899" s="5"/>
      <c r="Z9899" s="5"/>
    </row>
    <row r="9900" spans="1:26" ht="15" x14ac:dyDescent="0.25">
      <c r="A9900" s="4" t="s">
        <v>9898</v>
      </c>
      <c r="B9900" s="4" t="s">
        <v>9011</v>
      </c>
      <c r="C9900" s="2" t="str">
        <f ca="1">IFERROR(__xludf.DUMMYFUNCTION("GOOGLETRANSLATE(A9900,""bn"",""en"")"),"It seems you will have money but I won't have time, let's plan to travel together")</f>
        <v>It seems you will have money but I won't have time, let's plan to travel together</v>
      </c>
      <c r="D9900" s="5"/>
      <c r="E9900" s="5"/>
      <c r="F9900" s="5"/>
      <c r="G9900" s="5"/>
      <c r="H9900" s="5"/>
      <c r="I9900" s="5"/>
      <c r="J9900" s="5"/>
      <c r="K9900" s="5"/>
      <c r="L9900" s="5"/>
      <c r="M9900" s="5"/>
      <c r="N9900" s="5"/>
      <c r="O9900" s="5"/>
      <c r="P9900" s="5"/>
      <c r="Q9900" s="5"/>
      <c r="R9900" s="5"/>
      <c r="S9900" s="5"/>
      <c r="T9900" s="5"/>
      <c r="U9900" s="5"/>
      <c r="V9900" s="5"/>
      <c r="W9900" s="5"/>
      <c r="X9900" s="5"/>
      <c r="Y9900" s="5"/>
      <c r="Z9900" s="5"/>
    </row>
    <row r="9901" spans="1:26" ht="15" x14ac:dyDescent="0.25">
      <c r="A9901" s="4" t="s">
        <v>9899</v>
      </c>
      <c r="B9901" s="4" t="s">
        <v>9011</v>
      </c>
      <c r="C9901" s="2" t="str">
        <f ca="1">IFERROR(__xludf.DUMMYFUNCTION("GOOGLETRANSLATE(A9901,""bn"",""en"")"),"School classrooms will be the foundation of life education")</f>
        <v>School classrooms will be the foundation of life education</v>
      </c>
      <c r="D9901" s="5"/>
      <c r="E9901" s="5"/>
      <c r="F9901" s="5"/>
      <c r="G9901" s="5"/>
      <c r="H9901" s="5"/>
      <c r="I9901" s="5"/>
      <c r="J9901" s="5"/>
      <c r="K9901" s="5"/>
      <c r="L9901" s="5"/>
      <c r="M9901" s="5"/>
      <c r="N9901" s="5"/>
      <c r="O9901" s="5"/>
      <c r="P9901" s="5"/>
      <c r="Q9901" s="5"/>
      <c r="R9901" s="5"/>
      <c r="S9901" s="5"/>
      <c r="T9901" s="5"/>
      <c r="U9901" s="5"/>
      <c r="V9901" s="5"/>
      <c r="W9901" s="5"/>
      <c r="X9901" s="5"/>
      <c r="Y9901" s="5"/>
      <c r="Z9901" s="5"/>
    </row>
    <row r="9902" spans="1:26" ht="15" x14ac:dyDescent="0.25">
      <c r="A9902" s="4" t="s">
        <v>9900</v>
      </c>
      <c r="B9902" s="4" t="s">
        <v>9011</v>
      </c>
      <c r="C9902" s="2" t="str">
        <f ca="1">IFERROR(__xludf.DUMMYFUNCTION("GOOGLETRANSLATE(A9902,""bn"",""en"")"),"Over the next year I will achieve my fitness goals so that I am healthier and stronger")</f>
        <v>Over the next year I will achieve my fitness goals so that I am healthier and stronger</v>
      </c>
      <c r="D9902" s="5"/>
      <c r="E9902" s="5"/>
      <c r="F9902" s="5"/>
      <c r="G9902" s="5"/>
      <c r="H9902" s="5"/>
      <c r="I9902" s="5"/>
      <c r="J9902" s="5"/>
      <c r="K9902" s="5"/>
      <c r="L9902" s="5"/>
      <c r="M9902" s="5"/>
      <c r="N9902" s="5"/>
      <c r="O9902" s="5"/>
      <c r="P9902" s="5"/>
      <c r="Q9902" s="5"/>
      <c r="R9902" s="5"/>
      <c r="S9902" s="5"/>
      <c r="T9902" s="5"/>
      <c r="U9902" s="5"/>
      <c r="V9902" s="5"/>
      <c r="W9902" s="5"/>
      <c r="X9902" s="5"/>
      <c r="Y9902" s="5"/>
      <c r="Z9902" s="5"/>
    </row>
    <row r="9903" spans="1:26" ht="15" x14ac:dyDescent="0.25">
      <c r="A9903" s="4" t="s">
        <v>9901</v>
      </c>
      <c r="B9903" s="4" t="s">
        <v>9011</v>
      </c>
      <c r="C9903" s="2" t="str">
        <f ca="1">IFERROR(__xludf.DUMMYFUNCTION("GOOGLETRANSLATE(A9903,""bn"",""en"")"),"The days of running around looking for a job will end. Wish Srishti a new chapter")</f>
        <v>The days of running around looking for a job will end. Wish Srishti a new chapter</v>
      </c>
      <c r="D9903" s="5"/>
      <c r="E9903" s="5"/>
      <c r="F9903" s="5"/>
      <c r="G9903" s="5"/>
      <c r="H9903" s="5"/>
      <c r="I9903" s="5"/>
      <c r="J9903" s="5"/>
      <c r="K9903" s="5"/>
      <c r="L9903" s="5"/>
      <c r="M9903" s="5"/>
      <c r="N9903" s="5"/>
      <c r="O9903" s="5"/>
      <c r="P9903" s="5"/>
      <c r="Q9903" s="5"/>
      <c r="R9903" s="5"/>
      <c r="S9903" s="5"/>
      <c r="T9903" s="5"/>
      <c r="U9903" s="5"/>
      <c r="V9903" s="5"/>
      <c r="W9903" s="5"/>
      <c r="X9903" s="5"/>
      <c r="Y9903" s="5"/>
      <c r="Z9903" s="5"/>
    </row>
    <row r="9904" spans="1:26" ht="15" x14ac:dyDescent="0.25">
      <c r="A9904" s="4" t="s">
        <v>9902</v>
      </c>
      <c r="B9904" s="4" t="s">
        <v>9011</v>
      </c>
      <c r="C9904" s="2" t="str">
        <f ca="1">IFERROR(__xludf.DUMMYFUNCTION("GOOGLETRANSLATE(A9904,""bn"",""en"")"),"To give a gift means to give something from a good heart")</f>
        <v>To give a gift means to give something from a good heart</v>
      </c>
      <c r="D9904" s="5"/>
      <c r="E9904" s="5"/>
      <c r="F9904" s="5"/>
      <c r="G9904" s="5"/>
      <c r="H9904" s="5"/>
      <c r="I9904" s="5"/>
      <c r="J9904" s="5"/>
      <c r="K9904" s="5"/>
      <c r="L9904" s="5"/>
      <c r="M9904" s="5"/>
      <c r="N9904" s="5"/>
      <c r="O9904" s="5"/>
      <c r="P9904" s="5"/>
      <c r="Q9904" s="5"/>
      <c r="R9904" s="5"/>
      <c r="S9904" s="5"/>
      <c r="T9904" s="5"/>
      <c r="U9904" s="5"/>
      <c r="V9904" s="5"/>
      <c r="W9904" s="5"/>
      <c r="X9904" s="5"/>
      <c r="Y9904" s="5"/>
      <c r="Z9904" s="5"/>
    </row>
    <row r="9905" spans="1:26" ht="15" x14ac:dyDescent="0.25">
      <c r="A9905" s="4" t="s">
        <v>9903</v>
      </c>
      <c r="B9905" s="4" t="s">
        <v>9011</v>
      </c>
      <c r="C9905" s="2" t="str">
        <f ca="1">IFERROR(__xludf.DUMMYFUNCTION("GOOGLETRANSLATE(A9905,""bn"",""en"")"),"Old things can be repurposed")</f>
        <v>Old things can be repurposed</v>
      </c>
      <c r="D9905" s="5"/>
      <c r="E9905" s="5"/>
      <c r="F9905" s="5"/>
      <c r="G9905" s="5"/>
      <c r="H9905" s="5"/>
      <c r="I9905" s="5"/>
      <c r="J9905" s="5"/>
      <c r="K9905" s="5"/>
      <c r="L9905" s="5"/>
      <c r="M9905" s="5"/>
      <c r="N9905" s="5"/>
      <c r="O9905" s="5"/>
      <c r="P9905" s="5"/>
      <c r="Q9905" s="5"/>
      <c r="R9905" s="5"/>
      <c r="S9905" s="5"/>
      <c r="T9905" s="5"/>
      <c r="U9905" s="5"/>
      <c r="V9905" s="5"/>
      <c r="W9905" s="5"/>
      <c r="X9905" s="5"/>
      <c r="Y9905" s="5"/>
      <c r="Z9905" s="5"/>
    </row>
    <row r="9906" spans="1:26" ht="15" x14ac:dyDescent="0.25">
      <c r="A9906" s="4" t="s">
        <v>9904</v>
      </c>
      <c r="B9906" s="4" t="s">
        <v>9011</v>
      </c>
      <c r="C9906" s="2" t="str">
        <f ca="1">IFERROR(__xludf.DUMMYFUNCTION("GOOGLETRANSLATE(A9906,""bn"",""en"")"),"He will buy a car in future")</f>
        <v>He will buy a car in future</v>
      </c>
      <c r="D9906" s="5"/>
      <c r="E9906" s="5"/>
      <c r="F9906" s="5"/>
      <c r="G9906" s="5"/>
      <c r="H9906" s="5"/>
      <c r="I9906" s="5"/>
      <c r="J9906" s="5"/>
      <c r="K9906" s="5"/>
      <c r="L9906" s="5"/>
      <c r="M9906" s="5"/>
      <c r="N9906" s="5"/>
      <c r="O9906" s="5"/>
      <c r="P9906" s="5"/>
      <c r="Q9906" s="5"/>
      <c r="R9906" s="5"/>
      <c r="S9906" s="5"/>
      <c r="T9906" s="5"/>
      <c r="U9906" s="5"/>
      <c r="V9906" s="5"/>
      <c r="W9906" s="5"/>
      <c r="X9906" s="5"/>
      <c r="Y9906" s="5"/>
      <c r="Z9906" s="5"/>
    </row>
    <row r="9907" spans="1:26" ht="15" x14ac:dyDescent="0.25">
      <c r="A9907" s="4" t="s">
        <v>9905</v>
      </c>
      <c r="B9907" s="4" t="s">
        <v>9011</v>
      </c>
      <c r="C9907" s="2" t="str">
        <f ca="1">IFERROR(__xludf.DUMMYFUNCTION("GOOGLETRANSLATE(A9907,""bn"",""en"")"),"When they call I will collect all the necessary information")</f>
        <v>When they call I will collect all the necessary information</v>
      </c>
      <c r="D9907" s="5"/>
      <c r="E9907" s="5"/>
      <c r="F9907" s="5"/>
      <c r="G9907" s="5"/>
      <c r="H9907" s="5"/>
      <c r="I9907" s="5"/>
      <c r="J9907" s="5"/>
      <c r="K9907" s="5"/>
      <c r="L9907" s="5"/>
      <c r="M9907" s="5"/>
      <c r="N9907" s="5"/>
      <c r="O9907" s="5"/>
      <c r="P9907" s="5"/>
      <c r="Q9907" s="5"/>
      <c r="R9907" s="5"/>
      <c r="S9907" s="5"/>
      <c r="T9907" s="5"/>
      <c r="U9907" s="5"/>
      <c r="V9907" s="5"/>
      <c r="W9907" s="5"/>
      <c r="X9907" s="5"/>
      <c r="Y9907" s="5"/>
      <c r="Z9907" s="5"/>
    </row>
    <row r="9908" spans="1:26" ht="15" x14ac:dyDescent="0.25">
      <c r="A9908" s="4" t="s">
        <v>9906</v>
      </c>
      <c r="B9908" s="4" t="s">
        <v>9011</v>
      </c>
      <c r="C9908" s="2" t="str">
        <f ca="1">IFERROR(__xludf.DUMMYFUNCTION("GOOGLETRANSLATE(A9908,""bn"",""en"")"),"We will play again next week")</f>
        <v>We will play again next week</v>
      </c>
      <c r="D9908" s="5"/>
      <c r="E9908" s="5"/>
      <c r="F9908" s="5"/>
      <c r="G9908" s="5"/>
      <c r="H9908" s="5"/>
      <c r="I9908" s="5"/>
      <c r="J9908" s="5"/>
      <c r="K9908" s="5"/>
      <c r="L9908" s="5"/>
      <c r="M9908" s="5"/>
      <c r="N9908" s="5"/>
      <c r="O9908" s="5"/>
      <c r="P9908" s="5"/>
      <c r="Q9908" s="5"/>
      <c r="R9908" s="5"/>
      <c r="S9908" s="5"/>
      <c r="T9908" s="5"/>
      <c r="U9908" s="5"/>
      <c r="V9908" s="5"/>
      <c r="W9908" s="5"/>
      <c r="X9908" s="5"/>
      <c r="Y9908" s="5"/>
      <c r="Z9908" s="5"/>
    </row>
    <row r="9909" spans="1:26" ht="15" x14ac:dyDescent="0.25">
      <c r="A9909" s="4" t="s">
        <v>9907</v>
      </c>
      <c r="B9909" s="4" t="s">
        <v>9011</v>
      </c>
      <c r="C9909" s="2" t="str">
        <f ca="1">IFERROR(__xludf.DUMMYFUNCTION("GOOGLETRANSLATE(A9909,""bn"",""en"")"),"Eating sweets and praying Eid prayers will make the mind very calm. Eid Mubarak")</f>
        <v>Eating sweets and praying Eid prayers will make the mind very calm. Eid Mubarak</v>
      </c>
      <c r="D9909" s="5"/>
      <c r="E9909" s="5"/>
      <c r="F9909" s="5"/>
      <c r="G9909" s="5"/>
      <c r="H9909" s="5"/>
      <c r="I9909" s="5"/>
      <c r="J9909" s="5"/>
      <c r="K9909" s="5"/>
      <c r="L9909" s="5"/>
      <c r="M9909" s="5"/>
      <c r="N9909" s="5"/>
      <c r="O9909" s="5"/>
      <c r="P9909" s="5"/>
      <c r="Q9909" s="5"/>
      <c r="R9909" s="5"/>
      <c r="S9909" s="5"/>
      <c r="T9909" s="5"/>
      <c r="U9909" s="5"/>
      <c r="V9909" s="5"/>
      <c r="W9909" s="5"/>
      <c r="X9909" s="5"/>
      <c r="Y9909" s="5"/>
      <c r="Z9909" s="5"/>
    </row>
    <row r="9910" spans="1:26" ht="15" x14ac:dyDescent="0.25">
      <c r="A9910" s="4" t="s">
        <v>9908</v>
      </c>
      <c r="B9910" s="4" t="s">
        <v>9011</v>
      </c>
      <c r="C9910" s="2" t="str">
        <f ca="1">IFERROR(__xludf.DUMMYFUNCTION("GOOGLETRANSLATE(A9910,""bn"",""en"")"),"The fruits of hard work will be sweet. I will dedicate this success to my family")</f>
        <v>The fruits of hard work will be sweet. I will dedicate this success to my family</v>
      </c>
      <c r="D9910" s="5"/>
      <c r="E9910" s="5"/>
      <c r="F9910" s="5"/>
      <c r="G9910" s="5"/>
      <c r="H9910" s="5"/>
      <c r="I9910" s="5"/>
      <c r="J9910" s="5"/>
      <c r="K9910" s="5"/>
      <c r="L9910" s="5"/>
      <c r="M9910" s="5"/>
      <c r="N9910" s="5"/>
      <c r="O9910" s="5"/>
      <c r="P9910" s="5"/>
      <c r="Q9910" s="5"/>
      <c r="R9910" s="5"/>
      <c r="S9910" s="5"/>
      <c r="T9910" s="5"/>
      <c r="U9910" s="5"/>
      <c r="V9910" s="5"/>
      <c r="W9910" s="5"/>
      <c r="X9910" s="5"/>
      <c r="Y9910" s="5"/>
      <c r="Z9910" s="5"/>
    </row>
    <row r="9911" spans="1:26" ht="15" x14ac:dyDescent="0.25">
      <c r="A9911" s="4" t="s">
        <v>9909</v>
      </c>
      <c r="B9911" s="4" t="s">
        <v>9011</v>
      </c>
      <c r="C9911" s="2" t="str">
        <f ca="1">IFERROR(__xludf.DUMMYFUNCTION("GOOGLETRANSLATE(A9911,""bn"",""en"")"),"We will be launching a new eco-friendly project next week that will bring positive change to our society")</f>
        <v>We will be launching a new eco-friendly project next week that will bring positive change to our society</v>
      </c>
      <c r="D9911" s="5"/>
      <c r="E9911" s="5"/>
      <c r="F9911" s="5"/>
      <c r="G9911" s="5"/>
      <c r="H9911" s="5"/>
      <c r="I9911" s="5"/>
      <c r="J9911" s="5"/>
      <c r="K9911" s="5"/>
      <c r="L9911" s="5"/>
      <c r="M9911" s="5"/>
      <c r="N9911" s="5"/>
      <c r="O9911" s="5"/>
      <c r="P9911" s="5"/>
      <c r="Q9911" s="5"/>
      <c r="R9911" s="5"/>
      <c r="S9911" s="5"/>
      <c r="T9911" s="5"/>
      <c r="U9911" s="5"/>
      <c r="V9911" s="5"/>
      <c r="W9911" s="5"/>
      <c r="X9911" s="5"/>
      <c r="Y9911" s="5"/>
      <c r="Z9911" s="5"/>
    </row>
    <row r="9912" spans="1:26" ht="15" x14ac:dyDescent="0.25">
      <c r="A9912" s="4" t="s">
        <v>9910</v>
      </c>
      <c r="B9912" s="4" t="s">
        <v>9011</v>
      </c>
      <c r="C9912" s="2" t="str">
        <f ca="1">IFERROR(__xludf.DUMMYFUNCTION("GOOGLETRANSLATE(A9912,""bn"",""en"")"),"Next month we will participate in a big cultural event where our country's culture will be showcased")</f>
        <v>Next month we will participate in a big cultural event where our country's culture will be showcased</v>
      </c>
      <c r="D9912" s="5"/>
      <c r="E9912" s="5"/>
      <c r="F9912" s="5"/>
      <c r="G9912" s="5"/>
      <c r="H9912" s="5"/>
      <c r="I9912" s="5"/>
      <c r="J9912" s="5"/>
      <c r="K9912" s="5"/>
      <c r="L9912" s="5"/>
      <c r="M9912" s="5"/>
      <c r="N9912" s="5"/>
      <c r="O9912" s="5"/>
      <c r="P9912" s="5"/>
      <c r="Q9912" s="5"/>
      <c r="R9912" s="5"/>
      <c r="S9912" s="5"/>
      <c r="T9912" s="5"/>
      <c r="U9912" s="5"/>
      <c r="V9912" s="5"/>
      <c r="W9912" s="5"/>
      <c r="X9912" s="5"/>
      <c r="Y9912" s="5"/>
      <c r="Z9912" s="5"/>
    </row>
    <row r="9913" spans="1:26" ht="15" x14ac:dyDescent="0.25">
      <c r="A9913" s="4" t="s">
        <v>9911</v>
      </c>
      <c r="B9913" s="4" t="s">
        <v>9011</v>
      </c>
      <c r="C9913" s="2" t="str">
        <f ca="1">IFERROR(__xludf.DUMMYFUNCTION("GOOGLETRANSLATE(A9913,""bn"",""en"")"),"BTS's masterful dance performance will dazzle and entertain the audience")</f>
        <v>BTS's masterful dance performance will dazzle and entertain the audience</v>
      </c>
      <c r="D9913" s="5"/>
      <c r="E9913" s="5"/>
      <c r="F9913" s="5"/>
      <c r="G9913" s="5"/>
      <c r="H9913" s="5"/>
      <c r="I9913" s="5"/>
      <c r="J9913" s="5"/>
      <c r="K9913" s="5"/>
      <c r="L9913" s="5"/>
      <c r="M9913" s="5"/>
      <c r="N9913" s="5"/>
      <c r="O9913" s="5"/>
      <c r="P9913" s="5"/>
      <c r="Q9913" s="5"/>
      <c r="R9913" s="5"/>
      <c r="S9913" s="5"/>
      <c r="T9913" s="5"/>
      <c r="U9913" s="5"/>
      <c r="V9913" s="5"/>
      <c r="W9913" s="5"/>
      <c r="X9913" s="5"/>
      <c r="Y9913" s="5"/>
      <c r="Z9913" s="5"/>
    </row>
    <row r="9914" spans="1:26" ht="15" x14ac:dyDescent="0.25">
      <c r="A9914" s="4" t="s">
        <v>9912</v>
      </c>
      <c r="B9914" s="4" t="s">
        <v>9011</v>
      </c>
      <c r="C9914" s="2" t="str">
        <f ca="1">IFERROR(__xludf.DUMMYFUNCTION("GOOGLETRANSLATE(A9914,""bn"",""en"")"),"He will be able to fulfill his dreams because he will develop himself through hard work and perseverance.")</f>
        <v>He will be able to fulfill his dreams because he will develop himself through hard work and perseverance.</v>
      </c>
      <c r="D9914" s="5"/>
      <c r="E9914" s="5"/>
      <c r="F9914" s="5"/>
      <c r="G9914" s="5"/>
      <c r="H9914" s="5"/>
      <c r="I9914" s="5"/>
      <c r="J9914" s="5"/>
      <c r="K9914" s="5"/>
      <c r="L9914" s="5"/>
      <c r="M9914" s="5"/>
      <c r="N9914" s="5"/>
      <c r="O9914" s="5"/>
      <c r="P9914" s="5"/>
      <c r="Q9914" s="5"/>
      <c r="R9914" s="5"/>
      <c r="S9914" s="5"/>
      <c r="T9914" s="5"/>
      <c r="U9914" s="5"/>
      <c r="V9914" s="5"/>
      <c r="W9914" s="5"/>
      <c r="X9914" s="5"/>
      <c r="Y9914" s="5"/>
      <c r="Z9914" s="5"/>
    </row>
    <row r="9915" spans="1:26" ht="15" x14ac:dyDescent="0.25">
      <c r="A9915" s="4" t="s">
        <v>9913</v>
      </c>
      <c r="B9915" s="4" t="s">
        <v>9011</v>
      </c>
      <c r="C9915" s="2" t="str">
        <f ca="1">IFERROR(__xludf.DUMMYFUNCTION("GOOGLETRANSLATE(A9915,""bn"",""en"")"),"Seeing this gift, I will understand that no one has forgotten me. Today is neither my birthday nor my wedding anniversary, but I will be truly blessed with your love for such a beautiful gift.")</f>
        <v>Seeing this gift, I will understand that no one has forgotten me. Today is neither my birthday nor my wedding anniversary, but I will be truly blessed with your love for such a beautiful gift.</v>
      </c>
      <c r="D9915" s="5"/>
      <c r="E9915" s="5"/>
      <c r="F9915" s="5"/>
      <c r="G9915" s="5"/>
      <c r="H9915" s="5"/>
      <c r="I9915" s="5"/>
      <c r="J9915" s="5"/>
      <c r="K9915" s="5"/>
      <c r="L9915" s="5"/>
      <c r="M9915" s="5"/>
      <c r="N9915" s="5"/>
      <c r="O9915" s="5"/>
      <c r="P9915" s="5"/>
      <c r="Q9915" s="5"/>
      <c r="R9915" s="5"/>
      <c r="S9915" s="5"/>
      <c r="T9915" s="5"/>
      <c r="U9915" s="5"/>
      <c r="V9915" s="5"/>
      <c r="W9915" s="5"/>
      <c r="X9915" s="5"/>
      <c r="Y9915" s="5"/>
      <c r="Z9915" s="5"/>
    </row>
    <row r="9916" spans="1:26" ht="15" x14ac:dyDescent="0.25">
      <c r="A9916" s="4" t="s">
        <v>9914</v>
      </c>
      <c r="B9916" s="4" t="s">
        <v>9011</v>
      </c>
      <c r="C9916" s="2" t="str">
        <f ca="1">IFERROR(__xludf.DUMMYFUNCTION("GOOGLETRANSLATE(A9916,""bn"",""en"")"),"But I didn't know that apart from building a career, I also have to learn reality")</f>
        <v>But I didn't know that apart from building a career, I also have to learn reality</v>
      </c>
      <c r="D9916" s="5"/>
      <c r="E9916" s="5"/>
      <c r="F9916" s="5"/>
      <c r="G9916" s="5"/>
      <c r="H9916" s="5"/>
      <c r="I9916" s="5"/>
      <c r="J9916" s="5"/>
      <c r="K9916" s="5"/>
      <c r="L9916" s="5"/>
      <c r="M9916" s="5"/>
      <c r="N9916" s="5"/>
      <c r="O9916" s="5"/>
      <c r="P9916" s="5"/>
      <c r="Q9916" s="5"/>
      <c r="R9916" s="5"/>
      <c r="S9916" s="5"/>
      <c r="T9916" s="5"/>
      <c r="U9916" s="5"/>
      <c r="V9916" s="5"/>
      <c r="W9916" s="5"/>
      <c r="X9916" s="5"/>
      <c r="Y9916" s="5"/>
      <c r="Z9916" s="5"/>
    </row>
    <row r="9917" spans="1:26" ht="15" x14ac:dyDescent="0.25">
      <c r="A9917" s="4" t="s">
        <v>9915</v>
      </c>
      <c r="B9917" s="4" t="s">
        <v>9011</v>
      </c>
      <c r="C9917" s="2" t="str">
        <f ca="1">IFERROR(__xludf.DUMMYFUNCTION("GOOGLETRANSLATE(A9917,""bn"",""en"")"),"I am getting addicted to the guitar every day, my fingers will hurt, but why would it be nice to learn something new?")</f>
        <v>I am getting addicted to the guitar every day, my fingers will hurt, but why would it be nice to learn something new?</v>
      </c>
      <c r="D9917" s="5"/>
      <c r="E9917" s="5"/>
      <c r="F9917" s="5"/>
      <c r="G9917" s="5"/>
      <c r="H9917" s="5"/>
      <c r="I9917" s="5"/>
      <c r="J9917" s="5"/>
      <c r="K9917" s="5"/>
      <c r="L9917" s="5"/>
      <c r="M9917" s="5"/>
      <c r="N9917" s="5"/>
      <c r="O9917" s="5"/>
      <c r="P9917" s="5"/>
      <c r="Q9917" s="5"/>
      <c r="R9917" s="5"/>
      <c r="S9917" s="5"/>
      <c r="T9917" s="5"/>
      <c r="U9917" s="5"/>
      <c r="V9917" s="5"/>
      <c r="W9917" s="5"/>
      <c r="X9917" s="5"/>
      <c r="Y9917" s="5"/>
      <c r="Z9917" s="5"/>
    </row>
    <row r="9918" spans="1:26" ht="15" x14ac:dyDescent="0.25">
      <c r="A9918" s="4" t="s">
        <v>9916</v>
      </c>
      <c r="B9918" s="4" t="s">
        <v>9011</v>
      </c>
      <c r="C9918" s="2" t="str">
        <f ca="1">IFERROR(__xludf.DUMMYFUNCTION("GOOGLETRANSLATE(A9918,""bn"",""en"")"),"I will create an eco-friendly transportation system that will help reduce air pollution")</f>
        <v>I will create an eco-friendly transportation system that will help reduce air pollution</v>
      </c>
      <c r="D9918" s="5"/>
      <c r="E9918" s="5"/>
      <c r="F9918" s="5"/>
      <c r="G9918" s="5"/>
      <c r="H9918" s="5"/>
      <c r="I9918" s="5"/>
      <c r="J9918" s="5"/>
      <c r="K9918" s="5"/>
      <c r="L9918" s="5"/>
      <c r="M9918" s="5"/>
      <c r="N9918" s="5"/>
      <c r="O9918" s="5"/>
      <c r="P9918" s="5"/>
      <c r="Q9918" s="5"/>
      <c r="R9918" s="5"/>
      <c r="S9918" s="5"/>
      <c r="T9918" s="5"/>
      <c r="U9918" s="5"/>
      <c r="V9918" s="5"/>
      <c r="W9918" s="5"/>
      <c r="X9918" s="5"/>
      <c r="Y9918" s="5"/>
      <c r="Z9918" s="5"/>
    </row>
    <row r="9919" spans="1:26" ht="15" x14ac:dyDescent="0.25">
      <c r="A9919" s="4" t="s">
        <v>9917</v>
      </c>
      <c r="B9919" s="4" t="s">
        <v>9011</v>
      </c>
      <c r="C9919" s="2" t="str">
        <f ca="1">IFERROR(__xludf.DUMMYFUNCTION("GOOGLETRANSLATE(A9919,""bn"",""en"")"),"I will go to buy screen protector for new mobile phone tomorrow")</f>
        <v>I will go to buy screen protector for new mobile phone tomorrow</v>
      </c>
      <c r="D9919" s="5"/>
      <c r="E9919" s="5"/>
      <c r="F9919" s="5"/>
      <c r="G9919" s="5"/>
      <c r="H9919" s="5"/>
      <c r="I9919" s="5"/>
      <c r="J9919" s="5"/>
      <c r="K9919" s="5"/>
      <c r="L9919" s="5"/>
      <c r="M9919" s="5"/>
      <c r="N9919" s="5"/>
      <c r="O9919" s="5"/>
      <c r="P9919" s="5"/>
      <c r="Q9919" s="5"/>
      <c r="R9919" s="5"/>
      <c r="S9919" s="5"/>
      <c r="T9919" s="5"/>
      <c r="U9919" s="5"/>
      <c r="V9919" s="5"/>
      <c r="W9919" s="5"/>
      <c r="X9919" s="5"/>
      <c r="Y9919" s="5"/>
      <c r="Z9919" s="5"/>
    </row>
    <row r="9920" spans="1:26" ht="15" x14ac:dyDescent="0.25">
      <c r="A9920" s="4" t="s">
        <v>9918</v>
      </c>
      <c r="B9920" s="4" t="s">
        <v>9011</v>
      </c>
      <c r="C9920" s="2" t="str">
        <f ca="1">IFERROR(__xludf.DUMMYFUNCTION("GOOGLETRANSLATE(A9920,""bn"",""en"")"),"You will attend a seminar next month on advanced food safety technology")</f>
        <v>You will attend a seminar next month on advanced food safety technology</v>
      </c>
      <c r="D9920" s="5"/>
      <c r="E9920" s="5"/>
      <c r="F9920" s="5"/>
      <c r="G9920" s="5"/>
      <c r="H9920" s="5"/>
      <c r="I9920" s="5"/>
      <c r="J9920" s="5"/>
      <c r="K9920" s="5"/>
      <c r="L9920" s="5"/>
      <c r="M9920" s="5"/>
      <c r="N9920" s="5"/>
      <c r="O9920" s="5"/>
      <c r="P9920" s="5"/>
      <c r="Q9920" s="5"/>
      <c r="R9920" s="5"/>
      <c r="S9920" s="5"/>
      <c r="T9920" s="5"/>
      <c r="U9920" s="5"/>
      <c r="V9920" s="5"/>
      <c r="W9920" s="5"/>
      <c r="X9920" s="5"/>
      <c r="Y9920" s="5"/>
      <c r="Z9920" s="5"/>
    </row>
    <row r="9921" spans="1:26" ht="15" x14ac:dyDescent="0.25">
      <c r="A9921" s="4" t="s">
        <v>9919</v>
      </c>
      <c r="B9921" s="4" t="s">
        <v>9011</v>
      </c>
      <c r="C9921" s="2" t="str">
        <f ca="1">IFERROR(__xludf.DUMMYFUNCTION("GOOGLETRANSLATE(A9921,""bn"",""en"")"),"Your thoughts will impress me more than the gifts. Thank you all")</f>
        <v>Your thoughts will impress me more than the gifts. Thank you all</v>
      </c>
      <c r="D9921" s="5"/>
      <c r="E9921" s="5"/>
      <c r="F9921" s="5"/>
      <c r="G9921" s="5"/>
      <c r="H9921" s="5"/>
      <c r="I9921" s="5"/>
      <c r="J9921" s="5"/>
      <c r="K9921" s="5"/>
      <c r="L9921" s="5"/>
      <c r="M9921" s="5"/>
      <c r="N9921" s="5"/>
      <c r="O9921" s="5"/>
      <c r="P9921" s="5"/>
      <c r="Q9921" s="5"/>
      <c r="R9921" s="5"/>
      <c r="S9921" s="5"/>
      <c r="T9921" s="5"/>
      <c r="U9921" s="5"/>
      <c r="V9921" s="5"/>
      <c r="W9921" s="5"/>
      <c r="X9921" s="5"/>
      <c r="Y9921" s="5"/>
      <c r="Z9921" s="5"/>
    </row>
    <row r="9922" spans="1:26" ht="15" x14ac:dyDescent="0.25">
      <c r="A9922" s="4" t="s">
        <v>9920</v>
      </c>
      <c r="B9922" s="4" t="s">
        <v>9011</v>
      </c>
      <c r="C9922" s="2" t="str">
        <f ca="1">IFERROR(__xludf.DUMMYFUNCTION("GOOGLETRANSLATE(A9922,""bn"",""en"")"),"Next vacation I will go camping with my friends where we will all have fun together")</f>
        <v>Next vacation I will go camping with my friends where we will all have fun together</v>
      </c>
      <c r="D9922" s="5"/>
      <c r="E9922" s="5"/>
      <c r="F9922" s="5"/>
      <c r="G9922" s="5"/>
      <c r="H9922" s="5"/>
      <c r="I9922" s="5"/>
      <c r="J9922" s="5"/>
      <c r="K9922" s="5"/>
      <c r="L9922" s="5"/>
      <c r="M9922" s="5"/>
      <c r="N9922" s="5"/>
      <c r="O9922" s="5"/>
      <c r="P9922" s="5"/>
      <c r="Q9922" s="5"/>
      <c r="R9922" s="5"/>
      <c r="S9922" s="5"/>
      <c r="T9922" s="5"/>
      <c r="U9922" s="5"/>
      <c r="V9922" s="5"/>
      <c r="W9922" s="5"/>
      <c r="X9922" s="5"/>
      <c r="Y9922" s="5"/>
      <c r="Z9922" s="5"/>
    </row>
    <row r="9923" spans="1:26" ht="15" x14ac:dyDescent="0.25">
      <c r="A9923" s="4" t="s">
        <v>9921</v>
      </c>
      <c r="B9923" s="4" t="s">
        <v>9011</v>
      </c>
      <c r="C9923" s="2" t="str">
        <f ca="1">IFERROR(__xludf.DUMMYFUNCTION("GOOGLETRANSLATE(A9923,""bn"",""en"")"),"Will you continue to support us?")</f>
        <v>Will you continue to support us?</v>
      </c>
      <c r="D9923" s="5"/>
      <c r="E9923" s="5"/>
      <c r="F9923" s="5"/>
      <c r="G9923" s="5"/>
      <c r="H9923" s="5"/>
      <c r="I9923" s="5"/>
      <c r="J9923" s="5"/>
      <c r="K9923" s="5"/>
      <c r="L9923" s="5"/>
      <c r="M9923" s="5"/>
      <c r="N9923" s="5"/>
      <c r="O9923" s="5"/>
      <c r="P9923" s="5"/>
      <c r="Q9923" s="5"/>
      <c r="R9923" s="5"/>
      <c r="S9923" s="5"/>
      <c r="T9923" s="5"/>
      <c r="U9923" s="5"/>
      <c r="V9923" s="5"/>
      <c r="W9923" s="5"/>
      <c r="X9923" s="5"/>
      <c r="Y9923" s="5"/>
      <c r="Z9923" s="5"/>
    </row>
    <row r="9924" spans="1:26" ht="15" x14ac:dyDescent="0.25">
      <c r="A9924" s="4" t="s">
        <v>9922</v>
      </c>
      <c r="B9924" s="4" t="s">
        <v>9011</v>
      </c>
      <c r="C9924" s="2" t="str">
        <f ca="1">IFERROR(__xludf.DUMMYFUNCTION("GOOGLETRANSLATE(A9924,""bn"",""en"")"),"Panchmisheli dal will be the backbone of Bengali cuisine")</f>
        <v>Panchmisheli dal will be the backbone of Bengali cuisine</v>
      </c>
      <c r="D9924" s="5"/>
      <c r="E9924" s="5"/>
      <c r="F9924" s="5"/>
      <c r="G9924" s="5"/>
      <c r="H9924" s="5"/>
      <c r="I9924" s="5"/>
      <c r="J9924" s="5"/>
      <c r="K9924" s="5"/>
      <c r="L9924" s="5"/>
      <c r="M9924" s="5"/>
      <c r="N9924" s="5"/>
      <c r="O9924" s="5"/>
      <c r="P9924" s="5"/>
      <c r="Q9924" s="5"/>
      <c r="R9924" s="5"/>
      <c r="S9924" s="5"/>
      <c r="T9924" s="5"/>
      <c r="U9924" s="5"/>
      <c r="V9924" s="5"/>
      <c r="W9924" s="5"/>
      <c r="X9924" s="5"/>
      <c r="Y9924" s="5"/>
      <c r="Z9924" s="5"/>
    </row>
    <row r="9925" spans="1:26" ht="15" x14ac:dyDescent="0.25">
      <c r="A9925" s="4" t="s">
        <v>9923</v>
      </c>
      <c r="B9925" s="4" t="s">
        <v>9011</v>
      </c>
      <c r="C9925" s="2" t="str">
        <f ca="1">IFERROR(__xludf.DUMMYFUNCTION("GOOGLETRANSLATE(A9925,""bn"",""en"")"),"They will invent a new technology tomorrow")</f>
        <v>They will invent a new technology tomorrow</v>
      </c>
      <c r="D9925" s="5"/>
      <c r="E9925" s="5"/>
      <c r="F9925" s="5"/>
      <c r="G9925" s="5"/>
      <c r="H9925" s="5"/>
      <c r="I9925" s="5"/>
      <c r="J9925" s="5"/>
      <c r="K9925" s="5"/>
      <c r="L9925" s="5"/>
      <c r="M9925" s="5"/>
      <c r="N9925" s="5"/>
      <c r="O9925" s="5"/>
      <c r="P9925" s="5"/>
      <c r="Q9925" s="5"/>
      <c r="R9925" s="5"/>
      <c r="S9925" s="5"/>
      <c r="T9925" s="5"/>
      <c r="U9925" s="5"/>
      <c r="V9925" s="5"/>
      <c r="W9925" s="5"/>
      <c r="X9925" s="5"/>
      <c r="Y9925" s="5"/>
      <c r="Z9925" s="5"/>
    </row>
    <row r="9926" spans="1:26" ht="15" x14ac:dyDescent="0.25">
      <c r="A9926" s="4" t="s">
        <v>9924</v>
      </c>
      <c r="B9926" s="4" t="s">
        <v>9011</v>
      </c>
      <c r="C9926" s="2" t="str">
        <f ca="1">IFERROR(__xludf.DUMMYFUNCTION("GOOGLETRANSLATE(A9926,""bn"",""en"")"),"There is no comparison to the taste of rasgolla in mother's hands")</f>
        <v>There is no comparison to the taste of rasgolla in mother's hands</v>
      </c>
      <c r="D9926" s="5"/>
      <c r="E9926" s="5"/>
      <c r="F9926" s="5"/>
      <c r="G9926" s="5"/>
      <c r="H9926" s="5"/>
      <c r="I9926" s="5"/>
      <c r="J9926" s="5"/>
      <c r="K9926" s="5"/>
      <c r="L9926" s="5"/>
      <c r="M9926" s="5"/>
      <c r="N9926" s="5"/>
      <c r="O9926" s="5"/>
      <c r="P9926" s="5"/>
      <c r="Q9926" s="5"/>
      <c r="R9926" s="5"/>
      <c r="S9926" s="5"/>
      <c r="T9926" s="5"/>
      <c r="U9926" s="5"/>
      <c r="V9926" s="5"/>
      <c r="W9926" s="5"/>
      <c r="X9926" s="5"/>
      <c r="Y9926" s="5"/>
      <c r="Z9926" s="5"/>
    </row>
    <row r="9927" spans="1:26" ht="15" x14ac:dyDescent="0.25">
      <c r="A9927" s="4" t="s">
        <v>9925</v>
      </c>
      <c r="B9927" s="4" t="s">
        <v>9011</v>
      </c>
      <c r="C9927" s="2" t="str">
        <f ca="1">IFERROR(__xludf.DUMMYFUNCTION("GOOGLETRANSLATE(A9927,""bn"",""en"")"),"They will actually deliver a larger project next month that will bring change to society")</f>
        <v>They will actually deliver a larger project next month that will bring change to society</v>
      </c>
      <c r="D9927" s="5"/>
      <c r="E9927" s="5"/>
      <c r="F9927" s="5"/>
      <c r="G9927" s="5"/>
      <c r="H9927" s="5"/>
      <c r="I9927" s="5"/>
      <c r="J9927" s="5"/>
      <c r="K9927" s="5"/>
      <c r="L9927" s="5"/>
      <c r="M9927" s="5"/>
      <c r="N9927" s="5"/>
      <c r="O9927" s="5"/>
      <c r="P9927" s="5"/>
      <c r="Q9927" s="5"/>
      <c r="R9927" s="5"/>
      <c r="S9927" s="5"/>
      <c r="T9927" s="5"/>
      <c r="U9927" s="5"/>
      <c r="V9927" s="5"/>
      <c r="W9927" s="5"/>
      <c r="X9927" s="5"/>
      <c r="Y9927" s="5"/>
      <c r="Z9927" s="5"/>
    </row>
    <row r="9928" spans="1:26" ht="15" x14ac:dyDescent="0.25">
      <c r="A9928" s="4" t="s">
        <v>9926</v>
      </c>
      <c r="B9928" s="4" t="s">
        <v>9011</v>
      </c>
      <c r="C9928" s="2" t="str">
        <f ca="1">IFERROR(__xludf.DUMMYFUNCTION("GOOGLETRANSLATE(A9928,""bn"",""en"")"),"Next week we will organize a charity event where we will help poor people")</f>
        <v>Next week we will organize a charity event where we will help poor people</v>
      </c>
      <c r="D9928" s="5"/>
      <c r="E9928" s="5"/>
      <c r="F9928" s="5"/>
      <c r="G9928" s="5"/>
      <c r="H9928" s="5"/>
      <c r="I9928" s="5"/>
      <c r="J9928" s="5"/>
      <c r="K9928" s="5"/>
      <c r="L9928" s="5"/>
      <c r="M9928" s="5"/>
      <c r="N9928" s="5"/>
      <c r="O9928" s="5"/>
      <c r="P9928" s="5"/>
      <c r="Q9928" s="5"/>
      <c r="R9928" s="5"/>
      <c r="S9928" s="5"/>
      <c r="T9928" s="5"/>
      <c r="U9928" s="5"/>
      <c r="V9928" s="5"/>
      <c r="W9928" s="5"/>
      <c r="X9928" s="5"/>
      <c r="Y9928" s="5"/>
      <c r="Z9928" s="5"/>
    </row>
    <row r="9929" spans="1:26" ht="15" x14ac:dyDescent="0.25">
      <c r="A9929" s="4" t="s">
        <v>9927</v>
      </c>
      <c r="B9929" s="4" t="s">
        <v>9011</v>
      </c>
      <c r="C9929" s="2" t="str">
        <f ca="1">IFERROR(__xludf.DUMMYFUNCTION("GOOGLETRANSLATE(A9929,""bn"",""en"")"),"I will develop a training program for teachers that will teach them about modern teaching methods")</f>
        <v>I will develop a training program for teachers that will teach them about modern teaching methods</v>
      </c>
      <c r="D9929" s="5"/>
      <c r="E9929" s="5"/>
      <c r="F9929" s="5"/>
      <c r="G9929" s="5"/>
      <c r="H9929" s="5"/>
      <c r="I9929" s="5"/>
      <c r="J9929" s="5"/>
      <c r="K9929" s="5"/>
      <c r="L9929" s="5"/>
      <c r="M9929" s="5"/>
      <c r="N9929" s="5"/>
      <c r="O9929" s="5"/>
      <c r="P9929" s="5"/>
      <c r="Q9929" s="5"/>
      <c r="R9929" s="5"/>
      <c r="S9929" s="5"/>
      <c r="T9929" s="5"/>
      <c r="U9929" s="5"/>
      <c r="V9929" s="5"/>
      <c r="W9929" s="5"/>
      <c r="X9929" s="5"/>
      <c r="Y9929" s="5"/>
      <c r="Z9929" s="5"/>
    </row>
    <row r="9930" spans="1:26" ht="15" x14ac:dyDescent="0.25">
      <c r="A9930" s="4" t="s">
        <v>9928</v>
      </c>
      <c r="B9930" s="4" t="s">
        <v>9011</v>
      </c>
      <c r="C9930" s="2" t="str">
        <f ca="1">IFERROR(__xludf.DUMMYFUNCTION("GOOGLETRANSLATE(A9930,""bn"",""en"")"),"I will write an essay tomorrow on qualitative research methods")</f>
        <v>I will write an essay tomorrow on qualitative research methods</v>
      </c>
      <c r="D9930" s="5"/>
      <c r="E9930" s="5"/>
      <c r="F9930" s="5"/>
      <c r="G9930" s="5"/>
      <c r="H9930" s="5"/>
      <c r="I9930" s="5"/>
      <c r="J9930" s="5"/>
      <c r="K9930" s="5"/>
      <c r="L9930" s="5"/>
      <c r="M9930" s="5"/>
      <c r="N9930" s="5"/>
      <c r="O9930" s="5"/>
      <c r="P9930" s="5"/>
      <c r="Q9930" s="5"/>
      <c r="R9930" s="5"/>
      <c r="S9930" s="5"/>
      <c r="T9930" s="5"/>
      <c r="U9930" s="5"/>
      <c r="V9930" s="5"/>
      <c r="W9930" s="5"/>
      <c r="X9930" s="5"/>
      <c r="Y9930" s="5"/>
      <c r="Z9930" s="5"/>
    </row>
    <row r="9931" spans="1:26" ht="15" x14ac:dyDescent="0.25">
      <c r="A9931" s="4" t="s">
        <v>9929</v>
      </c>
      <c r="B9931" s="4" t="s">
        <v>9011</v>
      </c>
      <c r="C9931" s="2" t="str">
        <f ca="1">IFERROR(__xludf.DUMMYFUNCTION("GOOGLETRANSLATE(A9931,""bn"",""en"")"),"He will complete all his projects on time when the material he needs is collected")</f>
        <v>He will complete all his projects on time when the material he needs is collected</v>
      </c>
      <c r="D9931" s="5"/>
      <c r="E9931" s="5"/>
      <c r="F9931" s="5"/>
      <c r="G9931" s="5"/>
      <c r="H9931" s="5"/>
      <c r="I9931" s="5"/>
      <c r="J9931" s="5"/>
      <c r="K9931" s="5"/>
      <c r="L9931" s="5"/>
      <c r="M9931" s="5"/>
      <c r="N9931" s="5"/>
      <c r="O9931" s="5"/>
      <c r="P9931" s="5"/>
      <c r="Q9931" s="5"/>
      <c r="R9931" s="5"/>
      <c r="S9931" s="5"/>
      <c r="T9931" s="5"/>
      <c r="U9931" s="5"/>
      <c r="V9931" s="5"/>
      <c r="W9931" s="5"/>
      <c r="X9931" s="5"/>
      <c r="Y9931" s="5"/>
      <c r="Z9931" s="5"/>
    </row>
    <row r="9932" spans="1:26" ht="15" x14ac:dyDescent="0.25">
      <c r="A9932" s="4" t="s">
        <v>9930</v>
      </c>
      <c r="B9932" s="4" t="s">
        <v>9011</v>
      </c>
      <c r="C9932" s="2" t="str">
        <f ca="1">IFERROR(__xludf.DUMMYFUNCTION("GOOGLETRANSLATE(A9932,""bn"",""en"")"),"Going through old albums with family will bring back memories")</f>
        <v>Going through old albums with family will bring back memories</v>
      </c>
      <c r="D9932" s="5"/>
      <c r="E9932" s="5"/>
      <c r="F9932" s="5"/>
      <c r="G9932" s="5"/>
      <c r="H9932" s="5"/>
      <c r="I9932" s="5"/>
      <c r="J9932" s="5"/>
      <c r="K9932" s="5"/>
      <c r="L9932" s="5"/>
      <c r="M9932" s="5"/>
      <c r="N9932" s="5"/>
      <c r="O9932" s="5"/>
      <c r="P9932" s="5"/>
      <c r="Q9932" s="5"/>
      <c r="R9932" s="5"/>
      <c r="S9932" s="5"/>
      <c r="T9932" s="5"/>
      <c r="U9932" s="5"/>
      <c r="V9932" s="5"/>
      <c r="W9932" s="5"/>
      <c r="X9932" s="5"/>
      <c r="Y9932" s="5"/>
      <c r="Z9932" s="5"/>
    </row>
    <row r="9933" spans="1:26" ht="15" x14ac:dyDescent="0.25">
      <c r="A9933" s="4" t="s">
        <v>9931</v>
      </c>
      <c r="B9933" s="4" t="s">
        <v>9011</v>
      </c>
      <c r="C9933" s="2" t="str">
        <f ca="1">IFERROR(__xludf.DUMMYFUNCTION("GOOGLETRANSLATE(A9933,""bn"",""en"")"),"He will start a new business in the future")</f>
        <v>He will start a new business in the future</v>
      </c>
      <c r="D9933" s="5"/>
      <c r="E9933" s="5"/>
      <c r="F9933" s="5"/>
      <c r="G9933" s="5"/>
      <c r="H9933" s="5"/>
      <c r="I9933" s="5"/>
      <c r="J9933" s="5"/>
      <c r="K9933" s="5"/>
      <c r="L9933" s="5"/>
      <c r="M9933" s="5"/>
      <c r="N9933" s="5"/>
      <c r="O9933" s="5"/>
      <c r="P9933" s="5"/>
      <c r="Q9933" s="5"/>
      <c r="R9933" s="5"/>
      <c r="S9933" s="5"/>
      <c r="T9933" s="5"/>
      <c r="U9933" s="5"/>
      <c r="V9933" s="5"/>
      <c r="W9933" s="5"/>
      <c r="X9933" s="5"/>
      <c r="Y9933" s="5"/>
      <c r="Z9933" s="5"/>
    </row>
    <row r="9934" spans="1:26" ht="15" x14ac:dyDescent="0.25">
      <c r="A9934" s="4" t="s">
        <v>9932</v>
      </c>
      <c r="B9934" s="4" t="s">
        <v>9011</v>
      </c>
      <c r="C9934" s="2" t="str">
        <f ca="1">IFERROR(__xludf.DUMMYFUNCTION("GOOGLETRANSLATE(A9934,""bn"",""en"")"),"This picture will make you forget your sadness")</f>
        <v>This picture will make you forget your sadness</v>
      </c>
      <c r="D9934" s="5"/>
      <c r="E9934" s="5"/>
      <c r="F9934" s="5"/>
      <c r="G9934" s="5"/>
      <c r="H9934" s="5"/>
      <c r="I9934" s="5"/>
      <c r="J9934" s="5"/>
      <c r="K9934" s="5"/>
      <c r="L9934" s="5"/>
      <c r="M9934" s="5"/>
      <c r="N9934" s="5"/>
      <c r="O9934" s="5"/>
      <c r="P9934" s="5"/>
      <c r="Q9934" s="5"/>
      <c r="R9934" s="5"/>
      <c r="S9934" s="5"/>
      <c r="T9934" s="5"/>
      <c r="U9934" s="5"/>
      <c r="V9934" s="5"/>
      <c r="W9934" s="5"/>
      <c r="X9934" s="5"/>
      <c r="Y9934" s="5"/>
      <c r="Z9934" s="5"/>
    </row>
    <row r="9935" spans="1:26" ht="15" x14ac:dyDescent="0.25">
      <c r="A9935" s="4" t="s">
        <v>9933</v>
      </c>
      <c r="B9935" s="4" t="s">
        <v>9011</v>
      </c>
      <c r="C9935" s="2" t="str">
        <f ca="1">IFERROR(__xludf.DUMMYFUNCTION("GOOGLETRANSLATE(A9935,""bn"",""en"")"),"How long will it take to enjoy eating food from the hands of a child like a child?")</f>
        <v>How long will it take to enjoy eating food from the hands of a child like a child?</v>
      </c>
      <c r="D9935" s="5"/>
      <c r="E9935" s="5"/>
      <c r="F9935" s="5"/>
      <c r="G9935" s="5"/>
      <c r="H9935" s="5"/>
      <c r="I9935" s="5"/>
      <c r="J9935" s="5"/>
      <c r="K9935" s="5"/>
      <c r="L9935" s="5"/>
      <c r="M9935" s="5"/>
      <c r="N9935" s="5"/>
      <c r="O9935" s="5"/>
      <c r="P9935" s="5"/>
      <c r="Q9935" s="5"/>
      <c r="R9935" s="5"/>
      <c r="S9935" s="5"/>
      <c r="T9935" s="5"/>
      <c r="U9935" s="5"/>
      <c r="V9935" s="5"/>
      <c r="W9935" s="5"/>
      <c r="X9935" s="5"/>
      <c r="Y9935" s="5"/>
      <c r="Z9935" s="5"/>
    </row>
    <row r="9936" spans="1:26" ht="15" x14ac:dyDescent="0.25">
      <c r="A9936" s="4" t="s">
        <v>9934</v>
      </c>
      <c r="B9936" s="4" t="s">
        <v>9011</v>
      </c>
      <c r="C9936" s="2" t="str">
        <f ca="1">IFERROR(__xludf.DUMMYFUNCTION("GOOGLETRANSLATE(A9936,""bn"",""en"")"),"You will participate in a music competition next week where your talent will be judged")</f>
        <v>You will participate in a music competition next week where your talent will be judged</v>
      </c>
      <c r="D9936" s="5"/>
      <c r="E9936" s="5"/>
      <c r="F9936" s="5"/>
      <c r="G9936" s="5"/>
      <c r="H9936" s="5"/>
      <c r="I9936" s="5"/>
      <c r="J9936" s="5"/>
      <c r="K9936" s="5"/>
      <c r="L9936" s="5"/>
      <c r="M9936" s="5"/>
      <c r="N9936" s="5"/>
      <c r="O9936" s="5"/>
      <c r="P9936" s="5"/>
      <c r="Q9936" s="5"/>
      <c r="R9936" s="5"/>
      <c r="S9936" s="5"/>
      <c r="T9936" s="5"/>
      <c r="U9936" s="5"/>
      <c r="V9936" s="5"/>
      <c r="W9936" s="5"/>
      <c r="X9936" s="5"/>
      <c r="Y9936" s="5"/>
      <c r="Z9936" s="5"/>
    </row>
    <row r="9937" spans="1:26" ht="15" x14ac:dyDescent="0.25">
      <c r="A9937" s="4" t="s">
        <v>9935</v>
      </c>
      <c r="B9937" s="4" t="s">
        <v>9011</v>
      </c>
      <c r="C9937" s="2" t="str">
        <f ca="1">IFERROR(__xludf.DUMMYFUNCTION("GOOGLETRANSLATE(A9937,""bn"",""en"")"),"Memories will always be dear to the heart, even as time fades")</f>
        <v>Memories will always be dear to the heart, even as time fades</v>
      </c>
      <c r="D9937" s="5"/>
      <c r="E9937" s="5"/>
      <c r="F9937" s="5"/>
      <c r="G9937" s="5"/>
      <c r="H9937" s="5"/>
      <c r="I9937" s="5"/>
      <c r="J9937" s="5"/>
      <c r="K9937" s="5"/>
      <c r="L9937" s="5"/>
      <c r="M9937" s="5"/>
      <c r="N9937" s="5"/>
      <c r="O9937" s="5"/>
      <c r="P9937" s="5"/>
      <c r="Q9937" s="5"/>
      <c r="R9937" s="5"/>
      <c r="S9937" s="5"/>
      <c r="T9937" s="5"/>
      <c r="U9937" s="5"/>
      <c r="V9937" s="5"/>
      <c r="W9937" s="5"/>
      <c r="X9937" s="5"/>
      <c r="Y9937" s="5"/>
      <c r="Z9937" s="5"/>
    </row>
    <row r="9938" spans="1:26" ht="15" x14ac:dyDescent="0.25">
      <c r="A9938" s="4" t="s">
        <v>9936</v>
      </c>
      <c r="B9938" s="4" t="s">
        <v>9011</v>
      </c>
      <c r="C9938" s="2" t="str">
        <f ca="1">IFERROR(__xludf.DUMMYFUNCTION("GOOGLETRANSLATE(A9938,""bn"",""en"")"),"The Fire of Happiness Poet Saratchandra Chatterjee This poem by Saratchandra Chatterjee will express the reflection of happiness with joy in the whole, his thoughts and words will play light for the joy of the mind.")</f>
        <v>The Fire of Happiness Poet Saratchandra Chatterjee This poem by Saratchandra Chatterjee will express the reflection of happiness with joy in the whole, his thoughts and words will play light for the joy of the mind.</v>
      </c>
      <c r="D9938" s="5"/>
      <c r="E9938" s="5"/>
      <c r="F9938" s="5"/>
      <c r="G9938" s="5"/>
      <c r="H9938" s="5"/>
      <c r="I9938" s="5"/>
      <c r="J9938" s="5"/>
      <c r="K9938" s="5"/>
      <c r="L9938" s="5"/>
      <c r="M9938" s="5"/>
      <c r="N9938" s="5"/>
      <c r="O9938" s="5"/>
      <c r="P9938" s="5"/>
      <c r="Q9938" s="5"/>
      <c r="R9938" s="5"/>
      <c r="S9938" s="5"/>
      <c r="T9938" s="5"/>
      <c r="U9938" s="5"/>
      <c r="V9938" s="5"/>
      <c r="W9938" s="5"/>
      <c r="X9938" s="5"/>
      <c r="Y9938" s="5"/>
      <c r="Z9938" s="5"/>
    </row>
    <row r="9939" spans="1:26" ht="15" x14ac:dyDescent="0.25">
      <c r="A9939" s="4" t="s">
        <v>9937</v>
      </c>
      <c r="B9939" s="4" t="s">
        <v>9011</v>
      </c>
      <c r="C9939" s="2" t="str">
        <f ca="1">IFERROR(__xludf.DUMMYFUNCTION("GOOGLETRANSLATE(A9939,""bn"",""en"")"),"Next month I will join a new photography course to improve my photography skills")</f>
        <v>Next month I will join a new photography course to improve my photography skills</v>
      </c>
      <c r="D9939" s="5"/>
      <c r="E9939" s="5"/>
      <c r="F9939" s="5"/>
      <c r="G9939" s="5"/>
      <c r="H9939" s="5"/>
      <c r="I9939" s="5"/>
      <c r="J9939" s="5"/>
      <c r="K9939" s="5"/>
      <c r="L9939" s="5"/>
      <c r="M9939" s="5"/>
      <c r="N9939" s="5"/>
      <c r="O9939" s="5"/>
      <c r="P9939" s="5"/>
      <c r="Q9939" s="5"/>
      <c r="R9939" s="5"/>
      <c r="S9939" s="5"/>
      <c r="T9939" s="5"/>
      <c r="U9939" s="5"/>
      <c r="V9939" s="5"/>
      <c r="W9939" s="5"/>
      <c r="X9939" s="5"/>
      <c r="Y9939" s="5"/>
      <c r="Z9939" s="5"/>
    </row>
    <row r="9940" spans="1:26" ht="15" x14ac:dyDescent="0.25">
      <c r="A9940" s="4" t="s">
        <v>9938</v>
      </c>
      <c r="B9940" s="4" t="s">
        <v>9011</v>
      </c>
      <c r="C9940" s="2" t="str">
        <f ca="1">IFERROR(__xludf.DUMMYFUNCTION("GOOGLETRANSLATE(A9940,""bn"",""en"")"),"After getting the news of Shubo's promotion, the plan will be to spend a nice night after coming back from office")</f>
        <v>After getting the news of Shubo's promotion, the plan will be to spend a nice night after coming back from office</v>
      </c>
      <c r="D9940" s="5"/>
      <c r="E9940" s="5"/>
      <c r="F9940" s="5"/>
      <c r="G9940" s="5"/>
      <c r="H9940" s="5"/>
      <c r="I9940" s="5"/>
      <c r="J9940" s="5"/>
      <c r="K9940" s="5"/>
      <c r="L9940" s="5"/>
      <c r="M9940" s="5"/>
      <c r="N9940" s="5"/>
      <c r="O9940" s="5"/>
      <c r="P9940" s="5"/>
      <c r="Q9940" s="5"/>
      <c r="R9940" s="5"/>
      <c r="S9940" s="5"/>
      <c r="T9940" s="5"/>
      <c r="U9940" s="5"/>
      <c r="V9940" s="5"/>
      <c r="W9940" s="5"/>
      <c r="X9940" s="5"/>
      <c r="Y9940" s="5"/>
      <c r="Z9940" s="5"/>
    </row>
    <row r="9941" spans="1:26" ht="15" x14ac:dyDescent="0.25">
      <c r="A9941" s="4" t="s">
        <v>9939</v>
      </c>
      <c r="B9941" s="4" t="s">
        <v>9011</v>
      </c>
      <c r="C9941" s="2" t="str">
        <f ca="1">IFERROR(__xludf.DUMMYFUNCTION("GOOGLETRANSLATE(A9941,""bn"",""en"")"),"Next vacation I will go to the mountains with my family where we will all enjoy together")</f>
        <v>Next vacation I will go to the mountains with my family where we will all enjoy together</v>
      </c>
      <c r="D9941" s="5"/>
      <c r="E9941" s="5"/>
      <c r="F9941" s="5"/>
      <c r="G9941" s="5"/>
      <c r="H9941" s="5"/>
      <c r="I9941" s="5"/>
      <c r="J9941" s="5"/>
      <c r="K9941" s="5"/>
      <c r="L9941" s="5"/>
      <c r="M9941" s="5"/>
      <c r="N9941" s="5"/>
      <c r="O9941" s="5"/>
      <c r="P9941" s="5"/>
      <c r="Q9941" s="5"/>
      <c r="R9941" s="5"/>
      <c r="S9941" s="5"/>
      <c r="T9941" s="5"/>
      <c r="U9941" s="5"/>
      <c r="V9941" s="5"/>
      <c r="W9941" s="5"/>
      <c r="X9941" s="5"/>
      <c r="Y9941" s="5"/>
      <c r="Z9941" s="5"/>
    </row>
    <row r="9942" spans="1:26" ht="15" x14ac:dyDescent="0.25">
      <c r="A9942" s="4" t="s">
        <v>9940</v>
      </c>
      <c r="B9942" s="4" t="s">
        <v>9011</v>
      </c>
      <c r="C9942" s="2" t="str">
        <f ca="1">IFERROR(__xludf.DUMMYFUNCTION("GOOGLETRANSLATE(A9942,""bn"",""en"")"),"When I join my new job I will take new training to develop my skills")</f>
        <v>When I join my new job I will take new training to develop my skills</v>
      </c>
      <c r="D9942" s="5"/>
      <c r="E9942" s="5"/>
      <c r="F9942" s="5"/>
      <c r="G9942" s="5"/>
      <c r="H9942" s="5"/>
      <c r="I9942" s="5"/>
      <c r="J9942" s="5"/>
      <c r="K9942" s="5"/>
      <c r="L9942" s="5"/>
      <c r="M9942" s="5"/>
      <c r="N9942" s="5"/>
      <c r="O9942" s="5"/>
      <c r="P9942" s="5"/>
      <c r="Q9942" s="5"/>
      <c r="R9942" s="5"/>
      <c r="S9942" s="5"/>
      <c r="T9942" s="5"/>
      <c r="U9942" s="5"/>
      <c r="V9942" s="5"/>
      <c r="W9942" s="5"/>
      <c r="X9942" s="5"/>
      <c r="Y9942" s="5"/>
      <c r="Z9942" s="5"/>
    </row>
    <row r="9943" spans="1:26" ht="15" x14ac:dyDescent="0.25">
      <c r="A9943" s="4" t="s">
        <v>9941</v>
      </c>
      <c r="B9943" s="4" t="s">
        <v>9011</v>
      </c>
      <c r="C9943" s="2" t="str">
        <f ca="1">IFERROR(__xludf.DUMMYFUNCTION("GOOGLETRANSLATE(A9943,""bn"",""en"")"),"Children will decorate the world of their own imagination with the magic of colors. They will feel happy while blooming the flowers of the imagination of strange creatures or palaces.")</f>
        <v>Children will decorate the world of their own imagination with the magic of colors. They will feel happy while blooming the flowers of the imagination of strange creatures or palaces.</v>
      </c>
      <c r="D9943" s="5"/>
      <c r="E9943" s="5"/>
      <c r="F9943" s="5"/>
      <c r="G9943" s="5"/>
      <c r="H9943" s="5"/>
      <c r="I9943" s="5"/>
      <c r="J9943" s="5"/>
      <c r="K9943" s="5"/>
      <c r="L9943" s="5"/>
      <c r="M9943" s="5"/>
      <c r="N9943" s="5"/>
      <c r="O9943" s="5"/>
      <c r="P9943" s="5"/>
      <c r="Q9943" s="5"/>
      <c r="R9943" s="5"/>
      <c r="S9943" s="5"/>
      <c r="T9943" s="5"/>
      <c r="U9943" s="5"/>
      <c r="V9943" s="5"/>
      <c r="W9943" s="5"/>
      <c r="X9943" s="5"/>
      <c r="Y9943" s="5"/>
      <c r="Z9943" s="5"/>
    </row>
    <row r="9944" spans="1:26" ht="15" x14ac:dyDescent="0.25">
      <c r="A9944" s="4" t="s">
        <v>9942</v>
      </c>
      <c r="B9944" s="4" t="s">
        <v>9011</v>
      </c>
      <c r="C9944" s="2" t="str">
        <f ca="1">IFERROR(__xludf.DUMMYFUNCTION("GOOGLETRANSLATE(A9944,""bn"",""en"")"),"I'll fix it tomorrow if I see any unnecessary noise from the new fan")</f>
        <v>I'll fix it tomorrow if I see any unnecessary noise from the new fan</v>
      </c>
      <c r="D9944" s="5"/>
      <c r="E9944" s="5"/>
      <c r="F9944" s="5"/>
      <c r="G9944" s="5"/>
      <c r="H9944" s="5"/>
      <c r="I9944" s="5"/>
      <c r="J9944" s="5"/>
      <c r="K9944" s="5"/>
      <c r="L9944" s="5"/>
      <c r="M9944" s="5"/>
      <c r="N9944" s="5"/>
      <c r="O9944" s="5"/>
      <c r="P9944" s="5"/>
      <c r="Q9944" s="5"/>
      <c r="R9944" s="5"/>
      <c r="S9944" s="5"/>
      <c r="T9944" s="5"/>
      <c r="U9944" s="5"/>
      <c r="V9944" s="5"/>
      <c r="W9944" s="5"/>
      <c r="X9944" s="5"/>
      <c r="Y9944" s="5"/>
      <c r="Z9944" s="5"/>
    </row>
    <row r="9945" spans="1:26" ht="15" x14ac:dyDescent="0.25">
      <c r="A9945" s="4" t="s">
        <v>9943</v>
      </c>
      <c r="B9945" s="4" t="s">
        <v>9011</v>
      </c>
      <c r="C9945" s="2" t="str">
        <f ca="1">IFERROR(__xludf.DUMMYFUNCTION("GOOGLETRANSLATE(A9945,""bn"",""en"")"),"In the future I will work to make the world a better place")</f>
        <v>In the future I will work to make the world a better place</v>
      </c>
      <c r="D9945" s="5"/>
      <c r="E9945" s="5"/>
      <c r="F9945" s="5"/>
      <c r="G9945" s="5"/>
      <c r="H9945" s="5"/>
      <c r="I9945" s="5"/>
      <c r="J9945" s="5"/>
      <c r="K9945" s="5"/>
      <c r="L9945" s="5"/>
      <c r="M9945" s="5"/>
      <c r="N9945" s="5"/>
      <c r="O9945" s="5"/>
      <c r="P9945" s="5"/>
      <c r="Q9945" s="5"/>
      <c r="R9945" s="5"/>
      <c r="S9945" s="5"/>
      <c r="T9945" s="5"/>
      <c r="U9945" s="5"/>
      <c r="V9945" s="5"/>
      <c r="W9945" s="5"/>
      <c r="X9945" s="5"/>
      <c r="Y9945" s="5"/>
      <c r="Z9945" s="5"/>
    </row>
    <row r="9946" spans="1:26" ht="15" x14ac:dyDescent="0.25">
      <c r="A9946" s="4" t="s">
        <v>9944</v>
      </c>
      <c r="B9946" s="4" t="s">
        <v>9011</v>
      </c>
      <c r="C9946" s="2" t="str">
        <f ca="1">IFERROR(__xludf.DUMMYFUNCTION("GOOGLETRANSLATE(A9946,""bn"",""en"")"),"We will make sure to stay here next week")</f>
        <v>We will make sure to stay here next week</v>
      </c>
      <c r="D9946" s="5"/>
      <c r="E9946" s="5"/>
      <c r="F9946" s="5"/>
      <c r="G9946" s="5"/>
      <c r="H9946" s="5"/>
      <c r="I9946" s="5"/>
      <c r="J9946" s="5"/>
      <c r="K9946" s="5"/>
      <c r="L9946" s="5"/>
      <c r="M9946" s="5"/>
      <c r="N9946" s="5"/>
      <c r="O9946" s="5"/>
      <c r="P9946" s="5"/>
      <c r="Q9946" s="5"/>
      <c r="R9946" s="5"/>
      <c r="S9946" s="5"/>
      <c r="T9946" s="5"/>
      <c r="U9946" s="5"/>
      <c r="V9946" s="5"/>
      <c r="W9946" s="5"/>
      <c r="X9946" s="5"/>
      <c r="Y9946" s="5"/>
      <c r="Z9946" s="5"/>
    </row>
    <row r="9947" spans="1:26" ht="15" x14ac:dyDescent="0.25">
      <c r="A9947" s="4" t="s">
        <v>9945</v>
      </c>
      <c r="B9947" s="4" t="s">
        <v>9011</v>
      </c>
      <c r="C9947" s="2" t="str">
        <f ca="1">IFERROR(__xludf.DUMMYFUNCTION("GOOGLETRANSLATE(A9947,""bn"",""en"")"),"You are going to a literary festival next week")</f>
        <v>You are going to a literary festival next week</v>
      </c>
      <c r="D9947" s="5"/>
      <c r="E9947" s="5"/>
      <c r="F9947" s="5"/>
      <c r="G9947" s="5"/>
      <c r="H9947" s="5"/>
      <c r="I9947" s="5"/>
      <c r="J9947" s="5"/>
      <c r="K9947" s="5"/>
      <c r="L9947" s="5"/>
      <c r="M9947" s="5"/>
      <c r="N9947" s="5"/>
      <c r="O9947" s="5"/>
      <c r="P9947" s="5"/>
      <c r="Q9947" s="5"/>
      <c r="R9947" s="5"/>
      <c r="S9947" s="5"/>
      <c r="T9947" s="5"/>
      <c r="U9947" s="5"/>
      <c r="V9947" s="5"/>
      <c r="W9947" s="5"/>
      <c r="X9947" s="5"/>
      <c r="Y9947" s="5"/>
      <c r="Z9947" s="5"/>
    </row>
    <row r="9948" spans="1:26" ht="15" x14ac:dyDescent="0.25">
      <c r="A9948" s="4" t="s">
        <v>9946</v>
      </c>
      <c r="B9948" s="4" t="s">
        <v>9011</v>
      </c>
      <c r="C9948" s="2" t="str">
        <f ca="1">IFERROR(__xludf.DUMMYFUNCTION("GOOGLETRANSLATE(A9948,""bn"",""en"")"),"Next year we will build a big house that will fulfill all of our dreams")</f>
        <v>Next year we will build a big house that will fulfill all of our dreams</v>
      </c>
      <c r="D9948" s="5"/>
      <c r="E9948" s="5"/>
      <c r="F9948" s="5"/>
      <c r="G9948" s="5"/>
      <c r="H9948" s="5"/>
      <c r="I9948" s="5"/>
      <c r="J9948" s="5"/>
      <c r="K9948" s="5"/>
      <c r="L9948" s="5"/>
      <c r="M9948" s="5"/>
      <c r="N9948" s="5"/>
      <c r="O9948" s="5"/>
      <c r="P9948" s="5"/>
      <c r="Q9948" s="5"/>
      <c r="R9948" s="5"/>
      <c r="S9948" s="5"/>
      <c r="T9948" s="5"/>
      <c r="U9948" s="5"/>
      <c r="V9948" s="5"/>
      <c r="W9948" s="5"/>
      <c r="X9948" s="5"/>
      <c r="Y9948" s="5"/>
      <c r="Z9948" s="5"/>
    </row>
    <row r="9949" spans="1:26" ht="15" x14ac:dyDescent="0.25">
      <c r="A9949" s="4" t="s">
        <v>9947</v>
      </c>
      <c r="B9949" s="4" t="s">
        <v>9011</v>
      </c>
      <c r="C9949" s="2" t="str">
        <f ca="1">IFERROR(__xludf.DUMMYFUNCTION("GOOGLETRANSLATE(A9949,""bn"",""en"")"),"The mind will be enriched by reading the book of Alor Answer by Jahanara Imam.")</f>
        <v>The mind will be enriched by reading the book of Alor Answer by Jahanara Imam.</v>
      </c>
      <c r="D9949" s="5"/>
      <c r="E9949" s="5"/>
      <c r="F9949" s="5"/>
      <c r="G9949" s="5"/>
      <c r="H9949" s="5"/>
      <c r="I9949" s="5"/>
      <c r="J9949" s="5"/>
      <c r="K9949" s="5"/>
      <c r="L9949" s="5"/>
      <c r="M9949" s="5"/>
      <c r="N9949" s="5"/>
      <c r="O9949" s="5"/>
      <c r="P9949" s="5"/>
      <c r="Q9949" s="5"/>
      <c r="R9949" s="5"/>
      <c r="S9949" s="5"/>
      <c r="T9949" s="5"/>
      <c r="U9949" s="5"/>
      <c r="V9949" s="5"/>
      <c r="W9949" s="5"/>
      <c r="X9949" s="5"/>
      <c r="Y9949" s="5"/>
      <c r="Z9949" s="5"/>
    </row>
    <row r="9950" spans="1:26" ht="15" x14ac:dyDescent="0.25">
      <c r="A9950" s="4" t="s">
        <v>9948</v>
      </c>
      <c r="B9950" s="4" t="s">
        <v>9011</v>
      </c>
      <c r="C9950" s="2" t="str">
        <f ca="1">IFERROR(__xludf.DUMMYFUNCTION("GOOGLETRANSLATE(A9950,""bn"",""en"")"),"He will improve the organization through the use of new technology tomorrow")</f>
        <v>He will improve the organization through the use of new technology tomorrow</v>
      </c>
      <c r="D9950" s="5"/>
      <c r="E9950" s="5"/>
      <c r="F9950" s="5"/>
      <c r="G9950" s="5"/>
      <c r="H9950" s="5"/>
      <c r="I9950" s="5"/>
      <c r="J9950" s="5"/>
      <c r="K9950" s="5"/>
      <c r="L9950" s="5"/>
      <c r="M9950" s="5"/>
      <c r="N9950" s="5"/>
      <c r="O9950" s="5"/>
      <c r="P9950" s="5"/>
      <c r="Q9950" s="5"/>
      <c r="R9950" s="5"/>
      <c r="S9950" s="5"/>
      <c r="T9950" s="5"/>
      <c r="U9950" s="5"/>
      <c r="V9950" s="5"/>
      <c r="W9950" s="5"/>
      <c r="X9950" s="5"/>
      <c r="Y9950" s="5"/>
      <c r="Z9950" s="5"/>
    </row>
    <row r="9951" spans="1:26" ht="15" x14ac:dyDescent="0.25">
      <c r="A9951" s="4" t="s">
        <v>9949</v>
      </c>
      <c r="B9951" s="4" t="s">
        <v>9011</v>
      </c>
      <c r="C9951" s="2" t="str">
        <f ca="1">IFERROR(__xludf.DUMMYFUNCTION("GOOGLETRANSLATE(A9951,""bn"",""en"")"),"I will test next week")</f>
        <v>I will test next week</v>
      </c>
      <c r="D9951" s="5"/>
      <c r="E9951" s="5"/>
      <c r="F9951" s="5"/>
      <c r="G9951" s="5"/>
      <c r="H9951" s="5"/>
      <c r="I9951" s="5"/>
      <c r="J9951" s="5"/>
      <c r="K9951" s="5"/>
      <c r="L9951" s="5"/>
      <c r="M9951" s="5"/>
      <c r="N9951" s="5"/>
      <c r="O9951" s="5"/>
      <c r="P9951" s="5"/>
      <c r="Q9951" s="5"/>
      <c r="R9951" s="5"/>
      <c r="S9951" s="5"/>
      <c r="T9951" s="5"/>
      <c r="U9951" s="5"/>
      <c r="V9951" s="5"/>
      <c r="W9951" s="5"/>
      <c r="X9951" s="5"/>
      <c r="Y9951" s="5"/>
      <c r="Z9951" s="5"/>
    </row>
    <row r="9952" spans="1:26" ht="15" x14ac:dyDescent="0.25">
      <c r="A9952" s="4" t="s">
        <v>9950</v>
      </c>
      <c r="B9952" s="4" t="s">
        <v>9011</v>
      </c>
      <c r="C9952" s="2" t="str">
        <f ca="1">IFERROR(__xludf.DUMMYFUNCTION("GOOGLETRANSLATE(A9952,""bn"",""en"")"),"When I complete my higher education I will get a job in a reputed organization")</f>
        <v>When I complete my higher education I will get a job in a reputed organization</v>
      </c>
      <c r="D9952" s="5"/>
      <c r="E9952" s="5"/>
      <c r="F9952" s="5"/>
      <c r="G9952" s="5"/>
      <c r="H9952" s="5"/>
      <c r="I9952" s="5"/>
      <c r="J9952" s="5"/>
      <c r="K9952" s="5"/>
      <c r="L9952" s="5"/>
      <c r="M9952" s="5"/>
      <c r="N9952" s="5"/>
      <c r="O9952" s="5"/>
      <c r="P9952" s="5"/>
      <c r="Q9952" s="5"/>
      <c r="R9952" s="5"/>
      <c r="S9952" s="5"/>
      <c r="T9952" s="5"/>
      <c r="U9952" s="5"/>
      <c r="V9952" s="5"/>
      <c r="W9952" s="5"/>
      <c r="X9952" s="5"/>
      <c r="Y9952" s="5"/>
      <c r="Z9952" s="5"/>
    </row>
    <row r="9953" spans="1:26" ht="15" x14ac:dyDescent="0.25">
      <c r="A9953" s="4" t="s">
        <v>9951</v>
      </c>
      <c r="B9953" s="4" t="s">
        <v>9011</v>
      </c>
      <c r="C9953" s="2" t="str">
        <f ca="1">IFERROR(__xludf.DUMMYFUNCTION("GOOGLETRANSLATE(A9953,""bn"",""en"")"),"Traveling with animal companions on the path to happiness will be a pleasant experience. Spending time with them will open our minds and bring new experiences.")</f>
        <v>Traveling with animal companions on the path to happiness will be a pleasant experience. Spending time with them will open our minds and bring new experiences.</v>
      </c>
      <c r="D9953" s="5"/>
      <c r="E9953" s="5"/>
      <c r="F9953" s="5"/>
      <c r="G9953" s="5"/>
      <c r="H9953" s="5"/>
      <c r="I9953" s="5"/>
      <c r="J9953" s="5"/>
      <c r="K9953" s="5"/>
      <c r="L9953" s="5"/>
      <c r="M9953" s="5"/>
      <c r="N9953" s="5"/>
      <c r="O9953" s="5"/>
      <c r="P9953" s="5"/>
      <c r="Q9953" s="5"/>
      <c r="R9953" s="5"/>
      <c r="S9953" s="5"/>
      <c r="T9953" s="5"/>
      <c r="U9953" s="5"/>
      <c r="V9953" s="5"/>
      <c r="W9953" s="5"/>
      <c r="X9953" s="5"/>
      <c r="Y9953" s="5"/>
      <c r="Z9953" s="5"/>
    </row>
    <row r="9954" spans="1:26" ht="15" x14ac:dyDescent="0.25">
      <c r="A9954" s="4" t="s">
        <v>9952</v>
      </c>
      <c r="B9954" s="4" t="s">
        <v>9011</v>
      </c>
      <c r="C9954" s="2" t="str">
        <f ca="1">IFERROR(__xludf.DUMMYFUNCTION("GOOGLETRANSLATE(A9954,""bn"",""en"")"),"A universe of joy will be created in the dance, and the mind of man will be freed from anxiety in every dance")</f>
        <v>A universe of joy will be created in the dance, and the mind of man will be freed from anxiety in every dance</v>
      </c>
      <c r="D9954" s="5"/>
      <c r="E9954" s="5"/>
      <c r="F9954" s="5"/>
      <c r="G9954" s="5"/>
      <c r="H9954" s="5"/>
      <c r="I9954" s="5"/>
      <c r="J9954" s="5"/>
      <c r="K9954" s="5"/>
      <c r="L9954" s="5"/>
      <c r="M9954" s="5"/>
      <c r="N9954" s="5"/>
      <c r="O9954" s="5"/>
      <c r="P9954" s="5"/>
      <c r="Q9954" s="5"/>
      <c r="R9954" s="5"/>
      <c r="S9954" s="5"/>
      <c r="T9954" s="5"/>
      <c r="U9954" s="5"/>
      <c r="V9954" s="5"/>
      <c r="W9954" s="5"/>
      <c r="X9954" s="5"/>
      <c r="Y9954" s="5"/>
      <c r="Z9954" s="5"/>
    </row>
    <row r="9955" spans="1:26" ht="15" x14ac:dyDescent="0.25">
      <c r="A9955" s="4" t="s">
        <v>9953</v>
      </c>
      <c r="B9955" s="4" t="s">
        <v>9011</v>
      </c>
      <c r="C9955" s="2" t="str">
        <f ca="1">IFERROR(__xludf.DUMMYFUNCTION("GOOGLETRANSLATE(A9955,""bn"",""en"")"),"They will participate in a global exhibition on innovative technologies next year")</f>
        <v>They will participate in a global exhibition on innovative technologies next year</v>
      </c>
      <c r="D9955" s="5"/>
      <c r="E9955" s="5"/>
      <c r="F9955" s="5"/>
      <c r="G9955" s="5"/>
      <c r="H9955" s="5"/>
      <c r="I9955" s="5"/>
      <c r="J9955" s="5"/>
      <c r="K9955" s="5"/>
      <c r="L9955" s="5"/>
      <c r="M9955" s="5"/>
      <c r="N9955" s="5"/>
      <c r="O9955" s="5"/>
      <c r="P9955" s="5"/>
      <c r="Q9955" s="5"/>
      <c r="R9955" s="5"/>
      <c r="S9955" s="5"/>
      <c r="T9955" s="5"/>
      <c r="U9955" s="5"/>
      <c r="V9955" s="5"/>
      <c r="W9955" s="5"/>
      <c r="X9955" s="5"/>
      <c r="Y9955" s="5"/>
      <c r="Z9955" s="5"/>
    </row>
    <row r="9956" spans="1:26" ht="15" x14ac:dyDescent="0.25">
      <c r="A9956" s="4" t="s">
        <v>9954</v>
      </c>
      <c r="B9956" s="4" t="s">
        <v>9011</v>
      </c>
      <c r="C9956" s="2" t="str">
        <f ca="1">IFERROR(__xludf.DUMMYFUNCTION("GOOGLETRANSLATE(A9956,""bn"",""en"")"),"I will get a strange relief by finishing the client's work quickly")</f>
        <v>I will get a strange relief by finishing the client's work quickly</v>
      </c>
      <c r="D9956" s="5"/>
      <c r="E9956" s="5"/>
      <c r="F9956" s="5"/>
      <c r="G9956" s="5"/>
      <c r="H9956" s="5"/>
      <c r="I9956" s="5"/>
      <c r="J9956" s="5"/>
      <c r="K9956" s="5"/>
      <c r="L9956" s="5"/>
      <c r="M9956" s="5"/>
      <c r="N9956" s="5"/>
      <c r="O9956" s="5"/>
      <c r="P9956" s="5"/>
      <c r="Q9956" s="5"/>
      <c r="R9956" s="5"/>
      <c r="S9956" s="5"/>
      <c r="T9956" s="5"/>
      <c r="U9956" s="5"/>
      <c r="V9956" s="5"/>
      <c r="W9956" s="5"/>
      <c r="X9956" s="5"/>
      <c r="Y9956" s="5"/>
      <c r="Z9956" s="5"/>
    </row>
    <row r="9957" spans="1:26" ht="15" x14ac:dyDescent="0.25">
      <c r="A9957" s="4" t="s">
        <v>9955</v>
      </c>
      <c r="B9957" s="4" t="s">
        <v>9011</v>
      </c>
      <c r="C9957" s="2" t="str">
        <f ca="1">IFERROR(__xludf.DUMMYFUNCTION("GOOGLETRANSLATE(A9957,""bn"",""en"")"),"Next week we will have a meeting about the project")</f>
        <v>Next week we will have a meeting about the project</v>
      </c>
      <c r="D9957" s="5"/>
      <c r="E9957" s="5"/>
      <c r="F9957" s="5"/>
      <c r="G9957" s="5"/>
      <c r="H9957" s="5"/>
      <c r="I9957" s="5"/>
      <c r="J9957" s="5"/>
      <c r="K9957" s="5"/>
      <c r="L9957" s="5"/>
      <c r="M9957" s="5"/>
      <c r="N9957" s="5"/>
      <c r="O9957" s="5"/>
      <c r="P9957" s="5"/>
      <c r="Q9957" s="5"/>
      <c r="R9957" s="5"/>
      <c r="S9957" s="5"/>
      <c r="T9957" s="5"/>
      <c r="U9957" s="5"/>
      <c r="V9957" s="5"/>
      <c r="W9957" s="5"/>
      <c r="X9957" s="5"/>
      <c r="Y9957" s="5"/>
      <c r="Z9957" s="5"/>
    </row>
    <row r="9958" spans="1:26" ht="15" x14ac:dyDescent="0.25">
      <c r="A9958" s="4" t="s">
        <v>9956</v>
      </c>
      <c r="B9958" s="4" t="s">
        <v>9011</v>
      </c>
      <c r="C9958" s="2" t="str">
        <f ca="1">IFERROR(__xludf.DUMMYFUNCTION("GOOGLETRANSLATE(A9958,""bn"",""en"")"),"I will meet new friends when I go abroad for my higher studies")</f>
        <v>I will meet new friends when I go abroad for my higher studies</v>
      </c>
      <c r="D9958" s="5"/>
      <c r="E9958" s="5"/>
      <c r="F9958" s="5"/>
      <c r="G9958" s="5"/>
      <c r="H9958" s="5"/>
      <c r="I9958" s="5"/>
      <c r="J9958" s="5"/>
      <c r="K9958" s="5"/>
      <c r="L9958" s="5"/>
      <c r="M9958" s="5"/>
      <c r="N9958" s="5"/>
      <c r="O9958" s="5"/>
      <c r="P9958" s="5"/>
      <c r="Q9958" s="5"/>
      <c r="R9958" s="5"/>
      <c r="S9958" s="5"/>
      <c r="T9958" s="5"/>
      <c r="U9958" s="5"/>
      <c r="V9958" s="5"/>
      <c r="W9958" s="5"/>
      <c r="X9958" s="5"/>
      <c r="Y9958" s="5"/>
      <c r="Z9958" s="5"/>
    </row>
    <row r="9959" spans="1:26" ht="15" x14ac:dyDescent="0.25">
      <c r="A9959" s="4" t="s">
        <v>9957</v>
      </c>
      <c r="B9959" s="4" t="s">
        <v>9011</v>
      </c>
      <c r="C9959" s="2" t="str">
        <f ca="1">IFERROR(__xludf.DUMMYFUNCTION("GOOGLETRANSLATE(A9959,""bn"",""en"")"),"He will sign an important business deal next month that will open the door to new possibilities for his company")</f>
        <v>He will sign an important business deal next month that will open the door to new possibilities for his company</v>
      </c>
      <c r="D9959" s="5"/>
      <c r="E9959" s="5"/>
      <c r="F9959" s="5"/>
      <c r="G9959" s="5"/>
      <c r="H9959" s="5"/>
      <c r="I9959" s="5"/>
      <c r="J9959" s="5"/>
      <c r="K9959" s="5"/>
      <c r="L9959" s="5"/>
      <c r="M9959" s="5"/>
      <c r="N9959" s="5"/>
      <c r="O9959" s="5"/>
      <c r="P9959" s="5"/>
      <c r="Q9959" s="5"/>
      <c r="R9959" s="5"/>
      <c r="S9959" s="5"/>
      <c r="T9959" s="5"/>
      <c r="U9959" s="5"/>
      <c r="V9959" s="5"/>
      <c r="W9959" s="5"/>
      <c r="X9959" s="5"/>
      <c r="Y9959" s="5"/>
      <c r="Z9959" s="5"/>
    </row>
    <row r="9960" spans="1:26" ht="15" x14ac:dyDescent="0.25">
      <c r="A9960" s="4" t="s">
        <v>9958</v>
      </c>
      <c r="B9960" s="4" t="s">
        <v>9011</v>
      </c>
      <c r="C9960" s="2" t="str">
        <f ca="1">IFERROR(__xludf.DUMMYFUNCTION("GOOGLETRANSLATE(A9960,""bn"",""en"")"),"What will be the joy of the new clothes and lighting of the Puja market")</f>
        <v>What will be the joy of the new clothes and lighting of the Puja market</v>
      </c>
      <c r="D9960" s="5"/>
      <c r="E9960" s="5"/>
      <c r="F9960" s="5"/>
      <c r="G9960" s="5"/>
      <c r="H9960" s="5"/>
      <c r="I9960" s="5"/>
      <c r="J9960" s="5"/>
      <c r="K9960" s="5"/>
      <c r="L9960" s="5"/>
      <c r="M9960" s="5"/>
      <c r="N9960" s="5"/>
      <c r="O9960" s="5"/>
      <c r="P9960" s="5"/>
      <c r="Q9960" s="5"/>
      <c r="R9960" s="5"/>
      <c r="S9960" s="5"/>
      <c r="T9960" s="5"/>
      <c r="U9960" s="5"/>
      <c r="V9960" s="5"/>
      <c r="W9960" s="5"/>
      <c r="X9960" s="5"/>
      <c r="Y9960" s="5"/>
      <c r="Z9960" s="5"/>
    </row>
    <row r="9961" spans="1:26" ht="15" x14ac:dyDescent="0.25">
      <c r="A9961" s="4" t="s">
        <v>9959</v>
      </c>
      <c r="B9961" s="4" t="s">
        <v>9011</v>
      </c>
      <c r="C9961" s="2" t="str">
        <f ca="1">IFERROR(__xludf.DUMMYFUNCTION("GOOGLETRANSLATE(A9961,""bn"",""en"")"),"In the new year, I will live a healthier life by exercising regularly and eating a balanced diet")</f>
        <v>In the new year, I will live a healthier life by exercising regularly and eating a balanced diet</v>
      </c>
      <c r="D9961" s="5"/>
      <c r="E9961" s="5"/>
      <c r="F9961" s="5"/>
      <c r="G9961" s="5"/>
      <c r="H9961" s="5"/>
      <c r="I9961" s="5"/>
      <c r="J9961" s="5"/>
      <c r="K9961" s="5"/>
      <c r="L9961" s="5"/>
      <c r="M9961" s="5"/>
      <c r="N9961" s="5"/>
      <c r="O9961" s="5"/>
      <c r="P9961" s="5"/>
      <c r="Q9961" s="5"/>
      <c r="R9961" s="5"/>
      <c r="S9961" s="5"/>
      <c r="T9961" s="5"/>
      <c r="U9961" s="5"/>
      <c r="V9961" s="5"/>
      <c r="W9961" s="5"/>
      <c r="X9961" s="5"/>
      <c r="Y9961" s="5"/>
      <c r="Z9961" s="5"/>
    </row>
    <row r="9962" spans="1:26" ht="15" x14ac:dyDescent="0.25">
      <c r="A9962" s="4" t="s">
        <v>9960</v>
      </c>
      <c r="B9962" s="4" t="s">
        <v>9011</v>
      </c>
      <c r="C9962" s="2" t="str">
        <f ca="1">IFERROR(__xludf.DUMMYFUNCTION("GOOGLETRANSLATE(A9962,""bn"",""en"")"),"I will create a nutrition program that will help children eat healthy foods")</f>
        <v>I will create a nutrition program that will help children eat healthy foods</v>
      </c>
      <c r="D9962" s="5"/>
      <c r="E9962" s="5"/>
      <c r="F9962" s="5"/>
      <c r="G9962" s="5"/>
      <c r="H9962" s="5"/>
      <c r="I9962" s="5"/>
      <c r="J9962" s="5"/>
      <c r="K9962" s="5"/>
      <c r="L9962" s="5"/>
      <c r="M9962" s="5"/>
      <c r="N9962" s="5"/>
      <c r="O9962" s="5"/>
      <c r="P9962" s="5"/>
      <c r="Q9962" s="5"/>
      <c r="R9962" s="5"/>
      <c r="S9962" s="5"/>
      <c r="T9962" s="5"/>
      <c r="U9962" s="5"/>
      <c r="V9962" s="5"/>
      <c r="W9962" s="5"/>
      <c r="X9962" s="5"/>
      <c r="Y9962" s="5"/>
      <c r="Z9962" s="5"/>
    </row>
    <row r="9963" spans="1:26" ht="15" x14ac:dyDescent="0.25">
      <c r="A9963" s="4" t="s">
        <v>9961</v>
      </c>
      <c r="B9963" s="4" t="s">
        <v>9011</v>
      </c>
      <c r="C9963" s="2" t="str">
        <f ca="1">IFERROR(__xludf.DUMMYFUNCTION("GOOGLETRANSLATE(A9963,""bn"",""en"")"),"This country will gain independence not with the oil of the oil man but with the blood of lakhs of patriots")</f>
        <v>This country will gain independence not with the oil of the oil man but with the blood of lakhs of patriots</v>
      </c>
      <c r="D9963" s="5"/>
      <c r="E9963" s="5"/>
      <c r="F9963" s="5"/>
      <c r="G9963" s="5"/>
      <c r="H9963" s="5"/>
      <c r="I9963" s="5"/>
      <c r="J9963" s="5"/>
      <c r="K9963" s="5"/>
      <c r="L9963" s="5"/>
      <c r="M9963" s="5"/>
      <c r="N9963" s="5"/>
      <c r="O9963" s="5"/>
      <c r="P9963" s="5"/>
      <c r="Q9963" s="5"/>
      <c r="R9963" s="5"/>
      <c r="S9963" s="5"/>
      <c r="T9963" s="5"/>
      <c r="U9963" s="5"/>
      <c r="V9963" s="5"/>
      <c r="W9963" s="5"/>
      <c r="X9963" s="5"/>
      <c r="Y9963" s="5"/>
      <c r="Z9963" s="5"/>
    </row>
    <row r="9964" spans="1:26" ht="15" x14ac:dyDescent="0.25">
      <c r="A9964" s="4" t="s">
        <v>9962</v>
      </c>
      <c r="B9964" s="4" t="s">
        <v>9011</v>
      </c>
      <c r="C9964" s="2" t="str">
        <f ca="1">IFERROR(__xludf.DUMMYFUNCTION("GOOGLETRANSLATE(A9964,""bn"",""en"")"),"The thought of art will bring prosperity to our mind and we will become happy with that thought")</f>
        <v>The thought of art will bring prosperity to our mind and we will become happy with that thought</v>
      </c>
      <c r="D9964" s="5"/>
      <c r="E9964" s="5"/>
      <c r="F9964" s="5"/>
      <c r="G9964" s="5"/>
      <c r="H9964" s="5"/>
      <c r="I9964" s="5"/>
      <c r="J9964" s="5"/>
      <c r="K9964" s="5"/>
      <c r="L9964" s="5"/>
      <c r="M9964" s="5"/>
      <c r="N9964" s="5"/>
      <c r="O9964" s="5"/>
      <c r="P9964" s="5"/>
      <c r="Q9964" s="5"/>
      <c r="R9964" s="5"/>
      <c r="S9964" s="5"/>
      <c r="T9964" s="5"/>
      <c r="U9964" s="5"/>
      <c r="V9964" s="5"/>
      <c r="W9964" s="5"/>
      <c r="X9964" s="5"/>
      <c r="Y9964" s="5"/>
      <c r="Z9964" s="5"/>
    </row>
    <row r="9965" spans="1:26" ht="15" x14ac:dyDescent="0.25">
      <c r="A9965" s="4" t="s">
        <v>9963</v>
      </c>
      <c r="B9965" s="4" t="s">
        <v>9011</v>
      </c>
      <c r="C9965" s="2" t="str">
        <f ca="1">IFERROR(__xludf.DUMMYFUNCTION("GOOGLETRANSLATE(A9965,""bn"",""en"")"),"I will register next year to learn something new")</f>
        <v>I will register next year to learn something new</v>
      </c>
      <c r="D9965" s="5"/>
      <c r="E9965" s="5"/>
      <c r="F9965" s="5"/>
      <c r="G9965" s="5"/>
      <c r="H9965" s="5"/>
      <c r="I9965" s="5"/>
      <c r="J9965" s="5"/>
      <c r="K9965" s="5"/>
      <c r="L9965" s="5"/>
      <c r="M9965" s="5"/>
      <c r="N9965" s="5"/>
      <c r="O9965" s="5"/>
      <c r="P9965" s="5"/>
      <c r="Q9965" s="5"/>
      <c r="R9965" s="5"/>
      <c r="S9965" s="5"/>
      <c r="T9965" s="5"/>
      <c r="U9965" s="5"/>
      <c r="V9965" s="5"/>
      <c r="W9965" s="5"/>
      <c r="X9965" s="5"/>
      <c r="Y9965" s="5"/>
      <c r="Z9965" s="5"/>
    </row>
    <row r="9966" spans="1:26" ht="15" x14ac:dyDescent="0.25">
      <c r="A9966" s="4" t="s">
        <v>9964</v>
      </c>
      <c r="B9966" s="4" t="s">
        <v>9011</v>
      </c>
      <c r="C9966" s="2" t="str">
        <f ca="1">IFERROR(__xludf.DUMMYFUNCTION("GOOGLETRANSLATE(A9966,""bn"",""en"")"),"Jaya you will always be my idol and this promotion is yours")</f>
        <v>Jaya you will always be my idol and this promotion is yours</v>
      </c>
      <c r="D9966" s="5"/>
      <c r="E9966" s="5"/>
      <c r="F9966" s="5"/>
      <c r="G9966" s="5"/>
      <c r="H9966" s="5"/>
      <c r="I9966" s="5"/>
      <c r="J9966" s="5"/>
      <c r="K9966" s="5"/>
      <c r="L9966" s="5"/>
      <c r="M9966" s="5"/>
      <c r="N9966" s="5"/>
      <c r="O9966" s="5"/>
      <c r="P9966" s="5"/>
      <c r="Q9966" s="5"/>
      <c r="R9966" s="5"/>
      <c r="S9966" s="5"/>
      <c r="T9966" s="5"/>
      <c r="U9966" s="5"/>
      <c r="V9966" s="5"/>
      <c r="W9966" s="5"/>
      <c r="X9966" s="5"/>
      <c r="Y9966" s="5"/>
      <c r="Z9966" s="5"/>
    </row>
    <row r="9967" spans="1:26" ht="15" x14ac:dyDescent="0.25">
      <c r="A9967" s="4" t="s">
        <v>9965</v>
      </c>
      <c r="B9967" s="4" t="s">
        <v>9011</v>
      </c>
      <c r="C9967" s="2" t="str">
        <f ca="1">IFERROR(__xludf.DUMMYFUNCTION("GOOGLETRANSLATE(A9967,""bn"",""en"")"),"Happy New Year will start with Bengali white mouth drinking")</f>
        <v>Happy New Year will start with Bengali white mouth drinking</v>
      </c>
      <c r="D9967" s="5"/>
      <c r="E9967" s="5"/>
      <c r="F9967" s="5"/>
      <c r="G9967" s="5"/>
      <c r="H9967" s="5"/>
      <c r="I9967" s="5"/>
      <c r="J9967" s="5"/>
      <c r="K9967" s="5"/>
      <c r="L9967" s="5"/>
      <c r="M9967" s="5"/>
      <c r="N9967" s="5"/>
      <c r="O9967" s="5"/>
      <c r="P9967" s="5"/>
      <c r="Q9967" s="5"/>
      <c r="R9967" s="5"/>
      <c r="S9967" s="5"/>
      <c r="T9967" s="5"/>
      <c r="U9967" s="5"/>
      <c r="V9967" s="5"/>
      <c r="W9967" s="5"/>
      <c r="X9967" s="5"/>
      <c r="Y9967" s="5"/>
      <c r="Z9967" s="5"/>
    </row>
    <row r="9968" spans="1:26" ht="15" x14ac:dyDescent="0.25">
      <c r="A9968" s="4" t="s">
        <v>9966</v>
      </c>
      <c r="B9968" s="4" t="s">
        <v>9011</v>
      </c>
      <c r="C9968" s="2" t="str">
        <f ca="1">IFERROR(__xludf.DUMMYFUNCTION("GOOGLETRANSLATE(A9968,""bn"",""en"")"),"I will launch a plantation drive that will increase afforestation")</f>
        <v>I will launch a plantation drive that will increase afforestation</v>
      </c>
      <c r="D9968" s="5"/>
      <c r="E9968" s="5"/>
      <c r="F9968" s="5"/>
      <c r="G9968" s="5"/>
      <c r="H9968" s="5"/>
      <c r="I9968" s="5"/>
      <c r="J9968" s="5"/>
      <c r="K9968" s="5"/>
      <c r="L9968" s="5"/>
      <c r="M9968" s="5"/>
      <c r="N9968" s="5"/>
      <c r="O9968" s="5"/>
      <c r="P9968" s="5"/>
      <c r="Q9968" s="5"/>
      <c r="R9968" s="5"/>
      <c r="S9968" s="5"/>
      <c r="T9968" s="5"/>
      <c r="U9968" s="5"/>
      <c r="V9968" s="5"/>
      <c r="W9968" s="5"/>
      <c r="X9968" s="5"/>
      <c r="Y9968" s="5"/>
      <c r="Z9968" s="5"/>
    </row>
    <row r="9969" spans="1:26" ht="15" x14ac:dyDescent="0.25">
      <c r="A9969" s="4" t="s">
        <v>9967</v>
      </c>
      <c r="B9969" s="4" t="s">
        <v>9011</v>
      </c>
      <c r="C9969" s="2" t="str">
        <f ca="1">IFERROR(__xludf.DUMMYFUNCTION("GOOGLETRANSLATE(A9969,""bn"",""en"")"),"In the future I will form a music band where we all sing together")</f>
        <v>In the future I will form a music band where we all sing together</v>
      </c>
      <c r="D9969" s="5"/>
      <c r="E9969" s="5"/>
      <c r="F9969" s="5"/>
      <c r="G9969" s="5"/>
      <c r="H9969" s="5"/>
      <c r="I9969" s="5"/>
      <c r="J9969" s="5"/>
      <c r="K9969" s="5"/>
      <c r="L9969" s="5"/>
      <c r="M9969" s="5"/>
      <c r="N9969" s="5"/>
      <c r="O9969" s="5"/>
      <c r="P9969" s="5"/>
      <c r="Q9969" s="5"/>
      <c r="R9969" s="5"/>
      <c r="S9969" s="5"/>
      <c r="T9969" s="5"/>
      <c r="U9969" s="5"/>
      <c r="V9969" s="5"/>
      <c r="W9969" s="5"/>
      <c r="X9969" s="5"/>
      <c r="Y9969" s="5"/>
      <c r="Z9969" s="5"/>
    </row>
    <row r="9970" spans="1:26" ht="15" x14ac:dyDescent="0.25">
      <c r="A9970" s="4" t="s">
        <v>9968</v>
      </c>
      <c r="B9970" s="4" t="s">
        <v>9011</v>
      </c>
      <c r="C9970" s="2" t="str">
        <f ca="1">IFERROR(__xludf.DUMMYFUNCTION("GOOGLETRANSLATE(A9970,""bn"",""en"")"),"I will be impressed by the rural nature of the simple house")</f>
        <v>I will be impressed by the rural nature of the simple house</v>
      </c>
      <c r="D9970" s="5"/>
      <c r="E9970" s="5"/>
      <c r="F9970" s="5"/>
      <c r="G9970" s="5"/>
      <c r="H9970" s="5"/>
      <c r="I9970" s="5"/>
      <c r="J9970" s="5"/>
      <c r="K9970" s="5"/>
      <c r="L9970" s="5"/>
      <c r="M9970" s="5"/>
      <c r="N9970" s="5"/>
      <c r="O9970" s="5"/>
      <c r="P9970" s="5"/>
      <c r="Q9970" s="5"/>
      <c r="R9970" s="5"/>
      <c r="S9970" s="5"/>
      <c r="T9970" s="5"/>
      <c r="U9970" s="5"/>
      <c r="V9970" s="5"/>
      <c r="W9970" s="5"/>
      <c r="X9970" s="5"/>
      <c r="Y9970" s="5"/>
      <c r="Z9970" s="5"/>
    </row>
    <row r="9971" spans="1:26" ht="15" x14ac:dyDescent="0.25">
      <c r="A9971" s="4" t="s">
        <v>9969</v>
      </c>
      <c r="B9971" s="4" t="s">
        <v>9011</v>
      </c>
      <c r="C9971" s="2" t="str">
        <f ca="1">IFERROR(__xludf.DUMMYFUNCTION("GOOGLETRANSLATE(A9971,""bn"",""en"")"),"Next year I will go on vacation to a tourist destination")</f>
        <v>Next year I will go on vacation to a tourist destination</v>
      </c>
      <c r="D9971" s="5"/>
      <c r="E9971" s="5"/>
      <c r="F9971" s="5"/>
      <c r="G9971" s="5"/>
      <c r="H9971" s="5"/>
      <c r="I9971" s="5"/>
      <c r="J9971" s="5"/>
      <c r="K9971" s="5"/>
      <c r="L9971" s="5"/>
      <c r="M9971" s="5"/>
      <c r="N9971" s="5"/>
      <c r="O9971" s="5"/>
      <c r="P9971" s="5"/>
      <c r="Q9971" s="5"/>
      <c r="R9971" s="5"/>
      <c r="S9971" s="5"/>
      <c r="T9971" s="5"/>
      <c r="U9971" s="5"/>
      <c r="V9971" s="5"/>
      <c r="W9971" s="5"/>
      <c r="X9971" s="5"/>
      <c r="Y9971" s="5"/>
      <c r="Z9971" s="5"/>
    </row>
    <row r="9972" spans="1:26" ht="15" x14ac:dyDescent="0.25">
      <c r="A9972" s="4" t="s">
        <v>9970</v>
      </c>
      <c r="B9972" s="4" t="s">
        <v>9011</v>
      </c>
      <c r="C9972" s="2" t="str">
        <f ca="1">IFERROR(__xludf.DUMMYFUNCTION("GOOGLETRANSLATE(A9972,""bn"",""en"")"),"Next vacation we will go to a beautiful beach where we will listen to the waves of the sea")</f>
        <v>Next vacation we will go to a beautiful beach where we will listen to the waves of the sea</v>
      </c>
      <c r="D9972" s="5"/>
      <c r="E9972" s="5"/>
      <c r="F9972" s="5"/>
      <c r="G9972" s="5"/>
      <c r="H9972" s="5"/>
      <c r="I9972" s="5"/>
      <c r="J9972" s="5"/>
      <c r="K9972" s="5"/>
      <c r="L9972" s="5"/>
      <c r="M9972" s="5"/>
      <c r="N9972" s="5"/>
      <c r="O9972" s="5"/>
      <c r="P9972" s="5"/>
      <c r="Q9972" s="5"/>
      <c r="R9972" s="5"/>
      <c r="S9972" s="5"/>
      <c r="T9972" s="5"/>
      <c r="U9972" s="5"/>
      <c r="V9972" s="5"/>
      <c r="W9972" s="5"/>
      <c r="X9972" s="5"/>
      <c r="Y9972" s="5"/>
      <c r="Z9972" s="5"/>
    </row>
    <row r="9973" spans="1:26" ht="15" x14ac:dyDescent="0.25">
      <c r="A9973" s="4" t="s">
        <v>9971</v>
      </c>
      <c r="B9973" s="4" t="s">
        <v>9011</v>
      </c>
      <c r="C9973" s="2" t="str">
        <f ca="1">IFERROR(__xludf.DUMMYFUNCTION("GOOGLETRANSLATE(A9973,""bn"",""en"")"),"Attending an important meeting tomorrow to discuss our new project plans")</f>
        <v>Attending an important meeting tomorrow to discuss our new project plans</v>
      </c>
      <c r="D9973" s="5"/>
      <c r="E9973" s="5"/>
      <c r="F9973" s="5"/>
      <c r="G9973" s="5"/>
      <c r="H9973" s="5"/>
      <c r="I9973" s="5"/>
      <c r="J9973" s="5"/>
      <c r="K9973" s="5"/>
      <c r="L9973" s="5"/>
      <c r="M9973" s="5"/>
      <c r="N9973" s="5"/>
      <c r="O9973" s="5"/>
      <c r="P9973" s="5"/>
      <c r="Q9973" s="5"/>
      <c r="R9973" s="5"/>
      <c r="S9973" s="5"/>
      <c r="T9973" s="5"/>
      <c r="U9973" s="5"/>
      <c r="V9973" s="5"/>
      <c r="W9973" s="5"/>
      <c r="X9973" s="5"/>
      <c r="Y9973" s="5"/>
      <c r="Z9973" s="5"/>
    </row>
    <row r="9974" spans="1:26" ht="15" x14ac:dyDescent="0.25">
      <c r="A9974" s="4" t="s">
        <v>9972</v>
      </c>
      <c r="B9974" s="4" t="s">
        <v>9011</v>
      </c>
      <c r="C9974" s="2" t="str">
        <f ca="1">IFERROR(__xludf.DUMMYFUNCTION("GOOGLETRANSLATE(A9974,""bn"",""en"")"),"He will travel to Europe next summer for a vacation")</f>
        <v>He will travel to Europe next summer for a vacation</v>
      </c>
      <c r="D9974" s="5"/>
      <c r="E9974" s="5"/>
      <c r="F9974" s="5"/>
      <c r="G9974" s="5"/>
      <c r="H9974" s="5"/>
      <c r="I9974" s="5"/>
      <c r="J9974" s="5"/>
      <c r="K9974" s="5"/>
      <c r="L9974" s="5"/>
      <c r="M9974" s="5"/>
      <c r="N9974" s="5"/>
      <c r="O9974" s="5"/>
      <c r="P9974" s="5"/>
      <c r="Q9974" s="5"/>
      <c r="R9974" s="5"/>
      <c r="S9974" s="5"/>
      <c r="T9974" s="5"/>
      <c r="U9974" s="5"/>
      <c r="V9974" s="5"/>
      <c r="W9974" s="5"/>
      <c r="X9974" s="5"/>
      <c r="Y9974" s="5"/>
      <c r="Z9974" s="5"/>
    </row>
    <row r="9975" spans="1:26" ht="15" x14ac:dyDescent="0.25">
      <c r="A9975" s="4" t="s">
        <v>9973</v>
      </c>
      <c r="B9975" s="4" t="s">
        <v>9011</v>
      </c>
      <c r="C9975" s="2" t="str">
        <f ca="1">IFERROR(__xludf.DUMMYFUNCTION("GOOGLETRANSLATE(A9975,""bn"",""en"")"),"I can't understand how much time will pass by suddenly laughing with friends")</f>
        <v>I can't understand how much time will pass by suddenly laughing with friends</v>
      </c>
      <c r="D9975" s="5"/>
      <c r="E9975" s="5"/>
      <c r="F9975" s="5"/>
      <c r="G9975" s="5"/>
      <c r="H9975" s="5"/>
      <c r="I9975" s="5"/>
      <c r="J9975" s="5"/>
      <c r="K9975" s="5"/>
      <c r="L9975" s="5"/>
      <c r="M9975" s="5"/>
      <c r="N9975" s="5"/>
      <c r="O9975" s="5"/>
      <c r="P9975" s="5"/>
      <c r="Q9975" s="5"/>
      <c r="R9975" s="5"/>
      <c r="S9975" s="5"/>
      <c r="T9975" s="5"/>
      <c r="U9975" s="5"/>
      <c r="V9975" s="5"/>
      <c r="W9975" s="5"/>
      <c r="X9975" s="5"/>
      <c r="Y9975" s="5"/>
      <c r="Z9975" s="5"/>
    </row>
    <row r="9976" spans="1:26" ht="15" x14ac:dyDescent="0.25">
      <c r="A9976" s="4" t="s">
        <v>9974</v>
      </c>
      <c r="B9976" s="4" t="s">
        <v>9011</v>
      </c>
      <c r="C9976" s="2" t="str">
        <f ca="1">IFERROR(__xludf.DUMMYFUNCTION("GOOGLETRANSLATE(A9976,""bn"",""en"")"),"Music will act as a medium to express our inner feelings. If we feel lonely at night or in any other state of mind, listening to music will speak our mind. This self-expression will make us happy.")</f>
        <v>Music will act as a medium to express our inner feelings. If we feel lonely at night or in any other state of mind, listening to music will speak our mind. This self-expression will make us happy.</v>
      </c>
      <c r="D9976" s="5"/>
      <c r="E9976" s="5"/>
      <c r="F9976" s="5"/>
      <c r="G9976" s="5"/>
      <c r="H9976" s="5"/>
      <c r="I9976" s="5"/>
      <c r="J9976" s="5"/>
      <c r="K9976" s="5"/>
      <c r="L9976" s="5"/>
      <c r="M9976" s="5"/>
      <c r="N9976" s="5"/>
      <c r="O9976" s="5"/>
      <c r="P9976" s="5"/>
      <c r="Q9976" s="5"/>
      <c r="R9976" s="5"/>
      <c r="S9976" s="5"/>
      <c r="T9976" s="5"/>
      <c r="U9976" s="5"/>
      <c r="V9976" s="5"/>
      <c r="W9976" s="5"/>
      <c r="X9976" s="5"/>
      <c r="Y9976" s="5"/>
      <c r="Z9976" s="5"/>
    </row>
    <row r="9977" spans="1:26" ht="15" x14ac:dyDescent="0.25">
      <c r="A9977" s="4" t="s">
        <v>9975</v>
      </c>
      <c r="B9977" s="4" t="s">
        <v>9011</v>
      </c>
      <c r="C9977" s="2" t="str">
        <f ca="1">IFERROR(__xludf.DUMMYFUNCTION("GOOGLETRANSLATE(A9977,""bn"",""en"")"),"I will work to fight against smoking, drinking and drug use")</f>
        <v>I will work to fight against smoking, drinking and drug use</v>
      </c>
      <c r="D9977" s="5"/>
      <c r="E9977" s="5"/>
      <c r="F9977" s="5"/>
      <c r="G9977" s="5"/>
      <c r="H9977" s="5"/>
      <c r="I9977" s="5"/>
      <c r="J9977" s="5"/>
      <c r="K9977" s="5"/>
      <c r="L9977" s="5"/>
      <c r="M9977" s="5"/>
      <c r="N9977" s="5"/>
      <c r="O9977" s="5"/>
      <c r="P9977" s="5"/>
      <c r="Q9977" s="5"/>
      <c r="R9977" s="5"/>
      <c r="S9977" s="5"/>
      <c r="T9977" s="5"/>
      <c r="U9977" s="5"/>
      <c r="V9977" s="5"/>
      <c r="W9977" s="5"/>
      <c r="X9977" s="5"/>
      <c r="Y9977" s="5"/>
      <c r="Z9977" s="5"/>
    </row>
    <row r="9978" spans="1:26" ht="15" x14ac:dyDescent="0.25">
      <c r="A9978" s="4" t="s">
        <v>9976</v>
      </c>
      <c r="B9978" s="4" t="s">
        <v>9011</v>
      </c>
      <c r="C9978" s="2" t="str">
        <f ca="1">IFERROR(__xludf.DUMMYFUNCTION("GOOGLETRANSLATE(A9978,""bn"",""en"")"),"I will spend the next week in a new way")</f>
        <v>I will spend the next week in a new way</v>
      </c>
      <c r="D9978" s="5"/>
      <c r="E9978" s="5"/>
      <c r="F9978" s="5"/>
      <c r="G9978" s="5"/>
      <c r="H9978" s="5"/>
      <c r="I9978" s="5"/>
      <c r="J9978" s="5"/>
      <c r="K9978" s="5"/>
      <c r="L9978" s="5"/>
      <c r="M9978" s="5"/>
      <c r="N9978" s="5"/>
      <c r="O9978" s="5"/>
      <c r="P9978" s="5"/>
      <c r="Q9978" s="5"/>
      <c r="R9978" s="5"/>
      <c r="S9978" s="5"/>
      <c r="T9978" s="5"/>
      <c r="U9978" s="5"/>
      <c r="V9978" s="5"/>
      <c r="W9978" s="5"/>
      <c r="X9978" s="5"/>
      <c r="Y9978" s="5"/>
      <c r="Z9978" s="5"/>
    </row>
    <row r="9979" spans="1:26" ht="15" x14ac:dyDescent="0.25">
      <c r="A9979" s="4" t="s">
        <v>9977</v>
      </c>
      <c r="B9979" s="4" t="s">
        <v>9011</v>
      </c>
      <c r="C9979" s="2" t="str">
        <f ca="1">IFERROR(__xludf.DUMMYFUNCTION("GOOGLETRANSLATE(A9979,""bn"",""en"")"),"The flowers of all our dreams will bloom today. I will welcome little Sonamani")</f>
        <v>The flowers of all our dreams will bloom today. I will welcome little Sonamani</v>
      </c>
      <c r="D9979" s="5"/>
      <c r="E9979" s="5"/>
      <c r="F9979" s="5"/>
      <c r="G9979" s="5"/>
      <c r="H9979" s="5"/>
      <c r="I9979" s="5"/>
      <c r="J9979" s="5"/>
      <c r="K9979" s="5"/>
      <c r="L9979" s="5"/>
      <c r="M9979" s="5"/>
      <c r="N9979" s="5"/>
      <c r="O9979" s="5"/>
      <c r="P9979" s="5"/>
      <c r="Q9979" s="5"/>
      <c r="R9979" s="5"/>
      <c r="S9979" s="5"/>
      <c r="T9979" s="5"/>
      <c r="U9979" s="5"/>
      <c r="V9979" s="5"/>
      <c r="W9979" s="5"/>
      <c r="X9979" s="5"/>
      <c r="Y9979" s="5"/>
      <c r="Z9979" s="5"/>
    </row>
    <row r="9980" spans="1:26" ht="15" x14ac:dyDescent="0.25">
      <c r="A9980" s="4" t="s">
        <v>9978</v>
      </c>
      <c r="B9980" s="4" t="s">
        <v>9011</v>
      </c>
      <c r="C9980" s="2" t="str">
        <f ca="1">IFERROR(__xludf.DUMMYFUNCTION("GOOGLETRANSLATE(A9980,""bn"",""en"")"),"All the fun childhood memories will come back with this gift thanks to the light")</f>
        <v>All the fun childhood memories will come back with this gift thanks to the light</v>
      </c>
      <c r="D9980" s="5"/>
      <c r="E9980" s="5"/>
      <c r="F9980" s="5"/>
      <c r="G9980" s="5"/>
      <c r="H9980" s="5"/>
      <c r="I9980" s="5"/>
      <c r="J9980" s="5"/>
      <c r="K9980" s="5"/>
      <c r="L9980" s="5"/>
      <c r="M9980" s="5"/>
      <c r="N9980" s="5"/>
      <c r="O9980" s="5"/>
      <c r="P9980" s="5"/>
      <c r="Q9980" s="5"/>
      <c r="R9980" s="5"/>
      <c r="S9980" s="5"/>
      <c r="T9980" s="5"/>
      <c r="U9980" s="5"/>
      <c r="V9980" s="5"/>
      <c r="W9980" s="5"/>
      <c r="X9980" s="5"/>
      <c r="Y9980" s="5"/>
      <c r="Z9980" s="5"/>
    </row>
    <row r="9981" spans="1:26" ht="15" x14ac:dyDescent="0.25">
      <c r="A9981" s="4" t="s">
        <v>9979</v>
      </c>
      <c r="B9981" s="4" t="s">
        <v>9011</v>
      </c>
      <c r="C9981" s="2" t="str">
        <f ca="1">IFERROR(__xludf.DUMMYFUNCTION("GOOGLETRANSLATE(A9981,""bn"",""en"")"),"Can you stay here before we complete our plan?")</f>
        <v>Can you stay here before we complete our plan?</v>
      </c>
      <c r="D9981" s="5"/>
      <c r="E9981" s="5"/>
      <c r="F9981" s="5"/>
      <c r="G9981" s="5"/>
      <c r="H9981" s="5"/>
      <c r="I9981" s="5"/>
      <c r="J9981" s="5"/>
      <c r="K9981" s="5"/>
      <c r="L9981" s="5"/>
      <c r="M9981" s="5"/>
      <c r="N9981" s="5"/>
      <c r="O9981" s="5"/>
      <c r="P9981" s="5"/>
      <c r="Q9981" s="5"/>
      <c r="R9981" s="5"/>
      <c r="S9981" s="5"/>
      <c r="T9981" s="5"/>
      <c r="U9981" s="5"/>
      <c r="V9981" s="5"/>
      <c r="W9981" s="5"/>
      <c r="X9981" s="5"/>
      <c r="Y9981" s="5"/>
      <c r="Z9981" s="5"/>
    </row>
    <row r="9982" spans="1:26" ht="15" x14ac:dyDescent="0.25">
      <c r="A9982" s="4" t="s">
        <v>9980</v>
      </c>
      <c r="B9982" s="4" t="s">
        <v>9011</v>
      </c>
      <c r="C9982" s="2" t="str">
        <f ca="1">IFERROR(__xludf.DUMMYFUNCTION("GOOGLETRANSLATE(A9982,""bn"",""en"")"),"Chatpottin Fuchka will be the king of street food")</f>
        <v>Chatpottin Fuchka will be the king of street food</v>
      </c>
      <c r="D9982" s="5"/>
      <c r="E9982" s="5"/>
      <c r="F9982" s="5"/>
      <c r="G9982" s="5"/>
      <c r="H9982" s="5"/>
      <c r="I9982" s="5"/>
      <c r="J9982" s="5"/>
      <c r="K9982" s="5"/>
      <c r="L9982" s="5"/>
      <c r="M9982" s="5"/>
      <c r="N9982" s="5"/>
      <c r="O9982" s="5"/>
      <c r="P9982" s="5"/>
      <c r="Q9982" s="5"/>
      <c r="R9982" s="5"/>
      <c r="S9982" s="5"/>
      <c r="T9982" s="5"/>
      <c r="U9982" s="5"/>
      <c r="V9982" s="5"/>
      <c r="W9982" s="5"/>
      <c r="X9982" s="5"/>
      <c r="Y9982" s="5"/>
      <c r="Z9982" s="5"/>
    </row>
    <row r="9983" spans="1:26" ht="15" x14ac:dyDescent="0.25">
      <c r="A9983" s="4" t="s">
        <v>9981</v>
      </c>
      <c r="B9983" s="4" t="s">
        <v>9011</v>
      </c>
      <c r="C9983" s="2" t="str">
        <f ca="1">IFERROR(__xludf.DUMMYFUNCTION("GOOGLETRANSLATE(A9983,""bn"",""en"")"),"He who claims my tears will never make me cry")</f>
        <v>He who claims my tears will never make me cry</v>
      </c>
      <c r="D9983" s="5"/>
      <c r="E9983" s="5"/>
      <c r="F9983" s="5"/>
      <c r="G9983" s="5"/>
      <c r="H9983" s="5"/>
      <c r="I9983" s="5"/>
      <c r="J9983" s="5"/>
      <c r="K9983" s="5"/>
      <c r="L9983" s="5"/>
      <c r="M9983" s="5"/>
      <c r="N9983" s="5"/>
      <c r="O9983" s="5"/>
      <c r="P9983" s="5"/>
      <c r="Q9983" s="5"/>
      <c r="R9983" s="5"/>
      <c r="S9983" s="5"/>
      <c r="T9983" s="5"/>
      <c r="U9983" s="5"/>
      <c r="V9983" s="5"/>
      <c r="W9983" s="5"/>
      <c r="X9983" s="5"/>
      <c r="Y9983" s="5"/>
      <c r="Z9983" s="5"/>
    </row>
    <row r="9984" spans="1:26" ht="15" x14ac:dyDescent="0.25">
      <c r="A9984" s="4" t="s">
        <v>9982</v>
      </c>
      <c r="B9984" s="4" t="s">
        <v>9011</v>
      </c>
      <c r="C9984" s="2" t="str">
        <f ca="1">IFERROR(__xludf.DUMMYFUNCTION("GOOGLETRANSLATE(A9984,""bn"",""en"")"),"I will discover a new method of producing artificial limbs next week")</f>
        <v>I will discover a new method of producing artificial limbs next week</v>
      </c>
      <c r="D9984" s="5"/>
      <c r="E9984" s="5"/>
      <c r="F9984" s="5"/>
      <c r="G9984" s="5"/>
      <c r="H9984" s="5"/>
      <c r="I9984" s="5"/>
      <c r="J9984" s="5"/>
      <c r="K9984" s="5"/>
      <c r="L9984" s="5"/>
      <c r="M9984" s="5"/>
      <c r="N9984" s="5"/>
      <c r="O9984" s="5"/>
      <c r="P9984" s="5"/>
      <c r="Q9984" s="5"/>
      <c r="R9984" s="5"/>
      <c r="S9984" s="5"/>
      <c r="T9984" s="5"/>
      <c r="U9984" s="5"/>
      <c r="V9984" s="5"/>
      <c r="W9984" s="5"/>
      <c r="X9984" s="5"/>
      <c r="Y9984" s="5"/>
      <c r="Z9984" s="5"/>
    </row>
    <row r="9985" spans="1:26" ht="15" x14ac:dyDescent="0.25">
      <c r="A9985" s="4" t="s">
        <v>9983</v>
      </c>
      <c r="B9985" s="4" t="s">
        <v>9011</v>
      </c>
      <c r="C9985" s="2" t="str">
        <f ca="1">IFERROR(__xludf.DUMMYFUNCTION("GOOGLETRANSLATE(A9985,""bn"",""en"")"),"They will achieve the greatest success in life when their dreams come true")</f>
        <v>They will achieve the greatest success in life when their dreams come true</v>
      </c>
      <c r="D9985" s="5"/>
      <c r="E9985" s="5"/>
      <c r="F9985" s="5"/>
      <c r="G9985" s="5"/>
      <c r="H9985" s="5"/>
      <c r="I9985" s="5"/>
      <c r="J9985" s="5"/>
      <c r="K9985" s="5"/>
      <c r="L9985" s="5"/>
      <c r="M9985" s="5"/>
      <c r="N9985" s="5"/>
      <c r="O9985" s="5"/>
      <c r="P9985" s="5"/>
      <c r="Q9985" s="5"/>
      <c r="R9985" s="5"/>
      <c r="S9985" s="5"/>
      <c r="T9985" s="5"/>
      <c r="U9985" s="5"/>
      <c r="V9985" s="5"/>
      <c r="W9985" s="5"/>
      <c r="X9985" s="5"/>
      <c r="Y9985" s="5"/>
      <c r="Z9985" s="5"/>
    </row>
    <row r="9986" spans="1:26" ht="15" x14ac:dyDescent="0.25">
      <c r="A9986" s="4" t="s">
        <v>9984</v>
      </c>
      <c r="B9986" s="4" t="s">
        <v>9011</v>
      </c>
      <c r="C9986" s="2" t="str">
        <f ca="1">IFERROR(__xludf.DUMMYFUNCTION("GOOGLETRANSLATE(A9986,""bn"",""en"")"),"I will need a little more Bengali tomorrow after eating food from mother's hand")</f>
        <v>I will need a little more Bengali tomorrow after eating food from mother's hand</v>
      </c>
      <c r="D9986" s="5"/>
      <c r="E9986" s="5"/>
      <c r="F9986" s="5"/>
      <c r="G9986" s="5"/>
      <c r="H9986" s="5"/>
      <c r="I9986" s="5"/>
      <c r="J9986" s="5"/>
      <c r="K9986" s="5"/>
      <c r="L9986" s="5"/>
      <c r="M9986" s="5"/>
      <c r="N9986" s="5"/>
      <c r="O9986" s="5"/>
      <c r="P9986" s="5"/>
      <c r="Q9986" s="5"/>
      <c r="R9986" s="5"/>
      <c r="S9986" s="5"/>
      <c r="T9986" s="5"/>
      <c r="U9986" s="5"/>
      <c r="V9986" s="5"/>
      <c r="W9986" s="5"/>
      <c r="X9986" s="5"/>
      <c r="Y9986" s="5"/>
      <c r="Z9986" s="5"/>
    </row>
    <row r="9987" spans="1:26" ht="15" x14ac:dyDescent="0.25">
      <c r="A9987" s="4" t="s">
        <v>9985</v>
      </c>
      <c r="B9987" s="4" t="s">
        <v>9011</v>
      </c>
      <c r="C9987" s="2" t="str">
        <f ca="1">IFERROR(__xludf.DUMMYFUNCTION("GOOGLETRANSLATE(A9987,""bn"",""en"")"),"Sitting in the dark of the cinema hall, it seems that the same story is playing in everyone's mind")</f>
        <v>Sitting in the dark of the cinema hall, it seems that the same story is playing in everyone's mind</v>
      </c>
      <c r="D9987" s="5"/>
      <c r="E9987" s="5"/>
      <c r="F9987" s="5"/>
      <c r="G9987" s="5"/>
      <c r="H9987" s="5"/>
      <c r="I9987" s="5"/>
      <c r="J9987" s="5"/>
      <c r="K9987" s="5"/>
      <c r="L9987" s="5"/>
      <c r="M9987" s="5"/>
      <c r="N9987" s="5"/>
      <c r="O9987" s="5"/>
      <c r="P9987" s="5"/>
      <c r="Q9987" s="5"/>
      <c r="R9987" s="5"/>
      <c r="S9987" s="5"/>
      <c r="T9987" s="5"/>
      <c r="U9987" s="5"/>
      <c r="V9987" s="5"/>
      <c r="W9987" s="5"/>
      <c r="X9987" s="5"/>
      <c r="Y9987" s="5"/>
      <c r="Z9987" s="5"/>
    </row>
    <row r="9988" spans="1:26" ht="15" x14ac:dyDescent="0.25">
      <c r="A9988" s="4" t="s">
        <v>9986</v>
      </c>
      <c r="B9988" s="4" t="s">
        <v>9011</v>
      </c>
      <c r="C9988" s="2" t="str">
        <f ca="1">IFERROR(__xludf.DUMMYFUNCTION("GOOGLETRANSLATE(A9988,""bn"",""en"")"),"They will attend an international conference next month where they will present their invention")</f>
        <v>They will attend an international conference next month where they will present their invention</v>
      </c>
      <c r="D9988" s="5"/>
      <c r="E9988" s="5"/>
      <c r="F9988" s="5"/>
      <c r="G9988" s="5"/>
      <c r="H9988" s="5"/>
      <c r="I9988" s="5"/>
      <c r="J9988" s="5"/>
      <c r="K9988" s="5"/>
      <c r="L9988" s="5"/>
      <c r="M9988" s="5"/>
      <c r="N9988" s="5"/>
      <c r="O9988" s="5"/>
      <c r="P9988" s="5"/>
      <c r="Q9988" s="5"/>
      <c r="R9988" s="5"/>
      <c r="S9988" s="5"/>
      <c r="T9988" s="5"/>
      <c r="U9988" s="5"/>
      <c r="V9988" s="5"/>
      <c r="W9988" s="5"/>
      <c r="X9988" s="5"/>
      <c r="Y9988" s="5"/>
      <c r="Z9988" s="5"/>
    </row>
    <row r="9989" spans="1:26" ht="15" x14ac:dyDescent="0.25">
      <c r="A9989" s="4" t="s">
        <v>9987</v>
      </c>
      <c r="B9989" s="4" t="s">
        <v>9011</v>
      </c>
      <c r="C9989" s="2" t="str">
        <f ca="1">IFERROR(__xludf.DUMMYFUNCTION("GOOGLETRANSLATE(A9989,""bn"",""en"")"),"Waking up in the morning and seeing the misty nature will feel like getting lost in a mysterious world")</f>
        <v>Waking up in the morning and seeing the misty nature will feel like getting lost in a mysterious world</v>
      </c>
      <c r="D9989" s="5"/>
      <c r="E9989" s="5"/>
      <c r="F9989" s="5"/>
      <c r="G9989" s="5"/>
      <c r="H9989" s="5"/>
      <c r="I9989" s="5"/>
      <c r="J9989" s="5"/>
      <c r="K9989" s="5"/>
      <c r="L9989" s="5"/>
      <c r="M9989" s="5"/>
      <c r="N9989" s="5"/>
      <c r="O9989" s="5"/>
      <c r="P9989" s="5"/>
      <c r="Q9989" s="5"/>
      <c r="R9989" s="5"/>
      <c r="S9989" s="5"/>
      <c r="T9989" s="5"/>
      <c r="U9989" s="5"/>
      <c r="V9989" s="5"/>
      <c r="W9989" s="5"/>
      <c r="X9989" s="5"/>
      <c r="Y9989" s="5"/>
      <c r="Z9989" s="5"/>
    </row>
    <row r="9990" spans="1:26" ht="15" x14ac:dyDescent="0.25">
      <c r="A9990" s="4" t="s">
        <v>9988</v>
      </c>
      <c r="B9990" s="4" t="s">
        <v>9011</v>
      </c>
      <c r="C9990" s="2" t="str">
        <f ca="1">IFERROR(__xludf.DUMMYFUNCTION("GOOGLETRANSLATE(A9990,""bn"",""en"")"),"As sweet as Rabindranath's poetry, as soft as Nazrul's song, this tea will be relished.")</f>
        <v>As sweet as Rabindranath's poetry, as soft as Nazrul's song, this tea will be relished.</v>
      </c>
      <c r="D9990" s="5"/>
      <c r="E9990" s="5"/>
      <c r="F9990" s="5"/>
      <c r="G9990" s="5"/>
      <c r="H9990" s="5"/>
      <c r="I9990" s="5"/>
      <c r="J9990" s="5"/>
      <c r="K9990" s="5"/>
      <c r="L9990" s="5"/>
      <c r="M9990" s="5"/>
      <c r="N9990" s="5"/>
      <c r="O9990" s="5"/>
      <c r="P9990" s="5"/>
      <c r="Q9990" s="5"/>
      <c r="R9990" s="5"/>
      <c r="S9990" s="5"/>
      <c r="T9990" s="5"/>
      <c r="U9990" s="5"/>
      <c r="V9990" s="5"/>
      <c r="W9990" s="5"/>
      <c r="X9990" s="5"/>
      <c r="Y9990" s="5"/>
      <c r="Z9990" s="5"/>
    </row>
    <row r="9991" spans="1:26" ht="15" x14ac:dyDescent="0.25">
      <c r="A9991" s="4" t="s">
        <v>9989</v>
      </c>
      <c r="B9991" s="4" t="s">
        <v>9011</v>
      </c>
      <c r="C9991" s="2" t="str">
        <f ca="1">IFERROR(__xludf.DUMMYFUNCTION("GOOGLETRANSLATE(A9991,""bn"",""en"")"),"Seeing Sujoy, time will stop")</f>
        <v>Seeing Sujoy, time will stop</v>
      </c>
      <c r="D9991" s="5"/>
      <c r="E9991" s="5"/>
      <c r="F9991" s="5"/>
      <c r="G9991" s="5"/>
      <c r="H9991" s="5"/>
      <c r="I9991" s="5"/>
      <c r="J9991" s="5"/>
      <c r="K9991" s="5"/>
      <c r="L9991" s="5"/>
      <c r="M9991" s="5"/>
      <c r="N9991" s="5"/>
      <c r="O9991" s="5"/>
      <c r="P9991" s="5"/>
      <c r="Q9991" s="5"/>
      <c r="R9991" s="5"/>
      <c r="S9991" s="5"/>
      <c r="T9991" s="5"/>
      <c r="U9991" s="5"/>
      <c r="V9991" s="5"/>
      <c r="W9991" s="5"/>
      <c r="X9991" s="5"/>
      <c r="Y9991" s="5"/>
      <c r="Z9991" s="5"/>
    </row>
    <row r="9992" spans="1:26" ht="15" x14ac:dyDescent="0.25">
      <c r="A9992" s="4" t="s">
        <v>9990</v>
      </c>
      <c r="B9992" s="4" t="s">
        <v>9011</v>
      </c>
      <c r="C9992" s="2" t="str">
        <f ca="1">IFERROR(__xludf.DUMMYFUNCTION("GOOGLETRANSLATE(A9992,""bn"",""en"")"),"There is nothing better to start a new day than the peace of waking up in the morning to see the sun shining")</f>
        <v>There is nothing better to start a new day than the peace of waking up in the morning to see the sun shining</v>
      </c>
      <c r="D9992" s="5"/>
      <c r="E9992" s="5"/>
      <c r="F9992" s="5"/>
      <c r="G9992" s="5"/>
      <c r="H9992" s="5"/>
      <c r="I9992" s="5"/>
      <c r="J9992" s="5"/>
      <c r="K9992" s="5"/>
      <c r="L9992" s="5"/>
      <c r="M9992" s="5"/>
      <c r="N9992" s="5"/>
      <c r="O9992" s="5"/>
      <c r="P9992" s="5"/>
      <c r="Q9992" s="5"/>
      <c r="R9992" s="5"/>
      <c r="S9992" s="5"/>
      <c r="T9992" s="5"/>
      <c r="U9992" s="5"/>
      <c r="V9992" s="5"/>
      <c r="W9992" s="5"/>
      <c r="X9992" s="5"/>
      <c r="Y9992" s="5"/>
      <c r="Z9992" s="5"/>
    </row>
    <row r="9993" spans="1:26" ht="15" x14ac:dyDescent="0.25">
      <c r="A9993" s="4" t="s">
        <v>9991</v>
      </c>
      <c r="B9993" s="4" t="s">
        <v>9011</v>
      </c>
      <c r="C9993" s="2" t="str">
        <f ca="1">IFERROR(__xludf.DUMMYFUNCTION("GOOGLETRANSLATE(A9993,""bn"",""en"")"),"We will release a new music album next month which will contain the best songs of our band")</f>
        <v>We will release a new music album next month which will contain the best songs of our band</v>
      </c>
      <c r="D9993" s="5"/>
      <c r="E9993" s="5"/>
      <c r="F9993" s="5"/>
      <c r="G9993" s="5"/>
      <c r="H9993" s="5"/>
      <c r="I9993" s="5"/>
      <c r="J9993" s="5"/>
      <c r="K9993" s="5"/>
      <c r="L9993" s="5"/>
      <c r="M9993" s="5"/>
      <c r="N9993" s="5"/>
      <c r="O9993" s="5"/>
      <c r="P9993" s="5"/>
      <c r="Q9993" s="5"/>
      <c r="R9993" s="5"/>
      <c r="S9993" s="5"/>
      <c r="T9993" s="5"/>
      <c r="U9993" s="5"/>
      <c r="V9993" s="5"/>
      <c r="W9993" s="5"/>
      <c r="X9993" s="5"/>
      <c r="Y9993" s="5"/>
      <c r="Z9993" s="5"/>
    </row>
    <row r="9994" spans="1:26" ht="15" x14ac:dyDescent="0.25">
      <c r="A9994" s="4" t="s">
        <v>9992</v>
      </c>
      <c r="B9994" s="4" t="s">
        <v>9011</v>
      </c>
      <c r="C9994" s="2" t="str">
        <f ca="1">IFERROR(__xludf.DUMMYFUNCTION("GOOGLETRANSLATE(A9994,""bn"",""en"")"),"In the future I will build a social organization that will help the needy people of the society")</f>
        <v>In the future I will build a social organization that will help the needy people of the society</v>
      </c>
      <c r="D9994" s="5"/>
      <c r="E9994" s="5"/>
      <c r="F9994" s="5"/>
      <c r="G9994" s="5"/>
      <c r="H9994" s="5"/>
      <c r="I9994" s="5"/>
      <c r="J9994" s="5"/>
      <c r="K9994" s="5"/>
      <c r="L9994" s="5"/>
      <c r="M9994" s="5"/>
      <c r="N9994" s="5"/>
      <c r="O9994" s="5"/>
      <c r="P9994" s="5"/>
      <c r="Q9994" s="5"/>
      <c r="R9994" s="5"/>
      <c r="S9994" s="5"/>
      <c r="T9994" s="5"/>
      <c r="U9994" s="5"/>
      <c r="V9994" s="5"/>
      <c r="W9994" s="5"/>
      <c r="X9994" s="5"/>
      <c r="Y9994" s="5"/>
      <c r="Z9994" s="5"/>
    </row>
    <row r="9995" spans="1:26" ht="15" x14ac:dyDescent="0.25">
      <c r="A9995" s="4" t="s">
        <v>9993</v>
      </c>
      <c r="B9995" s="4" t="s">
        <v>9011</v>
      </c>
      <c r="C9995" s="2" t="str">
        <f ca="1">IFERROR(__xludf.DUMMYFUNCTION("GOOGLETRANSLATE(A9995,""bn"",""en"")"),"The afternoon chat will be with friends to relieve the tiredness of the whole day")</f>
        <v>The afternoon chat will be with friends to relieve the tiredness of the whole day</v>
      </c>
      <c r="D9995" s="5"/>
      <c r="E9995" s="5"/>
      <c r="F9995" s="5"/>
      <c r="G9995" s="5"/>
      <c r="H9995" s="5"/>
      <c r="I9995" s="5"/>
      <c r="J9995" s="5"/>
      <c r="K9995" s="5"/>
      <c r="L9995" s="5"/>
      <c r="M9995" s="5"/>
      <c r="N9995" s="5"/>
      <c r="O9995" s="5"/>
      <c r="P9995" s="5"/>
      <c r="Q9995" s="5"/>
      <c r="R9995" s="5"/>
      <c r="S9995" s="5"/>
      <c r="T9995" s="5"/>
      <c r="U9995" s="5"/>
      <c r="V9995" s="5"/>
      <c r="W9995" s="5"/>
      <c r="X9995" s="5"/>
      <c r="Y9995" s="5"/>
      <c r="Z9995" s="5"/>
    </row>
    <row r="9996" spans="1:26" ht="15" x14ac:dyDescent="0.25">
      <c r="A9996" s="4" t="s">
        <v>9994</v>
      </c>
      <c r="B9996" s="4" t="s">
        <v>9011</v>
      </c>
      <c r="C9996" s="2" t="str">
        <f ca="1">IFERROR(__xludf.DUMMYFUNCTION("GOOGLETRANSLATE(A9996,""bn"",""en"")"),"I will develop a program to promote a healthy lifestyle for the elderly")</f>
        <v>I will develop a program to promote a healthy lifestyle for the elderly</v>
      </c>
      <c r="D9996" s="5"/>
      <c r="E9996" s="5"/>
      <c r="F9996" s="5"/>
      <c r="G9996" s="5"/>
      <c r="H9996" s="5"/>
      <c r="I9996" s="5"/>
      <c r="J9996" s="5"/>
      <c r="K9996" s="5"/>
      <c r="L9996" s="5"/>
      <c r="M9996" s="5"/>
      <c r="N9996" s="5"/>
      <c r="O9996" s="5"/>
      <c r="P9996" s="5"/>
      <c r="Q9996" s="5"/>
      <c r="R9996" s="5"/>
      <c r="S9996" s="5"/>
      <c r="T9996" s="5"/>
      <c r="U9996" s="5"/>
      <c r="V9996" s="5"/>
      <c r="W9996" s="5"/>
      <c r="X9996" s="5"/>
      <c r="Y9996" s="5"/>
      <c r="Z9996" s="5"/>
    </row>
    <row r="9997" spans="1:26" ht="15" x14ac:dyDescent="0.25">
      <c r="A9997" s="4" t="s">
        <v>9995</v>
      </c>
      <c r="B9997" s="4" t="s">
        <v>9011</v>
      </c>
      <c r="C9997" s="2" t="str">
        <f ca="1">IFERROR(__xludf.DUMMYFUNCTION("GOOGLETRANSLATE(A9997,""bn"",""en"")"),"If you want to be happy in life, don't blame your fate, forget it and start anew")</f>
        <v>If you want to be happy in life, don't blame your fate, forget it and start anew</v>
      </c>
      <c r="D9997" s="5"/>
      <c r="E9997" s="5"/>
      <c r="F9997" s="5"/>
      <c r="G9997" s="5"/>
      <c r="H9997" s="5"/>
      <c r="I9997" s="5"/>
      <c r="J9997" s="5"/>
      <c r="K9997" s="5"/>
      <c r="L9997" s="5"/>
      <c r="M9997" s="5"/>
      <c r="N9997" s="5"/>
      <c r="O9997" s="5"/>
      <c r="P9997" s="5"/>
      <c r="Q9997" s="5"/>
      <c r="R9997" s="5"/>
      <c r="S9997" s="5"/>
      <c r="T9997" s="5"/>
      <c r="U9997" s="5"/>
      <c r="V9997" s="5"/>
      <c r="W9997" s="5"/>
      <c r="X9997" s="5"/>
      <c r="Y9997" s="5"/>
      <c r="Z9997" s="5"/>
    </row>
    <row r="9998" spans="1:26" ht="15" x14ac:dyDescent="0.25">
      <c r="A9998" s="4" t="s">
        <v>9996</v>
      </c>
      <c r="B9998" s="4" t="s">
        <v>9011</v>
      </c>
      <c r="C9998" s="2" t="str">
        <f ca="1">IFERROR(__xludf.DUMMYFUNCTION("GOOGLETRANSLATE(A9998,""bn"",""en"")"),"I will be in the story even after leaving the cinema hall")</f>
        <v>I will be in the story even after leaving the cinema hall</v>
      </c>
      <c r="D9998" s="5"/>
      <c r="E9998" s="5"/>
      <c r="F9998" s="5"/>
      <c r="G9998" s="5"/>
      <c r="H9998" s="5"/>
      <c r="I9998" s="5"/>
      <c r="J9998" s="5"/>
      <c r="K9998" s="5"/>
      <c r="L9998" s="5"/>
      <c r="M9998" s="5"/>
      <c r="N9998" s="5"/>
      <c r="O9998" s="5"/>
      <c r="P9998" s="5"/>
      <c r="Q9998" s="5"/>
      <c r="R9998" s="5"/>
      <c r="S9998" s="5"/>
      <c r="T9998" s="5"/>
      <c r="U9998" s="5"/>
      <c r="V9998" s="5"/>
      <c r="W9998" s="5"/>
      <c r="X9998" s="5"/>
      <c r="Y9998" s="5"/>
      <c r="Z9998" s="5"/>
    </row>
    <row r="9999" spans="1:26" ht="15" x14ac:dyDescent="0.25">
      <c r="A9999" s="4" t="s">
        <v>9997</v>
      </c>
      <c r="B9999" s="4" t="s">
        <v>9011</v>
      </c>
      <c r="C9999" s="2" t="str">
        <f ca="1">IFERROR(__xludf.DUMMYFUNCTION("GOOGLETRANSLATE(A9999,""bn"",""en"")"),"He will be inventing completely new technologies as he releases new technologies")</f>
        <v>He will be inventing completely new technologies as he releases new technologies</v>
      </c>
      <c r="D9999" s="5"/>
      <c r="E9999" s="5"/>
      <c r="F9999" s="5"/>
      <c r="G9999" s="5"/>
      <c r="H9999" s="5"/>
      <c r="I9999" s="5"/>
      <c r="J9999" s="5"/>
      <c r="K9999" s="5"/>
      <c r="L9999" s="5"/>
      <c r="M9999" s="5"/>
      <c r="N9999" s="5"/>
      <c r="O9999" s="5"/>
      <c r="P9999" s="5"/>
      <c r="Q9999" s="5"/>
      <c r="R9999" s="5"/>
      <c r="S9999" s="5"/>
      <c r="T9999" s="5"/>
      <c r="U9999" s="5"/>
      <c r="V9999" s="5"/>
      <c r="W9999" s="5"/>
      <c r="X9999" s="5"/>
      <c r="Y9999" s="5"/>
      <c r="Z9999" s="5"/>
    </row>
    <row r="10000" spans="1:26" ht="15" x14ac:dyDescent="0.25">
      <c r="A10000" s="4" t="s">
        <v>9998</v>
      </c>
      <c r="B10000" s="4" t="s">
        <v>9011</v>
      </c>
      <c r="C10000" s="2" t="str">
        <f ca="1">IFERROR(__xludf.DUMMYFUNCTION("GOOGLETRANSLATE(A10000,""bn"",""en"")"),"Your empty pocket will teach you a lot and your full pocket will ruin you")</f>
        <v>Your empty pocket will teach you a lot and your full pocket will ruin you</v>
      </c>
      <c r="D10000" s="5"/>
      <c r="E10000" s="5"/>
      <c r="F10000" s="5"/>
      <c r="G10000" s="5"/>
      <c r="H10000" s="5"/>
      <c r="I10000" s="5"/>
      <c r="J10000" s="5"/>
      <c r="K10000" s="5"/>
      <c r="L10000" s="5"/>
      <c r="M10000" s="5"/>
      <c r="N10000" s="5"/>
      <c r="O10000" s="5"/>
      <c r="P10000" s="5"/>
      <c r="Q10000" s="5"/>
      <c r="R10000" s="5"/>
      <c r="S10000" s="5"/>
      <c r="T10000" s="5"/>
      <c r="U10000" s="5"/>
      <c r="V10000" s="5"/>
      <c r="W10000" s="5"/>
      <c r="X10000" s="5"/>
      <c r="Y10000" s="5"/>
      <c r="Z10000" s="5"/>
    </row>
    <row r="10001" spans="1:26" ht="15" x14ac:dyDescent="0.25">
      <c r="A10001" s="4" t="s">
        <v>9999</v>
      </c>
      <c r="B10001" s="4" t="s">
        <v>9011</v>
      </c>
      <c r="C10001" s="2" t="str">
        <f ca="1">IFERROR(__xludf.DUMMYFUNCTION("GOOGLETRANSLATE(A10001,""bn"",""en"")"),"I will quarrel, I will be angry, but no one can give such a beautiful gift except brother and sister")</f>
        <v>I will quarrel, I will be angry, but no one can give such a beautiful gift except brother and sister</v>
      </c>
      <c r="D10001" s="5"/>
      <c r="E10001" s="5"/>
      <c r="F10001" s="5"/>
      <c r="G10001" s="5"/>
      <c r="H10001" s="5"/>
      <c r="I10001" s="5"/>
      <c r="J10001" s="5"/>
      <c r="K10001" s="5"/>
      <c r="L10001" s="5"/>
      <c r="M10001" s="5"/>
      <c r="N10001" s="5"/>
      <c r="O10001" s="5"/>
      <c r="P10001" s="5"/>
      <c r="Q10001" s="5"/>
      <c r="R10001" s="5"/>
      <c r="S10001" s="5"/>
      <c r="T10001" s="5"/>
      <c r="U10001" s="5"/>
      <c r="V10001" s="5"/>
      <c r="W10001" s="5"/>
      <c r="X10001" s="5"/>
      <c r="Y10001" s="5"/>
      <c r="Z10001" s="5"/>
    </row>
    <row r="10002" spans="1:26" ht="15" x14ac:dyDescent="0.25">
      <c r="A10002" s="4" t="s">
        <v>10000</v>
      </c>
      <c r="B10002" s="4" t="s">
        <v>9011</v>
      </c>
      <c r="C10002" s="2" t="str">
        <f ca="1">IFERROR(__xludf.DUMMYFUNCTION("GOOGLETRANSLATE(A10002,""bn"",""en"")"),"It's not just about getting a certificate, you also need to acquire skills")</f>
        <v>It's not just about getting a certificate, you also need to acquire skills</v>
      </c>
      <c r="D10002" s="5"/>
      <c r="E10002" s="5"/>
      <c r="F10002" s="5"/>
      <c r="G10002" s="5"/>
      <c r="H10002" s="5"/>
      <c r="I10002" s="5"/>
      <c r="J10002" s="5"/>
      <c r="K10002" s="5"/>
      <c r="L10002" s="5"/>
      <c r="M10002" s="5"/>
      <c r="N10002" s="5"/>
      <c r="O10002" s="5"/>
      <c r="P10002" s="5"/>
      <c r="Q10002" s="5"/>
      <c r="R10002" s="5"/>
      <c r="S10002" s="5"/>
      <c r="T10002" s="5"/>
      <c r="U10002" s="5"/>
      <c r="V10002" s="5"/>
      <c r="W10002" s="5"/>
      <c r="X10002" s="5"/>
      <c r="Y10002" s="5"/>
      <c r="Z10002" s="5"/>
    </row>
    <row r="10003" spans="1:26" ht="15" x14ac:dyDescent="0.25">
      <c r="A10003" s="4" t="s">
        <v>10001</v>
      </c>
      <c r="B10003" s="4" t="s">
        <v>9011</v>
      </c>
      <c r="C10003" s="2" t="str">
        <f ca="1">IFERROR(__xludf.DUMMYFUNCTION("GOOGLETRANSLATE(A10003,""bn"",""en"")"),"He will be working on a major project in robotics next year")</f>
        <v>He will be working on a major project in robotics next year</v>
      </c>
      <c r="D10003" s="5"/>
      <c r="E10003" s="5"/>
      <c r="F10003" s="5"/>
      <c r="G10003" s="5"/>
      <c r="H10003" s="5"/>
      <c r="I10003" s="5"/>
      <c r="J10003" s="5"/>
      <c r="K10003" s="5"/>
      <c r="L10003" s="5"/>
      <c r="M10003" s="5"/>
      <c r="N10003" s="5"/>
      <c r="O10003" s="5"/>
      <c r="P10003" s="5"/>
      <c r="Q10003" s="5"/>
      <c r="R10003" s="5"/>
      <c r="S10003" s="5"/>
      <c r="T10003" s="5"/>
      <c r="U10003" s="5"/>
      <c r="V10003" s="5"/>
      <c r="W10003" s="5"/>
      <c r="X10003" s="5"/>
      <c r="Y10003" s="5"/>
      <c r="Z10003" s="5"/>
    </row>
    <row r="10004" spans="1:26" ht="15" x14ac:dyDescent="0.25">
      <c r="A10004" s="4" t="s">
        <v>10002</v>
      </c>
      <c r="B10004" s="4" t="s">
        <v>9011</v>
      </c>
      <c r="C10004" s="2" t="str">
        <f ca="1">IFERROR(__xludf.DUMMYFUNCTION("GOOGLETRANSLATE(A10004,""bn"",""en"")"),"Fashion show will be a festive place where people will come together with joy and enthusiasm it will be created through new inventions and new designs")</f>
        <v>Fashion show will be a festive place where people will come together with joy and enthusiasm it will be created through new inventions and new designs</v>
      </c>
      <c r="D10004" s="5"/>
      <c r="E10004" s="5"/>
      <c r="F10004" s="5"/>
      <c r="G10004" s="5"/>
      <c r="H10004" s="5"/>
      <c r="I10004" s="5"/>
      <c r="J10004" s="5"/>
      <c r="K10004" s="5"/>
      <c r="L10004" s="5"/>
      <c r="M10004" s="5"/>
      <c r="N10004" s="5"/>
      <c r="O10004" s="5"/>
      <c r="P10004" s="5"/>
      <c r="Q10004" s="5"/>
      <c r="R10004" s="5"/>
      <c r="S10004" s="5"/>
      <c r="T10004" s="5"/>
      <c r="U10004" s="5"/>
      <c r="V10004" s="5"/>
      <c r="W10004" s="5"/>
      <c r="X10004" s="5"/>
      <c r="Y10004" s="5"/>
      <c r="Z10004" s="5"/>
    </row>
    <row r="10005" spans="1:26" ht="15" x14ac:dyDescent="0.25">
      <c r="A10005" s="4" t="s">
        <v>10003</v>
      </c>
      <c r="B10005" s="4" t="s">
        <v>9011</v>
      </c>
      <c r="C10005" s="2" t="str">
        <f ca="1">IFERROR(__xludf.DUMMYFUNCTION("GOOGLETRANSLATE(A10005,""bn"",""en"")"),"Now that you can type by voice, technology will really go a long way")</f>
        <v>Now that you can type by voice, technology will really go a long way</v>
      </c>
      <c r="D10005" s="5"/>
      <c r="E10005" s="5"/>
      <c r="F10005" s="5"/>
      <c r="G10005" s="5"/>
      <c r="H10005" s="5"/>
      <c r="I10005" s="5"/>
      <c r="J10005" s="5"/>
      <c r="K10005" s="5"/>
      <c r="L10005" s="5"/>
      <c r="M10005" s="5"/>
      <c r="N10005" s="5"/>
      <c r="O10005" s="5"/>
      <c r="P10005" s="5"/>
      <c r="Q10005" s="5"/>
      <c r="R10005" s="5"/>
      <c r="S10005" s="5"/>
      <c r="T10005" s="5"/>
      <c r="U10005" s="5"/>
      <c r="V10005" s="5"/>
      <c r="W10005" s="5"/>
      <c r="X10005" s="5"/>
      <c r="Y10005" s="5"/>
      <c r="Z10005" s="5"/>
    </row>
    <row r="10006" spans="1:26" ht="15" x14ac:dyDescent="0.25">
      <c r="A10006" s="4" t="s">
        <v>10004</v>
      </c>
      <c r="B10006" s="4" t="s">
        <v>9011</v>
      </c>
      <c r="C10006" s="2" t="str">
        <f ca="1">IFERROR(__xludf.DUMMYFUNCTION("GOOGLETRANSLATE(A10006,""bn"",""en"")"),"Next vacation we will go to a remote island where we can enjoy the beauty of nature")</f>
        <v>Next vacation we will go to a remote island where we can enjoy the beauty of nature</v>
      </c>
      <c r="D10006" s="5"/>
      <c r="E10006" s="5"/>
      <c r="F10006" s="5"/>
      <c r="G10006" s="5"/>
      <c r="H10006" s="5"/>
      <c r="I10006" s="5"/>
      <c r="J10006" s="5"/>
      <c r="K10006" s="5"/>
      <c r="L10006" s="5"/>
      <c r="M10006" s="5"/>
      <c r="N10006" s="5"/>
      <c r="O10006" s="5"/>
      <c r="P10006" s="5"/>
      <c r="Q10006" s="5"/>
      <c r="R10006" s="5"/>
      <c r="S10006" s="5"/>
      <c r="T10006" s="5"/>
      <c r="U10006" s="5"/>
      <c r="V10006" s="5"/>
      <c r="W10006" s="5"/>
      <c r="X10006" s="5"/>
      <c r="Y10006" s="5"/>
      <c r="Z10006" s="5"/>
    </row>
    <row r="10007" spans="1:26" ht="15" x14ac:dyDescent="0.25">
      <c r="A10007" s="4" t="s">
        <v>10005</v>
      </c>
      <c r="B10007" s="4" t="s">
        <v>9011</v>
      </c>
      <c r="C10007" s="2" t="str">
        <f ca="1">IFERROR(__xludf.DUMMYFUNCTION("GOOGLETRANSLATE(A10007,""bn"",""en"")"),"I will go to the sports ground with friends tomorrow")</f>
        <v>I will go to the sports ground with friends tomorrow</v>
      </c>
      <c r="D10007" s="5"/>
      <c r="E10007" s="5"/>
      <c r="F10007" s="5"/>
      <c r="G10007" s="5"/>
      <c r="H10007" s="5"/>
      <c r="I10007" s="5"/>
      <c r="J10007" s="5"/>
      <c r="K10007" s="5"/>
      <c r="L10007" s="5"/>
      <c r="M10007" s="5"/>
      <c r="N10007" s="5"/>
      <c r="O10007" s="5"/>
      <c r="P10007" s="5"/>
      <c r="Q10007" s="5"/>
      <c r="R10007" s="5"/>
      <c r="S10007" s="5"/>
      <c r="T10007" s="5"/>
      <c r="U10007" s="5"/>
      <c r="V10007" s="5"/>
      <c r="W10007" s="5"/>
      <c r="X10007" s="5"/>
      <c r="Y10007" s="5"/>
      <c r="Z10007" s="5"/>
    </row>
    <row r="10008" spans="1:26" ht="15" x14ac:dyDescent="0.25">
      <c r="A10008" s="4" t="s">
        <v>10006</v>
      </c>
      <c r="B10008" s="4" t="s">
        <v>9011</v>
      </c>
      <c r="C10008" s="2" t="str">
        <f ca="1">IFERROR(__xludf.DUMMYFUNCTION("GOOGLETRANSLATE(A10008,""bn"",""en"")"),"I will see a father going home on a small cycle rickshaw with a smile on his face. I can understand that someone very close to his heart will be very happy today.")</f>
        <v>I will see a father going home on a small cycle rickshaw with a smile on his face. I can understand that someone very close to his heart will be very happy today.</v>
      </c>
      <c r="D10008" s="5"/>
      <c r="E10008" s="5"/>
      <c r="F10008" s="5"/>
      <c r="G10008" s="5"/>
      <c r="H10008" s="5"/>
      <c r="I10008" s="5"/>
      <c r="J10008" s="5"/>
      <c r="K10008" s="5"/>
      <c r="L10008" s="5"/>
      <c r="M10008" s="5"/>
      <c r="N10008" s="5"/>
      <c r="O10008" s="5"/>
      <c r="P10008" s="5"/>
      <c r="Q10008" s="5"/>
      <c r="R10008" s="5"/>
      <c r="S10008" s="5"/>
      <c r="T10008" s="5"/>
      <c r="U10008" s="5"/>
      <c r="V10008" s="5"/>
      <c r="W10008" s="5"/>
      <c r="X10008" s="5"/>
      <c r="Y10008" s="5"/>
      <c r="Z10008" s="5"/>
    </row>
    <row r="10009" spans="1:26" ht="15" x14ac:dyDescent="0.25">
      <c r="A10009" s="4" t="s">
        <v>10007</v>
      </c>
      <c r="B10009" s="4" t="s">
        <v>9011</v>
      </c>
      <c r="C10009" s="2" t="str">
        <f ca="1">IFERROR(__xludf.DUMMYFUNCTION("GOOGLETRANSLATE(A10009,""bn"",""en"")"),"Because without skills you will not get anywhere in your career")</f>
        <v>Because without skills you will not get anywhere in your career</v>
      </c>
      <c r="D10009" s="5"/>
      <c r="E10009" s="5"/>
      <c r="F10009" s="5"/>
      <c r="G10009" s="5"/>
      <c r="H10009" s="5"/>
      <c r="I10009" s="5"/>
      <c r="J10009" s="5"/>
      <c r="K10009" s="5"/>
      <c r="L10009" s="5"/>
      <c r="M10009" s="5"/>
      <c r="N10009" s="5"/>
      <c r="O10009" s="5"/>
      <c r="P10009" s="5"/>
      <c r="Q10009" s="5"/>
      <c r="R10009" s="5"/>
      <c r="S10009" s="5"/>
      <c r="T10009" s="5"/>
      <c r="U10009" s="5"/>
      <c r="V10009" s="5"/>
      <c r="W10009" s="5"/>
      <c r="X10009" s="5"/>
      <c r="Y10009" s="5"/>
      <c r="Z10009" s="5"/>
    </row>
    <row r="10010" spans="1:26" ht="15" x14ac:dyDescent="0.25">
      <c r="A10010" s="4" t="s">
        <v>10008</v>
      </c>
      <c r="B10010" s="4" t="s">
        <v>9011</v>
      </c>
      <c r="C10010" s="2" t="str">
        <f ca="1">IFERROR(__xludf.DUMMYFUNCTION("GOOGLETRANSLATE(A10010,""bn"",""en"")"),"You are going on a trip next week")</f>
        <v>You are going on a trip next week</v>
      </c>
      <c r="D10010" s="5"/>
      <c r="E10010" s="5"/>
      <c r="F10010" s="5"/>
      <c r="G10010" s="5"/>
      <c r="H10010" s="5"/>
      <c r="I10010" s="5"/>
      <c r="J10010" s="5"/>
      <c r="K10010" s="5"/>
      <c r="L10010" s="5"/>
      <c r="M10010" s="5"/>
      <c r="N10010" s="5"/>
      <c r="O10010" s="5"/>
      <c r="P10010" s="5"/>
      <c r="Q10010" s="5"/>
      <c r="R10010" s="5"/>
      <c r="S10010" s="5"/>
      <c r="T10010" s="5"/>
      <c r="U10010" s="5"/>
      <c r="V10010" s="5"/>
      <c r="W10010" s="5"/>
      <c r="X10010" s="5"/>
      <c r="Y10010" s="5"/>
      <c r="Z10010" s="5"/>
    </row>
    <row r="10011" spans="1:26" ht="15" x14ac:dyDescent="0.25">
      <c r="A10011" s="4" t="s">
        <v>10009</v>
      </c>
      <c r="B10011" s="4" t="s">
        <v>9011</v>
      </c>
      <c r="C10011" s="2" t="str">
        <f ca="1">IFERROR(__xludf.DUMMYFUNCTION("GOOGLETRANSLATE(A10011,""bn"",""en"")"),"Wish you all success in Kanak's new venture and may God continue to bless you")</f>
        <v>Wish you all success in Kanak's new venture and may God continue to bless you</v>
      </c>
      <c r="D10011" s="5"/>
      <c r="E10011" s="5"/>
      <c r="F10011" s="5"/>
      <c r="G10011" s="5"/>
      <c r="H10011" s="5"/>
      <c r="I10011" s="5"/>
      <c r="J10011" s="5"/>
      <c r="K10011" s="5"/>
      <c r="L10011" s="5"/>
      <c r="M10011" s="5"/>
      <c r="N10011" s="5"/>
      <c r="O10011" s="5"/>
      <c r="P10011" s="5"/>
      <c r="Q10011" s="5"/>
      <c r="R10011" s="5"/>
      <c r="S10011" s="5"/>
      <c r="T10011" s="5"/>
      <c r="U10011" s="5"/>
      <c r="V10011" s="5"/>
      <c r="W10011" s="5"/>
      <c r="X10011" s="5"/>
      <c r="Y10011" s="5"/>
      <c r="Z10011" s="5"/>
    </row>
    <row r="10012" spans="1:26" ht="15" x14ac:dyDescent="0.25">
      <c r="A10012" s="4" t="s">
        <v>10010</v>
      </c>
      <c r="B10012" s="4" t="s">
        <v>9011</v>
      </c>
      <c r="C10012" s="2" t="str">
        <f ca="1">IFERROR(__xludf.DUMMYFUNCTION("GOOGLETRANSLATE(A10012,""bn"",""en"")"),"It will not be possible to explain the joy that will be seen on the faces of parents when the salaries are handed over at the end of the month")</f>
        <v>It will not be possible to explain the joy that will be seen on the faces of parents when the salaries are handed over at the end of the month</v>
      </c>
      <c r="D10012" s="5"/>
      <c r="E10012" s="5"/>
      <c r="F10012" s="5"/>
      <c r="G10012" s="5"/>
      <c r="H10012" s="5"/>
      <c r="I10012" s="5"/>
      <c r="J10012" s="5"/>
      <c r="K10012" s="5"/>
      <c r="L10012" s="5"/>
      <c r="M10012" s="5"/>
      <c r="N10012" s="5"/>
      <c r="O10012" s="5"/>
      <c r="P10012" s="5"/>
      <c r="Q10012" s="5"/>
      <c r="R10012" s="5"/>
      <c r="S10012" s="5"/>
      <c r="T10012" s="5"/>
      <c r="U10012" s="5"/>
      <c r="V10012" s="5"/>
      <c r="W10012" s="5"/>
      <c r="X10012" s="5"/>
      <c r="Y10012" s="5"/>
      <c r="Z10012" s="5"/>
    </row>
    <row r="10013" spans="1:26" ht="15" x14ac:dyDescent="0.25">
      <c r="A10013" s="4" t="s">
        <v>10011</v>
      </c>
      <c r="B10013" s="4" t="s">
        <v>9011</v>
      </c>
      <c r="C10013" s="2" t="str">
        <f ca="1">IFERROR(__xludf.DUMMYFUNCTION("GOOGLETRANSLATE(A10013,""bn"",""en"")"),"They will attend an international conference next year which will further expand their horizons of knowledge")</f>
        <v>They will attend an international conference next year which will further expand their horizons of knowledge</v>
      </c>
      <c r="D10013" s="5"/>
      <c r="E10013" s="5"/>
      <c r="F10013" s="5"/>
      <c r="G10013" s="5"/>
      <c r="H10013" s="5"/>
      <c r="I10013" s="5"/>
      <c r="J10013" s="5"/>
      <c r="K10013" s="5"/>
      <c r="L10013" s="5"/>
      <c r="M10013" s="5"/>
      <c r="N10013" s="5"/>
      <c r="O10013" s="5"/>
      <c r="P10013" s="5"/>
      <c r="Q10013" s="5"/>
      <c r="R10013" s="5"/>
      <c r="S10013" s="5"/>
      <c r="T10013" s="5"/>
      <c r="U10013" s="5"/>
      <c r="V10013" s="5"/>
      <c r="W10013" s="5"/>
      <c r="X10013" s="5"/>
      <c r="Y10013" s="5"/>
      <c r="Z10013" s="5"/>
    </row>
    <row r="10014" spans="1:26" ht="15" x14ac:dyDescent="0.25">
      <c r="A10014" s="4" t="s">
        <v>10012</v>
      </c>
      <c r="B10014" s="4" t="s">
        <v>9011</v>
      </c>
      <c r="C10014" s="2" t="str">
        <f ca="1">IFERROR(__xludf.DUMMYFUNCTION("GOOGLETRANSLATE(A10014,""bn"",""en"")"),"We will now participate in the hard work")</f>
        <v>We will now participate in the hard work</v>
      </c>
      <c r="D10014" s="5"/>
      <c r="E10014" s="5"/>
      <c r="F10014" s="5"/>
      <c r="G10014" s="5"/>
      <c r="H10014" s="5"/>
      <c r="I10014" s="5"/>
      <c r="J10014" s="5"/>
      <c r="K10014" s="5"/>
      <c r="L10014" s="5"/>
      <c r="M10014" s="5"/>
      <c r="N10014" s="5"/>
      <c r="O10014" s="5"/>
      <c r="P10014" s="5"/>
      <c r="Q10014" s="5"/>
      <c r="R10014" s="5"/>
      <c r="S10014" s="5"/>
      <c r="T10014" s="5"/>
      <c r="U10014" s="5"/>
      <c r="V10014" s="5"/>
      <c r="W10014" s="5"/>
      <c r="X10014" s="5"/>
      <c r="Y10014" s="5"/>
      <c r="Z10014" s="5"/>
    </row>
    <row r="10015" spans="1:26" ht="15" x14ac:dyDescent="0.25">
      <c r="A10015" s="4" t="s">
        <v>10013</v>
      </c>
      <c r="B10015" s="4" t="s">
        <v>9011</v>
      </c>
      <c r="C10015" s="2" t="str">
        <f ca="1">IFERROR(__xludf.DUMMYFUNCTION("GOOGLETRANSLATE(A10015,""bn"",""en"")"),"It would be a dream come true to have a platform to showcase your art")</f>
        <v>It would be a dream come true to have a platform to showcase your art</v>
      </c>
      <c r="D10015" s="5"/>
      <c r="E10015" s="5"/>
      <c r="F10015" s="5"/>
      <c r="G10015" s="5"/>
      <c r="H10015" s="5"/>
      <c r="I10015" s="5"/>
      <c r="J10015" s="5"/>
      <c r="K10015" s="5"/>
      <c r="L10015" s="5"/>
      <c r="M10015" s="5"/>
      <c r="N10015" s="5"/>
      <c r="O10015" s="5"/>
      <c r="P10015" s="5"/>
      <c r="Q10015" s="5"/>
      <c r="R10015" s="5"/>
      <c r="S10015" s="5"/>
      <c r="T10015" s="5"/>
      <c r="U10015" s="5"/>
      <c r="V10015" s="5"/>
      <c r="W10015" s="5"/>
      <c r="X10015" s="5"/>
      <c r="Y10015" s="5"/>
      <c r="Z10015" s="5"/>
    </row>
    <row r="10016" spans="1:26" ht="15" x14ac:dyDescent="0.25">
      <c r="A10016" s="4" t="s">
        <v>10014</v>
      </c>
      <c r="B10016" s="4" t="s">
        <v>9011</v>
      </c>
      <c r="C10016" s="2" t="str">
        <f ca="1">IFERROR(__xludf.DUMMYFUNCTION("GOOGLETRANSLATE(A10016,""bn"",""en"")"),"A great match experience will be a lifetime memory")</f>
        <v>A great match experience will be a lifetime memory</v>
      </c>
      <c r="D10016" s="5"/>
      <c r="E10016" s="5"/>
      <c r="F10016" s="5"/>
      <c r="G10016" s="5"/>
      <c r="H10016" s="5"/>
      <c r="I10016" s="5"/>
      <c r="J10016" s="5"/>
      <c r="K10016" s="5"/>
      <c r="L10016" s="5"/>
      <c r="M10016" s="5"/>
      <c r="N10016" s="5"/>
      <c r="O10016" s="5"/>
      <c r="P10016" s="5"/>
      <c r="Q10016" s="5"/>
      <c r="R10016" s="5"/>
      <c r="S10016" s="5"/>
      <c r="T10016" s="5"/>
      <c r="U10016" s="5"/>
      <c r="V10016" s="5"/>
      <c r="W10016" s="5"/>
      <c r="X10016" s="5"/>
      <c r="Y10016" s="5"/>
      <c r="Z10016" s="5"/>
    </row>
    <row r="10017" spans="1:26" ht="15" x14ac:dyDescent="0.25">
      <c r="A10017" s="4" t="s">
        <v>10015</v>
      </c>
      <c r="B10017" s="4" t="s">
        <v>9011</v>
      </c>
      <c r="C10017" s="2" t="str">
        <f ca="1">IFERROR(__xludf.DUMMYFUNCTION("GOOGLETRANSLATE(A10017,""bn"",""en"")"),"Tomorrow I will attend an important exam which is very important for my future")</f>
        <v>Tomorrow I will attend an important exam which is very important for my future</v>
      </c>
      <c r="D10017" s="5"/>
      <c r="E10017" s="5"/>
      <c r="F10017" s="5"/>
      <c r="G10017" s="5"/>
      <c r="H10017" s="5"/>
      <c r="I10017" s="5"/>
      <c r="J10017" s="5"/>
      <c r="K10017" s="5"/>
      <c r="L10017" s="5"/>
      <c r="M10017" s="5"/>
      <c r="N10017" s="5"/>
      <c r="O10017" s="5"/>
      <c r="P10017" s="5"/>
      <c r="Q10017" s="5"/>
      <c r="R10017" s="5"/>
      <c r="S10017" s="5"/>
      <c r="T10017" s="5"/>
      <c r="U10017" s="5"/>
      <c r="V10017" s="5"/>
      <c r="W10017" s="5"/>
      <c r="X10017" s="5"/>
      <c r="Y10017" s="5"/>
      <c r="Z10017" s="5"/>
    </row>
    <row r="10018" spans="1:26" ht="15" x14ac:dyDescent="0.25">
      <c r="A10018" s="4" t="s">
        <v>10016</v>
      </c>
      <c r="B10018" s="4" t="s">
        <v>9011</v>
      </c>
      <c r="C10018" s="2" t="str">
        <f ca="1">IFERROR(__xludf.DUMMYFUNCTION("GOOGLETRANSLATE(A10018,""bn"",""en"")"),"We will be traveling abroad next month")</f>
        <v>We will be traveling abroad next month</v>
      </c>
      <c r="D10018" s="5"/>
      <c r="E10018" s="5"/>
      <c r="F10018" s="5"/>
      <c r="G10018" s="5"/>
      <c r="H10018" s="5"/>
      <c r="I10018" s="5"/>
      <c r="J10018" s="5"/>
      <c r="K10018" s="5"/>
      <c r="L10018" s="5"/>
      <c r="M10018" s="5"/>
      <c r="N10018" s="5"/>
      <c r="O10018" s="5"/>
      <c r="P10018" s="5"/>
      <c r="Q10018" s="5"/>
      <c r="R10018" s="5"/>
      <c r="S10018" s="5"/>
      <c r="T10018" s="5"/>
      <c r="U10018" s="5"/>
      <c r="V10018" s="5"/>
      <c r="W10018" s="5"/>
      <c r="X10018" s="5"/>
      <c r="Y10018" s="5"/>
      <c r="Z10018" s="5"/>
    </row>
    <row r="10019" spans="1:26" ht="15" x14ac:dyDescent="0.25">
      <c r="A10019" s="4" t="s">
        <v>10017</v>
      </c>
      <c r="B10019" s="4" t="s">
        <v>9011</v>
      </c>
      <c r="C10019" s="2" t="str">
        <f ca="1">IFERROR(__xludf.DUMMYFUNCTION("GOOGLETRANSLATE(A10019,""bn"",""en"")"),"I will be receiving new training next month which will lead to a new direction in my career")</f>
        <v>I will be receiving new training next month which will lead to a new direction in my career</v>
      </c>
      <c r="D10019" s="5"/>
      <c r="E10019" s="5"/>
      <c r="F10019" s="5"/>
      <c r="G10019" s="5"/>
      <c r="H10019" s="5"/>
      <c r="I10019" s="5"/>
      <c r="J10019" s="5"/>
      <c r="K10019" s="5"/>
      <c r="L10019" s="5"/>
      <c r="M10019" s="5"/>
      <c r="N10019" s="5"/>
      <c r="O10019" s="5"/>
      <c r="P10019" s="5"/>
      <c r="Q10019" s="5"/>
      <c r="R10019" s="5"/>
      <c r="S10019" s="5"/>
      <c r="T10019" s="5"/>
      <c r="U10019" s="5"/>
      <c r="V10019" s="5"/>
      <c r="W10019" s="5"/>
      <c r="X10019" s="5"/>
      <c r="Y10019" s="5"/>
      <c r="Z10019" s="5"/>
    </row>
    <row r="10020" spans="1:26" ht="15" x14ac:dyDescent="0.25">
      <c r="A10020" s="4" t="s">
        <v>10018</v>
      </c>
      <c r="B10020" s="4" t="s">
        <v>9011</v>
      </c>
      <c r="C10020" s="2" t="str">
        <f ca="1">IFERROR(__xludf.DUMMYFUNCTION("GOOGLETRANSLATE(A10020,""bn"",""en"")"),"Tomorrow I will start a new business that will be part of my livelihood")</f>
        <v>Tomorrow I will start a new business that will be part of my livelihood</v>
      </c>
      <c r="D10020" s="5"/>
      <c r="E10020" s="5"/>
      <c r="F10020" s="5"/>
      <c r="G10020" s="5"/>
      <c r="H10020" s="5"/>
      <c r="I10020" s="5"/>
      <c r="J10020" s="5"/>
      <c r="K10020" s="5"/>
      <c r="L10020" s="5"/>
      <c r="M10020" s="5"/>
      <c r="N10020" s="5"/>
      <c r="O10020" s="5"/>
      <c r="P10020" s="5"/>
      <c r="Q10020" s="5"/>
      <c r="R10020" s="5"/>
      <c r="S10020" s="5"/>
      <c r="T10020" s="5"/>
      <c r="U10020" s="5"/>
      <c r="V10020" s="5"/>
      <c r="W10020" s="5"/>
      <c r="X10020" s="5"/>
      <c r="Y10020" s="5"/>
      <c r="Z10020" s="5"/>
    </row>
    <row r="10021" spans="1:26" ht="15" x14ac:dyDescent="0.25">
      <c r="A10021" s="4" t="s">
        <v>10019</v>
      </c>
      <c r="B10021" s="4" t="s">
        <v>9011</v>
      </c>
      <c r="C10021" s="2" t="str">
        <f ca="1">IFERROR(__xludf.DUMMYFUNCTION("GOOGLETRANSLATE(A10021,""bn"",""en"")"),"I will keep good relations with all the big people of the area, imam muezzin")</f>
        <v>I will keep good relations with all the big people of the area, imam muezzin</v>
      </c>
      <c r="D10021" s="5"/>
      <c r="E10021" s="5"/>
      <c r="F10021" s="5"/>
      <c r="G10021" s="5"/>
      <c r="H10021" s="5"/>
      <c r="I10021" s="5"/>
      <c r="J10021" s="5"/>
      <c r="K10021" s="5"/>
      <c r="L10021" s="5"/>
      <c r="M10021" s="5"/>
      <c r="N10021" s="5"/>
      <c r="O10021" s="5"/>
      <c r="P10021" s="5"/>
      <c r="Q10021" s="5"/>
      <c r="R10021" s="5"/>
      <c r="S10021" s="5"/>
      <c r="T10021" s="5"/>
      <c r="U10021" s="5"/>
      <c r="V10021" s="5"/>
      <c r="W10021" s="5"/>
      <c r="X10021" s="5"/>
      <c r="Y10021" s="5"/>
      <c r="Z10021" s="5"/>
    </row>
    <row r="10022" spans="1:26" ht="15" x14ac:dyDescent="0.25">
      <c r="A10022" s="4" t="s">
        <v>10020</v>
      </c>
      <c r="B10022" s="4" t="s">
        <v>9011</v>
      </c>
      <c r="C10022" s="2" t="str">
        <f ca="1">IFERROR(__xludf.DUMMYFUNCTION("GOOGLETRANSLATE(A10022,""bn"",""en"")"),"Will you continue to work here?")</f>
        <v>Will you continue to work here?</v>
      </c>
      <c r="D10022" s="5"/>
      <c r="E10022" s="5"/>
      <c r="F10022" s="5"/>
      <c r="G10022" s="5"/>
      <c r="H10022" s="5"/>
      <c r="I10022" s="5"/>
      <c r="J10022" s="5"/>
      <c r="K10022" s="5"/>
      <c r="L10022" s="5"/>
      <c r="M10022" s="5"/>
      <c r="N10022" s="5"/>
      <c r="O10022" s="5"/>
      <c r="P10022" s="5"/>
      <c r="Q10022" s="5"/>
      <c r="R10022" s="5"/>
      <c r="S10022" s="5"/>
      <c r="T10022" s="5"/>
      <c r="U10022" s="5"/>
      <c r="V10022" s="5"/>
      <c r="W10022" s="5"/>
      <c r="X10022" s="5"/>
      <c r="Y10022" s="5"/>
      <c r="Z10022" s="5"/>
    </row>
    <row r="10023" spans="1:26" ht="15" x14ac:dyDescent="0.25">
      <c r="A10023" s="4" t="s">
        <v>10021</v>
      </c>
      <c r="B10023" s="4" t="s">
        <v>9011</v>
      </c>
      <c r="C10023" s="2" t="str">
        <f ca="1">IFERROR(__xludf.DUMMYFUNCTION("GOOGLETRANSLATE(A10023,""bn"",""en"")"),"The family will feel very proud in this happy moment. Many wishes will be given for Jaya's promotion")</f>
        <v>The family will feel very proud in this happy moment. Many wishes will be given for Jaya's promotion</v>
      </c>
      <c r="D10023" s="5"/>
      <c r="E10023" s="5"/>
      <c r="F10023" s="5"/>
      <c r="G10023" s="5"/>
      <c r="H10023" s="5"/>
      <c r="I10023" s="5"/>
      <c r="J10023" s="5"/>
      <c r="K10023" s="5"/>
      <c r="L10023" s="5"/>
      <c r="M10023" s="5"/>
      <c r="N10023" s="5"/>
      <c r="O10023" s="5"/>
      <c r="P10023" s="5"/>
      <c r="Q10023" s="5"/>
      <c r="R10023" s="5"/>
      <c r="S10023" s="5"/>
      <c r="T10023" s="5"/>
      <c r="U10023" s="5"/>
      <c r="V10023" s="5"/>
      <c r="W10023" s="5"/>
      <c r="X10023" s="5"/>
      <c r="Y10023" s="5"/>
      <c r="Z10023" s="5"/>
    </row>
    <row r="10024" spans="1:26" ht="15" x14ac:dyDescent="0.25">
      <c r="A10024" s="4" t="s">
        <v>10022</v>
      </c>
      <c r="B10024" s="4" t="s">
        <v>9011</v>
      </c>
      <c r="C10024" s="2" t="str">
        <f ca="1">IFERROR(__xludf.DUMMYFUNCTION("GOOGLETRANSLATE(A10024,""bn"",""en"")"),"I will get the promotion tomorrow, I hope I can run the family well with this salary")</f>
        <v>I will get the promotion tomorrow, I hope I can run the family well with this salary</v>
      </c>
      <c r="D10024" s="5"/>
      <c r="E10024" s="5"/>
      <c r="F10024" s="5"/>
      <c r="G10024" s="5"/>
      <c r="H10024" s="5"/>
      <c r="I10024" s="5"/>
      <c r="J10024" s="5"/>
      <c r="K10024" s="5"/>
      <c r="L10024" s="5"/>
      <c r="M10024" s="5"/>
      <c r="N10024" s="5"/>
      <c r="O10024" s="5"/>
      <c r="P10024" s="5"/>
      <c r="Q10024" s="5"/>
      <c r="R10024" s="5"/>
      <c r="S10024" s="5"/>
      <c r="T10024" s="5"/>
      <c r="U10024" s="5"/>
      <c r="V10024" s="5"/>
      <c r="W10024" s="5"/>
      <c r="X10024" s="5"/>
      <c r="Y10024" s="5"/>
      <c r="Z10024" s="5"/>
    </row>
    <row r="10025" spans="1:26" ht="15" x14ac:dyDescent="0.25">
      <c r="A10025" s="4" t="s">
        <v>10023</v>
      </c>
      <c r="B10025" s="4" t="s">
        <v>9011</v>
      </c>
      <c r="C10025" s="2" t="str">
        <f ca="1">IFERROR(__xludf.DUMMYFUNCTION("GOOGLETRANSLATE(A10025,""bn"",""en"")"),"They will next month develop a prototype of a new technological innovation that will revolutionize the industry")</f>
        <v>They will next month develop a prototype of a new technological innovation that will revolutionize the industry</v>
      </c>
      <c r="D10025" s="5"/>
      <c r="E10025" s="5"/>
      <c r="F10025" s="5"/>
      <c r="G10025" s="5"/>
      <c r="H10025" s="5"/>
      <c r="I10025" s="5"/>
      <c r="J10025" s="5"/>
      <c r="K10025" s="5"/>
      <c r="L10025" s="5"/>
      <c r="M10025" s="5"/>
      <c r="N10025" s="5"/>
      <c r="O10025" s="5"/>
      <c r="P10025" s="5"/>
      <c r="Q10025" s="5"/>
      <c r="R10025" s="5"/>
      <c r="S10025" s="5"/>
      <c r="T10025" s="5"/>
      <c r="U10025" s="5"/>
      <c r="V10025" s="5"/>
      <c r="W10025" s="5"/>
      <c r="X10025" s="5"/>
      <c r="Y10025" s="5"/>
      <c r="Z10025" s="5"/>
    </row>
    <row r="10026" spans="1:26" ht="15" x14ac:dyDescent="0.25">
      <c r="A10026" s="4" t="s">
        <v>10024</v>
      </c>
      <c r="B10026" s="4" t="s">
        <v>9011</v>
      </c>
      <c r="C10026" s="2" t="str">
        <f ca="1">IFERROR(__xludf.DUMMYFUNCTION("GOOGLETRANSLATE(A10026,""bn"",""en"")"),"I will visit new places with my family")</f>
        <v>I will visit new places with my family</v>
      </c>
      <c r="D10026" s="5"/>
      <c r="E10026" s="5"/>
      <c r="F10026" s="5"/>
      <c r="G10026" s="5"/>
      <c r="H10026" s="5"/>
      <c r="I10026" s="5"/>
      <c r="J10026" s="5"/>
      <c r="K10026" s="5"/>
      <c r="L10026" s="5"/>
      <c r="M10026" s="5"/>
      <c r="N10026" s="5"/>
      <c r="O10026" s="5"/>
      <c r="P10026" s="5"/>
      <c r="Q10026" s="5"/>
      <c r="R10026" s="5"/>
      <c r="S10026" s="5"/>
      <c r="T10026" s="5"/>
      <c r="U10026" s="5"/>
      <c r="V10026" s="5"/>
      <c r="W10026" s="5"/>
      <c r="X10026" s="5"/>
      <c r="Y10026" s="5"/>
      <c r="Z10026" s="5"/>
    </row>
    <row r="10027" spans="1:26" ht="15" x14ac:dyDescent="0.25">
      <c r="A10027" s="4" t="s">
        <v>10025</v>
      </c>
      <c r="B10027" s="4" t="s">
        <v>9011</v>
      </c>
      <c r="C10027" s="2" t="str">
        <f ca="1">IFERROR(__xludf.DUMMYFUNCTION("GOOGLETRANSLATE(A10027,""bn"",""en"")"),"He will begin a study on advanced environmental protection technologies next year")</f>
        <v>He will begin a study on advanced environmental protection technologies next year</v>
      </c>
      <c r="D10027" s="5"/>
      <c r="E10027" s="5"/>
      <c r="F10027" s="5"/>
      <c r="G10027" s="5"/>
      <c r="H10027" s="5"/>
      <c r="I10027" s="5"/>
      <c r="J10027" s="5"/>
      <c r="K10027" s="5"/>
      <c r="L10027" s="5"/>
      <c r="M10027" s="5"/>
      <c r="N10027" s="5"/>
      <c r="O10027" s="5"/>
      <c r="P10027" s="5"/>
      <c r="Q10027" s="5"/>
      <c r="R10027" s="5"/>
      <c r="S10027" s="5"/>
      <c r="T10027" s="5"/>
      <c r="U10027" s="5"/>
      <c r="V10027" s="5"/>
      <c r="W10027" s="5"/>
      <c r="X10027" s="5"/>
      <c r="Y10027" s="5"/>
      <c r="Z10027" s="5"/>
    </row>
    <row r="10028" spans="1:26" ht="15" x14ac:dyDescent="0.25">
      <c r="A10028" s="4" t="s">
        <v>10026</v>
      </c>
      <c r="B10028" s="4" t="s">
        <v>9011</v>
      </c>
      <c r="C10028" s="2" t="str">
        <f ca="1">IFERROR(__xludf.DUMMYFUNCTION("GOOGLETRANSLATE(A10028,""bn"",""en"")"),"The annual school picnic will be a fun trip with friends")</f>
        <v>The annual school picnic will be a fun trip with friends</v>
      </c>
      <c r="D10028" s="5"/>
      <c r="E10028" s="5"/>
      <c r="F10028" s="5"/>
      <c r="G10028" s="5"/>
      <c r="H10028" s="5"/>
      <c r="I10028" s="5"/>
      <c r="J10028" s="5"/>
      <c r="K10028" s="5"/>
      <c r="L10028" s="5"/>
      <c r="M10028" s="5"/>
      <c r="N10028" s="5"/>
      <c r="O10028" s="5"/>
      <c r="P10028" s="5"/>
      <c r="Q10028" s="5"/>
      <c r="R10028" s="5"/>
      <c r="S10028" s="5"/>
      <c r="T10028" s="5"/>
      <c r="U10028" s="5"/>
      <c r="V10028" s="5"/>
      <c r="W10028" s="5"/>
      <c r="X10028" s="5"/>
      <c r="Y10028" s="5"/>
      <c r="Z10028" s="5"/>
    </row>
    <row r="10029" spans="1:26" ht="15" x14ac:dyDescent="0.25">
      <c r="A10029" s="4" t="s">
        <v>10027</v>
      </c>
      <c r="B10029" s="4" t="s">
        <v>9011</v>
      </c>
      <c r="C10029" s="2" t="str">
        <f ca="1">IFERROR(__xludf.DUMMYFUNCTION("GOOGLETRANSLATE(A10029,""bn"",""en"")"),"Himi this achievement of yours will inspire me when will it be my turn")</f>
        <v>Himi this achievement of yours will inspire me when will it be my turn</v>
      </c>
      <c r="D10029" s="5"/>
      <c r="E10029" s="5"/>
      <c r="F10029" s="5"/>
      <c r="G10029" s="5"/>
      <c r="H10029" s="5"/>
      <c r="I10029" s="5"/>
      <c r="J10029" s="5"/>
      <c r="K10029" s="5"/>
      <c r="L10029" s="5"/>
      <c r="M10029" s="5"/>
      <c r="N10029" s="5"/>
      <c r="O10029" s="5"/>
      <c r="P10029" s="5"/>
      <c r="Q10029" s="5"/>
      <c r="R10029" s="5"/>
      <c r="S10029" s="5"/>
      <c r="T10029" s="5"/>
      <c r="U10029" s="5"/>
      <c r="V10029" s="5"/>
      <c r="W10029" s="5"/>
      <c r="X10029" s="5"/>
      <c r="Y10029" s="5"/>
      <c r="Z10029" s="5"/>
    </row>
    <row r="10030" spans="1:26" ht="15" x14ac:dyDescent="0.25">
      <c r="A10030" s="4" t="s">
        <v>10028</v>
      </c>
      <c r="B10030" s="4" t="s">
        <v>9011</v>
      </c>
      <c r="C10030" s="2" t="str">
        <f ca="1">IFERROR(__xludf.DUMMYFUNCTION("GOOGLETRANSLATE(A10030,""bn"",""en"")"),"You will attend an international conference on advanced agricultural technology next month")</f>
        <v>You will attend an international conference on advanced agricultural technology next month</v>
      </c>
      <c r="D10030" s="5"/>
      <c r="E10030" s="5"/>
      <c r="F10030" s="5"/>
      <c r="G10030" s="5"/>
      <c r="H10030" s="5"/>
      <c r="I10030" s="5"/>
      <c r="J10030" s="5"/>
      <c r="K10030" s="5"/>
      <c r="L10030" s="5"/>
      <c r="M10030" s="5"/>
      <c r="N10030" s="5"/>
      <c r="O10030" s="5"/>
      <c r="P10030" s="5"/>
      <c r="Q10030" s="5"/>
      <c r="R10030" s="5"/>
      <c r="S10030" s="5"/>
      <c r="T10030" s="5"/>
      <c r="U10030" s="5"/>
      <c r="V10030" s="5"/>
      <c r="W10030" s="5"/>
      <c r="X10030" s="5"/>
      <c r="Y10030" s="5"/>
      <c r="Z10030" s="5"/>
    </row>
    <row r="10031" spans="1:26" ht="15" x14ac:dyDescent="0.25">
      <c r="A10031" s="4" t="s">
        <v>10029</v>
      </c>
      <c r="B10031" s="4" t="s">
        <v>9011</v>
      </c>
      <c r="C10031" s="2" t="str">
        <f ca="1">IFERROR(__xludf.DUMMYFUNCTION("GOOGLETRANSLATE(A10031,""bn"",""en"")"),"A photographer's job is to show the world what everyone will see")</f>
        <v>A photographer's job is to show the world what everyone will see</v>
      </c>
      <c r="D10031" s="5"/>
      <c r="E10031" s="5"/>
      <c r="F10031" s="5"/>
      <c r="G10031" s="5"/>
      <c r="H10031" s="5"/>
      <c r="I10031" s="5"/>
      <c r="J10031" s="5"/>
      <c r="K10031" s="5"/>
      <c r="L10031" s="5"/>
      <c r="M10031" s="5"/>
      <c r="N10031" s="5"/>
      <c r="O10031" s="5"/>
      <c r="P10031" s="5"/>
      <c r="Q10031" s="5"/>
      <c r="R10031" s="5"/>
      <c r="S10031" s="5"/>
      <c r="T10031" s="5"/>
      <c r="U10031" s="5"/>
      <c r="V10031" s="5"/>
      <c r="W10031" s="5"/>
      <c r="X10031" s="5"/>
      <c r="Y10031" s="5"/>
      <c r="Z10031" s="5"/>
    </row>
    <row r="10032" spans="1:26" ht="15" x14ac:dyDescent="0.25">
      <c r="A10032" s="4" t="s">
        <v>10030</v>
      </c>
      <c r="B10032" s="4" t="s">
        <v>9011</v>
      </c>
      <c r="C10032" s="2" t="str">
        <f ca="1">IFERROR(__xludf.DUMMYFUNCTION("GOOGLETRANSLATE(A10032,""bn"",""en"")"),"I will be very happy to start my friend's new business. Greetings, my heart")</f>
        <v>I will be very happy to start my friend's new business. Greetings, my heart</v>
      </c>
      <c r="D10032" s="5"/>
      <c r="E10032" s="5"/>
      <c r="F10032" s="5"/>
      <c r="G10032" s="5"/>
      <c r="H10032" s="5"/>
      <c r="I10032" s="5"/>
      <c r="J10032" s="5"/>
      <c r="K10032" s="5"/>
      <c r="L10032" s="5"/>
      <c r="M10032" s="5"/>
      <c r="N10032" s="5"/>
      <c r="O10032" s="5"/>
      <c r="P10032" s="5"/>
      <c r="Q10032" s="5"/>
      <c r="R10032" s="5"/>
      <c r="S10032" s="5"/>
      <c r="T10032" s="5"/>
      <c r="U10032" s="5"/>
      <c r="V10032" s="5"/>
      <c r="W10032" s="5"/>
      <c r="X10032" s="5"/>
      <c r="Y10032" s="5"/>
      <c r="Z10032" s="5"/>
    </row>
    <row r="10033" spans="1:26" ht="15" x14ac:dyDescent="0.25">
      <c r="A10033" s="4" t="s">
        <v>10031</v>
      </c>
      <c r="B10033" s="4" t="s">
        <v>9011</v>
      </c>
      <c r="C10033" s="2" t="str">
        <f ca="1">IFERROR(__xludf.DUMMYFUNCTION("GOOGLETRANSLATE(A10033,""bn"",""en"")"),"I will arrange flowers from the garden for tomorrow morning")</f>
        <v>I will arrange flowers from the garden for tomorrow morning</v>
      </c>
      <c r="D10033" s="5"/>
      <c r="E10033" s="5"/>
      <c r="F10033" s="5"/>
      <c r="G10033" s="5"/>
      <c r="H10033" s="5"/>
      <c r="I10033" s="5"/>
      <c r="J10033" s="5"/>
      <c r="K10033" s="5"/>
      <c r="L10033" s="5"/>
      <c r="M10033" s="5"/>
      <c r="N10033" s="5"/>
      <c r="O10033" s="5"/>
      <c r="P10033" s="5"/>
      <c r="Q10033" s="5"/>
      <c r="R10033" s="5"/>
      <c r="S10033" s="5"/>
      <c r="T10033" s="5"/>
      <c r="U10033" s="5"/>
      <c r="V10033" s="5"/>
      <c r="W10033" s="5"/>
      <c r="X10033" s="5"/>
      <c r="Y10033" s="5"/>
      <c r="Z10033" s="5"/>
    </row>
    <row r="10034" spans="1:26" ht="15" x14ac:dyDescent="0.25">
      <c r="A10034" s="4" t="s">
        <v>10032</v>
      </c>
      <c r="B10034" s="4" t="s">
        <v>9011</v>
      </c>
      <c r="C10034" s="2" t="str">
        <f ca="1">IFERROR(__xludf.DUMMYFUNCTION("GOOGLETRANSLATE(A10034,""bn"",""en"")"),"Some Korean dramas will be fantasy or supernatural genre which will be very interesting and enjoyable for those who like thrill and mystery.")</f>
        <v>Some Korean dramas will be fantasy or supernatural genre which will be very interesting and enjoyable for those who like thrill and mystery.</v>
      </c>
      <c r="D10034" s="5"/>
      <c r="E10034" s="5"/>
      <c r="F10034" s="5"/>
      <c r="G10034" s="5"/>
      <c r="H10034" s="5"/>
      <c r="I10034" s="5"/>
      <c r="J10034" s="5"/>
      <c r="K10034" s="5"/>
      <c r="L10034" s="5"/>
      <c r="M10034" s="5"/>
      <c r="N10034" s="5"/>
      <c r="O10034" s="5"/>
      <c r="P10034" s="5"/>
      <c r="Q10034" s="5"/>
      <c r="R10034" s="5"/>
      <c r="S10034" s="5"/>
      <c r="T10034" s="5"/>
      <c r="U10034" s="5"/>
      <c r="V10034" s="5"/>
      <c r="W10034" s="5"/>
      <c r="X10034" s="5"/>
      <c r="Y10034" s="5"/>
      <c r="Z10034" s="5"/>
    </row>
    <row r="10035" spans="1:26" ht="15" x14ac:dyDescent="0.25">
      <c r="A10035" s="4" t="s">
        <v>10033</v>
      </c>
      <c r="B10035" s="4" t="s">
        <v>9011</v>
      </c>
      <c r="C10035" s="2" t="str">
        <f ca="1">IFERROR(__xludf.DUMMYFUNCTION("GOOGLETRANSLATE(A10035,""bn"",""en"")"),"Sitting under a tree talking writing poetry I express my thoughts I will feel peace")</f>
        <v>Sitting under a tree talking writing poetry I express my thoughts I will feel peace</v>
      </c>
      <c r="D10035" s="5"/>
      <c r="E10035" s="5"/>
      <c r="F10035" s="5"/>
      <c r="G10035" s="5"/>
      <c r="H10035" s="5"/>
      <c r="I10035" s="5"/>
      <c r="J10035" s="5"/>
      <c r="K10035" s="5"/>
      <c r="L10035" s="5"/>
      <c r="M10035" s="5"/>
      <c r="N10035" s="5"/>
      <c r="O10035" s="5"/>
      <c r="P10035" s="5"/>
      <c r="Q10035" s="5"/>
      <c r="R10035" s="5"/>
      <c r="S10035" s="5"/>
      <c r="T10035" s="5"/>
      <c r="U10035" s="5"/>
      <c r="V10035" s="5"/>
      <c r="W10035" s="5"/>
      <c r="X10035" s="5"/>
      <c r="Y10035" s="5"/>
      <c r="Z10035" s="5"/>
    </row>
    <row r="10036" spans="1:26" ht="15" x14ac:dyDescent="0.25">
      <c r="A10036" s="4" t="s">
        <v>10034</v>
      </c>
      <c r="B10036" s="4" t="s">
        <v>9011</v>
      </c>
      <c r="C10036" s="2" t="str">
        <f ca="1">IFERROR(__xludf.DUMMYFUNCTION("GOOGLETRANSLATE(A10036,""bn"",""en"")"),"I will walk in the green tea garden and see the magical scenery of nature")</f>
        <v>I will walk in the green tea garden and see the magical scenery of nature</v>
      </c>
      <c r="D10036" s="5"/>
      <c r="E10036" s="5"/>
      <c r="F10036" s="5"/>
      <c r="G10036" s="5"/>
      <c r="H10036" s="5"/>
      <c r="I10036" s="5"/>
      <c r="J10036" s="5"/>
      <c r="K10036" s="5"/>
      <c r="L10036" s="5"/>
      <c r="M10036" s="5"/>
      <c r="N10036" s="5"/>
      <c r="O10036" s="5"/>
      <c r="P10036" s="5"/>
      <c r="Q10036" s="5"/>
      <c r="R10036" s="5"/>
      <c r="S10036" s="5"/>
      <c r="T10036" s="5"/>
      <c r="U10036" s="5"/>
      <c r="V10036" s="5"/>
      <c r="W10036" s="5"/>
      <c r="X10036" s="5"/>
      <c r="Y10036" s="5"/>
      <c r="Z10036" s="5"/>
    </row>
    <row r="10037" spans="1:26" ht="15" x14ac:dyDescent="0.25">
      <c r="A10037" s="4" t="s">
        <v>10035</v>
      </c>
      <c r="B10037" s="4" t="s">
        <v>9011</v>
      </c>
      <c r="C10037" s="2" t="str">
        <f ca="1">IFERROR(__xludf.DUMMYFUNCTION("GOOGLETRANSLATE(A10037,""bn"",""en"")"),"Next month we will buy a new car which will make our commute easier")</f>
        <v>Next month we will buy a new car which will make our commute easier</v>
      </c>
      <c r="D10037" s="5"/>
      <c r="E10037" s="5"/>
      <c r="F10037" s="5"/>
      <c r="G10037" s="5"/>
      <c r="H10037" s="5"/>
      <c r="I10037" s="5"/>
      <c r="J10037" s="5"/>
      <c r="K10037" s="5"/>
      <c r="L10037" s="5"/>
      <c r="M10037" s="5"/>
      <c r="N10037" s="5"/>
      <c r="O10037" s="5"/>
      <c r="P10037" s="5"/>
      <c r="Q10037" s="5"/>
      <c r="R10037" s="5"/>
      <c r="S10037" s="5"/>
      <c r="T10037" s="5"/>
      <c r="U10037" s="5"/>
      <c r="V10037" s="5"/>
      <c r="W10037" s="5"/>
      <c r="X10037" s="5"/>
      <c r="Y10037" s="5"/>
      <c r="Z10037" s="5"/>
    </row>
    <row r="10038" spans="1:26" ht="15" x14ac:dyDescent="0.25">
      <c r="A10038" s="4" t="s">
        <v>10036</v>
      </c>
      <c r="B10038" s="4" t="s">
        <v>9011</v>
      </c>
      <c r="C10038" s="2" t="str">
        <f ca="1">IFERROR(__xludf.DUMMYFUNCTION("GOOGLETRANSLATE(A10038,""bn"",""en"")"),"A finished painting will instill a sense of accomplishment in children's minds, they will feel happy and proud of their creation")</f>
        <v>A finished painting will instill a sense of accomplishment in children's minds, they will feel happy and proud of their creation</v>
      </c>
      <c r="D10038" s="5"/>
      <c r="E10038" s="5"/>
      <c r="F10038" s="5"/>
      <c r="G10038" s="5"/>
      <c r="H10038" s="5"/>
      <c r="I10038" s="5"/>
      <c r="J10038" s="5"/>
      <c r="K10038" s="5"/>
      <c r="L10038" s="5"/>
      <c r="M10038" s="5"/>
      <c r="N10038" s="5"/>
      <c r="O10038" s="5"/>
      <c r="P10038" s="5"/>
      <c r="Q10038" s="5"/>
      <c r="R10038" s="5"/>
      <c r="S10038" s="5"/>
      <c r="T10038" s="5"/>
      <c r="U10038" s="5"/>
      <c r="V10038" s="5"/>
      <c r="W10038" s="5"/>
      <c r="X10038" s="5"/>
      <c r="Y10038" s="5"/>
      <c r="Z10038" s="5"/>
    </row>
    <row r="10039" spans="1:26" ht="15" x14ac:dyDescent="0.25">
      <c r="A10039" s="4" t="s">
        <v>10037</v>
      </c>
      <c r="B10039" s="4" t="s">
        <v>9011</v>
      </c>
      <c r="C10039" s="2" t="str">
        <f ca="1">IFERROR(__xludf.DUMMYFUNCTION("GOOGLETRANSLATE(A10039,""bn"",""en"")"),"I will find an unknown love in myself. Welcome my darling")</f>
        <v>I will find an unknown love in myself. Welcome my darling</v>
      </c>
      <c r="D10039" s="5"/>
      <c r="E10039" s="5"/>
      <c r="F10039" s="5"/>
      <c r="G10039" s="5"/>
      <c r="H10039" s="5"/>
      <c r="I10039" s="5"/>
      <c r="J10039" s="5"/>
      <c r="K10039" s="5"/>
      <c r="L10039" s="5"/>
      <c r="M10039" s="5"/>
      <c r="N10039" s="5"/>
      <c r="O10039" s="5"/>
      <c r="P10039" s="5"/>
      <c r="Q10039" s="5"/>
      <c r="R10039" s="5"/>
      <c r="S10039" s="5"/>
      <c r="T10039" s="5"/>
      <c r="U10039" s="5"/>
      <c r="V10039" s="5"/>
      <c r="W10039" s="5"/>
      <c r="X10039" s="5"/>
      <c r="Y10039" s="5"/>
      <c r="Z10039" s="5"/>
    </row>
    <row r="10040" spans="1:26" ht="15" x14ac:dyDescent="0.25">
      <c r="A10040" s="4" t="s">
        <v>10038</v>
      </c>
      <c r="B10040" s="4" t="s">
        <v>9011</v>
      </c>
      <c r="C10040" s="2" t="str">
        <f ca="1">IFERROR(__xludf.DUMMYFUNCTION("GOOGLETRANSLATE(A10040,""bn"",""en"")"),"Next year we will implement a new technology to increase our production capacity")</f>
        <v>Next year we will implement a new technology to increase our production capacity</v>
      </c>
      <c r="D10040" s="5"/>
      <c r="E10040" s="5"/>
      <c r="F10040" s="5"/>
      <c r="G10040" s="5"/>
      <c r="H10040" s="5"/>
      <c r="I10040" s="5"/>
      <c r="J10040" s="5"/>
      <c r="K10040" s="5"/>
      <c r="L10040" s="5"/>
      <c r="M10040" s="5"/>
      <c r="N10040" s="5"/>
      <c r="O10040" s="5"/>
      <c r="P10040" s="5"/>
      <c r="Q10040" s="5"/>
      <c r="R10040" s="5"/>
      <c r="S10040" s="5"/>
      <c r="T10040" s="5"/>
      <c r="U10040" s="5"/>
      <c r="V10040" s="5"/>
      <c r="W10040" s="5"/>
      <c r="X10040" s="5"/>
      <c r="Y10040" s="5"/>
      <c r="Z10040" s="5"/>
    </row>
    <row r="10041" spans="1:26" ht="15" x14ac:dyDescent="0.25">
      <c r="A10041" s="4" t="s">
        <v>10039</v>
      </c>
      <c r="B10041" s="4" t="s">
        <v>9011</v>
      </c>
      <c r="C10041" s="2" t="str">
        <f ca="1">IFERROR(__xludf.DUMMYFUNCTION("GOOGLETRANSLATE(A10041,""bn"",""en"")"),"With this project we will be able to move in new direction and get more attention")</f>
        <v>With this project we will be able to move in new direction and get more attention</v>
      </c>
      <c r="D10041" s="5"/>
      <c r="E10041" s="5"/>
      <c r="F10041" s="5"/>
      <c r="G10041" s="5"/>
      <c r="H10041" s="5"/>
      <c r="I10041" s="5"/>
      <c r="J10041" s="5"/>
      <c r="K10041" s="5"/>
      <c r="L10041" s="5"/>
      <c r="M10041" s="5"/>
      <c r="N10041" s="5"/>
      <c r="O10041" s="5"/>
      <c r="P10041" s="5"/>
      <c r="Q10041" s="5"/>
      <c r="R10041" s="5"/>
      <c r="S10041" s="5"/>
      <c r="T10041" s="5"/>
      <c r="U10041" s="5"/>
      <c r="V10041" s="5"/>
      <c r="W10041" s="5"/>
      <c r="X10041" s="5"/>
      <c r="Y10041" s="5"/>
      <c r="Z10041" s="5"/>
    </row>
    <row r="10042" spans="1:26" ht="15" x14ac:dyDescent="0.25">
      <c r="A10042" s="4" t="s">
        <v>10040</v>
      </c>
      <c r="B10042" s="4" t="s">
        <v>9011</v>
      </c>
      <c r="C10042" s="2" t="str">
        <f ca="1">IFERROR(__xludf.DUMMYFUNCTION("GOOGLETRANSLATE(A10042,""bn"",""en"")"),"We will complete all the tenders in the coming months when all the necessary information is collected")</f>
        <v>We will complete all the tenders in the coming months when all the necessary information is collected</v>
      </c>
      <c r="D10042" s="5"/>
      <c r="E10042" s="5"/>
      <c r="F10042" s="5"/>
      <c r="G10042" s="5"/>
      <c r="H10042" s="5"/>
      <c r="I10042" s="5"/>
      <c r="J10042" s="5"/>
      <c r="K10042" s="5"/>
      <c r="L10042" s="5"/>
      <c r="M10042" s="5"/>
      <c r="N10042" s="5"/>
      <c r="O10042" s="5"/>
      <c r="P10042" s="5"/>
      <c r="Q10042" s="5"/>
      <c r="R10042" s="5"/>
      <c r="S10042" s="5"/>
      <c r="T10042" s="5"/>
      <c r="U10042" s="5"/>
      <c r="V10042" s="5"/>
      <c r="W10042" s="5"/>
      <c r="X10042" s="5"/>
      <c r="Y10042" s="5"/>
      <c r="Z10042" s="5"/>
    </row>
    <row r="10043" spans="1:26" ht="15" x14ac:dyDescent="0.25">
      <c r="A10043" s="4" t="s">
        <v>10041</v>
      </c>
      <c r="B10043" s="4" t="s">
        <v>9011</v>
      </c>
      <c r="C10043" s="2" t="str">
        <f ca="1">IFERROR(__xludf.DUMMYFUNCTION("GOOGLETRANSLATE(A10043,""bn"",""en"")"),"At night, music stations will introduce new types of music. By listening to different artists and genres, our music taste will develop. This new experience will make us happy.")</f>
        <v>At night, music stations will introduce new types of music. By listening to different artists and genres, our music taste will develop. This new experience will make us happy.</v>
      </c>
      <c r="D10043" s="5"/>
      <c r="E10043" s="5"/>
      <c r="F10043" s="5"/>
      <c r="G10043" s="5"/>
      <c r="H10043" s="5"/>
      <c r="I10043" s="5"/>
      <c r="J10043" s="5"/>
      <c r="K10043" s="5"/>
      <c r="L10043" s="5"/>
      <c r="M10043" s="5"/>
      <c r="N10043" s="5"/>
      <c r="O10043" s="5"/>
      <c r="P10043" s="5"/>
      <c r="Q10043" s="5"/>
      <c r="R10043" s="5"/>
      <c r="S10043" s="5"/>
      <c r="T10043" s="5"/>
      <c r="U10043" s="5"/>
      <c r="V10043" s="5"/>
      <c r="W10043" s="5"/>
      <c r="X10043" s="5"/>
      <c r="Y10043" s="5"/>
      <c r="Z10043" s="5"/>
    </row>
    <row r="10044" spans="1:26" ht="15" x14ac:dyDescent="0.25">
      <c r="A10044" s="4" t="s">
        <v>10042</v>
      </c>
      <c r="B10044" s="4" t="s">
        <v>9011</v>
      </c>
      <c r="C10044" s="2" t="str">
        <f ca="1">IFERROR(__xludf.DUMMYFUNCTION("GOOGLETRANSLATE(A10044,""bn"",""en"")"),"Experience of doing internship in foreign company")</f>
        <v>Experience of doing internship in foreign company</v>
      </c>
      <c r="D10044" s="5"/>
      <c r="E10044" s="5"/>
      <c r="F10044" s="5"/>
      <c r="G10044" s="5"/>
      <c r="H10044" s="5"/>
      <c r="I10044" s="5"/>
      <c r="J10044" s="5"/>
      <c r="K10044" s="5"/>
      <c r="L10044" s="5"/>
      <c r="M10044" s="5"/>
      <c r="N10044" s="5"/>
      <c r="O10044" s="5"/>
      <c r="P10044" s="5"/>
      <c r="Q10044" s="5"/>
      <c r="R10044" s="5"/>
      <c r="S10044" s="5"/>
      <c r="T10044" s="5"/>
      <c r="U10044" s="5"/>
      <c r="V10044" s="5"/>
      <c r="W10044" s="5"/>
      <c r="X10044" s="5"/>
      <c r="Y10044" s="5"/>
      <c r="Z10044" s="5"/>
    </row>
    <row r="10045" spans="1:26" ht="15" x14ac:dyDescent="0.25">
      <c r="A10045" s="4" t="s">
        <v>10043</v>
      </c>
      <c r="B10045" s="4" t="s">
        <v>9011</v>
      </c>
      <c r="C10045" s="2" t="str">
        <f ca="1">IFERROR(__xludf.DUMMYFUNCTION("GOOGLETRANSLATE(A10045,""bn"",""en"")"),"New phone will bring new opportunities")</f>
        <v>New phone will bring new opportunities</v>
      </c>
      <c r="D10045" s="5"/>
      <c r="E10045" s="5"/>
      <c r="F10045" s="5"/>
      <c r="G10045" s="5"/>
      <c r="H10045" s="5"/>
      <c r="I10045" s="5"/>
      <c r="J10045" s="5"/>
      <c r="K10045" s="5"/>
      <c r="L10045" s="5"/>
      <c r="M10045" s="5"/>
      <c r="N10045" s="5"/>
      <c r="O10045" s="5"/>
      <c r="P10045" s="5"/>
      <c r="Q10045" s="5"/>
      <c r="R10045" s="5"/>
      <c r="S10045" s="5"/>
      <c r="T10045" s="5"/>
      <c r="U10045" s="5"/>
      <c r="V10045" s="5"/>
      <c r="W10045" s="5"/>
      <c r="X10045" s="5"/>
      <c r="Y10045" s="5"/>
      <c r="Z10045" s="5"/>
    </row>
    <row r="10046" spans="1:26" ht="15" x14ac:dyDescent="0.25">
      <c r="A10046" s="4" t="s">
        <v>10044</v>
      </c>
      <c r="B10046" s="4" t="s">
        <v>9011</v>
      </c>
      <c r="C10046" s="2" t="str">
        <f ca="1">IFERROR(__xludf.DUMMYFUNCTION("GOOGLETRANSLATE(A10046,""bn"",""en"")"),"I will order a nice thing online and I will be anxious to wait")</f>
        <v>I will order a nice thing online and I will be anxious to wait</v>
      </c>
      <c r="D10046" s="5"/>
      <c r="E10046" s="5"/>
      <c r="F10046" s="5"/>
      <c r="G10046" s="5"/>
      <c r="H10046" s="5"/>
      <c r="I10046" s="5"/>
      <c r="J10046" s="5"/>
      <c r="K10046" s="5"/>
      <c r="L10046" s="5"/>
      <c r="M10046" s="5"/>
      <c r="N10046" s="5"/>
      <c r="O10046" s="5"/>
      <c r="P10046" s="5"/>
      <c r="Q10046" s="5"/>
      <c r="R10046" s="5"/>
      <c r="S10046" s="5"/>
      <c r="T10046" s="5"/>
      <c r="U10046" s="5"/>
      <c r="V10046" s="5"/>
      <c r="W10046" s="5"/>
      <c r="X10046" s="5"/>
      <c r="Y10046" s="5"/>
      <c r="Z10046" s="5"/>
    </row>
    <row r="10047" spans="1:26" ht="15" x14ac:dyDescent="0.25">
      <c r="A10047" s="4" t="s">
        <v>10045</v>
      </c>
      <c r="B10047" s="4" t="s">
        <v>9011</v>
      </c>
      <c r="C10047" s="2" t="str">
        <f ca="1">IFERROR(__xludf.DUMMYFUNCTION("GOOGLETRANSLATE(A10047,""bn"",""en"")"),"I will go fishing by the river tomorrow")</f>
        <v>I will go fishing by the river tomorrow</v>
      </c>
      <c r="D10047" s="5"/>
      <c r="E10047" s="5"/>
      <c r="F10047" s="5"/>
      <c r="G10047" s="5"/>
      <c r="H10047" s="5"/>
      <c r="I10047" s="5"/>
      <c r="J10047" s="5"/>
      <c r="K10047" s="5"/>
      <c r="L10047" s="5"/>
      <c r="M10047" s="5"/>
      <c r="N10047" s="5"/>
      <c r="O10047" s="5"/>
      <c r="P10047" s="5"/>
      <c r="Q10047" s="5"/>
      <c r="R10047" s="5"/>
      <c r="S10047" s="5"/>
      <c r="T10047" s="5"/>
      <c r="U10047" s="5"/>
      <c r="V10047" s="5"/>
      <c r="W10047" s="5"/>
      <c r="X10047" s="5"/>
      <c r="Y10047" s="5"/>
      <c r="Z10047" s="5"/>
    </row>
    <row r="10048" spans="1:26" ht="15" x14ac:dyDescent="0.25">
      <c r="A10048" s="4" t="s">
        <v>10046</v>
      </c>
      <c r="B10048" s="4" t="s">
        <v>9011</v>
      </c>
      <c r="C10048" s="2" t="str">
        <f ca="1">IFERROR(__xludf.DUMMYFUNCTION("GOOGLETRANSLATE(A10048,""bn"",""en"")"),"In the future I will launch a big restaurant chain that will be known all over the country")</f>
        <v>In the future I will launch a big restaurant chain that will be known all over the country</v>
      </c>
      <c r="D10048" s="5"/>
      <c r="E10048" s="5"/>
      <c r="F10048" s="5"/>
      <c r="G10048" s="5"/>
      <c r="H10048" s="5"/>
      <c r="I10048" s="5"/>
      <c r="J10048" s="5"/>
      <c r="K10048" s="5"/>
      <c r="L10048" s="5"/>
      <c r="M10048" s="5"/>
      <c r="N10048" s="5"/>
      <c r="O10048" s="5"/>
      <c r="P10048" s="5"/>
      <c r="Q10048" s="5"/>
      <c r="R10048" s="5"/>
      <c r="S10048" s="5"/>
      <c r="T10048" s="5"/>
      <c r="U10048" s="5"/>
      <c r="V10048" s="5"/>
      <c r="W10048" s="5"/>
      <c r="X10048" s="5"/>
      <c r="Y10048" s="5"/>
      <c r="Z10048" s="5"/>
    </row>
    <row r="10049" spans="1:26" ht="15" x14ac:dyDescent="0.25">
      <c r="A10049" s="4" t="s">
        <v>10047</v>
      </c>
      <c r="B10049" s="4" t="s">
        <v>9011</v>
      </c>
      <c r="C10049" s="2" t="str">
        <f ca="1">IFERROR(__xludf.DUMMYFUNCTION("GOOGLETRANSLATE(A10049,""bn"",""en"")"),"I will be impressed by the drama of the film")</f>
        <v>I will be impressed by the drama of the film</v>
      </c>
      <c r="D10049" s="5"/>
      <c r="E10049" s="5"/>
      <c r="F10049" s="5"/>
      <c r="G10049" s="5"/>
      <c r="H10049" s="5"/>
      <c r="I10049" s="5"/>
      <c r="J10049" s="5"/>
      <c r="K10049" s="5"/>
      <c r="L10049" s="5"/>
      <c r="M10049" s="5"/>
      <c r="N10049" s="5"/>
      <c r="O10049" s="5"/>
      <c r="P10049" s="5"/>
      <c r="Q10049" s="5"/>
      <c r="R10049" s="5"/>
      <c r="S10049" s="5"/>
      <c r="T10049" s="5"/>
      <c r="U10049" s="5"/>
      <c r="V10049" s="5"/>
      <c r="W10049" s="5"/>
      <c r="X10049" s="5"/>
      <c r="Y10049" s="5"/>
      <c r="Z10049" s="5"/>
    </row>
    <row r="10050" spans="1:26" ht="15" x14ac:dyDescent="0.25">
      <c r="A10050" s="4" t="s">
        <v>10048</v>
      </c>
      <c r="B10050" s="4" t="s">
        <v>9011</v>
      </c>
      <c r="C10050" s="2" t="str">
        <f ca="1">IFERROR(__xludf.DUMMYFUNCTION("GOOGLETRANSLATE(A10050,""bn"",""en"")"),"He will achieve more success in his expat life when he leaves to learn a new language")</f>
        <v>He will achieve more success in his expat life when he leaves to learn a new language</v>
      </c>
      <c r="D10050" s="5"/>
      <c r="E10050" s="5"/>
      <c r="F10050" s="5"/>
      <c r="G10050" s="5"/>
      <c r="H10050" s="5"/>
      <c r="I10050" s="5"/>
      <c r="J10050" s="5"/>
      <c r="K10050" s="5"/>
      <c r="L10050" s="5"/>
      <c r="M10050" s="5"/>
      <c r="N10050" s="5"/>
      <c r="O10050" s="5"/>
      <c r="P10050" s="5"/>
      <c r="Q10050" s="5"/>
      <c r="R10050" s="5"/>
      <c r="S10050" s="5"/>
      <c r="T10050" s="5"/>
      <c r="U10050" s="5"/>
      <c r="V10050" s="5"/>
      <c r="W10050" s="5"/>
      <c r="X10050" s="5"/>
      <c r="Y10050" s="5"/>
      <c r="Z10050" s="5"/>
    </row>
    <row r="10051" spans="1:26" ht="15" x14ac:dyDescent="0.25">
      <c r="A10051" s="4" t="s">
        <v>10049</v>
      </c>
      <c r="B10051" s="4" t="s">
        <v>9011</v>
      </c>
      <c r="C10051" s="2" t="str">
        <f ca="1">IFERROR(__xludf.DUMMYFUNCTION("GOOGLETRANSLATE(A10051,""bn"",""en"")"),"How many places have I looked for not being able to eat the food from my mother's hand, finally my mother made it and now no one can take it away")</f>
        <v>How many places have I looked for not being able to eat the food from my mother's hand, finally my mother made it and now no one can take it away</v>
      </c>
      <c r="D10051" s="5"/>
      <c r="E10051" s="5"/>
      <c r="F10051" s="5"/>
      <c r="G10051" s="5"/>
      <c r="H10051" s="5"/>
      <c r="I10051" s="5"/>
      <c r="J10051" s="5"/>
      <c r="K10051" s="5"/>
      <c r="L10051" s="5"/>
      <c r="M10051" s="5"/>
      <c r="N10051" s="5"/>
      <c r="O10051" s="5"/>
      <c r="P10051" s="5"/>
      <c r="Q10051" s="5"/>
      <c r="R10051" s="5"/>
      <c r="S10051" s="5"/>
      <c r="T10051" s="5"/>
      <c r="U10051" s="5"/>
      <c r="V10051" s="5"/>
      <c r="W10051" s="5"/>
      <c r="X10051" s="5"/>
      <c r="Y10051" s="5"/>
      <c r="Z10051" s="5"/>
    </row>
    <row r="10052" spans="1:26" ht="15" x14ac:dyDescent="0.25">
      <c r="A10052" s="4" t="s">
        <v>10050</v>
      </c>
      <c r="B10052" s="4" t="s">
        <v>9011</v>
      </c>
      <c r="C10052" s="2" t="str">
        <f ca="1">IFERROR(__xludf.DUMMYFUNCTION("GOOGLETRANSLATE(A10052,""bn"",""en"")"),"A golden opportunity to gain knowledge from foreign teachers will be a wonderful experience to acquire new knowledge and improve your skills")</f>
        <v>A golden opportunity to gain knowledge from foreign teachers will be a wonderful experience to acquire new knowledge and improve your skills</v>
      </c>
      <c r="D10052" s="5"/>
      <c r="E10052" s="5"/>
      <c r="F10052" s="5"/>
      <c r="G10052" s="5"/>
      <c r="H10052" s="5"/>
      <c r="I10052" s="5"/>
      <c r="J10052" s="5"/>
      <c r="K10052" s="5"/>
      <c r="L10052" s="5"/>
      <c r="M10052" s="5"/>
      <c r="N10052" s="5"/>
      <c r="O10052" s="5"/>
      <c r="P10052" s="5"/>
      <c r="Q10052" s="5"/>
      <c r="R10052" s="5"/>
      <c r="S10052" s="5"/>
      <c r="T10052" s="5"/>
      <c r="U10052" s="5"/>
      <c r="V10052" s="5"/>
      <c r="W10052" s="5"/>
      <c r="X10052" s="5"/>
      <c r="Y10052" s="5"/>
      <c r="Z10052" s="5"/>
    </row>
    <row r="10053" spans="1:26" ht="15" x14ac:dyDescent="0.25">
      <c r="A10053" s="4" t="s">
        <v>10051</v>
      </c>
      <c r="B10053" s="4" t="s">
        <v>9011</v>
      </c>
      <c r="C10053" s="2" t="str">
        <f ca="1">IFERROR(__xludf.DUMMYFUNCTION("GOOGLETRANSLATE(A10053,""bn"",""en"")"),"Friendship means to call in the morning and ask to go out and stay at night, a sudden plane ride to Rajshahi.")</f>
        <v>Friendship means to call in the morning and ask to go out and stay at night, a sudden plane ride to Rajshahi.</v>
      </c>
      <c r="D10053" s="5"/>
      <c r="E10053" s="5"/>
      <c r="F10053" s="5"/>
      <c r="G10053" s="5"/>
      <c r="H10053" s="5"/>
      <c r="I10053" s="5"/>
      <c r="J10053" s="5"/>
      <c r="K10053" s="5"/>
      <c r="L10053" s="5"/>
      <c r="M10053" s="5"/>
      <c r="N10053" s="5"/>
      <c r="O10053" s="5"/>
      <c r="P10053" s="5"/>
      <c r="Q10053" s="5"/>
      <c r="R10053" s="5"/>
      <c r="S10053" s="5"/>
      <c r="T10053" s="5"/>
      <c r="U10053" s="5"/>
      <c r="V10053" s="5"/>
      <c r="W10053" s="5"/>
      <c r="X10053" s="5"/>
      <c r="Y10053" s="5"/>
      <c r="Z10053" s="5"/>
    </row>
    <row r="10054" spans="1:26" ht="15" x14ac:dyDescent="0.25">
      <c r="A10054" s="4" t="s">
        <v>10052</v>
      </c>
      <c r="B10054" s="4" t="s">
        <v>9011</v>
      </c>
      <c r="C10054" s="2" t="str">
        <f ca="1">IFERROR(__xludf.DUMMYFUNCTION("GOOGLETRANSLATE(A10054,""bn"",""en"")"),"Next month we will start a new business that will improve our family")</f>
        <v>Next month we will start a new business that will improve our family</v>
      </c>
      <c r="D10054" s="5"/>
      <c r="E10054" s="5"/>
      <c r="F10054" s="5"/>
      <c r="G10054" s="5"/>
      <c r="H10054" s="5"/>
      <c r="I10054" s="5"/>
      <c r="J10054" s="5"/>
      <c r="K10054" s="5"/>
      <c r="L10054" s="5"/>
      <c r="M10054" s="5"/>
      <c r="N10054" s="5"/>
      <c r="O10054" s="5"/>
      <c r="P10054" s="5"/>
      <c r="Q10054" s="5"/>
      <c r="R10054" s="5"/>
      <c r="S10054" s="5"/>
      <c r="T10054" s="5"/>
      <c r="U10054" s="5"/>
      <c r="V10054" s="5"/>
      <c r="W10054" s="5"/>
      <c r="X10054" s="5"/>
      <c r="Y10054" s="5"/>
      <c r="Z10054" s="5"/>
    </row>
    <row r="10055" spans="1:26" ht="15" x14ac:dyDescent="0.25">
      <c r="A10055" s="4" t="s">
        <v>10053</v>
      </c>
      <c r="B10055" s="4" t="s">
        <v>9011</v>
      </c>
      <c r="C10055" s="2" t="str">
        <f ca="1">IFERROR(__xludf.DUMMYFUNCTION("GOOGLETRANSLATE(A10055,""bn"",""en"")"),"He will go to a concert next week")</f>
        <v>He will go to a concert next week</v>
      </c>
      <c r="D10055" s="5"/>
      <c r="E10055" s="5"/>
      <c r="F10055" s="5"/>
      <c r="G10055" s="5"/>
      <c r="H10055" s="5"/>
      <c r="I10055" s="5"/>
      <c r="J10055" s="5"/>
      <c r="K10055" s="5"/>
      <c r="L10055" s="5"/>
      <c r="M10055" s="5"/>
      <c r="N10055" s="5"/>
      <c r="O10055" s="5"/>
      <c r="P10055" s="5"/>
      <c r="Q10055" s="5"/>
      <c r="R10055" s="5"/>
      <c r="S10055" s="5"/>
      <c r="T10055" s="5"/>
      <c r="U10055" s="5"/>
      <c r="V10055" s="5"/>
      <c r="W10055" s="5"/>
      <c r="X10055" s="5"/>
      <c r="Y10055" s="5"/>
      <c r="Z10055" s="5"/>
    </row>
    <row r="10056" spans="1:26" ht="15" x14ac:dyDescent="0.25">
      <c r="A10056" s="4" t="s">
        <v>10054</v>
      </c>
      <c r="B10056" s="4" t="s">
        <v>9011</v>
      </c>
      <c r="C10056" s="2" t="str">
        <f ca="1">IFERROR(__xludf.DUMMYFUNCTION("GOOGLETRANSLATE(A10056,""bn"",""en"")"),"I will conduct research on increasing crop yields using artificial intelligence in agriculture")</f>
        <v>I will conduct research on increasing crop yields using artificial intelligence in agriculture</v>
      </c>
      <c r="D10056" s="5"/>
      <c r="E10056" s="5"/>
      <c r="F10056" s="5"/>
      <c r="G10056" s="5"/>
      <c r="H10056" s="5"/>
      <c r="I10056" s="5"/>
      <c r="J10056" s="5"/>
      <c r="K10056" s="5"/>
      <c r="L10056" s="5"/>
      <c r="M10056" s="5"/>
      <c r="N10056" s="5"/>
      <c r="O10056" s="5"/>
      <c r="P10056" s="5"/>
      <c r="Q10056" s="5"/>
      <c r="R10056" s="5"/>
      <c r="S10056" s="5"/>
      <c r="T10056" s="5"/>
      <c r="U10056" s="5"/>
      <c r="V10056" s="5"/>
      <c r="W10056" s="5"/>
      <c r="X10056" s="5"/>
      <c r="Y10056" s="5"/>
      <c r="Z10056" s="5"/>
    </row>
    <row r="10057" spans="1:26" ht="15" x14ac:dyDescent="0.25">
      <c r="A10057" s="4" t="s">
        <v>10055</v>
      </c>
      <c r="B10057" s="4" t="s">
        <v>9011</v>
      </c>
      <c r="C10057" s="2" t="str">
        <f ca="1">IFERROR(__xludf.DUMMYFUNCTION("GOOGLETRANSLATE(A10057,""bn"",""en"")"),"We will start a larger study tomorrow on advanced medical technology")</f>
        <v>We will start a larger study tomorrow on advanced medical technology</v>
      </c>
      <c r="D10057" s="5"/>
      <c r="E10057" s="5"/>
      <c r="F10057" s="5"/>
      <c r="G10057" s="5"/>
      <c r="H10057" s="5"/>
      <c r="I10057" s="5"/>
      <c r="J10057" s="5"/>
      <c r="K10057" s="5"/>
      <c r="L10057" s="5"/>
      <c r="M10057" s="5"/>
      <c r="N10057" s="5"/>
      <c r="O10057" s="5"/>
      <c r="P10057" s="5"/>
      <c r="Q10057" s="5"/>
      <c r="R10057" s="5"/>
      <c r="S10057" s="5"/>
      <c r="T10057" s="5"/>
      <c r="U10057" s="5"/>
      <c r="V10057" s="5"/>
      <c r="W10057" s="5"/>
      <c r="X10057" s="5"/>
      <c r="Y10057" s="5"/>
      <c r="Z10057" s="5"/>
    </row>
    <row r="10058" spans="1:26" ht="15" x14ac:dyDescent="0.25">
      <c r="A10058" s="4" t="s">
        <v>10056</v>
      </c>
      <c r="B10058" s="4" t="s">
        <v>9011</v>
      </c>
      <c r="C10058" s="2" t="str">
        <f ca="1">IFERROR(__xludf.DUMMYFUNCTION("GOOGLETRANSLATE(A10058,""bn"",""en"")"),"People's minds will experience joy through painting and new brightness will come into their lives")</f>
        <v>People's minds will experience joy through painting and new brightness will come into their lives</v>
      </c>
      <c r="D10058" s="5"/>
      <c r="E10058" s="5"/>
      <c r="F10058" s="5"/>
      <c r="G10058" s="5"/>
      <c r="H10058" s="5"/>
      <c r="I10058" s="5"/>
      <c r="J10058" s="5"/>
      <c r="K10058" s="5"/>
      <c r="L10058" s="5"/>
      <c r="M10058" s="5"/>
      <c r="N10058" s="5"/>
      <c r="O10058" s="5"/>
      <c r="P10058" s="5"/>
      <c r="Q10058" s="5"/>
      <c r="R10058" s="5"/>
      <c r="S10058" s="5"/>
      <c r="T10058" s="5"/>
      <c r="U10058" s="5"/>
      <c r="V10058" s="5"/>
      <c r="W10058" s="5"/>
      <c r="X10058" s="5"/>
      <c r="Y10058" s="5"/>
      <c r="Z10058" s="5"/>
    </row>
    <row r="10059" spans="1:26" ht="15" x14ac:dyDescent="0.25">
      <c r="A10059" s="4" t="s">
        <v>10057</v>
      </c>
      <c r="B10059" s="4" t="s">
        <v>9011</v>
      </c>
      <c r="C10059" s="2" t="str">
        <f ca="1">IFERROR(__xludf.DUMMYFUNCTION("GOOGLETRANSLATE(A10059,""bn"",""en"")"),"Tomorrow will be sixteen years in the journey of one life, we will move forward with the promise of being by your side in happiness and sadness. Happy wedding anniversary.")</f>
        <v>Tomorrow will be sixteen years in the journey of one life, we will move forward with the promise of being by your side in happiness and sadness. Happy wedding anniversary.</v>
      </c>
      <c r="D10059" s="5"/>
      <c r="E10059" s="5"/>
      <c r="F10059" s="5"/>
      <c r="G10059" s="5"/>
      <c r="H10059" s="5"/>
      <c r="I10059" s="5"/>
      <c r="J10059" s="5"/>
      <c r="K10059" s="5"/>
      <c r="L10059" s="5"/>
      <c r="M10059" s="5"/>
      <c r="N10059" s="5"/>
      <c r="O10059" s="5"/>
      <c r="P10059" s="5"/>
      <c r="Q10059" s="5"/>
      <c r="R10059" s="5"/>
      <c r="S10059" s="5"/>
      <c r="T10059" s="5"/>
      <c r="U10059" s="5"/>
      <c r="V10059" s="5"/>
      <c r="W10059" s="5"/>
      <c r="X10059" s="5"/>
      <c r="Y10059" s="5"/>
      <c r="Z10059" s="5"/>
    </row>
    <row r="10060" spans="1:26" ht="15" x14ac:dyDescent="0.25">
      <c r="A10060" s="4" t="s">
        <v>10058</v>
      </c>
      <c r="B10060" s="4" t="s">
        <v>9011</v>
      </c>
      <c r="C10060" s="2" t="str">
        <f ca="1">IFERROR(__xludf.DUMMYFUNCTION("GOOGLETRANSLATE(A10060,""bn"",""en"")"),"Will I be staying here next week?")</f>
        <v>Will I be staying here next week?</v>
      </c>
      <c r="D10060" s="5"/>
      <c r="E10060" s="5"/>
      <c r="F10060" s="5"/>
      <c r="G10060" s="5"/>
      <c r="H10060" s="5"/>
      <c r="I10060" s="5"/>
      <c r="J10060" s="5"/>
      <c r="K10060" s="5"/>
      <c r="L10060" s="5"/>
      <c r="M10060" s="5"/>
      <c r="N10060" s="5"/>
      <c r="O10060" s="5"/>
      <c r="P10060" s="5"/>
      <c r="Q10060" s="5"/>
      <c r="R10060" s="5"/>
      <c r="S10060" s="5"/>
      <c r="T10060" s="5"/>
      <c r="U10060" s="5"/>
      <c r="V10060" s="5"/>
      <c r="W10060" s="5"/>
      <c r="X10060" s="5"/>
      <c r="Y10060" s="5"/>
      <c r="Z10060" s="5"/>
    </row>
    <row r="10061" spans="1:26" ht="15" x14ac:dyDescent="0.25">
      <c r="A10061" s="4" t="s">
        <v>10059</v>
      </c>
      <c r="B10061" s="4" t="s">
        <v>9011</v>
      </c>
      <c r="C10061" s="2" t="str">
        <f ca="1">IFERROR(__xludf.DUMMYFUNCTION("GOOGLETRANSLATE(A10061,""bn"",""en"")"),"Trying to teach toddlers to swim will be their first independent swim is a priceless moment")</f>
        <v>Trying to teach toddlers to swim will be their first independent swim is a priceless moment</v>
      </c>
      <c r="D10061" s="5"/>
      <c r="E10061" s="5"/>
      <c r="F10061" s="5"/>
      <c r="G10061" s="5"/>
      <c r="H10061" s="5"/>
      <c r="I10061" s="5"/>
      <c r="J10061" s="5"/>
      <c r="K10061" s="5"/>
      <c r="L10061" s="5"/>
      <c r="M10061" s="5"/>
      <c r="N10061" s="5"/>
      <c r="O10061" s="5"/>
      <c r="P10061" s="5"/>
      <c r="Q10061" s="5"/>
      <c r="R10061" s="5"/>
      <c r="S10061" s="5"/>
      <c r="T10061" s="5"/>
      <c r="U10061" s="5"/>
      <c r="V10061" s="5"/>
      <c r="W10061" s="5"/>
      <c r="X10061" s="5"/>
      <c r="Y10061" s="5"/>
      <c r="Z10061" s="5"/>
    </row>
    <row r="10062" spans="1:26" ht="15" x14ac:dyDescent="0.25">
      <c r="A10062" s="4" t="s">
        <v>10060</v>
      </c>
      <c r="B10062" s="4" t="s">
        <v>9011</v>
      </c>
      <c r="C10062" s="2" t="str">
        <f ca="1">IFERROR(__xludf.DUMMYFUNCTION("GOOGLETRANSLATE(A10062,""bn"",""en"")"),"We hope this project will be successful and open new markets for our company")</f>
        <v>We hope this project will be successful and open new markets for our company</v>
      </c>
      <c r="D10062" s="5"/>
      <c r="E10062" s="5"/>
      <c r="F10062" s="5"/>
      <c r="G10062" s="5"/>
      <c r="H10062" s="5"/>
      <c r="I10062" s="5"/>
      <c r="J10062" s="5"/>
      <c r="K10062" s="5"/>
      <c r="L10062" s="5"/>
      <c r="M10062" s="5"/>
      <c r="N10062" s="5"/>
      <c r="O10062" s="5"/>
      <c r="P10062" s="5"/>
      <c r="Q10062" s="5"/>
      <c r="R10062" s="5"/>
      <c r="S10062" s="5"/>
      <c r="T10062" s="5"/>
      <c r="U10062" s="5"/>
      <c r="V10062" s="5"/>
      <c r="W10062" s="5"/>
      <c r="X10062" s="5"/>
      <c r="Y10062" s="5"/>
      <c r="Z10062" s="5"/>
    </row>
    <row r="10063" spans="1:26" ht="15" x14ac:dyDescent="0.25">
      <c r="A10063" s="4" t="s">
        <v>10061</v>
      </c>
      <c r="B10063" s="4" t="s">
        <v>9011</v>
      </c>
      <c r="C10063" s="2" t="str">
        <f ca="1">IFERROR(__xludf.DUMMYFUNCTION("GOOGLETRANSLATE(A10063,""bn"",""en"")"),"This leader is very young and does not have any educational qualifications.")</f>
        <v>This leader is very young and does not have any educational qualifications.</v>
      </c>
      <c r="D10063" s="5"/>
      <c r="E10063" s="5"/>
      <c r="F10063" s="5"/>
      <c r="G10063" s="5"/>
      <c r="H10063" s="5"/>
      <c r="I10063" s="5"/>
      <c r="J10063" s="5"/>
      <c r="K10063" s="5"/>
      <c r="L10063" s="5"/>
      <c r="M10063" s="5"/>
      <c r="N10063" s="5"/>
      <c r="O10063" s="5"/>
      <c r="P10063" s="5"/>
      <c r="Q10063" s="5"/>
      <c r="R10063" s="5"/>
      <c r="S10063" s="5"/>
      <c r="T10063" s="5"/>
      <c r="U10063" s="5"/>
      <c r="V10063" s="5"/>
      <c r="W10063" s="5"/>
      <c r="X10063" s="5"/>
      <c r="Y10063" s="5"/>
      <c r="Z10063" s="5"/>
    </row>
    <row r="10064" spans="1:26" ht="15" x14ac:dyDescent="0.25">
      <c r="A10064" s="4" t="s">
        <v>10062</v>
      </c>
      <c r="B10064" s="4" t="s">
        <v>9011</v>
      </c>
      <c r="C10064" s="2" t="str">
        <f ca="1">IFERROR(__xludf.DUMMYFUNCTION("GOOGLETRANSLATE(A10064,""bn"",""en"")"),"Equality of view will build friendship")</f>
        <v>Equality of view will build friendship</v>
      </c>
      <c r="D10064" s="5"/>
      <c r="E10064" s="5"/>
      <c r="F10064" s="5"/>
      <c r="G10064" s="5"/>
      <c r="H10064" s="5"/>
      <c r="I10064" s="5"/>
      <c r="J10064" s="5"/>
      <c r="K10064" s="5"/>
      <c r="L10064" s="5"/>
      <c r="M10064" s="5"/>
      <c r="N10064" s="5"/>
      <c r="O10064" s="5"/>
      <c r="P10064" s="5"/>
      <c r="Q10064" s="5"/>
      <c r="R10064" s="5"/>
      <c r="S10064" s="5"/>
      <c r="T10064" s="5"/>
      <c r="U10064" s="5"/>
      <c r="V10064" s="5"/>
      <c r="W10064" s="5"/>
      <c r="X10064" s="5"/>
      <c r="Y10064" s="5"/>
      <c r="Z10064" s="5"/>
    </row>
    <row r="10065" spans="1:26" ht="15" x14ac:dyDescent="0.25">
      <c r="A10065" s="4" t="s">
        <v>10063</v>
      </c>
      <c r="B10065" s="4" t="s">
        <v>9011</v>
      </c>
      <c r="C10065" s="2" t="str">
        <f ca="1">IFERROR(__xludf.DUMMYFUNCTION("GOOGLETRANSLATE(A10065,""bn"",""en"")"),"The joy of going to the puja after Saptami Punjabi today will be unique")</f>
        <v>The joy of going to the puja after Saptami Punjabi today will be unique</v>
      </c>
      <c r="D10065" s="5"/>
      <c r="E10065" s="5"/>
      <c r="F10065" s="5"/>
      <c r="G10065" s="5"/>
      <c r="H10065" s="5"/>
      <c r="I10065" s="5"/>
      <c r="J10065" s="5"/>
      <c r="K10065" s="5"/>
      <c r="L10065" s="5"/>
      <c r="M10065" s="5"/>
      <c r="N10065" s="5"/>
      <c r="O10065" s="5"/>
      <c r="P10065" s="5"/>
      <c r="Q10065" s="5"/>
      <c r="R10065" s="5"/>
      <c r="S10065" s="5"/>
      <c r="T10065" s="5"/>
      <c r="U10065" s="5"/>
      <c r="V10065" s="5"/>
      <c r="W10065" s="5"/>
      <c r="X10065" s="5"/>
      <c r="Y10065" s="5"/>
      <c r="Z10065" s="5"/>
    </row>
    <row r="10066" spans="1:26" ht="15" x14ac:dyDescent="0.25">
      <c r="A10066" s="4" t="s">
        <v>10064</v>
      </c>
      <c r="B10066" s="4" t="s">
        <v>9011</v>
      </c>
      <c r="C10066" s="2" t="str">
        <f ca="1">IFERROR(__xludf.DUMMYFUNCTION("GOOGLETRANSLATE(A10066,""bn"",""en"")"),"Surrendering with animal companions will reflect our happy relationship, spending time with them will create emotional happiness.")</f>
        <v>Surrendering with animal companions will reflect our happy relationship, spending time with them will create emotional happiness.</v>
      </c>
      <c r="D10066" s="5"/>
      <c r="E10066" s="5"/>
      <c r="F10066" s="5"/>
      <c r="G10066" s="5"/>
      <c r="H10066" s="5"/>
      <c r="I10066" s="5"/>
      <c r="J10066" s="5"/>
      <c r="K10066" s="5"/>
      <c r="L10066" s="5"/>
      <c r="M10066" s="5"/>
      <c r="N10066" s="5"/>
      <c r="O10066" s="5"/>
      <c r="P10066" s="5"/>
      <c r="Q10066" s="5"/>
      <c r="R10066" s="5"/>
      <c r="S10066" s="5"/>
      <c r="T10066" s="5"/>
      <c r="U10066" s="5"/>
      <c r="V10066" s="5"/>
      <c r="W10066" s="5"/>
      <c r="X10066" s="5"/>
      <c r="Y10066" s="5"/>
      <c r="Z10066" s="5"/>
    </row>
    <row r="10067" spans="1:26" ht="15" x14ac:dyDescent="0.25">
      <c r="A10067" s="4" t="s">
        <v>10065</v>
      </c>
      <c r="B10067" s="4" t="s">
        <v>9011</v>
      </c>
      <c r="C10067" s="2" t="str">
        <f ca="1">IFERROR(__xludf.DUMMYFUNCTION("GOOGLETRANSLATE(A10067,""bn"",""en"")"),"I will give a small donation but I will be very happy")</f>
        <v>I will give a small donation but I will be very happy</v>
      </c>
      <c r="D10067" s="5"/>
      <c r="E10067" s="5"/>
      <c r="F10067" s="5"/>
      <c r="G10067" s="5"/>
      <c r="H10067" s="5"/>
      <c r="I10067" s="5"/>
      <c r="J10067" s="5"/>
      <c r="K10067" s="5"/>
      <c r="L10067" s="5"/>
      <c r="M10067" s="5"/>
      <c r="N10067" s="5"/>
      <c r="O10067" s="5"/>
      <c r="P10067" s="5"/>
      <c r="Q10067" s="5"/>
      <c r="R10067" s="5"/>
      <c r="S10067" s="5"/>
      <c r="T10067" s="5"/>
      <c r="U10067" s="5"/>
      <c r="V10067" s="5"/>
      <c r="W10067" s="5"/>
      <c r="X10067" s="5"/>
      <c r="Y10067" s="5"/>
      <c r="Z10067" s="5"/>
    </row>
    <row r="10068" spans="1:26" ht="15" x14ac:dyDescent="0.25">
      <c r="A10068" s="4" t="s">
        <v>10066</v>
      </c>
      <c r="B10068" s="4" t="s">
        <v>9011</v>
      </c>
      <c r="C10068" s="2" t="str">
        <f ca="1">IFERROR(__xludf.DUMMYFUNCTION("GOOGLETRANSLATE(A10068,""bn"",""en"")"),"Now I will build a family by the hand of my wife, how fast will the time go by? Happy marriage, grandpa")</f>
        <v>Now I will build a family by the hand of my wife, how fast will the time go by? Happy marriage, grandpa</v>
      </c>
      <c r="D10068" s="5"/>
      <c r="E10068" s="5"/>
      <c r="F10068" s="5"/>
      <c r="G10068" s="5"/>
      <c r="H10068" s="5"/>
      <c r="I10068" s="5"/>
      <c r="J10068" s="5"/>
      <c r="K10068" s="5"/>
      <c r="L10068" s="5"/>
      <c r="M10068" s="5"/>
      <c r="N10068" s="5"/>
      <c r="O10068" s="5"/>
      <c r="P10068" s="5"/>
      <c r="Q10068" s="5"/>
      <c r="R10068" s="5"/>
      <c r="S10068" s="5"/>
      <c r="T10068" s="5"/>
      <c r="U10068" s="5"/>
      <c r="V10068" s="5"/>
      <c r="W10068" s="5"/>
      <c r="X10068" s="5"/>
      <c r="Y10068" s="5"/>
      <c r="Z10068" s="5"/>
    </row>
    <row r="10069" spans="1:26" ht="15" x14ac:dyDescent="0.25">
      <c r="A10069" s="4" t="s">
        <v>10067</v>
      </c>
      <c r="B10069" s="4" t="s">
        <v>9011</v>
      </c>
      <c r="C10069" s="2" t="str">
        <f ca="1">IFERROR(__xludf.DUMMYFUNCTION("GOOGLETRANSLATE(A10069,""bn"",""en"")"),"I will go to configure the settings of the new mobile telephone tomorrow")</f>
        <v>I will go to configure the settings of the new mobile telephone tomorrow</v>
      </c>
      <c r="D10069" s="5"/>
      <c r="E10069" s="5"/>
      <c r="F10069" s="5"/>
      <c r="G10069" s="5"/>
      <c r="H10069" s="5"/>
      <c r="I10069" s="5"/>
      <c r="J10069" s="5"/>
      <c r="K10069" s="5"/>
      <c r="L10069" s="5"/>
      <c r="M10069" s="5"/>
      <c r="N10069" s="5"/>
      <c r="O10069" s="5"/>
      <c r="P10069" s="5"/>
      <c r="Q10069" s="5"/>
      <c r="R10069" s="5"/>
      <c r="S10069" s="5"/>
      <c r="T10069" s="5"/>
      <c r="U10069" s="5"/>
      <c r="V10069" s="5"/>
      <c r="W10069" s="5"/>
      <c r="X10069" s="5"/>
      <c r="Y10069" s="5"/>
      <c r="Z10069" s="5"/>
    </row>
    <row r="10070" spans="1:26" ht="15" x14ac:dyDescent="0.25">
      <c r="A10070" s="4" t="s">
        <v>10068</v>
      </c>
      <c r="B10070" s="4" t="s">
        <v>9011</v>
      </c>
      <c r="C10070" s="2" t="str">
        <f ca="1">IFERROR(__xludf.DUMMYFUNCTION("GOOGLETRANSLATE(A10070,""bn"",""en"")"),"Fitness is a pursuit of prosperity that is infused with joy.")</f>
        <v>Fitness is a pursuit of prosperity that is infused with joy.</v>
      </c>
      <c r="D10070" s="5"/>
      <c r="E10070" s="5"/>
      <c r="F10070" s="5"/>
      <c r="G10070" s="5"/>
      <c r="H10070" s="5"/>
      <c r="I10070" s="5"/>
      <c r="J10070" s="5"/>
      <c r="K10070" s="5"/>
      <c r="L10070" s="5"/>
      <c r="M10070" s="5"/>
      <c r="N10070" s="5"/>
      <c r="O10070" s="5"/>
      <c r="P10070" s="5"/>
      <c r="Q10070" s="5"/>
      <c r="R10070" s="5"/>
      <c r="S10070" s="5"/>
      <c r="T10070" s="5"/>
      <c r="U10070" s="5"/>
      <c r="V10070" s="5"/>
      <c r="W10070" s="5"/>
      <c r="X10070" s="5"/>
      <c r="Y10070" s="5"/>
      <c r="Z10070" s="5"/>
    </row>
    <row r="10071" spans="1:26" ht="15" x14ac:dyDescent="0.25">
      <c r="A10071" s="4" t="s">
        <v>10069</v>
      </c>
      <c r="B10071" s="4" t="s">
        <v>9011</v>
      </c>
      <c r="C10071" s="2" t="str">
        <f ca="1">IFERROR(__xludf.DUMMYFUNCTION("GOOGLETRANSLATE(A10071,""bn"",""en"")"),"This year I will spend more time commenting and evaluating new plans")</f>
        <v>This year I will spend more time commenting and evaluating new plans</v>
      </c>
      <c r="D10071" s="5"/>
      <c r="E10071" s="5"/>
      <c r="F10071" s="5"/>
      <c r="G10071" s="5"/>
      <c r="H10071" s="5"/>
      <c r="I10071" s="5"/>
      <c r="J10071" s="5"/>
      <c r="K10071" s="5"/>
      <c r="L10071" s="5"/>
      <c r="M10071" s="5"/>
      <c r="N10071" s="5"/>
      <c r="O10071" s="5"/>
      <c r="P10071" s="5"/>
      <c r="Q10071" s="5"/>
      <c r="R10071" s="5"/>
      <c r="S10071" s="5"/>
      <c r="T10071" s="5"/>
      <c r="U10071" s="5"/>
      <c r="V10071" s="5"/>
      <c r="W10071" s="5"/>
      <c r="X10071" s="5"/>
      <c r="Y10071" s="5"/>
      <c r="Z10071" s="5"/>
    </row>
    <row r="10072" spans="1:26" ht="15" x14ac:dyDescent="0.25">
      <c r="A10072" s="4" t="s">
        <v>10070</v>
      </c>
      <c r="B10072" s="4" t="s">
        <v>9011</v>
      </c>
      <c r="C10072" s="2" t="str">
        <f ca="1">IFERROR(__xludf.DUMMYFUNCTION("GOOGLETRANSLATE(A10072,""bn"",""en"")"),"Maybe one day the dreams will come true but I can't see it with my own eyes")</f>
        <v>Maybe one day the dreams will come true but I can't see it with my own eyes</v>
      </c>
      <c r="D10072" s="5"/>
      <c r="E10072" s="5"/>
      <c r="F10072" s="5"/>
      <c r="G10072" s="5"/>
      <c r="H10072" s="5"/>
      <c r="I10072" s="5"/>
      <c r="J10072" s="5"/>
      <c r="K10072" s="5"/>
      <c r="L10072" s="5"/>
      <c r="M10072" s="5"/>
      <c r="N10072" s="5"/>
      <c r="O10072" s="5"/>
      <c r="P10072" s="5"/>
      <c r="Q10072" s="5"/>
      <c r="R10072" s="5"/>
      <c r="S10072" s="5"/>
      <c r="T10072" s="5"/>
      <c r="U10072" s="5"/>
      <c r="V10072" s="5"/>
      <c r="W10072" s="5"/>
      <c r="X10072" s="5"/>
      <c r="Y10072" s="5"/>
      <c r="Z10072" s="5"/>
    </row>
    <row r="10073" spans="1:26" ht="15" x14ac:dyDescent="0.25">
      <c r="A10073" s="4" t="s">
        <v>10071</v>
      </c>
      <c r="B10073" s="4" t="s">
        <v>9011</v>
      </c>
      <c r="C10073" s="2" t="str">
        <f ca="1">IFERROR(__xludf.DUMMYFUNCTION("GOOGLETRANSLATE(A10073,""bn"",""en"")"),"The sweetness of Pithapuli will delight the mind on Paush Parban")</f>
        <v>The sweetness of Pithapuli will delight the mind on Paush Parban</v>
      </c>
      <c r="D10073" s="5"/>
      <c r="E10073" s="5"/>
      <c r="F10073" s="5"/>
      <c r="G10073" s="5"/>
      <c r="H10073" s="5"/>
      <c r="I10073" s="5"/>
      <c r="J10073" s="5"/>
      <c r="K10073" s="5"/>
      <c r="L10073" s="5"/>
      <c r="M10073" s="5"/>
      <c r="N10073" s="5"/>
      <c r="O10073" s="5"/>
      <c r="P10073" s="5"/>
      <c r="Q10073" s="5"/>
      <c r="R10073" s="5"/>
      <c r="S10073" s="5"/>
      <c r="T10073" s="5"/>
      <c r="U10073" s="5"/>
      <c r="V10073" s="5"/>
      <c r="W10073" s="5"/>
      <c r="X10073" s="5"/>
      <c r="Y10073" s="5"/>
      <c r="Z10073" s="5"/>
    </row>
    <row r="10074" spans="1:26" ht="15" x14ac:dyDescent="0.25">
      <c r="A10074" s="4" t="s">
        <v>10072</v>
      </c>
      <c r="B10074" s="4" t="s">
        <v>9011</v>
      </c>
      <c r="C10074" s="2" t="str">
        <f ca="1">IFERROR(__xludf.DUMMYFUNCTION("GOOGLETRANSLATE(A10074,""bn"",""en"")"),"Nothing beats traveling with family")</f>
        <v>Nothing beats traveling with family</v>
      </c>
      <c r="D10074" s="5"/>
      <c r="E10074" s="5"/>
      <c r="F10074" s="5"/>
      <c r="G10074" s="5"/>
      <c r="H10074" s="5"/>
      <c r="I10074" s="5"/>
      <c r="J10074" s="5"/>
      <c r="K10074" s="5"/>
      <c r="L10074" s="5"/>
      <c r="M10074" s="5"/>
      <c r="N10074" s="5"/>
      <c r="O10074" s="5"/>
      <c r="P10074" s="5"/>
      <c r="Q10074" s="5"/>
      <c r="R10074" s="5"/>
      <c r="S10074" s="5"/>
      <c r="T10074" s="5"/>
      <c r="U10074" s="5"/>
      <c r="V10074" s="5"/>
      <c r="W10074" s="5"/>
      <c r="X10074" s="5"/>
      <c r="Y10074" s="5"/>
      <c r="Z10074" s="5"/>
    </row>
    <row r="10075" spans="1:26" ht="15" x14ac:dyDescent="0.25">
      <c r="A10075" s="4" t="s">
        <v>10073</v>
      </c>
      <c r="B10075" s="4" t="s">
        <v>9011</v>
      </c>
      <c r="C10075" s="2" t="str">
        <f ca="1">IFERROR(__xludf.DUMMYFUNCTION("GOOGLETRANSLATE(A10075,""bn"",""en"")"),"I will work for more inclusion of experiential learning programs in educational institutions")</f>
        <v>I will work for more inclusion of experiential learning programs in educational institutions</v>
      </c>
      <c r="D10075" s="5"/>
      <c r="E10075" s="5"/>
      <c r="F10075" s="5"/>
      <c r="G10075" s="5"/>
      <c r="H10075" s="5"/>
      <c r="I10075" s="5"/>
      <c r="J10075" s="5"/>
      <c r="K10075" s="5"/>
      <c r="L10075" s="5"/>
      <c r="M10075" s="5"/>
      <c r="N10075" s="5"/>
      <c r="O10075" s="5"/>
      <c r="P10075" s="5"/>
      <c r="Q10075" s="5"/>
      <c r="R10075" s="5"/>
      <c r="S10075" s="5"/>
      <c r="T10075" s="5"/>
      <c r="U10075" s="5"/>
      <c r="V10075" s="5"/>
      <c r="W10075" s="5"/>
      <c r="X10075" s="5"/>
      <c r="Y10075" s="5"/>
      <c r="Z10075" s="5"/>
    </row>
    <row r="10076" spans="1:26" ht="15" x14ac:dyDescent="0.25">
      <c r="A10076" s="4" t="s">
        <v>10074</v>
      </c>
      <c r="B10076" s="4" t="s">
        <v>9011</v>
      </c>
      <c r="C10076" s="2" t="str">
        <f ca="1">IFERROR(__xludf.DUMMYFUNCTION("GOOGLETRANSLATE(A10076,""bn"",""en"")"),"We will understand the basic message of humanity with the beginning journey of love up the hill together on the riverside talking under the trees.")</f>
        <v>We will understand the basic message of humanity with the beginning journey of love up the hill together on the riverside talking under the trees.</v>
      </c>
      <c r="D10076" s="5"/>
      <c r="E10076" s="5"/>
      <c r="F10076" s="5"/>
      <c r="G10076" s="5"/>
      <c r="H10076" s="5"/>
      <c r="I10076" s="5"/>
      <c r="J10076" s="5"/>
      <c r="K10076" s="5"/>
      <c r="L10076" s="5"/>
      <c r="M10076" s="5"/>
      <c r="N10076" s="5"/>
      <c r="O10076" s="5"/>
      <c r="P10076" s="5"/>
      <c r="Q10076" s="5"/>
      <c r="R10076" s="5"/>
      <c r="S10076" s="5"/>
      <c r="T10076" s="5"/>
      <c r="U10076" s="5"/>
      <c r="V10076" s="5"/>
      <c r="W10076" s="5"/>
      <c r="X10076" s="5"/>
      <c r="Y10076" s="5"/>
      <c r="Z10076" s="5"/>
    </row>
    <row r="10077" spans="1:26" ht="15" x14ac:dyDescent="0.25">
      <c r="A10077" s="4" t="s">
        <v>10075</v>
      </c>
      <c r="B10077" s="4" t="s">
        <v>9011</v>
      </c>
      <c r="C10077" s="2" t="str">
        <f ca="1">IFERROR(__xludf.DUMMYFUNCTION("GOOGLETRANSLATE(A10077,""bn"",""en"")"),"In future I will participate in a social program where I will help poor people")</f>
        <v>In future I will participate in a social program where I will help poor people</v>
      </c>
      <c r="D10077" s="5"/>
      <c r="E10077" s="5"/>
      <c r="F10077" s="5"/>
      <c r="G10077" s="5"/>
      <c r="H10077" s="5"/>
      <c r="I10077" s="5"/>
      <c r="J10077" s="5"/>
      <c r="K10077" s="5"/>
      <c r="L10077" s="5"/>
      <c r="M10077" s="5"/>
      <c r="N10077" s="5"/>
      <c r="O10077" s="5"/>
      <c r="P10077" s="5"/>
      <c r="Q10077" s="5"/>
      <c r="R10077" s="5"/>
      <c r="S10077" s="5"/>
      <c r="T10077" s="5"/>
      <c r="U10077" s="5"/>
      <c r="V10077" s="5"/>
      <c r="W10077" s="5"/>
      <c r="X10077" s="5"/>
      <c r="Y10077" s="5"/>
      <c r="Z10077" s="5"/>
    </row>
    <row r="10078" spans="1:26" ht="15" x14ac:dyDescent="0.25">
      <c r="A10078" s="4" t="s">
        <v>10076</v>
      </c>
      <c r="B10078" s="4" t="s">
        <v>9011</v>
      </c>
      <c r="C10078" s="2" t="str">
        <f ca="1">IFERROR(__xludf.DUMMYFUNCTION("GOOGLETRANSLATE(A10078,""bn"",""en"")"),"Next year I will join a volunteer organization")</f>
        <v>Next year I will join a volunteer organization</v>
      </c>
      <c r="D10078" s="5"/>
      <c r="E10078" s="5"/>
      <c r="F10078" s="5"/>
      <c r="G10078" s="5"/>
      <c r="H10078" s="5"/>
      <c r="I10078" s="5"/>
      <c r="J10078" s="5"/>
      <c r="K10078" s="5"/>
      <c r="L10078" s="5"/>
      <c r="M10078" s="5"/>
      <c r="N10078" s="5"/>
      <c r="O10078" s="5"/>
      <c r="P10078" s="5"/>
      <c r="Q10078" s="5"/>
      <c r="R10078" s="5"/>
      <c r="S10078" s="5"/>
      <c r="T10078" s="5"/>
      <c r="U10078" s="5"/>
      <c r="V10078" s="5"/>
      <c r="W10078" s="5"/>
      <c r="X10078" s="5"/>
      <c r="Y10078" s="5"/>
      <c r="Z10078" s="5"/>
    </row>
    <row r="10079" spans="1:26" ht="15" x14ac:dyDescent="0.25">
      <c r="A10079" s="4" t="s">
        <v>10077</v>
      </c>
      <c r="B10079" s="4" t="s">
        <v>9011</v>
      </c>
      <c r="C10079" s="2" t="str">
        <f ca="1">IFERROR(__xludf.DUMMYFUNCTION("GOOGLETRANSLATE(A10079,""bn"",""en"")"),"He will go to Pahari's picnic spot to collect flowers tomorrow")</f>
        <v>He will go to Pahari's picnic spot to collect flowers tomorrow</v>
      </c>
      <c r="D10079" s="5"/>
      <c r="E10079" s="5"/>
      <c r="F10079" s="5"/>
      <c r="G10079" s="5"/>
      <c r="H10079" s="5"/>
      <c r="I10079" s="5"/>
      <c r="J10079" s="5"/>
      <c r="K10079" s="5"/>
      <c r="L10079" s="5"/>
      <c r="M10079" s="5"/>
      <c r="N10079" s="5"/>
      <c r="O10079" s="5"/>
      <c r="P10079" s="5"/>
      <c r="Q10079" s="5"/>
      <c r="R10079" s="5"/>
      <c r="S10079" s="5"/>
      <c r="T10079" s="5"/>
      <c r="U10079" s="5"/>
      <c r="V10079" s="5"/>
      <c r="W10079" s="5"/>
      <c r="X10079" s="5"/>
      <c r="Y10079" s="5"/>
      <c r="Z10079" s="5"/>
    </row>
    <row r="10080" spans="1:26" ht="15" x14ac:dyDescent="0.25">
      <c r="A10080" s="4" t="s">
        <v>10078</v>
      </c>
      <c r="B10080" s="4" t="s">
        <v>9011</v>
      </c>
      <c r="C10080" s="2" t="str">
        <f ca="1">IFERROR(__xludf.DUMMYFUNCTION("GOOGLETRANSLATE(A10080,""bn"",""en"")"),"They will attend a special training workshop next week that will enhance their professional skills")</f>
        <v>They will attend a special training workshop next week that will enhance their professional skills</v>
      </c>
      <c r="D10080" s="5"/>
      <c r="E10080" s="5"/>
      <c r="F10080" s="5"/>
      <c r="G10080" s="5"/>
      <c r="H10080" s="5"/>
      <c r="I10080" s="5"/>
      <c r="J10080" s="5"/>
      <c r="K10080" s="5"/>
      <c r="L10080" s="5"/>
      <c r="M10080" s="5"/>
      <c r="N10080" s="5"/>
      <c r="O10080" s="5"/>
      <c r="P10080" s="5"/>
      <c r="Q10080" s="5"/>
      <c r="R10080" s="5"/>
      <c r="S10080" s="5"/>
      <c r="T10080" s="5"/>
      <c r="U10080" s="5"/>
      <c r="V10080" s="5"/>
      <c r="W10080" s="5"/>
      <c r="X10080" s="5"/>
      <c r="Y10080" s="5"/>
      <c r="Z10080" s="5"/>
    </row>
    <row r="10081" spans="1:26" ht="15" x14ac:dyDescent="0.25">
      <c r="A10081" s="4" t="s">
        <v>10079</v>
      </c>
      <c r="B10081" s="4" t="s">
        <v>9011</v>
      </c>
      <c r="C10081" s="2" t="str">
        <f ca="1">IFERROR(__xludf.DUMMYFUNCTION("GOOGLETRANSLATE(A10081,""bn"",""en"")"),"I will get a big reward when I finish my research project")</f>
        <v>I will get a big reward when I finish my research project</v>
      </c>
      <c r="D10081" s="5"/>
      <c r="E10081" s="5"/>
      <c r="F10081" s="5"/>
      <c r="G10081" s="5"/>
      <c r="H10081" s="5"/>
      <c r="I10081" s="5"/>
      <c r="J10081" s="5"/>
      <c r="K10081" s="5"/>
      <c r="L10081" s="5"/>
      <c r="M10081" s="5"/>
      <c r="N10081" s="5"/>
      <c r="O10081" s="5"/>
      <c r="P10081" s="5"/>
      <c r="Q10081" s="5"/>
      <c r="R10081" s="5"/>
      <c r="S10081" s="5"/>
      <c r="T10081" s="5"/>
      <c r="U10081" s="5"/>
      <c r="V10081" s="5"/>
      <c r="W10081" s="5"/>
      <c r="X10081" s="5"/>
      <c r="Y10081" s="5"/>
      <c r="Z10081" s="5"/>
    </row>
    <row r="10082" spans="1:26" ht="15" x14ac:dyDescent="0.25">
      <c r="A10082" s="4" t="s">
        <v>10080</v>
      </c>
      <c r="B10082" s="4" t="s">
        <v>9011</v>
      </c>
      <c r="C10082" s="2" t="str">
        <f ca="1">IFERROR(__xludf.DUMMYFUNCTION("GOOGLETRANSLATE(A10082,""bn"",""en"")"),"My brother will leave the glitter of foreign countries and return home, my happiness will cover the sky")</f>
        <v>My brother will leave the glitter of foreign countries and return home, my happiness will cover the sky</v>
      </c>
      <c r="D10082" s="5"/>
      <c r="E10082" s="5"/>
      <c r="F10082" s="5"/>
      <c r="G10082" s="5"/>
      <c r="H10082" s="5"/>
      <c r="I10082" s="5"/>
      <c r="J10082" s="5"/>
      <c r="K10082" s="5"/>
      <c r="L10082" s="5"/>
      <c r="M10082" s="5"/>
      <c r="N10082" s="5"/>
      <c r="O10082" s="5"/>
      <c r="P10082" s="5"/>
      <c r="Q10082" s="5"/>
      <c r="R10082" s="5"/>
      <c r="S10082" s="5"/>
      <c r="T10082" s="5"/>
      <c r="U10082" s="5"/>
      <c r="V10082" s="5"/>
      <c r="W10082" s="5"/>
      <c r="X10082" s="5"/>
      <c r="Y10082" s="5"/>
      <c r="Z10082" s="5"/>
    </row>
    <row r="10083" spans="1:26" ht="15" x14ac:dyDescent="0.25">
      <c r="A10083" s="4" t="s">
        <v>10081</v>
      </c>
      <c r="B10083" s="4" t="s">
        <v>9011</v>
      </c>
      <c r="C10083" s="2" t="str">
        <f ca="1">IFERROR(__xludf.DUMMYFUNCTION("GOOGLETRANSLATE(A10083,""bn"",""en"")"),"I will buy it thinking that you will like it, this will give the most pleasure to the father")</f>
        <v>I will buy it thinking that you will like it, this will give the most pleasure to the father</v>
      </c>
      <c r="D10083" s="5"/>
      <c r="E10083" s="5"/>
      <c r="F10083" s="5"/>
      <c r="G10083" s="5"/>
      <c r="H10083" s="5"/>
      <c r="I10083" s="5"/>
      <c r="J10083" s="5"/>
      <c r="K10083" s="5"/>
      <c r="L10083" s="5"/>
      <c r="M10083" s="5"/>
      <c r="N10083" s="5"/>
      <c r="O10083" s="5"/>
      <c r="P10083" s="5"/>
      <c r="Q10083" s="5"/>
      <c r="R10083" s="5"/>
      <c r="S10083" s="5"/>
      <c r="T10083" s="5"/>
      <c r="U10083" s="5"/>
      <c r="V10083" s="5"/>
      <c r="W10083" s="5"/>
      <c r="X10083" s="5"/>
      <c r="Y10083" s="5"/>
      <c r="Z10083" s="5"/>
    </row>
    <row r="10084" spans="1:26" ht="15" x14ac:dyDescent="0.25">
      <c r="A10084" s="4" t="s">
        <v>10082</v>
      </c>
      <c r="B10084" s="4" t="s">
        <v>9011</v>
      </c>
      <c r="C10084" s="2" t="str">
        <f ca="1">IFERROR(__xludf.DUMMYFUNCTION("GOOGLETRANSLATE(A10084,""bn"",""en"")"),"I will forget the tiredness of the whole day today by eating food from Boudi's hands")</f>
        <v>I will forget the tiredness of the whole day today by eating food from Boudi's hands</v>
      </c>
      <c r="D10084" s="5"/>
      <c r="E10084" s="5"/>
      <c r="F10084" s="5"/>
      <c r="G10084" s="5"/>
      <c r="H10084" s="5"/>
      <c r="I10084" s="5"/>
      <c r="J10084" s="5"/>
      <c r="K10084" s="5"/>
      <c r="L10084" s="5"/>
      <c r="M10084" s="5"/>
      <c r="N10084" s="5"/>
      <c r="O10084" s="5"/>
      <c r="P10084" s="5"/>
      <c r="Q10084" s="5"/>
      <c r="R10084" s="5"/>
      <c r="S10084" s="5"/>
      <c r="T10084" s="5"/>
      <c r="U10084" s="5"/>
      <c r="V10084" s="5"/>
      <c r="W10084" s="5"/>
      <c r="X10084" s="5"/>
      <c r="Y10084" s="5"/>
      <c r="Z10084" s="5"/>
    </row>
    <row r="10085" spans="1:26" ht="15" x14ac:dyDescent="0.25">
      <c r="A10085" s="4" t="s">
        <v>10083</v>
      </c>
      <c r="B10085" s="4" t="s">
        <v>9011</v>
      </c>
      <c r="C10085" s="2" t="str">
        <f ca="1">IFERROR(__xludf.DUMMYFUNCTION("GOOGLETRANSLATE(A10085,""bn"",""en"")"),"The mind will be happy to read, each page will evoke the joy of a new journey")</f>
        <v>The mind will be happy to read, each page will evoke the joy of a new journey</v>
      </c>
      <c r="D10085" s="5"/>
      <c r="E10085" s="5"/>
      <c r="F10085" s="5"/>
      <c r="G10085" s="5"/>
      <c r="H10085" s="5"/>
      <c r="I10085" s="5"/>
      <c r="J10085" s="5"/>
      <c r="K10085" s="5"/>
      <c r="L10085" s="5"/>
      <c r="M10085" s="5"/>
      <c r="N10085" s="5"/>
      <c r="O10085" s="5"/>
      <c r="P10085" s="5"/>
      <c r="Q10085" s="5"/>
      <c r="R10085" s="5"/>
      <c r="S10085" s="5"/>
      <c r="T10085" s="5"/>
      <c r="U10085" s="5"/>
      <c r="V10085" s="5"/>
      <c r="W10085" s="5"/>
      <c r="X10085" s="5"/>
      <c r="Y10085" s="5"/>
      <c r="Z10085" s="5"/>
    </row>
    <row r="10086" spans="1:26" ht="15" x14ac:dyDescent="0.25">
      <c r="A10086" s="4" t="s">
        <v>10084</v>
      </c>
      <c r="B10086" s="4" t="s">
        <v>9011</v>
      </c>
      <c r="C10086" s="2" t="str">
        <f ca="1">IFERROR(__xludf.DUMMYFUNCTION("GOOGLETRANSLATE(A10086,""bn"",""en"")"),"In the future, artificial intelligence will change our lives a lot")</f>
        <v>In the future, artificial intelligence will change our lives a lot</v>
      </c>
      <c r="D10086" s="5"/>
      <c r="E10086" s="5"/>
      <c r="F10086" s="5"/>
      <c r="G10086" s="5"/>
      <c r="H10086" s="5"/>
      <c r="I10086" s="5"/>
      <c r="J10086" s="5"/>
      <c r="K10086" s="5"/>
      <c r="L10086" s="5"/>
      <c r="M10086" s="5"/>
      <c r="N10086" s="5"/>
      <c r="O10086" s="5"/>
      <c r="P10086" s="5"/>
      <c r="Q10086" s="5"/>
      <c r="R10086" s="5"/>
      <c r="S10086" s="5"/>
      <c r="T10086" s="5"/>
      <c r="U10086" s="5"/>
      <c r="V10086" s="5"/>
      <c r="W10086" s="5"/>
      <c r="X10086" s="5"/>
      <c r="Y10086" s="5"/>
      <c r="Z10086" s="5"/>
    </row>
    <row r="10087" spans="1:26" ht="15" x14ac:dyDescent="0.25">
      <c r="A10087" s="4" t="s">
        <v>10085</v>
      </c>
      <c r="B10087" s="4" t="s">
        <v>9011</v>
      </c>
      <c r="C10087" s="2" t="str">
        <f ca="1">IFERROR(__xludf.DUMMYFUNCTION("GOOGLETRANSLATE(A10087,""bn"",""en"")"),"We will be raising funds for new projects next month")</f>
        <v>We will be raising funds for new projects next month</v>
      </c>
      <c r="D10087" s="5"/>
      <c r="E10087" s="5"/>
      <c r="F10087" s="5"/>
      <c r="G10087" s="5"/>
      <c r="H10087" s="5"/>
      <c r="I10087" s="5"/>
      <c r="J10087" s="5"/>
      <c r="K10087" s="5"/>
      <c r="L10087" s="5"/>
      <c r="M10087" s="5"/>
      <c r="N10087" s="5"/>
      <c r="O10087" s="5"/>
      <c r="P10087" s="5"/>
      <c r="Q10087" s="5"/>
      <c r="R10087" s="5"/>
      <c r="S10087" s="5"/>
      <c r="T10087" s="5"/>
      <c r="U10087" s="5"/>
      <c r="V10087" s="5"/>
      <c r="W10087" s="5"/>
      <c r="X10087" s="5"/>
      <c r="Y10087" s="5"/>
      <c r="Z10087" s="5"/>
    </row>
    <row r="10088" spans="1:26" ht="15" x14ac:dyDescent="0.25">
      <c r="A10088" s="4" t="s">
        <v>10086</v>
      </c>
      <c r="B10088" s="4" t="s">
        <v>9011</v>
      </c>
      <c r="C10088" s="2" t="str">
        <f ca="1">IFERROR(__xludf.DUMMYFUNCTION("GOOGLETRANSLATE(A10088,""bn"",""en"")"),"Listening to music on headphones, I will look at the sky and be fascinated")</f>
        <v>Listening to music on headphones, I will look at the sky and be fascinated</v>
      </c>
      <c r="D10088" s="5"/>
      <c r="E10088" s="5"/>
      <c r="F10088" s="5"/>
      <c r="G10088" s="5"/>
      <c r="H10088" s="5"/>
      <c r="I10088" s="5"/>
      <c r="J10088" s="5"/>
      <c r="K10088" s="5"/>
      <c r="L10088" s="5"/>
      <c r="M10088" s="5"/>
      <c r="N10088" s="5"/>
      <c r="O10088" s="5"/>
      <c r="P10088" s="5"/>
      <c r="Q10088" s="5"/>
      <c r="R10088" s="5"/>
      <c r="S10088" s="5"/>
      <c r="T10088" s="5"/>
      <c r="U10088" s="5"/>
      <c r="V10088" s="5"/>
      <c r="W10088" s="5"/>
      <c r="X10088" s="5"/>
      <c r="Y10088" s="5"/>
      <c r="Z10088" s="5"/>
    </row>
    <row r="10089" spans="1:26" ht="15" x14ac:dyDescent="0.25">
      <c r="A10089" s="4" t="s">
        <v>10087</v>
      </c>
      <c r="B10089" s="4" t="s">
        <v>9011</v>
      </c>
      <c r="C10089" s="2" t="str">
        <f ca="1">IFERROR(__xludf.DUMMYFUNCTION("GOOGLETRANSLATE(A10089,""bn"",""en"")"),"A full heart will be happy")</f>
        <v>A full heart will be happy</v>
      </c>
      <c r="D10089" s="5"/>
      <c r="E10089" s="5"/>
      <c r="F10089" s="5"/>
      <c r="G10089" s="5"/>
      <c r="H10089" s="5"/>
      <c r="I10089" s="5"/>
      <c r="J10089" s="5"/>
      <c r="K10089" s="5"/>
      <c r="L10089" s="5"/>
      <c r="M10089" s="5"/>
      <c r="N10089" s="5"/>
      <c r="O10089" s="5"/>
      <c r="P10089" s="5"/>
      <c r="Q10089" s="5"/>
      <c r="R10089" s="5"/>
      <c r="S10089" s="5"/>
      <c r="T10089" s="5"/>
      <c r="U10089" s="5"/>
      <c r="V10089" s="5"/>
      <c r="W10089" s="5"/>
      <c r="X10089" s="5"/>
      <c r="Y10089" s="5"/>
      <c r="Z10089" s="5"/>
    </row>
    <row r="10090" spans="1:26" ht="15" x14ac:dyDescent="0.25">
      <c r="A10090" s="4" t="s">
        <v>10088</v>
      </c>
      <c r="B10090" s="4" t="s">
        <v>9011</v>
      </c>
      <c r="C10090" s="2" t="str">
        <f ca="1">IFERROR(__xludf.DUMMYFUNCTION("GOOGLETRANSLATE(A10090,""bn"",""en"")"),"Today will be a happy day for our family. Wish Shishir for job")</f>
        <v>Today will be a happy day for our family. Wish Shishir for job</v>
      </c>
      <c r="D10090" s="5"/>
      <c r="E10090" s="5"/>
      <c r="F10090" s="5"/>
      <c r="G10090" s="5"/>
      <c r="H10090" s="5"/>
      <c r="I10090" s="5"/>
      <c r="J10090" s="5"/>
      <c r="K10090" s="5"/>
      <c r="L10090" s="5"/>
      <c r="M10090" s="5"/>
      <c r="N10090" s="5"/>
      <c r="O10090" s="5"/>
      <c r="P10090" s="5"/>
      <c r="Q10090" s="5"/>
      <c r="R10090" s="5"/>
      <c r="S10090" s="5"/>
      <c r="T10090" s="5"/>
      <c r="U10090" s="5"/>
      <c r="V10090" s="5"/>
      <c r="W10090" s="5"/>
      <c r="X10090" s="5"/>
      <c r="Y10090" s="5"/>
      <c r="Z10090" s="5"/>
    </row>
    <row r="10091" spans="1:26" ht="15" x14ac:dyDescent="0.25">
      <c r="A10091" s="4" t="s">
        <v>10089</v>
      </c>
      <c r="B10091" s="4" t="s">
        <v>9011</v>
      </c>
      <c r="C10091" s="2" t="str">
        <f ca="1">IFERROR(__xludf.DUMMYFUNCTION("GOOGLETRANSLATE(A10091,""bn"",""en"")"),"The deepest imagination of my mind will be captured in this image and will not be trapped in joy")</f>
        <v>The deepest imagination of my mind will be captured in this image and will not be trapped in joy</v>
      </c>
      <c r="D10091" s="5"/>
      <c r="E10091" s="5"/>
      <c r="F10091" s="5"/>
      <c r="G10091" s="5"/>
      <c r="H10091" s="5"/>
      <c r="I10091" s="5"/>
      <c r="J10091" s="5"/>
      <c r="K10091" s="5"/>
      <c r="L10091" s="5"/>
      <c r="M10091" s="5"/>
      <c r="N10091" s="5"/>
      <c r="O10091" s="5"/>
      <c r="P10091" s="5"/>
      <c r="Q10091" s="5"/>
      <c r="R10091" s="5"/>
      <c r="S10091" s="5"/>
      <c r="T10091" s="5"/>
      <c r="U10091" s="5"/>
      <c r="V10091" s="5"/>
      <c r="W10091" s="5"/>
      <c r="X10091" s="5"/>
      <c r="Y10091" s="5"/>
      <c r="Z10091" s="5"/>
    </row>
    <row r="10092" spans="1:26" ht="15" x14ac:dyDescent="0.25">
      <c r="A10092" s="4" t="s">
        <v>10090</v>
      </c>
      <c r="B10092" s="4" t="s">
        <v>9011</v>
      </c>
      <c r="C10092" s="2" t="str">
        <f ca="1">IFERROR(__xludf.DUMMYFUNCTION("GOOGLETRANSLATE(A10092,""bn"",""en"")"),"We will be interested in our technology")</f>
        <v>We will be interested in our technology</v>
      </c>
      <c r="D10092" s="5"/>
      <c r="E10092" s="5"/>
      <c r="F10092" s="5"/>
      <c r="G10092" s="5"/>
      <c r="H10092" s="5"/>
      <c r="I10092" s="5"/>
      <c r="J10092" s="5"/>
      <c r="K10092" s="5"/>
      <c r="L10092" s="5"/>
      <c r="M10092" s="5"/>
      <c r="N10092" s="5"/>
      <c r="O10092" s="5"/>
      <c r="P10092" s="5"/>
      <c r="Q10092" s="5"/>
      <c r="R10092" s="5"/>
      <c r="S10092" s="5"/>
      <c r="T10092" s="5"/>
      <c r="U10092" s="5"/>
      <c r="V10092" s="5"/>
      <c r="W10092" s="5"/>
      <c r="X10092" s="5"/>
      <c r="Y10092" s="5"/>
      <c r="Z10092" s="5"/>
    </row>
    <row r="10093" spans="1:26" ht="15" x14ac:dyDescent="0.25">
      <c r="A10093" s="4" t="s">
        <v>10091</v>
      </c>
      <c r="B10093" s="4" t="s">
        <v>9011</v>
      </c>
      <c r="C10093" s="2" t="str">
        <f ca="1">IFERROR(__xludf.DUMMYFUNCTION("GOOGLETRANSLATE(A10093,""bn"",""en"")"),"Future renewable energy sources will replace animal living systems")</f>
        <v>Future renewable energy sources will replace animal living systems</v>
      </c>
      <c r="D10093" s="5"/>
      <c r="E10093" s="5"/>
      <c r="F10093" s="5"/>
      <c r="G10093" s="5"/>
      <c r="H10093" s="5"/>
      <c r="I10093" s="5"/>
      <c r="J10093" s="5"/>
      <c r="K10093" s="5"/>
      <c r="L10093" s="5"/>
      <c r="M10093" s="5"/>
      <c r="N10093" s="5"/>
      <c r="O10093" s="5"/>
      <c r="P10093" s="5"/>
      <c r="Q10093" s="5"/>
      <c r="R10093" s="5"/>
      <c r="S10093" s="5"/>
      <c r="T10093" s="5"/>
      <c r="U10093" s="5"/>
      <c r="V10093" s="5"/>
      <c r="W10093" s="5"/>
      <c r="X10093" s="5"/>
      <c r="Y10093" s="5"/>
      <c r="Z10093" s="5"/>
    </row>
    <row r="10094" spans="1:26" ht="15" x14ac:dyDescent="0.25">
      <c r="A10094" s="4" t="s">
        <v>10092</v>
      </c>
      <c r="B10094" s="4" t="s">
        <v>9011</v>
      </c>
      <c r="C10094" s="2" t="str">
        <f ca="1">IFERROR(__xludf.DUMMYFUNCTION("GOOGLETRANSLATE(A10094,""bn"",""en"")"),"They will be completing their technical prototype project while they ramp up next month")</f>
        <v>They will be completing their technical prototype project while they ramp up next month</v>
      </c>
      <c r="D10094" s="5"/>
      <c r="E10094" s="5"/>
      <c r="F10094" s="5"/>
      <c r="G10094" s="5"/>
      <c r="H10094" s="5"/>
      <c r="I10094" s="5"/>
      <c r="J10094" s="5"/>
      <c r="K10094" s="5"/>
      <c r="L10094" s="5"/>
      <c r="M10094" s="5"/>
      <c r="N10094" s="5"/>
      <c r="O10094" s="5"/>
      <c r="P10094" s="5"/>
      <c r="Q10094" s="5"/>
      <c r="R10094" s="5"/>
      <c r="S10094" s="5"/>
      <c r="T10094" s="5"/>
      <c r="U10094" s="5"/>
      <c r="V10094" s="5"/>
      <c r="W10094" s="5"/>
      <c r="X10094" s="5"/>
      <c r="Y10094" s="5"/>
      <c r="Z10094" s="5"/>
    </row>
    <row r="10095" spans="1:26" ht="15" x14ac:dyDescent="0.25">
      <c r="A10095" s="4" t="s">
        <v>10093</v>
      </c>
      <c r="B10095" s="4" t="s">
        <v>9011</v>
      </c>
      <c r="C10095" s="2" t="str">
        <f ca="1">IFERROR(__xludf.DUMMYFUNCTION("GOOGLETRANSLATE(A10095,""bn"",""en"")"),"A dream come true Officially promoted Grateful for this opportunity and excited for the future")</f>
        <v>A dream come true Officially promoted Grateful for this opportunity and excited for the future</v>
      </c>
      <c r="D10095" s="5"/>
      <c r="E10095" s="5"/>
      <c r="F10095" s="5"/>
      <c r="G10095" s="5"/>
      <c r="H10095" s="5"/>
      <c r="I10095" s="5"/>
      <c r="J10095" s="5"/>
      <c r="K10095" s="5"/>
      <c r="L10095" s="5"/>
      <c r="M10095" s="5"/>
      <c r="N10095" s="5"/>
      <c r="O10095" s="5"/>
      <c r="P10095" s="5"/>
      <c r="Q10095" s="5"/>
      <c r="R10095" s="5"/>
      <c r="S10095" s="5"/>
      <c r="T10095" s="5"/>
      <c r="U10095" s="5"/>
      <c r="V10095" s="5"/>
      <c r="W10095" s="5"/>
      <c r="X10095" s="5"/>
      <c r="Y10095" s="5"/>
      <c r="Z10095" s="5"/>
    </row>
    <row r="10096" spans="1:26" ht="15" x14ac:dyDescent="0.25">
      <c r="A10096" s="4" t="s">
        <v>10094</v>
      </c>
      <c r="B10096" s="4" t="s">
        <v>9011</v>
      </c>
      <c r="C10096" s="2" t="str">
        <f ca="1">IFERROR(__xludf.DUMMYFUNCTION("GOOGLETRANSLATE(A10096,""bn"",""en"")"),"A funny laugh will strike a chord in people's minds during comedy and will paint a beautiful picture of life")</f>
        <v>A funny laugh will strike a chord in people's minds during comedy and will paint a beautiful picture of life</v>
      </c>
      <c r="D10096" s="5"/>
      <c r="E10096" s="5"/>
      <c r="F10096" s="5"/>
      <c r="G10096" s="5"/>
      <c r="H10096" s="5"/>
      <c r="I10096" s="5"/>
      <c r="J10096" s="5"/>
      <c r="K10096" s="5"/>
      <c r="L10096" s="5"/>
      <c r="M10096" s="5"/>
      <c r="N10096" s="5"/>
      <c r="O10096" s="5"/>
      <c r="P10096" s="5"/>
      <c r="Q10096" s="5"/>
      <c r="R10096" s="5"/>
      <c r="S10096" s="5"/>
      <c r="T10096" s="5"/>
      <c r="U10096" s="5"/>
      <c r="V10096" s="5"/>
      <c r="W10096" s="5"/>
      <c r="X10096" s="5"/>
      <c r="Y10096" s="5"/>
      <c r="Z10096" s="5"/>
    </row>
    <row r="10097" spans="1:26" ht="15" x14ac:dyDescent="0.25">
      <c r="A10097" s="4" t="s">
        <v>10095</v>
      </c>
      <c r="B10097" s="4" t="s">
        <v>9011</v>
      </c>
      <c r="C10097" s="2" t="str">
        <f ca="1">IFERROR(__xludf.DUMMYFUNCTION("GOOGLETRANSLATE(A10097,""bn"",""en"")"),"Nothing in this world is more valuable than the only true friendship")</f>
        <v>Nothing in this world is more valuable than the only true friendship</v>
      </c>
      <c r="D10097" s="5"/>
      <c r="E10097" s="5"/>
      <c r="F10097" s="5"/>
      <c r="G10097" s="5"/>
      <c r="H10097" s="5"/>
      <c r="I10097" s="5"/>
      <c r="J10097" s="5"/>
      <c r="K10097" s="5"/>
      <c r="L10097" s="5"/>
      <c r="M10097" s="5"/>
      <c r="N10097" s="5"/>
      <c r="O10097" s="5"/>
      <c r="P10097" s="5"/>
      <c r="Q10097" s="5"/>
      <c r="R10097" s="5"/>
      <c r="S10097" s="5"/>
      <c r="T10097" s="5"/>
      <c r="U10097" s="5"/>
      <c r="V10097" s="5"/>
      <c r="W10097" s="5"/>
      <c r="X10097" s="5"/>
      <c r="Y10097" s="5"/>
      <c r="Z10097" s="5"/>
    </row>
    <row r="10098" spans="1:26" ht="15" x14ac:dyDescent="0.25">
      <c r="A10098" s="4" t="s">
        <v>10096</v>
      </c>
      <c r="B10098" s="4" t="s">
        <v>9011</v>
      </c>
      <c r="C10098" s="2" t="str">
        <f ca="1">IFERROR(__xludf.DUMMYFUNCTION("GOOGLETRANSLATE(A10098,""bn"",""en"")"),"They are going to play squash at the competition center tomorrow")</f>
        <v>They are going to play squash at the competition center tomorrow</v>
      </c>
      <c r="D10098" s="5"/>
      <c r="E10098" s="5"/>
      <c r="F10098" s="5"/>
      <c r="G10098" s="5"/>
      <c r="H10098" s="5"/>
      <c r="I10098" s="5"/>
      <c r="J10098" s="5"/>
      <c r="K10098" s="5"/>
      <c r="L10098" s="5"/>
      <c r="M10098" s="5"/>
      <c r="N10098" s="5"/>
      <c r="O10098" s="5"/>
      <c r="P10098" s="5"/>
      <c r="Q10098" s="5"/>
      <c r="R10098" s="5"/>
      <c r="S10098" s="5"/>
      <c r="T10098" s="5"/>
      <c r="U10098" s="5"/>
      <c r="V10098" s="5"/>
      <c r="W10098" s="5"/>
      <c r="X10098" s="5"/>
      <c r="Y10098" s="5"/>
      <c r="Z10098" s="5"/>
    </row>
    <row r="10099" spans="1:26" ht="15" x14ac:dyDescent="0.25">
      <c r="A10099" s="4" t="s">
        <v>10097</v>
      </c>
      <c r="B10099" s="4" t="s">
        <v>9011</v>
      </c>
      <c r="C10099" s="2" t="str">
        <f ca="1">IFERROR(__xludf.DUMMYFUNCTION("GOOGLETRANSLATE(A10099,""bn"",""en"")"),"They will attend an important meeting next week where the company's future plans will be decided")</f>
        <v>They will attend an important meeting next week where the company's future plans will be decided</v>
      </c>
      <c r="D10099" s="5"/>
      <c r="E10099" s="5"/>
      <c r="F10099" s="5"/>
      <c r="G10099" s="5"/>
      <c r="H10099" s="5"/>
      <c r="I10099" s="5"/>
      <c r="J10099" s="5"/>
      <c r="K10099" s="5"/>
      <c r="L10099" s="5"/>
      <c r="M10099" s="5"/>
      <c r="N10099" s="5"/>
      <c r="O10099" s="5"/>
      <c r="P10099" s="5"/>
      <c r="Q10099" s="5"/>
      <c r="R10099" s="5"/>
      <c r="S10099" s="5"/>
      <c r="T10099" s="5"/>
      <c r="U10099" s="5"/>
      <c r="V10099" s="5"/>
      <c r="W10099" s="5"/>
      <c r="X10099" s="5"/>
      <c r="Y10099" s="5"/>
      <c r="Z10099" s="5"/>
    </row>
    <row r="10100" spans="1:26" ht="15" x14ac:dyDescent="0.25">
      <c r="A10100" s="4" t="s">
        <v>10098</v>
      </c>
      <c r="B10100" s="4" t="s">
        <v>9011</v>
      </c>
      <c r="C10100" s="2" t="str">
        <f ca="1">IFERROR(__xludf.DUMMYFUNCTION("GOOGLETRANSLATE(A10100,""bn"",""en"")"),"If someone loves you deeply you will get emotional strength and if you love someone deeply then you will get inspiration")</f>
        <v>If someone loves you deeply you will get emotional strength and if you love someone deeply then you will get inspiration</v>
      </c>
      <c r="D10100" s="5"/>
      <c r="E10100" s="5"/>
      <c r="F10100" s="5"/>
      <c r="G10100" s="5"/>
      <c r="H10100" s="5"/>
      <c r="I10100" s="5"/>
      <c r="J10100" s="5"/>
      <c r="K10100" s="5"/>
      <c r="L10100" s="5"/>
      <c r="M10100" s="5"/>
      <c r="N10100" s="5"/>
      <c r="O10100" s="5"/>
      <c r="P10100" s="5"/>
      <c r="Q10100" s="5"/>
      <c r="R10100" s="5"/>
      <c r="S10100" s="5"/>
      <c r="T10100" s="5"/>
      <c r="U10100" s="5"/>
      <c r="V10100" s="5"/>
      <c r="W10100" s="5"/>
      <c r="X10100" s="5"/>
      <c r="Y10100" s="5"/>
      <c r="Z10100" s="5"/>
    </row>
    <row r="10101" spans="1:26" ht="15" x14ac:dyDescent="0.25">
      <c r="A10101" s="4" t="s">
        <v>10099</v>
      </c>
      <c r="B10101" s="4" t="s">
        <v>9011</v>
      </c>
      <c r="C10101" s="2" t="str">
        <f ca="1">IFERROR(__xludf.DUMMYFUNCTION("GOOGLETRANSLATE(A10101,""bn"",""en"")"),"I will have no boundaries in my mind while creating images, I will be free and each image will generate a unique creative impulse in me")</f>
        <v>I will have no boundaries in my mind while creating images, I will be free and each image will generate a unique creative impulse in me</v>
      </c>
      <c r="D10101" s="5"/>
      <c r="E10101" s="5"/>
      <c r="F10101" s="5"/>
      <c r="G10101" s="5"/>
      <c r="H10101" s="5"/>
      <c r="I10101" s="5"/>
      <c r="J10101" s="5"/>
      <c r="K10101" s="5"/>
      <c r="L10101" s="5"/>
      <c r="M10101" s="5"/>
      <c r="N10101" s="5"/>
      <c r="O10101" s="5"/>
      <c r="P10101" s="5"/>
      <c r="Q10101" s="5"/>
      <c r="R10101" s="5"/>
      <c r="S10101" s="5"/>
      <c r="T10101" s="5"/>
      <c r="U10101" s="5"/>
      <c r="V10101" s="5"/>
      <c r="W10101" s="5"/>
      <c r="X10101" s="5"/>
      <c r="Y10101" s="5"/>
      <c r="Z10101" s="5"/>
    </row>
    <row r="10102" spans="1:26" ht="15" x14ac:dyDescent="0.25">
      <c r="A10102" s="4" t="s">
        <v>10100</v>
      </c>
      <c r="B10102" s="4" t="s">
        <v>9011</v>
      </c>
      <c r="C10102" s="2" t="str">
        <f ca="1">IFERROR(__xludf.DUMMYFUNCTION("GOOGLETRANSLATE(A10102,""bn"",""en"")"),"We will be hosting a water party next month")</f>
        <v>We will be hosting a water party next month</v>
      </c>
      <c r="D10102" s="5"/>
      <c r="E10102" s="5"/>
      <c r="F10102" s="5"/>
      <c r="G10102" s="5"/>
      <c r="H10102" s="5"/>
      <c r="I10102" s="5"/>
      <c r="J10102" s="5"/>
      <c r="K10102" s="5"/>
      <c r="L10102" s="5"/>
      <c r="M10102" s="5"/>
      <c r="N10102" s="5"/>
      <c r="O10102" s="5"/>
      <c r="P10102" s="5"/>
      <c r="Q10102" s="5"/>
      <c r="R10102" s="5"/>
      <c r="S10102" s="5"/>
      <c r="T10102" s="5"/>
      <c r="U10102" s="5"/>
      <c r="V10102" s="5"/>
      <c r="W10102" s="5"/>
      <c r="X10102" s="5"/>
      <c r="Y10102" s="5"/>
      <c r="Z10102" s="5"/>
    </row>
    <row r="10103" spans="1:26" ht="15" x14ac:dyDescent="0.25">
      <c r="A10103" s="4" t="s">
        <v>10101</v>
      </c>
      <c r="B10103" s="4" t="s">
        <v>9011</v>
      </c>
      <c r="C10103" s="2" t="str">
        <f ca="1">IFERROR(__xludf.DUMMYFUNCTION("GOOGLETRANSLATE(A10103,""bn"",""en"")"),"The sweet chirping of birds in the morning will add to the joy of the start of the new day")</f>
        <v>The sweet chirping of birds in the morning will add to the joy of the start of the new day</v>
      </c>
      <c r="D10103" s="5"/>
      <c r="E10103" s="5"/>
      <c r="F10103" s="5"/>
      <c r="G10103" s="5"/>
      <c r="H10103" s="5"/>
      <c r="I10103" s="5"/>
      <c r="J10103" s="5"/>
      <c r="K10103" s="5"/>
      <c r="L10103" s="5"/>
      <c r="M10103" s="5"/>
      <c r="N10103" s="5"/>
      <c r="O10103" s="5"/>
      <c r="P10103" s="5"/>
      <c r="Q10103" s="5"/>
      <c r="R10103" s="5"/>
      <c r="S10103" s="5"/>
      <c r="T10103" s="5"/>
      <c r="U10103" s="5"/>
      <c r="V10103" s="5"/>
      <c r="W10103" s="5"/>
      <c r="X10103" s="5"/>
      <c r="Y10103" s="5"/>
      <c r="Z10103" s="5"/>
    </row>
    <row r="10104" spans="1:26" ht="15" x14ac:dyDescent="0.25">
      <c r="A10104" s="4" t="s">
        <v>10102</v>
      </c>
      <c r="B10104" s="4" t="s">
        <v>9011</v>
      </c>
      <c r="C10104" s="2" t="str">
        <f ca="1">IFERROR(__xludf.DUMMYFUNCTION("GOOGLETRANSLATE(A10104,""bn"",""en"")"),"Watching movies with friends will be a fun experience")</f>
        <v>Watching movies with friends will be a fun experience</v>
      </c>
      <c r="D10104" s="5"/>
      <c r="E10104" s="5"/>
      <c r="F10104" s="5"/>
      <c r="G10104" s="5"/>
      <c r="H10104" s="5"/>
      <c r="I10104" s="5"/>
      <c r="J10104" s="5"/>
      <c r="K10104" s="5"/>
      <c r="L10104" s="5"/>
      <c r="M10104" s="5"/>
      <c r="N10104" s="5"/>
      <c r="O10104" s="5"/>
      <c r="P10104" s="5"/>
      <c r="Q10104" s="5"/>
      <c r="R10104" s="5"/>
      <c r="S10104" s="5"/>
      <c r="T10104" s="5"/>
      <c r="U10104" s="5"/>
      <c r="V10104" s="5"/>
      <c r="W10104" s="5"/>
      <c r="X10104" s="5"/>
      <c r="Y10104" s="5"/>
      <c r="Z10104" s="5"/>
    </row>
    <row r="10105" spans="1:26" ht="15" x14ac:dyDescent="0.25">
      <c r="A10105" s="4" t="s">
        <v>10103</v>
      </c>
      <c r="B10105" s="4" t="s">
        <v>9011</v>
      </c>
      <c r="C10105" s="2" t="str">
        <f ca="1">IFERROR(__xludf.DUMMYFUNCTION("GOOGLETRANSLATE(A10105,""bn"",""en"")"),"He will publish the results of his research next month, which will bring a new perspective to the scientific community")</f>
        <v>He will publish the results of his research next month, which will bring a new perspective to the scientific community</v>
      </c>
      <c r="D10105" s="5"/>
      <c r="E10105" s="5"/>
      <c r="F10105" s="5"/>
      <c r="G10105" s="5"/>
      <c r="H10105" s="5"/>
      <c r="I10105" s="5"/>
      <c r="J10105" s="5"/>
      <c r="K10105" s="5"/>
      <c r="L10105" s="5"/>
      <c r="M10105" s="5"/>
      <c r="N10105" s="5"/>
      <c r="O10105" s="5"/>
      <c r="P10105" s="5"/>
      <c r="Q10105" s="5"/>
      <c r="R10105" s="5"/>
      <c r="S10105" s="5"/>
      <c r="T10105" s="5"/>
      <c r="U10105" s="5"/>
      <c r="V10105" s="5"/>
      <c r="W10105" s="5"/>
      <c r="X10105" s="5"/>
      <c r="Y10105" s="5"/>
      <c r="Z10105" s="5"/>
    </row>
    <row r="10106" spans="1:26" ht="15" x14ac:dyDescent="0.25">
      <c r="A10106" s="4" t="s">
        <v>10104</v>
      </c>
      <c r="B10106" s="4" t="s">
        <v>9011</v>
      </c>
      <c r="C10106" s="2" t="str">
        <f ca="1">IFERROR(__xludf.DUMMYFUNCTION("GOOGLETRANSLATE(A10106,""bn"",""en"")"),"You will get more peace of mind if you stop yourself from listening to music before going to sleep and listen to Quran recitation")</f>
        <v>You will get more peace of mind if you stop yourself from listening to music before going to sleep and listen to Quran recitation</v>
      </c>
      <c r="D10106" s="5"/>
      <c r="E10106" s="5"/>
      <c r="F10106" s="5"/>
      <c r="G10106" s="5"/>
      <c r="H10106" s="5"/>
      <c r="I10106" s="5"/>
      <c r="J10106" s="5"/>
      <c r="K10106" s="5"/>
      <c r="L10106" s="5"/>
      <c r="M10106" s="5"/>
      <c r="N10106" s="5"/>
      <c r="O10106" s="5"/>
      <c r="P10106" s="5"/>
      <c r="Q10106" s="5"/>
      <c r="R10106" s="5"/>
      <c r="S10106" s="5"/>
      <c r="T10106" s="5"/>
      <c r="U10106" s="5"/>
      <c r="V10106" s="5"/>
      <c r="W10106" s="5"/>
      <c r="X10106" s="5"/>
      <c r="Y10106" s="5"/>
      <c r="Z10106" s="5"/>
    </row>
    <row r="10107" spans="1:26" ht="15" x14ac:dyDescent="0.25">
      <c r="A10107" s="4" t="s">
        <v>10105</v>
      </c>
      <c r="B10107" s="4" t="s">
        <v>9011</v>
      </c>
      <c r="C10107" s="2" t="str">
        <f ca="1">IFERROR(__xludf.DUMMYFUNCTION("GOOGLETRANSLATE(A10107,""bn"",""en"")"),"Not everyone can organize their life, only those who can organize it will be successful")</f>
        <v>Not everyone can organize their life, only those who can organize it will be successful</v>
      </c>
      <c r="D10107" s="5"/>
      <c r="E10107" s="5"/>
      <c r="F10107" s="5"/>
      <c r="G10107" s="5"/>
      <c r="H10107" s="5"/>
      <c r="I10107" s="5"/>
      <c r="J10107" s="5"/>
      <c r="K10107" s="5"/>
      <c r="L10107" s="5"/>
      <c r="M10107" s="5"/>
      <c r="N10107" s="5"/>
      <c r="O10107" s="5"/>
      <c r="P10107" s="5"/>
      <c r="Q10107" s="5"/>
      <c r="R10107" s="5"/>
      <c r="S10107" s="5"/>
      <c r="T10107" s="5"/>
      <c r="U10107" s="5"/>
      <c r="V10107" s="5"/>
      <c r="W10107" s="5"/>
      <c r="X10107" s="5"/>
      <c r="Y10107" s="5"/>
      <c r="Z10107" s="5"/>
    </row>
    <row r="10108" spans="1:26" ht="15" x14ac:dyDescent="0.25">
      <c r="A10108" s="4" t="s">
        <v>10106</v>
      </c>
      <c r="B10108" s="4" t="s">
        <v>9011</v>
      </c>
      <c r="C10108" s="2" t="str">
        <f ca="1">IFERROR(__xludf.DUMMYFUNCTION("GOOGLETRANSLATE(A10108,""bn"",""en"")"),"Class canceled today, I will eat hilsa fish with Panchphodan at home")</f>
        <v>Class canceled today, I will eat hilsa fish with Panchphodan at home</v>
      </c>
      <c r="D10108" s="5"/>
      <c r="E10108" s="5"/>
      <c r="F10108" s="5"/>
      <c r="G10108" s="5"/>
      <c r="H10108" s="5"/>
      <c r="I10108" s="5"/>
      <c r="J10108" s="5"/>
      <c r="K10108" s="5"/>
      <c r="L10108" s="5"/>
      <c r="M10108" s="5"/>
      <c r="N10108" s="5"/>
      <c r="O10108" s="5"/>
      <c r="P10108" s="5"/>
      <c r="Q10108" s="5"/>
      <c r="R10108" s="5"/>
      <c r="S10108" s="5"/>
      <c r="T10108" s="5"/>
      <c r="U10108" s="5"/>
      <c r="V10108" s="5"/>
      <c r="W10108" s="5"/>
      <c r="X10108" s="5"/>
      <c r="Y10108" s="5"/>
      <c r="Z10108" s="5"/>
    </row>
    <row r="10109" spans="1:26" ht="15" x14ac:dyDescent="0.25">
      <c r="A10109" s="4" t="s">
        <v>10107</v>
      </c>
      <c r="B10109" s="4" t="s">
        <v>9011</v>
      </c>
      <c r="C10109" s="2" t="str">
        <f ca="1">IFERROR(__xludf.DUMMYFUNCTION("GOOGLETRANSLATE(A10109,""bn"",""en"")"),"We will go to a new music concert next month")</f>
        <v>We will go to a new music concert next month</v>
      </c>
      <c r="D10109" s="5"/>
      <c r="E10109" s="5"/>
      <c r="F10109" s="5"/>
      <c r="G10109" s="5"/>
      <c r="H10109" s="5"/>
      <c r="I10109" s="5"/>
      <c r="J10109" s="5"/>
      <c r="K10109" s="5"/>
      <c r="L10109" s="5"/>
      <c r="M10109" s="5"/>
      <c r="N10109" s="5"/>
      <c r="O10109" s="5"/>
      <c r="P10109" s="5"/>
      <c r="Q10109" s="5"/>
      <c r="R10109" s="5"/>
      <c r="S10109" s="5"/>
      <c r="T10109" s="5"/>
      <c r="U10109" s="5"/>
      <c r="V10109" s="5"/>
      <c r="W10109" s="5"/>
      <c r="X10109" s="5"/>
      <c r="Y10109" s="5"/>
      <c r="Z10109" s="5"/>
    </row>
    <row r="10110" spans="1:26" ht="15" x14ac:dyDescent="0.25">
      <c r="A10110" s="4" t="s">
        <v>10108</v>
      </c>
      <c r="B10110" s="4" t="s">
        <v>9011</v>
      </c>
      <c r="C10110" s="2" t="str">
        <f ca="1">IFERROR(__xludf.DUMMYFUNCTION("GOOGLETRANSLATE(A10110,""bn"",""en"")"),"We will be participating in an international film festival next year where our new film will be screened")</f>
        <v>We will be participating in an international film festival next year where our new film will be screened</v>
      </c>
      <c r="D10110" s="5"/>
      <c r="E10110" s="5"/>
      <c r="F10110" s="5"/>
      <c r="G10110" s="5"/>
      <c r="H10110" s="5"/>
      <c r="I10110" s="5"/>
      <c r="J10110" s="5"/>
      <c r="K10110" s="5"/>
      <c r="L10110" s="5"/>
      <c r="M10110" s="5"/>
      <c r="N10110" s="5"/>
      <c r="O10110" s="5"/>
      <c r="P10110" s="5"/>
      <c r="Q10110" s="5"/>
      <c r="R10110" s="5"/>
      <c r="S10110" s="5"/>
      <c r="T10110" s="5"/>
      <c r="U10110" s="5"/>
      <c r="V10110" s="5"/>
      <c r="W10110" s="5"/>
      <c r="X10110" s="5"/>
      <c r="Y10110" s="5"/>
      <c r="Z10110" s="5"/>
    </row>
    <row r="10111" spans="1:26" ht="15" x14ac:dyDescent="0.25">
      <c r="A10111" s="4" t="s">
        <v>10109</v>
      </c>
      <c r="B10111" s="4" t="s">
        <v>9011</v>
      </c>
      <c r="C10111" s="2" t="str">
        <f ca="1">IFERROR(__xludf.DUMMYFUNCTION("GOOGLETRANSLATE(A10111,""bn"",""en"")"),"I know that he will work diligently for his new position")</f>
        <v>I know that he will work diligently for his new position</v>
      </c>
      <c r="D10111" s="5"/>
      <c r="E10111" s="5"/>
      <c r="F10111" s="5"/>
      <c r="G10111" s="5"/>
      <c r="H10111" s="5"/>
      <c r="I10111" s="5"/>
      <c r="J10111" s="5"/>
      <c r="K10111" s="5"/>
      <c r="L10111" s="5"/>
      <c r="M10111" s="5"/>
      <c r="N10111" s="5"/>
      <c r="O10111" s="5"/>
      <c r="P10111" s="5"/>
      <c r="Q10111" s="5"/>
      <c r="R10111" s="5"/>
      <c r="S10111" s="5"/>
      <c r="T10111" s="5"/>
      <c r="U10111" s="5"/>
      <c r="V10111" s="5"/>
      <c r="W10111" s="5"/>
      <c r="X10111" s="5"/>
      <c r="Y10111" s="5"/>
      <c r="Z10111" s="5"/>
    </row>
    <row r="10112" spans="1:26" ht="15" x14ac:dyDescent="0.25">
      <c r="A10112" s="4" t="s">
        <v>10110</v>
      </c>
      <c r="B10112" s="4" t="s">
        <v>9011</v>
      </c>
      <c r="C10112" s="2" t="str">
        <f ca="1">IFERROR(__xludf.DUMMYFUNCTION("GOOGLETRANSLATE(A10112,""bn"",""en"")"),"The heart will return to the country and want to dance with happiness after hearing this news")</f>
        <v>The heart will return to the country and want to dance with happiness after hearing this news</v>
      </c>
      <c r="D10112" s="5"/>
      <c r="E10112" s="5"/>
      <c r="F10112" s="5"/>
      <c r="G10112" s="5"/>
      <c r="H10112" s="5"/>
      <c r="I10112" s="5"/>
      <c r="J10112" s="5"/>
      <c r="K10112" s="5"/>
      <c r="L10112" s="5"/>
      <c r="M10112" s="5"/>
      <c r="N10112" s="5"/>
      <c r="O10112" s="5"/>
      <c r="P10112" s="5"/>
      <c r="Q10112" s="5"/>
      <c r="R10112" s="5"/>
      <c r="S10112" s="5"/>
      <c r="T10112" s="5"/>
      <c r="U10112" s="5"/>
      <c r="V10112" s="5"/>
      <c r="W10112" s="5"/>
      <c r="X10112" s="5"/>
      <c r="Y10112" s="5"/>
      <c r="Z10112" s="5"/>
    </row>
    <row r="10113" spans="1:26" ht="15" x14ac:dyDescent="0.25">
      <c r="A10113" s="4" t="s">
        <v>10111</v>
      </c>
      <c r="B10113" s="4" t="s">
        <v>9011</v>
      </c>
      <c r="C10113" s="2" t="str">
        <f ca="1">IFERROR(__xludf.DUMMYFUNCTION("GOOGLETRANSLATE(A10113,""bn"",""en"")"),"There is only one end to depression that will stop it forever")</f>
        <v>There is only one end to depression that will stop it forever</v>
      </c>
      <c r="D10113" s="5"/>
      <c r="E10113" s="5"/>
      <c r="F10113" s="5"/>
      <c r="G10113" s="5"/>
      <c r="H10113" s="5"/>
      <c r="I10113" s="5"/>
      <c r="J10113" s="5"/>
      <c r="K10113" s="5"/>
      <c r="L10113" s="5"/>
      <c r="M10113" s="5"/>
      <c r="N10113" s="5"/>
      <c r="O10113" s="5"/>
      <c r="P10113" s="5"/>
      <c r="Q10113" s="5"/>
      <c r="R10113" s="5"/>
      <c r="S10113" s="5"/>
      <c r="T10113" s="5"/>
      <c r="U10113" s="5"/>
      <c r="V10113" s="5"/>
      <c r="W10113" s="5"/>
      <c r="X10113" s="5"/>
      <c r="Y10113" s="5"/>
      <c r="Z10113" s="5"/>
    </row>
    <row r="10114" spans="1:26" ht="15" x14ac:dyDescent="0.25">
      <c r="A10114" s="4" t="s">
        <v>10112</v>
      </c>
      <c r="B10114" s="4" t="s">
        <v>9011</v>
      </c>
      <c r="C10114" s="2" t="str">
        <f ca="1">IFERROR(__xludf.DUMMYFUNCTION("GOOGLETRANSLATE(A10114,""bn"",""en"")"),"The smile of Milansara will be the penance of life")</f>
        <v>The smile of Milansara will be the penance of life</v>
      </c>
      <c r="D10114" s="5"/>
      <c r="E10114" s="5"/>
      <c r="F10114" s="5"/>
      <c r="G10114" s="5"/>
      <c r="H10114" s="5"/>
      <c r="I10114" s="5"/>
      <c r="J10114" s="5"/>
      <c r="K10114" s="5"/>
      <c r="L10114" s="5"/>
      <c r="M10114" s="5"/>
      <c r="N10114" s="5"/>
      <c r="O10114" s="5"/>
      <c r="P10114" s="5"/>
      <c r="Q10114" s="5"/>
      <c r="R10114" s="5"/>
      <c r="S10114" s="5"/>
      <c r="T10114" s="5"/>
      <c r="U10114" s="5"/>
      <c r="V10114" s="5"/>
      <c r="W10114" s="5"/>
      <c r="X10114" s="5"/>
      <c r="Y10114" s="5"/>
      <c r="Z10114" s="5"/>
    </row>
    <row r="10115" spans="1:26" ht="15" x14ac:dyDescent="0.25">
      <c r="A10115" s="4" t="s">
        <v>10113</v>
      </c>
      <c r="B10115" s="4" t="s">
        <v>9011</v>
      </c>
      <c r="C10115" s="2" t="str">
        <f ca="1">IFERROR(__xludf.DUMMYFUNCTION("GOOGLETRANSLATE(A10115,""bn"",""en"")"),"Having a picnic and chatting with friends after swimming will be double the fun")</f>
        <v>Having a picnic and chatting with friends after swimming will be double the fun</v>
      </c>
      <c r="D10115" s="5"/>
      <c r="E10115" s="5"/>
      <c r="F10115" s="5"/>
      <c r="G10115" s="5"/>
      <c r="H10115" s="5"/>
      <c r="I10115" s="5"/>
      <c r="J10115" s="5"/>
      <c r="K10115" s="5"/>
      <c r="L10115" s="5"/>
      <c r="M10115" s="5"/>
      <c r="N10115" s="5"/>
      <c r="O10115" s="5"/>
      <c r="P10115" s="5"/>
      <c r="Q10115" s="5"/>
      <c r="R10115" s="5"/>
      <c r="S10115" s="5"/>
      <c r="T10115" s="5"/>
      <c r="U10115" s="5"/>
      <c r="V10115" s="5"/>
      <c r="W10115" s="5"/>
      <c r="X10115" s="5"/>
      <c r="Y10115" s="5"/>
      <c r="Z10115" s="5"/>
    </row>
    <row r="10116" spans="1:26" ht="15" x14ac:dyDescent="0.25">
      <c r="A10116" s="4" t="s">
        <v>10114</v>
      </c>
      <c r="B10116" s="4" t="s">
        <v>9011</v>
      </c>
      <c r="C10116" s="2" t="str">
        <f ca="1">IFERROR(__xludf.DUMMYFUNCTION("GOOGLETRANSLATE(A10116,""bn"",""en"")"),"Through Korean dramas, Korean food, mountain festivals, traditions and lifestyle will be known. This new knowledge experience will be enjoyable.")</f>
        <v>Through Korean dramas, Korean food, mountain festivals, traditions and lifestyle will be known. This new knowledge experience will be enjoyable.</v>
      </c>
      <c r="D10116" s="5"/>
      <c r="E10116" s="5"/>
      <c r="F10116" s="5"/>
      <c r="G10116" s="5"/>
      <c r="H10116" s="5"/>
      <c r="I10116" s="5"/>
      <c r="J10116" s="5"/>
      <c r="K10116" s="5"/>
      <c r="L10116" s="5"/>
      <c r="M10116" s="5"/>
      <c r="N10116" s="5"/>
      <c r="O10116" s="5"/>
      <c r="P10116" s="5"/>
      <c r="Q10116" s="5"/>
      <c r="R10116" s="5"/>
      <c r="S10116" s="5"/>
      <c r="T10116" s="5"/>
      <c r="U10116" s="5"/>
      <c r="V10116" s="5"/>
      <c r="W10116" s="5"/>
      <c r="X10116" s="5"/>
      <c r="Y10116" s="5"/>
      <c r="Z10116" s="5"/>
    </row>
    <row r="10117" spans="1:26" ht="15" x14ac:dyDescent="0.25">
      <c r="A10117" s="4" t="s">
        <v>10115</v>
      </c>
      <c r="B10117" s="4" t="s">
        <v>9011</v>
      </c>
      <c r="C10117" s="2" t="str">
        <f ca="1">IFERROR(__xludf.DUMMYFUNCTION("GOOGLETRANSLATE(A10117,""bn"",""en"")"),"Hard work in school life will guarantee a successful future")</f>
        <v>Hard work in school life will guarantee a successful future</v>
      </c>
      <c r="D10117" s="5"/>
      <c r="E10117" s="5"/>
      <c r="F10117" s="5"/>
      <c r="G10117" s="5"/>
      <c r="H10117" s="5"/>
      <c r="I10117" s="5"/>
      <c r="J10117" s="5"/>
      <c r="K10117" s="5"/>
      <c r="L10117" s="5"/>
      <c r="M10117" s="5"/>
      <c r="N10117" s="5"/>
      <c r="O10117" s="5"/>
      <c r="P10117" s="5"/>
      <c r="Q10117" s="5"/>
      <c r="R10117" s="5"/>
      <c r="S10117" s="5"/>
      <c r="T10117" s="5"/>
      <c r="U10117" s="5"/>
      <c r="V10117" s="5"/>
      <c r="W10117" s="5"/>
      <c r="X10117" s="5"/>
      <c r="Y10117" s="5"/>
      <c r="Z10117" s="5"/>
    </row>
    <row r="10118" spans="1:26" ht="15" x14ac:dyDescent="0.25">
      <c r="A10118" s="4" t="s">
        <v>10116</v>
      </c>
      <c r="B10118" s="4" t="s">
        <v>9011</v>
      </c>
      <c r="C10118" s="2" t="str">
        <f ca="1">IFERROR(__xludf.DUMMYFUNCTION("GOOGLETRANSLATE(A10118,""bn"",""en"")"),"Go for a nature walk away from the noise of the city")</f>
        <v>Go for a nature walk away from the noise of the city</v>
      </c>
      <c r="D10118" s="5"/>
      <c r="E10118" s="5"/>
      <c r="F10118" s="5"/>
      <c r="G10118" s="5"/>
      <c r="H10118" s="5"/>
      <c r="I10118" s="5"/>
      <c r="J10118" s="5"/>
      <c r="K10118" s="5"/>
      <c r="L10118" s="5"/>
      <c r="M10118" s="5"/>
      <c r="N10118" s="5"/>
      <c r="O10118" s="5"/>
      <c r="P10118" s="5"/>
      <c r="Q10118" s="5"/>
      <c r="R10118" s="5"/>
      <c r="S10118" s="5"/>
      <c r="T10118" s="5"/>
      <c r="U10118" s="5"/>
      <c r="V10118" s="5"/>
      <c r="W10118" s="5"/>
      <c r="X10118" s="5"/>
      <c r="Y10118" s="5"/>
      <c r="Z10118" s="5"/>
    </row>
    <row r="10119" spans="1:26" ht="15" x14ac:dyDescent="0.25">
      <c r="A10119" s="4" t="s">
        <v>10117</v>
      </c>
      <c r="B10119" s="4" t="s">
        <v>9011</v>
      </c>
      <c r="C10119" s="2" t="str">
        <f ca="1">IFERROR(__xludf.DUMMYFUNCTION("GOOGLETRANSLATE(A10119,""bn"",""en"")"),"Next year we will organize a major trade fair where new products and services will be showcased")</f>
        <v>Next year we will organize a major trade fair where new products and services will be showcased</v>
      </c>
      <c r="D10119" s="5"/>
      <c r="E10119" s="5"/>
      <c r="F10119" s="5"/>
      <c r="G10119" s="5"/>
      <c r="H10119" s="5"/>
      <c r="I10119" s="5"/>
      <c r="J10119" s="5"/>
      <c r="K10119" s="5"/>
      <c r="L10119" s="5"/>
      <c r="M10119" s="5"/>
      <c r="N10119" s="5"/>
      <c r="O10119" s="5"/>
      <c r="P10119" s="5"/>
      <c r="Q10119" s="5"/>
      <c r="R10119" s="5"/>
      <c r="S10119" s="5"/>
      <c r="T10119" s="5"/>
      <c r="U10119" s="5"/>
      <c r="V10119" s="5"/>
      <c r="W10119" s="5"/>
      <c r="X10119" s="5"/>
      <c r="Y10119" s="5"/>
      <c r="Z10119" s="5"/>
    </row>
    <row r="10120" spans="1:26" ht="15" x14ac:dyDescent="0.25">
      <c r="A10120" s="4" t="s">
        <v>10118</v>
      </c>
      <c r="B10120" s="4" t="s">
        <v>9011</v>
      </c>
      <c r="C10120" s="2" t="str">
        <f ca="1">IFERROR(__xludf.DUMMYFUNCTION("GOOGLETRANSLATE(A10120,""bn"",""en"")"),"I will get the strength to live again by eating food")</f>
        <v>I will get the strength to live again by eating food</v>
      </c>
      <c r="D10120" s="5"/>
      <c r="E10120" s="5"/>
      <c r="F10120" s="5"/>
      <c r="G10120" s="5"/>
      <c r="H10120" s="5"/>
      <c r="I10120" s="5"/>
      <c r="J10120" s="5"/>
      <c r="K10120" s="5"/>
      <c r="L10120" s="5"/>
      <c r="M10120" s="5"/>
      <c r="N10120" s="5"/>
      <c r="O10120" s="5"/>
      <c r="P10120" s="5"/>
      <c r="Q10120" s="5"/>
      <c r="R10120" s="5"/>
      <c r="S10120" s="5"/>
      <c r="T10120" s="5"/>
      <c r="U10120" s="5"/>
      <c r="V10120" s="5"/>
      <c r="W10120" s="5"/>
      <c r="X10120" s="5"/>
      <c r="Y10120" s="5"/>
      <c r="Z10120" s="5"/>
    </row>
    <row r="10121" spans="1:26" ht="15" x14ac:dyDescent="0.25">
      <c r="A10121" s="4" t="s">
        <v>10119</v>
      </c>
      <c r="B10121" s="4" t="s">
        <v>9011</v>
      </c>
      <c r="C10121" s="2" t="str">
        <f ca="1">IFERROR(__xludf.DUMMYFUNCTION("GOOGLETRANSLATE(A10121,""bn"",""en"")"),"You will attend a new business seminar next week where you will learn new business ideas and strategies")</f>
        <v>You will attend a new business seminar next week where you will learn new business ideas and strategies</v>
      </c>
      <c r="D10121" s="5"/>
      <c r="E10121" s="5"/>
      <c r="F10121" s="5"/>
      <c r="G10121" s="5"/>
      <c r="H10121" s="5"/>
      <c r="I10121" s="5"/>
      <c r="J10121" s="5"/>
      <c r="K10121" s="5"/>
      <c r="L10121" s="5"/>
      <c r="M10121" s="5"/>
      <c r="N10121" s="5"/>
      <c r="O10121" s="5"/>
      <c r="P10121" s="5"/>
      <c r="Q10121" s="5"/>
      <c r="R10121" s="5"/>
      <c r="S10121" s="5"/>
      <c r="T10121" s="5"/>
      <c r="U10121" s="5"/>
      <c r="V10121" s="5"/>
      <c r="W10121" s="5"/>
      <c r="X10121" s="5"/>
      <c r="Y10121" s="5"/>
      <c r="Z10121" s="5"/>
    </row>
    <row r="10122" spans="1:26" ht="15" x14ac:dyDescent="0.25">
      <c r="A10122" s="4" t="s">
        <v>10120</v>
      </c>
      <c r="B10122" s="4" t="s">
        <v>9011</v>
      </c>
      <c r="C10122" s="2" t="str">
        <f ca="1">IFERROR(__xludf.DUMMYFUNCTION("GOOGLETRANSLATE(A10122,""bn"",""en"")"),"Sitting in the chair of the cinema hall, you will feel as if you will enter the story")</f>
        <v>Sitting in the chair of the cinema hall, you will feel as if you will enter the story</v>
      </c>
      <c r="D10122" s="5"/>
      <c r="E10122" s="5"/>
      <c r="F10122" s="5"/>
      <c r="G10122" s="5"/>
      <c r="H10122" s="5"/>
      <c r="I10122" s="5"/>
      <c r="J10122" s="5"/>
      <c r="K10122" s="5"/>
      <c r="L10122" s="5"/>
      <c r="M10122" s="5"/>
      <c r="N10122" s="5"/>
      <c r="O10122" s="5"/>
      <c r="P10122" s="5"/>
      <c r="Q10122" s="5"/>
      <c r="R10122" s="5"/>
      <c r="S10122" s="5"/>
      <c r="T10122" s="5"/>
      <c r="U10122" s="5"/>
      <c r="V10122" s="5"/>
      <c r="W10122" s="5"/>
      <c r="X10122" s="5"/>
      <c r="Y10122" s="5"/>
      <c r="Z10122" s="5"/>
    </row>
    <row r="10123" spans="1:26" ht="15" x14ac:dyDescent="0.25">
      <c r="A10123" s="4" t="s">
        <v>10121</v>
      </c>
      <c r="B10123" s="4" t="s">
        <v>9011</v>
      </c>
      <c r="C10123" s="2" t="str">
        <f ca="1">IFERROR(__xludf.DUMMYFUNCTION("GOOGLETRANSLATE(A10123,""bn"",""en"")"),"I will present the results of the new genetic research tomorrow")</f>
        <v>I will present the results of the new genetic research tomorrow</v>
      </c>
      <c r="D10123" s="5"/>
      <c r="E10123" s="5"/>
      <c r="F10123" s="5"/>
      <c r="G10123" s="5"/>
      <c r="H10123" s="5"/>
      <c r="I10123" s="5"/>
      <c r="J10123" s="5"/>
      <c r="K10123" s="5"/>
      <c r="L10123" s="5"/>
      <c r="M10123" s="5"/>
      <c r="N10123" s="5"/>
      <c r="O10123" s="5"/>
      <c r="P10123" s="5"/>
      <c r="Q10123" s="5"/>
      <c r="R10123" s="5"/>
      <c r="S10123" s="5"/>
      <c r="T10123" s="5"/>
      <c r="U10123" s="5"/>
      <c r="V10123" s="5"/>
      <c r="W10123" s="5"/>
      <c r="X10123" s="5"/>
      <c r="Y10123" s="5"/>
      <c r="Z10123" s="5"/>
    </row>
    <row r="10124" spans="1:26" ht="15" x14ac:dyDescent="0.25">
      <c r="A10124" s="4" t="s">
        <v>10122</v>
      </c>
      <c r="B10124" s="4" t="s">
        <v>9011</v>
      </c>
      <c r="C10124" s="2" t="str">
        <f ca="1">IFERROR(__xludf.DUMMYFUNCTION("GOOGLETRANSLATE(A10124,""bn"",""en"")"),"They will keep all the technology available while they are setting up their technology institute")</f>
        <v>They will keep all the technology available while they are setting up their technology institute</v>
      </c>
      <c r="D10124" s="5"/>
      <c r="E10124" s="5"/>
      <c r="F10124" s="5"/>
      <c r="G10124" s="5"/>
      <c r="H10124" s="5"/>
      <c r="I10124" s="5"/>
      <c r="J10124" s="5"/>
      <c r="K10124" s="5"/>
      <c r="L10124" s="5"/>
      <c r="M10124" s="5"/>
      <c r="N10124" s="5"/>
      <c r="O10124" s="5"/>
      <c r="P10124" s="5"/>
      <c r="Q10124" s="5"/>
      <c r="R10124" s="5"/>
      <c r="S10124" s="5"/>
      <c r="T10124" s="5"/>
      <c r="U10124" s="5"/>
      <c r="V10124" s="5"/>
      <c r="W10124" s="5"/>
      <c r="X10124" s="5"/>
      <c r="Y10124" s="5"/>
      <c r="Z10124" s="5"/>
    </row>
    <row r="10125" spans="1:26" ht="15" x14ac:dyDescent="0.25">
      <c r="A10125" s="4" t="s">
        <v>10123</v>
      </c>
      <c r="B10125" s="4" t="s">
        <v>9011</v>
      </c>
      <c r="C10125" s="2" t="str">
        <f ca="1">IFERROR(__xludf.DUMMYFUNCTION("GOOGLETRANSLATE(A10125,""bn"",""en"")"),"Every success of BTS will be like a festival for the fans, the feeling of being a part of this success will increase the joy among the fans")</f>
        <v>Every success of BTS will be like a festival for the fans, the feeling of being a part of this success will increase the joy among the fans</v>
      </c>
      <c r="D10125" s="5"/>
      <c r="E10125" s="5"/>
      <c r="F10125" s="5"/>
      <c r="G10125" s="5"/>
      <c r="H10125" s="5"/>
      <c r="I10125" s="5"/>
      <c r="J10125" s="5"/>
      <c r="K10125" s="5"/>
      <c r="L10125" s="5"/>
      <c r="M10125" s="5"/>
      <c r="N10125" s="5"/>
      <c r="O10125" s="5"/>
      <c r="P10125" s="5"/>
      <c r="Q10125" s="5"/>
      <c r="R10125" s="5"/>
      <c r="S10125" s="5"/>
      <c r="T10125" s="5"/>
      <c r="U10125" s="5"/>
      <c r="V10125" s="5"/>
      <c r="W10125" s="5"/>
      <c r="X10125" s="5"/>
      <c r="Y10125" s="5"/>
      <c r="Z10125" s="5"/>
    </row>
    <row r="10126" spans="1:26" ht="15" x14ac:dyDescent="0.25">
      <c r="A10126" s="4" t="s">
        <v>10124</v>
      </c>
      <c r="B10126" s="4" t="s">
        <v>9011</v>
      </c>
      <c r="C10126" s="2" t="str">
        <f ca="1">IFERROR(__xludf.DUMMYFUNCTION("GOOGLETRANSLATE(A10126,""bn"",""en"")"),"The code will be like a puzzle and the joy of solving it will be indescribable")</f>
        <v>The code will be like a puzzle and the joy of solving it will be indescribable</v>
      </c>
      <c r="D10126" s="5"/>
      <c r="E10126" s="5"/>
      <c r="F10126" s="5"/>
      <c r="G10126" s="5"/>
      <c r="H10126" s="5"/>
      <c r="I10126" s="5"/>
      <c r="J10126" s="5"/>
      <c r="K10126" s="5"/>
      <c r="L10126" s="5"/>
      <c r="M10126" s="5"/>
      <c r="N10126" s="5"/>
      <c r="O10126" s="5"/>
      <c r="P10126" s="5"/>
      <c r="Q10126" s="5"/>
      <c r="R10126" s="5"/>
      <c r="S10126" s="5"/>
      <c r="T10126" s="5"/>
      <c r="U10126" s="5"/>
      <c r="V10126" s="5"/>
      <c r="W10126" s="5"/>
      <c r="X10126" s="5"/>
      <c r="Y10126" s="5"/>
      <c r="Z10126" s="5"/>
    </row>
    <row r="10127" spans="1:26" ht="15" x14ac:dyDescent="0.25">
      <c r="A10127" s="4" t="s">
        <v>10125</v>
      </c>
      <c r="B10127" s="4" t="s">
        <v>9011</v>
      </c>
      <c r="C10127" s="2" t="str">
        <f ca="1">IFERROR(__xludf.DUMMYFUNCTION("GOOGLETRANSLATE(A10127,""bn"",""en"")"),"You will be working on a major project next year with advanced biomedical technology")</f>
        <v>You will be working on a major project next year with advanced biomedical technology</v>
      </c>
      <c r="D10127" s="5"/>
      <c r="E10127" s="5"/>
      <c r="F10127" s="5"/>
      <c r="G10127" s="5"/>
      <c r="H10127" s="5"/>
      <c r="I10127" s="5"/>
      <c r="J10127" s="5"/>
      <c r="K10127" s="5"/>
      <c r="L10127" s="5"/>
      <c r="M10127" s="5"/>
      <c r="N10127" s="5"/>
      <c r="O10127" s="5"/>
      <c r="P10127" s="5"/>
      <c r="Q10127" s="5"/>
      <c r="R10127" s="5"/>
      <c r="S10127" s="5"/>
      <c r="T10127" s="5"/>
      <c r="U10127" s="5"/>
      <c r="V10127" s="5"/>
      <c r="W10127" s="5"/>
      <c r="X10127" s="5"/>
      <c r="Y10127" s="5"/>
      <c r="Z10127" s="5"/>
    </row>
    <row r="10128" spans="1:26" ht="15" x14ac:dyDescent="0.25">
      <c r="A10128" s="4" t="s">
        <v>10126</v>
      </c>
      <c r="B10128" s="4" t="s">
        <v>9011</v>
      </c>
      <c r="C10128" s="2" t="str">
        <f ca="1">IFERROR(__xludf.DUMMYFUNCTION("GOOGLETRANSLATE(A10128,""bn"",""en"")"),"We will be launching a new eco-friendly product next month which will be popular among our customers")</f>
        <v>We will be launching a new eco-friendly product next month which will be popular among our customers</v>
      </c>
      <c r="D10128" s="5"/>
      <c r="E10128" s="5"/>
      <c r="F10128" s="5"/>
      <c r="G10128" s="5"/>
      <c r="H10128" s="5"/>
      <c r="I10128" s="5"/>
      <c r="J10128" s="5"/>
      <c r="K10128" s="5"/>
      <c r="L10128" s="5"/>
      <c r="M10128" s="5"/>
      <c r="N10128" s="5"/>
      <c r="O10128" s="5"/>
      <c r="P10128" s="5"/>
      <c r="Q10128" s="5"/>
      <c r="R10128" s="5"/>
      <c r="S10128" s="5"/>
      <c r="T10128" s="5"/>
      <c r="U10128" s="5"/>
      <c r="V10128" s="5"/>
      <c r="W10128" s="5"/>
      <c r="X10128" s="5"/>
      <c r="Y10128" s="5"/>
      <c r="Z10128" s="5"/>
    </row>
    <row r="10129" spans="1:26" ht="15" x14ac:dyDescent="0.25">
      <c r="A10129" s="4" t="s">
        <v>10127</v>
      </c>
      <c r="B10129" s="4" t="s">
        <v>9011</v>
      </c>
      <c r="C10129" s="2" t="str">
        <f ca="1">IFERROR(__xludf.DUMMYFUNCTION("GOOGLETRANSLATE(A10129,""bn"",""en"")"),"I will continue to do more in the future")</f>
        <v>I will continue to do more in the future</v>
      </c>
      <c r="D10129" s="5"/>
      <c r="E10129" s="5"/>
      <c r="F10129" s="5"/>
      <c r="G10129" s="5"/>
      <c r="H10129" s="5"/>
      <c r="I10129" s="5"/>
      <c r="J10129" s="5"/>
      <c r="K10129" s="5"/>
      <c r="L10129" s="5"/>
      <c r="M10129" s="5"/>
      <c r="N10129" s="5"/>
      <c r="O10129" s="5"/>
      <c r="P10129" s="5"/>
      <c r="Q10129" s="5"/>
      <c r="R10129" s="5"/>
      <c r="S10129" s="5"/>
      <c r="T10129" s="5"/>
      <c r="U10129" s="5"/>
      <c r="V10129" s="5"/>
      <c r="W10129" s="5"/>
      <c r="X10129" s="5"/>
      <c r="Y10129" s="5"/>
      <c r="Z10129" s="5"/>
    </row>
    <row r="10130" spans="1:26" ht="15" x14ac:dyDescent="0.25">
      <c r="A10130" s="4" t="s">
        <v>10128</v>
      </c>
      <c r="B10130" s="4" t="s">
        <v>9011</v>
      </c>
      <c r="C10130" s="2" t="str">
        <f ca="1">IFERROR(__xludf.DUMMYFUNCTION("GOOGLETRANSLATE(A10130,""bn"",""en"")"),"This promotion will be credited not only to me but also to those colleagues who will always be by my side")</f>
        <v>This promotion will be credited not only to me but also to those colleagues who will always be by my side</v>
      </c>
      <c r="D10130" s="5"/>
      <c r="E10130" s="5"/>
      <c r="F10130" s="5"/>
      <c r="G10130" s="5"/>
      <c r="H10130" s="5"/>
      <c r="I10130" s="5"/>
      <c r="J10130" s="5"/>
      <c r="K10130" s="5"/>
      <c r="L10130" s="5"/>
      <c r="M10130" s="5"/>
      <c r="N10130" s="5"/>
      <c r="O10130" s="5"/>
      <c r="P10130" s="5"/>
      <c r="Q10130" s="5"/>
      <c r="R10130" s="5"/>
      <c r="S10130" s="5"/>
      <c r="T10130" s="5"/>
      <c r="U10130" s="5"/>
      <c r="V10130" s="5"/>
      <c r="W10130" s="5"/>
      <c r="X10130" s="5"/>
      <c r="Y10130" s="5"/>
      <c r="Z10130" s="5"/>
    </row>
    <row r="10131" spans="1:26" ht="15" x14ac:dyDescent="0.25">
      <c r="A10131" s="4" t="s">
        <v>10129</v>
      </c>
      <c r="B10131" s="4" t="s">
        <v>9011</v>
      </c>
      <c r="C10131" s="2" t="str">
        <f ca="1">IFERROR(__xludf.DUMMYFUNCTION("GOOGLETRANSLATE(A10131,""bn"",""en"")"),"Meat, fish, sweets, tradition of Pahela Boishakh, Happy New Year should be wished to everyone")</f>
        <v>Meat, fish, sweets, tradition of Pahela Boishakh, Happy New Year should be wished to everyone</v>
      </c>
      <c r="D10131" s="5"/>
      <c r="E10131" s="5"/>
      <c r="F10131" s="5"/>
      <c r="G10131" s="5"/>
      <c r="H10131" s="5"/>
      <c r="I10131" s="5"/>
      <c r="J10131" s="5"/>
      <c r="K10131" s="5"/>
      <c r="L10131" s="5"/>
      <c r="M10131" s="5"/>
      <c r="N10131" s="5"/>
      <c r="O10131" s="5"/>
      <c r="P10131" s="5"/>
      <c r="Q10131" s="5"/>
      <c r="R10131" s="5"/>
      <c r="S10131" s="5"/>
      <c r="T10131" s="5"/>
      <c r="U10131" s="5"/>
      <c r="V10131" s="5"/>
      <c r="W10131" s="5"/>
      <c r="X10131" s="5"/>
      <c r="Y10131" s="5"/>
      <c r="Z10131" s="5"/>
    </row>
    <row r="10132" spans="1:26" ht="15" x14ac:dyDescent="0.25">
      <c r="A10132" s="4" t="s">
        <v>10130</v>
      </c>
      <c r="B10132" s="4" t="s">
        <v>9011</v>
      </c>
      <c r="C10132" s="2" t="str">
        <f ca="1">IFERROR(__xludf.DUMMYFUNCTION("GOOGLETRANSLATE(A10132,""bn"",""en"")"),"Fortunately, I will get an older brother from my childhood friend in college. Alhamdulillah, I will find my brother in all the dangers of life.")</f>
        <v>Fortunately, I will get an older brother from my childhood friend in college. Alhamdulillah, I will find my brother in all the dangers of life.</v>
      </c>
      <c r="D10132" s="5"/>
      <c r="E10132" s="5"/>
      <c r="F10132" s="5"/>
      <c r="G10132" s="5"/>
      <c r="H10132" s="5"/>
      <c r="I10132" s="5"/>
      <c r="J10132" s="5"/>
      <c r="K10132" s="5"/>
      <c r="L10132" s="5"/>
      <c r="M10132" s="5"/>
      <c r="N10132" s="5"/>
      <c r="O10132" s="5"/>
      <c r="P10132" s="5"/>
      <c r="Q10132" s="5"/>
      <c r="R10132" s="5"/>
      <c r="S10132" s="5"/>
      <c r="T10132" s="5"/>
      <c r="U10132" s="5"/>
      <c r="V10132" s="5"/>
      <c r="W10132" s="5"/>
      <c r="X10132" s="5"/>
      <c r="Y10132" s="5"/>
      <c r="Z10132" s="5"/>
    </row>
    <row r="10133" spans="1:26" ht="15" x14ac:dyDescent="0.25">
      <c r="A10133" s="4" t="s">
        <v>10131</v>
      </c>
      <c r="B10133" s="4" t="s">
        <v>9011</v>
      </c>
      <c r="C10133" s="2" t="str">
        <f ca="1">IFERROR(__xludf.DUMMYFUNCTION("GOOGLETRANSLATE(A10133,""bn"",""en"")"),"His performance will live on in people's minds for ages")</f>
        <v>His performance will live on in people's minds for ages</v>
      </c>
      <c r="D10133" s="5"/>
      <c r="E10133" s="5"/>
      <c r="F10133" s="5"/>
      <c r="G10133" s="5"/>
      <c r="H10133" s="5"/>
      <c r="I10133" s="5"/>
      <c r="J10133" s="5"/>
      <c r="K10133" s="5"/>
      <c r="L10133" s="5"/>
      <c r="M10133" s="5"/>
      <c r="N10133" s="5"/>
      <c r="O10133" s="5"/>
      <c r="P10133" s="5"/>
      <c r="Q10133" s="5"/>
      <c r="R10133" s="5"/>
      <c r="S10133" s="5"/>
      <c r="T10133" s="5"/>
      <c r="U10133" s="5"/>
      <c r="V10133" s="5"/>
      <c r="W10133" s="5"/>
      <c r="X10133" s="5"/>
      <c r="Y10133" s="5"/>
      <c r="Z10133" s="5"/>
    </row>
    <row r="10134" spans="1:26" ht="15" x14ac:dyDescent="0.25">
      <c r="A10134" s="4" t="s">
        <v>10132</v>
      </c>
      <c r="B10134" s="4" t="s">
        <v>9011</v>
      </c>
      <c r="C10134" s="2" t="str">
        <f ca="1">IFERROR(__xludf.DUMMYFUNCTION("GOOGLETRANSLATE(A10134,""bn"",""en"")"),"We will be launching a larger marketing campaign for our organization next year that will be rolled out globally")</f>
        <v>We will be launching a larger marketing campaign for our organization next year that will be rolled out globally</v>
      </c>
      <c r="D10134" s="5"/>
      <c r="E10134" s="5"/>
      <c r="F10134" s="5"/>
      <c r="G10134" s="5"/>
      <c r="H10134" s="5"/>
      <c r="I10134" s="5"/>
      <c r="J10134" s="5"/>
      <c r="K10134" s="5"/>
      <c r="L10134" s="5"/>
      <c r="M10134" s="5"/>
      <c r="N10134" s="5"/>
      <c r="O10134" s="5"/>
      <c r="P10134" s="5"/>
      <c r="Q10134" s="5"/>
      <c r="R10134" s="5"/>
      <c r="S10134" s="5"/>
      <c r="T10134" s="5"/>
      <c r="U10134" s="5"/>
      <c r="V10134" s="5"/>
      <c r="W10134" s="5"/>
      <c r="X10134" s="5"/>
      <c r="Y10134" s="5"/>
      <c r="Z10134" s="5"/>
    </row>
    <row r="10135" spans="1:26" ht="15" x14ac:dyDescent="0.25">
      <c r="A10135" s="4" t="s">
        <v>10133</v>
      </c>
      <c r="B10135" s="4" t="s">
        <v>9011</v>
      </c>
      <c r="C10135" s="2" t="str">
        <f ca="1">IFERROR(__xludf.DUMMYFUNCTION("GOOGLETRANSLATE(A10135,""bn"",""en"")"),"The result of the exam will touch the sky")</f>
        <v>The result of the exam will touch the sky</v>
      </c>
      <c r="D10135" s="5"/>
      <c r="E10135" s="5"/>
      <c r="F10135" s="5"/>
      <c r="G10135" s="5"/>
      <c r="H10135" s="5"/>
      <c r="I10135" s="5"/>
      <c r="J10135" s="5"/>
      <c r="K10135" s="5"/>
      <c r="L10135" s="5"/>
      <c r="M10135" s="5"/>
      <c r="N10135" s="5"/>
      <c r="O10135" s="5"/>
      <c r="P10135" s="5"/>
      <c r="Q10135" s="5"/>
      <c r="R10135" s="5"/>
      <c r="S10135" s="5"/>
      <c r="T10135" s="5"/>
      <c r="U10135" s="5"/>
      <c r="V10135" s="5"/>
      <c r="W10135" s="5"/>
      <c r="X10135" s="5"/>
      <c r="Y10135" s="5"/>
      <c r="Z10135" s="5"/>
    </row>
    <row r="10136" spans="1:26" ht="15" x14ac:dyDescent="0.25">
      <c r="A10136" s="4" t="s">
        <v>10134</v>
      </c>
      <c r="B10136" s="4" t="s">
        <v>9011</v>
      </c>
      <c r="C10136" s="2" t="str">
        <f ca="1">IFERROR(__xludf.DUMMYFUNCTION("GOOGLETRANSLATE(A10136,""bn"",""en"")"),"After some time, I will feel like I will go back to my childhood again")</f>
        <v>After some time, I will feel like I will go back to my childhood again</v>
      </c>
      <c r="D10136" s="5"/>
      <c r="E10136" s="5"/>
      <c r="F10136" s="5"/>
      <c r="G10136" s="5"/>
      <c r="H10136" s="5"/>
      <c r="I10136" s="5"/>
      <c r="J10136" s="5"/>
      <c r="K10136" s="5"/>
      <c r="L10136" s="5"/>
      <c r="M10136" s="5"/>
      <c r="N10136" s="5"/>
      <c r="O10136" s="5"/>
      <c r="P10136" s="5"/>
      <c r="Q10136" s="5"/>
      <c r="R10136" s="5"/>
      <c r="S10136" s="5"/>
      <c r="T10136" s="5"/>
      <c r="U10136" s="5"/>
      <c r="V10136" s="5"/>
      <c r="W10136" s="5"/>
      <c r="X10136" s="5"/>
      <c r="Y10136" s="5"/>
      <c r="Z10136" s="5"/>
    </row>
    <row r="10137" spans="1:26" ht="15" x14ac:dyDescent="0.25">
      <c r="A10137" s="4" t="s">
        <v>10135</v>
      </c>
      <c r="B10137" s="4" t="s">
        <v>9011</v>
      </c>
      <c r="C10137" s="2" t="str">
        <f ca="1">IFERROR(__xludf.DUMMYFUNCTION("GOOGLETRANSLATE(A10137,""bn"",""en"")"),"Little by little, the dream will come true. I will move forward with a new motivation to move forward.")</f>
        <v>Little by little, the dream will come true. I will move forward with a new motivation to move forward.</v>
      </c>
      <c r="D10137" s="5"/>
      <c r="E10137" s="5"/>
      <c r="F10137" s="5"/>
      <c r="G10137" s="5"/>
      <c r="H10137" s="5"/>
      <c r="I10137" s="5"/>
      <c r="J10137" s="5"/>
      <c r="K10137" s="5"/>
      <c r="L10137" s="5"/>
      <c r="M10137" s="5"/>
      <c r="N10137" s="5"/>
      <c r="O10137" s="5"/>
      <c r="P10137" s="5"/>
      <c r="Q10137" s="5"/>
      <c r="R10137" s="5"/>
      <c r="S10137" s="5"/>
      <c r="T10137" s="5"/>
      <c r="U10137" s="5"/>
      <c r="V10137" s="5"/>
      <c r="W10137" s="5"/>
      <c r="X10137" s="5"/>
      <c r="Y10137" s="5"/>
      <c r="Z10137" s="5"/>
    </row>
    <row r="10138" spans="1:26" ht="15" x14ac:dyDescent="0.25">
      <c r="A10138" s="4" t="s">
        <v>10136</v>
      </c>
      <c r="B10138" s="4" t="s">
        <v>9011</v>
      </c>
      <c r="C10138" s="2" t="str">
        <f ca="1">IFERROR(__xludf.DUMMYFUNCTION("GOOGLETRANSLATE(A10138,""bn"",""en"")"),"The taste of this tea will be incredible")</f>
        <v>The taste of this tea will be incredible</v>
      </c>
      <c r="D10138" s="5"/>
      <c r="E10138" s="5"/>
      <c r="F10138" s="5"/>
      <c r="G10138" s="5"/>
      <c r="H10138" s="5"/>
      <c r="I10138" s="5"/>
      <c r="J10138" s="5"/>
      <c r="K10138" s="5"/>
      <c r="L10138" s="5"/>
      <c r="M10138" s="5"/>
      <c r="N10138" s="5"/>
      <c r="O10138" s="5"/>
      <c r="P10138" s="5"/>
      <c r="Q10138" s="5"/>
      <c r="R10138" s="5"/>
      <c r="S10138" s="5"/>
      <c r="T10138" s="5"/>
      <c r="U10138" s="5"/>
      <c r="V10138" s="5"/>
      <c r="W10138" s="5"/>
      <c r="X10138" s="5"/>
      <c r="Y10138" s="5"/>
      <c r="Z10138" s="5"/>
    </row>
    <row r="10139" spans="1:26" ht="15" x14ac:dyDescent="0.25">
      <c r="A10139" s="4" t="s">
        <v>10137</v>
      </c>
      <c r="B10139" s="4" t="s">
        <v>9011</v>
      </c>
      <c r="C10139" s="2" t="str">
        <f ca="1">IFERROR(__xludf.DUMMYFUNCTION("GOOGLETRANSLATE(A10139,""bn"",""en"")"),"I will turn on the fan in my room tomorrow")</f>
        <v>I will turn on the fan in my room tomorrow</v>
      </c>
      <c r="D10139" s="5"/>
      <c r="E10139" s="5"/>
      <c r="F10139" s="5"/>
      <c r="G10139" s="5"/>
      <c r="H10139" s="5"/>
      <c r="I10139" s="5"/>
      <c r="J10139" s="5"/>
      <c r="K10139" s="5"/>
      <c r="L10139" s="5"/>
      <c r="M10139" s="5"/>
      <c r="N10139" s="5"/>
      <c r="O10139" s="5"/>
      <c r="P10139" s="5"/>
      <c r="Q10139" s="5"/>
      <c r="R10139" s="5"/>
      <c r="S10139" s="5"/>
      <c r="T10139" s="5"/>
      <c r="U10139" s="5"/>
      <c r="V10139" s="5"/>
      <c r="W10139" s="5"/>
      <c r="X10139" s="5"/>
      <c r="Y10139" s="5"/>
      <c r="Z10139" s="5"/>
    </row>
    <row r="10140" spans="1:26" ht="15" x14ac:dyDescent="0.25">
      <c r="A10140" s="4" t="s">
        <v>10138</v>
      </c>
      <c r="B10140" s="4" t="s">
        <v>9011</v>
      </c>
      <c r="C10140" s="2" t="str">
        <f ca="1">IFERROR(__xludf.DUMMYFUNCTION("GOOGLETRANSLATE(A10140,""bn"",""en"")"),"The body will shake to the beat of the drum as if the whole world will stop for me at this moment")</f>
        <v>The body will shake to the beat of the drum as if the whole world will stop for me at this moment</v>
      </c>
      <c r="D10140" s="5"/>
      <c r="E10140" s="5"/>
      <c r="F10140" s="5"/>
      <c r="G10140" s="5"/>
      <c r="H10140" s="5"/>
      <c r="I10140" s="5"/>
      <c r="J10140" s="5"/>
      <c r="K10140" s="5"/>
      <c r="L10140" s="5"/>
      <c r="M10140" s="5"/>
      <c r="N10140" s="5"/>
      <c r="O10140" s="5"/>
      <c r="P10140" s="5"/>
      <c r="Q10140" s="5"/>
      <c r="R10140" s="5"/>
      <c r="S10140" s="5"/>
      <c r="T10140" s="5"/>
      <c r="U10140" s="5"/>
      <c r="V10140" s="5"/>
      <c r="W10140" s="5"/>
      <c r="X10140" s="5"/>
      <c r="Y10140" s="5"/>
      <c r="Z10140" s="5"/>
    </row>
    <row r="10141" spans="1:26" ht="15" x14ac:dyDescent="0.25">
      <c r="A10141" s="4" t="s">
        <v>10139</v>
      </c>
      <c r="B10141" s="4" t="s">
        <v>9011</v>
      </c>
      <c r="C10141" s="2" t="str">
        <f ca="1">IFERROR(__xludf.DUMMYFUNCTION("GOOGLETRANSLATE(A10141,""bn"",""en"")"),"Sajek Valley will be a unique monument of nature")</f>
        <v>Sajek Valley will be a unique monument of nature</v>
      </c>
      <c r="D10141" s="5"/>
      <c r="E10141" s="5"/>
      <c r="F10141" s="5"/>
      <c r="G10141" s="5"/>
      <c r="H10141" s="5"/>
      <c r="I10141" s="5"/>
      <c r="J10141" s="5"/>
      <c r="K10141" s="5"/>
      <c r="L10141" s="5"/>
      <c r="M10141" s="5"/>
      <c r="N10141" s="5"/>
      <c r="O10141" s="5"/>
      <c r="P10141" s="5"/>
      <c r="Q10141" s="5"/>
      <c r="R10141" s="5"/>
      <c r="S10141" s="5"/>
      <c r="T10141" s="5"/>
      <c r="U10141" s="5"/>
      <c r="V10141" s="5"/>
      <c r="W10141" s="5"/>
      <c r="X10141" s="5"/>
      <c r="Y10141" s="5"/>
      <c r="Z10141" s="5"/>
    </row>
    <row r="10142" spans="1:26" ht="15" x14ac:dyDescent="0.25">
      <c r="A10142" s="4" t="s">
        <v>10140</v>
      </c>
      <c r="B10142" s="4" t="s">
        <v>9011</v>
      </c>
      <c r="C10142" s="2" t="str">
        <f ca="1">IFERROR(__xludf.DUMMYFUNCTION("GOOGLETRANSLATE(A10142,""bn"",""en"")"),"We will be innovating a new technology next month which will open a new horizon for our company")</f>
        <v>We will be innovating a new technology next month which will open a new horizon for our company</v>
      </c>
      <c r="D10142" s="5"/>
      <c r="E10142" s="5"/>
      <c r="F10142" s="5"/>
      <c r="G10142" s="5"/>
      <c r="H10142" s="5"/>
      <c r="I10142" s="5"/>
      <c r="J10142" s="5"/>
      <c r="K10142" s="5"/>
      <c r="L10142" s="5"/>
      <c r="M10142" s="5"/>
      <c r="N10142" s="5"/>
      <c r="O10142" s="5"/>
      <c r="P10142" s="5"/>
      <c r="Q10142" s="5"/>
      <c r="R10142" s="5"/>
      <c r="S10142" s="5"/>
      <c r="T10142" s="5"/>
      <c r="U10142" s="5"/>
      <c r="V10142" s="5"/>
      <c r="W10142" s="5"/>
      <c r="X10142" s="5"/>
      <c r="Y10142" s="5"/>
      <c r="Z10142" s="5"/>
    </row>
    <row r="10143" spans="1:26" ht="15" x14ac:dyDescent="0.25">
      <c r="A10143" s="4" t="s">
        <v>10141</v>
      </c>
      <c r="B10143" s="4" t="s">
        <v>9011</v>
      </c>
      <c r="C10143" s="2" t="str">
        <f ca="1">IFERROR(__xludf.DUMMYFUNCTION("GOOGLETRANSLATE(A10143,""bn"",""en"")"),"You will enroll in a new cooking class next week where you will improve your cooking skills")</f>
        <v>You will enroll in a new cooking class next week where you will improve your cooking skills</v>
      </c>
      <c r="D10143" s="5"/>
      <c r="E10143" s="5"/>
      <c r="F10143" s="5"/>
      <c r="G10143" s="5"/>
      <c r="H10143" s="5"/>
      <c r="I10143" s="5"/>
      <c r="J10143" s="5"/>
      <c r="K10143" s="5"/>
      <c r="L10143" s="5"/>
      <c r="M10143" s="5"/>
      <c r="N10143" s="5"/>
      <c r="O10143" s="5"/>
      <c r="P10143" s="5"/>
      <c r="Q10143" s="5"/>
      <c r="R10143" s="5"/>
      <c r="S10143" s="5"/>
      <c r="T10143" s="5"/>
      <c r="U10143" s="5"/>
      <c r="V10143" s="5"/>
      <c r="W10143" s="5"/>
      <c r="X10143" s="5"/>
      <c r="Y10143" s="5"/>
      <c r="Z10143" s="5"/>
    </row>
    <row r="10144" spans="1:26" ht="15" x14ac:dyDescent="0.25">
      <c r="A10144" s="4" t="s">
        <v>10142</v>
      </c>
      <c r="B10144" s="4" t="s">
        <v>9011</v>
      </c>
      <c r="C10144" s="2" t="str">
        <f ca="1">IFERROR(__xludf.DUMMYFUNCTION("GOOGLETRANSLATE(A10144,""bn"",""en"")"),"Healthy people will progress on the path of happiness")</f>
        <v>Healthy people will progress on the path of happiness</v>
      </c>
      <c r="D10144" s="5"/>
      <c r="E10144" s="5"/>
      <c r="F10144" s="5"/>
      <c r="G10144" s="5"/>
      <c r="H10144" s="5"/>
      <c r="I10144" s="5"/>
      <c r="J10144" s="5"/>
      <c r="K10144" s="5"/>
      <c r="L10144" s="5"/>
      <c r="M10144" s="5"/>
      <c r="N10144" s="5"/>
      <c r="O10144" s="5"/>
      <c r="P10144" s="5"/>
      <c r="Q10144" s="5"/>
      <c r="R10144" s="5"/>
      <c r="S10144" s="5"/>
      <c r="T10144" s="5"/>
      <c r="U10144" s="5"/>
      <c r="V10144" s="5"/>
      <c r="W10144" s="5"/>
      <c r="X10144" s="5"/>
      <c r="Y10144" s="5"/>
      <c r="Z10144" s="5"/>
    </row>
    <row r="10145" spans="1:26" ht="15" x14ac:dyDescent="0.25">
      <c r="A10145" s="4" t="s">
        <v>10143</v>
      </c>
      <c r="B10145" s="4" t="s">
        <v>9011</v>
      </c>
      <c r="C10145" s="2" t="str">
        <f ca="1">IFERROR(__xludf.DUMMYFUNCTION("GOOGLETRANSLATE(A10145,""bn"",""en"")"),"Everyone's face will smile on this Eid, there will be happiness in everyone's house. Eid Mubarak")</f>
        <v>Everyone's face will smile on this Eid, there will be happiness in everyone's house. Eid Mubarak</v>
      </c>
      <c r="D10145" s="5"/>
      <c r="E10145" s="5"/>
      <c r="F10145" s="5"/>
      <c r="G10145" s="5"/>
      <c r="H10145" s="5"/>
      <c r="I10145" s="5"/>
      <c r="J10145" s="5"/>
      <c r="K10145" s="5"/>
      <c r="L10145" s="5"/>
      <c r="M10145" s="5"/>
      <c r="N10145" s="5"/>
      <c r="O10145" s="5"/>
      <c r="P10145" s="5"/>
      <c r="Q10145" s="5"/>
      <c r="R10145" s="5"/>
      <c r="S10145" s="5"/>
      <c r="T10145" s="5"/>
      <c r="U10145" s="5"/>
      <c r="V10145" s="5"/>
      <c r="W10145" s="5"/>
      <c r="X10145" s="5"/>
      <c r="Y10145" s="5"/>
      <c r="Z10145" s="5"/>
    </row>
    <row r="10146" spans="1:26" ht="15" x14ac:dyDescent="0.25">
      <c r="A10146" s="4" t="s">
        <v>10144</v>
      </c>
      <c r="B10146" s="4" t="s">
        <v>9011</v>
      </c>
      <c r="C10146" s="2" t="str">
        <f ca="1">IFERROR(__xludf.DUMMYFUNCTION("GOOGLETRANSLATE(A10146,""bn"",""en"")"),"We will be organizing a new educational workshop next week which will be very beneficial for the students")</f>
        <v>We will be organizing a new educational workshop next week which will be very beneficial for the students</v>
      </c>
      <c r="D10146" s="5"/>
      <c r="E10146" s="5"/>
      <c r="F10146" s="5"/>
      <c r="G10146" s="5"/>
      <c r="H10146" s="5"/>
      <c r="I10146" s="5"/>
      <c r="J10146" s="5"/>
      <c r="K10146" s="5"/>
      <c r="L10146" s="5"/>
      <c r="M10146" s="5"/>
      <c r="N10146" s="5"/>
      <c r="O10146" s="5"/>
      <c r="P10146" s="5"/>
      <c r="Q10146" s="5"/>
      <c r="R10146" s="5"/>
      <c r="S10146" s="5"/>
      <c r="T10146" s="5"/>
      <c r="U10146" s="5"/>
      <c r="V10146" s="5"/>
      <c r="W10146" s="5"/>
      <c r="X10146" s="5"/>
      <c r="Y10146" s="5"/>
      <c r="Z10146" s="5"/>
    </row>
    <row r="10147" spans="1:26" ht="15" x14ac:dyDescent="0.25">
      <c r="A10147" s="4" t="s">
        <v>10145</v>
      </c>
      <c r="B10147" s="4" t="s">
        <v>9011</v>
      </c>
      <c r="C10147" s="2" t="str">
        <f ca="1">IFERROR(__xludf.DUMMYFUNCTION("GOOGLETRANSLATE(A10147,""bn"",""en"")"),"I'm going to feel bad all day tomorrow but when I get home and see Leetu my cat playing with the new toy I bought it will put a smile on my face.")</f>
        <v>I'm going to feel bad all day tomorrow but when I get home and see Leetu my cat playing with the new toy I bought it will put a smile on my face.</v>
      </c>
      <c r="D10147" s="5"/>
      <c r="E10147" s="5"/>
      <c r="F10147" s="5"/>
      <c r="G10147" s="5"/>
      <c r="H10147" s="5"/>
      <c r="I10147" s="5"/>
      <c r="J10147" s="5"/>
      <c r="K10147" s="5"/>
      <c r="L10147" s="5"/>
      <c r="M10147" s="5"/>
      <c r="N10147" s="5"/>
      <c r="O10147" s="5"/>
      <c r="P10147" s="5"/>
      <c r="Q10147" s="5"/>
      <c r="R10147" s="5"/>
      <c r="S10147" s="5"/>
      <c r="T10147" s="5"/>
      <c r="U10147" s="5"/>
      <c r="V10147" s="5"/>
      <c r="W10147" s="5"/>
      <c r="X10147" s="5"/>
      <c r="Y10147" s="5"/>
      <c r="Z10147" s="5"/>
    </row>
    <row r="10148" spans="1:26" ht="15" x14ac:dyDescent="0.25">
      <c r="A10148" s="4" t="s">
        <v>10146</v>
      </c>
      <c r="B10148" s="4" t="s">
        <v>9011</v>
      </c>
      <c r="C10148" s="2" t="str">
        <f ca="1">IFERROR(__xludf.DUMMYFUNCTION("GOOGLETRANSLATE(A10148,""bn"",""en"")"),"I will support a local animal shelter and provide them with love and care that will give me peace of mind")</f>
        <v>I will support a local animal shelter and provide them with love and care that will give me peace of mind</v>
      </c>
      <c r="D10148" s="5"/>
      <c r="E10148" s="5"/>
      <c r="F10148" s="5"/>
      <c r="G10148" s="5"/>
      <c r="H10148" s="5"/>
      <c r="I10148" s="5"/>
      <c r="J10148" s="5"/>
      <c r="K10148" s="5"/>
      <c r="L10148" s="5"/>
      <c r="M10148" s="5"/>
      <c r="N10148" s="5"/>
      <c r="O10148" s="5"/>
      <c r="P10148" s="5"/>
      <c r="Q10148" s="5"/>
      <c r="R10148" s="5"/>
      <c r="S10148" s="5"/>
      <c r="T10148" s="5"/>
      <c r="U10148" s="5"/>
      <c r="V10148" s="5"/>
      <c r="W10148" s="5"/>
      <c r="X10148" s="5"/>
      <c r="Y10148" s="5"/>
      <c r="Z10148" s="5"/>
    </row>
    <row r="10149" spans="1:26" ht="15" x14ac:dyDescent="0.25">
      <c r="A10149" s="4" t="s">
        <v>10147</v>
      </c>
      <c r="B10149" s="4" t="s">
        <v>9011</v>
      </c>
      <c r="C10149" s="2" t="str">
        <f ca="1">IFERROR(__xludf.DUMMYFUNCTION("GOOGLETRANSLATE(A10149,""bn"",""en"")"),"When I complete my PhD I will teach at a prestigious university")</f>
        <v>When I complete my PhD I will teach at a prestigious university</v>
      </c>
      <c r="D10149" s="5"/>
      <c r="E10149" s="5"/>
      <c r="F10149" s="5"/>
      <c r="G10149" s="5"/>
      <c r="H10149" s="5"/>
      <c r="I10149" s="5"/>
      <c r="J10149" s="5"/>
      <c r="K10149" s="5"/>
      <c r="L10149" s="5"/>
      <c r="M10149" s="5"/>
      <c r="N10149" s="5"/>
      <c r="O10149" s="5"/>
      <c r="P10149" s="5"/>
      <c r="Q10149" s="5"/>
      <c r="R10149" s="5"/>
      <c r="S10149" s="5"/>
      <c r="T10149" s="5"/>
      <c r="U10149" s="5"/>
      <c r="V10149" s="5"/>
      <c r="W10149" s="5"/>
      <c r="X10149" s="5"/>
      <c r="Y10149" s="5"/>
      <c r="Z10149" s="5"/>
    </row>
    <row r="10150" spans="1:26" ht="15" x14ac:dyDescent="0.25">
      <c r="A10150" s="4" t="s">
        <v>10148</v>
      </c>
      <c r="B10150" s="4" t="s">
        <v>9011</v>
      </c>
      <c r="C10150" s="2" t="str">
        <f ca="1">IFERROR(__xludf.DUMMYFUNCTION("GOOGLETRANSLATE(A10150,""bn"",""en"")"),"Subarna will be the harmonious melody of our family")</f>
        <v>Subarna will be the harmonious melody of our family</v>
      </c>
      <c r="D10150" s="5"/>
      <c r="E10150" s="5"/>
      <c r="F10150" s="5"/>
      <c r="G10150" s="5"/>
      <c r="H10150" s="5"/>
      <c r="I10150" s="5"/>
      <c r="J10150" s="5"/>
      <c r="K10150" s="5"/>
      <c r="L10150" s="5"/>
      <c r="M10150" s="5"/>
      <c r="N10150" s="5"/>
      <c r="O10150" s="5"/>
      <c r="P10150" s="5"/>
      <c r="Q10150" s="5"/>
      <c r="R10150" s="5"/>
      <c r="S10150" s="5"/>
      <c r="T10150" s="5"/>
      <c r="U10150" s="5"/>
      <c r="V10150" s="5"/>
      <c r="W10150" s="5"/>
      <c r="X10150" s="5"/>
      <c r="Y10150" s="5"/>
      <c r="Z10150" s="5"/>
    </row>
    <row r="10151" spans="1:26" ht="15" x14ac:dyDescent="0.25">
      <c r="A10151" s="4" t="s">
        <v>10149</v>
      </c>
      <c r="B10151" s="4" t="s">
        <v>9011</v>
      </c>
      <c r="C10151" s="2" t="str">
        <f ca="1">IFERROR(__xludf.DUMMYFUNCTION("GOOGLETRANSLATE(A10151,""bn"",""en"")"),"Will you be multitasking?")</f>
        <v>Will you be multitasking?</v>
      </c>
      <c r="D10151" s="5"/>
      <c r="E10151" s="5"/>
      <c r="F10151" s="5"/>
      <c r="G10151" s="5"/>
      <c r="H10151" s="5"/>
      <c r="I10151" s="5"/>
      <c r="J10151" s="5"/>
      <c r="K10151" s="5"/>
      <c r="L10151" s="5"/>
      <c r="M10151" s="5"/>
      <c r="N10151" s="5"/>
      <c r="O10151" s="5"/>
      <c r="P10151" s="5"/>
      <c r="Q10151" s="5"/>
      <c r="R10151" s="5"/>
      <c r="S10151" s="5"/>
      <c r="T10151" s="5"/>
      <c r="U10151" s="5"/>
      <c r="V10151" s="5"/>
      <c r="W10151" s="5"/>
      <c r="X10151" s="5"/>
      <c r="Y10151" s="5"/>
      <c r="Z10151" s="5"/>
    </row>
    <row r="10152" spans="1:26" ht="15" x14ac:dyDescent="0.25">
      <c r="A10152" s="4" t="s">
        <v>10150</v>
      </c>
      <c r="B10152" s="4" t="s">
        <v>9011</v>
      </c>
      <c r="C10152" s="2" t="str">
        <f ca="1">IFERROR(__xludf.DUMMYFUNCTION("GOOGLETRANSLATE(A10152,""bn"",""en"")"),"You will start a new dog next year")</f>
        <v>You will start a new dog next year</v>
      </c>
      <c r="D10152" s="5"/>
      <c r="E10152" s="5"/>
      <c r="F10152" s="5"/>
      <c r="G10152" s="5"/>
      <c r="H10152" s="5"/>
      <c r="I10152" s="5"/>
      <c r="J10152" s="5"/>
      <c r="K10152" s="5"/>
      <c r="L10152" s="5"/>
      <c r="M10152" s="5"/>
      <c r="N10152" s="5"/>
      <c r="O10152" s="5"/>
      <c r="P10152" s="5"/>
      <c r="Q10152" s="5"/>
      <c r="R10152" s="5"/>
      <c r="S10152" s="5"/>
      <c r="T10152" s="5"/>
      <c r="U10152" s="5"/>
      <c r="V10152" s="5"/>
      <c r="W10152" s="5"/>
      <c r="X10152" s="5"/>
      <c r="Y10152" s="5"/>
      <c r="Z10152" s="5"/>
    </row>
    <row r="10153" spans="1:26" ht="15" x14ac:dyDescent="0.25">
      <c r="A10153" s="4" t="s">
        <v>10151</v>
      </c>
      <c r="B10153" s="4" t="s">
        <v>9011</v>
      </c>
      <c r="C10153" s="2" t="str">
        <f ca="1">IFERROR(__xludf.DUMMYFUNCTION("GOOGLETRANSLATE(A10153,""bn"",""en"")"),"He will train himself to look ahead to the amount of students he will be during his planning")</f>
        <v>He will train himself to look ahead to the amount of students he will be during his planning</v>
      </c>
      <c r="D10153" s="5"/>
      <c r="E10153" s="5"/>
      <c r="F10153" s="5"/>
      <c r="G10153" s="5"/>
      <c r="H10153" s="5"/>
      <c r="I10153" s="5"/>
      <c r="J10153" s="5"/>
      <c r="K10153" s="5"/>
      <c r="L10153" s="5"/>
      <c r="M10153" s="5"/>
      <c r="N10153" s="5"/>
      <c r="O10153" s="5"/>
      <c r="P10153" s="5"/>
      <c r="Q10153" s="5"/>
      <c r="R10153" s="5"/>
      <c r="S10153" s="5"/>
      <c r="T10153" s="5"/>
      <c r="U10153" s="5"/>
      <c r="V10153" s="5"/>
      <c r="W10153" s="5"/>
      <c r="X10153" s="5"/>
      <c r="Y10153" s="5"/>
      <c r="Z10153" s="5"/>
    </row>
    <row r="10154" spans="1:26" ht="15" x14ac:dyDescent="0.25">
      <c r="A10154" s="4" t="s">
        <v>10152</v>
      </c>
      <c r="B10154" s="4" t="s">
        <v>9011</v>
      </c>
      <c r="C10154" s="2" t="str">
        <f ca="1">IFERROR(__xludf.DUMMYFUNCTION("GOOGLETRANSLATE(A10154,""bn"",""en"")"),"The book Meagher Oye Alo Alo is a novel that will spread light on the clouds and the reader will be filled with thoughts of endless joy and will travel to the imaginary world.")</f>
        <v>The book Meagher Oye Alo Alo is a novel that will spread light on the clouds and the reader will be filled with thoughts of endless joy and will travel to the imaginary world.</v>
      </c>
      <c r="D10154" s="5"/>
      <c r="E10154" s="5"/>
      <c r="F10154" s="5"/>
      <c r="G10154" s="5"/>
      <c r="H10154" s="5"/>
      <c r="I10154" s="5"/>
      <c r="J10154" s="5"/>
      <c r="K10154" s="5"/>
      <c r="L10154" s="5"/>
      <c r="M10154" s="5"/>
      <c r="N10154" s="5"/>
      <c r="O10154" s="5"/>
      <c r="P10154" s="5"/>
      <c r="Q10154" s="5"/>
      <c r="R10154" s="5"/>
      <c r="S10154" s="5"/>
      <c r="T10154" s="5"/>
      <c r="U10154" s="5"/>
      <c r="V10154" s="5"/>
      <c r="W10154" s="5"/>
      <c r="X10154" s="5"/>
      <c r="Y10154" s="5"/>
      <c r="Z10154" s="5"/>
    </row>
    <row r="10155" spans="1:26" ht="15" x14ac:dyDescent="0.25">
      <c r="A10155" s="4" t="s">
        <v>10153</v>
      </c>
      <c r="B10155" s="4" t="s">
        <v>9011</v>
      </c>
      <c r="C10155" s="2" t="str">
        <f ca="1">IFERROR(__xludf.DUMMYFUNCTION("GOOGLETRANSLATE(A10155,""bn"",""en"")"),"Alo Aram Aadhar will be a collection of fiction stories that will spread the light of happiness in the minds of the readers, travel to the world of fantasy and leave the reader in a procession of laughter.")</f>
        <v>Alo Aram Aadhar will be a collection of fiction stories that will spread the light of happiness in the minds of the readers, travel to the world of fantasy and leave the reader in a procession of laughter.</v>
      </c>
      <c r="D10155" s="5"/>
      <c r="E10155" s="5"/>
      <c r="F10155" s="5"/>
      <c r="G10155" s="5"/>
      <c r="H10155" s="5"/>
      <c r="I10155" s="5"/>
      <c r="J10155" s="5"/>
      <c r="K10155" s="5"/>
      <c r="L10155" s="5"/>
      <c r="M10155" s="5"/>
      <c r="N10155" s="5"/>
      <c r="O10155" s="5"/>
      <c r="P10155" s="5"/>
      <c r="Q10155" s="5"/>
      <c r="R10155" s="5"/>
      <c r="S10155" s="5"/>
      <c r="T10155" s="5"/>
      <c r="U10155" s="5"/>
      <c r="V10155" s="5"/>
      <c r="W10155" s="5"/>
      <c r="X10155" s="5"/>
      <c r="Y10155" s="5"/>
      <c r="Z10155" s="5"/>
    </row>
    <row r="10156" spans="1:26" ht="15" x14ac:dyDescent="0.25">
      <c r="A10156" s="4" t="s">
        <v>10154</v>
      </c>
      <c r="B10156" s="4" t="s">
        <v>9011</v>
      </c>
      <c r="C10156" s="2" t="str">
        <f ca="1">IFERROR(__xludf.DUMMYFUNCTION("GOOGLETRANSLATE(A10156,""bn"",""en"")"),"Next month I will start learning a new language which will be helpful for my career")</f>
        <v>Next month I will start learning a new language which will be helpful for my career</v>
      </c>
      <c r="D10156" s="5"/>
      <c r="E10156" s="5"/>
      <c r="F10156" s="5"/>
      <c r="G10156" s="5"/>
      <c r="H10156" s="5"/>
      <c r="I10156" s="5"/>
      <c r="J10156" s="5"/>
      <c r="K10156" s="5"/>
      <c r="L10156" s="5"/>
      <c r="M10156" s="5"/>
      <c r="N10156" s="5"/>
      <c r="O10156" s="5"/>
      <c r="P10156" s="5"/>
      <c r="Q10156" s="5"/>
      <c r="R10156" s="5"/>
      <c r="S10156" s="5"/>
      <c r="T10156" s="5"/>
      <c r="U10156" s="5"/>
      <c r="V10156" s="5"/>
      <c r="W10156" s="5"/>
      <c r="X10156" s="5"/>
      <c r="Y10156" s="5"/>
      <c r="Z10156" s="5"/>
    </row>
    <row r="10157" spans="1:26" ht="15" x14ac:dyDescent="0.25">
      <c r="A10157" s="4" t="s">
        <v>10155</v>
      </c>
      <c r="B10157" s="4" t="s">
        <v>9011</v>
      </c>
      <c r="C10157" s="2" t="str">
        <f ca="1">IFERROR(__xludf.DUMMYFUNCTION("GOOGLETRANSLATE(A10157,""bn"",""en"")"),"They will get jobs next year")</f>
        <v>They will get jobs next year</v>
      </c>
      <c r="D10157" s="5"/>
      <c r="E10157" s="5"/>
      <c r="F10157" s="5"/>
      <c r="G10157" s="5"/>
      <c r="H10157" s="5"/>
      <c r="I10157" s="5"/>
      <c r="J10157" s="5"/>
      <c r="K10157" s="5"/>
      <c r="L10157" s="5"/>
      <c r="M10157" s="5"/>
      <c r="N10157" s="5"/>
      <c r="O10157" s="5"/>
      <c r="P10157" s="5"/>
      <c r="Q10157" s="5"/>
      <c r="R10157" s="5"/>
      <c r="S10157" s="5"/>
      <c r="T10157" s="5"/>
      <c r="U10157" s="5"/>
      <c r="V10157" s="5"/>
      <c r="W10157" s="5"/>
      <c r="X10157" s="5"/>
      <c r="Y10157" s="5"/>
      <c r="Z10157" s="5"/>
    </row>
    <row r="10158" spans="1:26" ht="15" x14ac:dyDescent="0.25">
      <c r="A10158" s="4" t="s">
        <v>10156</v>
      </c>
      <c r="B10158" s="4" t="s">
        <v>9011</v>
      </c>
      <c r="C10158" s="2" t="str">
        <f ca="1">IFERROR(__xludf.DUMMYFUNCTION("GOOGLETRANSLATE(A10158,""bn"",""en"")"),"With this mixture of fun and many sweet memories, your happy family will have a happy wedding anniversary")</f>
        <v>With this mixture of fun and many sweet memories, your happy family will have a happy wedding anniversary</v>
      </c>
      <c r="D10158" s="5"/>
      <c r="E10158" s="5"/>
      <c r="F10158" s="5"/>
      <c r="G10158" s="5"/>
      <c r="H10158" s="5"/>
      <c r="I10158" s="5"/>
      <c r="J10158" s="5"/>
      <c r="K10158" s="5"/>
      <c r="L10158" s="5"/>
      <c r="M10158" s="5"/>
      <c r="N10158" s="5"/>
      <c r="O10158" s="5"/>
      <c r="P10158" s="5"/>
      <c r="Q10158" s="5"/>
      <c r="R10158" s="5"/>
      <c r="S10158" s="5"/>
      <c r="T10158" s="5"/>
      <c r="U10158" s="5"/>
      <c r="V10158" s="5"/>
      <c r="W10158" s="5"/>
      <c r="X10158" s="5"/>
      <c r="Y10158" s="5"/>
      <c r="Z10158" s="5"/>
    </row>
    <row r="10159" spans="1:26" ht="15" x14ac:dyDescent="0.25">
      <c r="A10159" s="4" t="s">
        <v>10157</v>
      </c>
      <c r="B10159" s="4" t="s">
        <v>9011</v>
      </c>
      <c r="C10159" s="2" t="str">
        <f ca="1">IFERROR(__xludf.DUMMYFUNCTION("GOOGLETRANSLATE(A10159,""bn"",""en"")"),"We will forget all the worries of the world by eating biryani")</f>
        <v>We will forget all the worries of the world by eating biryani</v>
      </c>
      <c r="D10159" s="5"/>
      <c r="E10159" s="5"/>
      <c r="F10159" s="5"/>
      <c r="G10159" s="5"/>
      <c r="H10159" s="5"/>
      <c r="I10159" s="5"/>
      <c r="J10159" s="5"/>
      <c r="K10159" s="5"/>
      <c r="L10159" s="5"/>
      <c r="M10159" s="5"/>
      <c r="N10159" s="5"/>
      <c r="O10159" s="5"/>
      <c r="P10159" s="5"/>
      <c r="Q10159" s="5"/>
      <c r="R10159" s="5"/>
      <c r="S10159" s="5"/>
      <c r="T10159" s="5"/>
      <c r="U10159" s="5"/>
      <c r="V10159" s="5"/>
      <c r="W10159" s="5"/>
      <c r="X10159" s="5"/>
      <c r="Y10159" s="5"/>
      <c r="Z10159" s="5"/>
    </row>
    <row r="10160" spans="1:26" ht="15" x14ac:dyDescent="0.25">
      <c r="A10160" s="4" t="s">
        <v>10158</v>
      </c>
      <c r="B10160" s="4" t="s">
        <v>9011</v>
      </c>
      <c r="C10160" s="2" t="str">
        <f ca="1">IFERROR(__xludf.DUMMYFUNCTION("GOOGLETRANSLATE(A10160,""bn"",""en"")"),"Never trust your words and thoughts when you are sick")</f>
        <v>Never trust your words and thoughts when you are sick</v>
      </c>
      <c r="D10160" s="5"/>
      <c r="E10160" s="5"/>
      <c r="F10160" s="5"/>
      <c r="G10160" s="5"/>
      <c r="H10160" s="5"/>
      <c r="I10160" s="5"/>
      <c r="J10160" s="5"/>
      <c r="K10160" s="5"/>
      <c r="L10160" s="5"/>
      <c r="M10160" s="5"/>
      <c r="N10160" s="5"/>
      <c r="O10160" s="5"/>
      <c r="P10160" s="5"/>
      <c r="Q10160" s="5"/>
      <c r="R10160" s="5"/>
      <c r="S10160" s="5"/>
      <c r="T10160" s="5"/>
      <c r="U10160" s="5"/>
      <c r="V10160" s="5"/>
      <c r="W10160" s="5"/>
      <c r="X10160" s="5"/>
      <c r="Y10160" s="5"/>
      <c r="Z10160" s="5"/>
    </row>
    <row r="10161" spans="1:26" ht="15" x14ac:dyDescent="0.25">
      <c r="A10161" s="4" t="s">
        <v>10159</v>
      </c>
      <c r="B10161" s="4" t="s">
        <v>9011</v>
      </c>
      <c r="C10161" s="2" t="str">
        <f ca="1">IFERROR(__xludf.DUMMYFUNCTION("GOOGLETRANSLATE(A10161,""bn"",""en"")"),"Baran Saptami Ashtami Navami Dasmi Daily puja will be a wonderful joy Happy Durga Puja")</f>
        <v>Baran Saptami Ashtami Navami Dasmi Daily puja will be a wonderful joy Happy Durga Puja</v>
      </c>
      <c r="D10161" s="5"/>
      <c r="E10161" s="5"/>
      <c r="F10161" s="5"/>
      <c r="G10161" s="5"/>
      <c r="H10161" s="5"/>
      <c r="I10161" s="5"/>
      <c r="J10161" s="5"/>
      <c r="K10161" s="5"/>
      <c r="L10161" s="5"/>
      <c r="M10161" s="5"/>
      <c r="N10161" s="5"/>
      <c r="O10161" s="5"/>
      <c r="P10161" s="5"/>
      <c r="Q10161" s="5"/>
      <c r="R10161" s="5"/>
      <c r="S10161" s="5"/>
      <c r="T10161" s="5"/>
      <c r="U10161" s="5"/>
      <c r="V10161" s="5"/>
      <c r="W10161" s="5"/>
      <c r="X10161" s="5"/>
      <c r="Y10161" s="5"/>
      <c r="Z10161" s="5"/>
    </row>
    <row r="10162" spans="1:26" ht="15" x14ac:dyDescent="0.25">
      <c r="A10162" s="4" t="s">
        <v>10160</v>
      </c>
      <c r="B10162" s="4" t="s">
        <v>9011</v>
      </c>
      <c r="C10162" s="2" t="str">
        <f ca="1">IFERROR(__xludf.DUMMYFUNCTION("GOOGLETRANSLATE(A10162,""bn"",""en"")"),"The memories of walking along the beach with your loved ones, telling jokes and having fun with your friends from school days will never compare.")</f>
        <v>The memories of walking along the beach with your loved ones, telling jokes and having fun with your friends from school days will never compare.</v>
      </c>
      <c r="D10162" s="5"/>
      <c r="E10162" s="5"/>
      <c r="F10162" s="5"/>
      <c r="G10162" s="5"/>
      <c r="H10162" s="5"/>
      <c r="I10162" s="5"/>
      <c r="J10162" s="5"/>
      <c r="K10162" s="5"/>
      <c r="L10162" s="5"/>
      <c r="M10162" s="5"/>
      <c r="N10162" s="5"/>
      <c r="O10162" s="5"/>
      <c r="P10162" s="5"/>
      <c r="Q10162" s="5"/>
      <c r="R10162" s="5"/>
      <c r="S10162" s="5"/>
      <c r="T10162" s="5"/>
      <c r="U10162" s="5"/>
      <c r="V10162" s="5"/>
      <c r="W10162" s="5"/>
      <c r="X10162" s="5"/>
      <c r="Y10162" s="5"/>
      <c r="Z10162" s="5"/>
    </row>
    <row r="10163" spans="1:26" ht="15" x14ac:dyDescent="0.25">
      <c r="A10163" s="4" t="s">
        <v>10161</v>
      </c>
      <c r="B10163" s="4" t="s">
        <v>9011</v>
      </c>
      <c r="C10163" s="2" t="str">
        <f ca="1">IFERROR(__xludf.DUMMYFUNCTION("GOOGLETRANSLATE(A10163,""bn"",""en"")"),"Next year we will buy a new house which will be our dream house")</f>
        <v>Next year we will buy a new house which will be our dream house</v>
      </c>
      <c r="D10163" s="5"/>
      <c r="E10163" s="5"/>
      <c r="F10163" s="5"/>
      <c r="G10163" s="5"/>
      <c r="H10163" s="5"/>
      <c r="I10163" s="5"/>
      <c r="J10163" s="5"/>
      <c r="K10163" s="5"/>
      <c r="L10163" s="5"/>
      <c r="M10163" s="5"/>
      <c r="N10163" s="5"/>
      <c r="O10163" s="5"/>
      <c r="P10163" s="5"/>
      <c r="Q10163" s="5"/>
      <c r="R10163" s="5"/>
      <c r="S10163" s="5"/>
      <c r="T10163" s="5"/>
      <c r="U10163" s="5"/>
      <c r="V10163" s="5"/>
      <c r="W10163" s="5"/>
      <c r="X10163" s="5"/>
      <c r="Y10163" s="5"/>
      <c r="Z10163" s="5"/>
    </row>
    <row r="10164" spans="1:26" ht="15" x14ac:dyDescent="0.25">
      <c r="A10164" s="4" t="s">
        <v>10162</v>
      </c>
      <c r="B10164" s="4" t="s">
        <v>9011</v>
      </c>
      <c r="C10164" s="2" t="str">
        <f ca="1">IFERROR(__xludf.DUMMYFUNCTION("GOOGLETRANSLATE(A10164,""bn"",""en"")"),"Some of the film's dialogues will stick in the mind")</f>
        <v>Some of the film's dialogues will stick in the mind</v>
      </c>
      <c r="D10164" s="5"/>
      <c r="E10164" s="5"/>
      <c r="F10164" s="5"/>
      <c r="G10164" s="5"/>
      <c r="H10164" s="5"/>
      <c r="I10164" s="5"/>
      <c r="J10164" s="5"/>
      <c r="K10164" s="5"/>
      <c r="L10164" s="5"/>
      <c r="M10164" s="5"/>
      <c r="N10164" s="5"/>
      <c r="O10164" s="5"/>
      <c r="P10164" s="5"/>
      <c r="Q10164" s="5"/>
      <c r="R10164" s="5"/>
      <c r="S10164" s="5"/>
      <c r="T10164" s="5"/>
      <c r="U10164" s="5"/>
      <c r="V10164" s="5"/>
      <c r="W10164" s="5"/>
      <c r="X10164" s="5"/>
      <c r="Y10164" s="5"/>
      <c r="Z10164" s="5"/>
    </row>
    <row r="10165" spans="1:26" ht="15" x14ac:dyDescent="0.25">
      <c r="A10165" s="4" t="s">
        <v>10163</v>
      </c>
      <c r="B10165" s="4" t="s">
        <v>9011</v>
      </c>
      <c r="C10165" s="2" t="str">
        <f ca="1">IFERROR(__xludf.DUMMYFUNCTION("GOOGLETRANSLATE(A10165,""bn"",""en"")"),"I will have dinner ready when you arrive")</f>
        <v>I will have dinner ready when you arrive</v>
      </c>
      <c r="D10165" s="5"/>
      <c r="E10165" s="5"/>
      <c r="F10165" s="5"/>
      <c r="G10165" s="5"/>
      <c r="H10165" s="5"/>
      <c r="I10165" s="5"/>
      <c r="J10165" s="5"/>
      <c r="K10165" s="5"/>
      <c r="L10165" s="5"/>
      <c r="M10165" s="5"/>
      <c r="N10165" s="5"/>
      <c r="O10165" s="5"/>
      <c r="P10165" s="5"/>
      <c r="Q10165" s="5"/>
      <c r="R10165" s="5"/>
      <c r="S10165" s="5"/>
      <c r="T10165" s="5"/>
      <c r="U10165" s="5"/>
      <c r="V10165" s="5"/>
      <c r="W10165" s="5"/>
      <c r="X10165" s="5"/>
      <c r="Y10165" s="5"/>
      <c r="Z10165" s="5"/>
    </row>
    <row r="10166" spans="1:26" ht="15" x14ac:dyDescent="0.25">
      <c r="A10166" s="4" t="s">
        <v>10164</v>
      </c>
      <c r="B10166" s="4" t="s">
        <v>9011</v>
      </c>
      <c r="C10166" s="2" t="str">
        <f ca="1">IFERROR(__xludf.DUMMYFUNCTION("GOOGLETRANSLATE(A10166,""bn"",""en"")"),"Face of Light Author Anwara Once this book will be difficult to talk about because every page of the book will reflect a new creative joy.")</f>
        <v>Face of Light Author Anwara Once this book will be difficult to talk about because every page of the book will reflect a new creative joy.</v>
      </c>
      <c r="D10166" s="5"/>
      <c r="E10166" s="5"/>
      <c r="F10166" s="5"/>
      <c r="G10166" s="5"/>
      <c r="H10166" s="5"/>
      <c r="I10166" s="5"/>
      <c r="J10166" s="5"/>
      <c r="K10166" s="5"/>
      <c r="L10166" s="5"/>
      <c r="M10166" s="5"/>
      <c r="N10166" s="5"/>
      <c r="O10166" s="5"/>
      <c r="P10166" s="5"/>
      <c r="Q10166" s="5"/>
      <c r="R10166" s="5"/>
      <c r="S10166" s="5"/>
      <c r="T10166" s="5"/>
      <c r="U10166" s="5"/>
      <c r="V10166" s="5"/>
      <c r="W10166" s="5"/>
      <c r="X10166" s="5"/>
      <c r="Y10166" s="5"/>
      <c r="Z10166" s="5"/>
    </row>
    <row r="10167" spans="1:26" ht="15" x14ac:dyDescent="0.25">
      <c r="A10167" s="4" t="s">
        <v>10165</v>
      </c>
      <c r="B10167" s="4" t="s">
        <v>9011</v>
      </c>
      <c r="C10167" s="2" t="str">
        <f ca="1">IFERROR(__xludf.DUMMYFUNCTION("GOOGLETRANSLATE(A10167,""bn"",""en"")"),"Spending time on the pages of a book will enrich the mind with joy.")</f>
        <v>Spending time on the pages of a book will enrich the mind with joy.</v>
      </c>
      <c r="D10167" s="5"/>
      <c r="E10167" s="5"/>
      <c r="F10167" s="5"/>
      <c r="G10167" s="5"/>
      <c r="H10167" s="5"/>
      <c r="I10167" s="5"/>
      <c r="J10167" s="5"/>
      <c r="K10167" s="5"/>
      <c r="L10167" s="5"/>
      <c r="M10167" s="5"/>
      <c r="N10167" s="5"/>
      <c r="O10167" s="5"/>
      <c r="P10167" s="5"/>
      <c r="Q10167" s="5"/>
      <c r="R10167" s="5"/>
      <c r="S10167" s="5"/>
      <c r="T10167" s="5"/>
      <c r="U10167" s="5"/>
      <c r="V10167" s="5"/>
      <c r="W10167" s="5"/>
      <c r="X10167" s="5"/>
      <c r="Y10167" s="5"/>
      <c r="Z10167" s="5"/>
    </row>
    <row r="10168" spans="1:26" ht="15" x14ac:dyDescent="0.25">
      <c r="A10168" s="4" t="s">
        <v>10166</v>
      </c>
      <c r="B10168" s="4" t="s">
        <v>9011</v>
      </c>
      <c r="C10168" s="2" t="str">
        <f ca="1">IFERROR(__xludf.DUMMYFUNCTION("GOOGLETRANSLATE(A10168,""bn"",""en"")"),"After all these years, seeing the face of my friend, I will feel like I will conquer the whole world")</f>
        <v>After all these years, seeing the face of my friend, I will feel like I will conquer the whole world</v>
      </c>
      <c r="D10168" s="5"/>
      <c r="E10168" s="5"/>
      <c r="F10168" s="5"/>
      <c r="G10168" s="5"/>
      <c r="H10168" s="5"/>
      <c r="I10168" s="5"/>
      <c r="J10168" s="5"/>
      <c r="K10168" s="5"/>
      <c r="L10168" s="5"/>
      <c r="M10168" s="5"/>
      <c r="N10168" s="5"/>
      <c r="O10168" s="5"/>
      <c r="P10168" s="5"/>
      <c r="Q10168" s="5"/>
      <c r="R10168" s="5"/>
      <c r="S10168" s="5"/>
      <c r="T10168" s="5"/>
      <c r="U10168" s="5"/>
      <c r="V10168" s="5"/>
      <c r="W10168" s="5"/>
      <c r="X10168" s="5"/>
      <c r="Y10168" s="5"/>
      <c r="Z10168" s="5"/>
    </row>
    <row r="10169" spans="1:26" ht="15" x14ac:dyDescent="0.25">
      <c r="A10169" s="4" t="s">
        <v>10167</v>
      </c>
      <c r="B10169" s="4" t="s">
        <v>9011</v>
      </c>
      <c r="C10169" s="2" t="str">
        <f ca="1">IFERROR(__xludf.DUMMYFUNCTION("GOOGLETRANSLATE(A10169,""bn"",""en"")"),"Life is like riding a bicycle, you must keep moving to maintain your balance")</f>
        <v>Life is like riding a bicycle, you must keep moving to maintain your balance</v>
      </c>
      <c r="D10169" s="5"/>
      <c r="E10169" s="5"/>
      <c r="F10169" s="5"/>
      <c r="G10169" s="5"/>
      <c r="H10169" s="5"/>
      <c r="I10169" s="5"/>
      <c r="J10169" s="5"/>
      <c r="K10169" s="5"/>
      <c r="L10169" s="5"/>
      <c r="M10169" s="5"/>
      <c r="N10169" s="5"/>
      <c r="O10169" s="5"/>
      <c r="P10169" s="5"/>
      <c r="Q10169" s="5"/>
      <c r="R10169" s="5"/>
      <c r="S10169" s="5"/>
      <c r="T10169" s="5"/>
      <c r="U10169" s="5"/>
      <c r="V10169" s="5"/>
      <c r="W10169" s="5"/>
      <c r="X10169" s="5"/>
      <c r="Y10169" s="5"/>
      <c r="Z10169" s="5"/>
    </row>
    <row r="10170" spans="1:26" ht="15" x14ac:dyDescent="0.25">
      <c r="A10170" s="4" t="s">
        <v>10168</v>
      </c>
      <c r="B10170" s="4" t="s">
        <v>9011</v>
      </c>
      <c r="C10170" s="2" t="str">
        <f ca="1">IFERROR(__xludf.DUMMYFUNCTION("GOOGLETRANSLATE(A10170,""bn"",""en"")"),"Establishing fitness some time every day will be essential for a healthy body to become happy")</f>
        <v>Establishing fitness some time every day will be essential for a healthy body to become happy</v>
      </c>
      <c r="D10170" s="5"/>
      <c r="E10170" s="5"/>
      <c r="F10170" s="5"/>
      <c r="G10170" s="5"/>
      <c r="H10170" s="5"/>
      <c r="I10170" s="5"/>
      <c r="J10170" s="5"/>
      <c r="K10170" s="5"/>
      <c r="L10170" s="5"/>
      <c r="M10170" s="5"/>
      <c r="N10170" s="5"/>
      <c r="O10170" s="5"/>
      <c r="P10170" s="5"/>
      <c r="Q10170" s="5"/>
      <c r="R10170" s="5"/>
      <c r="S10170" s="5"/>
      <c r="T10170" s="5"/>
      <c r="U10170" s="5"/>
      <c r="V10170" s="5"/>
      <c r="W10170" s="5"/>
      <c r="X10170" s="5"/>
      <c r="Y10170" s="5"/>
      <c r="Z10170" s="5"/>
    </row>
    <row r="10171" spans="1:26" ht="15" x14ac:dyDescent="0.25">
      <c r="A10171" s="4" t="s">
        <v>10169</v>
      </c>
      <c r="B10171" s="4" t="s">
        <v>9011</v>
      </c>
      <c r="C10171" s="2" t="str">
        <f ca="1">IFERROR(__xludf.DUMMYFUNCTION("GOOGLETRANSLATE(A10171,""bn"",""en"")"),"I will float in the joy of victory when I start work")</f>
        <v>I will float in the joy of victory when I start work</v>
      </c>
      <c r="D10171" s="5"/>
      <c r="E10171" s="5"/>
      <c r="F10171" s="5"/>
      <c r="G10171" s="5"/>
      <c r="H10171" s="5"/>
      <c r="I10171" s="5"/>
      <c r="J10171" s="5"/>
      <c r="K10171" s="5"/>
      <c r="L10171" s="5"/>
      <c r="M10171" s="5"/>
      <c r="N10171" s="5"/>
      <c r="O10171" s="5"/>
      <c r="P10171" s="5"/>
      <c r="Q10171" s="5"/>
      <c r="R10171" s="5"/>
      <c r="S10171" s="5"/>
      <c r="T10171" s="5"/>
      <c r="U10171" s="5"/>
      <c r="V10171" s="5"/>
      <c r="W10171" s="5"/>
      <c r="X10171" s="5"/>
      <c r="Y10171" s="5"/>
      <c r="Z10171" s="5"/>
    </row>
    <row r="10172" spans="1:26" ht="15" x14ac:dyDescent="0.25">
      <c r="A10172" s="4" t="s">
        <v>10170</v>
      </c>
      <c r="B10172" s="4" t="s">
        <v>9011</v>
      </c>
      <c r="C10172" s="2" t="str">
        <f ca="1">IFERROR(__xludf.DUMMYFUNCTION("GOOGLETRANSLATE(A10172,""bn"",""en"")"),"Would love to exchange gardening tips with neighbors and learn something new")</f>
        <v>Would love to exchange gardening tips with neighbors and learn something new</v>
      </c>
      <c r="D10172" s="5"/>
      <c r="E10172" s="5"/>
      <c r="F10172" s="5"/>
      <c r="G10172" s="5"/>
      <c r="H10172" s="5"/>
      <c r="I10172" s="5"/>
      <c r="J10172" s="5"/>
      <c r="K10172" s="5"/>
      <c r="L10172" s="5"/>
      <c r="M10172" s="5"/>
      <c r="N10172" s="5"/>
      <c r="O10172" s="5"/>
      <c r="P10172" s="5"/>
      <c r="Q10172" s="5"/>
      <c r="R10172" s="5"/>
      <c r="S10172" s="5"/>
      <c r="T10172" s="5"/>
      <c r="U10172" s="5"/>
      <c r="V10172" s="5"/>
      <c r="W10172" s="5"/>
      <c r="X10172" s="5"/>
      <c r="Y10172" s="5"/>
      <c r="Z10172" s="5"/>
    </row>
    <row r="10173" spans="1:26" ht="15" x14ac:dyDescent="0.25">
      <c r="A10173" s="4" t="s">
        <v>10171</v>
      </c>
      <c r="B10173" s="4" t="s">
        <v>9011</v>
      </c>
      <c r="C10173" s="2" t="str">
        <f ca="1">IFERROR(__xludf.DUMMYFUNCTION("GOOGLETRANSLATE(A10173,""bn"",""en"")"),"Meat kadai will be a great warming dish on a winter afternoon")</f>
        <v>Meat kadai will be a great warming dish on a winter afternoon</v>
      </c>
      <c r="D10173" s="5"/>
      <c r="E10173" s="5"/>
      <c r="F10173" s="5"/>
      <c r="G10173" s="5"/>
      <c r="H10173" s="5"/>
      <c r="I10173" s="5"/>
      <c r="J10173" s="5"/>
      <c r="K10173" s="5"/>
      <c r="L10173" s="5"/>
      <c r="M10173" s="5"/>
      <c r="N10173" s="5"/>
      <c r="O10173" s="5"/>
      <c r="P10173" s="5"/>
      <c r="Q10173" s="5"/>
      <c r="R10173" s="5"/>
      <c r="S10173" s="5"/>
      <c r="T10173" s="5"/>
      <c r="U10173" s="5"/>
      <c r="V10173" s="5"/>
      <c r="W10173" s="5"/>
      <c r="X10173" s="5"/>
      <c r="Y10173" s="5"/>
      <c r="Z10173" s="5"/>
    </row>
    <row r="10174" spans="1:26" ht="15" x14ac:dyDescent="0.25">
      <c r="A10174" s="4" t="s">
        <v>10172</v>
      </c>
      <c r="B10174" s="4" t="s">
        <v>9011</v>
      </c>
      <c r="C10174" s="2" t="str">
        <f ca="1">IFERROR(__xludf.DUMMYFUNCTION("GOOGLETRANSLATE(A10174,""bn"",""en"")"),"He will continue the business until the completion of his project when his technology is complete")</f>
        <v>He will continue the business until the completion of his project when his technology is complete</v>
      </c>
      <c r="D10174" s="5"/>
      <c r="E10174" s="5"/>
      <c r="F10174" s="5"/>
      <c r="G10174" s="5"/>
      <c r="H10174" s="5"/>
      <c r="I10174" s="5"/>
      <c r="J10174" s="5"/>
      <c r="K10174" s="5"/>
      <c r="L10174" s="5"/>
      <c r="M10174" s="5"/>
      <c r="N10174" s="5"/>
      <c r="O10174" s="5"/>
      <c r="P10174" s="5"/>
      <c r="Q10174" s="5"/>
      <c r="R10174" s="5"/>
      <c r="S10174" s="5"/>
      <c r="T10174" s="5"/>
      <c r="U10174" s="5"/>
      <c r="V10174" s="5"/>
      <c r="W10174" s="5"/>
      <c r="X10174" s="5"/>
      <c r="Y10174" s="5"/>
      <c r="Z10174" s="5"/>
    </row>
    <row r="10175" spans="1:26" ht="15" x14ac:dyDescent="0.25">
      <c r="A10175" s="4" t="s">
        <v>10173</v>
      </c>
      <c r="B10175" s="4" t="s">
        <v>9011</v>
      </c>
      <c r="C10175" s="2" t="str">
        <f ca="1">IFERROR(__xludf.DUMMYFUNCTION("GOOGLETRANSLATE(A10175,""bn"",""en"")"),"Comedy shows are an edge in people's lives where laughter will always create joy as part of it")</f>
        <v>Comedy shows are an edge in people's lives where laughter will always create joy as part of it</v>
      </c>
      <c r="D10175" s="5"/>
      <c r="E10175" s="5"/>
      <c r="F10175" s="5"/>
      <c r="G10175" s="5"/>
      <c r="H10175" s="5"/>
      <c r="I10175" s="5"/>
      <c r="J10175" s="5"/>
      <c r="K10175" s="5"/>
      <c r="L10175" s="5"/>
      <c r="M10175" s="5"/>
      <c r="N10175" s="5"/>
      <c r="O10175" s="5"/>
      <c r="P10175" s="5"/>
      <c r="Q10175" s="5"/>
      <c r="R10175" s="5"/>
      <c r="S10175" s="5"/>
      <c r="T10175" s="5"/>
      <c r="U10175" s="5"/>
      <c r="V10175" s="5"/>
      <c r="W10175" s="5"/>
      <c r="X10175" s="5"/>
      <c r="Y10175" s="5"/>
      <c r="Z10175" s="5"/>
    </row>
    <row r="10176" spans="1:26" ht="15" x14ac:dyDescent="0.25">
      <c r="A10176" s="4" t="s">
        <v>10174</v>
      </c>
      <c r="B10176" s="4" t="s">
        <v>9011</v>
      </c>
      <c r="C10176" s="2" t="str">
        <f ca="1">IFERROR(__xludf.DUMMYFUNCTION("GOOGLETRANSLATE(A10176,""bn"",""en"")"),"I will find so many realistic stories with my own life")</f>
        <v>I will find so many realistic stories with my own life</v>
      </c>
      <c r="D10176" s="5"/>
      <c r="E10176" s="5"/>
      <c r="F10176" s="5"/>
      <c r="G10176" s="5"/>
      <c r="H10176" s="5"/>
      <c r="I10176" s="5"/>
      <c r="J10176" s="5"/>
      <c r="K10176" s="5"/>
      <c r="L10176" s="5"/>
      <c r="M10176" s="5"/>
      <c r="N10176" s="5"/>
      <c r="O10176" s="5"/>
      <c r="P10176" s="5"/>
      <c r="Q10176" s="5"/>
      <c r="R10176" s="5"/>
      <c r="S10176" s="5"/>
      <c r="T10176" s="5"/>
      <c r="U10176" s="5"/>
      <c r="V10176" s="5"/>
      <c r="W10176" s="5"/>
      <c r="X10176" s="5"/>
      <c r="Y10176" s="5"/>
      <c r="Z10176" s="5"/>
    </row>
    <row r="10177" spans="1:26" ht="15" x14ac:dyDescent="0.25">
      <c r="A10177" s="4" t="s">
        <v>10175</v>
      </c>
      <c r="B10177" s="4" t="s">
        <v>9011</v>
      </c>
      <c r="C10177" s="2" t="str">
        <f ca="1">IFERROR(__xludf.DUMMYFUNCTION("GOOGLETRANSLATE(A10177,""bn"",""en"")"),"Mother will scold if you go to play or sleep, if you sleep, mother will feel better")</f>
        <v>Mother will scold if you go to play or sleep, if you sleep, mother will feel better</v>
      </c>
      <c r="D10177" s="5"/>
      <c r="E10177" s="5"/>
      <c r="F10177" s="5"/>
      <c r="G10177" s="5"/>
      <c r="H10177" s="5"/>
      <c r="I10177" s="5"/>
      <c r="J10177" s="5"/>
      <c r="K10177" s="5"/>
      <c r="L10177" s="5"/>
      <c r="M10177" s="5"/>
      <c r="N10177" s="5"/>
      <c r="O10177" s="5"/>
      <c r="P10177" s="5"/>
      <c r="Q10177" s="5"/>
      <c r="R10177" s="5"/>
      <c r="S10177" s="5"/>
      <c r="T10177" s="5"/>
      <c r="U10177" s="5"/>
      <c r="V10177" s="5"/>
      <c r="W10177" s="5"/>
      <c r="X10177" s="5"/>
      <c r="Y10177" s="5"/>
      <c r="Z10177" s="5"/>
    </row>
    <row r="10178" spans="1:26" ht="15" x14ac:dyDescent="0.25">
      <c r="A10178" s="4" t="s">
        <v>10176</v>
      </c>
      <c r="B10178" s="4" t="s">
        <v>9011</v>
      </c>
      <c r="C10178" s="2" t="str">
        <f ca="1">IFERROR(__xludf.DUMMYFUNCTION("GOOGLETRANSLATE(A10178,""bn"",""en"")"),"After a long time I will get tips from the client, sometimes such tips will be really good")</f>
        <v>After a long time I will get tips from the client, sometimes such tips will be really good</v>
      </c>
      <c r="D10178" s="5"/>
      <c r="E10178" s="5"/>
      <c r="F10178" s="5"/>
      <c r="G10178" s="5"/>
      <c r="H10178" s="5"/>
      <c r="I10178" s="5"/>
      <c r="J10178" s="5"/>
      <c r="K10178" s="5"/>
      <c r="L10178" s="5"/>
      <c r="M10178" s="5"/>
      <c r="N10178" s="5"/>
      <c r="O10178" s="5"/>
      <c r="P10178" s="5"/>
      <c r="Q10178" s="5"/>
      <c r="R10178" s="5"/>
      <c r="S10178" s="5"/>
      <c r="T10178" s="5"/>
      <c r="U10178" s="5"/>
      <c r="V10178" s="5"/>
      <c r="W10178" s="5"/>
      <c r="X10178" s="5"/>
      <c r="Y10178" s="5"/>
      <c r="Z10178" s="5"/>
    </row>
    <row r="10179" spans="1:26" ht="15" x14ac:dyDescent="0.25">
      <c r="A10179" s="4" t="s">
        <v>10177</v>
      </c>
      <c r="B10179" s="4" t="s">
        <v>9011</v>
      </c>
      <c r="C10179" s="2" t="str">
        <f ca="1">IFERROR(__xludf.DUMMYFUNCTION("GOOGLETRANSLATE(A10179,""bn"",""en"")"),"I will enroll in a new language course next week which will improve my international communication skills")</f>
        <v>I will enroll in a new language course next week which will improve my international communication skills</v>
      </c>
      <c r="D10179" s="5"/>
      <c r="E10179" s="5"/>
      <c r="F10179" s="5"/>
      <c r="G10179" s="5"/>
      <c r="H10179" s="5"/>
      <c r="I10179" s="5"/>
      <c r="J10179" s="5"/>
      <c r="K10179" s="5"/>
      <c r="L10179" s="5"/>
      <c r="M10179" s="5"/>
      <c r="N10179" s="5"/>
      <c r="O10179" s="5"/>
      <c r="P10179" s="5"/>
      <c r="Q10179" s="5"/>
      <c r="R10179" s="5"/>
      <c r="S10179" s="5"/>
      <c r="T10179" s="5"/>
      <c r="U10179" s="5"/>
      <c r="V10179" s="5"/>
      <c r="W10179" s="5"/>
      <c r="X10179" s="5"/>
      <c r="Y10179" s="5"/>
      <c r="Z10179" s="5"/>
    </row>
    <row r="10180" spans="1:26" ht="15" x14ac:dyDescent="0.25">
      <c r="A10180" s="4" t="s">
        <v>10178</v>
      </c>
      <c r="B10180" s="4" t="s">
        <v>9011</v>
      </c>
      <c r="C10180" s="2" t="str">
        <f ca="1">IFERROR(__xludf.DUMMYFUNCTION("GOOGLETRANSLATE(A10180,""bn"",""en"")"),"We will raise new investments for our projects in the coming year which will help us realize our plans")</f>
        <v>We will raise new investments for our projects in the coming year which will help us realize our plans</v>
      </c>
      <c r="D10180" s="5"/>
      <c r="E10180" s="5"/>
      <c r="F10180" s="5"/>
      <c r="G10180" s="5"/>
      <c r="H10180" s="5"/>
      <c r="I10180" s="5"/>
      <c r="J10180" s="5"/>
      <c r="K10180" s="5"/>
      <c r="L10180" s="5"/>
      <c r="M10180" s="5"/>
      <c r="N10180" s="5"/>
      <c r="O10180" s="5"/>
      <c r="P10180" s="5"/>
      <c r="Q10180" s="5"/>
      <c r="R10180" s="5"/>
      <c r="S10180" s="5"/>
      <c r="T10180" s="5"/>
      <c r="U10180" s="5"/>
      <c r="V10180" s="5"/>
      <c r="W10180" s="5"/>
      <c r="X10180" s="5"/>
      <c r="Y10180" s="5"/>
      <c r="Z10180" s="5"/>
    </row>
    <row r="10181" spans="1:26" ht="15" x14ac:dyDescent="0.25">
      <c r="A10181" s="4" t="s">
        <v>10179</v>
      </c>
      <c r="B10181" s="4" t="s">
        <v>9011</v>
      </c>
      <c r="C10181" s="2" t="str">
        <f ca="1">IFERROR(__xludf.DUMMYFUNCTION("GOOGLETRANSLATE(A10181,""bn"",""en"")"),"They will train to their capacity when they are ready to return home")</f>
        <v>They will train to their capacity when they are ready to return home</v>
      </c>
      <c r="D10181" s="5"/>
      <c r="E10181" s="5"/>
      <c r="F10181" s="5"/>
      <c r="G10181" s="5"/>
      <c r="H10181" s="5"/>
      <c r="I10181" s="5"/>
      <c r="J10181" s="5"/>
      <c r="K10181" s="5"/>
      <c r="L10181" s="5"/>
      <c r="M10181" s="5"/>
      <c r="N10181" s="5"/>
      <c r="O10181" s="5"/>
      <c r="P10181" s="5"/>
      <c r="Q10181" s="5"/>
      <c r="R10181" s="5"/>
      <c r="S10181" s="5"/>
      <c r="T10181" s="5"/>
      <c r="U10181" s="5"/>
      <c r="V10181" s="5"/>
      <c r="W10181" s="5"/>
      <c r="X10181" s="5"/>
      <c r="Y10181" s="5"/>
      <c r="Z10181" s="5"/>
    </row>
    <row r="10182" spans="1:26" ht="15" x14ac:dyDescent="0.25">
      <c r="A10182" s="4" t="s">
        <v>10180</v>
      </c>
      <c r="B10182" s="4" t="s">
        <v>9011</v>
      </c>
      <c r="C10182" s="2" t="str">
        <f ca="1">IFERROR(__xludf.DUMMYFUNCTION("GOOGLETRANSLATE(A10182,""bn"",""en"")"),"Wow Jaya will be the big boss now I have a treat today")</f>
        <v>Wow Jaya will be the big boss now I have a treat today</v>
      </c>
      <c r="D10182" s="5"/>
      <c r="E10182" s="5"/>
      <c r="F10182" s="5"/>
      <c r="G10182" s="5"/>
      <c r="H10182" s="5"/>
      <c r="I10182" s="5"/>
      <c r="J10182" s="5"/>
      <c r="K10182" s="5"/>
      <c r="L10182" s="5"/>
      <c r="M10182" s="5"/>
      <c r="N10182" s="5"/>
      <c r="O10182" s="5"/>
      <c r="P10182" s="5"/>
      <c r="Q10182" s="5"/>
      <c r="R10182" s="5"/>
      <c r="S10182" s="5"/>
      <c r="T10182" s="5"/>
      <c r="U10182" s="5"/>
      <c r="V10182" s="5"/>
      <c r="W10182" s="5"/>
      <c r="X10182" s="5"/>
      <c r="Y10182" s="5"/>
      <c r="Z10182" s="5"/>
    </row>
    <row r="10183" spans="1:26" ht="15" x14ac:dyDescent="0.25">
      <c r="A10183" s="4" t="s">
        <v>10181</v>
      </c>
      <c r="B10183" s="4" t="s">
        <v>9011</v>
      </c>
      <c r="C10183" s="2" t="str">
        <f ca="1">IFERROR(__xludf.DUMMYFUNCTION("GOOGLETRANSLATE(A10183,""bn"",""en"")"),"Through love and cooperation in the society, I have come so far and will move forward")</f>
        <v>Through love and cooperation in the society, I have come so far and will move forward</v>
      </c>
      <c r="D10183" s="5"/>
      <c r="E10183" s="5"/>
      <c r="F10183" s="5"/>
      <c r="G10183" s="5"/>
      <c r="H10183" s="5"/>
      <c r="I10183" s="5"/>
      <c r="J10183" s="5"/>
      <c r="K10183" s="5"/>
      <c r="L10183" s="5"/>
      <c r="M10183" s="5"/>
      <c r="N10183" s="5"/>
      <c r="O10183" s="5"/>
      <c r="P10183" s="5"/>
      <c r="Q10183" s="5"/>
      <c r="R10183" s="5"/>
      <c r="S10183" s="5"/>
      <c r="T10183" s="5"/>
      <c r="U10183" s="5"/>
      <c r="V10183" s="5"/>
      <c r="W10183" s="5"/>
      <c r="X10183" s="5"/>
      <c r="Y10183" s="5"/>
      <c r="Z10183" s="5"/>
    </row>
    <row r="10184" spans="1:26" ht="15" x14ac:dyDescent="0.25">
      <c r="A10184" s="4" t="s">
        <v>10182</v>
      </c>
      <c r="B10184" s="4" t="s">
        <v>9011</v>
      </c>
      <c r="C10184" s="2" t="str">
        <f ca="1">IFERROR(__xludf.DUMMYFUNCTION("GOOGLETRANSLATE(A10184,""bn"",""en"")"),"Social media is distracting, I think I'll deactivate it")</f>
        <v>Social media is distracting, I think I'll deactivate it</v>
      </c>
      <c r="D10184" s="5"/>
      <c r="E10184" s="5"/>
      <c r="F10184" s="5"/>
      <c r="G10184" s="5"/>
      <c r="H10184" s="5"/>
      <c r="I10184" s="5"/>
      <c r="J10184" s="5"/>
      <c r="K10184" s="5"/>
      <c r="L10184" s="5"/>
      <c r="M10184" s="5"/>
      <c r="N10184" s="5"/>
      <c r="O10184" s="5"/>
      <c r="P10184" s="5"/>
      <c r="Q10184" s="5"/>
      <c r="R10184" s="5"/>
      <c r="S10184" s="5"/>
      <c r="T10184" s="5"/>
      <c r="U10184" s="5"/>
      <c r="V10184" s="5"/>
      <c r="W10184" s="5"/>
      <c r="X10184" s="5"/>
      <c r="Y10184" s="5"/>
      <c r="Z10184" s="5"/>
    </row>
    <row r="10185" spans="1:26" ht="15" x14ac:dyDescent="0.25">
      <c r="A10185" s="4" t="s">
        <v>10183</v>
      </c>
      <c r="B10185" s="4" t="s">
        <v>9011</v>
      </c>
      <c r="C10185" s="2" t="str">
        <f ca="1">IFERROR(__xludf.DUMMYFUNCTION("GOOGLETRANSLATE(A10185,""bn"",""en"")"),"Those earlier days would not be easy, there would be no responsibilities, no worries")</f>
        <v>Those earlier days would not be easy, there would be no responsibilities, no worries</v>
      </c>
      <c r="D10185" s="5"/>
      <c r="E10185" s="5"/>
      <c r="F10185" s="5"/>
      <c r="G10185" s="5"/>
      <c r="H10185" s="5"/>
      <c r="I10185" s="5"/>
      <c r="J10185" s="5"/>
      <c r="K10185" s="5"/>
      <c r="L10185" s="5"/>
      <c r="M10185" s="5"/>
      <c r="N10185" s="5"/>
      <c r="O10185" s="5"/>
      <c r="P10185" s="5"/>
      <c r="Q10185" s="5"/>
      <c r="R10185" s="5"/>
      <c r="S10185" s="5"/>
      <c r="T10185" s="5"/>
      <c r="U10185" s="5"/>
      <c r="V10185" s="5"/>
      <c r="W10185" s="5"/>
      <c r="X10185" s="5"/>
      <c r="Y10185" s="5"/>
      <c r="Z10185" s="5"/>
    </row>
    <row r="10186" spans="1:26" ht="15" x14ac:dyDescent="0.25">
      <c r="A10186" s="4" t="s">
        <v>10184</v>
      </c>
      <c r="B10186" s="4" t="s">
        <v>9011</v>
      </c>
      <c r="C10186" s="2" t="str">
        <f ca="1">IFERROR(__xludf.DUMMYFUNCTION("GOOGLETRANSLATE(A10186,""bn"",""en"")"),"While reading the book, I will suddenly see that the sun has set, and I will be captivated by the immense beauty of nature")</f>
        <v>While reading the book, I will suddenly see that the sun has set, and I will be captivated by the immense beauty of nature</v>
      </c>
      <c r="D10186" s="5"/>
      <c r="E10186" s="5"/>
      <c r="F10186" s="5"/>
      <c r="G10186" s="5"/>
      <c r="H10186" s="5"/>
      <c r="I10186" s="5"/>
      <c r="J10186" s="5"/>
      <c r="K10186" s="5"/>
      <c r="L10186" s="5"/>
      <c r="M10186" s="5"/>
      <c r="N10186" s="5"/>
      <c r="O10186" s="5"/>
      <c r="P10186" s="5"/>
      <c r="Q10186" s="5"/>
      <c r="R10186" s="5"/>
      <c r="S10186" s="5"/>
      <c r="T10186" s="5"/>
      <c r="U10186" s="5"/>
      <c r="V10186" s="5"/>
      <c r="W10186" s="5"/>
      <c r="X10186" s="5"/>
      <c r="Y10186" s="5"/>
      <c r="Z10186" s="5"/>
    </row>
    <row r="10187" spans="1:26" ht="15" x14ac:dyDescent="0.25">
      <c r="A10187" s="4" t="s">
        <v>10185</v>
      </c>
      <c r="B10187" s="4" t="s">
        <v>9011</v>
      </c>
      <c r="C10187" s="2" t="str">
        <f ca="1">IFERROR(__xludf.DUMMYFUNCTION("GOOGLETRANSLATE(A10187,""bn"",""en"")"),"There will be critical acclaim")</f>
        <v>There will be critical acclaim</v>
      </c>
      <c r="D10187" s="5"/>
      <c r="E10187" s="5"/>
      <c r="F10187" s="5"/>
      <c r="G10187" s="5"/>
      <c r="H10187" s="5"/>
      <c r="I10187" s="5"/>
      <c r="J10187" s="5"/>
      <c r="K10187" s="5"/>
      <c r="L10187" s="5"/>
      <c r="M10187" s="5"/>
      <c r="N10187" s="5"/>
      <c r="O10187" s="5"/>
      <c r="P10187" s="5"/>
      <c r="Q10187" s="5"/>
      <c r="R10187" s="5"/>
      <c r="S10187" s="5"/>
      <c r="T10187" s="5"/>
      <c r="U10187" s="5"/>
      <c r="V10187" s="5"/>
      <c r="W10187" s="5"/>
      <c r="X10187" s="5"/>
      <c r="Y10187" s="5"/>
      <c r="Z10187" s="5"/>
    </row>
    <row r="10188" spans="1:26" ht="15" x14ac:dyDescent="0.25">
      <c r="A10188" s="4" t="s">
        <v>10186</v>
      </c>
      <c r="B10188" s="4" t="s">
        <v>9011</v>
      </c>
      <c r="C10188" s="2" t="str">
        <f ca="1">IFERROR(__xludf.DUMMYFUNCTION("GOOGLETRANSLATE(A10188,""bn"",""en"")"),"Today is a bad day, tomorrow will be a good day")</f>
        <v>Today is a bad day, tomorrow will be a good day</v>
      </c>
      <c r="D10188" s="5"/>
      <c r="E10188" s="5"/>
      <c r="F10188" s="5"/>
      <c r="G10188" s="5"/>
      <c r="H10188" s="5"/>
      <c r="I10188" s="5"/>
      <c r="J10188" s="5"/>
      <c r="K10188" s="5"/>
      <c r="L10188" s="5"/>
      <c r="M10188" s="5"/>
      <c r="N10188" s="5"/>
      <c r="O10188" s="5"/>
      <c r="P10188" s="5"/>
      <c r="Q10188" s="5"/>
      <c r="R10188" s="5"/>
      <c r="S10188" s="5"/>
      <c r="T10188" s="5"/>
      <c r="U10188" s="5"/>
      <c r="V10188" s="5"/>
      <c r="W10188" s="5"/>
      <c r="X10188" s="5"/>
      <c r="Y10188" s="5"/>
      <c r="Z10188" s="5"/>
    </row>
    <row r="10189" spans="1:26" ht="15" x14ac:dyDescent="0.25">
      <c r="A10189" s="4" t="s">
        <v>10187</v>
      </c>
      <c r="B10189" s="4" t="s">
        <v>9011</v>
      </c>
      <c r="C10189" s="2" t="str">
        <f ca="1">IFERROR(__xludf.DUMMYFUNCTION("GOOGLETRANSLATE(A10189,""bn"",""en"")"),"It will be a pleasure to appreciate your favorite actor or actress for their amazing performance and be happy with their success on social media")</f>
        <v>It will be a pleasure to appreciate your favorite actor or actress for their amazing performance and be happy with their success on social media</v>
      </c>
      <c r="D10189" s="5"/>
      <c r="E10189" s="5"/>
      <c r="F10189" s="5"/>
      <c r="G10189" s="5"/>
      <c r="H10189" s="5"/>
      <c r="I10189" s="5"/>
      <c r="J10189" s="5"/>
      <c r="K10189" s="5"/>
      <c r="L10189" s="5"/>
      <c r="M10189" s="5"/>
      <c r="N10189" s="5"/>
      <c r="O10189" s="5"/>
      <c r="P10189" s="5"/>
      <c r="Q10189" s="5"/>
      <c r="R10189" s="5"/>
      <c r="S10189" s="5"/>
      <c r="T10189" s="5"/>
      <c r="U10189" s="5"/>
      <c r="V10189" s="5"/>
      <c r="W10189" s="5"/>
      <c r="X10189" s="5"/>
      <c r="Y10189" s="5"/>
      <c r="Z10189" s="5"/>
    </row>
    <row r="10190" spans="1:26" ht="15" x14ac:dyDescent="0.25">
      <c r="A10190" s="4" t="s">
        <v>10188</v>
      </c>
      <c r="B10190" s="4" t="s">
        <v>9011</v>
      </c>
      <c r="C10190" s="2" t="str">
        <f ca="1">IFERROR(__xludf.DUMMYFUNCTION("GOOGLETRANSLATE(A10190,""bn"",""en"")"),"He will be speaking at an important conference next week which will be an opportunity to showcase his expertise")</f>
        <v>He will be speaking at an important conference next week which will be an opportunity to showcase his expertise</v>
      </c>
      <c r="D10190" s="5"/>
      <c r="E10190" s="5"/>
      <c r="F10190" s="5"/>
      <c r="G10190" s="5"/>
      <c r="H10190" s="5"/>
      <c r="I10190" s="5"/>
      <c r="J10190" s="5"/>
      <c r="K10190" s="5"/>
      <c r="L10190" s="5"/>
      <c r="M10190" s="5"/>
      <c r="N10190" s="5"/>
      <c r="O10190" s="5"/>
      <c r="P10190" s="5"/>
      <c r="Q10190" s="5"/>
      <c r="R10190" s="5"/>
      <c r="S10190" s="5"/>
      <c r="T10190" s="5"/>
      <c r="U10190" s="5"/>
      <c r="V10190" s="5"/>
      <c r="W10190" s="5"/>
      <c r="X10190" s="5"/>
      <c r="Y10190" s="5"/>
      <c r="Z10190" s="5"/>
    </row>
    <row r="10191" spans="1:26" ht="15" x14ac:dyDescent="0.25">
      <c r="A10191" s="4" t="s">
        <v>10189</v>
      </c>
      <c r="B10191" s="4" t="s">
        <v>9011</v>
      </c>
      <c r="C10191" s="2" t="str">
        <f ca="1">IFERROR(__xludf.DUMMYFUNCTION("GOOGLETRANSLATE(A10191,""bn"",""en"")"),"A new chapter of business will begin. We will try to deliver the best products to you through business. We hope for your support")</f>
        <v>A new chapter of business will begin. We will try to deliver the best products to you through business. We hope for your support</v>
      </c>
      <c r="D10191" s="5"/>
      <c r="E10191" s="5"/>
      <c r="F10191" s="5"/>
      <c r="G10191" s="5"/>
      <c r="H10191" s="5"/>
      <c r="I10191" s="5"/>
      <c r="J10191" s="5"/>
      <c r="K10191" s="5"/>
      <c r="L10191" s="5"/>
      <c r="M10191" s="5"/>
      <c r="N10191" s="5"/>
      <c r="O10191" s="5"/>
      <c r="P10191" s="5"/>
      <c r="Q10191" s="5"/>
      <c r="R10191" s="5"/>
      <c r="S10191" s="5"/>
      <c r="T10191" s="5"/>
      <c r="U10191" s="5"/>
      <c r="V10191" s="5"/>
      <c r="W10191" s="5"/>
      <c r="X10191" s="5"/>
      <c r="Y10191" s="5"/>
      <c r="Z10191" s="5"/>
    </row>
    <row r="10192" spans="1:26" ht="15" x14ac:dyDescent="0.25">
      <c r="A10192" s="4" t="s">
        <v>10190</v>
      </c>
      <c r="B10192" s="4" t="s">
        <v>9011</v>
      </c>
      <c r="C10192" s="2" t="str">
        <f ca="1">IFERROR(__xludf.DUMMYFUNCTION("GOOGLETRANSLATE(A10192,""bn"",""en"")"),"They will participate in an international startup competition next week where they will present their new projects")</f>
        <v>They will participate in an international startup competition next week where they will present their new projects</v>
      </c>
      <c r="D10192" s="5"/>
      <c r="E10192" s="5"/>
      <c r="F10192" s="5"/>
      <c r="G10192" s="5"/>
      <c r="H10192" s="5"/>
      <c r="I10192" s="5"/>
      <c r="J10192" s="5"/>
      <c r="K10192" s="5"/>
      <c r="L10192" s="5"/>
      <c r="M10192" s="5"/>
      <c r="N10192" s="5"/>
      <c r="O10192" s="5"/>
      <c r="P10192" s="5"/>
      <c r="Q10192" s="5"/>
      <c r="R10192" s="5"/>
      <c r="S10192" s="5"/>
      <c r="T10192" s="5"/>
      <c r="U10192" s="5"/>
      <c r="V10192" s="5"/>
      <c r="W10192" s="5"/>
      <c r="X10192" s="5"/>
      <c r="Y10192" s="5"/>
      <c r="Z10192" s="5"/>
    </row>
    <row r="10193" spans="1:26" ht="15" x14ac:dyDescent="0.25">
      <c r="A10193" s="4" t="s">
        <v>10191</v>
      </c>
      <c r="B10193" s="4" t="s">
        <v>9011</v>
      </c>
      <c r="C10193" s="2" t="str">
        <f ca="1">IFERROR(__xludf.DUMMYFUNCTION("GOOGLETRANSLATE(A10193,""bn"",""en"")"),"This year I will be contributing to new science and technological advancements, I hope it will improve my career more")</f>
        <v>This year I will be contributing to new science and technological advancements, I hope it will improve my career more</v>
      </c>
      <c r="D10193" s="5"/>
      <c r="E10193" s="5"/>
      <c r="F10193" s="5"/>
      <c r="G10193" s="5"/>
      <c r="H10193" s="5"/>
      <c r="I10193" s="5"/>
      <c r="J10193" s="5"/>
      <c r="K10193" s="5"/>
      <c r="L10193" s="5"/>
      <c r="M10193" s="5"/>
      <c r="N10193" s="5"/>
      <c r="O10193" s="5"/>
      <c r="P10193" s="5"/>
      <c r="Q10193" s="5"/>
      <c r="R10193" s="5"/>
      <c r="S10193" s="5"/>
      <c r="T10193" s="5"/>
      <c r="U10193" s="5"/>
      <c r="V10193" s="5"/>
      <c r="W10193" s="5"/>
      <c r="X10193" s="5"/>
      <c r="Y10193" s="5"/>
      <c r="Z10193" s="5"/>
    </row>
    <row r="10194" spans="1:26" ht="15" x14ac:dyDescent="0.25">
      <c r="A10194" s="4" t="s">
        <v>10192</v>
      </c>
      <c r="B10194" s="4" t="s">
        <v>9011</v>
      </c>
      <c r="C10194" s="2" t="str">
        <f ca="1">IFERROR(__xludf.DUMMYFUNCTION("GOOGLETRANSLATE(A10194,""bn"",""en"")"),"I will pray for you from the heart to always be happy")</f>
        <v>I will pray for you from the heart to always be happy</v>
      </c>
      <c r="D10194" s="5"/>
      <c r="E10194" s="5"/>
      <c r="F10194" s="5"/>
      <c r="G10194" s="5"/>
      <c r="H10194" s="5"/>
      <c r="I10194" s="5"/>
      <c r="J10194" s="5"/>
      <c r="K10194" s="5"/>
      <c r="L10194" s="5"/>
      <c r="M10194" s="5"/>
      <c r="N10194" s="5"/>
      <c r="O10194" s="5"/>
      <c r="P10194" s="5"/>
      <c r="Q10194" s="5"/>
      <c r="R10194" s="5"/>
      <c r="S10194" s="5"/>
      <c r="T10194" s="5"/>
      <c r="U10194" s="5"/>
      <c r="V10194" s="5"/>
      <c r="W10194" s="5"/>
      <c r="X10194" s="5"/>
      <c r="Y10194" s="5"/>
      <c r="Z10194" s="5"/>
    </row>
    <row r="10195" spans="1:26" ht="15" x14ac:dyDescent="0.25">
      <c r="A10195" s="4" t="s">
        <v>10193</v>
      </c>
      <c r="B10195" s="4" t="s">
        <v>9011</v>
      </c>
      <c r="C10195" s="2" t="str">
        <f ca="1">IFERROR(__xludf.DUMMYFUNCTION("GOOGLETRANSLATE(A10195,""bn"",""en"")"),"Next vacation we will go to a hill town where we will enjoy the natural beauty")</f>
        <v>Next vacation we will go to a hill town where we will enjoy the natural beauty</v>
      </c>
      <c r="D10195" s="5"/>
      <c r="E10195" s="5"/>
      <c r="F10195" s="5"/>
      <c r="G10195" s="5"/>
      <c r="H10195" s="5"/>
      <c r="I10195" s="5"/>
      <c r="J10195" s="5"/>
      <c r="K10195" s="5"/>
      <c r="L10195" s="5"/>
      <c r="M10195" s="5"/>
      <c r="N10195" s="5"/>
      <c r="O10195" s="5"/>
      <c r="P10195" s="5"/>
      <c r="Q10195" s="5"/>
      <c r="R10195" s="5"/>
      <c r="S10195" s="5"/>
      <c r="T10195" s="5"/>
      <c r="U10195" s="5"/>
      <c r="V10195" s="5"/>
      <c r="W10195" s="5"/>
      <c r="X10195" s="5"/>
      <c r="Y10195" s="5"/>
      <c r="Z10195" s="5"/>
    </row>
    <row r="10196" spans="1:26" ht="15" x14ac:dyDescent="0.25">
      <c r="A10196" s="4" t="s">
        <v>10194</v>
      </c>
      <c r="B10196" s="4" t="s">
        <v>9011</v>
      </c>
      <c r="C10196" s="2" t="str">
        <f ca="1">IFERROR(__xludf.DUMMYFUNCTION("GOOGLETRANSLATE(A10196,""bn"",""en"")"),"Time also has colors, sometimes black or white, both colors should be loved, and life should be painted with black and white")</f>
        <v>Time also has colors, sometimes black or white, both colors should be loved, and life should be painted with black and white</v>
      </c>
      <c r="D10196" s="5"/>
      <c r="E10196" s="5"/>
      <c r="F10196" s="5"/>
      <c r="G10196" s="5"/>
      <c r="H10196" s="5"/>
      <c r="I10196" s="5"/>
      <c r="J10196" s="5"/>
      <c r="K10196" s="5"/>
      <c r="L10196" s="5"/>
      <c r="M10196" s="5"/>
      <c r="N10196" s="5"/>
      <c r="O10196" s="5"/>
      <c r="P10196" s="5"/>
      <c r="Q10196" s="5"/>
      <c r="R10196" s="5"/>
      <c r="S10196" s="5"/>
      <c r="T10196" s="5"/>
      <c r="U10196" s="5"/>
      <c r="V10196" s="5"/>
      <c r="W10196" s="5"/>
      <c r="X10196" s="5"/>
      <c r="Y10196" s="5"/>
      <c r="Z10196" s="5"/>
    </row>
    <row r="10197" spans="1:26" ht="15" x14ac:dyDescent="0.25">
      <c r="A10197" s="4" t="s">
        <v>10195</v>
      </c>
      <c r="B10197" s="4" t="s">
        <v>9011</v>
      </c>
      <c r="C10197" s="2" t="str">
        <f ca="1">IFERROR(__xludf.DUMMYFUNCTION("GOOGLETRANSLATE(A10197,""bn"",""en"")"),"Small feet but big dreams we will be by your side every step of the way")</f>
        <v>Small feet but big dreams we will be by your side every step of the way</v>
      </c>
      <c r="D10197" s="5"/>
      <c r="E10197" s="5"/>
      <c r="F10197" s="5"/>
      <c r="G10197" s="5"/>
      <c r="H10197" s="5"/>
      <c r="I10197" s="5"/>
      <c r="J10197" s="5"/>
      <c r="K10197" s="5"/>
      <c r="L10197" s="5"/>
      <c r="M10197" s="5"/>
      <c r="N10197" s="5"/>
      <c r="O10197" s="5"/>
      <c r="P10197" s="5"/>
      <c r="Q10197" s="5"/>
      <c r="R10197" s="5"/>
      <c r="S10197" s="5"/>
      <c r="T10197" s="5"/>
      <c r="U10197" s="5"/>
      <c r="V10197" s="5"/>
      <c r="W10197" s="5"/>
      <c r="X10197" s="5"/>
      <c r="Y10197" s="5"/>
      <c r="Z10197" s="5"/>
    </row>
    <row r="10198" spans="1:26" ht="15" x14ac:dyDescent="0.25">
      <c r="A10198" s="4" t="s">
        <v>10196</v>
      </c>
      <c r="B10198" s="4" t="s">
        <v>9011</v>
      </c>
      <c r="C10198" s="2" t="str">
        <f ca="1">IFERROR(__xludf.DUMMYFUNCTION("GOOGLETRANSLATE(A10198,""bn"",""en"")"),"You are dearer than life, my friend, our friendship will live for thousands of years")</f>
        <v>You are dearer than life, my friend, our friendship will live for thousands of years</v>
      </c>
      <c r="D10198" s="5"/>
      <c r="E10198" s="5"/>
      <c r="F10198" s="5"/>
      <c r="G10198" s="5"/>
      <c r="H10198" s="5"/>
      <c r="I10198" s="5"/>
      <c r="J10198" s="5"/>
      <c r="K10198" s="5"/>
      <c r="L10198" s="5"/>
      <c r="M10198" s="5"/>
      <c r="N10198" s="5"/>
      <c r="O10198" s="5"/>
      <c r="P10198" s="5"/>
      <c r="Q10198" s="5"/>
      <c r="R10198" s="5"/>
      <c r="S10198" s="5"/>
      <c r="T10198" s="5"/>
      <c r="U10198" s="5"/>
      <c r="V10198" s="5"/>
      <c r="W10198" s="5"/>
      <c r="X10198" s="5"/>
      <c r="Y10198" s="5"/>
      <c r="Z10198" s="5"/>
    </row>
    <row r="10199" spans="1:26" ht="15" x14ac:dyDescent="0.25">
      <c r="A10199" s="4" t="s">
        <v>10197</v>
      </c>
      <c r="B10199" s="4" t="s">
        <v>9011</v>
      </c>
      <c r="C10199" s="2" t="str">
        <f ca="1">IFERROR(__xludf.DUMMYFUNCTION("GOOGLETRANSLATE(A10199,""bn"",""en"")"),"Friendship will be a gathering of light that will be created in my life")</f>
        <v>Friendship will be a gathering of light that will be created in my life</v>
      </c>
      <c r="D10199" s="5"/>
      <c r="E10199" s="5"/>
      <c r="F10199" s="5"/>
      <c r="G10199" s="5"/>
      <c r="H10199" s="5"/>
      <c r="I10199" s="5"/>
      <c r="J10199" s="5"/>
      <c r="K10199" s="5"/>
      <c r="L10199" s="5"/>
      <c r="M10199" s="5"/>
      <c r="N10199" s="5"/>
      <c r="O10199" s="5"/>
      <c r="P10199" s="5"/>
      <c r="Q10199" s="5"/>
      <c r="R10199" s="5"/>
      <c r="S10199" s="5"/>
      <c r="T10199" s="5"/>
      <c r="U10199" s="5"/>
      <c r="V10199" s="5"/>
      <c r="W10199" s="5"/>
      <c r="X10199" s="5"/>
      <c r="Y10199" s="5"/>
      <c r="Z10199" s="5"/>
    </row>
    <row r="10200" spans="1:26" ht="15" x14ac:dyDescent="0.25">
      <c r="A10200" s="4" t="s">
        <v>10198</v>
      </c>
      <c r="B10200" s="4" t="s">
        <v>9011</v>
      </c>
      <c r="C10200" s="2" t="str">
        <f ca="1">IFERROR(__xludf.DUMMYFUNCTION("GOOGLETRANSLATE(A10200,""bn"",""en"")"),"I have been your partner in all arrangements from the wedding ceremony to the bridegroom. I will be by your side for the rest of your life")</f>
        <v>I have been your partner in all arrangements from the wedding ceremony to the bridegroom. I will be by your side for the rest of your life</v>
      </c>
      <c r="D10200" s="5"/>
      <c r="E10200" s="5"/>
      <c r="F10200" s="5"/>
      <c r="G10200" s="5"/>
      <c r="H10200" s="5"/>
      <c r="I10200" s="5"/>
      <c r="J10200" s="5"/>
      <c r="K10200" s="5"/>
      <c r="L10200" s="5"/>
      <c r="M10200" s="5"/>
      <c r="N10200" s="5"/>
      <c r="O10200" s="5"/>
      <c r="P10200" s="5"/>
      <c r="Q10200" s="5"/>
      <c r="R10200" s="5"/>
      <c r="S10200" s="5"/>
      <c r="T10200" s="5"/>
      <c r="U10200" s="5"/>
      <c r="V10200" s="5"/>
      <c r="W10200" s="5"/>
      <c r="X10200" s="5"/>
      <c r="Y10200" s="5"/>
      <c r="Z10200" s="5"/>
    </row>
    <row r="10201" spans="1:26" ht="15" x14ac:dyDescent="0.25">
      <c r="A10201" s="4" t="s">
        <v>10199</v>
      </c>
      <c r="B10201" s="4" t="s">
        <v>9011</v>
      </c>
      <c r="C10201" s="2" t="str">
        <f ca="1">IFERROR(__xludf.DUMMYFUNCTION("GOOGLETRANSLATE(A10201,""bn"",""en"")"),"After learning a job, I entered the marketplace. I have to constantly learn something new for the client's demand.")</f>
        <v>After learning a job, I entered the marketplace. I have to constantly learn something new for the client's demand.</v>
      </c>
      <c r="D10201" s="5"/>
      <c r="E10201" s="5"/>
      <c r="F10201" s="5"/>
      <c r="G10201" s="5"/>
      <c r="H10201" s="5"/>
      <c r="I10201" s="5"/>
      <c r="J10201" s="5"/>
      <c r="K10201" s="5"/>
      <c r="L10201" s="5"/>
      <c r="M10201" s="5"/>
      <c r="N10201" s="5"/>
      <c r="O10201" s="5"/>
      <c r="P10201" s="5"/>
      <c r="Q10201" s="5"/>
      <c r="R10201" s="5"/>
      <c r="S10201" s="5"/>
      <c r="T10201" s="5"/>
      <c r="U10201" s="5"/>
      <c r="V10201" s="5"/>
      <c r="W10201" s="5"/>
      <c r="X10201" s="5"/>
      <c r="Y10201" s="5"/>
      <c r="Z10201" s="5"/>
    </row>
    <row r="10202" spans="1:26" ht="15" x14ac:dyDescent="0.25">
      <c r="A10202" s="4" t="s">
        <v>10200</v>
      </c>
      <c r="B10202" s="4" t="s">
        <v>9011</v>
      </c>
      <c r="C10202" s="2" t="str">
        <f ca="1">IFERROR(__xludf.DUMMYFUNCTION("GOOGLETRANSLATE(A10202,""bn"",""en"")"),"I am going to check the new mobile telephone battery tomorrow")</f>
        <v>I am going to check the new mobile telephone battery tomorrow</v>
      </c>
      <c r="D10202" s="5"/>
      <c r="E10202" s="5"/>
      <c r="F10202" s="5"/>
      <c r="G10202" s="5"/>
      <c r="H10202" s="5"/>
      <c r="I10202" s="5"/>
      <c r="J10202" s="5"/>
      <c r="K10202" s="5"/>
      <c r="L10202" s="5"/>
      <c r="M10202" s="5"/>
      <c r="N10202" s="5"/>
      <c r="O10202" s="5"/>
      <c r="P10202" s="5"/>
      <c r="Q10202" s="5"/>
      <c r="R10202" s="5"/>
      <c r="S10202" s="5"/>
      <c r="T10202" s="5"/>
      <c r="U10202" s="5"/>
      <c r="V10202" s="5"/>
      <c r="W10202" s="5"/>
      <c r="X10202" s="5"/>
      <c r="Y10202" s="5"/>
      <c r="Z10202" s="5"/>
    </row>
    <row r="10203" spans="1:26" ht="15" x14ac:dyDescent="0.25">
      <c r="A10203" s="4" t="s">
        <v>10201</v>
      </c>
      <c r="B10203" s="4" t="s">
        <v>9011</v>
      </c>
      <c r="C10203" s="2" t="str">
        <f ca="1">IFERROR(__xludf.DUMMYFUNCTION("GOOGLETRANSLATE(A10203,""bn"",""en"")"),"Friendship is the shaping of a feeling art that will stay with us all the time")</f>
        <v>Friendship is the shaping of a feeling art that will stay with us all the time</v>
      </c>
      <c r="D10203" s="5"/>
      <c r="E10203" s="5"/>
      <c r="F10203" s="5"/>
      <c r="G10203" s="5"/>
      <c r="H10203" s="5"/>
      <c r="I10203" s="5"/>
      <c r="J10203" s="5"/>
      <c r="K10203" s="5"/>
      <c r="L10203" s="5"/>
      <c r="M10203" s="5"/>
      <c r="N10203" s="5"/>
      <c r="O10203" s="5"/>
      <c r="P10203" s="5"/>
      <c r="Q10203" s="5"/>
      <c r="R10203" s="5"/>
      <c r="S10203" s="5"/>
      <c r="T10203" s="5"/>
      <c r="U10203" s="5"/>
      <c r="V10203" s="5"/>
      <c r="W10203" s="5"/>
      <c r="X10203" s="5"/>
      <c r="Y10203" s="5"/>
      <c r="Z10203" s="5"/>
    </row>
    <row r="10204" spans="1:26" ht="15" x14ac:dyDescent="0.25">
      <c r="A10204" s="4" t="s">
        <v>10202</v>
      </c>
      <c r="B10204" s="4" t="s">
        <v>9011</v>
      </c>
      <c r="C10204" s="2" t="str">
        <f ca="1">IFERROR(__xludf.DUMMYFUNCTION("GOOGLETRANSLATE(A10204,""bn"",""en"")"),"If I can't decide on something, I will tell people about the problem and I will accept the decision that will give majority opinion")</f>
        <v>If I can't decide on something, I will tell people about the problem and I will accept the decision that will give majority opinion</v>
      </c>
      <c r="D10204" s="5"/>
      <c r="E10204" s="5"/>
      <c r="F10204" s="5"/>
      <c r="G10204" s="5"/>
      <c r="H10204" s="5"/>
      <c r="I10204" s="5"/>
      <c r="J10204" s="5"/>
      <c r="K10204" s="5"/>
      <c r="L10204" s="5"/>
      <c r="M10204" s="5"/>
      <c r="N10204" s="5"/>
      <c r="O10204" s="5"/>
      <c r="P10204" s="5"/>
      <c r="Q10204" s="5"/>
      <c r="R10204" s="5"/>
      <c r="S10204" s="5"/>
      <c r="T10204" s="5"/>
      <c r="U10204" s="5"/>
      <c r="V10204" s="5"/>
      <c r="W10204" s="5"/>
      <c r="X10204" s="5"/>
      <c r="Y10204" s="5"/>
      <c r="Z10204" s="5"/>
    </row>
    <row r="10205" spans="1:26" ht="15" x14ac:dyDescent="0.25">
      <c r="A10205" s="4" t="s">
        <v>10203</v>
      </c>
      <c r="B10205" s="4" t="s">
        <v>9011</v>
      </c>
      <c r="C10205" s="2" t="str">
        <f ca="1">IFERROR(__xludf.DUMMYFUNCTION("GOOGLETRANSLATE(A10205,""bn"",""en"")"),"He has increased patience and ideas till his studies when he will finish his major course")</f>
        <v>He has increased patience and ideas till his studies when he will finish his major course</v>
      </c>
      <c r="D10205" s="5"/>
      <c r="E10205" s="5"/>
      <c r="F10205" s="5"/>
      <c r="G10205" s="5"/>
      <c r="H10205" s="5"/>
      <c r="I10205" s="5"/>
      <c r="J10205" s="5"/>
      <c r="K10205" s="5"/>
      <c r="L10205" s="5"/>
      <c r="M10205" s="5"/>
      <c r="N10205" s="5"/>
      <c r="O10205" s="5"/>
      <c r="P10205" s="5"/>
      <c r="Q10205" s="5"/>
      <c r="R10205" s="5"/>
      <c r="S10205" s="5"/>
      <c r="T10205" s="5"/>
      <c r="U10205" s="5"/>
      <c r="V10205" s="5"/>
      <c r="W10205" s="5"/>
      <c r="X10205" s="5"/>
      <c r="Y10205" s="5"/>
      <c r="Z10205" s="5"/>
    </row>
    <row r="10206" spans="1:26" ht="15" x14ac:dyDescent="0.25">
      <c r="A10206" s="4" t="s">
        <v>10204</v>
      </c>
      <c r="B10206" s="4" t="s">
        <v>9011</v>
      </c>
      <c r="C10206" s="2" t="str">
        <f ca="1">IFERROR(__xludf.DUMMYFUNCTION("GOOGLETRANSLATE(A10206,""bn"",""en"")"),"I will understand what happiness is by eating food from mother's hands")</f>
        <v>I will understand what happiness is by eating food from mother's hands</v>
      </c>
      <c r="D10206" s="5"/>
      <c r="E10206" s="5"/>
      <c r="F10206" s="5"/>
      <c r="G10206" s="5"/>
      <c r="H10206" s="5"/>
      <c r="I10206" s="5"/>
      <c r="J10206" s="5"/>
      <c r="K10206" s="5"/>
      <c r="L10206" s="5"/>
      <c r="M10206" s="5"/>
      <c r="N10206" s="5"/>
      <c r="O10206" s="5"/>
      <c r="P10206" s="5"/>
      <c r="Q10206" s="5"/>
      <c r="R10206" s="5"/>
      <c r="S10206" s="5"/>
      <c r="T10206" s="5"/>
      <c r="U10206" s="5"/>
      <c r="V10206" s="5"/>
      <c r="W10206" s="5"/>
      <c r="X10206" s="5"/>
      <c r="Y10206" s="5"/>
      <c r="Z10206" s="5"/>
    </row>
    <row r="10207" spans="1:26" ht="15" x14ac:dyDescent="0.25">
      <c r="A10207" s="4" t="s">
        <v>10205</v>
      </c>
      <c r="B10207" s="4" t="s">
        <v>9011</v>
      </c>
      <c r="C10207" s="2" t="str">
        <f ca="1">IFERROR(__xludf.DUMMYFUNCTION("GOOGLETRANSLATE(A10207,""bn"",""en"")"),"While watching the movie, the laughter and tears of the people around will be a sea of ​​emotions")</f>
        <v>While watching the movie, the laughter and tears of the people around will be a sea of ​​emotions</v>
      </c>
      <c r="D10207" s="5"/>
      <c r="E10207" s="5"/>
      <c r="F10207" s="5"/>
      <c r="G10207" s="5"/>
      <c r="H10207" s="5"/>
      <c r="I10207" s="5"/>
      <c r="J10207" s="5"/>
      <c r="K10207" s="5"/>
      <c r="L10207" s="5"/>
      <c r="M10207" s="5"/>
      <c r="N10207" s="5"/>
      <c r="O10207" s="5"/>
      <c r="P10207" s="5"/>
      <c r="Q10207" s="5"/>
      <c r="R10207" s="5"/>
      <c r="S10207" s="5"/>
      <c r="T10207" s="5"/>
      <c r="U10207" s="5"/>
      <c r="V10207" s="5"/>
      <c r="W10207" s="5"/>
      <c r="X10207" s="5"/>
      <c r="Y10207" s="5"/>
      <c r="Z10207" s="5"/>
    </row>
    <row r="10208" spans="1:26" ht="15" x14ac:dyDescent="0.25">
      <c r="A10208" s="4" t="s">
        <v>10206</v>
      </c>
      <c r="B10208" s="4" t="s">
        <v>9011</v>
      </c>
      <c r="C10208" s="2" t="str">
        <f ca="1">IFERROR(__xludf.DUMMYFUNCTION("GOOGLETRANSLATE(A10208,""bn"",""en"")"),"This time you give a treat and it will be eaten with the first salary")</f>
        <v>This time you give a treat and it will be eaten with the first salary</v>
      </c>
      <c r="D10208" s="5"/>
      <c r="E10208" s="5"/>
      <c r="F10208" s="5"/>
      <c r="G10208" s="5"/>
      <c r="H10208" s="5"/>
      <c r="I10208" s="5"/>
      <c r="J10208" s="5"/>
      <c r="K10208" s="5"/>
      <c r="L10208" s="5"/>
      <c r="M10208" s="5"/>
      <c r="N10208" s="5"/>
      <c r="O10208" s="5"/>
      <c r="P10208" s="5"/>
      <c r="Q10208" s="5"/>
      <c r="R10208" s="5"/>
      <c r="S10208" s="5"/>
      <c r="T10208" s="5"/>
      <c r="U10208" s="5"/>
      <c r="V10208" s="5"/>
      <c r="W10208" s="5"/>
      <c r="X10208" s="5"/>
      <c r="Y10208" s="5"/>
      <c r="Z10208" s="5"/>
    </row>
    <row r="10209" spans="1:26" ht="15" x14ac:dyDescent="0.25">
      <c r="A10209" s="4" t="s">
        <v>10207</v>
      </c>
      <c r="B10209" s="4" t="s">
        <v>9011</v>
      </c>
      <c r="C10209" s="2" t="str">
        <f ca="1">IFERROR(__xludf.DUMMYFUNCTION("GOOGLETRANSLATE(A10209,""bn"",""en"")"),"As soon as the screen lights up, it's as if the magic begins")</f>
        <v>As soon as the screen lights up, it's as if the magic begins</v>
      </c>
      <c r="D10209" s="5"/>
      <c r="E10209" s="5"/>
      <c r="F10209" s="5"/>
      <c r="G10209" s="5"/>
      <c r="H10209" s="5"/>
      <c r="I10209" s="5"/>
      <c r="J10209" s="5"/>
      <c r="K10209" s="5"/>
      <c r="L10209" s="5"/>
      <c r="M10209" s="5"/>
      <c r="N10209" s="5"/>
      <c r="O10209" s="5"/>
      <c r="P10209" s="5"/>
      <c r="Q10209" s="5"/>
      <c r="R10209" s="5"/>
      <c r="S10209" s="5"/>
      <c r="T10209" s="5"/>
      <c r="U10209" s="5"/>
      <c r="V10209" s="5"/>
      <c r="W10209" s="5"/>
      <c r="X10209" s="5"/>
      <c r="Y10209" s="5"/>
      <c r="Z10209" s="5"/>
    </row>
    <row r="10210" spans="1:26" ht="15" x14ac:dyDescent="0.25">
      <c r="A10210" s="4" t="s">
        <v>10208</v>
      </c>
      <c r="B10210" s="4" t="s">
        <v>9011</v>
      </c>
      <c r="C10210" s="2" t="str">
        <f ca="1">IFERROR(__xludf.DUMMYFUNCTION("GOOGLETRANSLATE(A10210,""bn"",""en"")"),"The dream of swimming in countless pools will come true if you get a chance to go on vacation abroad")</f>
        <v>The dream of swimming in countless pools will come true if you get a chance to go on vacation abroad</v>
      </c>
      <c r="D10210" s="5"/>
      <c r="E10210" s="5"/>
      <c r="F10210" s="5"/>
      <c r="G10210" s="5"/>
      <c r="H10210" s="5"/>
      <c r="I10210" s="5"/>
      <c r="J10210" s="5"/>
      <c r="K10210" s="5"/>
      <c r="L10210" s="5"/>
      <c r="M10210" s="5"/>
      <c r="N10210" s="5"/>
      <c r="O10210" s="5"/>
      <c r="P10210" s="5"/>
      <c r="Q10210" s="5"/>
      <c r="R10210" s="5"/>
      <c r="S10210" s="5"/>
      <c r="T10210" s="5"/>
      <c r="U10210" s="5"/>
      <c r="V10210" s="5"/>
      <c r="W10210" s="5"/>
      <c r="X10210" s="5"/>
      <c r="Y10210" s="5"/>
      <c r="Z10210" s="5"/>
    </row>
    <row r="10211" spans="1:26" ht="15" x14ac:dyDescent="0.25">
      <c r="A10211" s="4" t="s">
        <v>10209</v>
      </c>
      <c r="B10211" s="4" t="s">
        <v>9011</v>
      </c>
      <c r="C10211" s="2" t="str">
        <f ca="1">IFERROR(__xludf.DUMMYFUNCTION("GOOGLETRANSLATE(A10211,""bn"",""en"")"),"I wonder when I will go to the cinema again to enjoy the old fun again")</f>
        <v>I wonder when I will go to the cinema again to enjoy the old fun again</v>
      </c>
      <c r="D10211" s="5"/>
      <c r="E10211" s="5"/>
      <c r="F10211" s="5"/>
      <c r="G10211" s="5"/>
      <c r="H10211" s="5"/>
      <c r="I10211" s="5"/>
      <c r="J10211" s="5"/>
      <c r="K10211" s="5"/>
      <c r="L10211" s="5"/>
      <c r="M10211" s="5"/>
      <c r="N10211" s="5"/>
      <c r="O10211" s="5"/>
      <c r="P10211" s="5"/>
      <c r="Q10211" s="5"/>
      <c r="R10211" s="5"/>
      <c r="S10211" s="5"/>
      <c r="T10211" s="5"/>
      <c r="U10211" s="5"/>
      <c r="V10211" s="5"/>
      <c r="W10211" s="5"/>
      <c r="X10211" s="5"/>
      <c r="Y10211" s="5"/>
      <c r="Z10211" s="5"/>
    </row>
    <row r="10212" spans="1:26" ht="15" x14ac:dyDescent="0.25">
      <c r="A10212" s="4" t="s">
        <v>10210</v>
      </c>
      <c r="B10212" s="4" t="s">
        <v>9011</v>
      </c>
      <c r="C10212" s="2" t="str">
        <f ca="1">IFERROR(__xludf.DUMMYFUNCTION("GOOGLETRANSLATE(A10212,""bn"",""en"")"),"Next year we will expand our business internationally which will increase our profit")</f>
        <v>Next year we will expand our business internationally which will increase our profit</v>
      </c>
      <c r="D10212" s="5"/>
      <c r="E10212" s="5"/>
      <c r="F10212" s="5"/>
      <c r="G10212" s="5"/>
      <c r="H10212" s="5"/>
      <c r="I10212" s="5"/>
      <c r="J10212" s="5"/>
      <c r="K10212" s="5"/>
      <c r="L10212" s="5"/>
      <c r="M10212" s="5"/>
      <c r="N10212" s="5"/>
      <c r="O10212" s="5"/>
      <c r="P10212" s="5"/>
      <c r="Q10212" s="5"/>
      <c r="R10212" s="5"/>
      <c r="S10212" s="5"/>
      <c r="T10212" s="5"/>
      <c r="U10212" s="5"/>
      <c r="V10212" s="5"/>
      <c r="W10212" s="5"/>
      <c r="X10212" s="5"/>
      <c r="Y10212" s="5"/>
      <c r="Z10212" s="5"/>
    </row>
    <row r="10213" spans="1:26" ht="15" x14ac:dyDescent="0.25">
      <c r="A10213" s="4" t="s">
        <v>10211</v>
      </c>
      <c r="B10213" s="4" t="s">
        <v>9011</v>
      </c>
      <c r="C10213" s="2" t="str">
        <f ca="1">IFERROR(__xludf.DUMMYFUNCTION("GOOGLETRANSLATE(A10213,""bn"",""en"")"),"Next year we will organize our fair internationally which will increase our profit")</f>
        <v>Next year we will organize our fair internationally which will increase our profit</v>
      </c>
      <c r="D10213" s="5"/>
      <c r="E10213" s="5"/>
      <c r="F10213" s="5"/>
      <c r="G10213" s="5"/>
      <c r="H10213" s="5"/>
      <c r="I10213" s="5"/>
      <c r="J10213" s="5"/>
      <c r="K10213" s="5"/>
      <c r="L10213" s="5"/>
      <c r="M10213" s="5"/>
      <c r="N10213" s="5"/>
      <c r="O10213" s="5"/>
      <c r="P10213" s="5"/>
      <c r="Q10213" s="5"/>
      <c r="R10213" s="5"/>
      <c r="S10213" s="5"/>
      <c r="T10213" s="5"/>
      <c r="U10213" s="5"/>
      <c r="V10213" s="5"/>
      <c r="W10213" s="5"/>
      <c r="X10213" s="5"/>
      <c r="Y10213" s="5"/>
      <c r="Z10213" s="5"/>
    </row>
    <row r="10214" spans="1:26" ht="15" x14ac:dyDescent="0.25">
      <c r="A10214" s="4" t="s">
        <v>10212</v>
      </c>
      <c r="B10214" s="4" t="s">
        <v>9011</v>
      </c>
      <c r="C10214" s="2" t="str">
        <f ca="1">IFERROR(__xludf.DUMMYFUNCTION("GOOGLETRANSLATE(A10214,""bn"",""en"")"),"Why would anyone not go to the balcony of the hall to watch these movies?")</f>
        <v>Why would anyone not go to the balcony of the hall to watch these movies?</v>
      </c>
      <c r="D10214" s="5"/>
      <c r="E10214" s="5"/>
      <c r="F10214" s="5"/>
      <c r="G10214" s="5"/>
      <c r="H10214" s="5"/>
      <c r="I10214" s="5"/>
      <c r="J10214" s="5"/>
      <c r="K10214" s="5"/>
      <c r="L10214" s="5"/>
      <c r="M10214" s="5"/>
      <c r="N10214" s="5"/>
      <c r="O10214" s="5"/>
      <c r="P10214" s="5"/>
      <c r="Q10214" s="5"/>
      <c r="R10214" s="5"/>
      <c r="S10214" s="5"/>
      <c r="T10214" s="5"/>
      <c r="U10214" s="5"/>
      <c r="V10214" s="5"/>
      <c r="W10214" s="5"/>
      <c r="X10214" s="5"/>
      <c r="Y10214" s="5"/>
      <c r="Z10214" s="5"/>
    </row>
    <row r="10215" spans="1:26" ht="15" x14ac:dyDescent="0.25">
      <c r="A10215" s="4" t="s">
        <v>10213</v>
      </c>
      <c r="B10215" s="4" t="s">
        <v>9011</v>
      </c>
      <c r="C10215" s="2" t="str">
        <f ca="1">IFERROR(__xludf.DUMMYFUNCTION("GOOGLETRANSLATE(A10215,""bn"",""en"")"),"Shakib Al Hasan can be a successful Member of Parliament")</f>
        <v>Shakib Al Hasan can be a successful Member of Parliament</v>
      </c>
      <c r="D10215" s="5"/>
      <c r="E10215" s="5"/>
      <c r="F10215" s="5"/>
      <c r="G10215" s="5"/>
      <c r="H10215" s="5"/>
      <c r="I10215" s="5"/>
      <c r="J10215" s="5"/>
      <c r="K10215" s="5"/>
      <c r="L10215" s="5"/>
      <c r="M10215" s="5"/>
      <c r="N10215" s="5"/>
      <c r="O10215" s="5"/>
      <c r="P10215" s="5"/>
      <c r="Q10215" s="5"/>
      <c r="R10215" s="5"/>
      <c r="S10215" s="5"/>
      <c r="T10215" s="5"/>
      <c r="U10215" s="5"/>
      <c r="V10215" s="5"/>
      <c r="W10215" s="5"/>
      <c r="X10215" s="5"/>
      <c r="Y10215" s="5"/>
      <c r="Z10215" s="5"/>
    </row>
    <row r="10216" spans="1:26" ht="15" x14ac:dyDescent="0.25">
      <c r="A10216" s="4" t="s">
        <v>10214</v>
      </c>
      <c r="B10216" s="4" t="s">
        <v>9011</v>
      </c>
      <c r="C10216" s="2" t="str">
        <f ca="1">IFERROR(__xludf.DUMMYFUNCTION("GOOGLETRANSLATE(A10216,""bn"",""en"")"),"Next month we will go on a boat trip where we will enjoy scenic views along the river")</f>
        <v>Next month we will go on a boat trip where we will enjoy scenic views along the river</v>
      </c>
      <c r="D10216" s="5"/>
      <c r="E10216" s="5"/>
      <c r="F10216" s="5"/>
      <c r="G10216" s="5"/>
      <c r="H10216" s="5"/>
      <c r="I10216" s="5"/>
      <c r="J10216" s="5"/>
      <c r="K10216" s="5"/>
      <c r="L10216" s="5"/>
      <c r="M10216" s="5"/>
      <c r="N10216" s="5"/>
      <c r="O10216" s="5"/>
      <c r="P10216" s="5"/>
      <c r="Q10216" s="5"/>
      <c r="R10216" s="5"/>
      <c r="S10216" s="5"/>
      <c r="T10216" s="5"/>
      <c r="U10216" s="5"/>
      <c r="V10216" s="5"/>
      <c r="W10216" s="5"/>
      <c r="X10216" s="5"/>
      <c r="Y10216" s="5"/>
      <c r="Z10216" s="5"/>
    </row>
    <row r="10217" spans="1:26" ht="15" x14ac:dyDescent="0.25">
      <c r="A10217" s="4" t="s">
        <v>10215</v>
      </c>
      <c r="B10217" s="4" t="s">
        <v>9011</v>
      </c>
      <c r="C10217" s="2" t="str">
        <f ca="1">IFERROR(__xludf.DUMMYFUNCTION("GOOGLETRANSLATE(A10217,""bn"",""en"")"),"I will reminisce by looking at old photos, learning to swim as a child and having fun with friends")</f>
        <v>I will reminisce by looking at old photos, learning to swim as a child and having fun with friends</v>
      </c>
      <c r="D10217" s="5"/>
      <c r="E10217" s="5"/>
      <c r="F10217" s="5"/>
      <c r="G10217" s="5"/>
      <c r="H10217" s="5"/>
      <c r="I10217" s="5"/>
      <c r="J10217" s="5"/>
      <c r="K10217" s="5"/>
      <c r="L10217" s="5"/>
      <c r="M10217" s="5"/>
      <c r="N10217" s="5"/>
      <c r="O10217" s="5"/>
      <c r="P10217" s="5"/>
      <c r="Q10217" s="5"/>
      <c r="R10217" s="5"/>
      <c r="S10217" s="5"/>
      <c r="T10217" s="5"/>
      <c r="U10217" s="5"/>
      <c r="V10217" s="5"/>
      <c r="W10217" s="5"/>
      <c r="X10217" s="5"/>
      <c r="Y10217" s="5"/>
      <c r="Z10217" s="5"/>
    </row>
    <row r="10218" spans="1:26" ht="15" x14ac:dyDescent="0.25">
      <c r="A10218" s="4" t="s">
        <v>10216</v>
      </c>
      <c r="B10218" s="4" t="s">
        <v>9011</v>
      </c>
      <c r="C10218" s="2" t="str">
        <f ca="1">IFERROR(__xludf.DUMMYFUNCTION("GOOGLETRANSLATE(A10218,""bn"",""en"")"),"Reading books will bring prosperity to one's mind to distinguish oneself from many sorrows and complications")</f>
        <v>Reading books will bring prosperity to one's mind to distinguish oneself from many sorrows and complications</v>
      </c>
      <c r="D10218" s="5"/>
      <c r="E10218" s="5"/>
      <c r="F10218" s="5"/>
      <c r="G10218" s="5"/>
      <c r="H10218" s="5"/>
      <c r="I10218" s="5"/>
      <c r="J10218" s="5"/>
      <c r="K10218" s="5"/>
      <c r="L10218" s="5"/>
      <c r="M10218" s="5"/>
      <c r="N10218" s="5"/>
      <c r="O10218" s="5"/>
      <c r="P10218" s="5"/>
      <c r="Q10218" s="5"/>
      <c r="R10218" s="5"/>
      <c r="S10218" s="5"/>
      <c r="T10218" s="5"/>
      <c r="U10218" s="5"/>
      <c r="V10218" s="5"/>
      <c r="W10218" s="5"/>
      <c r="X10218" s="5"/>
      <c r="Y10218" s="5"/>
      <c r="Z10218" s="5"/>
    </row>
    <row r="10219" spans="1:26" ht="15" x14ac:dyDescent="0.25">
      <c r="A10219" s="4" t="s">
        <v>10217</v>
      </c>
      <c r="B10219" s="4" t="s">
        <v>9011</v>
      </c>
      <c r="C10219" s="2" t="str">
        <f ca="1">IFERROR(__xludf.DUMMYFUNCTION("GOOGLETRANSLATE(A10219,""bn"",""en"")"),"People will get happy face through smile, a funny joke will only bring happiness")</f>
        <v>People will get happy face through smile, a funny joke will only bring happiness</v>
      </c>
      <c r="D10219" s="5"/>
      <c r="E10219" s="5"/>
      <c r="F10219" s="5"/>
      <c r="G10219" s="5"/>
      <c r="H10219" s="5"/>
      <c r="I10219" s="5"/>
      <c r="J10219" s="5"/>
      <c r="K10219" s="5"/>
      <c r="L10219" s="5"/>
      <c r="M10219" s="5"/>
      <c r="N10219" s="5"/>
      <c r="O10219" s="5"/>
      <c r="P10219" s="5"/>
      <c r="Q10219" s="5"/>
      <c r="R10219" s="5"/>
      <c r="S10219" s="5"/>
      <c r="T10219" s="5"/>
      <c r="U10219" s="5"/>
      <c r="V10219" s="5"/>
      <c r="W10219" s="5"/>
      <c r="X10219" s="5"/>
      <c r="Y10219" s="5"/>
      <c r="Z10219" s="5"/>
    </row>
    <row r="10220" spans="1:26" ht="15" x14ac:dyDescent="0.25">
      <c r="A10220" s="4" t="s">
        <v>10218</v>
      </c>
      <c r="B10220" s="4" t="s">
        <v>9011</v>
      </c>
      <c r="C10220" s="2" t="str">
        <f ca="1">IFERROR(__xludf.DUMMYFUNCTION("GOOGLETRANSLATE(A10220,""bn"",""en"")"),"Next month we will launch new branch of our business which will increase our profit margin")</f>
        <v>Next month we will launch new branch of our business which will increase our profit margin</v>
      </c>
      <c r="D10220" s="5"/>
      <c r="E10220" s="5"/>
      <c r="F10220" s="5"/>
      <c r="G10220" s="5"/>
      <c r="H10220" s="5"/>
      <c r="I10220" s="5"/>
      <c r="J10220" s="5"/>
      <c r="K10220" s="5"/>
      <c r="L10220" s="5"/>
      <c r="M10220" s="5"/>
      <c r="N10220" s="5"/>
      <c r="O10220" s="5"/>
      <c r="P10220" s="5"/>
      <c r="Q10220" s="5"/>
      <c r="R10220" s="5"/>
      <c r="S10220" s="5"/>
      <c r="T10220" s="5"/>
      <c r="U10220" s="5"/>
      <c r="V10220" s="5"/>
      <c r="W10220" s="5"/>
      <c r="X10220" s="5"/>
      <c r="Y10220" s="5"/>
      <c r="Z10220" s="5"/>
    </row>
    <row r="10221" spans="1:26" ht="15" x14ac:dyDescent="0.25">
      <c r="A10221" s="4" t="s">
        <v>10219</v>
      </c>
      <c r="B10221" s="4" t="s">
        <v>9011</v>
      </c>
      <c r="C10221" s="2" t="str">
        <f ca="1">IFERROR(__xludf.DUMMYFUNCTION("GOOGLETRANSLATE(A10221,""bn"",""en"")"),"The feeling of creativity that I can write my own songs and sing with the melody will be amazing")</f>
        <v>The feeling of creativity that I can write my own songs and sing with the melody will be amazing</v>
      </c>
      <c r="D10221" s="5"/>
      <c r="E10221" s="5"/>
      <c r="F10221" s="5"/>
      <c r="G10221" s="5"/>
      <c r="H10221" s="5"/>
      <c r="I10221" s="5"/>
      <c r="J10221" s="5"/>
      <c r="K10221" s="5"/>
      <c r="L10221" s="5"/>
      <c r="M10221" s="5"/>
      <c r="N10221" s="5"/>
      <c r="O10221" s="5"/>
      <c r="P10221" s="5"/>
      <c r="Q10221" s="5"/>
      <c r="R10221" s="5"/>
      <c r="S10221" s="5"/>
      <c r="T10221" s="5"/>
      <c r="U10221" s="5"/>
      <c r="V10221" s="5"/>
      <c r="W10221" s="5"/>
      <c r="X10221" s="5"/>
      <c r="Y10221" s="5"/>
      <c r="Z10221" s="5"/>
    </row>
    <row r="10222" spans="1:26" ht="15" x14ac:dyDescent="0.25">
      <c r="A10222" s="4" t="s">
        <v>10220</v>
      </c>
      <c r="B10222" s="4" t="s">
        <v>9011</v>
      </c>
      <c r="C10222" s="2" t="str">
        <f ca="1">IFERROR(__xludf.DUMMYFUNCTION("GOOGLETRANSLATE(A10222,""bn"",""en"")"),"You will attend a seminar next month on advanced food production technology")</f>
        <v>You will attend a seminar next month on advanced food production technology</v>
      </c>
      <c r="D10222" s="5"/>
      <c r="E10222" s="5"/>
      <c r="F10222" s="5"/>
      <c r="G10222" s="5"/>
      <c r="H10222" s="5"/>
      <c r="I10222" s="5"/>
      <c r="J10222" s="5"/>
      <c r="K10222" s="5"/>
      <c r="L10222" s="5"/>
      <c r="M10222" s="5"/>
      <c r="N10222" s="5"/>
      <c r="O10222" s="5"/>
      <c r="P10222" s="5"/>
      <c r="Q10222" s="5"/>
      <c r="R10222" s="5"/>
      <c r="S10222" s="5"/>
      <c r="T10222" s="5"/>
      <c r="U10222" s="5"/>
      <c r="V10222" s="5"/>
      <c r="W10222" s="5"/>
      <c r="X10222" s="5"/>
      <c r="Y10222" s="5"/>
      <c r="Z10222" s="5"/>
    </row>
    <row r="10223" spans="1:26" ht="15" x14ac:dyDescent="0.25">
      <c r="A10223" s="4" t="s">
        <v>10221</v>
      </c>
      <c r="B10223" s="4" t="s">
        <v>9011</v>
      </c>
      <c r="C10223" s="2" t="str">
        <f ca="1">IFERROR(__xludf.DUMMYFUNCTION("GOOGLETRANSLATE(A10223,""bn"",""en"")"),"You will be speaking at a seminar next month on better environmental protection practices")</f>
        <v>You will be speaking at a seminar next month on better environmental protection practices</v>
      </c>
      <c r="D10223" s="5"/>
      <c r="E10223" s="5"/>
      <c r="F10223" s="5"/>
      <c r="G10223" s="5"/>
      <c r="H10223" s="5"/>
      <c r="I10223" s="5"/>
      <c r="J10223" s="5"/>
      <c r="K10223" s="5"/>
      <c r="L10223" s="5"/>
      <c r="M10223" s="5"/>
      <c r="N10223" s="5"/>
      <c r="O10223" s="5"/>
      <c r="P10223" s="5"/>
      <c r="Q10223" s="5"/>
      <c r="R10223" s="5"/>
      <c r="S10223" s="5"/>
      <c r="T10223" s="5"/>
      <c r="U10223" s="5"/>
      <c r="V10223" s="5"/>
      <c r="W10223" s="5"/>
      <c r="X10223" s="5"/>
      <c r="Y10223" s="5"/>
      <c r="Z10223" s="5"/>
    </row>
    <row r="10224" spans="1:26" ht="15" x14ac:dyDescent="0.25">
      <c r="A10224" s="4" t="s">
        <v>10222</v>
      </c>
      <c r="B10224" s="4" t="s">
        <v>9011</v>
      </c>
      <c r="C10224" s="2" t="str">
        <f ca="1">IFERROR(__xludf.DUMMYFUNCTION("GOOGLETRANSLATE(A10224,""bn"",""en"")"),"At the end of the movie, I will talk with my friends, I will sing songs, I will act in the drama of the movie. There will be no end to the fun")</f>
        <v>At the end of the movie, I will talk with my friends, I will sing songs, I will act in the drama of the movie. There will be no end to the fun</v>
      </c>
      <c r="D10224" s="5"/>
      <c r="E10224" s="5"/>
      <c r="F10224" s="5"/>
      <c r="G10224" s="5"/>
      <c r="H10224" s="5"/>
      <c r="I10224" s="5"/>
      <c r="J10224" s="5"/>
      <c r="K10224" s="5"/>
      <c r="L10224" s="5"/>
      <c r="M10224" s="5"/>
      <c r="N10224" s="5"/>
      <c r="O10224" s="5"/>
      <c r="P10224" s="5"/>
      <c r="Q10224" s="5"/>
      <c r="R10224" s="5"/>
      <c r="S10224" s="5"/>
      <c r="T10224" s="5"/>
      <c r="U10224" s="5"/>
      <c r="V10224" s="5"/>
      <c r="W10224" s="5"/>
      <c r="X10224" s="5"/>
      <c r="Y10224" s="5"/>
      <c r="Z10224" s="5"/>
    </row>
    <row r="10225" spans="1:26" ht="15" x14ac:dyDescent="0.25">
      <c r="A10225" s="4" t="s">
        <v>10223</v>
      </c>
      <c r="B10225" s="4" t="s">
        <v>9011</v>
      </c>
      <c r="C10225" s="2" t="str">
        <f ca="1">IFERROR(__xludf.DUMMYFUNCTION("GOOGLETRANSLATE(A10225,""bn"",""en"")"),"In future I will be a successful entrepreneur where my business will be known all over the country")</f>
        <v>In future I will be a successful entrepreneur where my business will be known all over the country</v>
      </c>
      <c r="D10225" s="5"/>
      <c r="E10225" s="5"/>
      <c r="F10225" s="5"/>
      <c r="G10225" s="5"/>
      <c r="H10225" s="5"/>
      <c r="I10225" s="5"/>
      <c r="J10225" s="5"/>
      <c r="K10225" s="5"/>
      <c r="L10225" s="5"/>
      <c r="M10225" s="5"/>
      <c r="N10225" s="5"/>
      <c r="O10225" s="5"/>
      <c r="P10225" s="5"/>
      <c r="Q10225" s="5"/>
      <c r="R10225" s="5"/>
      <c r="S10225" s="5"/>
      <c r="T10225" s="5"/>
      <c r="U10225" s="5"/>
      <c r="V10225" s="5"/>
      <c r="W10225" s="5"/>
      <c r="X10225" s="5"/>
      <c r="Y10225" s="5"/>
      <c r="Z10225" s="5"/>
    </row>
    <row r="10226" spans="1:26" ht="15" x14ac:dyDescent="0.25">
      <c r="A10226" s="4" t="s">
        <v>10224</v>
      </c>
      <c r="B10226" s="4" t="s">
        <v>9011</v>
      </c>
      <c r="C10226" s="2" t="str">
        <f ca="1">IFERROR(__xludf.DUMMYFUNCTION("GOOGLETRANSLATE(A10226,""bn"",""en"")"),"We will be opening a new art gallery next month which will feature the work of local artists")</f>
        <v>We will be opening a new art gallery next month which will feature the work of local artists</v>
      </c>
      <c r="D10226" s="5"/>
      <c r="E10226" s="5"/>
      <c r="F10226" s="5"/>
      <c r="G10226" s="5"/>
      <c r="H10226" s="5"/>
      <c r="I10226" s="5"/>
      <c r="J10226" s="5"/>
      <c r="K10226" s="5"/>
      <c r="L10226" s="5"/>
      <c r="M10226" s="5"/>
      <c r="N10226" s="5"/>
      <c r="O10226" s="5"/>
      <c r="P10226" s="5"/>
      <c r="Q10226" s="5"/>
      <c r="R10226" s="5"/>
      <c r="S10226" s="5"/>
      <c r="T10226" s="5"/>
      <c r="U10226" s="5"/>
      <c r="V10226" s="5"/>
      <c r="W10226" s="5"/>
      <c r="X10226" s="5"/>
      <c r="Y10226" s="5"/>
      <c r="Z10226" s="5"/>
    </row>
    <row r="10227" spans="1:26" ht="15" x14ac:dyDescent="0.25">
      <c r="A10227" s="4" t="s">
        <v>10225</v>
      </c>
      <c r="B10227" s="4" t="s">
        <v>9011</v>
      </c>
      <c r="C10227" s="2" t="str">
        <f ca="1">IFERROR(__xludf.DUMMYFUNCTION("GOOGLETRANSLATE(A10227,""bn"",""en"")"),"It will be interesting to see how Australia beat India")</f>
        <v>It will be interesting to see how Australia beat India</v>
      </c>
      <c r="D10227" s="5"/>
      <c r="E10227" s="5"/>
      <c r="F10227" s="5"/>
      <c r="G10227" s="5"/>
      <c r="H10227" s="5"/>
      <c r="I10227" s="5"/>
      <c r="J10227" s="5"/>
      <c r="K10227" s="5"/>
      <c r="L10227" s="5"/>
      <c r="M10227" s="5"/>
      <c r="N10227" s="5"/>
      <c r="O10227" s="5"/>
      <c r="P10227" s="5"/>
      <c r="Q10227" s="5"/>
      <c r="R10227" s="5"/>
      <c r="S10227" s="5"/>
      <c r="T10227" s="5"/>
      <c r="U10227" s="5"/>
      <c r="V10227" s="5"/>
      <c r="W10227" s="5"/>
      <c r="X10227" s="5"/>
      <c r="Y10227" s="5"/>
      <c r="Z10227" s="5"/>
    </row>
    <row r="10228" spans="1:26" ht="15" x14ac:dyDescent="0.25">
      <c r="A10228" s="4" t="s">
        <v>10226</v>
      </c>
      <c r="B10228" s="4" t="s">
        <v>9011</v>
      </c>
      <c r="C10228" s="2" t="str">
        <f ca="1">IFERROR(__xludf.DUMMYFUNCTION("GOOGLETRANSLATE(A10228,""bn"",""en"")"),"I will hope that the year will be auspicious and happy new year for everyone")</f>
        <v>I will hope that the year will be auspicious and happy new year for everyone</v>
      </c>
      <c r="D10228" s="5"/>
      <c r="E10228" s="5"/>
      <c r="F10228" s="5"/>
      <c r="G10228" s="5"/>
      <c r="H10228" s="5"/>
      <c r="I10228" s="5"/>
      <c r="J10228" s="5"/>
      <c r="K10228" s="5"/>
      <c r="L10228" s="5"/>
      <c r="M10228" s="5"/>
      <c r="N10228" s="5"/>
      <c r="O10228" s="5"/>
      <c r="P10228" s="5"/>
      <c r="Q10228" s="5"/>
      <c r="R10228" s="5"/>
      <c r="S10228" s="5"/>
      <c r="T10228" s="5"/>
      <c r="U10228" s="5"/>
      <c r="V10228" s="5"/>
      <c r="W10228" s="5"/>
      <c r="X10228" s="5"/>
      <c r="Y10228" s="5"/>
      <c r="Z10228" s="5"/>
    </row>
    <row r="10229" spans="1:26" ht="15" x14ac:dyDescent="0.25">
      <c r="A10229" s="4" t="s">
        <v>10227</v>
      </c>
      <c r="B10229" s="4" t="s">
        <v>9011</v>
      </c>
      <c r="C10229" s="2" t="str">
        <f ca="1">IFERROR(__xludf.DUMMYFUNCTION("GOOGLETRANSLATE(A10229,""bn"",""en"")"),"Comedy will bring joy and light to people's lives. A simple joke of laughter will add color to life")</f>
        <v>Comedy will bring joy and light to people's lives. A simple joke of laughter will add color to life</v>
      </c>
      <c r="D10229" s="5"/>
      <c r="E10229" s="5"/>
      <c r="F10229" s="5"/>
      <c r="G10229" s="5"/>
      <c r="H10229" s="5"/>
      <c r="I10229" s="5"/>
      <c r="J10229" s="5"/>
      <c r="K10229" s="5"/>
      <c r="L10229" s="5"/>
      <c r="M10229" s="5"/>
      <c r="N10229" s="5"/>
      <c r="O10229" s="5"/>
      <c r="P10229" s="5"/>
      <c r="Q10229" s="5"/>
      <c r="R10229" s="5"/>
      <c r="S10229" s="5"/>
      <c r="T10229" s="5"/>
      <c r="U10229" s="5"/>
      <c r="V10229" s="5"/>
      <c r="W10229" s="5"/>
      <c r="X10229" s="5"/>
      <c r="Y10229" s="5"/>
      <c r="Z10229" s="5"/>
    </row>
    <row r="10230" spans="1:26" ht="15" x14ac:dyDescent="0.25">
      <c r="A10230" s="4" t="s">
        <v>10228</v>
      </c>
      <c r="B10230" s="4" t="s">
        <v>9011</v>
      </c>
      <c r="C10230" s="2" t="str">
        <f ca="1">IFERROR(__xludf.DUMMYFUNCTION("GOOGLETRANSLATE(A10230,""bn"",""en"")"),"We will inaugurate a new library next week where students will get a suitable environment for studying")</f>
        <v>We will inaugurate a new library next week where students will get a suitable environment for studying</v>
      </c>
      <c r="D10230" s="5"/>
      <c r="E10230" s="5"/>
      <c r="F10230" s="5"/>
      <c r="G10230" s="5"/>
      <c r="H10230" s="5"/>
      <c r="I10230" s="5"/>
      <c r="J10230" s="5"/>
      <c r="K10230" s="5"/>
      <c r="L10230" s="5"/>
      <c r="M10230" s="5"/>
      <c r="N10230" s="5"/>
      <c r="O10230" s="5"/>
      <c r="P10230" s="5"/>
      <c r="Q10230" s="5"/>
      <c r="R10230" s="5"/>
      <c r="S10230" s="5"/>
      <c r="T10230" s="5"/>
      <c r="U10230" s="5"/>
      <c r="V10230" s="5"/>
      <c r="W10230" s="5"/>
      <c r="X10230" s="5"/>
      <c r="Y10230" s="5"/>
      <c r="Z10230" s="5"/>
    </row>
    <row r="10231" spans="1:26" ht="15" x14ac:dyDescent="0.25">
      <c r="A10231" s="4" t="s">
        <v>10229</v>
      </c>
      <c r="B10231" s="4" t="s">
        <v>9011</v>
      </c>
      <c r="C10231" s="2" t="str">
        <f ca="1">IFERROR(__xludf.DUMMYFUNCTION("GOOGLETRANSLATE(A10231,""bn"",""en"")"),"You will present an important paper at an international level next week")</f>
        <v>You will present an important paper at an international level next week</v>
      </c>
      <c r="D10231" s="5"/>
      <c r="E10231" s="5"/>
      <c r="F10231" s="5"/>
      <c r="G10231" s="5"/>
      <c r="H10231" s="5"/>
      <c r="I10231" s="5"/>
      <c r="J10231" s="5"/>
      <c r="K10231" s="5"/>
      <c r="L10231" s="5"/>
      <c r="M10231" s="5"/>
      <c r="N10231" s="5"/>
      <c r="O10231" s="5"/>
      <c r="P10231" s="5"/>
      <c r="Q10231" s="5"/>
      <c r="R10231" s="5"/>
      <c r="S10231" s="5"/>
      <c r="T10231" s="5"/>
      <c r="U10231" s="5"/>
      <c r="V10231" s="5"/>
      <c r="W10231" s="5"/>
      <c r="X10231" s="5"/>
      <c r="Y10231" s="5"/>
      <c r="Z10231" s="5"/>
    </row>
    <row r="10232" spans="1:26" ht="15" x14ac:dyDescent="0.25">
      <c r="A10232" s="4" t="s">
        <v>10230</v>
      </c>
      <c r="B10232" s="4" t="s">
        <v>9011</v>
      </c>
      <c r="C10232" s="2" t="str">
        <f ca="1">IFERROR(__xludf.DUMMYFUNCTION("GOOGLETRANSLATE(A10232,""bn"",""en"")"),"New books written by me will be published in the next book fair which will be liked by the readers")</f>
        <v>New books written by me will be published in the next book fair which will be liked by the readers</v>
      </c>
      <c r="D10232" s="5"/>
      <c r="E10232" s="5"/>
      <c r="F10232" s="5"/>
      <c r="G10232" s="5"/>
      <c r="H10232" s="5"/>
      <c r="I10232" s="5"/>
      <c r="J10232" s="5"/>
      <c r="K10232" s="5"/>
      <c r="L10232" s="5"/>
      <c r="M10232" s="5"/>
      <c r="N10232" s="5"/>
      <c r="O10232" s="5"/>
      <c r="P10232" s="5"/>
      <c r="Q10232" s="5"/>
      <c r="R10232" s="5"/>
      <c r="S10232" s="5"/>
      <c r="T10232" s="5"/>
      <c r="U10232" s="5"/>
      <c r="V10232" s="5"/>
      <c r="W10232" s="5"/>
      <c r="X10232" s="5"/>
      <c r="Y10232" s="5"/>
      <c r="Z10232" s="5"/>
    </row>
    <row r="10233" spans="1:26" ht="15" x14ac:dyDescent="0.25">
      <c r="A10233" s="4" t="s">
        <v>10231</v>
      </c>
      <c r="B10233" s="4" t="s">
        <v>9011</v>
      </c>
      <c r="C10233" s="2" t="str">
        <f ca="1">IFERROR(__xludf.DUMMYFUNCTION("GOOGLETRANSLATE(A10233,""bn"",""en"")"),"I will be very blessed to have good friends")</f>
        <v>I will be very blessed to have good friends</v>
      </c>
      <c r="D10233" s="5"/>
      <c r="E10233" s="5"/>
      <c r="F10233" s="5"/>
      <c r="G10233" s="5"/>
      <c r="H10233" s="5"/>
      <c r="I10233" s="5"/>
      <c r="J10233" s="5"/>
      <c r="K10233" s="5"/>
      <c r="L10233" s="5"/>
      <c r="M10233" s="5"/>
      <c r="N10233" s="5"/>
      <c r="O10233" s="5"/>
      <c r="P10233" s="5"/>
      <c r="Q10233" s="5"/>
      <c r="R10233" s="5"/>
      <c r="S10233" s="5"/>
      <c r="T10233" s="5"/>
      <c r="U10233" s="5"/>
      <c r="V10233" s="5"/>
      <c r="W10233" s="5"/>
      <c r="X10233" s="5"/>
      <c r="Y10233" s="5"/>
      <c r="Z10233" s="5"/>
    </row>
    <row r="10234" spans="1:26" ht="15" x14ac:dyDescent="0.25">
      <c r="A10234" s="4" t="s">
        <v>10232</v>
      </c>
      <c r="B10234" s="4" t="s">
        <v>9011</v>
      </c>
      <c r="C10234" s="2" t="str">
        <f ca="1">IFERROR(__xludf.DUMMYFUNCTION("GOOGLETRANSLATE(A10234,""bn"",""en"")"),"He will sign an important business deal next month that will help his company grow")</f>
        <v>He will sign an important business deal next month that will help his company grow</v>
      </c>
      <c r="D10234" s="5"/>
      <c r="E10234" s="5"/>
      <c r="F10234" s="5"/>
      <c r="G10234" s="5"/>
      <c r="H10234" s="5"/>
      <c r="I10234" s="5"/>
      <c r="J10234" s="5"/>
      <c r="K10234" s="5"/>
      <c r="L10234" s="5"/>
      <c r="M10234" s="5"/>
      <c r="N10234" s="5"/>
      <c r="O10234" s="5"/>
      <c r="P10234" s="5"/>
      <c r="Q10234" s="5"/>
      <c r="R10234" s="5"/>
      <c r="S10234" s="5"/>
      <c r="T10234" s="5"/>
      <c r="U10234" s="5"/>
      <c r="V10234" s="5"/>
      <c r="W10234" s="5"/>
      <c r="X10234" s="5"/>
      <c r="Y10234" s="5"/>
      <c r="Z10234" s="5"/>
    </row>
    <row r="10235" spans="1:26" ht="15" x14ac:dyDescent="0.25">
      <c r="A10235" s="4" t="s">
        <v>10233</v>
      </c>
      <c r="B10235" s="4" t="s">
        <v>9011</v>
      </c>
      <c r="C10235" s="2" t="str">
        <f ca="1">IFERROR(__xludf.DUMMYFUNCTION("GOOGLETRANSLATE(A10235,""bn"",""en"")"),"Sitting around the campfire and chatting with the stars in the sky, rows of trees and chatting with friends will be priceless moments")</f>
        <v>Sitting around the campfire and chatting with the stars in the sky, rows of trees and chatting with friends will be priceless moments</v>
      </c>
      <c r="D10235" s="5"/>
      <c r="E10235" s="5"/>
      <c r="F10235" s="5"/>
      <c r="G10235" s="5"/>
      <c r="H10235" s="5"/>
      <c r="I10235" s="5"/>
      <c r="J10235" s="5"/>
      <c r="K10235" s="5"/>
      <c r="L10235" s="5"/>
      <c r="M10235" s="5"/>
      <c r="N10235" s="5"/>
      <c r="O10235" s="5"/>
      <c r="P10235" s="5"/>
      <c r="Q10235" s="5"/>
      <c r="R10235" s="5"/>
      <c r="S10235" s="5"/>
      <c r="T10235" s="5"/>
      <c r="U10235" s="5"/>
      <c r="V10235" s="5"/>
      <c r="W10235" s="5"/>
      <c r="X10235" s="5"/>
      <c r="Y10235" s="5"/>
      <c r="Z10235" s="5"/>
    </row>
    <row r="10236" spans="1:26" ht="15" x14ac:dyDescent="0.25">
      <c r="A10236" s="4" t="s">
        <v>10234</v>
      </c>
      <c r="B10236" s="4" t="s">
        <v>9011</v>
      </c>
      <c r="C10236" s="2" t="str">
        <f ca="1">IFERROR(__xludf.DUMMYFUNCTION("GOOGLETRANSLATE(A10236,""bn"",""en"")"),"Will never stop learning even in the kitchen will make biryani for the first time")</f>
        <v>Will never stop learning even in the kitchen will make biryani for the first time</v>
      </c>
      <c r="D10236" s="5"/>
      <c r="E10236" s="5"/>
      <c r="F10236" s="5"/>
      <c r="G10236" s="5"/>
      <c r="H10236" s="5"/>
      <c r="I10236" s="5"/>
      <c r="J10236" s="5"/>
      <c r="K10236" s="5"/>
      <c r="L10236" s="5"/>
      <c r="M10236" s="5"/>
      <c r="N10236" s="5"/>
      <c r="O10236" s="5"/>
      <c r="P10236" s="5"/>
      <c r="Q10236" s="5"/>
      <c r="R10236" s="5"/>
      <c r="S10236" s="5"/>
      <c r="T10236" s="5"/>
      <c r="U10236" s="5"/>
      <c r="V10236" s="5"/>
      <c r="W10236" s="5"/>
      <c r="X10236" s="5"/>
      <c r="Y10236" s="5"/>
      <c r="Z10236" s="5"/>
    </row>
    <row r="10237" spans="1:26" ht="15" x14ac:dyDescent="0.25">
      <c r="A10237" s="4" t="s">
        <v>10235</v>
      </c>
      <c r="B10237" s="4" t="s">
        <v>9011</v>
      </c>
      <c r="C10237" s="2" t="str">
        <f ca="1">IFERROR(__xludf.DUMMYFUNCTION("GOOGLETRANSLATE(A10237,""bn"",""en"")"),"Next month I will join a new cooking class so I can learn new recipes")</f>
        <v>Next month I will join a new cooking class so I can learn new recipes</v>
      </c>
      <c r="D10237" s="5"/>
      <c r="E10237" s="5"/>
      <c r="F10237" s="5"/>
      <c r="G10237" s="5"/>
      <c r="H10237" s="5"/>
      <c r="I10237" s="5"/>
      <c r="J10237" s="5"/>
      <c r="K10237" s="5"/>
      <c r="L10237" s="5"/>
      <c r="M10237" s="5"/>
      <c r="N10237" s="5"/>
      <c r="O10237" s="5"/>
      <c r="P10237" s="5"/>
      <c r="Q10237" s="5"/>
      <c r="R10237" s="5"/>
      <c r="S10237" s="5"/>
      <c r="T10237" s="5"/>
      <c r="U10237" s="5"/>
      <c r="V10237" s="5"/>
      <c r="W10237" s="5"/>
      <c r="X10237" s="5"/>
      <c r="Y10237" s="5"/>
      <c r="Z10237" s="5"/>
    </row>
    <row r="10238" spans="1:26" ht="15" x14ac:dyDescent="0.25">
      <c r="A10238" s="4" t="s">
        <v>10236</v>
      </c>
      <c r="B10238" s="4" t="s">
        <v>9011</v>
      </c>
      <c r="C10238" s="2" t="str">
        <f ca="1">IFERROR(__xludf.DUMMYFUNCTION("GOOGLETRANSLATE(A10238,""bn"",""en"")"),"I will be very successful in my profession")</f>
        <v>I will be very successful in my profession</v>
      </c>
      <c r="D10238" s="5"/>
      <c r="E10238" s="5"/>
      <c r="F10238" s="5"/>
      <c r="G10238" s="5"/>
      <c r="H10238" s="5"/>
      <c r="I10238" s="5"/>
      <c r="J10238" s="5"/>
      <c r="K10238" s="5"/>
      <c r="L10238" s="5"/>
      <c r="M10238" s="5"/>
      <c r="N10238" s="5"/>
      <c r="O10238" s="5"/>
      <c r="P10238" s="5"/>
      <c r="Q10238" s="5"/>
      <c r="R10238" s="5"/>
      <c r="S10238" s="5"/>
      <c r="T10238" s="5"/>
      <c r="U10238" s="5"/>
      <c r="V10238" s="5"/>
      <c r="W10238" s="5"/>
      <c r="X10238" s="5"/>
      <c r="Y10238" s="5"/>
      <c r="Z10238" s="5"/>
    </row>
    <row r="10239" spans="1:26" ht="15" x14ac:dyDescent="0.25">
      <c r="A10239" s="4" t="s">
        <v>10237</v>
      </c>
      <c r="B10239" s="4" t="s">
        <v>9011</v>
      </c>
      <c r="C10239" s="2" t="str">
        <f ca="1">IFERROR(__xludf.DUMMYFUNCTION("GOOGLETRANSLATE(A10239,""bn"",""en"")"),"Stepping out of the cinema hall, you will feel like the world is different")</f>
        <v>Stepping out of the cinema hall, you will feel like the world is different</v>
      </c>
      <c r="D10239" s="5"/>
      <c r="E10239" s="5"/>
      <c r="F10239" s="5"/>
      <c r="G10239" s="5"/>
      <c r="H10239" s="5"/>
      <c r="I10239" s="5"/>
      <c r="J10239" s="5"/>
      <c r="K10239" s="5"/>
      <c r="L10239" s="5"/>
      <c r="M10239" s="5"/>
      <c r="N10239" s="5"/>
      <c r="O10239" s="5"/>
      <c r="P10239" s="5"/>
      <c r="Q10239" s="5"/>
      <c r="R10239" s="5"/>
      <c r="S10239" s="5"/>
      <c r="T10239" s="5"/>
      <c r="U10239" s="5"/>
      <c r="V10239" s="5"/>
      <c r="W10239" s="5"/>
      <c r="X10239" s="5"/>
      <c r="Y10239" s="5"/>
      <c r="Z10239" s="5"/>
    </row>
    <row r="10240" spans="1:26" ht="15" x14ac:dyDescent="0.25">
      <c r="A10240" s="4" t="s">
        <v>10238</v>
      </c>
      <c r="B10240" s="4" t="s">
        <v>9011</v>
      </c>
      <c r="C10240" s="2" t="str">
        <f ca="1">IFERROR(__xludf.DUMMYFUNCTION("GOOGLETRANSLATE(A10240,""bn"",""en"")"),"We will fight for truth and justice in politics")</f>
        <v>We will fight for truth and justice in politics</v>
      </c>
      <c r="D10240" s="5"/>
      <c r="E10240" s="5"/>
      <c r="F10240" s="5"/>
      <c r="G10240" s="5"/>
      <c r="H10240" s="5"/>
      <c r="I10240" s="5"/>
      <c r="J10240" s="5"/>
      <c r="K10240" s="5"/>
      <c r="L10240" s="5"/>
      <c r="M10240" s="5"/>
      <c r="N10240" s="5"/>
      <c r="O10240" s="5"/>
      <c r="P10240" s="5"/>
      <c r="Q10240" s="5"/>
      <c r="R10240" s="5"/>
      <c r="S10240" s="5"/>
      <c r="T10240" s="5"/>
      <c r="U10240" s="5"/>
      <c r="V10240" s="5"/>
      <c r="W10240" s="5"/>
      <c r="X10240" s="5"/>
      <c r="Y10240" s="5"/>
      <c r="Z10240" s="5"/>
    </row>
    <row r="10241" spans="1:26" ht="15" x14ac:dyDescent="0.25">
      <c r="A10241" s="4" t="s">
        <v>10239</v>
      </c>
      <c r="B10241" s="4" t="s">
        <v>9011</v>
      </c>
      <c r="C10241" s="2" t="str">
        <f ca="1">IFERROR(__xludf.DUMMYFUNCTION("GOOGLETRANSLATE(A10241,""bn"",""en"")"),"Next month we will organize a big event where many dignitaries will participate")</f>
        <v>Next month we will organize a big event where many dignitaries will participate</v>
      </c>
      <c r="D10241" s="5"/>
      <c r="E10241" s="5"/>
      <c r="F10241" s="5"/>
      <c r="G10241" s="5"/>
      <c r="H10241" s="5"/>
      <c r="I10241" s="5"/>
      <c r="J10241" s="5"/>
      <c r="K10241" s="5"/>
      <c r="L10241" s="5"/>
      <c r="M10241" s="5"/>
      <c r="N10241" s="5"/>
      <c r="O10241" s="5"/>
      <c r="P10241" s="5"/>
      <c r="Q10241" s="5"/>
      <c r="R10241" s="5"/>
      <c r="S10241" s="5"/>
      <c r="T10241" s="5"/>
      <c r="U10241" s="5"/>
      <c r="V10241" s="5"/>
      <c r="W10241" s="5"/>
      <c r="X10241" s="5"/>
      <c r="Y10241" s="5"/>
      <c r="Z10241" s="5"/>
    </row>
    <row r="10242" spans="1:26" ht="15" x14ac:dyDescent="0.25">
      <c r="A10242" s="4" t="s">
        <v>10240</v>
      </c>
      <c r="B10242" s="4" t="s">
        <v>9011</v>
      </c>
      <c r="C10242" s="2" t="str">
        <f ca="1">IFERROR(__xludf.DUMMYFUNCTION("GOOGLETRANSLATE(A10242,""bn"",""en"")"),"He will master a new language next month which will strengthen his international relations")</f>
        <v>He will master a new language next month which will strengthen his international relations</v>
      </c>
      <c r="D10242" s="5"/>
      <c r="E10242" s="5"/>
      <c r="F10242" s="5"/>
      <c r="G10242" s="5"/>
      <c r="H10242" s="5"/>
      <c r="I10242" s="5"/>
      <c r="J10242" s="5"/>
      <c r="K10242" s="5"/>
      <c r="L10242" s="5"/>
      <c r="M10242" s="5"/>
      <c r="N10242" s="5"/>
      <c r="O10242" s="5"/>
      <c r="P10242" s="5"/>
      <c r="Q10242" s="5"/>
      <c r="R10242" s="5"/>
      <c r="S10242" s="5"/>
      <c r="T10242" s="5"/>
      <c r="U10242" s="5"/>
      <c r="V10242" s="5"/>
      <c r="W10242" s="5"/>
      <c r="X10242" s="5"/>
      <c r="Y10242" s="5"/>
      <c r="Z10242" s="5"/>
    </row>
    <row r="10243" spans="1:26" ht="15" x14ac:dyDescent="0.25">
      <c r="A10243" s="4" t="s">
        <v>10241</v>
      </c>
      <c r="B10243" s="4" t="s">
        <v>9011</v>
      </c>
      <c r="C10243" s="2" t="str">
        <f ca="1">IFERROR(__xludf.DUMMYFUNCTION("GOOGLETRANSLATE(A10243,""bn"",""en"")"),"Going underwater and playing a little with the way the fish swim will be an unforgettable experience")</f>
        <v>Going underwater and playing a little with the way the fish swim will be an unforgettable experience</v>
      </c>
      <c r="D10243" s="5"/>
      <c r="E10243" s="5"/>
      <c r="F10243" s="5"/>
      <c r="G10243" s="5"/>
      <c r="H10243" s="5"/>
      <c r="I10243" s="5"/>
      <c r="J10243" s="5"/>
      <c r="K10243" s="5"/>
      <c r="L10243" s="5"/>
      <c r="M10243" s="5"/>
      <c r="N10243" s="5"/>
      <c r="O10243" s="5"/>
      <c r="P10243" s="5"/>
      <c r="Q10243" s="5"/>
      <c r="R10243" s="5"/>
      <c r="S10243" s="5"/>
      <c r="T10243" s="5"/>
      <c r="U10243" s="5"/>
      <c r="V10243" s="5"/>
      <c r="W10243" s="5"/>
      <c r="X10243" s="5"/>
      <c r="Y10243" s="5"/>
      <c r="Z10243" s="5"/>
    </row>
    <row r="10244" spans="1:26" ht="15" x14ac:dyDescent="0.25">
      <c r="A10244" s="4" t="s">
        <v>10242</v>
      </c>
      <c r="B10244" s="4" t="s">
        <v>9011</v>
      </c>
      <c r="C10244" s="2" t="str">
        <f ca="1">IFERROR(__xludf.DUMMYFUNCTION("GOOGLETRANSLATE(A10244,""bn"",""en"")"),"The time will come to accept the challenge, to adapt myself to the new environment and to fulfill my dreams through hard work")</f>
        <v>The time will come to accept the challenge, to adapt myself to the new environment and to fulfill my dreams through hard work</v>
      </c>
      <c r="D10244" s="5"/>
      <c r="E10244" s="5"/>
      <c r="F10244" s="5"/>
      <c r="G10244" s="5"/>
      <c r="H10244" s="5"/>
      <c r="I10244" s="5"/>
      <c r="J10244" s="5"/>
      <c r="K10244" s="5"/>
      <c r="L10244" s="5"/>
      <c r="M10244" s="5"/>
      <c r="N10244" s="5"/>
      <c r="O10244" s="5"/>
      <c r="P10244" s="5"/>
      <c r="Q10244" s="5"/>
      <c r="R10244" s="5"/>
      <c r="S10244" s="5"/>
      <c r="T10244" s="5"/>
      <c r="U10244" s="5"/>
      <c r="V10244" s="5"/>
      <c r="W10244" s="5"/>
      <c r="X10244" s="5"/>
      <c r="Y10244" s="5"/>
      <c r="Z10244" s="5"/>
    </row>
    <row r="10245" spans="1:26" ht="15" x14ac:dyDescent="0.25">
      <c r="A10245" s="4" t="s">
        <v>10243</v>
      </c>
      <c r="B10245" s="4" t="s">
        <v>9011</v>
      </c>
      <c r="C10245" s="2" t="str">
        <f ca="1">IFERROR(__xludf.DUMMYFUNCTION("GOOGLETRANSLATE(A10245,""bn"",""en"")"),"I will take a cooking training which will improve my career")</f>
        <v>I will take a cooking training which will improve my career</v>
      </c>
      <c r="D10245" s="5"/>
      <c r="E10245" s="5"/>
      <c r="F10245" s="5"/>
      <c r="G10245" s="5"/>
      <c r="H10245" s="5"/>
      <c r="I10245" s="5"/>
      <c r="J10245" s="5"/>
      <c r="K10245" s="5"/>
      <c r="L10245" s="5"/>
      <c r="M10245" s="5"/>
      <c r="N10245" s="5"/>
      <c r="O10245" s="5"/>
      <c r="P10245" s="5"/>
      <c r="Q10245" s="5"/>
      <c r="R10245" s="5"/>
      <c r="S10245" s="5"/>
      <c r="T10245" s="5"/>
      <c r="U10245" s="5"/>
      <c r="V10245" s="5"/>
      <c r="W10245" s="5"/>
      <c r="X10245" s="5"/>
      <c r="Y10245" s="5"/>
      <c r="Z10245" s="5"/>
    </row>
    <row r="10246" spans="1:26" ht="15" x14ac:dyDescent="0.25">
      <c r="A10246" s="4" t="s">
        <v>10244</v>
      </c>
      <c r="B10246" s="4" t="s">
        <v>9011</v>
      </c>
      <c r="C10246" s="2" t="str">
        <f ca="1">IFERROR(__xludf.DUMMYFUNCTION("GOOGLETRANSLATE(A10246,""bn"",""en"")"),"What could be better than having everyone together during the game?")</f>
        <v>What could be better than having everyone together during the game?</v>
      </c>
      <c r="D10246" s="5"/>
      <c r="E10246" s="5"/>
      <c r="F10246" s="5"/>
      <c r="G10246" s="5"/>
      <c r="H10246" s="5"/>
      <c r="I10246" s="5"/>
      <c r="J10246" s="5"/>
      <c r="K10246" s="5"/>
      <c r="L10246" s="5"/>
      <c r="M10246" s="5"/>
      <c r="N10246" s="5"/>
      <c r="O10246" s="5"/>
      <c r="P10246" s="5"/>
      <c r="Q10246" s="5"/>
      <c r="R10246" s="5"/>
      <c r="S10246" s="5"/>
      <c r="T10246" s="5"/>
      <c r="U10246" s="5"/>
      <c r="V10246" s="5"/>
      <c r="W10246" s="5"/>
      <c r="X10246" s="5"/>
      <c r="Y10246" s="5"/>
      <c r="Z10246" s="5"/>
    </row>
    <row r="10247" spans="1:26" ht="15" x14ac:dyDescent="0.25">
      <c r="A10247" s="4" t="s">
        <v>10245</v>
      </c>
      <c r="B10247" s="4" t="s">
        <v>9011</v>
      </c>
      <c r="C10247" s="2" t="str">
        <f ca="1">IFERROR(__xludf.DUMMYFUNCTION("GOOGLETRANSLATE(A10247,""bn"",""en"")"),"Tomorrow I will start a new cooking course and I will learn new recipes")</f>
        <v>Tomorrow I will start a new cooking course and I will learn new recipes</v>
      </c>
      <c r="D10247" s="5"/>
      <c r="E10247" s="5"/>
      <c r="F10247" s="5"/>
      <c r="G10247" s="5"/>
      <c r="H10247" s="5"/>
      <c r="I10247" s="5"/>
      <c r="J10247" s="5"/>
      <c r="K10247" s="5"/>
      <c r="L10247" s="5"/>
      <c r="M10247" s="5"/>
      <c r="N10247" s="5"/>
      <c r="O10247" s="5"/>
      <c r="P10247" s="5"/>
      <c r="Q10247" s="5"/>
      <c r="R10247" s="5"/>
      <c r="S10247" s="5"/>
      <c r="T10247" s="5"/>
      <c r="U10247" s="5"/>
      <c r="V10247" s="5"/>
      <c r="W10247" s="5"/>
      <c r="X10247" s="5"/>
      <c r="Y10247" s="5"/>
      <c r="Z10247" s="5"/>
    </row>
    <row r="10248" spans="1:26" ht="15" x14ac:dyDescent="0.25">
      <c r="A10248" s="4" t="s">
        <v>10246</v>
      </c>
      <c r="B10248" s="4" t="s">
        <v>9011</v>
      </c>
      <c r="C10248" s="2" t="str">
        <f ca="1">IFERROR(__xludf.DUMMYFUNCTION("GOOGLETRANSLATE(A10248,""bn"",""en"")"),"He improved his performance even while he studied in his spare time")</f>
        <v>He improved his performance even while he studied in his spare time</v>
      </c>
      <c r="D10248" s="5"/>
      <c r="E10248" s="5"/>
      <c r="F10248" s="5"/>
      <c r="G10248" s="5"/>
      <c r="H10248" s="5"/>
      <c r="I10248" s="5"/>
      <c r="J10248" s="5"/>
      <c r="K10248" s="5"/>
      <c r="L10248" s="5"/>
      <c r="M10248" s="5"/>
      <c r="N10248" s="5"/>
      <c r="O10248" s="5"/>
      <c r="P10248" s="5"/>
      <c r="Q10248" s="5"/>
      <c r="R10248" s="5"/>
      <c r="S10248" s="5"/>
      <c r="T10248" s="5"/>
      <c r="U10248" s="5"/>
      <c r="V10248" s="5"/>
      <c r="W10248" s="5"/>
      <c r="X10248" s="5"/>
      <c r="Y10248" s="5"/>
      <c r="Z10248" s="5"/>
    </row>
    <row r="10249" spans="1:26" ht="15" x14ac:dyDescent="0.25">
      <c r="A10249" s="4" t="s">
        <v>10247</v>
      </c>
      <c r="B10249" s="4" t="s">
        <v>9011</v>
      </c>
      <c r="C10249" s="2" t="str">
        <f ca="1">IFERROR(__xludf.DUMMYFUNCTION("GOOGLETRANSLATE(A10249,""bn"",""en"")"),"I will organize a reunion with my family")</f>
        <v>I will organize a reunion with my family</v>
      </c>
      <c r="D10249" s="5"/>
      <c r="E10249" s="5"/>
      <c r="F10249" s="5"/>
      <c r="G10249" s="5"/>
      <c r="H10249" s="5"/>
      <c r="I10249" s="5"/>
      <c r="J10249" s="5"/>
      <c r="K10249" s="5"/>
      <c r="L10249" s="5"/>
      <c r="M10249" s="5"/>
      <c r="N10249" s="5"/>
      <c r="O10249" s="5"/>
      <c r="P10249" s="5"/>
      <c r="Q10249" s="5"/>
      <c r="R10249" s="5"/>
      <c r="S10249" s="5"/>
      <c r="T10249" s="5"/>
      <c r="U10249" s="5"/>
      <c r="V10249" s="5"/>
      <c r="W10249" s="5"/>
      <c r="X10249" s="5"/>
      <c r="Y10249" s="5"/>
      <c r="Z10249" s="5"/>
    </row>
    <row r="10250" spans="1:26" ht="15" x14ac:dyDescent="0.25">
      <c r="A10250" s="4" t="s">
        <v>10248</v>
      </c>
      <c r="B10250" s="4" t="s">
        <v>9011</v>
      </c>
      <c r="C10250" s="2" t="str">
        <f ca="1">IFERROR(__xludf.DUMMYFUNCTION("GOOGLETRANSLATE(A10250,""bn"",""en"")"),"He will receive a new education in the coming year")</f>
        <v>He will receive a new education in the coming year</v>
      </c>
      <c r="D10250" s="5"/>
      <c r="E10250" s="5"/>
      <c r="F10250" s="5"/>
      <c r="G10250" s="5"/>
      <c r="H10250" s="5"/>
      <c r="I10250" s="5"/>
      <c r="J10250" s="5"/>
      <c r="K10250" s="5"/>
      <c r="L10250" s="5"/>
      <c r="M10250" s="5"/>
      <c r="N10250" s="5"/>
      <c r="O10250" s="5"/>
      <c r="P10250" s="5"/>
      <c r="Q10250" s="5"/>
      <c r="R10250" s="5"/>
      <c r="S10250" s="5"/>
      <c r="T10250" s="5"/>
      <c r="U10250" s="5"/>
      <c r="V10250" s="5"/>
      <c r="W10250" s="5"/>
      <c r="X10250" s="5"/>
      <c r="Y10250" s="5"/>
      <c r="Z10250" s="5"/>
    </row>
    <row r="10251" spans="1:26" ht="15" x14ac:dyDescent="0.25">
      <c r="A10251" s="4" t="s">
        <v>10249</v>
      </c>
      <c r="B10251" s="4" t="s">
        <v>9011</v>
      </c>
      <c r="C10251" s="2" t="str">
        <f ca="1">IFERROR(__xludf.DUMMYFUNCTION("GOOGLETRANSLATE(A10251,""bn"",""en"")"),"Football match experience will be really enjoyable")</f>
        <v>Football match experience will be really enjoyable</v>
      </c>
      <c r="D10251" s="5"/>
      <c r="E10251" s="5"/>
      <c r="F10251" s="5"/>
      <c r="G10251" s="5"/>
      <c r="H10251" s="5"/>
      <c r="I10251" s="5"/>
      <c r="J10251" s="5"/>
      <c r="K10251" s="5"/>
      <c r="L10251" s="5"/>
      <c r="M10251" s="5"/>
      <c r="N10251" s="5"/>
      <c r="O10251" s="5"/>
      <c r="P10251" s="5"/>
      <c r="Q10251" s="5"/>
      <c r="R10251" s="5"/>
      <c r="S10251" s="5"/>
      <c r="T10251" s="5"/>
      <c r="U10251" s="5"/>
      <c r="V10251" s="5"/>
      <c r="W10251" s="5"/>
      <c r="X10251" s="5"/>
      <c r="Y10251" s="5"/>
      <c r="Z10251" s="5"/>
    </row>
    <row r="10252" spans="1:26" ht="15" x14ac:dyDescent="0.25">
      <c r="A10252" s="4" t="s">
        <v>10250</v>
      </c>
      <c r="B10252" s="4" t="s">
        <v>9011</v>
      </c>
      <c r="C10252" s="2" t="str">
        <f ca="1">IFERROR(__xludf.DUMMYFUNCTION("GOOGLETRANSLATE(A10252,""bn"",""en"")"),"Next week you will start working on a special research project where your research findings will be published in a respected journal")</f>
        <v>Next week you will start working on a special research project where your research findings will be published in a respected journal</v>
      </c>
      <c r="D10252" s="5"/>
      <c r="E10252" s="5"/>
      <c r="F10252" s="5"/>
      <c r="G10252" s="5"/>
      <c r="H10252" s="5"/>
      <c r="I10252" s="5"/>
      <c r="J10252" s="5"/>
      <c r="K10252" s="5"/>
      <c r="L10252" s="5"/>
      <c r="M10252" s="5"/>
      <c r="N10252" s="5"/>
      <c r="O10252" s="5"/>
      <c r="P10252" s="5"/>
      <c r="Q10252" s="5"/>
      <c r="R10252" s="5"/>
      <c r="S10252" s="5"/>
      <c r="T10252" s="5"/>
      <c r="U10252" s="5"/>
      <c r="V10252" s="5"/>
      <c r="W10252" s="5"/>
      <c r="X10252" s="5"/>
      <c r="Y10252" s="5"/>
      <c r="Z10252" s="5"/>
    </row>
    <row r="10253" spans="1:26" ht="15" x14ac:dyDescent="0.25">
      <c r="A10253" s="4" t="s">
        <v>10251</v>
      </c>
      <c r="B10253" s="4" t="s">
        <v>9011</v>
      </c>
      <c r="C10253" s="2" t="str">
        <f ca="1">IFERROR(__xludf.DUMMYFUNCTION("GOOGLETRANSLATE(A10253,""bn"",""en"")"),"Bangladesh will get IMF loan which will normalize the country's economy somewhat")</f>
        <v>Bangladesh will get IMF loan which will normalize the country's economy somewhat</v>
      </c>
      <c r="D10253" s="5"/>
      <c r="E10253" s="5"/>
      <c r="F10253" s="5"/>
      <c r="G10253" s="5"/>
      <c r="H10253" s="5"/>
      <c r="I10253" s="5"/>
      <c r="J10253" s="5"/>
      <c r="K10253" s="5"/>
      <c r="L10253" s="5"/>
      <c r="M10253" s="5"/>
      <c r="N10253" s="5"/>
      <c r="O10253" s="5"/>
      <c r="P10253" s="5"/>
      <c r="Q10253" s="5"/>
      <c r="R10253" s="5"/>
      <c r="S10253" s="5"/>
      <c r="T10253" s="5"/>
      <c r="U10253" s="5"/>
      <c r="V10253" s="5"/>
      <c r="W10253" s="5"/>
      <c r="X10253" s="5"/>
      <c r="Y10253" s="5"/>
      <c r="Z10253" s="5"/>
    </row>
    <row r="10254" spans="1:26" ht="15" x14ac:dyDescent="0.25">
      <c r="A10254" s="4" t="s">
        <v>10252</v>
      </c>
      <c r="B10254" s="4" t="s">
        <v>9011</v>
      </c>
      <c r="C10254" s="2" t="str">
        <f ca="1">IFERROR(__xludf.DUMMYFUNCTION("GOOGLETRANSLATE(A10254,""bn"",""en"")"),"We will work hard to improve our project community when they contact us")</f>
        <v>We will work hard to improve our project community when they contact us</v>
      </c>
      <c r="D10254" s="5"/>
      <c r="E10254" s="5"/>
      <c r="F10254" s="5"/>
      <c r="G10254" s="5"/>
      <c r="H10254" s="5"/>
      <c r="I10254" s="5"/>
      <c r="J10254" s="5"/>
      <c r="K10254" s="5"/>
      <c r="L10254" s="5"/>
      <c r="M10254" s="5"/>
      <c r="N10254" s="5"/>
      <c r="O10254" s="5"/>
      <c r="P10254" s="5"/>
      <c r="Q10254" s="5"/>
      <c r="R10254" s="5"/>
      <c r="S10254" s="5"/>
      <c r="T10254" s="5"/>
      <c r="U10254" s="5"/>
      <c r="V10254" s="5"/>
      <c r="W10254" s="5"/>
      <c r="X10254" s="5"/>
      <c r="Y10254" s="5"/>
      <c r="Z10254" s="5"/>
    </row>
    <row r="10255" spans="1:26" ht="15" x14ac:dyDescent="0.25">
      <c r="A10255" s="4" t="s">
        <v>10253</v>
      </c>
      <c r="B10255" s="4" t="s">
        <v>9011</v>
      </c>
      <c r="C10255" s="2" t="str">
        <f ca="1">IFERROR(__xludf.DUMMYFUNCTION("GOOGLETRANSLATE(A10255,""bn"",""en"")"),"They will always be with us for completion")</f>
        <v>They will always be with us for completion</v>
      </c>
      <c r="D10255" s="5"/>
      <c r="E10255" s="5"/>
      <c r="F10255" s="5"/>
      <c r="G10255" s="5"/>
      <c r="H10255" s="5"/>
      <c r="I10255" s="5"/>
      <c r="J10255" s="5"/>
      <c r="K10255" s="5"/>
      <c r="L10255" s="5"/>
      <c r="M10255" s="5"/>
      <c r="N10255" s="5"/>
      <c r="O10255" s="5"/>
      <c r="P10255" s="5"/>
      <c r="Q10255" s="5"/>
      <c r="R10255" s="5"/>
      <c r="S10255" s="5"/>
      <c r="T10255" s="5"/>
      <c r="U10255" s="5"/>
      <c r="V10255" s="5"/>
      <c r="W10255" s="5"/>
      <c r="X10255" s="5"/>
      <c r="Y10255" s="5"/>
      <c r="Z10255" s="5"/>
    </row>
    <row r="10256" spans="1:26" ht="15" x14ac:dyDescent="0.25">
      <c r="A10256" s="4" t="s">
        <v>10254</v>
      </c>
      <c r="B10256" s="4" t="s">
        <v>9011</v>
      </c>
      <c r="C10256" s="2" t="str">
        <f ca="1">IFERROR(__xludf.DUMMYFUNCTION("GOOGLETRANSLATE(A10256,""bn"",""en"")"),"They will be organizing a big charity event tomorrow where funds will be collected for the development of the society")</f>
        <v>They will be organizing a big charity event tomorrow where funds will be collected for the development of the society</v>
      </c>
      <c r="D10256" s="5"/>
      <c r="E10256" s="5"/>
      <c r="F10256" s="5"/>
      <c r="G10256" s="5"/>
      <c r="H10256" s="5"/>
      <c r="I10256" s="5"/>
      <c r="J10256" s="5"/>
      <c r="K10256" s="5"/>
      <c r="L10256" s="5"/>
      <c r="M10256" s="5"/>
      <c r="N10256" s="5"/>
      <c r="O10256" s="5"/>
      <c r="P10256" s="5"/>
      <c r="Q10256" s="5"/>
      <c r="R10256" s="5"/>
      <c r="S10256" s="5"/>
      <c r="T10256" s="5"/>
      <c r="U10256" s="5"/>
      <c r="V10256" s="5"/>
      <c r="W10256" s="5"/>
      <c r="X10256" s="5"/>
      <c r="Y10256" s="5"/>
      <c r="Z10256" s="5"/>
    </row>
    <row r="10257" spans="1:26" ht="15" x14ac:dyDescent="0.25">
      <c r="A10257" s="4" t="s">
        <v>10255</v>
      </c>
      <c r="B10257" s="4" t="s">
        <v>9011</v>
      </c>
      <c r="C10257" s="2" t="str">
        <f ca="1">IFERROR(__xludf.DUMMYFUNCTION("GOOGLETRANSLATE(A10257,""bn"",""en"")"),"Next vacation I will travel to the beach")</f>
        <v>Next vacation I will travel to the beach</v>
      </c>
      <c r="D10257" s="5"/>
      <c r="E10257" s="5"/>
      <c r="F10257" s="5"/>
      <c r="G10257" s="5"/>
      <c r="H10257" s="5"/>
      <c r="I10257" s="5"/>
      <c r="J10257" s="5"/>
      <c r="K10257" s="5"/>
      <c r="L10257" s="5"/>
      <c r="M10257" s="5"/>
      <c r="N10257" s="5"/>
      <c r="O10257" s="5"/>
      <c r="P10257" s="5"/>
      <c r="Q10257" s="5"/>
      <c r="R10257" s="5"/>
      <c r="S10257" s="5"/>
      <c r="T10257" s="5"/>
      <c r="U10257" s="5"/>
      <c r="V10257" s="5"/>
      <c r="W10257" s="5"/>
      <c r="X10257" s="5"/>
      <c r="Y10257" s="5"/>
      <c r="Z10257" s="5"/>
    </row>
    <row r="10258" spans="1:26" ht="15" x14ac:dyDescent="0.25">
      <c r="A10258" s="4" t="s">
        <v>10256</v>
      </c>
      <c r="B10258" s="4" t="s">
        <v>9011</v>
      </c>
      <c r="C10258" s="2" t="str">
        <f ca="1">IFERROR(__xludf.DUMMYFUNCTION("GOOGLETRANSLATE(A10258,""bn"",""en"")"),"Congratulations Riya on getting your new job, it will be great to see your hard work pay off")</f>
        <v>Congratulations Riya on getting your new job, it will be great to see your hard work pay off</v>
      </c>
      <c r="D10258" s="5"/>
      <c r="E10258" s="5"/>
      <c r="F10258" s="5"/>
      <c r="G10258" s="5"/>
      <c r="H10258" s="5"/>
      <c r="I10258" s="5"/>
      <c r="J10258" s="5"/>
      <c r="K10258" s="5"/>
      <c r="L10258" s="5"/>
      <c r="M10258" s="5"/>
      <c r="N10258" s="5"/>
      <c r="O10258" s="5"/>
      <c r="P10258" s="5"/>
      <c r="Q10258" s="5"/>
      <c r="R10258" s="5"/>
      <c r="S10258" s="5"/>
      <c r="T10258" s="5"/>
      <c r="U10258" s="5"/>
      <c r="V10258" s="5"/>
      <c r="W10258" s="5"/>
      <c r="X10258" s="5"/>
      <c r="Y10258" s="5"/>
      <c r="Z10258" s="5"/>
    </row>
    <row r="10259" spans="1:26" ht="15" x14ac:dyDescent="0.25">
      <c r="A10259" s="4" t="s">
        <v>10257</v>
      </c>
      <c r="B10259" s="4" t="s">
        <v>9011</v>
      </c>
      <c r="C10259" s="2" t="str">
        <f ca="1">IFERROR(__xludf.DUMMYFUNCTION("GOOGLETRANSLATE(A10259,""bn"",""en"")"),"Even if you hear Yamin's cry in the middle of the night, you will not wake up, but the wave of love will come")</f>
        <v>Even if you hear Yamin's cry in the middle of the night, you will not wake up, but the wave of love will come</v>
      </c>
      <c r="D10259" s="5"/>
      <c r="E10259" s="5"/>
      <c r="F10259" s="5"/>
      <c r="G10259" s="5"/>
      <c r="H10259" s="5"/>
      <c r="I10259" s="5"/>
      <c r="J10259" s="5"/>
      <c r="K10259" s="5"/>
      <c r="L10259" s="5"/>
      <c r="M10259" s="5"/>
      <c r="N10259" s="5"/>
      <c r="O10259" s="5"/>
      <c r="P10259" s="5"/>
      <c r="Q10259" s="5"/>
      <c r="R10259" s="5"/>
      <c r="S10259" s="5"/>
      <c r="T10259" s="5"/>
      <c r="U10259" s="5"/>
      <c r="V10259" s="5"/>
      <c r="W10259" s="5"/>
      <c r="X10259" s="5"/>
      <c r="Y10259" s="5"/>
      <c r="Z10259" s="5"/>
    </row>
    <row r="10260" spans="1:26" ht="15" x14ac:dyDescent="0.25">
      <c r="A10260" s="4" t="s">
        <v>10258</v>
      </c>
      <c r="B10260" s="4" t="s">
        <v>9011</v>
      </c>
      <c r="C10260" s="2" t="str">
        <f ca="1">IFERROR(__xludf.DUMMYFUNCTION("GOOGLETRANSLATE(A10260,""bn"",""en"")"),"This time I will grow up, you will have your own money, but you have to follow the words of your elder brother, you know")</f>
        <v>This time I will grow up, you will have your own money, but you have to follow the words of your elder brother, you know</v>
      </c>
      <c r="D10260" s="5"/>
      <c r="E10260" s="5"/>
      <c r="F10260" s="5"/>
      <c r="G10260" s="5"/>
      <c r="H10260" s="5"/>
      <c r="I10260" s="5"/>
      <c r="J10260" s="5"/>
      <c r="K10260" s="5"/>
      <c r="L10260" s="5"/>
      <c r="M10260" s="5"/>
      <c r="N10260" s="5"/>
      <c r="O10260" s="5"/>
      <c r="P10260" s="5"/>
      <c r="Q10260" s="5"/>
      <c r="R10260" s="5"/>
      <c r="S10260" s="5"/>
      <c r="T10260" s="5"/>
      <c r="U10260" s="5"/>
      <c r="V10260" s="5"/>
      <c r="W10260" s="5"/>
      <c r="X10260" s="5"/>
      <c r="Y10260" s="5"/>
      <c r="Z10260" s="5"/>
    </row>
    <row r="10261" spans="1:26" ht="15" x14ac:dyDescent="0.25">
      <c r="A10261" s="4" t="s">
        <v>10259</v>
      </c>
      <c r="B10261" s="4" t="s">
        <v>9011</v>
      </c>
      <c r="C10261" s="2" t="str">
        <f ca="1">IFERROR(__xludf.DUMMYFUNCTION("GOOGLETRANSLATE(A10261,""bn"",""en"")"),"At the end of the day all our family will have a good time together")</f>
        <v>At the end of the day all our family will have a good time together</v>
      </c>
      <c r="D10261" s="5"/>
      <c r="E10261" s="5"/>
      <c r="F10261" s="5"/>
      <c r="G10261" s="5"/>
      <c r="H10261" s="5"/>
      <c r="I10261" s="5"/>
      <c r="J10261" s="5"/>
      <c r="K10261" s="5"/>
      <c r="L10261" s="5"/>
      <c r="M10261" s="5"/>
      <c r="N10261" s="5"/>
      <c r="O10261" s="5"/>
      <c r="P10261" s="5"/>
      <c r="Q10261" s="5"/>
      <c r="R10261" s="5"/>
      <c r="S10261" s="5"/>
      <c r="T10261" s="5"/>
      <c r="U10261" s="5"/>
      <c r="V10261" s="5"/>
      <c r="W10261" s="5"/>
      <c r="X10261" s="5"/>
      <c r="Y10261" s="5"/>
      <c r="Z10261" s="5"/>
    </row>
    <row r="10262" spans="1:26" ht="15" x14ac:dyDescent="0.25">
      <c r="A10262" s="4" t="s">
        <v>10260</v>
      </c>
      <c r="B10262" s="4" t="s">
        <v>9011</v>
      </c>
      <c r="C10262" s="2" t="str">
        <f ca="1">IFERROR(__xludf.DUMMYFUNCTION("GOOGLETRANSLATE(A10262,""bn"",""en"")"),"Finally I will get the new member of the team. I wish Bithi the best for the job")</f>
        <v>Finally I will get the new member of the team. I wish Bithi the best for the job</v>
      </c>
      <c r="D10262" s="5"/>
      <c r="E10262" s="5"/>
      <c r="F10262" s="5"/>
      <c r="G10262" s="5"/>
      <c r="H10262" s="5"/>
      <c r="I10262" s="5"/>
      <c r="J10262" s="5"/>
      <c r="K10262" s="5"/>
      <c r="L10262" s="5"/>
      <c r="M10262" s="5"/>
      <c r="N10262" s="5"/>
      <c r="O10262" s="5"/>
      <c r="P10262" s="5"/>
      <c r="Q10262" s="5"/>
      <c r="R10262" s="5"/>
      <c r="S10262" s="5"/>
      <c r="T10262" s="5"/>
      <c r="U10262" s="5"/>
      <c r="V10262" s="5"/>
      <c r="W10262" s="5"/>
      <c r="X10262" s="5"/>
      <c r="Y10262" s="5"/>
      <c r="Z10262" s="5"/>
    </row>
    <row r="10263" spans="1:26" ht="15" x14ac:dyDescent="0.25">
      <c r="A10263" s="4" t="s">
        <v>10261</v>
      </c>
      <c r="B10263" s="4" t="s">
        <v>9011</v>
      </c>
      <c r="C10263" s="2" t="str">
        <f ca="1">IFERROR(__xludf.DUMMYFUNCTION("GOOGLETRANSLATE(A10263,""bn"",""en"")"),"A couple of laps in the pool during the morning bath would be a great way to start the day")</f>
        <v>A couple of laps in the pool during the morning bath would be a great way to start the day</v>
      </c>
      <c r="D10263" s="5"/>
      <c r="E10263" s="5"/>
      <c r="F10263" s="5"/>
      <c r="G10263" s="5"/>
      <c r="H10263" s="5"/>
      <c r="I10263" s="5"/>
      <c r="J10263" s="5"/>
      <c r="K10263" s="5"/>
      <c r="L10263" s="5"/>
      <c r="M10263" s="5"/>
      <c r="N10263" s="5"/>
      <c r="O10263" s="5"/>
      <c r="P10263" s="5"/>
      <c r="Q10263" s="5"/>
      <c r="R10263" s="5"/>
      <c r="S10263" s="5"/>
      <c r="T10263" s="5"/>
      <c r="U10263" s="5"/>
      <c r="V10263" s="5"/>
      <c r="W10263" s="5"/>
      <c r="X10263" s="5"/>
      <c r="Y10263" s="5"/>
      <c r="Z10263" s="5"/>
    </row>
    <row r="10264" spans="1:26" ht="15" x14ac:dyDescent="0.25">
      <c r="A10264" s="4" t="s">
        <v>10262</v>
      </c>
      <c r="B10264" s="4" t="s">
        <v>9011</v>
      </c>
      <c r="C10264" s="2" t="str">
        <f ca="1">IFERROR(__xludf.DUMMYFUNCTION("GOOGLETRANSLATE(A10264,""bn"",""en"")"),"Go ahead with a little hard work and one day that hard work will pay off")</f>
        <v>Go ahead with a little hard work and one day that hard work will pay off</v>
      </c>
      <c r="D10264" s="5"/>
      <c r="E10264" s="5"/>
      <c r="F10264" s="5"/>
      <c r="G10264" s="5"/>
      <c r="H10264" s="5"/>
      <c r="I10264" s="5"/>
      <c r="J10264" s="5"/>
      <c r="K10264" s="5"/>
      <c r="L10264" s="5"/>
      <c r="M10264" s="5"/>
      <c r="N10264" s="5"/>
      <c r="O10264" s="5"/>
      <c r="P10264" s="5"/>
      <c r="Q10264" s="5"/>
      <c r="R10264" s="5"/>
      <c r="S10264" s="5"/>
      <c r="T10264" s="5"/>
      <c r="U10264" s="5"/>
      <c r="V10264" s="5"/>
      <c r="W10264" s="5"/>
      <c r="X10264" s="5"/>
      <c r="Y10264" s="5"/>
      <c r="Z10264" s="5"/>
    </row>
    <row r="10265" spans="1:26" ht="15" x14ac:dyDescent="0.25">
      <c r="A10265" s="4" t="s">
        <v>10263</v>
      </c>
      <c r="B10265" s="4" t="s">
        <v>9011</v>
      </c>
      <c r="C10265" s="2" t="str">
        <f ca="1">IFERROR(__xludf.DUMMYFUNCTION("GOOGLETRANSLATE(A10265,""bn"",""en"")"),"The banter between the BTS members, fun activities and love fights will be a source of entertainment for fans.")</f>
        <v>The banter between the BTS members, fun activities and love fights will be a source of entertainment for fans.</v>
      </c>
      <c r="D10265" s="5"/>
      <c r="E10265" s="5"/>
      <c r="F10265" s="5"/>
      <c r="G10265" s="5"/>
      <c r="H10265" s="5"/>
      <c r="I10265" s="5"/>
      <c r="J10265" s="5"/>
      <c r="K10265" s="5"/>
      <c r="L10265" s="5"/>
      <c r="M10265" s="5"/>
      <c r="N10265" s="5"/>
      <c r="O10265" s="5"/>
      <c r="P10265" s="5"/>
      <c r="Q10265" s="5"/>
      <c r="R10265" s="5"/>
      <c r="S10265" s="5"/>
      <c r="T10265" s="5"/>
      <c r="U10265" s="5"/>
      <c r="V10265" s="5"/>
      <c r="W10265" s="5"/>
      <c r="X10265" s="5"/>
      <c r="Y10265" s="5"/>
      <c r="Z10265" s="5"/>
    </row>
    <row r="10266" spans="1:26" ht="15" x14ac:dyDescent="0.25">
      <c r="A10266" s="4" t="s">
        <v>10264</v>
      </c>
      <c r="B10266" s="4" t="s">
        <v>9011</v>
      </c>
      <c r="C10266" s="2" t="str">
        <f ca="1">IFERROR(__xludf.DUMMYFUNCTION("GOOGLETRANSLATE(A10266,""bn"",""en"")"),"By eating food from Boudi's hands, you will know that old tastes can be found in new places")</f>
        <v>By eating food from Boudi's hands, you will know that old tastes can be found in new places</v>
      </c>
      <c r="D10266" s="5"/>
      <c r="E10266" s="5"/>
      <c r="F10266" s="5"/>
      <c r="G10266" s="5"/>
      <c r="H10266" s="5"/>
      <c r="I10266" s="5"/>
      <c r="J10266" s="5"/>
      <c r="K10266" s="5"/>
      <c r="L10266" s="5"/>
      <c r="M10266" s="5"/>
      <c r="N10266" s="5"/>
      <c r="O10266" s="5"/>
      <c r="P10266" s="5"/>
      <c r="Q10266" s="5"/>
      <c r="R10266" s="5"/>
      <c r="S10266" s="5"/>
      <c r="T10266" s="5"/>
      <c r="U10266" s="5"/>
      <c r="V10266" s="5"/>
      <c r="W10266" s="5"/>
      <c r="X10266" s="5"/>
      <c r="Y10266" s="5"/>
      <c r="Z10266" s="5"/>
    </row>
    <row r="10267" spans="1:26" ht="15" x14ac:dyDescent="0.25">
      <c r="A10267" s="4" t="s">
        <v>10265</v>
      </c>
      <c r="B10267" s="4" t="s">
        <v>9011</v>
      </c>
      <c r="C10267" s="2" t="str">
        <f ca="1">IFERROR(__xludf.DUMMYFUNCTION("GOOGLETRANSLATE(A10267,""bn"",""en"")"),"What a strange joy in my eyes, as if the stars would twinkle in the sky")</f>
        <v>What a strange joy in my eyes, as if the stars would twinkle in the sky</v>
      </c>
      <c r="D10267" s="5"/>
      <c r="E10267" s="5"/>
      <c r="F10267" s="5"/>
      <c r="G10267" s="5"/>
      <c r="H10267" s="5"/>
      <c r="I10267" s="5"/>
      <c r="J10267" s="5"/>
      <c r="K10267" s="5"/>
      <c r="L10267" s="5"/>
      <c r="M10267" s="5"/>
      <c r="N10267" s="5"/>
      <c r="O10267" s="5"/>
      <c r="P10267" s="5"/>
      <c r="Q10267" s="5"/>
      <c r="R10267" s="5"/>
      <c r="S10267" s="5"/>
      <c r="T10267" s="5"/>
      <c r="U10267" s="5"/>
      <c r="V10267" s="5"/>
      <c r="W10267" s="5"/>
      <c r="X10267" s="5"/>
      <c r="Y10267" s="5"/>
      <c r="Z10267" s="5"/>
    </row>
    <row r="10268" spans="1:26" ht="15" x14ac:dyDescent="0.25">
      <c r="A10268" s="4" t="s">
        <v>10266</v>
      </c>
      <c r="B10268" s="4" t="s">
        <v>9011</v>
      </c>
      <c r="C10268" s="2" t="str">
        <f ca="1">IFERROR(__xludf.DUMMYFUNCTION("GOOGLETRANSLATE(A10268,""bn"",""en"")"),"Sometimes I will get all the peace of the world with simple songs")</f>
        <v>Sometimes I will get all the peace of the world with simple songs</v>
      </c>
      <c r="D10268" s="5"/>
      <c r="E10268" s="5"/>
      <c r="F10268" s="5"/>
      <c r="G10268" s="5"/>
      <c r="H10268" s="5"/>
      <c r="I10268" s="5"/>
      <c r="J10268" s="5"/>
      <c r="K10268" s="5"/>
      <c r="L10268" s="5"/>
      <c r="M10268" s="5"/>
      <c r="N10268" s="5"/>
      <c r="O10268" s="5"/>
      <c r="P10268" s="5"/>
      <c r="Q10268" s="5"/>
      <c r="R10268" s="5"/>
      <c r="S10268" s="5"/>
      <c r="T10268" s="5"/>
      <c r="U10268" s="5"/>
      <c r="V10268" s="5"/>
      <c r="W10268" s="5"/>
      <c r="X10268" s="5"/>
      <c r="Y10268" s="5"/>
      <c r="Z10268" s="5"/>
    </row>
    <row r="10269" spans="1:26" ht="15" x14ac:dyDescent="0.25">
      <c r="A10269" s="4" t="s">
        <v>10267</v>
      </c>
      <c r="B10269" s="4" t="s">
        <v>9011</v>
      </c>
      <c r="C10269" s="2" t="str">
        <f ca="1">IFERROR(__xludf.DUMMYFUNCTION("GOOGLETRANSLATE(A10269,""bn"",""en"")"),"You will be speaking at a seminar on advanced agricultural production technology next month")</f>
        <v>You will be speaking at a seminar on advanced agricultural production technology next month</v>
      </c>
      <c r="D10269" s="5"/>
      <c r="E10269" s="5"/>
      <c r="F10269" s="5"/>
      <c r="G10269" s="5"/>
      <c r="H10269" s="5"/>
      <c r="I10269" s="5"/>
      <c r="J10269" s="5"/>
      <c r="K10269" s="5"/>
      <c r="L10269" s="5"/>
      <c r="M10269" s="5"/>
      <c r="N10269" s="5"/>
      <c r="O10269" s="5"/>
      <c r="P10269" s="5"/>
      <c r="Q10269" s="5"/>
      <c r="R10269" s="5"/>
      <c r="S10269" s="5"/>
      <c r="T10269" s="5"/>
      <c r="U10269" s="5"/>
      <c r="V10269" s="5"/>
      <c r="W10269" s="5"/>
      <c r="X10269" s="5"/>
      <c r="Y10269" s="5"/>
      <c r="Z10269" s="5"/>
    </row>
    <row r="10270" spans="1:26" ht="15" x14ac:dyDescent="0.25">
      <c r="A10270" s="4" t="s">
        <v>10268</v>
      </c>
      <c r="B10270" s="4" t="s">
        <v>9011</v>
      </c>
      <c r="C10270" s="2" t="str">
        <f ca="1">IFERROR(__xludf.DUMMYFUNCTION("GOOGLETRANSLATE(A10270,""bn"",""en"")"),"The joy of moving forward little by little will be different")</f>
        <v>The joy of moving forward little by little will be different</v>
      </c>
      <c r="D10270" s="5"/>
      <c r="E10270" s="5"/>
      <c r="F10270" s="5"/>
      <c r="G10270" s="5"/>
      <c r="H10270" s="5"/>
      <c r="I10270" s="5"/>
      <c r="J10270" s="5"/>
      <c r="K10270" s="5"/>
      <c r="L10270" s="5"/>
      <c r="M10270" s="5"/>
      <c r="N10270" s="5"/>
      <c r="O10270" s="5"/>
      <c r="P10270" s="5"/>
      <c r="Q10270" s="5"/>
      <c r="R10270" s="5"/>
      <c r="S10270" s="5"/>
      <c r="T10270" s="5"/>
      <c r="U10270" s="5"/>
      <c r="V10270" s="5"/>
      <c r="W10270" s="5"/>
      <c r="X10270" s="5"/>
      <c r="Y10270" s="5"/>
      <c r="Z10270" s="5"/>
    </row>
    <row r="10271" spans="1:26" ht="15" x14ac:dyDescent="0.25">
      <c r="A10271" s="4" t="s">
        <v>10269</v>
      </c>
      <c r="B10271" s="4" t="s">
        <v>9011</v>
      </c>
      <c r="C10271" s="2" t="str">
        <f ca="1">IFERROR(__xludf.DUMMYFUNCTION("GOOGLETRANSLATE(A10271,""bn"",""en"")"),"They will buy a bouquet of flowers to present at the wedding tomorrow")</f>
        <v>They will buy a bouquet of flowers to present at the wedding tomorrow</v>
      </c>
      <c r="D10271" s="5"/>
      <c r="E10271" s="5"/>
      <c r="F10271" s="5"/>
      <c r="G10271" s="5"/>
      <c r="H10271" s="5"/>
      <c r="I10271" s="5"/>
      <c r="J10271" s="5"/>
      <c r="K10271" s="5"/>
      <c r="L10271" s="5"/>
      <c r="M10271" s="5"/>
      <c r="N10271" s="5"/>
      <c r="O10271" s="5"/>
      <c r="P10271" s="5"/>
      <c r="Q10271" s="5"/>
      <c r="R10271" s="5"/>
      <c r="S10271" s="5"/>
      <c r="T10271" s="5"/>
      <c r="U10271" s="5"/>
      <c r="V10271" s="5"/>
      <c r="W10271" s="5"/>
      <c r="X10271" s="5"/>
      <c r="Y10271" s="5"/>
      <c r="Z10271" s="5"/>
    </row>
    <row r="10272" spans="1:26" ht="15" x14ac:dyDescent="0.25">
      <c r="A10272" s="4" t="s">
        <v>10270</v>
      </c>
      <c r="B10272" s="4" t="s">
        <v>9011</v>
      </c>
      <c r="C10272" s="2" t="str">
        <f ca="1">IFERROR(__xludf.DUMMYFUNCTION("GOOGLETRANSLATE(A10272,""bn"",""en"")"),"They will start a project on improved power transmission systems next year")</f>
        <v>They will start a project on improved power transmission systems next year</v>
      </c>
      <c r="D10272" s="5"/>
      <c r="E10272" s="5"/>
      <c r="F10272" s="5"/>
      <c r="G10272" s="5"/>
      <c r="H10272" s="5"/>
      <c r="I10272" s="5"/>
      <c r="J10272" s="5"/>
      <c r="K10272" s="5"/>
      <c r="L10272" s="5"/>
      <c r="M10272" s="5"/>
      <c r="N10272" s="5"/>
      <c r="O10272" s="5"/>
      <c r="P10272" s="5"/>
      <c r="Q10272" s="5"/>
      <c r="R10272" s="5"/>
      <c r="S10272" s="5"/>
      <c r="T10272" s="5"/>
      <c r="U10272" s="5"/>
      <c r="V10272" s="5"/>
      <c r="W10272" s="5"/>
      <c r="X10272" s="5"/>
      <c r="Y10272" s="5"/>
      <c r="Z10272" s="5"/>
    </row>
    <row r="10273" spans="1:26" ht="15" x14ac:dyDescent="0.25">
      <c r="A10273" s="4" t="s">
        <v>10271</v>
      </c>
      <c r="B10273" s="4" t="s">
        <v>9011</v>
      </c>
      <c r="C10273" s="2" t="str">
        <f ca="1">IFERROR(__xludf.DUMMYFUNCTION("GOOGLETRANSLATE(A10273,""bn"",""en"")"),"We will come again next month")</f>
        <v>We will come again next month</v>
      </c>
      <c r="D10273" s="5"/>
      <c r="E10273" s="5"/>
      <c r="F10273" s="5"/>
      <c r="G10273" s="5"/>
      <c r="H10273" s="5"/>
      <c r="I10273" s="5"/>
      <c r="J10273" s="5"/>
      <c r="K10273" s="5"/>
      <c r="L10273" s="5"/>
      <c r="M10273" s="5"/>
      <c r="N10273" s="5"/>
      <c r="O10273" s="5"/>
      <c r="P10273" s="5"/>
      <c r="Q10273" s="5"/>
      <c r="R10273" s="5"/>
      <c r="S10273" s="5"/>
      <c r="T10273" s="5"/>
      <c r="U10273" s="5"/>
      <c r="V10273" s="5"/>
      <c r="W10273" s="5"/>
      <c r="X10273" s="5"/>
      <c r="Y10273" s="5"/>
      <c r="Z10273" s="5"/>
    </row>
    <row r="10274" spans="1:26" ht="15" x14ac:dyDescent="0.25">
      <c r="A10274" s="4" t="s">
        <v>10272</v>
      </c>
      <c r="B10274" s="4" t="s">
        <v>9011</v>
      </c>
      <c r="C10274" s="2" t="str">
        <f ca="1">IFERROR(__xludf.DUMMYFUNCTION("GOOGLETRANSLATE(A10274,""bn"",""en"")"),"In the next year we will implement more new technologies in our family business which will increase our production capacity")</f>
        <v>In the next year we will implement more new technologies in our family business which will increase our production capacity</v>
      </c>
      <c r="D10274" s="5"/>
      <c r="E10274" s="5"/>
      <c r="F10274" s="5"/>
      <c r="G10274" s="5"/>
      <c r="H10274" s="5"/>
      <c r="I10274" s="5"/>
      <c r="J10274" s="5"/>
      <c r="K10274" s="5"/>
      <c r="L10274" s="5"/>
      <c r="M10274" s="5"/>
      <c r="N10274" s="5"/>
      <c r="O10274" s="5"/>
      <c r="P10274" s="5"/>
      <c r="Q10274" s="5"/>
      <c r="R10274" s="5"/>
      <c r="S10274" s="5"/>
      <c r="T10274" s="5"/>
      <c r="U10274" s="5"/>
      <c r="V10274" s="5"/>
      <c r="W10274" s="5"/>
      <c r="X10274" s="5"/>
      <c r="Y10274" s="5"/>
      <c r="Z10274" s="5"/>
    </row>
    <row r="10275" spans="1:26" ht="15" x14ac:dyDescent="0.25">
      <c r="A10275" s="4" t="s">
        <v>10273</v>
      </c>
      <c r="B10275" s="4" t="s">
        <v>9011</v>
      </c>
      <c r="C10275" s="2" t="str">
        <f ca="1">IFERROR(__xludf.DUMMYFUNCTION("GOOGLETRANSLATE(A10275,""bn"",""en"")"),"The nature after the rain, the washed out sky, the gurgling of the water on the green leaves and the fragrance of the soil will be a mind blowing sensation")</f>
        <v>The nature after the rain, the washed out sky, the gurgling of the water on the green leaves and the fragrance of the soil will be a mind blowing sensation</v>
      </c>
      <c r="D10275" s="5"/>
      <c r="E10275" s="5"/>
      <c r="F10275" s="5"/>
      <c r="G10275" s="5"/>
      <c r="H10275" s="5"/>
      <c r="I10275" s="5"/>
      <c r="J10275" s="5"/>
      <c r="K10275" s="5"/>
      <c r="L10275" s="5"/>
      <c r="M10275" s="5"/>
      <c r="N10275" s="5"/>
      <c r="O10275" s="5"/>
      <c r="P10275" s="5"/>
      <c r="Q10275" s="5"/>
      <c r="R10275" s="5"/>
      <c r="S10275" s="5"/>
      <c r="T10275" s="5"/>
      <c r="U10275" s="5"/>
      <c r="V10275" s="5"/>
      <c r="W10275" s="5"/>
      <c r="X10275" s="5"/>
      <c r="Y10275" s="5"/>
      <c r="Z10275" s="5"/>
    </row>
    <row r="10276" spans="1:26" ht="15" x14ac:dyDescent="0.25">
      <c r="A10276" s="4" t="s">
        <v>10274</v>
      </c>
      <c r="B10276" s="4" t="s">
        <v>9011</v>
      </c>
      <c r="C10276" s="2" t="str">
        <f ca="1">IFERROR(__xludf.DUMMYFUNCTION("GOOGLETRANSLATE(A10276,""bn"",""en"")"),"Coding will be a bit difficult to learn but once you start learning, you will gain tremendous power")</f>
        <v>Coding will be a bit difficult to learn but once you start learning, you will gain tremendous power</v>
      </c>
      <c r="D10276" s="5"/>
      <c r="E10276" s="5"/>
      <c r="F10276" s="5"/>
      <c r="G10276" s="5"/>
      <c r="H10276" s="5"/>
      <c r="I10276" s="5"/>
      <c r="J10276" s="5"/>
      <c r="K10276" s="5"/>
      <c r="L10276" s="5"/>
      <c r="M10276" s="5"/>
      <c r="N10276" s="5"/>
      <c r="O10276" s="5"/>
      <c r="P10276" s="5"/>
      <c r="Q10276" s="5"/>
      <c r="R10276" s="5"/>
      <c r="S10276" s="5"/>
      <c r="T10276" s="5"/>
      <c r="U10276" s="5"/>
      <c r="V10276" s="5"/>
      <c r="W10276" s="5"/>
      <c r="X10276" s="5"/>
      <c r="Y10276" s="5"/>
      <c r="Z10276" s="5"/>
    </row>
    <row r="10277" spans="1:26" ht="15" x14ac:dyDescent="0.25">
      <c r="A10277" s="4" t="s">
        <v>10275</v>
      </c>
      <c r="B10277" s="4" t="s">
        <v>9011</v>
      </c>
      <c r="C10277" s="2" t="str">
        <f ca="1">IFERROR(__xludf.DUMMYFUNCTION("GOOGLETRANSLATE(A10277,""bn"",""en"")"),"Sitting under the shade of a big mango tree in the garden and reading a book is full of joy")</f>
        <v>Sitting under the shade of a big mango tree in the garden and reading a book is full of joy</v>
      </c>
      <c r="D10277" s="5"/>
      <c r="E10277" s="5"/>
      <c r="F10277" s="5"/>
      <c r="G10277" s="5"/>
      <c r="H10277" s="5"/>
      <c r="I10277" s="5"/>
      <c r="J10277" s="5"/>
      <c r="K10277" s="5"/>
      <c r="L10277" s="5"/>
      <c r="M10277" s="5"/>
      <c r="N10277" s="5"/>
      <c r="O10277" s="5"/>
      <c r="P10277" s="5"/>
      <c r="Q10277" s="5"/>
      <c r="R10277" s="5"/>
      <c r="S10277" s="5"/>
      <c r="T10277" s="5"/>
      <c r="U10277" s="5"/>
      <c r="V10277" s="5"/>
      <c r="W10277" s="5"/>
      <c r="X10277" s="5"/>
      <c r="Y10277" s="5"/>
      <c r="Z10277" s="5"/>
    </row>
    <row r="10278" spans="1:26" ht="15" x14ac:dyDescent="0.25">
      <c r="A10278" s="4" t="s">
        <v>10276</v>
      </c>
      <c r="B10278" s="4" t="s">
        <v>9011</v>
      </c>
      <c r="C10278" s="2" t="str">
        <f ca="1">IFERROR(__xludf.DUMMYFUNCTION("GOOGLETRANSLATE(A10278,""bn"",""en"")"),"He will gradually fulfill his dream by enriching himself through education while attending this class")</f>
        <v>He will gradually fulfill his dream by enriching himself through education while attending this class</v>
      </c>
      <c r="D10278" s="5"/>
      <c r="E10278" s="5"/>
      <c r="F10278" s="5"/>
      <c r="G10278" s="5"/>
      <c r="H10278" s="5"/>
      <c r="I10278" s="5"/>
      <c r="J10278" s="5"/>
      <c r="K10278" s="5"/>
      <c r="L10278" s="5"/>
      <c r="M10278" s="5"/>
      <c r="N10278" s="5"/>
      <c r="O10278" s="5"/>
      <c r="P10278" s="5"/>
      <c r="Q10278" s="5"/>
      <c r="R10278" s="5"/>
      <c r="S10278" s="5"/>
      <c r="T10278" s="5"/>
      <c r="U10278" s="5"/>
      <c r="V10278" s="5"/>
      <c r="W10278" s="5"/>
      <c r="X10278" s="5"/>
      <c r="Y10278" s="5"/>
      <c r="Z10278" s="5"/>
    </row>
    <row r="10279" spans="1:26" ht="15" x14ac:dyDescent="0.25">
      <c r="A10279" s="4" t="s">
        <v>10277</v>
      </c>
      <c r="B10279" s="4" t="s">
        <v>9011</v>
      </c>
      <c r="C10279" s="2" t="str">
        <f ca="1">IFERROR(__xludf.DUMMYFUNCTION("GOOGLETRANSLATE(A10279,""bn"",""en"")"),"I will advocate for stricter environmental legislation to combat climate change")</f>
        <v>I will advocate for stricter environmental legislation to combat climate change</v>
      </c>
      <c r="D10279" s="5"/>
      <c r="E10279" s="5"/>
      <c r="F10279" s="5"/>
      <c r="G10279" s="5"/>
      <c r="H10279" s="5"/>
      <c r="I10279" s="5"/>
      <c r="J10279" s="5"/>
      <c r="K10279" s="5"/>
      <c r="L10279" s="5"/>
      <c r="M10279" s="5"/>
      <c r="N10279" s="5"/>
      <c r="O10279" s="5"/>
      <c r="P10279" s="5"/>
      <c r="Q10279" s="5"/>
      <c r="R10279" s="5"/>
      <c r="S10279" s="5"/>
      <c r="T10279" s="5"/>
      <c r="U10279" s="5"/>
      <c r="V10279" s="5"/>
      <c r="W10279" s="5"/>
      <c r="X10279" s="5"/>
      <c r="Y10279" s="5"/>
      <c r="Z10279" s="5"/>
    </row>
    <row r="10280" spans="1:26" ht="15" x14ac:dyDescent="0.25">
      <c r="A10280" s="4" t="s">
        <v>10278</v>
      </c>
      <c r="B10280" s="4" t="s">
        <v>9011</v>
      </c>
      <c r="C10280" s="2" t="str">
        <f ca="1">IFERROR(__xludf.DUMMYFUNCTION("GOOGLETRANSLATE(A10280,""bn"",""en"")"),"I will know the experience of other listeners, I will enrich my perspective by reading music criticism, and the joy of people's minds will increase")</f>
        <v>I will know the experience of other listeners, I will enrich my perspective by reading music criticism, and the joy of people's minds will increase</v>
      </c>
      <c r="D10280" s="5"/>
      <c r="E10280" s="5"/>
      <c r="F10280" s="5"/>
      <c r="G10280" s="5"/>
      <c r="H10280" s="5"/>
      <c r="I10280" s="5"/>
      <c r="J10280" s="5"/>
      <c r="K10280" s="5"/>
      <c r="L10280" s="5"/>
      <c r="M10280" s="5"/>
      <c r="N10280" s="5"/>
      <c r="O10280" s="5"/>
      <c r="P10280" s="5"/>
      <c r="Q10280" s="5"/>
      <c r="R10280" s="5"/>
      <c r="S10280" s="5"/>
      <c r="T10280" s="5"/>
      <c r="U10280" s="5"/>
      <c r="V10280" s="5"/>
      <c r="W10280" s="5"/>
      <c r="X10280" s="5"/>
      <c r="Y10280" s="5"/>
      <c r="Z10280" s="5"/>
    </row>
    <row r="10281" spans="1:26" ht="15" x14ac:dyDescent="0.25">
      <c r="A10281" s="4" t="s">
        <v>10279</v>
      </c>
      <c r="B10281" s="4" t="s">
        <v>9011</v>
      </c>
      <c r="C10281" s="2" t="str">
        <f ca="1">IFERROR(__xludf.DUMMYFUNCTION("GOOGLETRANSLATE(A10281,""bn"",""en"")"),"If the little family member helps in the work, the parents will get blessings")</f>
        <v>If the little family member helps in the work, the parents will get blessings</v>
      </c>
      <c r="D10281" s="5"/>
      <c r="E10281" s="5"/>
      <c r="F10281" s="5"/>
      <c r="G10281" s="5"/>
      <c r="H10281" s="5"/>
      <c r="I10281" s="5"/>
      <c r="J10281" s="5"/>
      <c r="K10281" s="5"/>
      <c r="L10281" s="5"/>
      <c r="M10281" s="5"/>
      <c r="N10281" s="5"/>
      <c r="O10281" s="5"/>
      <c r="P10281" s="5"/>
      <c r="Q10281" s="5"/>
      <c r="R10281" s="5"/>
      <c r="S10281" s="5"/>
      <c r="T10281" s="5"/>
      <c r="U10281" s="5"/>
      <c r="V10281" s="5"/>
      <c r="W10281" s="5"/>
      <c r="X10281" s="5"/>
      <c r="Y10281" s="5"/>
      <c r="Z10281" s="5"/>
    </row>
    <row r="10282" spans="1:26" ht="15" x14ac:dyDescent="0.25">
      <c r="A10282" s="4" t="s">
        <v>10280</v>
      </c>
      <c r="B10282" s="4" t="s">
        <v>9011</v>
      </c>
      <c r="C10282" s="2" t="str">
        <f ca="1">IFERROR(__xludf.DUMMYFUNCTION("GOOGLETRANSLATE(A10282,""bn"",""en"")"),"Mother will cook today and will not sleep at night")</f>
        <v>Mother will cook today and will not sleep at night</v>
      </c>
      <c r="D10282" s="5"/>
      <c r="E10282" s="5"/>
      <c r="F10282" s="5"/>
      <c r="G10282" s="5"/>
      <c r="H10282" s="5"/>
      <c r="I10282" s="5"/>
      <c r="J10282" s="5"/>
      <c r="K10282" s="5"/>
      <c r="L10282" s="5"/>
      <c r="M10282" s="5"/>
      <c r="N10282" s="5"/>
      <c r="O10282" s="5"/>
      <c r="P10282" s="5"/>
      <c r="Q10282" s="5"/>
      <c r="R10282" s="5"/>
      <c r="S10282" s="5"/>
      <c r="T10282" s="5"/>
      <c r="U10282" s="5"/>
      <c r="V10282" s="5"/>
      <c r="W10282" s="5"/>
      <c r="X10282" s="5"/>
      <c r="Y10282" s="5"/>
      <c r="Z10282" s="5"/>
    </row>
    <row r="10283" spans="1:26" ht="15" x14ac:dyDescent="0.25">
      <c r="A10283" s="4" t="s">
        <v>10281</v>
      </c>
      <c r="B10283" s="4" t="s">
        <v>9011</v>
      </c>
      <c r="C10283" s="2" t="str">
        <f ca="1">IFERROR(__xludf.DUMMYFUNCTION("GOOGLETRANSLATE(A10283,""bn"",""en"")"),"With the reflection of the sunset, with the sunrise, with the song of the birds, we will walk easily, along the river, we will drift with the rain, we will feel the joy of traveling in nature's connection and charm.")</f>
        <v>With the reflection of the sunset, with the sunrise, with the song of the birds, we will walk easily, along the river, we will drift with the rain, we will feel the joy of traveling in nature's connection and charm.</v>
      </c>
      <c r="D10283" s="5"/>
      <c r="E10283" s="5"/>
      <c r="F10283" s="5"/>
      <c r="G10283" s="5"/>
      <c r="H10283" s="5"/>
      <c r="I10283" s="5"/>
      <c r="J10283" s="5"/>
      <c r="K10283" s="5"/>
      <c r="L10283" s="5"/>
      <c r="M10283" s="5"/>
      <c r="N10283" s="5"/>
      <c r="O10283" s="5"/>
      <c r="P10283" s="5"/>
      <c r="Q10283" s="5"/>
      <c r="R10283" s="5"/>
      <c r="S10283" s="5"/>
      <c r="T10283" s="5"/>
      <c r="U10283" s="5"/>
      <c r="V10283" s="5"/>
      <c r="W10283" s="5"/>
      <c r="X10283" s="5"/>
      <c r="Y10283" s="5"/>
      <c r="Z10283" s="5"/>
    </row>
    <row r="10284" spans="1:26" ht="15" x14ac:dyDescent="0.25">
      <c r="A10284" s="4" t="s">
        <v>10282</v>
      </c>
      <c r="B10284" s="4" t="s">
        <v>9011</v>
      </c>
      <c r="C10284" s="2" t="str">
        <f ca="1">IFERROR(__xludf.DUMMYFUNCTION("GOOGLETRANSLATE(A10284,""bn"",""en"")"),"I will organize a surprise party on my friend's birthday")</f>
        <v>I will organize a surprise party on my friend's birthday</v>
      </c>
      <c r="D10284" s="5"/>
      <c r="E10284" s="5"/>
      <c r="F10284" s="5"/>
      <c r="G10284" s="5"/>
      <c r="H10284" s="5"/>
      <c r="I10284" s="5"/>
      <c r="J10284" s="5"/>
      <c r="K10284" s="5"/>
      <c r="L10284" s="5"/>
      <c r="M10284" s="5"/>
      <c r="N10284" s="5"/>
      <c r="O10284" s="5"/>
      <c r="P10284" s="5"/>
      <c r="Q10284" s="5"/>
      <c r="R10284" s="5"/>
      <c r="S10284" s="5"/>
      <c r="T10284" s="5"/>
      <c r="U10284" s="5"/>
      <c r="V10284" s="5"/>
      <c r="W10284" s="5"/>
      <c r="X10284" s="5"/>
      <c r="Y10284" s="5"/>
      <c r="Z10284" s="5"/>
    </row>
    <row r="10285" spans="1:26" ht="15" x14ac:dyDescent="0.25">
      <c r="A10285" s="4" t="s">
        <v>10283</v>
      </c>
      <c r="B10285" s="4" t="s">
        <v>9011</v>
      </c>
      <c r="C10285" s="2" t="str">
        <f ca="1">IFERROR(__xludf.DUMMYFUNCTION("GOOGLETRANSLATE(A10285,""bn"",""en"")"),"Hope everyone's first cinema experience will be a sweet memory")</f>
        <v>Hope everyone's first cinema experience will be a sweet memory</v>
      </c>
      <c r="D10285" s="5"/>
      <c r="E10285" s="5"/>
      <c r="F10285" s="5"/>
      <c r="G10285" s="5"/>
      <c r="H10285" s="5"/>
      <c r="I10285" s="5"/>
      <c r="J10285" s="5"/>
      <c r="K10285" s="5"/>
      <c r="L10285" s="5"/>
      <c r="M10285" s="5"/>
      <c r="N10285" s="5"/>
      <c r="O10285" s="5"/>
      <c r="P10285" s="5"/>
      <c r="Q10285" s="5"/>
      <c r="R10285" s="5"/>
      <c r="S10285" s="5"/>
      <c r="T10285" s="5"/>
      <c r="U10285" s="5"/>
      <c r="V10285" s="5"/>
      <c r="W10285" s="5"/>
      <c r="X10285" s="5"/>
      <c r="Y10285" s="5"/>
      <c r="Z10285" s="5"/>
    </row>
    <row r="10286" spans="1:26" ht="15" x14ac:dyDescent="0.25">
      <c r="A10286" s="4" t="s">
        <v>10284</v>
      </c>
      <c r="B10286" s="4" t="s">
        <v>9011</v>
      </c>
      <c r="C10286" s="2" t="str">
        <f ca="1">IFERROR(__xludf.DUMMYFUNCTION("GOOGLETRANSLATE(A10286,""bn"",""en"")"),"I will be publishing an article tomorrow on quality medical research")</f>
        <v>I will be publishing an article tomorrow on quality medical research</v>
      </c>
      <c r="D10286" s="5"/>
      <c r="E10286" s="5"/>
      <c r="F10286" s="5"/>
      <c r="G10286" s="5"/>
      <c r="H10286" s="5"/>
      <c r="I10286" s="5"/>
      <c r="J10286" s="5"/>
      <c r="K10286" s="5"/>
      <c r="L10286" s="5"/>
      <c r="M10286" s="5"/>
      <c r="N10286" s="5"/>
      <c r="O10286" s="5"/>
      <c r="P10286" s="5"/>
      <c r="Q10286" s="5"/>
      <c r="R10286" s="5"/>
      <c r="S10286" s="5"/>
      <c r="T10286" s="5"/>
      <c r="U10286" s="5"/>
      <c r="V10286" s="5"/>
      <c r="W10286" s="5"/>
      <c r="X10286" s="5"/>
      <c r="Y10286" s="5"/>
      <c r="Z10286" s="5"/>
    </row>
    <row r="10287" spans="1:26" ht="15" x14ac:dyDescent="0.25">
      <c r="A10287" s="4" t="s">
        <v>10285</v>
      </c>
      <c r="B10287" s="4" t="s">
        <v>9011</v>
      </c>
      <c r="C10287" s="2" t="str">
        <f ca="1">IFERROR(__xludf.DUMMYFUNCTION("GOOGLETRANSLATE(A10287,""bn"",""en"")"),"Watching movies with family will be a fun experience")</f>
        <v>Watching movies with family will be a fun experience</v>
      </c>
      <c r="D10287" s="5"/>
      <c r="E10287" s="5"/>
      <c r="F10287" s="5"/>
      <c r="G10287" s="5"/>
      <c r="H10287" s="5"/>
      <c r="I10287" s="5"/>
      <c r="J10287" s="5"/>
      <c r="K10287" s="5"/>
      <c r="L10287" s="5"/>
      <c r="M10287" s="5"/>
      <c r="N10287" s="5"/>
      <c r="O10287" s="5"/>
      <c r="P10287" s="5"/>
      <c r="Q10287" s="5"/>
      <c r="R10287" s="5"/>
      <c r="S10287" s="5"/>
      <c r="T10287" s="5"/>
      <c r="U10287" s="5"/>
      <c r="V10287" s="5"/>
      <c r="W10287" s="5"/>
      <c r="X10287" s="5"/>
      <c r="Y10287" s="5"/>
      <c r="Z10287" s="5"/>
    </row>
    <row r="10288" spans="1:26" ht="15" x14ac:dyDescent="0.25">
      <c r="A10288" s="4" t="s">
        <v>10286</v>
      </c>
      <c r="B10288" s="4" t="s">
        <v>9011</v>
      </c>
      <c r="C10288" s="2" t="str">
        <f ca="1">IFERROR(__xludf.DUMMYFUNCTION("GOOGLETRANSLATE(A10288,""bn"",""en"")"),"An animal companion will be a source of happiness, and spending time with them will add to the joy of the mind")</f>
        <v>An animal companion will be a source of happiness, and spending time with them will add to the joy of the mind</v>
      </c>
      <c r="D10288" s="5"/>
      <c r="E10288" s="5"/>
      <c r="F10288" s="5"/>
      <c r="G10288" s="5"/>
      <c r="H10288" s="5"/>
      <c r="I10288" s="5"/>
      <c r="J10288" s="5"/>
      <c r="K10288" s="5"/>
      <c r="L10288" s="5"/>
      <c r="M10288" s="5"/>
      <c r="N10288" s="5"/>
      <c r="O10288" s="5"/>
      <c r="P10288" s="5"/>
      <c r="Q10288" s="5"/>
      <c r="R10288" s="5"/>
      <c r="S10288" s="5"/>
      <c r="T10288" s="5"/>
      <c r="U10288" s="5"/>
      <c r="V10288" s="5"/>
      <c r="W10288" s="5"/>
      <c r="X10288" s="5"/>
      <c r="Y10288" s="5"/>
      <c r="Z10288" s="5"/>
    </row>
    <row r="10289" spans="1:26" ht="15" x14ac:dyDescent="0.25">
      <c r="A10289" s="4" t="s">
        <v>10287</v>
      </c>
      <c r="B10289" s="4" t="s">
        <v>9011</v>
      </c>
      <c r="C10289" s="2" t="str">
        <f ca="1">IFERROR(__xludf.DUMMYFUNCTION("GOOGLETRANSLATE(A10289,""bn"",""en"")"),"Fitness will be a symbol of happiness healthy people will embark on in search of happiness")</f>
        <v>Fitness will be a symbol of happiness healthy people will embark on in search of happiness</v>
      </c>
      <c r="D10289" s="5"/>
      <c r="E10289" s="5"/>
      <c r="F10289" s="5"/>
      <c r="G10289" s="5"/>
      <c r="H10289" s="5"/>
      <c r="I10289" s="5"/>
      <c r="J10289" s="5"/>
      <c r="K10289" s="5"/>
      <c r="L10289" s="5"/>
      <c r="M10289" s="5"/>
      <c r="N10289" s="5"/>
      <c r="O10289" s="5"/>
      <c r="P10289" s="5"/>
      <c r="Q10289" s="5"/>
      <c r="R10289" s="5"/>
      <c r="S10289" s="5"/>
      <c r="T10289" s="5"/>
      <c r="U10289" s="5"/>
      <c r="V10289" s="5"/>
      <c r="W10289" s="5"/>
      <c r="X10289" s="5"/>
      <c r="Y10289" s="5"/>
      <c r="Z10289" s="5"/>
    </row>
    <row r="10290" spans="1:26" ht="15" x14ac:dyDescent="0.25">
      <c r="A10290" s="4" t="s">
        <v>10288</v>
      </c>
      <c r="B10290" s="4" t="s">
        <v>9011</v>
      </c>
      <c r="C10290" s="2" t="str">
        <f ca="1">IFERROR(__xludf.DUMMYFUNCTION("GOOGLETRANSLATE(A10290,""bn"",""en"")"),"We will work hard to complete these tasks once all the documents are complete")</f>
        <v>We will work hard to complete these tasks once all the documents are complete</v>
      </c>
      <c r="D10290" s="5"/>
      <c r="E10290" s="5"/>
      <c r="F10290" s="5"/>
      <c r="G10290" s="5"/>
      <c r="H10290" s="5"/>
      <c r="I10290" s="5"/>
      <c r="J10290" s="5"/>
      <c r="K10290" s="5"/>
      <c r="L10290" s="5"/>
      <c r="M10290" s="5"/>
      <c r="N10290" s="5"/>
      <c r="O10290" s="5"/>
      <c r="P10290" s="5"/>
      <c r="Q10290" s="5"/>
      <c r="R10290" s="5"/>
      <c r="S10290" s="5"/>
      <c r="T10290" s="5"/>
      <c r="U10290" s="5"/>
      <c r="V10290" s="5"/>
      <c r="W10290" s="5"/>
      <c r="X10290" s="5"/>
      <c r="Y10290" s="5"/>
      <c r="Z10290" s="5"/>
    </row>
    <row r="10291" spans="1:26" ht="15" x14ac:dyDescent="0.25">
      <c r="A10291" s="4" t="s">
        <v>10289</v>
      </c>
      <c r="B10291" s="4" t="s">
        <v>9011</v>
      </c>
      <c r="C10291" s="2" t="str">
        <f ca="1">IFERROR(__xludf.DUMMYFUNCTION("GOOGLETRANSLATE(A10291,""bn"",""en"")"),"Even if you quarreled as a child, I will be very happy with your success today")</f>
        <v>Even if you quarreled as a child, I will be very happy with your success today</v>
      </c>
      <c r="D10291" s="5"/>
      <c r="E10291" s="5"/>
      <c r="F10291" s="5"/>
      <c r="G10291" s="5"/>
      <c r="H10291" s="5"/>
      <c r="I10291" s="5"/>
      <c r="J10291" s="5"/>
      <c r="K10291" s="5"/>
      <c r="L10291" s="5"/>
      <c r="M10291" s="5"/>
      <c r="N10291" s="5"/>
      <c r="O10291" s="5"/>
      <c r="P10291" s="5"/>
      <c r="Q10291" s="5"/>
      <c r="R10291" s="5"/>
      <c r="S10291" s="5"/>
      <c r="T10291" s="5"/>
      <c r="U10291" s="5"/>
      <c r="V10291" s="5"/>
      <c r="W10291" s="5"/>
      <c r="X10291" s="5"/>
      <c r="Y10291" s="5"/>
      <c r="Z10291" s="5"/>
    </row>
    <row r="10292" spans="1:26" ht="15" x14ac:dyDescent="0.25">
      <c r="A10292" s="4" t="s">
        <v>10290</v>
      </c>
      <c r="B10292" s="4" t="s">
        <v>9011</v>
      </c>
      <c r="C10292" s="2" t="str">
        <f ca="1">IFERROR(__xludf.DUMMYFUNCTION("GOOGLETRANSLATE(A10292,""bn"",""en"")"),"Comedy shows will give new impetus to people's minds and brighten their days. Laughter plays will lead people's minds to the path of joy which will create new happiness in their lives.")</f>
        <v>Comedy shows will give new impetus to people's minds and brighten their days. Laughter plays will lead people's minds to the path of joy which will create new happiness in their lives.</v>
      </c>
      <c r="D10292" s="5"/>
      <c r="E10292" s="5"/>
      <c r="F10292" s="5"/>
      <c r="G10292" s="5"/>
      <c r="H10292" s="5"/>
      <c r="I10292" s="5"/>
      <c r="J10292" s="5"/>
      <c r="K10292" s="5"/>
      <c r="L10292" s="5"/>
      <c r="M10292" s="5"/>
      <c r="N10292" s="5"/>
      <c r="O10292" s="5"/>
      <c r="P10292" s="5"/>
      <c r="Q10292" s="5"/>
      <c r="R10292" s="5"/>
      <c r="S10292" s="5"/>
      <c r="T10292" s="5"/>
      <c r="U10292" s="5"/>
      <c r="V10292" s="5"/>
      <c r="W10292" s="5"/>
      <c r="X10292" s="5"/>
      <c r="Y10292" s="5"/>
      <c r="Z10292" s="5"/>
    </row>
    <row r="10293" spans="1:26" ht="15" x14ac:dyDescent="0.25">
      <c r="A10293" s="4" t="s">
        <v>10291</v>
      </c>
      <c r="B10293" s="4" t="s">
        <v>9011</v>
      </c>
      <c r="C10293" s="2" t="str">
        <f ca="1">IFERROR(__xludf.DUMMYFUNCTION("GOOGLETRANSLATE(A10293,""bn"",""en"")"),"I will learn something new everyday and the journey with photography will be endless")</f>
        <v>I will learn something new everyday and the journey with photography will be endless</v>
      </c>
      <c r="D10293" s="5"/>
      <c r="E10293" s="5"/>
      <c r="F10293" s="5"/>
      <c r="G10293" s="5"/>
      <c r="H10293" s="5"/>
      <c r="I10293" s="5"/>
      <c r="J10293" s="5"/>
      <c r="K10293" s="5"/>
      <c r="L10293" s="5"/>
      <c r="M10293" s="5"/>
      <c r="N10293" s="5"/>
      <c r="O10293" s="5"/>
      <c r="P10293" s="5"/>
      <c r="Q10293" s="5"/>
      <c r="R10293" s="5"/>
      <c r="S10293" s="5"/>
      <c r="T10293" s="5"/>
      <c r="U10293" s="5"/>
      <c r="V10293" s="5"/>
      <c r="W10293" s="5"/>
      <c r="X10293" s="5"/>
      <c r="Y10293" s="5"/>
      <c r="Z10293" s="5"/>
    </row>
    <row r="10294" spans="1:26" ht="15" x14ac:dyDescent="0.25">
      <c r="A10294" s="4" t="s">
        <v>10292</v>
      </c>
      <c r="B10294" s="4" t="s">
        <v>9011</v>
      </c>
      <c r="C10294" s="2" t="str">
        <f ca="1">IFERROR(__xludf.DUMMYFUNCTION("GOOGLETRANSLATE(A10294,""bn"",""en"")"),"Photography will be a language of sharing stories with others")</f>
        <v>Photography will be a language of sharing stories with others</v>
      </c>
      <c r="D10294" s="5"/>
      <c r="E10294" s="5"/>
      <c r="F10294" s="5"/>
      <c r="G10294" s="5"/>
      <c r="H10294" s="5"/>
      <c r="I10294" s="5"/>
      <c r="J10294" s="5"/>
      <c r="K10294" s="5"/>
      <c r="L10294" s="5"/>
      <c r="M10294" s="5"/>
      <c r="N10294" s="5"/>
      <c r="O10294" s="5"/>
      <c r="P10294" s="5"/>
      <c r="Q10294" s="5"/>
      <c r="R10294" s="5"/>
      <c r="S10294" s="5"/>
      <c r="T10294" s="5"/>
      <c r="U10294" s="5"/>
      <c r="V10294" s="5"/>
      <c r="W10294" s="5"/>
      <c r="X10294" s="5"/>
      <c r="Y10294" s="5"/>
      <c r="Z10294" s="5"/>
    </row>
    <row r="10295" spans="1:26" ht="15" x14ac:dyDescent="0.25">
      <c r="A10295" s="4" t="s">
        <v>10293</v>
      </c>
      <c r="B10295" s="4" t="s">
        <v>9011</v>
      </c>
      <c r="C10295" s="2" t="str">
        <f ca="1">IFERROR(__xludf.DUMMYFUNCTION("GOOGLETRANSLATE(A10295,""bn"",""en"")"),"I won't have my picture in the wedding album but I'll always be there for you in happiness and sadness")</f>
        <v>I won't have my picture in the wedding album but I'll always be there for you in happiness and sadness</v>
      </c>
      <c r="D10295" s="5"/>
      <c r="E10295" s="5"/>
      <c r="F10295" s="5"/>
      <c r="G10295" s="5"/>
      <c r="H10295" s="5"/>
      <c r="I10295" s="5"/>
      <c r="J10295" s="5"/>
      <c r="K10295" s="5"/>
      <c r="L10295" s="5"/>
      <c r="M10295" s="5"/>
      <c r="N10295" s="5"/>
      <c r="O10295" s="5"/>
      <c r="P10295" s="5"/>
      <c r="Q10295" s="5"/>
      <c r="R10295" s="5"/>
      <c r="S10295" s="5"/>
      <c r="T10295" s="5"/>
      <c r="U10295" s="5"/>
      <c r="V10295" s="5"/>
      <c r="W10295" s="5"/>
      <c r="X10295" s="5"/>
      <c r="Y10295" s="5"/>
      <c r="Z10295" s="5"/>
    </row>
    <row r="10296" spans="1:26" ht="15" x14ac:dyDescent="0.25">
      <c r="A10296" s="4" t="s">
        <v>10294</v>
      </c>
      <c r="B10296" s="4" t="s">
        <v>9011</v>
      </c>
      <c r="C10296" s="2" t="str">
        <f ca="1">IFERROR(__xludf.DUMMYFUNCTION("GOOGLETRANSLATE(A10296,""bn"",""en"")"),"I will be sincerely grateful for your vote")</f>
        <v>I will be sincerely grateful for your vote</v>
      </c>
      <c r="D10296" s="5"/>
      <c r="E10296" s="5"/>
      <c r="F10296" s="5"/>
      <c r="G10296" s="5"/>
      <c r="H10296" s="5"/>
      <c r="I10296" s="5"/>
      <c r="J10296" s="5"/>
      <c r="K10296" s="5"/>
      <c r="L10296" s="5"/>
      <c r="M10296" s="5"/>
      <c r="N10296" s="5"/>
      <c r="O10296" s="5"/>
      <c r="P10296" s="5"/>
      <c r="Q10296" s="5"/>
      <c r="R10296" s="5"/>
      <c r="S10296" s="5"/>
      <c r="T10296" s="5"/>
      <c r="U10296" s="5"/>
      <c r="V10296" s="5"/>
      <c r="W10296" s="5"/>
      <c r="X10296" s="5"/>
      <c r="Y10296" s="5"/>
      <c r="Z10296" s="5"/>
    </row>
    <row r="10297" spans="1:26" ht="15" x14ac:dyDescent="0.25">
      <c r="A10297" s="4" t="s">
        <v>10295</v>
      </c>
      <c r="B10297" s="4" t="s">
        <v>9011</v>
      </c>
      <c r="C10297" s="2" t="str">
        <f ca="1">IFERROR(__xludf.DUMMYFUNCTION("GOOGLETRANSLATE(A10297,""bn"",""en"")"),"We will recognize the hard work of the organization's new managers when they meet all business goals")</f>
        <v>We will recognize the hard work of the organization's new managers when they meet all business goals</v>
      </c>
      <c r="D10297" s="5"/>
      <c r="E10297" s="5"/>
      <c r="F10297" s="5"/>
      <c r="G10297" s="5"/>
      <c r="H10297" s="5"/>
      <c r="I10297" s="5"/>
      <c r="J10297" s="5"/>
      <c r="K10297" s="5"/>
      <c r="L10297" s="5"/>
      <c r="M10297" s="5"/>
      <c r="N10297" s="5"/>
      <c r="O10297" s="5"/>
      <c r="P10297" s="5"/>
      <c r="Q10297" s="5"/>
      <c r="R10297" s="5"/>
      <c r="S10297" s="5"/>
      <c r="T10297" s="5"/>
      <c r="U10297" s="5"/>
      <c r="V10297" s="5"/>
      <c r="W10297" s="5"/>
      <c r="X10297" s="5"/>
      <c r="Y10297" s="5"/>
      <c r="Z10297" s="5"/>
    </row>
    <row r="10298" spans="1:26" ht="15" x14ac:dyDescent="0.25">
      <c r="A10298" s="4" t="s">
        <v>10296</v>
      </c>
      <c r="B10298" s="4" t="s">
        <v>9011</v>
      </c>
      <c r="C10298" s="2" t="str">
        <f ca="1">IFERROR(__xludf.DUMMYFUNCTION("GOOGLETRANSLATE(A10298,""bn"",""en"")"),"You will be with us till the end")</f>
        <v>You will be with us till the end</v>
      </c>
      <c r="D10298" s="5"/>
      <c r="E10298" s="5"/>
      <c r="F10298" s="5"/>
      <c r="G10298" s="5"/>
      <c r="H10298" s="5"/>
      <c r="I10298" s="5"/>
      <c r="J10298" s="5"/>
      <c r="K10298" s="5"/>
      <c r="L10298" s="5"/>
      <c r="M10298" s="5"/>
      <c r="N10298" s="5"/>
      <c r="O10298" s="5"/>
      <c r="P10298" s="5"/>
      <c r="Q10298" s="5"/>
      <c r="R10298" s="5"/>
      <c r="S10298" s="5"/>
      <c r="T10298" s="5"/>
      <c r="U10298" s="5"/>
      <c r="V10298" s="5"/>
      <c r="W10298" s="5"/>
      <c r="X10298" s="5"/>
      <c r="Y10298" s="5"/>
      <c r="Z10298" s="5"/>
    </row>
    <row r="10299" spans="1:26" ht="15" x14ac:dyDescent="0.25">
      <c r="A10299" s="4" t="s">
        <v>10297</v>
      </c>
      <c r="B10299" s="4" t="s">
        <v>9011</v>
      </c>
      <c r="C10299" s="2" t="str">
        <f ca="1">IFERROR(__xludf.DUMMYFUNCTION("GOOGLETRANSLATE(A10299,""bn"",""en"")"),"Tomorrow she will start working in a famous restaurant where she will improve her cooking skills")</f>
        <v>Tomorrow she will start working in a famous restaurant where she will improve her cooking skills</v>
      </c>
      <c r="D10299" s="5"/>
      <c r="E10299" s="5"/>
      <c r="F10299" s="5"/>
      <c r="G10299" s="5"/>
      <c r="H10299" s="5"/>
      <c r="I10299" s="5"/>
      <c r="J10299" s="5"/>
      <c r="K10299" s="5"/>
      <c r="L10299" s="5"/>
      <c r="M10299" s="5"/>
      <c r="N10299" s="5"/>
      <c r="O10299" s="5"/>
      <c r="P10299" s="5"/>
      <c r="Q10299" s="5"/>
      <c r="R10299" s="5"/>
      <c r="S10299" s="5"/>
      <c r="T10299" s="5"/>
      <c r="U10299" s="5"/>
      <c r="V10299" s="5"/>
      <c r="W10299" s="5"/>
      <c r="X10299" s="5"/>
      <c r="Y10299" s="5"/>
      <c r="Z10299" s="5"/>
    </row>
    <row r="10300" spans="1:26" ht="15" x14ac:dyDescent="0.25">
      <c r="A10300" s="4" t="s">
        <v>10298</v>
      </c>
      <c r="B10300" s="4" t="s">
        <v>9011</v>
      </c>
      <c r="C10300" s="2" t="str">
        <f ca="1">IFERROR(__xludf.DUMMYFUNCTION("GOOGLETRANSLATE(A10300,""bn"",""en"")"),"When I complete my research I will publish my research paper in a reputed journal")</f>
        <v>When I complete my research I will publish my research paper in a reputed journal</v>
      </c>
      <c r="D10300" s="5"/>
      <c r="E10300" s="5"/>
      <c r="F10300" s="5"/>
      <c r="G10300" s="5"/>
      <c r="H10300" s="5"/>
      <c r="I10300" s="5"/>
      <c r="J10300" s="5"/>
      <c r="K10300" s="5"/>
      <c r="L10300" s="5"/>
      <c r="M10300" s="5"/>
      <c r="N10300" s="5"/>
      <c r="O10300" s="5"/>
      <c r="P10300" s="5"/>
      <c r="Q10300" s="5"/>
      <c r="R10300" s="5"/>
      <c r="S10300" s="5"/>
      <c r="T10300" s="5"/>
      <c r="U10300" s="5"/>
      <c r="V10300" s="5"/>
      <c r="W10300" s="5"/>
      <c r="X10300" s="5"/>
      <c r="Y10300" s="5"/>
      <c r="Z10300" s="5"/>
    </row>
    <row r="10301" spans="1:26" ht="15" x14ac:dyDescent="0.25">
      <c r="A10301" s="4" t="s">
        <v>10299</v>
      </c>
      <c r="B10301" s="4" t="s">
        <v>9011</v>
      </c>
      <c r="C10301" s="2" t="str">
        <f ca="1">IFERROR(__xludf.DUMMYFUNCTION("GOOGLETRANSLATE(A10301,""bn"",""en"")"),"If parents can do something for this, how much peace will be needed")</f>
        <v>If parents can do something for this, how much peace will be needed</v>
      </c>
      <c r="D10301" s="5"/>
      <c r="E10301" s="5"/>
      <c r="F10301" s="5"/>
      <c r="G10301" s="5"/>
      <c r="H10301" s="5"/>
      <c r="I10301" s="5"/>
      <c r="J10301" s="5"/>
      <c r="K10301" s="5"/>
      <c r="L10301" s="5"/>
      <c r="M10301" s="5"/>
      <c r="N10301" s="5"/>
      <c r="O10301" s="5"/>
      <c r="P10301" s="5"/>
      <c r="Q10301" s="5"/>
      <c r="R10301" s="5"/>
      <c r="S10301" s="5"/>
      <c r="T10301" s="5"/>
      <c r="U10301" s="5"/>
      <c r="V10301" s="5"/>
      <c r="W10301" s="5"/>
      <c r="X10301" s="5"/>
      <c r="Y10301" s="5"/>
      <c r="Z10301" s="5"/>
    </row>
    <row r="10302" spans="1:26" ht="15" x14ac:dyDescent="0.25">
      <c r="A10302" s="4" t="s">
        <v>10300</v>
      </c>
      <c r="B10302" s="4" t="s">
        <v>9011</v>
      </c>
      <c r="C10302" s="2" t="str">
        <f ca="1">IFERROR(__xludf.DUMMYFUNCTION("GOOGLETRANSLATE(A10302,""bn"",""en"")"),"He will enroll in a new language course next month to improve his language skills")</f>
        <v>He will enroll in a new language course next month to improve his language skills</v>
      </c>
      <c r="D10302" s="5"/>
      <c r="E10302" s="5"/>
      <c r="F10302" s="5"/>
      <c r="G10302" s="5"/>
      <c r="H10302" s="5"/>
      <c r="I10302" s="5"/>
      <c r="J10302" s="5"/>
      <c r="K10302" s="5"/>
      <c r="L10302" s="5"/>
      <c r="M10302" s="5"/>
      <c r="N10302" s="5"/>
      <c r="O10302" s="5"/>
      <c r="P10302" s="5"/>
      <c r="Q10302" s="5"/>
      <c r="R10302" s="5"/>
      <c r="S10302" s="5"/>
      <c r="T10302" s="5"/>
      <c r="U10302" s="5"/>
      <c r="V10302" s="5"/>
      <c r="W10302" s="5"/>
      <c r="X10302" s="5"/>
      <c r="Y10302" s="5"/>
      <c r="Z10302" s="5"/>
    </row>
    <row r="10303" spans="1:26" ht="15" x14ac:dyDescent="0.25">
      <c r="A10303" s="4" t="s">
        <v>10301</v>
      </c>
      <c r="B10303" s="4" t="s">
        <v>9011</v>
      </c>
      <c r="C10303" s="2" t="str">
        <f ca="1">IFERROR(__xludf.DUMMYFUNCTION("GOOGLETRANSLATE(A10303,""bn"",""en"")"),"Now you don't have to be together only during Durga Puja, Dada Boudi will be happy for the rest of your life")</f>
        <v>Now you don't have to be together only during Durga Puja, Dada Boudi will be happy for the rest of your life</v>
      </c>
      <c r="D10303" s="5"/>
      <c r="E10303" s="5"/>
      <c r="F10303" s="5"/>
      <c r="G10303" s="5"/>
      <c r="H10303" s="5"/>
      <c r="I10303" s="5"/>
      <c r="J10303" s="5"/>
      <c r="K10303" s="5"/>
      <c r="L10303" s="5"/>
      <c r="M10303" s="5"/>
      <c r="N10303" s="5"/>
      <c r="O10303" s="5"/>
      <c r="P10303" s="5"/>
      <c r="Q10303" s="5"/>
      <c r="R10303" s="5"/>
      <c r="S10303" s="5"/>
      <c r="T10303" s="5"/>
      <c r="U10303" s="5"/>
      <c r="V10303" s="5"/>
      <c r="W10303" s="5"/>
      <c r="X10303" s="5"/>
      <c r="Y10303" s="5"/>
      <c r="Z10303" s="5"/>
    </row>
    <row r="10304" spans="1:26" ht="15" x14ac:dyDescent="0.25">
      <c r="A10304" s="4" t="s">
        <v>10302</v>
      </c>
      <c r="B10304" s="4" t="s">
        <v>9011</v>
      </c>
      <c r="C10304" s="2" t="str">
        <f ca="1">IFERROR(__xludf.DUMMYFUNCTION("GOOGLETRANSLATE(A10304,""bn"",""en"")"),"Next month I will be joining a new art class to boost my creativity")</f>
        <v>Next month I will be joining a new art class to boost my creativity</v>
      </c>
      <c r="D10304" s="5"/>
      <c r="E10304" s="5"/>
      <c r="F10304" s="5"/>
      <c r="G10304" s="5"/>
      <c r="H10304" s="5"/>
      <c r="I10304" s="5"/>
      <c r="J10304" s="5"/>
      <c r="K10304" s="5"/>
      <c r="L10304" s="5"/>
      <c r="M10304" s="5"/>
      <c r="N10304" s="5"/>
      <c r="O10304" s="5"/>
      <c r="P10304" s="5"/>
      <c r="Q10304" s="5"/>
      <c r="R10304" s="5"/>
      <c r="S10304" s="5"/>
      <c r="T10304" s="5"/>
      <c r="U10304" s="5"/>
      <c r="V10304" s="5"/>
      <c r="W10304" s="5"/>
      <c r="X10304" s="5"/>
      <c r="Y10304" s="5"/>
      <c r="Z10304" s="5"/>
    </row>
    <row r="10305" spans="1:26" ht="15" x14ac:dyDescent="0.25">
      <c r="A10305" s="4" t="s">
        <v>10303</v>
      </c>
      <c r="B10305" s="4" t="s">
        <v>9011</v>
      </c>
      <c r="C10305" s="2" t="str">
        <f ca="1">IFERROR(__xludf.DUMMYFUNCTION("GOOGLETRANSLATE(A10305,""bn"",""en"")"),"Teaching swimming to pass on this skill to others and seeing their happy faces will be a joy")</f>
        <v>Teaching swimming to pass on this skill to others and seeing their happy faces will be a joy</v>
      </c>
      <c r="D10305" s="5"/>
      <c r="E10305" s="5"/>
      <c r="F10305" s="5"/>
      <c r="G10305" s="5"/>
      <c r="H10305" s="5"/>
      <c r="I10305" s="5"/>
      <c r="J10305" s="5"/>
      <c r="K10305" s="5"/>
      <c r="L10305" s="5"/>
      <c r="M10305" s="5"/>
      <c r="N10305" s="5"/>
      <c r="O10305" s="5"/>
      <c r="P10305" s="5"/>
      <c r="Q10305" s="5"/>
      <c r="R10305" s="5"/>
      <c r="S10305" s="5"/>
      <c r="T10305" s="5"/>
      <c r="U10305" s="5"/>
      <c r="V10305" s="5"/>
      <c r="W10305" s="5"/>
      <c r="X10305" s="5"/>
      <c r="Y10305" s="5"/>
      <c r="Z10305" s="5"/>
    </row>
    <row r="10306" spans="1:26" ht="15" x14ac:dyDescent="0.25">
      <c r="A10306" s="4" t="s">
        <v>10304</v>
      </c>
      <c r="B10306" s="4" t="s">
        <v>9011</v>
      </c>
      <c r="C10306" s="2" t="str">
        <f ca="1">IFERROR(__xludf.DUMMYFUNCTION("GOOGLETRANSLATE(A10306,""bn"",""en"")"),"People's love is more valuable than winning")</f>
        <v>People's love is more valuable than winning</v>
      </c>
      <c r="D10306" s="5"/>
      <c r="E10306" s="5"/>
      <c r="F10306" s="5"/>
      <c r="G10306" s="5"/>
      <c r="H10306" s="5"/>
      <c r="I10306" s="5"/>
      <c r="J10306" s="5"/>
      <c r="K10306" s="5"/>
      <c r="L10306" s="5"/>
      <c r="M10306" s="5"/>
      <c r="N10306" s="5"/>
      <c r="O10306" s="5"/>
      <c r="P10306" s="5"/>
      <c r="Q10306" s="5"/>
      <c r="R10306" s="5"/>
      <c r="S10306" s="5"/>
      <c r="T10306" s="5"/>
      <c r="U10306" s="5"/>
      <c r="V10306" s="5"/>
      <c r="W10306" s="5"/>
      <c r="X10306" s="5"/>
      <c r="Y10306" s="5"/>
      <c r="Z10306" s="5"/>
    </row>
    <row r="10307" spans="1:26" ht="15" x14ac:dyDescent="0.25">
      <c r="A10307" s="4" t="s">
        <v>10305</v>
      </c>
      <c r="B10307" s="4" t="s">
        <v>9011</v>
      </c>
      <c r="C10307" s="2" t="str">
        <f ca="1">IFERROR(__xludf.DUMMYFUNCTION("GOOGLETRANSLATE(A10307,""bn"",""en"")"),"The most beautiful chapter of my life will begin with the arrival of Sonamani")</f>
        <v>The most beautiful chapter of my life will begin with the arrival of Sonamani</v>
      </c>
      <c r="D10307" s="5"/>
      <c r="E10307" s="5"/>
      <c r="F10307" s="5"/>
      <c r="G10307" s="5"/>
      <c r="H10307" s="5"/>
      <c r="I10307" s="5"/>
      <c r="J10307" s="5"/>
      <c r="K10307" s="5"/>
      <c r="L10307" s="5"/>
      <c r="M10307" s="5"/>
      <c r="N10307" s="5"/>
      <c r="O10307" s="5"/>
      <c r="P10307" s="5"/>
      <c r="Q10307" s="5"/>
      <c r="R10307" s="5"/>
      <c r="S10307" s="5"/>
      <c r="T10307" s="5"/>
      <c r="U10307" s="5"/>
      <c r="V10307" s="5"/>
      <c r="W10307" s="5"/>
      <c r="X10307" s="5"/>
      <c r="Y10307" s="5"/>
      <c r="Z10307" s="5"/>
    </row>
    <row r="10308" spans="1:26" ht="15" x14ac:dyDescent="0.25">
      <c r="A10308" s="4" t="s">
        <v>10306</v>
      </c>
      <c r="B10308" s="4" t="s">
        <v>9011</v>
      </c>
      <c r="C10308" s="2" t="str">
        <f ca="1">IFERROR(__xludf.DUMMYFUNCTION("GOOGLETRANSLATE(A10308,""bn"",""en"")"),"A new phase of financial freedom will begin from today")</f>
        <v>A new phase of financial freedom will begin from today</v>
      </c>
      <c r="D10308" s="5"/>
      <c r="E10308" s="5"/>
      <c r="F10308" s="5"/>
      <c r="G10308" s="5"/>
      <c r="H10308" s="5"/>
      <c r="I10308" s="5"/>
      <c r="J10308" s="5"/>
      <c r="K10308" s="5"/>
      <c r="L10308" s="5"/>
      <c r="M10308" s="5"/>
      <c r="N10308" s="5"/>
      <c r="O10308" s="5"/>
      <c r="P10308" s="5"/>
      <c r="Q10308" s="5"/>
      <c r="R10308" s="5"/>
      <c r="S10308" s="5"/>
      <c r="T10308" s="5"/>
      <c r="U10308" s="5"/>
      <c r="V10308" s="5"/>
      <c r="W10308" s="5"/>
      <c r="X10308" s="5"/>
      <c r="Y10308" s="5"/>
      <c r="Z10308" s="5"/>
    </row>
    <row r="10309" spans="1:26" ht="15" x14ac:dyDescent="0.25">
      <c r="A10309" s="4" t="s">
        <v>10307</v>
      </c>
      <c r="B10309" s="4" t="s">
        <v>9011</v>
      </c>
      <c r="C10309" s="2" t="str">
        <f ca="1">IFERROR(__xludf.DUMMYFUNCTION("GOOGLETRANSLATE(A10309,""bn"",""en"")"),"He will be joining a new health and fitness program next month to improve his fitness")</f>
        <v>He will be joining a new health and fitness program next month to improve his fitness</v>
      </c>
      <c r="D10309" s="5"/>
      <c r="E10309" s="5"/>
      <c r="F10309" s="5"/>
      <c r="G10309" s="5"/>
      <c r="H10309" s="5"/>
      <c r="I10309" s="5"/>
      <c r="J10309" s="5"/>
      <c r="K10309" s="5"/>
      <c r="L10309" s="5"/>
      <c r="M10309" s="5"/>
      <c r="N10309" s="5"/>
      <c r="O10309" s="5"/>
      <c r="P10309" s="5"/>
      <c r="Q10309" s="5"/>
      <c r="R10309" s="5"/>
      <c r="S10309" s="5"/>
      <c r="T10309" s="5"/>
      <c r="U10309" s="5"/>
      <c r="V10309" s="5"/>
      <c r="W10309" s="5"/>
      <c r="X10309" s="5"/>
      <c r="Y10309" s="5"/>
      <c r="Z10309" s="5"/>
    </row>
    <row r="10310" spans="1:26" ht="15" x14ac:dyDescent="0.25">
      <c r="A10310" s="4" t="s">
        <v>10308</v>
      </c>
      <c r="B10310" s="4" t="s">
        <v>9011</v>
      </c>
      <c r="C10310" s="2" t="str">
        <f ca="1">IFERROR(__xludf.DUMMYFUNCTION("GOOGLETRANSLATE(A10310,""bn"",""en"")"),"They will start learning new recently developed technology tomorrow")</f>
        <v>They will start learning new recently developed technology tomorrow</v>
      </c>
      <c r="D10310" s="5"/>
      <c r="E10310" s="5"/>
      <c r="F10310" s="5"/>
      <c r="G10310" s="5"/>
      <c r="H10310" s="5"/>
      <c r="I10310" s="5"/>
      <c r="J10310" s="5"/>
      <c r="K10310" s="5"/>
      <c r="L10310" s="5"/>
      <c r="M10310" s="5"/>
      <c r="N10310" s="5"/>
      <c r="O10310" s="5"/>
      <c r="P10310" s="5"/>
      <c r="Q10310" s="5"/>
      <c r="R10310" s="5"/>
      <c r="S10310" s="5"/>
      <c r="T10310" s="5"/>
      <c r="U10310" s="5"/>
      <c r="V10310" s="5"/>
      <c r="W10310" s="5"/>
      <c r="X10310" s="5"/>
      <c r="Y10310" s="5"/>
      <c r="Z10310" s="5"/>
    </row>
    <row r="10311" spans="1:26" ht="15" x14ac:dyDescent="0.25">
      <c r="A10311" s="4" t="s">
        <v>10309</v>
      </c>
      <c r="B10311" s="4" t="s">
        <v>9011</v>
      </c>
      <c r="C10311" s="2" t="str">
        <f ca="1">IFERROR(__xludf.DUMMYFUNCTION("GOOGLETRANSLATE(A10311,""bn"",""en"")"),"These bad days of my life are going on waiting for someone I can laugh at")</f>
        <v>These bad days of my life are going on waiting for someone I can laugh at</v>
      </c>
      <c r="D10311" s="5"/>
      <c r="E10311" s="5"/>
      <c r="F10311" s="5"/>
      <c r="G10311" s="5"/>
      <c r="H10311" s="5"/>
      <c r="I10311" s="5"/>
      <c r="J10311" s="5"/>
      <c r="K10311" s="5"/>
      <c r="L10311" s="5"/>
      <c r="M10311" s="5"/>
      <c r="N10311" s="5"/>
      <c r="O10311" s="5"/>
      <c r="P10311" s="5"/>
      <c r="Q10311" s="5"/>
      <c r="R10311" s="5"/>
      <c r="S10311" s="5"/>
      <c r="T10311" s="5"/>
      <c r="U10311" s="5"/>
      <c r="V10311" s="5"/>
      <c r="W10311" s="5"/>
      <c r="X10311" s="5"/>
      <c r="Y10311" s="5"/>
      <c r="Z10311" s="5"/>
    </row>
    <row r="10312" spans="1:26" ht="15" x14ac:dyDescent="0.25">
      <c r="A10312" s="4" t="s">
        <v>10310</v>
      </c>
      <c r="B10312" s="4" t="s">
        <v>9011</v>
      </c>
      <c r="C10312" s="2" t="str">
        <f ca="1">IFERROR(__xludf.DUMMYFUNCTION("GOOGLETRANSLATE(A10312,""bn"",""en"")"),"Today I will think for an hour and solve a problem, I will feel like a great programmer")</f>
        <v>Today I will think for an hour and solve a problem, I will feel like a great programmer</v>
      </c>
      <c r="D10312" s="5"/>
      <c r="E10312" s="5"/>
      <c r="F10312" s="5"/>
      <c r="G10312" s="5"/>
      <c r="H10312" s="5"/>
      <c r="I10312" s="5"/>
      <c r="J10312" s="5"/>
      <c r="K10312" s="5"/>
      <c r="L10312" s="5"/>
      <c r="M10312" s="5"/>
      <c r="N10312" s="5"/>
      <c r="O10312" s="5"/>
      <c r="P10312" s="5"/>
      <c r="Q10312" s="5"/>
      <c r="R10312" s="5"/>
      <c r="S10312" s="5"/>
      <c r="T10312" s="5"/>
      <c r="U10312" s="5"/>
      <c r="V10312" s="5"/>
      <c r="W10312" s="5"/>
      <c r="X10312" s="5"/>
      <c r="Y10312" s="5"/>
      <c r="Z10312" s="5"/>
    </row>
    <row r="10313" spans="1:26" ht="15" x14ac:dyDescent="0.25">
      <c r="A10313" s="4" t="s">
        <v>10311</v>
      </c>
      <c r="B10313" s="4" t="s">
        <v>9011</v>
      </c>
      <c r="C10313" s="2" t="str">
        <f ca="1">IFERROR(__xludf.DUMMYFUNCTION("GOOGLETRANSLATE(A10313,""bn"",""en"")"),"Every flower festival every fruit festival will fill my heart with joy Color and fragrance of flowers will be source of great happiness in my life")</f>
        <v>Every flower festival every fruit festival will fill my heart with joy Color and fragrance of flowers will be source of great happiness in my life</v>
      </c>
      <c r="D10313" s="5"/>
      <c r="E10313" s="5"/>
      <c r="F10313" s="5"/>
      <c r="G10313" s="5"/>
      <c r="H10313" s="5"/>
      <c r="I10313" s="5"/>
      <c r="J10313" s="5"/>
      <c r="K10313" s="5"/>
      <c r="L10313" s="5"/>
      <c r="M10313" s="5"/>
      <c r="N10313" s="5"/>
      <c r="O10313" s="5"/>
      <c r="P10313" s="5"/>
      <c r="Q10313" s="5"/>
      <c r="R10313" s="5"/>
      <c r="S10313" s="5"/>
      <c r="T10313" s="5"/>
      <c r="U10313" s="5"/>
      <c r="V10313" s="5"/>
      <c r="W10313" s="5"/>
      <c r="X10313" s="5"/>
      <c r="Y10313" s="5"/>
      <c r="Z10313" s="5"/>
    </row>
    <row r="10314" spans="1:26" ht="15" x14ac:dyDescent="0.25">
      <c r="A10314" s="4" t="s">
        <v>10312</v>
      </c>
      <c r="B10314" s="4" t="s">
        <v>9011</v>
      </c>
      <c r="C10314" s="2" t="str">
        <f ca="1">IFERROR(__xludf.DUMMYFUNCTION("GOOGLETRANSLATE(A10314,""bn"",""en"")"),"Having an elder sister will be a matter of luck, maybe I will fight with her all day but I will say one thing, half of the tension in life will be removed by fighting with her.")</f>
        <v>Having an elder sister will be a matter of luck, maybe I will fight with her all day but I will say one thing, half of the tension in life will be removed by fighting with her.</v>
      </c>
      <c r="D10314" s="5"/>
      <c r="E10314" s="5"/>
      <c r="F10314" s="5"/>
      <c r="G10314" s="5"/>
      <c r="H10314" s="5"/>
      <c r="I10314" s="5"/>
      <c r="J10314" s="5"/>
      <c r="K10314" s="5"/>
      <c r="L10314" s="5"/>
      <c r="M10314" s="5"/>
      <c r="N10314" s="5"/>
      <c r="O10314" s="5"/>
      <c r="P10314" s="5"/>
      <c r="Q10314" s="5"/>
      <c r="R10314" s="5"/>
      <c r="S10314" s="5"/>
      <c r="T10314" s="5"/>
      <c r="U10314" s="5"/>
      <c r="V10314" s="5"/>
      <c r="W10314" s="5"/>
      <c r="X10314" s="5"/>
      <c r="Y10314" s="5"/>
      <c r="Z10314" s="5"/>
    </row>
    <row r="10315" spans="1:26" ht="15" x14ac:dyDescent="0.25">
      <c r="A10315" s="4" t="s">
        <v>10313</v>
      </c>
      <c r="B10315" s="4" t="s">
        <v>9011</v>
      </c>
      <c r="C10315" s="2" t="str">
        <f ca="1">IFERROR(__xludf.DUMMYFUNCTION("GOOGLETRANSLATE(A10315,""bn"",""en"")"),"One frame will be a colorful drawing of today's sunrise")</f>
        <v>One frame will be a colorful drawing of today's sunrise</v>
      </c>
      <c r="D10315" s="5"/>
      <c r="E10315" s="5"/>
      <c r="F10315" s="5"/>
      <c r="G10315" s="5"/>
      <c r="H10315" s="5"/>
      <c r="I10315" s="5"/>
      <c r="J10315" s="5"/>
      <c r="K10315" s="5"/>
      <c r="L10315" s="5"/>
      <c r="M10315" s="5"/>
      <c r="N10315" s="5"/>
      <c r="O10315" s="5"/>
      <c r="P10315" s="5"/>
      <c r="Q10315" s="5"/>
      <c r="R10315" s="5"/>
      <c r="S10315" s="5"/>
      <c r="T10315" s="5"/>
      <c r="U10315" s="5"/>
      <c r="V10315" s="5"/>
      <c r="W10315" s="5"/>
      <c r="X10315" s="5"/>
      <c r="Y10315" s="5"/>
      <c r="Z10315" s="5"/>
    </row>
    <row r="10316" spans="1:26" ht="15" x14ac:dyDescent="0.25">
      <c r="A10316" s="4" t="s">
        <v>10314</v>
      </c>
      <c r="B10316" s="4" t="s">
        <v>9011</v>
      </c>
      <c r="C10316" s="2" t="str">
        <f ca="1">IFERROR(__xludf.DUMMYFUNCTION("GOOGLETRANSLATE(A10316,""bn"",""en"")"),"He will be fully satisfied with his business only after successful approval of his new technology")</f>
        <v>He will be fully satisfied with his business only after successful approval of his new technology</v>
      </c>
      <c r="D10316" s="5"/>
      <c r="E10316" s="5"/>
      <c r="F10316" s="5"/>
      <c r="G10316" s="5"/>
      <c r="H10316" s="5"/>
      <c r="I10316" s="5"/>
      <c r="J10316" s="5"/>
      <c r="K10316" s="5"/>
      <c r="L10316" s="5"/>
      <c r="M10316" s="5"/>
      <c r="N10316" s="5"/>
      <c r="O10316" s="5"/>
      <c r="P10316" s="5"/>
      <c r="Q10316" s="5"/>
      <c r="R10316" s="5"/>
      <c r="S10316" s="5"/>
      <c r="T10316" s="5"/>
      <c r="U10316" s="5"/>
      <c r="V10316" s="5"/>
      <c r="W10316" s="5"/>
      <c r="X10316" s="5"/>
      <c r="Y10316" s="5"/>
      <c r="Z10316" s="5"/>
    </row>
    <row r="10317" spans="1:26" ht="15" x14ac:dyDescent="0.25">
      <c r="A10317" s="4" t="s">
        <v>10315</v>
      </c>
      <c r="B10317" s="4" t="s">
        <v>9011</v>
      </c>
      <c r="C10317" s="2" t="str">
        <f ca="1">IFERROR(__xludf.DUMMYFUNCTION("GOOGLETRANSLATE(A10317,""bn"",""en"")"),"You will continue to work on everything")</f>
        <v>You will continue to work on everything</v>
      </c>
      <c r="D10317" s="5"/>
      <c r="E10317" s="5"/>
      <c r="F10317" s="5"/>
      <c r="G10317" s="5"/>
      <c r="H10317" s="5"/>
      <c r="I10317" s="5"/>
      <c r="J10317" s="5"/>
      <c r="K10317" s="5"/>
      <c r="L10317" s="5"/>
      <c r="M10317" s="5"/>
      <c r="N10317" s="5"/>
      <c r="O10317" s="5"/>
      <c r="P10317" s="5"/>
      <c r="Q10317" s="5"/>
      <c r="R10317" s="5"/>
      <c r="S10317" s="5"/>
      <c r="T10317" s="5"/>
      <c r="U10317" s="5"/>
      <c r="V10317" s="5"/>
      <c r="W10317" s="5"/>
      <c r="X10317" s="5"/>
      <c r="Y10317" s="5"/>
      <c r="Z10317" s="5"/>
    </row>
    <row r="10318" spans="1:26" ht="15" x14ac:dyDescent="0.25">
      <c r="A10318" s="4" t="s">
        <v>10316</v>
      </c>
      <c r="B10318" s="4" t="s">
        <v>9011</v>
      </c>
      <c r="C10318" s="2" t="str">
        <f ca="1">IFERROR(__xludf.DUMMYFUNCTION("GOOGLETRANSLATE(A10318,""bn"",""en"")"),"He will launch a study on improved food safety technology next Friday")</f>
        <v>He will launch a study on improved food safety technology next Friday</v>
      </c>
      <c r="D10318" s="5"/>
      <c r="E10318" s="5"/>
      <c r="F10318" s="5"/>
      <c r="G10318" s="5"/>
      <c r="H10318" s="5"/>
      <c r="I10318" s="5"/>
      <c r="J10318" s="5"/>
      <c r="K10318" s="5"/>
      <c r="L10318" s="5"/>
      <c r="M10318" s="5"/>
      <c r="N10318" s="5"/>
      <c r="O10318" s="5"/>
      <c r="P10318" s="5"/>
      <c r="Q10318" s="5"/>
      <c r="R10318" s="5"/>
      <c r="S10318" s="5"/>
      <c r="T10318" s="5"/>
      <c r="U10318" s="5"/>
      <c r="V10318" s="5"/>
      <c r="W10318" s="5"/>
      <c r="X10318" s="5"/>
      <c r="Y10318" s="5"/>
      <c r="Z10318" s="5"/>
    </row>
    <row r="10319" spans="1:26" ht="15" x14ac:dyDescent="0.25">
      <c r="A10319" s="4" t="s">
        <v>10317</v>
      </c>
      <c r="B10319" s="4" t="s">
        <v>9011</v>
      </c>
      <c r="C10319" s="2" t="str">
        <f ca="1">IFERROR(__xludf.DUMMYFUNCTION("GOOGLETRANSLATE(A10319,""bn"",""en"")"),"The taste of being an aunt has not yet faded. I will also get the rank of Khurima")</f>
        <v>The taste of being an aunt has not yet faded. I will also get the rank of Khurima</v>
      </c>
      <c r="D10319" s="5"/>
      <c r="E10319" s="5"/>
      <c r="F10319" s="5"/>
      <c r="G10319" s="5"/>
      <c r="H10319" s="5"/>
      <c r="I10319" s="5"/>
      <c r="J10319" s="5"/>
      <c r="K10319" s="5"/>
      <c r="L10319" s="5"/>
      <c r="M10319" s="5"/>
      <c r="N10319" s="5"/>
      <c r="O10319" s="5"/>
      <c r="P10319" s="5"/>
      <c r="Q10319" s="5"/>
      <c r="R10319" s="5"/>
      <c r="S10319" s="5"/>
      <c r="T10319" s="5"/>
      <c r="U10319" s="5"/>
      <c r="V10319" s="5"/>
      <c r="W10319" s="5"/>
      <c r="X10319" s="5"/>
      <c r="Y10319" s="5"/>
      <c r="Z10319" s="5"/>
    </row>
    <row r="10320" spans="1:26" ht="15" x14ac:dyDescent="0.25">
      <c r="A10320" s="4" t="s">
        <v>10318</v>
      </c>
      <c r="B10320" s="4" t="s">
        <v>9011</v>
      </c>
      <c r="C10320" s="2" t="str">
        <f ca="1">IFERROR(__xludf.DUMMYFUNCTION("GOOGLETRANSLATE(A10320,""bn"",""en"")"),"Spending time in reading books will create joy in the mind")</f>
        <v>Spending time in reading books will create joy in the mind</v>
      </c>
      <c r="D10320" s="5"/>
      <c r="E10320" s="5"/>
      <c r="F10320" s="5"/>
      <c r="G10320" s="5"/>
      <c r="H10320" s="5"/>
      <c r="I10320" s="5"/>
      <c r="J10320" s="5"/>
      <c r="K10320" s="5"/>
      <c r="L10320" s="5"/>
      <c r="M10320" s="5"/>
      <c r="N10320" s="5"/>
      <c r="O10320" s="5"/>
      <c r="P10320" s="5"/>
      <c r="Q10320" s="5"/>
      <c r="R10320" s="5"/>
      <c r="S10320" s="5"/>
      <c r="T10320" s="5"/>
      <c r="U10320" s="5"/>
      <c r="V10320" s="5"/>
      <c r="W10320" s="5"/>
      <c r="X10320" s="5"/>
      <c r="Y10320" s="5"/>
      <c r="Z10320" s="5"/>
    </row>
    <row r="10321" spans="1:26" ht="15" x14ac:dyDescent="0.25">
      <c r="A10321" s="4" t="s">
        <v>10319</v>
      </c>
      <c r="B10321" s="4" t="s">
        <v>9011</v>
      </c>
      <c r="C10321" s="2" t="str">
        <f ca="1">IFERROR(__xludf.DUMMYFUNCTION("GOOGLETRANSLATE(A10321,""bn"",""en"")"),"He will go to buy books to learn a new language next month")</f>
        <v>He will go to buy books to learn a new language next month</v>
      </c>
      <c r="D10321" s="5"/>
      <c r="E10321" s="5"/>
      <c r="F10321" s="5"/>
      <c r="G10321" s="5"/>
      <c r="H10321" s="5"/>
      <c r="I10321" s="5"/>
      <c r="J10321" s="5"/>
      <c r="K10321" s="5"/>
      <c r="L10321" s="5"/>
      <c r="M10321" s="5"/>
      <c r="N10321" s="5"/>
      <c r="O10321" s="5"/>
      <c r="P10321" s="5"/>
      <c r="Q10321" s="5"/>
      <c r="R10321" s="5"/>
      <c r="S10321" s="5"/>
      <c r="T10321" s="5"/>
      <c r="U10321" s="5"/>
      <c r="V10321" s="5"/>
      <c r="W10321" s="5"/>
      <c r="X10321" s="5"/>
      <c r="Y10321" s="5"/>
      <c r="Z10321" s="5"/>
    </row>
    <row r="10322" spans="1:26" ht="15" x14ac:dyDescent="0.25">
      <c r="A10322" s="4" t="s">
        <v>10320</v>
      </c>
      <c r="B10322" s="4" t="s">
        <v>9011</v>
      </c>
      <c r="C10322" s="2" t="str">
        <f ca="1">IFERROR(__xludf.DUMMYFUNCTION("GOOGLETRANSLATE(A10322,""bn"",""en"")"),"We will start a monetary institution next year")</f>
        <v>We will start a monetary institution next year</v>
      </c>
      <c r="D10322" s="5"/>
      <c r="E10322" s="5"/>
      <c r="F10322" s="5"/>
      <c r="G10322" s="5"/>
      <c r="H10322" s="5"/>
      <c r="I10322" s="5"/>
      <c r="J10322" s="5"/>
      <c r="K10322" s="5"/>
      <c r="L10322" s="5"/>
      <c r="M10322" s="5"/>
      <c r="N10322" s="5"/>
      <c r="O10322" s="5"/>
      <c r="P10322" s="5"/>
      <c r="Q10322" s="5"/>
      <c r="R10322" s="5"/>
      <c r="S10322" s="5"/>
      <c r="T10322" s="5"/>
      <c r="U10322" s="5"/>
      <c r="V10322" s="5"/>
      <c r="W10322" s="5"/>
      <c r="X10322" s="5"/>
      <c r="Y10322" s="5"/>
      <c r="Z10322" s="5"/>
    </row>
    <row r="10323" spans="1:26" ht="15" x14ac:dyDescent="0.25">
      <c r="A10323" s="4" t="s">
        <v>10321</v>
      </c>
      <c r="B10323" s="4" t="s">
        <v>9011</v>
      </c>
      <c r="C10323" s="2" t="str">
        <f ca="1">IFERROR(__xludf.DUMMYFUNCTION("GOOGLETRANSLATE(A10323,""bn"",""en"")"),"In the future I will organize a big music concert where many people will come")</f>
        <v>In the future I will organize a big music concert where many people will come</v>
      </c>
      <c r="D10323" s="5"/>
      <c r="E10323" s="5"/>
      <c r="F10323" s="5"/>
      <c r="G10323" s="5"/>
      <c r="H10323" s="5"/>
      <c r="I10323" s="5"/>
      <c r="J10323" s="5"/>
      <c r="K10323" s="5"/>
      <c r="L10323" s="5"/>
      <c r="M10323" s="5"/>
      <c r="N10323" s="5"/>
      <c r="O10323" s="5"/>
      <c r="P10323" s="5"/>
      <c r="Q10323" s="5"/>
      <c r="R10323" s="5"/>
      <c r="S10323" s="5"/>
      <c r="T10323" s="5"/>
      <c r="U10323" s="5"/>
      <c r="V10323" s="5"/>
      <c r="W10323" s="5"/>
      <c r="X10323" s="5"/>
      <c r="Y10323" s="5"/>
      <c r="Z10323" s="5"/>
    </row>
    <row r="10324" spans="1:26" ht="15" x14ac:dyDescent="0.25">
      <c r="A10324" s="4" t="s">
        <v>10322</v>
      </c>
      <c r="B10324" s="4" t="s">
        <v>9011</v>
      </c>
      <c r="C10324" s="2" t="str">
        <f ca="1">IFERROR(__xludf.DUMMYFUNCTION("GOOGLETRANSLATE(A10324,""bn"",""en"")"),"Next vacation we will travel abroad to learn about new cultures and cuisines")</f>
        <v>Next vacation we will travel abroad to learn about new cultures and cuisines</v>
      </c>
      <c r="D10324" s="5"/>
      <c r="E10324" s="5"/>
      <c r="F10324" s="5"/>
      <c r="G10324" s="5"/>
      <c r="H10324" s="5"/>
      <c r="I10324" s="5"/>
      <c r="J10324" s="5"/>
      <c r="K10324" s="5"/>
      <c r="L10324" s="5"/>
      <c r="M10324" s="5"/>
      <c r="N10324" s="5"/>
      <c r="O10324" s="5"/>
      <c r="P10324" s="5"/>
      <c r="Q10324" s="5"/>
      <c r="R10324" s="5"/>
      <c r="S10324" s="5"/>
      <c r="T10324" s="5"/>
      <c r="U10324" s="5"/>
      <c r="V10324" s="5"/>
      <c r="W10324" s="5"/>
      <c r="X10324" s="5"/>
      <c r="Y10324" s="5"/>
      <c r="Z10324" s="5"/>
    </row>
    <row r="10325" spans="1:26" ht="15" x14ac:dyDescent="0.25">
      <c r="A10325" s="4" t="s">
        <v>10323</v>
      </c>
      <c r="B10325" s="4" t="s">
        <v>9011</v>
      </c>
      <c r="C10325" s="2" t="str">
        <f ca="1">IFERROR(__xludf.DUMMYFUNCTION("GOOGLETRANSLATE(A10325,""bn"",""en"")"),"He will teach science in a new way next year")</f>
        <v>He will teach science in a new way next year</v>
      </c>
      <c r="D10325" s="5"/>
      <c r="E10325" s="5"/>
      <c r="F10325" s="5"/>
      <c r="G10325" s="5"/>
      <c r="H10325" s="5"/>
      <c r="I10325" s="5"/>
      <c r="J10325" s="5"/>
      <c r="K10325" s="5"/>
      <c r="L10325" s="5"/>
      <c r="M10325" s="5"/>
      <c r="N10325" s="5"/>
      <c r="O10325" s="5"/>
      <c r="P10325" s="5"/>
      <c r="Q10325" s="5"/>
      <c r="R10325" s="5"/>
      <c r="S10325" s="5"/>
      <c r="T10325" s="5"/>
      <c r="U10325" s="5"/>
      <c r="V10325" s="5"/>
      <c r="W10325" s="5"/>
      <c r="X10325" s="5"/>
      <c r="Y10325" s="5"/>
      <c r="Z10325" s="5"/>
    </row>
    <row r="10326" spans="1:26" ht="15" x14ac:dyDescent="0.25">
      <c r="A10326" s="4" t="s">
        <v>10324</v>
      </c>
      <c r="B10326" s="4" t="s">
        <v>9011</v>
      </c>
      <c r="C10326" s="2" t="str">
        <f ca="1">IFERROR(__xludf.DUMMYFUNCTION("GOOGLETRANSLATE(A10326,""bn"",""en"")"),"Boudi will feel a little more special today by eating food from her mother-in-law's hands")</f>
        <v>Boudi will feel a little more special today by eating food from her mother-in-law's hands</v>
      </c>
      <c r="D10326" s="5"/>
      <c r="E10326" s="5"/>
      <c r="F10326" s="5"/>
      <c r="G10326" s="5"/>
      <c r="H10326" s="5"/>
      <c r="I10326" s="5"/>
      <c r="J10326" s="5"/>
      <c r="K10326" s="5"/>
      <c r="L10326" s="5"/>
      <c r="M10326" s="5"/>
      <c r="N10326" s="5"/>
      <c r="O10326" s="5"/>
      <c r="P10326" s="5"/>
      <c r="Q10326" s="5"/>
      <c r="R10326" s="5"/>
      <c r="S10326" s="5"/>
      <c r="T10326" s="5"/>
      <c r="U10326" s="5"/>
      <c r="V10326" s="5"/>
      <c r="W10326" s="5"/>
      <c r="X10326" s="5"/>
      <c r="Y10326" s="5"/>
      <c r="Z10326" s="5"/>
    </row>
    <row r="10327" spans="1:26" ht="15" x14ac:dyDescent="0.25">
      <c r="A10327" s="4" t="s">
        <v>10325</v>
      </c>
      <c r="B10327" s="4" t="s">
        <v>9011</v>
      </c>
      <c r="C10327" s="2" t="str">
        <f ca="1">IFERROR(__xludf.DUMMYFUNCTION("GOOGLETRANSLATE(A10327,""bn"",""en"")"),"I will gather all the necessary plans and funds to start a new business next month")</f>
        <v>I will gather all the necessary plans and funds to start a new business next month</v>
      </c>
      <c r="D10327" s="5"/>
      <c r="E10327" s="5"/>
      <c r="F10327" s="5"/>
      <c r="G10327" s="5"/>
      <c r="H10327" s="5"/>
      <c r="I10327" s="5"/>
      <c r="J10327" s="5"/>
      <c r="K10327" s="5"/>
      <c r="L10327" s="5"/>
      <c r="M10327" s="5"/>
      <c r="N10327" s="5"/>
      <c r="O10327" s="5"/>
      <c r="P10327" s="5"/>
      <c r="Q10327" s="5"/>
      <c r="R10327" s="5"/>
      <c r="S10327" s="5"/>
      <c r="T10327" s="5"/>
      <c r="U10327" s="5"/>
      <c r="V10327" s="5"/>
      <c r="W10327" s="5"/>
      <c r="X10327" s="5"/>
      <c r="Y10327" s="5"/>
      <c r="Z10327" s="5"/>
    </row>
    <row r="10328" spans="1:26" ht="15" x14ac:dyDescent="0.25">
      <c r="A10328" s="4" t="s">
        <v>10326</v>
      </c>
      <c r="B10328" s="4" t="s">
        <v>9011</v>
      </c>
      <c r="C10328" s="2" t="str">
        <f ca="1">IFERROR(__xludf.DUMMYFUNCTION("GOOGLETRANSLATE(A10328,""bn"",""en"")"),"Next winter we will visit the mountains where we will enjoy the beauty of snow")</f>
        <v>Next winter we will visit the mountains where we will enjoy the beauty of snow</v>
      </c>
      <c r="D10328" s="5"/>
      <c r="E10328" s="5"/>
      <c r="F10328" s="5"/>
      <c r="G10328" s="5"/>
      <c r="H10328" s="5"/>
      <c r="I10328" s="5"/>
      <c r="J10328" s="5"/>
      <c r="K10328" s="5"/>
      <c r="L10328" s="5"/>
      <c r="M10328" s="5"/>
      <c r="N10328" s="5"/>
      <c r="O10328" s="5"/>
      <c r="P10328" s="5"/>
      <c r="Q10328" s="5"/>
      <c r="R10328" s="5"/>
      <c r="S10328" s="5"/>
      <c r="T10328" s="5"/>
      <c r="U10328" s="5"/>
      <c r="V10328" s="5"/>
      <c r="W10328" s="5"/>
      <c r="X10328" s="5"/>
      <c r="Y10328" s="5"/>
      <c r="Z10328" s="5"/>
    </row>
    <row r="10329" spans="1:26" ht="15" x14ac:dyDescent="0.25">
      <c r="A10329" s="4" t="s">
        <v>10327</v>
      </c>
      <c r="B10329" s="4" t="s">
        <v>9011</v>
      </c>
      <c r="C10329" s="2" t="str">
        <f ca="1">IFERROR(__xludf.DUMMYFUNCTION("GOOGLETRANSLATE(A10329,""bn"",""en"")"),"I will start learning a new language next month")</f>
        <v>I will start learning a new language next month</v>
      </c>
      <c r="D10329" s="5"/>
      <c r="E10329" s="5"/>
      <c r="F10329" s="5"/>
      <c r="G10329" s="5"/>
      <c r="H10329" s="5"/>
      <c r="I10329" s="5"/>
      <c r="J10329" s="5"/>
      <c r="K10329" s="5"/>
      <c r="L10329" s="5"/>
      <c r="M10329" s="5"/>
      <c r="N10329" s="5"/>
      <c r="O10329" s="5"/>
      <c r="P10329" s="5"/>
      <c r="Q10329" s="5"/>
      <c r="R10329" s="5"/>
      <c r="S10329" s="5"/>
      <c r="T10329" s="5"/>
      <c r="U10329" s="5"/>
      <c r="V10329" s="5"/>
      <c r="W10329" s="5"/>
      <c r="X10329" s="5"/>
      <c r="Y10329" s="5"/>
      <c r="Z10329" s="5"/>
    </row>
    <row r="10330" spans="1:26" ht="15" x14ac:dyDescent="0.25">
      <c r="A10330" s="4" t="s">
        <v>10328</v>
      </c>
      <c r="B10330" s="4" t="s">
        <v>9011</v>
      </c>
      <c r="C10330" s="2" t="str">
        <f ca="1">IFERROR(__xludf.DUMMYFUNCTION("GOOGLETRANSLATE(A10330,""bn"",""en"")"),"They will participate in an international competition next month that will give them an opportunity to showcase their talent")</f>
        <v>They will participate in an international competition next month that will give them an opportunity to showcase their talent</v>
      </c>
      <c r="D10330" s="5"/>
      <c r="E10330" s="5"/>
      <c r="F10330" s="5"/>
      <c r="G10330" s="5"/>
      <c r="H10330" s="5"/>
      <c r="I10330" s="5"/>
      <c r="J10330" s="5"/>
      <c r="K10330" s="5"/>
      <c r="L10330" s="5"/>
      <c r="M10330" s="5"/>
      <c r="N10330" s="5"/>
      <c r="O10330" s="5"/>
      <c r="P10330" s="5"/>
      <c r="Q10330" s="5"/>
      <c r="R10330" s="5"/>
      <c r="S10330" s="5"/>
      <c r="T10330" s="5"/>
      <c r="U10330" s="5"/>
      <c r="V10330" s="5"/>
      <c r="W10330" s="5"/>
      <c r="X10330" s="5"/>
      <c r="Y10330" s="5"/>
      <c r="Z10330" s="5"/>
    </row>
    <row r="10331" spans="1:26" ht="15" x14ac:dyDescent="0.25">
      <c r="A10331" s="4" t="s">
        <v>10329</v>
      </c>
      <c r="B10331" s="4" t="s">
        <v>9011</v>
      </c>
      <c r="C10331" s="2" t="str">
        <f ca="1">IFERROR(__xludf.DUMMYFUNCTION("GOOGLETRANSLATE(A10331,""bn"",""en"")"),"We will be organizing a larger conference on eco-friendly technology next month")</f>
        <v>We will be organizing a larger conference on eco-friendly technology next month</v>
      </c>
      <c r="D10331" s="5"/>
      <c r="E10331" s="5"/>
      <c r="F10331" s="5"/>
      <c r="G10331" s="5"/>
      <c r="H10331" s="5"/>
      <c r="I10331" s="5"/>
      <c r="J10331" s="5"/>
      <c r="K10331" s="5"/>
      <c r="L10331" s="5"/>
      <c r="M10331" s="5"/>
      <c r="N10331" s="5"/>
      <c r="O10331" s="5"/>
      <c r="P10331" s="5"/>
      <c r="Q10331" s="5"/>
      <c r="R10331" s="5"/>
      <c r="S10331" s="5"/>
      <c r="T10331" s="5"/>
      <c r="U10331" s="5"/>
      <c r="V10331" s="5"/>
      <c r="W10331" s="5"/>
      <c r="X10331" s="5"/>
      <c r="Y10331" s="5"/>
      <c r="Z10331" s="5"/>
    </row>
    <row r="10332" spans="1:26" ht="15" x14ac:dyDescent="0.25">
      <c r="A10332" s="4" t="s">
        <v>10330</v>
      </c>
      <c r="B10332" s="4" t="s">
        <v>9011</v>
      </c>
      <c r="C10332" s="2" t="str">
        <f ca="1">IFERROR(__xludf.DUMMYFUNCTION("GOOGLETRANSLATE(A10332,""bn"",""en"")"),"Screaming action scenes, laughing at comedy scenes will be a wave of emotions in the cinema hall")</f>
        <v>Screaming action scenes, laughing at comedy scenes will be a wave of emotions in the cinema hall</v>
      </c>
      <c r="D10332" s="5"/>
      <c r="E10332" s="5"/>
      <c r="F10332" s="5"/>
      <c r="G10332" s="5"/>
      <c r="H10332" s="5"/>
      <c r="I10332" s="5"/>
      <c r="J10332" s="5"/>
      <c r="K10332" s="5"/>
      <c r="L10332" s="5"/>
      <c r="M10332" s="5"/>
      <c r="N10332" s="5"/>
      <c r="O10332" s="5"/>
      <c r="P10332" s="5"/>
      <c r="Q10332" s="5"/>
      <c r="R10332" s="5"/>
      <c r="S10332" s="5"/>
      <c r="T10332" s="5"/>
      <c r="U10332" s="5"/>
      <c r="V10332" s="5"/>
      <c r="W10332" s="5"/>
      <c r="X10332" s="5"/>
      <c r="Y10332" s="5"/>
      <c r="Z10332" s="5"/>
    </row>
    <row r="10333" spans="1:26" ht="15" x14ac:dyDescent="0.25">
      <c r="A10333" s="4" t="s">
        <v>10331</v>
      </c>
      <c r="B10333" s="4" t="s">
        <v>9011</v>
      </c>
      <c r="C10333" s="2" t="str">
        <f ca="1">IFERROR(__xludf.DUMMYFUNCTION("GOOGLETRANSLATE(A10333,""bn"",""en"")"),"You will go to school tomorrow")</f>
        <v>You will go to school tomorrow</v>
      </c>
      <c r="D10333" s="5"/>
      <c r="E10333" s="5"/>
      <c r="F10333" s="5"/>
      <c r="G10333" s="5"/>
      <c r="H10333" s="5"/>
      <c r="I10333" s="5"/>
      <c r="J10333" s="5"/>
      <c r="K10333" s="5"/>
      <c r="L10333" s="5"/>
      <c r="M10333" s="5"/>
      <c r="N10333" s="5"/>
      <c r="O10333" s="5"/>
      <c r="P10333" s="5"/>
      <c r="Q10333" s="5"/>
      <c r="R10333" s="5"/>
      <c r="S10333" s="5"/>
      <c r="T10333" s="5"/>
      <c r="U10333" s="5"/>
      <c r="V10333" s="5"/>
      <c r="W10333" s="5"/>
      <c r="X10333" s="5"/>
      <c r="Y10333" s="5"/>
      <c r="Z10333" s="5"/>
    </row>
    <row r="10334" spans="1:26" ht="15" x14ac:dyDescent="0.25">
      <c r="A10334" s="4" t="s">
        <v>10332</v>
      </c>
      <c r="B10334" s="4" t="s">
        <v>9011</v>
      </c>
      <c r="C10334" s="2" t="str">
        <f ca="1">IFERROR(__xludf.DUMMYFUNCTION("GOOGLETRANSLATE(A10334,""bn"",""en"")"),"Ah, the smell of tea will cheer up the mind")</f>
        <v>Ah, the smell of tea will cheer up the mind</v>
      </c>
      <c r="D10334" s="5"/>
      <c r="E10334" s="5"/>
      <c r="F10334" s="5"/>
      <c r="G10334" s="5"/>
      <c r="H10334" s="5"/>
      <c r="I10334" s="5"/>
      <c r="J10334" s="5"/>
      <c r="K10334" s="5"/>
      <c r="L10334" s="5"/>
      <c r="M10334" s="5"/>
      <c r="N10334" s="5"/>
      <c r="O10334" s="5"/>
      <c r="P10334" s="5"/>
      <c r="Q10334" s="5"/>
      <c r="R10334" s="5"/>
      <c r="S10334" s="5"/>
      <c r="T10334" s="5"/>
      <c r="U10334" s="5"/>
      <c r="V10334" s="5"/>
      <c r="W10334" s="5"/>
      <c r="X10334" s="5"/>
      <c r="Y10334" s="5"/>
      <c r="Z10334" s="5"/>
    </row>
    <row r="10335" spans="1:26" ht="15" x14ac:dyDescent="0.25">
      <c r="A10335" s="4" t="s">
        <v>10333</v>
      </c>
      <c r="B10335" s="4" t="s">
        <v>9011</v>
      </c>
      <c r="C10335" s="2" t="str">
        <f ca="1">IFERROR(__xludf.DUMMYFUNCTION("GOOGLETRANSLATE(A10335,""bn"",""en"")"),"I will get lost in the darkness of the cinema hall but I will find the story in the light of the screen")</f>
        <v>I will get lost in the darkness of the cinema hall but I will find the story in the light of the screen</v>
      </c>
      <c r="D10335" s="5"/>
      <c r="E10335" s="5"/>
      <c r="F10335" s="5"/>
      <c r="G10335" s="5"/>
      <c r="H10335" s="5"/>
      <c r="I10335" s="5"/>
      <c r="J10335" s="5"/>
      <c r="K10335" s="5"/>
      <c r="L10335" s="5"/>
      <c r="M10335" s="5"/>
      <c r="N10335" s="5"/>
      <c r="O10335" s="5"/>
      <c r="P10335" s="5"/>
      <c r="Q10335" s="5"/>
      <c r="R10335" s="5"/>
      <c r="S10335" s="5"/>
      <c r="T10335" s="5"/>
      <c r="U10335" s="5"/>
      <c r="V10335" s="5"/>
      <c r="W10335" s="5"/>
      <c r="X10335" s="5"/>
      <c r="Y10335" s="5"/>
      <c r="Z10335" s="5"/>
    </row>
    <row r="10336" spans="1:26" ht="15" x14ac:dyDescent="0.25">
      <c r="A10336" s="4" t="s">
        <v>10334</v>
      </c>
      <c r="B10336" s="4" t="s">
        <v>9011</v>
      </c>
      <c r="C10336" s="2" t="str">
        <f ca="1">IFERROR(__xludf.DUMMYFUNCTION("GOOGLETRANSLATE(A10336,""bn"",""en"")"),"Today will be the day when two hearts will become one and today I will float in the joy of that unity. Happy wedding anniversary dear")</f>
        <v>Today will be the day when two hearts will become one and today I will float in the joy of that unity. Happy wedding anniversary dear</v>
      </c>
      <c r="D10336" s="5"/>
      <c r="E10336" s="5"/>
      <c r="F10336" s="5"/>
      <c r="G10336" s="5"/>
      <c r="H10336" s="5"/>
      <c r="I10336" s="5"/>
      <c r="J10336" s="5"/>
      <c r="K10336" s="5"/>
      <c r="L10336" s="5"/>
      <c r="M10336" s="5"/>
      <c r="N10336" s="5"/>
      <c r="O10336" s="5"/>
      <c r="P10336" s="5"/>
      <c r="Q10336" s="5"/>
      <c r="R10336" s="5"/>
      <c r="S10336" s="5"/>
      <c r="T10336" s="5"/>
      <c r="U10336" s="5"/>
      <c r="V10336" s="5"/>
      <c r="W10336" s="5"/>
      <c r="X10336" s="5"/>
      <c r="Y10336" s="5"/>
      <c r="Z10336" s="5"/>
    </row>
    <row r="10337" spans="1:26" ht="15" x14ac:dyDescent="0.25">
      <c r="A10337" s="4" t="s">
        <v>10335</v>
      </c>
      <c r="B10337" s="4" t="s">
        <v>9011</v>
      </c>
      <c r="C10337" s="2" t="str">
        <f ca="1">IFERROR(__xludf.DUMMYFUNCTION("GOOGLETRANSLATE(A10337,""bn"",""en"")"),"I will create a social media platform that encourages positivity and connection")</f>
        <v>I will create a social media platform that encourages positivity and connection</v>
      </c>
      <c r="D10337" s="5"/>
      <c r="E10337" s="5"/>
      <c r="F10337" s="5"/>
      <c r="G10337" s="5"/>
      <c r="H10337" s="5"/>
      <c r="I10337" s="5"/>
      <c r="J10337" s="5"/>
      <c r="K10337" s="5"/>
      <c r="L10337" s="5"/>
      <c r="M10337" s="5"/>
      <c r="N10337" s="5"/>
      <c r="O10337" s="5"/>
      <c r="P10337" s="5"/>
      <c r="Q10337" s="5"/>
      <c r="R10337" s="5"/>
      <c r="S10337" s="5"/>
      <c r="T10337" s="5"/>
      <c r="U10337" s="5"/>
      <c r="V10337" s="5"/>
      <c r="W10337" s="5"/>
      <c r="X10337" s="5"/>
      <c r="Y10337" s="5"/>
      <c r="Z10337" s="5"/>
    </row>
    <row r="10338" spans="1:26" ht="15" x14ac:dyDescent="0.25">
      <c r="A10338" s="4" t="s">
        <v>10336</v>
      </c>
      <c r="B10338" s="4" t="s">
        <v>9011</v>
      </c>
      <c r="C10338" s="2" t="str">
        <f ca="1">IFERROR(__xludf.DUMMYFUNCTION("GOOGLETRANSLATE(A10338,""bn"",""en"")"),"In the future I will set up a large charity that will work on poverty alleviation")</f>
        <v>In the future I will set up a large charity that will work on poverty alleviation</v>
      </c>
      <c r="D10338" s="5"/>
      <c r="E10338" s="5"/>
      <c r="F10338" s="5"/>
      <c r="G10338" s="5"/>
      <c r="H10338" s="5"/>
      <c r="I10338" s="5"/>
      <c r="J10338" s="5"/>
      <c r="K10338" s="5"/>
      <c r="L10338" s="5"/>
      <c r="M10338" s="5"/>
      <c r="N10338" s="5"/>
      <c r="O10338" s="5"/>
      <c r="P10338" s="5"/>
      <c r="Q10338" s="5"/>
      <c r="R10338" s="5"/>
      <c r="S10338" s="5"/>
      <c r="T10338" s="5"/>
      <c r="U10338" s="5"/>
      <c r="V10338" s="5"/>
      <c r="W10338" s="5"/>
      <c r="X10338" s="5"/>
      <c r="Y10338" s="5"/>
      <c r="Z10338" s="5"/>
    </row>
    <row r="10339" spans="1:26" ht="15" x14ac:dyDescent="0.25">
      <c r="A10339" s="4" t="s">
        <v>10337</v>
      </c>
      <c r="B10339" s="4" t="s">
        <v>9011</v>
      </c>
      <c r="C10339" s="2" t="str">
        <f ca="1">IFERROR(__xludf.DUMMYFUNCTION("GOOGLETRANSLATE(A10339,""bn"",""en"")"),"A cup of tea will do the magic")</f>
        <v>A cup of tea will do the magic</v>
      </c>
      <c r="D10339" s="5"/>
      <c r="E10339" s="5"/>
      <c r="F10339" s="5"/>
      <c r="G10339" s="5"/>
      <c r="H10339" s="5"/>
      <c r="I10339" s="5"/>
      <c r="J10339" s="5"/>
      <c r="K10339" s="5"/>
      <c r="L10339" s="5"/>
      <c r="M10339" s="5"/>
      <c r="N10339" s="5"/>
      <c r="O10339" s="5"/>
      <c r="P10339" s="5"/>
      <c r="Q10339" s="5"/>
      <c r="R10339" s="5"/>
      <c r="S10339" s="5"/>
      <c r="T10339" s="5"/>
      <c r="U10339" s="5"/>
      <c r="V10339" s="5"/>
      <c r="W10339" s="5"/>
      <c r="X10339" s="5"/>
      <c r="Y10339" s="5"/>
      <c r="Z10339" s="5"/>
    </row>
    <row r="10340" spans="1:26" ht="15" x14ac:dyDescent="0.25">
      <c r="A10340" s="4" t="s">
        <v>10338</v>
      </c>
      <c r="B10340" s="4" t="s">
        <v>9011</v>
      </c>
      <c r="C10340" s="2" t="str">
        <f ca="1">IFERROR(__xludf.DUMMYFUNCTION("GOOGLETRANSLATE(A10340,""bn"",""en"")"),"I will be planting flowers in the garden tomorrow")</f>
        <v>I will be planting flowers in the garden tomorrow</v>
      </c>
      <c r="D10340" s="5"/>
      <c r="E10340" s="5"/>
      <c r="F10340" s="5"/>
      <c r="G10340" s="5"/>
      <c r="H10340" s="5"/>
      <c r="I10340" s="5"/>
      <c r="J10340" s="5"/>
      <c r="K10340" s="5"/>
      <c r="L10340" s="5"/>
      <c r="M10340" s="5"/>
      <c r="N10340" s="5"/>
      <c r="O10340" s="5"/>
      <c r="P10340" s="5"/>
      <c r="Q10340" s="5"/>
      <c r="R10340" s="5"/>
      <c r="S10340" s="5"/>
      <c r="T10340" s="5"/>
      <c r="U10340" s="5"/>
      <c r="V10340" s="5"/>
      <c r="W10340" s="5"/>
      <c r="X10340" s="5"/>
      <c r="Y10340" s="5"/>
      <c r="Z10340" s="5"/>
    </row>
    <row r="10341" spans="1:26" ht="15" x14ac:dyDescent="0.25">
      <c r="A10341" s="4" t="s">
        <v>10339</v>
      </c>
      <c r="B10341" s="4" t="s">
        <v>9011</v>
      </c>
      <c r="C10341" s="2" t="str">
        <f ca="1">IFERROR(__xludf.DUMMYFUNCTION("GOOGLETRANSLATE(A10341,""bn"",""en"")"),"Biryani will always be the champion, be it with potatoes or with meat")</f>
        <v>Biryani will always be the champion, be it with potatoes or with meat</v>
      </c>
      <c r="D10341" s="5"/>
      <c r="E10341" s="5"/>
      <c r="F10341" s="5"/>
      <c r="G10341" s="5"/>
      <c r="H10341" s="5"/>
      <c r="I10341" s="5"/>
      <c r="J10341" s="5"/>
      <c r="K10341" s="5"/>
      <c r="L10341" s="5"/>
      <c r="M10341" s="5"/>
      <c r="N10341" s="5"/>
      <c r="O10341" s="5"/>
      <c r="P10341" s="5"/>
      <c r="Q10341" s="5"/>
      <c r="R10341" s="5"/>
      <c r="S10341" s="5"/>
      <c r="T10341" s="5"/>
      <c r="U10341" s="5"/>
      <c r="V10341" s="5"/>
      <c r="W10341" s="5"/>
      <c r="X10341" s="5"/>
      <c r="Y10341" s="5"/>
      <c r="Z10341" s="5"/>
    </row>
    <row r="10342" spans="1:26" ht="15" x14ac:dyDescent="0.25">
      <c r="A10342" s="4" t="s">
        <v>10340</v>
      </c>
      <c r="B10342" s="4" t="s">
        <v>9011</v>
      </c>
      <c r="C10342" s="2" t="str">
        <f ca="1">IFERROR(__xludf.DUMMYFUNCTION("GOOGLETRANSLATE(A10342,""bn"",""en"")"),"Seeing a smile on your face will be the greatest joy for me. Let's celebrate")</f>
        <v>Seeing a smile on your face will be the greatest joy for me. Let's celebrate</v>
      </c>
      <c r="D10342" s="5"/>
      <c r="E10342" s="5"/>
      <c r="F10342" s="5"/>
      <c r="G10342" s="5"/>
      <c r="H10342" s="5"/>
      <c r="I10342" s="5"/>
      <c r="J10342" s="5"/>
      <c r="K10342" s="5"/>
      <c r="L10342" s="5"/>
      <c r="M10342" s="5"/>
      <c r="N10342" s="5"/>
      <c r="O10342" s="5"/>
      <c r="P10342" s="5"/>
      <c r="Q10342" s="5"/>
      <c r="R10342" s="5"/>
      <c r="S10342" s="5"/>
      <c r="T10342" s="5"/>
      <c r="U10342" s="5"/>
      <c r="V10342" s="5"/>
      <c r="W10342" s="5"/>
      <c r="X10342" s="5"/>
      <c r="Y10342" s="5"/>
      <c r="Z10342" s="5"/>
    </row>
    <row r="10343" spans="1:26" ht="15" x14ac:dyDescent="0.25">
      <c r="A10343" s="4" t="s">
        <v>10341</v>
      </c>
      <c r="B10343" s="4" t="s">
        <v>9011</v>
      </c>
      <c r="C10343" s="2" t="str">
        <f ca="1">IFERROR(__xludf.DUMMYFUNCTION("GOOGLETRANSLATE(A10343,""bn"",""en"")"),"After taking charge of the new job, I will work hard to improve the organization")</f>
        <v>After taking charge of the new job, I will work hard to improve the organization</v>
      </c>
      <c r="D10343" s="5"/>
      <c r="E10343" s="5"/>
      <c r="F10343" s="5"/>
      <c r="G10343" s="5"/>
      <c r="H10343" s="5"/>
      <c r="I10343" s="5"/>
      <c r="J10343" s="5"/>
      <c r="K10343" s="5"/>
      <c r="L10343" s="5"/>
      <c r="M10343" s="5"/>
      <c r="N10343" s="5"/>
      <c r="O10343" s="5"/>
      <c r="P10343" s="5"/>
      <c r="Q10343" s="5"/>
      <c r="R10343" s="5"/>
      <c r="S10343" s="5"/>
      <c r="T10343" s="5"/>
      <c r="U10343" s="5"/>
      <c r="V10343" s="5"/>
      <c r="W10343" s="5"/>
      <c r="X10343" s="5"/>
      <c r="Y10343" s="5"/>
      <c r="Z10343" s="5"/>
    </row>
    <row r="10344" spans="1:26" ht="15" x14ac:dyDescent="0.25">
      <c r="A10344" s="4" t="s">
        <v>10342</v>
      </c>
      <c r="B10344" s="4" t="s">
        <v>9011</v>
      </c>
      <c r="C10344" s="2" t="str">
        <f ca="1">IFERROR(__xludf.DUMMYFUNCTION("GOOGLETRANSLATE(A10344,""bn"",""en"")"),"He is going to play tennis at the tennis court tomorrow")</f>
        <v>He is going to play tennis at the tennis court tomorrow</v>
      </c>
      <c r="D10344" s="5"/>
      <c r="E10344" s="5"/>
      <c r="F10344" s="5"/>
      <c r="G10344" s="5"/>
      <c r="H10344" s="5"/>
      <c r="I10344" s="5"/>
      <c r="J10344" s="5"/>
      <c r="K10344" s="5"/>
      <c r="L10344" s="5"/>
      <c r="M10344" s="5"/>
      <c r="N10344" s="5"/>
      <c r="O10344" s="5"/>
      <c r="P10344" s="5"/>
      <c r="Q10344" s="5"/>
      <c r="R10344" s="5"/>
      <c r="S10344" s="5"/>
      <c r="T10344" s="5"/>
      <c r="U10344" s="5"/>
      <c r="V10344" s="5"/>
      <c r="W10344" s="5"/>
      <c r="X10344" s="5"/>
      <c r="Y10344" s="5"/>
      <c r="Z10344" s="5"/>
    </row>
    <row r="10345" spans="1:26" ht="15" x14ac:dyDescent="0.25">
      <c r="A10345" s="4" t="s">
        <v>10343</v>
      </c>
      <c r="B10345" s="4" t="s">
        <v>9011</v>
      </c>
      <c r="C10345" s="2" t="str">
        <f ca="1">IFERROR(__xludf.DUMMYFUNCTION("GOOGLETRANSLATE(A10345,""bn"",""en"")"),"Hearing that you have been selected today will feel like conquering the world")</f>
        <v>Hearing that you have been selected today will feel like conquering the world</v>
      </c>
      <c r="D10345" s="5"/>
      <c r="E10345" s="5"/>
      <c r="F10345" s="5"/>
      <c r="G10345" s="5"/>
      <c r="H10345" s="5"/>
      <c r="I10345" s="5"/>
      <c r="J10345" s="5"/>
      <c r="K10345" s="5"/>
      <c r="L10345" s="5"/>
      <c r="M10345" s="5"/>
      <c r="N10345" s="5"/>
      <c r="O10345" s="5"/>
      <c r="P10345" s="5"/>
      <c r="Q10345" s="5"/>
      <c r="R10345" s="5"/>
      <c r="S10345" s="5"/>
      <c r="T10345" s="5"/>
      <c r="U10345" s="5"/>
      <c r="V10345" s="5"/>
      <c r="W10345" s="5"/>
      <c r="X10345" s="5"/>
      <c r="Y10345" s="5"/>
      <c r="Z10345" s="5"/>
    </row>
    <row r="10346" spans="1:26" ht="15" x14ac:dyDescent="0.25">
      <c r="A10346" s="4" t="s">
        <v>10344</v>
      </c>
      <c r="B10346" s="4" t="s">
        <v>9011</v>
      </c>
      <c r="C10346" s="2" t="str">
        <f ca="1">IFERROR(__xludf.DUMMYFUNCTION("GOOGLETRANSLATE(A10346,""bn"",""en"")"),"If happiness cannot be held then one can never save oneself from sorrow")</f>
        <v>If happiness cannot be held then one can never save oneself from sorrow</v>
      </c>
      <c r="D10346" s="5"/>
      <c r="E10346" s="5"/>
      <c r="F10346" s="5"/>
      <c r="G10346" s="5"/>
      <c r="H10346" s="5"/>
      <c r="I10346" s="5"/>
      <c r="J10346" s="5"/>
      <c r="K10346" s="5"/>
      <c r="L10346" s="5"/>
      <c r="M10346" s="5"/>
      <c r="N10346" s="5"/>
      <c r="O10346" s="5"/>
      <c r="P10346" s="5"/>
      <c r="Q10346" s="5"/>
      <c r="R10346" s="5"/>
      <c r="S10346" s="5"/>
      <c r="T10346" s="5"/>
      <c r="U10346" s="5"/>
      <c r="V10346" s="5"/>
      <c r="W10346" s="5"/>
      <c r="X10346" s="5"/>
      <c r="Y10346" s="5"/>
      <c r="Z10346" s="5"/>
    </row>
    <row r="10347" spans="1:26" ht="15" x14ac:dyDescent="0.25">
      <c r="A10347" s="4" t="s">
        <v>10345</v>
      </c>
      <c r="B10347" s="4" t="s">
        <v>9011</v>
      </c>
      <c r="C10347" s="2" t="str">
        <f ca="1">IFERROR(__xludf.DUMMYFUNCTION("GOOGLETRANSLATE(A10347,""bn"",""en"")"),"You will learn to ride a bicycle next month")</f>
        <v>You will learn to ride a bicycle next month</v>
      </c>
      <c r="D10347" s="5"/>
      <c r="E10347" s="5"/>
      <c r="F10347" s="5"/>
      <c r="G10347" s="5"/>
      <c r="H10347" s="5"/>
      <c r="I10347" s="5"/>
      <c r="J10347" s="5"/>
      <c r="K10347" s="5"/>
      <c r="L10347" s="5"/>
      <c r="M10347" s="5"/>
      <c r="N10347" s="5"/>
      <c r="O10347" s="5"/>
      <c r="P10347" s="5"/>
      <c r="Q10347" s="5"/>
      <c r="R10347" s="5"/>
      <c r="S10347" s="5"/>
      <c r="T10347" s="5"/>
      <c r="U10347" s="5"/>
      <c r="V10347" s="5"/>
      <c r="W10347" s="5"/>
      <c r="X10347" s="5"/>
      <c r="Y10347" s="5"/>
      <c r="Z10347" s="5"/>
    </row>
    <row r="10348" spans="1:26" ht="15" x14ac:dyDescent="0.25">
      <c r="A10348" s="4" t="s">
        <v>10346</v>
      </c>
      <c r="B10348" s="4" t="s">
        <v>9011</v>
      </c>
      <c r="C10348" s="2" t="str">
        <f ca="1">IFERROR(__xludf.DUMMYFUNCTION("GOOGLETRANSLATE(A10348,""bn"",""en"")"),"Tomorrow I will join a new sports academy and improve my physical abilities")</f>
        <v>Tomorrow I will join a new sports academy and improve my physical abilities</v>
      </c>
      <c r="D10348" s="5"/>
      <c r="E10348" s="5"/>
      <c r="F10348" s="5"/>
      <c r="G10348" s="5"/>
      <c r="H10348" s="5"/>
      <c r="I10348" s="5"/>
      <c r="J10348" s="5"/>
      <c r="K10348" s="5"/>
      <c r="L10348" s="5"/>
      <c r="M10348" s="5"/>
      <c r="N10348" s="5"/>
      <c r="O10348" s="5"/>
      <c r="P10348" s="5"/>
      <c r="Q10348" s="5"/>
      <c r="R10348" s="5"/>
      <c r="S10348" s="5"/>
      <c r="T10348" s="5"/>
      <c r="U10348" s="5"/>
      <c r="V10348" s="5"/>
      <c r="W10348" s="5"/>
      <c r="X10348" s="5"/>
      <c r="Y10348" s="5"/>
      <c r="Z10348" s="5"/>
    </row>
    <row r="10349" spans="1:26" ht="15" x14ac:dyDescent="0.25">
      <c r="A10349" s="4" t="s">
        <v>10347</v>
      </c>
      <c r="B10349" s="4" t="s">
        <v>9011</v>
      </c>
      <c r="C10349" s="2" t="str">
        <f ca="1">IFERROR(__xludf.DUMMYFUNCTION("GOOGLETRANSLATE(A10349,""bn"",""en"")"),"It is impossible to describe how much the heart will be happy watching a football match")</f>
        <v>It is impossible to describe how much the heart will be happy watching a football match</v>
      </c>
      <c r="D10349" s="5"/>
      <c r="E10349" s="5"/>
      <c r="F10349" s="5"/>
      <c r="G10349" s="5"/>
      <c r="H10349" s="5"/>
      <c r="I10349" s="5"/>
      <c r="J10349" s="5"/>
      <c r="K10349" s="5"/>
      <c r="L10349" s="5"/>
      <c r="M10349" s="5"/>
      <c r="N10349" s="5"/>
      <c r="O10349" s="5"/>
      <c r="P10349" s="5"/>
      <c r="Q10349" s="5"/>
      <c r="R10349" s="5"/>
      <c r="S10349" s="5"/>
      <c r="T10349" s="5"/>
      <c r="U10349" s="5"/>
      <c r="V10349" s="5"/>
      <c r="W10349" s="5"/>
      <c r="X10349" s="5"/>
      <c r="Y10349" s="5"/>
      <c r="Z10349" s="5"/>
    </row>
    <row r="10350" spans="1:26" ht="15" x14ac:dyDescent="0.25">
      <c r="A10350" s="4" t="s">
        <v>10348</v>
      </c>
      <c r="B10350" s="4" t="s">
        <v>9011</v>
      </c>
      <c r="C10350" s="2" t="str">
        <f ca="1">IFERROR(__xludf.DUMMYFUNCTION("GOOGLETRANSLATE(A10350,""bn"",""en"")"),"Next year I will read many more books to increase my knowledge")</f>
        <v>Next year I will read many more books to increase my knowledge</v>
      </c>
      <c r="D10350" s="5"/>
      <c r="E10350" s="5"/>
      <c r="F10350" s="5"/>
      <c r="G10350" s="5"/>
      <c r="H10350" s="5"/>
      <c r="I10350" s="5"/>
      <c r="J10350" s="5"/>
      <c r="K10350" s="5"/>
      <c r="L10350" s="5"/>
      <c r="M10350" s="5"/>
      <c r="N10350" s="5"/>
      <c r="O10350" s="5"/>
      <c r="P10350" s="5"/>
      <c r="Q10350" s="5"/>
      <c r="R10350" s="5"/>
      <c r="S10350" s="5"/>
      <c r="T10350" s="5"/>
      <c r="U10350" s="5"/>
      <c r="V10350" s="5"/>
      <c r="W10350" s="5"/>
      <c r="X10350" s="5"/>
      <c r="Y10350" s="5"/>
      <c r="Z10350" s="5"/>
    </row>
    <row r="10351" spans="1:26" ht="15" x14ac:dyDescent="0.25">
      <c r="A10351" s="4" t="s">
        <v>10349</v>
      </c>
      <c r="B10351" s="4" t="s">
        <v>9011</v>
      </c>
      <c r="C10351" s="2" t="str">
        <f ca="1">IFERROR(__xludf.DUMMYFUNCTION("GOOGLETRANSLATE(A10351,""bn"",""en"")"),"The plane ticket will be in hand and the mind will fly")</f>
        <v>The plane ticket will be in hand and the mind will fly</v>
      </c>
      <c r="D10351" s="5"/>
      <c r="E10351" s="5"/>
      <c r="F10351" s="5"/>
      <c r="G10351" s="5"/>
      <c r="H10351" s="5"/>
      <c r="I10351" s="5"/>
      <c r="J10351" s="5"/>
      <c r="K10351" s="5"/>
      <c r="L10351" s="5"/>
      <c r="M10351" s="5"/>
      <c r="N10351" s="5"/>
      <c r="O10351" s="5"/>
      <c r="P10351" s="5"/>
      <c r="Q10351" s="5"/>
      <c r="R10351" s="5"/>
      <c r="S10351" s="5"/>
      <c r="T10351" s="5"/>
      <c r="U10351" s="5"/>
      <c r="V10351" s="5"/>
      <c r="W10351" s="5"/>
      <c r="X10351" s="5"/>
      <c r="Y10351" s="5"/>
      <c r="Z10351" s="5"/>
    </row>
    <row r="10352" spans="1:26" ht="15" x14ac:dyDescent="0.25">
      <c r="A10352" s="4" t="s">
        <v>10350</v>
      </c>
      <c r="B10352" s="4" t="s">
        <v>9011</v>
      </c>
      <c r="C10352" s="2" t="str">
        <f ca="1">IFERROR(__xludf.DUMMYFUNCTION("GOOGLETRANSLATE(A10352,""bn"",""en"")"),"Changing diapers and breastfeeding will not be a new thing anymore, I will happily do it for you")</f>
        <v>Changing diapers and breastfeeding will not be a new thing anymore, I will happily do it for you</v>
      </c>
      <c r="D10352" s="5"/>
      <c r="E10352" s="5"/>
      <c r="F10352" s="5"/>
      <c r="G10352" s="5"/>
      <c r="H10352" s="5"/>
      <c r="I10352" s="5"/>
      <c r="J10352" s="5"/>
      <c r="K10352" s="5"/>
      <c r="L10352" s="5"/>
      <c r="M10352" s="5"/>
      <c r="N10352" s="5"/>
      <c r="O10352" s="5"/>
      <c r="P10352" s="5"/>
      <c r="Q10352" s="5"/>
      <c r="R10352" s="5"/>
      <c r="S10352" s="5"/>
      <c r="T10352" s="5"/>
      <c r="U10352" s="5"/>
      <c r="V10352" s="5"/>
      <c r="W10352" s="5"/>
      <c r="X10352" s="5"/>
      <c r="Y10352" s="5"/>
      <c r="Z10352" s="5"/>
    </row>
    <row r="10353" spans="1:26" ht="15" x14ac:dyDescent="0.25">
      <c r="A10353" s="4" t="s">
        <v>10351</v>
      </c>
      <c r="B10353" s="4" t="s">
        <v>9011</v>
      </c>
      <c r="C10353" s="2" t="str">
        <f ca="1">IFERROR(__xludf.DUMMYFUNCTION("GOOGLETRANSLATE(A10353,""bn"",""en"")"),"Next month I will join a new photography course and improve my photography skills")</f>
        <v>Next month I will join a new photography course and improve my photography skills</v>
      </c>
      <c r="D10353" s="5"/>
      <c r="E10353" s="5"/>
      <c r="F10353" s="5"/>
      <c r="G10353" s="5"/>
      <c r="H10353" s="5"/>
      <c r="I10353" s="5"/>
      <c r="J10353" s="5"/>
      <c r="K10353" s="5"/>
      <c r="L10353" s="5"/>
      <c r="M10353" s="5"/>
      <c r="N10353" s="5"/>
      <c r="O10353" s="5"/>
      <c r="P10353" s="5"/>
      <c r="Q10353" s="5"/>
      <c r="R10353" s="5"/>
      <c r="S10353" s="5"/>
      <c r="T10353" s="5"/>
      <c r="U10353" s="5"/>
      <c r="V10353" s="5"/>
      <c r="W10353" s="5"/>
      <c r="X10353" s="5"/>
      <c r="Y10353" s="5"/>
      <c r="Z10353" s="5"/>
    </row>
    <row r="10354" spans="1:26" ht="15" x14ac:dyDescent="0.25">
      <c r="A10354" s="4" t="s">
        <v>10352</v>
      </c>
      <c r="B10354" s="4" t="s">
        <v>9011</v>
      </c>
      <c r="C10354" s="2" t="str">
        <f ca="1">IFERROR(__xludf.DUMMYFUNCTION("GOOGLETRANSLATE(A10354,""bn"",""en"")"),"School science fair will be interested in learning something new")</f>
        <v>School science fair will be interested in learning something new</v>
      </c>
      <c r="D10354" s="5"/>
      <c r="E10354" s="5"/>
      <c r="F10354" s="5"/>
      <c r="G10354" s="5"/>
      <c r="H10354" s="5"/>
      <c r="I10354" s="5"/>
      <c r="J10354" s="5"/>
      <c r="K10354" s="5"/>
      <c r="L10354" s="5"/>
      <c r="M10354" s="5"/>
      <c r="N10354" s="5"/>
      <c r="O10354" s="5"/>
      <c r="P10354" s="5"/>
      <c r="Q10354" s="5"/>
      <c r="R10354" s="5"/>
      <c r="S10354" s="5"/>
      <c r="T10354" s="5"/>
      <c r="U10354" s="5"/>
      <c r="V10354" s="5"/>
      <c r="W10354" s="5"/>
      <c r="X10354" s="5"/>
      <c r="Y10354" s="5"/>
      <c r="Z10354" s="5"/>
    </row>
    <row r="10355" spans="1:26" ht="15" x14ac:dyDescent="0.25">
      <c r="A10355" s="4" t="s">
        <v>10353</v>
      </c>
      <c r="B10355" s="4" t="s">
        <v>9011</v>
      </c>
      <c r="C10355" s="2" t="str">
        <f ca="1">IFERROR(__xludf.DUMMYFUNCTION("GOOGLETRANSLATE(A10355,""bn"",""en"")"),"I will develop a renewable energy source next year that will help reduce our dependence on the environment")</f>
        <v>I will develop a renewable energy source next year that will help reduce our dependence on the environment</v>
      </c>
      <c r="D10355" s="5"/>
      <c r="E10355" s="5"/>
      <c r="F10355" s="5"/>
      <c r="G10355" s="5"/>
      <c r="H10355" s="5"/>
      <c r="I10355" s="5"/>
      <c r="J10355" s="5"/>
      <c r="K10355" s="5"/>
      <c r="L10355" s="5"/>
      <c r="M10355" s="5"/>
      <c r="N10355" s="5"/>
      <c r="O10355" s="5"/>
      <c r="P10355" s="5"/>
      <c r="Q10355" s="5"/>
      <c r="R10355" s="5"/>
      <c r="S10355" s="5"/>
      <c r="T10355" s="5"/>
      <c r="U10355" s="5"/>
      <c r="V10355" s="5"/>
      <c r="W10355" s="5"/>
      <c r="X10355" s="5"/>
      <c r="Y10355" s="5"/>
      <c r="Z10355" s="5"/>
    </row>
    <row r="10356" spans="1:26" ht="15" x14ac:dyDescent="0.25">
      <c r="A10356" s="4" t="s">
        <v>10354</v>
      </c>
      <c r="B10356" s="4" t="s">
        <v>9011</v>
      </c>
      <c r="C10356" s="2" t="str">
        <f ca="1">IFERROR(__xludf.DUMMYFUNCTION("GOOGLETRANSLATE(A10356,""bn"",""en"")"),"Thoughts will be the source of happiness while reading books, the light of the mind will play, the favorite words will encourage the mind, the new knowledge will all take the form of a fish ray of happiness together.")</f>
        <v>Thoughts will be the source of happiness while reading books, the light of the mind will play, the favorite words will encourage the mind, the new knowledge will all take the form of a fish ray of happiness together.</v>
      </c>
      <c r="D10356" s="5"/>
      <c r="E10356" s="5"/>
      <c r="F10356" s="5"/>
      <c r="G10356" s="5"/>
      <c r="H10356" s="5"/>
      <c r="I10356" s="5"/>
      <c r="J10356" s="5"/>
      <c r="K10356" s="5"/>
      <c r="L10356" s="5"/>
      <c r="M10356" s="5"/>
      <c r="N10356" s="5"/>
      <c r="O10356" s="5"/>
      <c r="P10356" s="5"/>
      <c r="Q10356" s="5"/>
      <c r="R10356" s="5"/>
      <c r="S10356" s="5"/>
      <c r="T10356" s="5"/>
      <c r="U10356" s="5"/>
      <c r="V10356" s="5"/>
      <c r="W10356" s="5"/>
      <c r="X10356" s="5"/>
      <c r="Y10356" s="5"/>
      <c r="Z10356" s="5"/>
    </row>
    <row r="10357" spans="1:26" ht="15" x14ac:dyDescent="0.25">
      <c r="A10357" s="4" t="s">
        <v>10355</v>
      </c>
      <c r="B10357" s="4" t="s">
        <v>9011</v>
      </c>
      <c r="C10357" s="2" t="str">
        <f ca="1">IFERROR(__xludf.DUMMYFUNCTION("GOOGLETRANSLATE(A10357,""bn"",""en"")"),"Through painting, people's minds will be filled with new joy and their lives will be brighter")</f>
        <v>Through painting, people's minds will be filled with new joy and their lives will be brighter</v>
      </c>
      <c r="D10357" s="5"/>
      <c r="E10357" s="5"/>
      <c r="F10357" s="5"/>
      <c r="G10357" s="5"/>
      <c r="H10357" s="5"/>
      <c r="I10357" s="5"/>
      <c r="J10357" s="5"/>
      <c r="K10357" s="5"/>
      <c r="L10357" s="5"/>
      <c r="M10357" s="5"/>
      <c r="N10357" s="5"/>
      <c r="O10357" s="5"/>
      <c r="P10357" s="5"/>
      <c r="Q10357" s="5"/>
      <c r="R10357" s="5"/>
      <c r="S10357" s="5"/>
      <c r="T10357" s="5"/>
      <c r="U10357" s="5"/>
      <c r="V10357" s="5"/>
      <c r="W10357" s="5"/>
      <c r="X10357" s="5"/>
      <c r="Y10357" s="5"/>
      <c r="Z10357" s="5"/>
    </row>
    <row r="10358" spans="1:26" ht="15" x14ac:dyDescent="0.25">
      <c r="A10358" s="4" t="s">
        <v>10356</v>
      </c>
      <c r="B10358" s="4" t="s">
        <v>9011</v>
      </c>
      <c r="C10358" s="2" t="str">
        <f ca="1">IFERROR(__xludf.DUMMYFUNCTION("GOOGLETRANSLATE(A10358,""bn"",""en"")"),"Officially a boss, excited to take on this new leadership role and make a difference")</f>
        <v>Officially a boss, excited to take on this new leadership role and make a difference</v>
      </c>
      <c r="D10358" s="5"/>
      <c r="E10358" s="5"/>
      <c r="F10358" s="5"/>
      <c r="G10358" s="5"/>
      <c r="H10358" s="5"/>
      <c r="I10358" s="5"/>
      <c r="J10358" s="5"/>
      <c r="K10358" s="5"/>
      <c r="L10358" s="5"/>
      <c r="M10358" s="5"/>
      <c r="N10358" s="5"/>
      <c r="O10358" s="5"/>
      <c r="P10358" s="5"/>
      <c r="Q10358" s="5"/>
      <c r="R10358" s="5"/>
      <c r="S10358" s="5"/>
      <c r="T10358" s="5"/>
      <c r="U10358" s="5"/>
      <c r="V10358" s="5"/>
      <c r="W10358" s="5"/>
      <c r="X10358" s="5"/>
      <c r="Y10358" s="5"/>
      <c r="Z10358" s="5"/>
    </row>
    <row r="10359" spans="1:26" ht="15" x14ac:dyDescent="0.25">
      <c r="A10359" s="4" t="s">
        <v>10357</v>
      </c>
      <c r="B10359" s="4" t="s">
        <v>9011</v>
      </c>
      <c r="C10359" s="2" t="str">
        <f ca="1">IFERROR(__xludf.DUMMYFUNCTION("GOOGLETRANSLATE(A10359,""bn"",""en"")"),"I will go to the cricket club tomorrow for help")</f>
        <v>I will go to the cricket club tomorrow for help</v>
      </c>
      <c r="D10359" s="5"/>
      <c r="E10359" s="5"/>
      <c r="F10359" s="5"/>
      <c r="G10359" s="5"/>
      <c r="H10359" s="5"/>
      <c r="I10359" s="5"/>
      <c r="J10359" s="5"/>
      <c r="K10359" s="5"/>
      <c r="L10359" s="5"/>
      <c r="M10359" s="5"/>
      <c r="N10359" s="5"/>
      <c r="O10359" s="5"/>
      <c r="P10359" s="5"/>
      <c r="Q10359" s="5"/>
      <c r="R10359" s="5"/>
      <c r="S10359" s="5"/>
      <c r="T10359" s="5"/>
      <c r="U10359" s="5"/>
      <c r="V10359" s="5"/>
      <c r="W10359" s="5"/>
      <c r="X10359" s="5"/>
      <c r="Y10359" s="5"/>
      <c r="Z10359" s="5"/>
    </row>
    <row r="10360" spans="1:26" ht="15" x14ac:dyDescent="0.25">
      <c r="A10360" s="4" t="s">
        <v>10358</v>
      </c>
      <c r="B10360" s="4" t="s">
        <v>9011</v>
      </c>
      <c r="C10360" s="2" t="str">
        <f ca="1">IFERROR(__xludf.DUMMYFUNCTION("GOOGLETRANSLATE(A10360,""bn"",""en"")"),"BTS fans will be called army, fans will interact with each other online, discuss songs, share experiences and build strong bonds.")</f>
        <v>BTS fans will be called army, fans will interact with each other online, discuss songs, share experiences and build strong bonds.</v>
      </c>
      <c r="D10360" s="5"/>
      <c r="E10360" s="5"/>
      <c r="F10360" s="5"/>
      <c r="G10360" s="5"/>
      <c r="H10360" s="5"/>
      <c r="I10360" s="5"/>
      <c r="J10360" s="5"/>
      <c r="K10360" s="5"/>
      <c r="L10360" s="5"/>
      <c r="M10360" s="5"/>
      <c r="N10360" s="5"/>
      <c r="O10360" s="5"/>
      <c r="P10360" s="5"/>
      <c r="Q10360" s="5"/>
      <c r="R10360" s="5"/>
      <c r="S10360" s="5"/>
      <c r="T10360" s="5"/>
      <c r="U10360" s="5"/>
      <c r="V10360" s="5"/>
      <c r="W10360" s="5"/>
      <c r="X10360" s="5"/>
      <c r="Y10360" s="5"/>
      <c r="Z10360" s="5"/>
    </row>
    <row r="10361" spans="1:26" ht="15" x14ac:dyDescent="0.25">
      <c r="A10361" s="4" t="s">
        <v>10359</v>
      </c>
      <c r="B10361" s="4" t="s">
        <v>9011</v>
      </c>
      <c r="C10361" s="2" t="str">
        <f ca="1">IFERROR(__xludf.DUMMYFUNCTION("GOOGLETRANSLATE(A10361,""bn"",""en"")"),"He will monitor the progress of his plan as he gets closer to his goal")</f>
        <v>He will monitor the progress of his plan as he gets closer to his goal</v>
      </c>
      <c r="D10361" s="5"/>
      <c r="E10361" s="5"/>
      <c r="F10361" s="5"/>
      <c r="G10361" s="5"/>
      <c r="H10361" s="5"/>
      <c r="I10361" s="5"/>
      <c r="J10361" s="5"/>
      <c r="K10361" s="5"/>
      <c r="L10361" s="5"/>
      <c r="M10361" s="5"/>
      <c r="N10361" s="5"/>
      <c r="O10361" s="5"/>
      <c r="P10361" s="5"/>
      <c r="Q10361" s="5"/>
      <c r="R10361" s="5"/>
      <c r="S10361" s="5"/>
      <c r="T10361" s="5"/>
      <c r="U10361" s="5"/>
      <c r="V10361" s="5"/>
      <c r="W10361" s="5"/>
      <c r="X10361" s="5"/>
      <c r="Y10361" s="5"/>
      <c r="Z10361" s="5"/>
    </row>
    <row r="10362" spans="1:26" ht="15" x14ac:dyDescent="0.25">
      <c r="A10362" s="4" t="s">
        <v>10360</v>
      </c>
      <c r="B10362" s="4" t="s">
        <v>9011</v>
      </c>
      <c r="C10362" s="2" t="str">
        <f ca="1">IFERROR(__xludf.DUMMYFUNCTION("GOOGLETRANSLATE(A10362,""bn"",""en"")"),"Tomorrow I will attend an important exam so that my future will be brighter")</f>
        <v>Tomorrow I will attend an important exam so that my future will be brighter</v>
      </c>
      <c r="D10362" s="5"/>
      <c r="E10362" s="5"/>
      <c r="F10362" s="5"/>
      <c r="G10362" s="5"/>
      <c r="H10362" s="5"/>
      <c r="I10362" s="5"/>
      <c r="J10362" s="5"/>
      <c r="K10362" s="5"/>
      <c r="L10362" s="5"/>
      <c r="M10362" s="5"/>
      <c r="N10362" s="5"/>
      <c r="O10362" s="5"/>
      <c r="P10362" s="5"/>
      <c r="Q10362" s="5"/>
      <c r="R10362" s="5"/>
      <c r="S10362" s="5"/>
      <c r="T10362" s="5"/>
      <c r="U10362" s="5"/>
      <c r="V10362" s="5"/>
      <c r="W10362" s="5"/>
      <c r="X10362" s="5"/>
      <c r="Y10362" s="5"/>
      <c r="Z10362" s="5"/>
    </row>
    <row r="10363" spans="1:26" ht="15" x14ac:dyDescent="0.25">
      <c r="A10363" s="4" t="s">
        <v>10361</v>
      </c>
      <c r="B10363" s="4" t="s">
        <v>9011</v>
      </c>
      <c r="C10363" s="2" t="str">
        <f ca="1">IFERROR(__xludf.DUMMYFUNCTION("GOOGLETRANSLATE(A10363,""bn"",""en"")"),"People's minds will be stimulated every moment of laughter. Comedy will be the stimulus of life")</f>
        <v>People's minds will be stimulated every moment of laughter. Comedy will be the stimulus of life</v>
      </c>
      <c r="D10363" s="5"/>
      <c r="E10363" s="5"/>
      <c r="F10363" s="5"/>
      <c r="G10363" s="5"/>
      <c r="H10363" s="5"/>
      <c r="I10363" s="5"/>
      <c r="J10363" s="5"/>
      <c r="K10363" s="5"/>
      <c r="L10363" s="5"/>
      <c r="M10363" s="5"/>
      <c r="N10363" s="5"/>
      <c r="O10363" s="5"/>
      <c r="P10363" s="5"/>
      <c r="Q10363" s="5"/>
      <c r="R10363" s="5"/>
      <c r="S10363" s="5"/>
      <c r="T10363" s="5"/>
      <c r="U10363" s="5"/>
      <c r="V10363" s="5"/>
      <c r="W10363" s="5"/>
      <c r="X10363" s="5"/>
      <c r="Y10363" s="5"/>
      <c r="Z10363" s="5"/>
    </row>
    <row r="10364" spans="1:26" ht="15" x14ac:dyDescent="0.25">
      <c r="A10364" s="4" t="s">
        <v>10362</v>
      </c>
      <c r="B10364" s="4" t="s">
        <v>9011</v>
      </c>
      <c r="C10364" s="2" t="str">
        <f ca="1">IFERROR(__xludf.DUMMYFUNCTION("GOOGLETRANSLATE(A10364,""bn"",""en"")"),"I will try new cooking recipes next week")</f>
        <v>I will try new cooking recipes next week</v>
      </c>
      <c r="D10364" s="5"/>
      <c r="E10364" s="5"/>
      <c r="F10364" s="5"/>
      <c r="G10364" s="5"/>
      <c r="H10364" s="5"/>
      <c r="I10364" s="5"/>
      <c r="J10364" s="5"/>
      <c r="K10364" s="5"/>
      <c r="L10364" s="5"/>
      <c r="M10364" s="5"/>
      <c r="N10364" s="5"/>
      <c r="O10364" s="5"/>
      <c r="P10364" s="5"/>
      <c r="Q10364" s="5"/>
      <c r="R10364" s="5"/>
      <c r="S10364" s="5"/>
      <c r="T10364" s="5"/>
      <c r="U10364" s="5"/>
      <c r="V10364" s="5"/>
      <c r="W10364" s="5"/>
      <c r="X10364" s="5"/>
      <c r="Y10364" s="5"/>
      <c r="Z10364" s="5"/>
    </row>
    <row r="10365" spans="1:26" ht="15" x14ac:dyDescent="0.25">
      <c r="A10365" s="4" t="s">
        <v>10363</v>
      </c>
      <c r="B10365" s="4" t="s">
        <v>9011</v>
      </c>
      <c r="C10365" s="2" t="str">
        <f ca="1">IFERROR(__xludf.DUMMYFUNCTION("GOOGLETRANSLATE(A10365,""bn"",""en"")"),"They will launch a new tech startup tomorrow where they will work on innovative technologies")</f>
        <v>They will launch a new tech startup tomorrow where they will work on innovative technologies</v>
      </c>
      <c r="D10365" s="5"/>
      <c r="E10365" s="5"/>
      <c r="F10365" s="5"/>
      <c r="G10365" s="5"/>
      <c r="H10365" s="5"/>
      <c r="I10365" s="5"/>
      <c r="J10365" s="5"/>
      <c r="K10365" s="5"/>
      <c r="L10365" s="5"/>
      <c r="M10365" s="5"/>
      <c r="N10365" s="5"/>
      <c r="O10365" s="5"/>
      <c r="P10365" s="5"/>
      <c r="Q10365" s="5"/>
      <c r="R10365" s="5"/>
      <c r="S10365" s="5"/>
      <c r="T10365" s="5"/>
      <c r="U10365" s="5"/>
      <c r="V10365" s="5"/>
      <c r="W10365" s="5"/>
      <c r="X10365" s="5"/>
      <c r="Y10365" s="5"/>
      <c r="Z10365" s="5"/>
    </row>
    <row r="10366" spans="1:26" ht="15" x14ac:dyDescent="0.25">
      <c r="A10366" s="4" t="s">
        <v>10364</v>
      </c>
      <c r="B10366" s="4" t="s">
        <v>9011</v>
      </c>
      <c r="C10366" s="2" t="str">
        <f ca="1">IFERROR(__xludf.DUMMYFUNCTION("GOOGLETRANSLATE(A10366,""bn"",""en"")"),"We usually stay here for morning tea in the coming days")</f>
        <v>We usually stay here for morning tea in the coming days</v>
      </c>
      <c r="D10366" s="5"/>
      <c r="E10366" s="5"/>
      <c r="F10366" s="5"/>
      <c r="G10366" s="5"/>
      <c r="H10366" s="5"/>
      <c r="I10366" s="5"/>
      <c r="J10366" s="5"/>
      <c r="K10366" s="5"/>
      <c r="L10366" s="5"/>
      <c r="M10366" s="5"/>
      <c r="N10366" s="5"/>
      <c r="O10366" s="5"/>
      <c r="P10366" s="5"/>
      <c r="Q10366" s="5"/>
      <c r="R10366" s="5"/>
      <c r="S10366" s="5"/>
      <c r="T10366" s="5"/>
      <c r="U10366" s="5"/>
      <c r="V10366" s="5"/>
      <c r="W10366" s="5"/>
      <c r="X10366" s="5"/>
      <c r="Y10366" s="5"/>
      <c r="Z10366" s="5"/>
    </row>
    <row r="10367" spans="1:26" ht="15" x14ac:dyDescent="0.25">
      <c r="A10367" s="4" t="s">
        <v>10365</v>
      </c>
      <c r="B10367" s="4" t="s">
        <v>9011</v>
      </c>
      <c r="C10367" s="2" t="str">
        <f ca="1">IFERROR(__xludf.DUMMYFUNCTION("GOOGLETRANSLATE(A10367,""bn"",""en"")"),"This job will be the start of a new chapter in my career full of excitement and enthusiasm")</f>
        <v>This job will be the start of a new chapter in my career full of excitement and enthusiasm</v>
      </c>
      <c r="D10367" s="5"/>
      <c r="E10367" s="5"/>
      <c r="F10367" s="5"/>
      <c r="G10367" s="5"/>
      <c r="H10367" s="5"/>
      <c r="I10367" s="5"/>
      <c r="J10367" s="5"/>
      <c r="K10367" s="5"/>
      <c r="L10367" s="5"/>
      <c r="M10367" s="5"/>
      <c r="N10367" s="5"/>
      <c r="O10367" s="5"/>
      <c r="P10367" s="5"/>
      <c r="Q10367" s="5"/>
      <c r="R10367" s="5"/>
      <c r="S10367" s="5"/>
      <c r="T10367" s="5"/>
      <c r="U10367" s="5"/>
      <c r="V10367" s="5"/>
      <c r="W10367" s="5"/>
      <c r="X10367" s="5"/>
      <c r="Y10367" s="5"/>
      <c r="Z10367" s="5"/>
    </row>
    <row r="10368" spans="1:26" ht="15" x14ac:dyDescent="0.25">
      <c r="A10368" s="4" t="s">
        <v>10366</v>
      </c>
      <c r="B10368" s="4" t="s">
        <v>9011</v>
      </c>
      <c r="C10368" s="2" t="str">
        <f ca="1">IFERROR(__xludf.DUMMYFUNCTION("GOOGLETRANSLATE(A10368,""bn"",""en"")"),"I will be starting a new fitness program in the coming year that will benefit my physical and mental health")</f>
        <v>I will be starting a new fitness program in the coming year that will benefit my physical and mental health</v>
      </c>
      <c r="D10368" s="5"/>
      <c r="E10368" s="5"/>
      <c r="F10368" s="5"/>
      <c r="G10368" s="5"/>
      <c r="H10368" s="5"/>
      <c r="I10368" s="5"/>
      <c r="J10368" s="5"/>
      <c r="K10368" s="5"/>
      <c r="L10368" s="5"/>
      <c r="M10368" s="5"/>
      <c r="N10368" s="5"/>
      <c r="O10368" s="5"/>
      <c r="P10368" s="5"/>
      <c r="Q10368" s="5"/>
      <c r="R10368" s="5"/>
      <c r="S10368" s="5"/>
      <c r="T10368" s="5"/>
      <c r="U10368" s="5"/>
      <c r="V10368" s="5"/>
      <c r="W10368" s="5"/>
      <c r="X10368" s="5"/>
      <c r="Y10368" s="5"/>
      <c r="Z10368" s="5"/>
    </row>
    <row r="10369" spans="1:26" ht="15" x14ac:dyDescent="0.25">
      <c r="A10369" s="4" t="s">
        <v>10367</v>
      </c>
      <c r="B10369" s="4" t="s">
        <v>9011</v>
      </c>
      <c r="C10369" s="2" t="str">
        <f ca="1">IFERROR(__xludf.DUMMYFUNCTION("GOOGLETRANSLATE(A10369,""bn"",""en"")"),"By reading books, people's minds will be filled with beautiful dreams and new joys will be created in their minds")</f>
        <v>By reading books, people's minds will be filled with beautiful dreams and new joys will be created in their minds</v>
      </c>
      <c r="D10369" s="5"/>
      <c r="E10369" s="5"/>
      <c r="F10369" s="5"/>
      <c r="G10369" s="5"/>
      <c r="H10369" s="5"/>
      <c r="I10369" s="5"/>
      <c r="J10369" s="5"/>
      <c r="K10369" s="5"/>
      <c r="L10369" s="5"/>
      <c r="M10369" s="5"/>
      <c r="N10369" s="5"/>
      <c r="O10369" s="5"/>
      <c r="P10369" s="5"/>
      <c r="Q10369" s="5"/>
      <c r="R10369" s="5"/>
      <c r="S10369" s="5"/>
      <c r="T10369" s="5"/>
      <c r="U10369" s="5"/>
      <c r="V10369" s="5"/>
      <c r="W10369" s="5"/>
      <c r="X10369" s="5"/>
      <c r="Y10369" s="5"/>
      <c r="Z10369" s="5"/>
    </row>
    <row r="10370" spans="1:26" ht="15" x14ac:dyDescent="0.25">
      <c r="A10370" s="4" t="s">
        <v>10368</v>
      </c>
      <c r="B10370" s="4" t="s">
        <v>9011</v>
      </c>
      <c r="C10370" s="2" t="str">
        <f ca="1">IFERROR(__xludf.DUMMYFUNCTION("GOOGLETRANSLATE(A10370,""bn"",""en"")"),"She will travel to a new country next month and try to learn about the culture and language")</f>
        <v>She will travel to a new country next month and try to learn about the culture and language</v>
      </c>
      <c r="D10370" s="5"/>
      <c r="E10370" s="5"/>
      <c r="F10370" s="5"/>
      <c r="G10370" s="5"/>
      <c r="H10370" s="5"/>
      <c r="I10370" s="5"/>
      <c r="J10370" s="5"/>
      <c r="K10370" s="5"/>
      <c r="L10370" s="5"/>
      <c r="M10370" s="5"/>
      <c r="N10370" s="5"/>
      <c r="O10370" s="5"/>
      <c r="P10370" s="5"/>
      <c r="Q10370" s="5"/>
      <c r="R10370" s="5"/>
      <c r="S10370" s="5"/>
      <c r="T10370" s="5"/>
      <c r="U10370" s="5"/>
      <c r="V10370" s="5"/>
      <c r="W10370" s="5"/>
      <c r="X10370" s="5"/>
      <c r="Y10370" s="5"/>
      <c r="Z10370" s="5"/>
    </row>
    <row r="10371" spans="1:26" ht="15" x14ac:dyDescent="0.25">
      <c r="A10371" s="4" t="s">
        <v>10369</v>
      </c>
      <c r="B10371" s="4" t="s">
        <v>9011</v>
      </c>
      <c r="C10371" s="2" t="str">
        <f ca="1">IFERROR(__xludf.DUMMYFUNCTION("GOOGLETRANSLATE(A10371,""bn"",""en"")"),"Such an experience will be very valuable in life")</f>
        <v>Such an experience will be very valuable in life</v>
      </c>
      <c r="D10371" s="5"/>
      <c r="E10371" s="5"/>
      <c r="F10371" s="5"/>
      <c r="G10371" s="5"/>
      <c r="H10371" s="5"/>
      <c r="I10371" s="5"/>
      <c r="J10371" s="5"/>
      <c r="K10371" s="5"/>
      <c r="L10371" s="5"/>
      <c r="M10371" s="5"/>
      <c r="N10371" s="5"/>
      <c r="O10371" s="5"/>
      <c r="P10371" s="5"/>
      <c r="Q10371" s="5"/>
      <c r="R10371" s="5"/>
      <c r="S10371" s="5"/>
      <c r="T10371" s="5"/>
      <c r="U10371" s="5"/>
      <c r="V10371" s="5"/>
      <c r="W10371" s="5"/>
      <c r="X10371" s="5"/>
      <c r="Y10371" s="5"/>
      <c r="Z10371" s="5"/>
    </row>
    <row r="10372" spans="1:26" ht="15" x14ac:dyDescent="0.25">
      <c r="A10372" s="4" t="s">
        <v>10370</v>
      </c>
      <c r="B10372" s="4" t="s">
        <v>9011</v>
      </c>
      <c r="C10372" s="2" t="str">
        <f ca="1">IFERROR(__xludf.DUMMYFUNCTION("GOOGLETRANSLATE(A10372,""bn"",""en"")"),"They will collect the materials they need when their project is complete")</f>
        <v>They will collect the materials they need when their project is complete</v>
      </c>
      <c r="D10372" s="5"/>
      <c r="E10372" s="5"/>
      <c r="F10372" s="5"/>
      <c r="G10372" s="5"/>
      <c r="H10372" s="5"/>
      <c r="I10372" s="5"/>
      <c r="J10372" s="5"/>
      <c r="K10372" s="5"/>
      <c r="L10372" s="5"/>
      <c r="M10372" s="5"/>
      <c r="N10372" s="5"/>
      <c r="O10372" s="5"/>
      <c r="P10372" s="5"/>
      <c r="Q10372" s="5"/>
      <c r="R10372" s="5"/>
      <c r="S10372" s="5"/>
      <c r="T10372" s="5"/>
      <c r="U10372" s="5"/>
      <c r="V10372" s="5"/>
      <c r="W10372" s="5"/>
      <c r="X10372" s="5"/>
      <c r="Y10372" s="5"/>
      <c r="Z10372" s="5"/>
    </row>
    <row r="10373" spans="1:26" ht="15" x14ac:dyDescent="0.25">
      <c r="A10373" s="4" t="s">
        <v>10371</v>
      </c>
      <c r="B10373" s="4" t="s">
        <v>9011</v>
      </c>
      <c r="C10373" s="2" t="str">
        <f ca="1">IFERROR(__xludf.DUMMYFUNCTION("GOOGLETRANSLATE(A10373,""bn"",""en"")"),"I will start the journey of fulfilling my dreams from today and I want the love of all of you for the success of the business")</f>
        <v>I will start the journey of fulfilling my dreams from today and I want the love of all of you for the success of the business</v>
      </c>
      <c r="D10373" s="5"/>
      <c r="E10373" s="5"/>
      <c r="F10373" s="5"/>
      <c r="G10373" s="5"/>
      <c r="H10373" s="5"/>
      <c r="I10373" s="5"/>
      <c r="J10373" s="5"/>
      <c r="K10373" s="5"/>
      <c r="L10373" s="5"/>
      <c r="M10373" s="5"/>
      <c r="N10373" s="5"/>
      <c r="O10373" s="5"/>
      <c r="P10373" s="5"/>
      <c r="Q10373" s="5"/>
      <c r="R10373" s="5"/>
      <c r="S10373" s="5"/>
      <c r="T10373" s="5"/>
      <c r="U10373" s="5"/>
      <c r="V10373" s="5"/>
      <c r="W10373" s="5"/>
      <c r="X10373" s="5"/>
      <c r="Y10373" s="5"/>
      <c r="Z10373" s="5"/>
    </row>
    <row r="10374" spans="1:26" ht="15" x14ac:dyDescent="0.25">
      <c r="A10374" s="4" t="s">
        <v>10372</v>
      </c>
      <c r="B10374" s="4" t="s">
        <v>9011</v>
      </c>
      <c r="C10374" s="2" t="str">
        <f ca="1">IFERROR(__xludf.DUMMYFUNCTION("GOOGLETRANSLATE(A10374,""bn"",""en"")"),"Chats that start with foreign stories don't end even after nightfall")</f>
        <v>Chats that start with foreign stories don't end even after nightfall</v>
      </c>
      <c r="D10374" s="5"/>
      <c r="E10374" s="5"/>
      <c r="F10374" s="5"/>
      <c r="G10374" s="5"/>
      <c r="H10374" s="5"/>
      <c r="I10374" s="5"/>
      <c r="J10374" s="5"/>
      <c r="K10374" s="5"/>
      <c r="L10374" s="5"/>
      <c r="M10374" s="5"/>
      <c r="N10374" s="5"/>
      <c r="O10374" s="5"/>
      <c r="P10374" s="5"/>
      <c r="Q10374" s="5"/>
      <c r="R10374" s="5"/>
      <c r="S10374" s="5"/>
      <c r="T10374" s="5"/>
      <c r="U10374" s="5"/>
      <c r="V10374" s="5"/>
      <c r="W10374" s="5"/>
      <c r="X10374" s="5"/>
      <c r="Y10374" s="5"/>
      <c r="Z10374" s="5"/>
    </row>
    <row r="10375" spans="1:26" ht="15" x14ac:dyDescent="0.25">
      <c r="A10375" s="4" t="s">
        <v>10373</v>
      </c>
      <c r="B10375" s="4" t="s">
        <v>9011</v>
      </c>
      <c r="C10375" s="2" t="str">
        <f ca="1">IFERROR(__xludf.DUMMYFUNCTION("GOOGLETRANSLATE(A10375,""bn"",""en"")"),"In the new year we will renovate the house to make it more comfortable")</f>
        <v>In the new year we will renovate the house to make it more comfortable</v>
      </c>
      <c r="D10375" s="5"/>
      <c r="E10375" s="5"/>
      <c r="F10375" s="5"/>
      <c r="G10375" s="5"/>
      <c r="H10375" s="5"/>
      <c r="I10375" s="5"/>
      <c r="J10375" s="5"/>
      <c r="K10375" s="5"/>
      <c r="L10375" s="5"/>
      <c r="M10375" s="5"/>
      <c r="N10375" s="5"/>
      <c r="O10375" s="5"/>
      <c r="P10375" s="5"/>
      <c r="Q10375" s="5"/>
      <c r="R10375" s="5"/>
      <c r="S10375" s="5"/>
      <c r="T10375" s="5"/>
      <c r="U10375" s="5"/>
      <c r="V10375" s="5"/>
      <c r="W10375" s="5"/>
      <c r="X10375" s="5"/>
      <c r="Y10375" s="5"/>
      <c r="Z10375" s="5"/>
    </row>
    <row r="10376" spans="1:26" ht="15" x14ac:dyDescent="0.25">
      <c r="A10376" s="4" t="s">
        <v>10374</v>
      </c>
      <c r="B10376" s="4" t="s">
        <v>9011</v>
      </c>
      <c r="C10376" s="2" t="str">
        <f ca="1">IFERROR(__xludf.DUMMYFUNCTION("GOOGLETRANSLATE(A10376,""bn"",""en"")"),"In the next month I will visit almost every country in the world")</f>
        <v>In the next month I will visit almost every country in the world</v>
      </c>
      <c r="D10376" s="5"/>
      <c r="E10376" s="5"/>
      <c r="F10376" s="5"/>
      <c r="G10376" s="5"/>
      <c r="H10376" s="5"/>
      <c r="I10376" s="5"/>
      <c r="J10376" s="5"/>
      <c r="K10376" s="5"/>
      <c r="L10376" s="5"/>
      <c r="M10376" s="5"/>
      <c r="N10376" s="5"/>
      <c r="O10376" s="5"/>
      <c r="P10376" s="5"/>
      <c r="Q10376" s="5"/>
      <c r="R10376" s="5"/>
      <c r="S10376" s="5"/>
      <c r="T10376" s="5"/>
      <c r="U10376" s="5"/>
      <c r="V10376" s="5"/>
      <c r="W10376" s="5"/>
      <c r="X10376" s="5"/>
      <c r="Y10376" s="5"/>
      <c r="Z10376" s="5"/>
    </row>
    <row r="10377" spans="1:26" ht="15" x14ac:dyDescent="0.25">
      <c r="A10377" s="4" t="s">
        <v>10375</v>
      </c>
      <c r="B10377" s="4" t="s">
        <v>9011</v>
      </c>
      <c r="C10377" s="2" t="str">
        <f ca="1">IFERROR(__xludf.DUMMYFUNCTION("GOOGLETRANSLATE(A10377,""bn"",""en"")"),"The first cinema hall experience will be unforgettable as the lights roar on the big screen")</f>
        <v>The first cinema hall experience will be unforgettable as the lights roar on the big screen</v>
      </c>
      <c r="D10377" s="5"/>
      <c r="E10377" s="5"/>
      <c r="F10377" s="5"/>
      <c r="G10377" s="5"/>
      <c r="H10377" s="5"/>
      <c r="I10377" s="5"/>
      <c r="J10377" s="5"/>
      <c r="K10377" s="5"/>
      <c r="L10377" s="5"/>
      <c r="M10377" s="5"/>
      <c r="N10377" s="5"/>
      <c r="O10377" s="5"/>
      <c r="P10377" s="5"/>
      <c r="Q10377" s="5"/>
      <c r="R10377" s="5"/>
      <c r="S10377" s="5"/>
      <c r="T10377" s="5"/>
      <c r="U10377" s="5"/>
      <c r="V10377" s="5"/>
      <c r="W10377" s="5"/>
      <c r="X10377" s="5"/>
      <c r="Y10377" s="5"/>
      <c r="Z10377" s="5"/>
    </row>
    <row r="10378" spans="1:26" ht="15" x14ac:dyDescent="0.25">
      <c r="A10378" s="4" t="s">
        <v>10376</v>
      </c>
      <c r="B10378" s="4" t="s">
        <v>9011</v>
      </c>
      <c r="C10378" s="2" t="str">
        <f ca="1">IFERROR(__xludf.DUMMYFUNCTION("GOOGLETRANSLATE(A10378,""bn"",""en"")"),"New wheat rice patali fish chachadi will be the best pairing for winter mornings")</f>
        <v>New wheat rice patali fish chachadi will be the best pairing for winter mornings</v>
      </c>
      <c r="D10378" s="5"/>
      <c r="E10378" s="5"/>
      <c r="F10378" s="5"/>
      <c r="G10378" s="5"/>
      <c r="H10378" s="5"/>
      <c r="I10378" s="5"/>
      <c r="J10378" s="5"/>
      <c r="K10378" s="5"/>
      <c r="L10378" s="5"/>
      <c r="M10378" s="5"/>
      <c r="N10378" s="5"/>
      <c r="O10378" s="5"/>
      <c r="P10378" s="5"/>
      <c r="Q10378" s="5"/>
      <c r="R10378" s="5"/>
      <c r="S10378" s="5"/>
      <c r="T10378" s="5"/>
      <c r="U10378" s="5"/>
      <c r="V10378" s="5"/>
      <c r="W10378" s="5"/>
      <c r="X10378" s="5"/>
      <c r="Y10378" s="5"/>
      <c r="Z10378" s="5"/>
    </row>
    <row r="10379" spans="1:26" ht="15" x14ac:dyDescent="0.25">
      <c r="A10379" s="4" t="s">
        <v>10377</v>
      </c>
      <c r="B10379" s="4" t="s">
        <v>9011</v>
      </c>
      <c r="C10379" s="2" t="str">
        <f ca="1">IFERROR(__xludf.DUMMYFUNCTION("GOOGLETRANSLATE(A10379,""bn"",""en"")"),"My brothers will be independent now")</f>
        <v>My brothers will be independent now</v>
      </c>
      <c r="D10379" s="5"/>
      <c r="E10379" s="5"/>
      <c r="F10379" s="5"/>
      <c r="G10379" s="5"/>
      <c r="H10379" s="5"/>
      <c r="I10379" s="5"/>
      <c r="J10379" s="5"/>
      <c r="K10379" s="5"/>
      <c r="L10379" s="5"/>
      <c r="M10379" s="5"/>
      <c r="N10379" s="5"/>
      <c r="O10379" s="5"/>
      <c r="P10379" s="5"/>
      <c r="Q10379" s="5"/>
      <c r="R10379" s="5"/>
      <c r="S10379" s="5"/>
      <c r="T10379" s="5"/>
      <c r="U10379" s="5"/>
      <c r="V10379" s="5"/>
      <c r="W10379" s="5"/>
      <c r="X10379" s="5"/>
      <c r="Y10379" s="5"/>
      <c r="Z10379" s="5"/>
    </row>
    <row r="10380" spans="1:26" ht="15" x14ac:dyDescent="0.25">
      <c r="A10380" s="4" t="s">
        <v>10378</v>
      </c>
      <c r="B10380" s="4" t="s">
        <v>9011</v>
      </c>
      <c r="C10380" s="2" t="str">
        <f ca="1">IFERROR(__xludf.DUMMYFUNCTION("GOOGLETRANSLATE(A10380,""bn"",""en"")"),"Life will be so beautiful you never thought it would be, little gem")</f>
        <v>Life will be so beautiful you never thought it would be, little gem</v>
      </c>
      <c r="D10380" s="5"/>
      <c r="E10380" s="5"/>
      <c r="F10380" s="5"/>
      <c r="G10380" s="5"/>
      <c r="H10380" s="5"/>
      <c r="I10380" s="5"/>
      <c r="J10380" s="5"/>
      <c r="K10380" s="5"/>
      <c r="L10380" s="5"/>
      <c r="M10380" s="5"/>
      <c r="N10380" s="5"/>
      <c r="O10380" s="5"/>
      <c r="P10380" s="5"/>
      <c r="Q10380" s="5"/>
      <c r="R10380" s="5"/>
      <c r="S10380" s="5"/>
      <c r="T10380" s="5"/>
      <c r="U10380" s="5"/>
      <c r="V10380" s="5"/>
      <c r="W10380" s="5"/>
      <c r="X10380" s="5"/>
      <c r="Y10380" s="5"/>
      <c r="Z10380" s="5"/>
    </row>
    <row r="10381" spans="1:26" ht="15" x14ac:dyDescent="0.25">
      <c r="A10381" s="4" t="s">
        <v>10379</v>
      </c>
      <c r="B10381" s="4" t="s">
        <v>9011</v>
      </c>
      <c r="C10381" s="2" t="str">
        <f ca="1">IFERROR(__xludf.DUMMYFUNCTION("GOOGLETRANSLATE(A10381,""bn"",""en"")"),"The camera captures the perfect picture or the moment you like")</f>
        <v>The camera captures the perfect picture or the moment you like</v>
      </c>
      <c r="D10381" s="5"/>
      <c r="E10381" s="5"/>
      <c r="F10381" s="5"/>
      <c r="G10381" s="5"/>
      <c r="H10381" s="5"/>
      <c r="I10381" s="5"/>
      <c r="J10381" s="5"/>
      <c r="K10381" s="5"/>
      <c r="L10381" s="5"/>
      <c r="M10381" s="5"/>
      <c r="N10381" s="5"/>
      <c r="O10381" s="5"/>
      <c r="P10381" s="5"/>
      <c r="Q10381" s="5"/>
      <c r="R10381" s="5"/>
      <c r="S10381" s="5"/>
      <c r="T10381" s="5"/>
      <c r="U10381" s="5"/>
      <c r="V10381" s="5"/>
      <c r="W10381" s="5"/>
      <c r="X10381" s="5"/>
      <c r="Y10381" s="5"/>
      <c r="Z10381" s="5"/>
    </row>
    <row r="10382" spans="1:26" ht="15" x14ac:dyDescent="0.25">
      <c r="A10382" s="4" t="s">
        <v>10380</v>
      </c>
      <c r="B10382" s="4" t="s">
        <v>9011</v>
      </c>
      <c r="C10382" s="2" t="str">
        <f ca="1">IFERROR(__xludf.DUMMYFUNCTION("GOOGLETRANSLATE(A10382,""bn"",""en"")"),"At the end of the prayer, the mind will be calm in a different way")</f>
        <v>At the end of the prayer, the mind will be calm in a different way</v>
      </c>
      <c r="D10382" s="5"/>
      <c r="E10382" s="5"/>
      <c r="F10382" s="5"/>
      <c r="G10382" s="5"/>
      <c r="H10382" s="5"/>
      <c r="I10382" s="5"/>
      <c r="J10382" s="5"/>
      <c r="K10382" s="5"/>
      <c r="L10382" s="5"/>
      <c r="M10382" s="5"/>
      <c r="N10382" s="5"/>
      <c r="O10382" s="5"/>
      <c r="P10382" s="5"/>
      <c r="Q10382" s="5"/>
      <c r="R10382" s="5"/>
      <c r="S10382" s="5"/>
      <c r="T10382" s="5"/>
      <c r="U10382" s="5"/>
      <c r="V10382" s="5"/>
      <c r="W10382" s="5"/>
      <c r="X10382" s="5"/>
      <c r="Y10382" s="5"/>
      <c r="Z10382" s="5"/>
    </row>
    <row r="10383" spans="1:26" ht="15" x14ac:dyDescent="0.25">
      <c r="A10383" s="4" t="s">
        <v>10381</v>
      </c>
      <c r="B10383" s="4" t="s">
        <v>9011</v>
      </c>
      <c r="C10383" s="2" t="str">
        <f ca="1">IFERROR(__xludf.DUMMYFUNCTION("GOOGLETRANSLATE(A10383,""bn"",""en"")"),"He will complete these tasks in due course when he completes his training")</f>
        <v>He will complete these tasks in due course when he completes his training</v>
      </c>
      <c r="D10383" s="5"/>
      <c r="E10383" s="5"/>
      <c r="F10383" s="5"/>
      <c r="G10383" s="5"/>
      <c r="H10383" s="5"/>
      <c r="I10383" s="5"/>
      <c r="J10383" s="5"/>
      <c r="K10383" s="5"/>
      <c r="L10383" s="5"/>
      <c r="M10383" s="5"/>
      <c r="N10383" s="5"/>
      <c r="O10383" s="5"/>
      <c r="P10383" s="5"/>
      <c r="Q10383" s="5"/>
      <c r="R10383" s="5"/>
      <c r="S10383" s="5"/>
      <c r="T10383" s="5"/>
      <c r="U10383" s="5"/>
      <c r="V10383" s="5"/>
      <c r="W10383" s="5"/>
      <c r="X10383" s="5"/>
      <c r="Y10383" s="5"/>
      <c r="Z10383" s="5"/>
    </row>
    <row r="10384" spans="1:26" ht="15" x14ac:dyDescent="0.25">
      <c r="A10384" s="4" t="s">
        <v>10382</v>
      </c>
      <c r="B10384" s="4" t="s">
        <v>9011</v>
      </c>
      <c r="C10384" s="2" t="str">
        <f ca="1">IFERROR(__xludf.DUMMYFUNCTION("GOOGLETRANSLATE(A10384,""bn"",""en"")"),"They will download new mobile games tomorrow")</f>
        <v>They will download new mobile games tomorrow</v>
      </c>
      <c r="D10384" s="5"/>
      <c r="E10384" s="5"/>
      <c r="F10384" s="5"/>
      <c r="G10384" s="5"/>
      <c r="H10384" s="5"/>
      <c r="I10384" s="5"/>
      <c r="J10384" s="5"/>
      <c r="K10384" s="5"/>
      <c r="L10384" s="5"/>
      <c r="M10384" s="5"/>
      <c r="N10384" s="5"/>
      <c r="O10384" s="5"/>
      <c r="P10384" s="5"/>
      <c r="Q10384" s="5"/>
      <c r="R10384" s="5"/>
      <c r="S10384" s="5"/>
      <c r="T10384" s="5"/>
      <c r="U10384" s="5"/>
      <c r="V10384" s="5"/>
      <c r="W10384" s="5"/>
      <c r="X10384" s="5"/>
      <c r="Y10384" s="5"/>
      <c r="Z10384" s="5"/>
    </row>
    <row r="10385" spans="1:26" ht="15" x14ac:dyDescent="0.25">
      <c r="A10385" s="4" t="s">
        <v>10383</v>
      </c>
      <c r="B10385" s="4" t="s">
        <v>9011</v>
      </c>
      <c r="C10385" s="2" t="str">
        <f ca="1">IFERROR(__xludf.DUMMYFUNCTION("GOOGLETRANSLATE(A10385,""bn"",""en"")"),"Tomorrow's session will have some beautiful moments")</f>
        <v>Tomorrow's session will have some beautiful moments</v>
      </c>
      <c r="D10385" s="5"/>
      <c r="E10385" s="5"/>
      <c r="F10385" s="5"/>
      <c r="G10385" s="5"/>
      <c r="H10385" s="5"/>
      <c r="I10385" s="5"/>
      <c r="J10385" s="5"/>
      <c r="K10385" s="5"/>
      <c r="L10385" s="5"/>
      <c r="M10385" s="5"/>
      <c r="N10385" s="5"/>
      <c r="O10385" s="5"/>
      <c r="P10385" s="5"/>
      <c r="Q10385" s="5"/>
      <c r="R10385" s="5"/>
      <c r="S10385" s="5"/>
      <c r="T10385" s="5"/>
      <c r="U10385" s="5"/>
      <c r="V10385" s="5"/>
      <c r="W10385" s="5"/>
      <c r="X10385" s="5"/>
      <c r="Y10385" s="5"/>
      <c r="Z10385" s="5"/>
    </row>
    <row r="10386" spans="1:26" ht="15" x14ac:dyDescent="0.25">
      <c r="A10386" s="4" t="s">
        <v>10384</v>
      </c>
      <c r="B10386" s="4" t="s">
        <v>9011</v>
      </c>
      <c r="C10386" s="2" t="str">
        <f ca="1">IFERROR(__xludf.DUMMYFUNCTION("GOOGLETRANSLATE(A10386,""bn"",""en"")"),"The excellent acting skills of Korean actors and actresses will get into the characters in such a way that it seems as if the story is really happening")</f>
        <v>The excellent acting skills of Korean actors and actresses will get into the characters in such a way that it seems as if the story is really happening</v>
      </c>
      <c r="D10386" s="5"/>
      <c r="E10386" s="5"/>
      <c r="F10386" s="5"/>
      <c r="G10386" s="5"/>
      <c r="H10386" s="5"/>
      <c r="I10386" s="5"/>
      <c r="J10386" s="5"/>
      <c r="K10386" s="5"/>
      <c r="L10386" s="5"/>
      <c r="M10386" s="5"/>
      <c r="N10386" s="5"/>
      <c r="O10386" s="5"/>
      <c r="P10386" s="5"/>
      <c r="Q10386" s="5"/>
      <c r="R10386" s="5"/>
      <c r="S10386" s="5"/>
      <c r="T10386" s="5"/>
      <c r="U10386" s="5"/>
      <c r="V10386" s="5"/>
      <c r="W10386" s="5"/>
      <c r="X10386" s="5"/>
      <c r="Y10386" s="5"/>
      <c r="Z10386" s="5"/>
    </row>
    <row r="10387" spans="1:26" ht="15" x14ac:dyDescent="0.25">
      <c r="A10387" s="4" t="s">
        <v>9687</v>
      </c>
      <c r="B10387" s="4" t="s">
        <v>9011</v>
      </c>
      <c r="C10387" s="2" t="str">
        <f ca="1">IFERROR(__xludf.DUMMYFUNCTION("GOOGLETRANSLATE(A10387,""bn"",""en"")"),"Next month I will start learning a new language so I can travel abroad")</f>
        <v>Next month I will start learning a new language so I can travel abroad</v>
      </c>
      <c r="D10387" s="5"/>
      <c r="E10387" s="5"/>
      <c r="F10387" s="5"/>
      <c r="G10387" s="5"/>
      <c r="H10387" s="5"/>
      <c r="I10387" s="5"/>
      <c r="J10387" s="5"/>
      <c r="K10387" s="5"/>
      <c r="L10387" s="5"/>
      <c r="M10387" s="5"/>
      <c r="N10387" s="5"/>
      <c r="O10387" s="5"/>
      <c r="P10387" s="5"/>
      <c r="Q10387" s="5"/>
      <c r="R10387" s="5"/>
      <c r="S10387" s="5"/>
      <c r="T10387" s="5"/>
      <c r="U10387" s="5"/>
      <c r="V10387" s="5"/>
      <c r="W10387" s="5"/>
      <c r="X10387" s="5"/>
      <c r="Y10387" s="5"/>
      <c r="Z10387" s="5"/>
    </row>
    <row r="10388" spans="1:26" ht="15" x14ac:dyDescent="0.25">
      <c r="A10388" s="4" t="s">
        <v>10385</v>
      </c>
      <c r="B10388" s="4" t="s">
        <v>9011</v>
      </c>
      <c r="C10388" s="2" t="str">
        <f ca="1">IFERROR(__xludf.DUMMYFUNCTION("GOOGLETRANSLATE(A10388,""bn"",""en"")"),"I will have a little cat I will laugh with I will play I will find peace and contentment It will always be with me")</f>
        <v>I will have a little cat I will laugh with I will play I will find peace and contentment It will always be with me</v>
      </c>
      <c r="D10388" s="5"/>
      <c r="E10388" s="5"/>
      <c r="F10388" s="5"/>
      <c r="G10388" s="5"/>
      <c r="H10388" s="5"/>
      <c r="I10388" s="5"/>
      <c r="J10388" s="5"/>
      <c r="K10388" s="5"/>
      <c r="L10388" s="5"/>
      <c r="M10388" s="5"/>
      <c r="N10388" s="5"/>
      <c r="O10388" s="5"/>
      <c r="P10388" s="5"/>
      <c r="Q10388" s="5"/>
      <c r="R10388" s="5"/>
      <c r="S10388" s="5"/>
      <c r="T10388" s="5"/>
      <c r="U10388" s="5"/>
      <c r="V10388" s="5"/>
      <c r="W10388" s="5"/>
      <c r="X10388" s="5"/>
      <c r="Y10388" s="5"/>
      <c r="Z10388" s="5"/>
    </row>
    <row r="10389" spans="1:26" ht="15" x14ac:dyDescent="0.25">
      <c r="A10389" s="4" t="s">
        <v>10386</v>
      </c>
      <c r="B10389" s="4" t="s">
        <v>9011</v>
      </c>
      <c r="C10389" s="2" t="str">
        <f ca="1">IFERROR(__xludf.DUMMYFUNCTION("GOOGLETRANSLATE(A10389,""bn"",""en"")"),"I really forget all thoughts during football matches")</f>
        <v>I really forget all thoughts during football matches</v>
      </c>
      <c r="D10389" s="5"/>
      <c r="E10389" s="5"/>
      <c r="F10389" s="5"/>
      <c r="G10389" s="5"/>
      <c r="H10389" s="5"/>
      <c r="I10389" s="5"/>
      <c r="J10389" s="5"/>
      <c r="K10389" s="5"/>
      <c r="L10389" s="5"/>
      <c r="M10389" s="5"/>
      <c r="N10389" s="5"/>
      <c r="O10389" s="5"/>
      <c r="P10389" s="5"/>
      <c r="Q10389" s="5"/>
      <c r="R10389" s="5"/>
      <c r="S10389" s="5"/>
      <c r="T10389" s="5"/>
      <c r="U10389" s="5"/>
      <c r="V10389" s="5"/>
      <c r="W10389" s="5"/>
      <c r="X10389" s="5"/>
      <c r="Y10389" s="5"/>
      <c r="Z10389" s="5"/>
    </row>
    <row r="10390" spans="1:26" ht="15" x14ac:dyDescent="0.25">
      <c r="A10390" s="4" t="s">
        <v>10387</v>
      </c>
      <c r="B10390" s="4" t="s">
        <v>9011</v>
      </c>
      <c r="C10390" s="2" t="str">
        <f ca="1">IFERROR(__xludf.DUMMYFUNCTION("GOOGLETRANSLATE(A10390,""bn"",""en"")"),"Gonna have a tough time but tomorrow will be fine thanks for all the encouragement")</f>
        <v>Gonna have a tough time but tomorrow will be fine thanks for all the encouragement</v>
      </c>
      <c r="D10390" s="5"/>
      <c r="E10390" s="5"/>
      <c r="F10390" s="5"/>
      <c r="G10390" s="5"/>
      <c r="H10390" s="5"/>
      <c r="I10390" s="5"/>
      <c r="J10390" s="5"/>
      <c r="K10390" s="5"/>
      <c r="L10390" s="5"/>
      <c r="M10390" s="5"/>
      <c r="N10390" s="5"/>
      <c r="O10390" s="5"/>
      <c r="P10390" s="5"/>
      <c r="Q10390" s="5"/>
      <c r="R10390" s="5"/>
      <c r="S10390" s="5"/>
      <c r="T10390" s="5"/>
      <c r="U10390" s="5"/>
      <c r="V10390" s="5"/>
      <c r="W10390" s="5"/>
      <c r="X10390" s="5"/>
      <c r="Y10390" s="5"/>
      <c r="Z10390" s="5"/>
    </row>
    <row r="10391" spans="1:26" ht="15" x14ac:dyDescent="0.25">
      <c r="A10391" s="4" t="s">
        <v>10388</v>
      </c>
      <c r="B10391" s="4" t="s">
        <v>9011</v>
      </c>
      <c r="C10391" s="2" t="str">
        <f ca="1">IFERROR(__xludf.DUMMYFUNCTION("GOOGLETRANSLATE(A10391,""bn"",""en"")"),"Will you come with me on my special day?")</f>
        <v>Will you come with me on my special day?</v>
      </c>
      <c r="D10391" s="5"/>
      <c r="E10391" s="5"/>
      <c r="F10391" s="5"/>
      <c r="G10391" s="5"/>
      <c r="H10391" s="5"/>
      <c r="I10391" s="5"/>
      <c r="J10391" s="5"/>
      <c r="K10391" s="5"/>
      <c r="L10391" s="5"/>
      <c r="M10391" s="5"/>
      <c r="N10391" s="5"/>
      <c r="O10391" s="5"/>
      <c r="P10391" s="5"/>
      <c r="Q10391" s="5"/>
      <c r="R10391" s="5"/>
      <c r="S10391" s="5"/>
      <c r="T10391" s="5"/>
      <c r="U10391" s="5"/>
      <c r="V10391" s="5"/>
      <c r="W10391" s="5"/>
      <c r="X10391" s="5"/>
      <c r="Y10391" s="5"/>
      <c r="Z10391" s="5"/>
    </row>
    <row r="10392" spans="1:26" ht="15" x14ac:dyDescent="0.25">
      <c r="A10392" s="4" t="s">
        <v>10389</v>
      </c>
      <c r="B10392" s="4" t="s">
        <v>9011</v>
      </c>
      <c r="C10392" s="2" t="str">
        <f ca="1">IFERROR(__xludf.DUMMYFUNCTION("GOOGLETRANSLATE(A10392,""bn"",""en"")"),"My sister, today you will be the queen of new life, always be happy and sometimes remember your little sister")</f>
        <v>My sister, today you will be the queen of new life, always be happy and sometimes remember your little sister</v>
      </c>
      <c r="D10392" s="5"/>
      <c r="E10392" s="5"/>
      <c r="F10392" s="5"/>
      <c r="G10392" s="5"/>
      <c r="H10392" s="5"/>
      <c r="I10392" s="5"/>
      <c r="J10392" s="5"/>
      <c r="K10392" s="5"/>
      <c r="L10392" s="5"/>
      <c r="M10392" s="5"/>
      <c r="N10392" s="5"/>
      <c r="O10392" s="5"/>
      <c r="P10392" s="5"/>
      <c r="Q10392" s="5"/>
      <c r="R10392" s="5"/>
      <c r="S10392" s="5"/>
      <c r="T10392" s="5"/>
      <c r="U10392" s="5"/>
      <c r="V10392" s="5"/>
      <c r="W10392" s="5"/>
      <c r="X10392" s="5"/>
      <c r="Y10392" s="5"/>
      <c r="Z10392" s="5"/>
    </row>
    <row r="10393" spans="1:26" ht="15" x14ac:dyDescent="0.25">
      <c r="A10393" s="4" t="s">
        <v>10390</v>
      </c>
      <c r="B10393" s="4" t="s">
        <v>9011</v>
      </c>
      <c r="C10393" s="2" t="str">
        <f ca="1">IFERROR(__xludf.DUMMYFUNCTION("GOOGLETRANSLATE(A10393,""bn"",""en"")"),"Being with friendship will be an immense experience of my life")</f>
        <v>Being with friendship will be an immense experience of my life</v>
      </c>
      <c r="D10393" s="5"/>
      <c r="E10393" s="5"/>
      <c r="F10393" s="5"/>
      <c r="G10393" s="5"/>
      <c r="H10393" s="5"/>
      <c r="I10393" s="5"/>
      <c r="J10393" s="5"/>
      <c r="K10393" s="5"/>
      <c r="L10393" s="5"/>
      <c r="M10393" s="5"/>
      <c r="N10393" s="5"/>
      <c r="O10393" s="5"/>
      <c r="P10393" s="5"/>
      <c r="Q10393" s="5"/>
      <c r="R10393" s="5"/>
      <c r="S10393" s="5"/>
      <c r="T10393" s="5"/>
      <c r="U10393" s="5"/>
      <c r="V10393" s="5"/>
      <c r="W10393" s="5"/>
      <c r="X10393" s="5"/>
      <c r="Y10393" s="5"/>
      <c r="Z10393" s="5"/>
    </row>
    <row r="10394" spans="1:26" ht="15" x14ac:dyDescent="0.25">
      <c r="A10394" s="4" t="s">
        <v>10391</v>
      </c>
      <c r="B10394" s="4" t="s">
        <v>9011</v>
      </c>
      <c r="C10394" s="2" t="str">
        <f ca="1">IFERROR(__xludf.DUMMYFUNCTION("GOOGLETRANSLATE(A10394,""bn"",""en"")"),"They will attend a special technology exhibition tomorrow where they will showcase their new invention")</f>
        <v>They will attend a special technology exhibition tomorrow where they will showcase their new invention</v>
      </c>
      <c r="D10394" s="5"/>
      <c r="E10394" s="5"/>
      <c r="F10394" s="5"/>
      <c r="G10394" s="5"/>
      <c r="H10394" s="5"/>
      <c r="I10394" s="5"/>
      <c r="J10394" s="5"/>
      <c r="K10394" s="5"/>
      <c r="L10394" s="5"/>
      <c r="M10394" s="5"/>
      <c r="N10394" s="5"/>
      <c r="O10394" s="5"/>
      <c r="P10394" s="5"/>
      <c r="Q10394" s="5"/>
      <c r="R10394" s="5"/>
      <c r="S10394" s="5"/>
      <c r="T10394" s="5"/>
      <c r="U10394" s="5"/>
      <c r="V10394" s="5"/>
      <c r="W10394" s="5"/>
      <c r="X10394" s="5"/>
      <c r="Y10394" s="5"/>
      <c r="Z10394" s="5"/>
    </row>
    <row r="10395" spans="1:26" ht="15" x14ac:dyDescent="0.25">
      <c r="A10395" s="4" t="s">
        <v>10392</v>
      </c>
      <c r="B10395" s="4" t="s">
        <v>9011</v>
      </c>
      <c r="C10395" s="2" t="str">
        <f ca="1">IFERROR(__xludf.DUMMYFUNCTION("GOOGLETRANSLATE(A10395,""bn"",""en"")"),"They will continue to work on each of our technologies")</f>
        <v>They will continue to work on each of our technologies</v>
      </c>
      <c r="D10395" s="5"/>
      <c r="E10395" s="5"/>
      <c r="F10395" s="5"/>
      <c r="G10395" s="5"/>
      <c r="H10395" s="5"/>
      <c r="I10395" s="5"/>
      <c r="J10395" s="5"/>
      <c r="K10395" s="5"/>
      <c r="L10395" s="5"/>
      <c r="M10395" s="5"/>
      <c r="N10395" s="5"/>
      <c r="O10395" s="5"/>
      <c r="P10395" s="5"/>
      <c r="Q10395" s="5"/>
      <c r="R10395" s="5"/>
      <c r="S10395" s="5"/>
      <c r="T10395" s="5"/>
      <c r="U10395" s="5"/>
      <c r="V10395" s="5"/>
      <c r="W10395" s="5"/>
      <c r="X10395" s="5"/>
      <c r="Y10395" s="5"/>
      <c r="Z10395" s="5"/>
    </row>
    <row r="10396" spans="1:26" ht="15" x14ac:dyDescent="0.25">
      <c r="A10396" s="4" t="s">
        <v>10393</v>
      </c>
      <c r="B10396" s="4" t="s">
        <v>9011</v>
      </c>
      <c r="C10396" s="2" t="str">
        <f ca="1">IFERROR(__xludf.DUMMYFUNCTION("GOOGLETRANSLATE(A10396,""bn"",""en"")"),"I'll sleep until I don't feel hot anymore")</f>
        <v>I'll sleep until I don't feel hot anymore</v>
      </c>
      <c r="D10396" s="5"/>
      <c r="E10396" s="5"/>
      <c r="F10396" s="5"/>
      <c r="G10396" s="5"/>
      <c r="H10396" s="5"/>
      <c r="I10396" s="5"/>
      <c r="J10396" s="5"/>
      <c r="K10396" s="5"/>
      <c r="L10396" s="5"/>
      <c r="M10396" s="5"/>
      <c r="N10396" s="5"/>
      <c r="O10396" s="5"/>
      <c r="P10396" s="5"/>
      <c r="Q10396" s="5"/>
      <c r="R10396" s="5"/>
      <c r="S10396" s="5"/>
      <c r="T10396" s="5"/>
      <c r="U10396" s="5"/>
      <c r="V10396" s="5"/>
      <c r="W10396" s="5"/>
      <c r="X10396" s="5"/>
      <c r="Y10396" s="5"/>
      <c r="Z10396" s="5"/>
    </row>
    <row r="10397" spans="1:26" ht="15" x14ac:dyDescent="0.25">
      <c r="A10397" s="4" t="s">
        <v>10394</v>
      </c>
      <c r="B10397" s="4" t="s">
        <v>9011</v>
      </c>
      <c r="C10397" s="2" t="str">
        <f ca="1">IFERROR(__xludf.DUMMYFUNCTION("GOOGLETRANSLATE(A10397,""bn"",""en"")"),"I will sing old songs in the light of the sunset, the memories of the past and the beauty of the evening will be a sweet moment")</f>
        <v>I will sing old songs in the light of the sunset, the memories of the past and the beauty of the evening will be a sweet moment</v>
      </c>
      <c r="D10397" s="5"/>
      <c r="E10397" s="5"/>
      <c r="F10397" s="5"/>
      <c r="G10397" s="5"/>
      <c r="H10397" s="5"/>
      <c r="I10397" s="5"/>
      <c r="J10397" s="5"/>
      <c r="K10397" s="5"/>
      <c r="L10397" s="5"/>
      <c r="M10397" s="5"/>
      <c r="N10397" s="5"/>
      <c r="O10397" s="5"/>
      <c r="P10397" s="5"/>
      <c r="Q10397" s="5"/>
      <c r="R10397" s="5"/>
      <c r="S10397" s="5"/>
      <c r="T10397" s="5"/>
      <c r="U10397" s="5"/>
      <c r="V10397" s="5"/>
      <c r="W10397" s="5"/>
      <c r="X10397" s="5"/>
      <c r="Y10397" s="5"/>
      <c r="Z10397" s="5"/>
    </row>
    <row r="10398" spans="1:26" ht="15" x14ac:dyDescent="0.25">
      <c r="A10398" s="4" t="s">
        <v>10395</v>
      </c>
      <c r="B10398" s="4" t="s">
        <v>9011</v>
      </c>
      <c r="C10398" s="2" t="str">
        <f ca="1">IFERROR(__xludf.DUMMYFUNCTION("GOOGLETRANSLATE(A10398,""bn"",""en"")"),"He will be working on a big project next year with advanced technology")</f>
        <v>He will be working on a big project next year with advanced technology</v>
      </c>
      <c r="D10398" s="5"/>
      <c r="E10398" s="5"/>
      <c r="F10398" s="5"/>
      <c r="G10398" s="5"/>
      <c r="H10398" s="5"/>
      <c r="I10398" s="5"/>
      <c r="J10398" s="5"/>
      <c r="K10398" s="5"/>
      <c r="L10398" s="5"/>
      <c r="M10398" s="5"/>
      <c r="N10398" s="5"/>
      <c r="O10398" s="5"/>
      <c r="P10398" s="5"/>
      <c r="Q10398" s="5"/>
      <c r="R10398" s="5"/>
      <c r="S10398" s="5"/>
      <c r="T10398" s="5"/>
      <c r="U10398" s="5"/>
      <c r="V10398" s="5"/>
      <c r="W10398" s="5"/>
      <c r="X10398" s="5"/>
      <c r="Y10398" s="5"/>
      <c r="Z10398" s="5"/>
    </row>
    <row r="10399" spans="1:26" ht="15" x14ac:dyDescent="0.25">
      <c r="A10399" s="4" t="s">
        <v>10396</v>
      </c>
      <c r="B10399" s="4" t="s">
        <v>9011</v>
      </c>
      <c r="C10399" s="2" t="str">
        <f ca="1">IFERROR(__xludf.DUMMYFUNCTION("GOOGLETRANSLATE(A10399,""bn"",""en"")"),"I will start a research on advanced medical equipment tomorrow")</f>
        <v>I will start a research on advanced medical equipment tomorrow</v>
      </c>
      <c r="D10399" s="5"/>
      <c r="E10399" s="5"/>
      <c r="F10399" s="5"/>
      <c r="G10399" s="5"/>
      <c r="H10399" s="5"/>
      <c r="I10399" s="5"/>
      <c r="J10399" s="5"/>
      <c r="K10399" s="5"/>
      <c r="L10399" s="5"/>
      <c r="M10399" s="5"/>
      <c r="N10399" s="5"/>
      <c r="O10399" s="5"/>
      <c r="P10399" s="5"/>
      <c r="Q10399" s="5"/>
      <c r="R10399" s="5"/>
      <c r="S10399" s="5"/>
      <c r="T10399" s="5"/>
      <c r="U10399" s="5"/>
      <c r="V10399" s="5"/>
      <c r="W10399" s="5"/>
      <c r="X10399" s="5"/>
      <c r="Y10399" s="5"/>
      <c r="Z10399" s="5"/>
    </row>
    <row r="10400" spans="1:26" ht="15" x14ac:dyDescent="0.25">
      <c r="A10400" s="4" t="s">
        <v>10397</v>
      </c>
      <c r="B10400" s="4" t="s">
        <v>9011</v>
      </c>
      <c r="C10400" s="2" t="str">
        <f ca="1">IFERROR(__xludf.DUMMYFUNCTION("GOOGLETRANSLATE(A10400,""bn"",""en"")"),"You will have the opportunity to learn conversational French and you will want to drink French coffee under the Eiffel Tower")</f>
        <v>You will have the opportunity to learn conversational French and you will want to drink French coffee under the Eiffel Tower</v>
      </c>
      <c r="D10400" s="5"/>
      <c r="E10400" s="5"/>
      <c r="F10400" s="5"/>
      <c r="G10400" s="5"/>
      <c r="H10400" s="5"/>
      <c r="I10400" s="5"/>
      <c r="J10400" s="5"/>
      <c r="K10400" s="5"/>
      <c r="L10400" s="5"/>
      <c r="M10400" s="5"/>
      <c r="N10400" s="5"/>
      <c r="O10400" s="5"/>
      <c r="P10400" s="5"/>
      <c r="Q10400" s="5"/>
      <c r="R10400" s="5"/>
      <c r="S10400" s="5"/>
      <c r="T10400" s="5"/>
      <c r="U10400" s="5"/>
      <c r="V10400" s="5"/>
      <c r="W10400" s="5"/>
      <c r="X10400" s="5"/>
      <c r="Y10400" s="5"/>
      <c r="Z10400" s="5"/>
    </row>
    <row r="10401" spans="1:26" ht="15" x14ac:dyDescent="0.25">
      <c r="A10401" s="4" t="s">
        <v>10398</v>
      </c>
      <c r="B10401" s="4" t="s">
        <v>9011</v>
      </c>
      <c r="C10401" s="2" t="str">
        <f ca="1">IFERROR(__xludf.DUMMYFUNCTION("GOOGLETRANSLATE(A10401,""bn"",""en"")"),"The dream business named Swapnakuri will be started. I will be with you all the time")</f>
        <v>The dream business named Swapnakuri will be started. I will be with you all the time</v>
      </c>
      <c r="D10401" s="5"/>
      <c r="E10401" s="5"/>
      <c r="F10401" s="5"/>
      <c r="G10401" s="5"/>
      <c r="H10401" s="5"/>
      <c r="I10401" s="5"/>
      <c r="J10401" s="5"/>
      <c r="K10401" s="5"/>
      <c r="L10401" s="5"/>
      <c r="M10401" s="5"/>
      <c r="N10401" s="5"/>
      <c r="O10401" s="5"/>
      <c r="P10401" s="5"/>
      <c r="Q10401" s="5"/>
      <c r="R10401" s="5"/>
      <c r="S10401" s="5"/>
      <c r="T10401" s="5"/>
      <c r="U10401" s="5"/>
      <c r="V10401" s="5"/>
      <c r="W10401" s="5"/>
      <c r="X10401" s="5"/>
      <c r="Y10401" s="5"/>
      <c r="Z10401" s="5"/>
    </row>
    <row r="10402" spans="1:26" ht="15" x14ac:dyDescent="0.25">
      <c r="A10402" s="4" t="s">
        <v>10399</v>
      </c>
      <c r="B10402" s="4" t="s">
        <v>9011</v>
      </c>
      <c r="C10402" s="2" t="str">
        <f ca="1">IFERROR(__xludf.DUMMYFUNCTION("GOOGLETRANSLATE(A10402,""bn"",""en"")"),"A glance of laughter will enter the world into a world of joy")</f>
        <v>A glance of laughter will enter the world into a world of joy</v>
      </c>
      <c r="D10402" s="5"/>
      <c r="E10402" s="5"/>
      <c r="F10402" s="5"/>
      <c r="G10402" s="5"/>
      <c r="H10402" s="5"/>
      <c r="I10402" s="5"/>
      <c r="J10402" s="5"/>
      <c r="K10402" s="5"/>
      <c r="L10402" s="5"/>
      <c r="M10402" s="5"/>
      <c r="N10402" s="5"/>
      <c r="O10402" s="5"/>
      <c r="P10402" s="5"/>
      <c r="Q10402" s="5"/>
      <c r="R10402" s="5"/>
      <c r="S10402" s="5"/>
      <c r="T10402" s="5"/>
      <c r="U10402" s="5"/>
      <c r="V10402" s="5"/>
      <c r="W10402" s="5"/>
      <c r="X10402" s="5"/>
      <c r="Y10402" s="5"/>
      <c r="Z10402" s="5"/>
    </row>
    <row r="10403" spans="1:26" ht="15" x14ac:dyDescent="0.25">
      <c r="A10403" s="4" t="s">
        <v>10400</v>
      </c>
      <c r="B10403" s="4" t="s">
        <v>9011</v>
      </c>
      <c r="C10403" s="2" t="str">
        <f ca="1">IFERROR(__xludf.DUMMYFUNCTION("GOOGLETRANSLATE(A10403,""bn"",""en"")"),"I will complete new training courses in the coming year which will help in my professional development")</f>
        <v>I will complete new training courses in the coming year which will help in my professional development</v>
      </c>
      <c r="D10403" s="5"/>
      <c r="E10403" s="5"/>
      <c r="F10403" s="5"/>
      <c r="G10403" s="5"/>
      <c r="H10403" s="5"/>
      <c r="I10403" s="5"/>
      <c r="J10403" s="5"/>
      <c r="K10403" s="5"/>
      <c r="L10403" s="5"/>
      <c r="M10403" s="5"/>
      <c r="N10403" s="5"/>
      <c r="O10403" s="5"/>
      <c r="P10403" s="5"/>
      <c r="Q10403" s="5"/>
      <c r="R10403" s="5"/>
      <c r="S10403" s="5"/>
      <c r="T10403" s="5"/>
      <c r="U10403" s="5"/>
      <c r="V10403" s="5"/>
      <c r="W10403" s="5"/>
      <c r="X10403" s="5"/>
      <c r="Y10403" s="5"/>
      <c r="Z10403" s="5"/>
    </row>
    <row r="10404" spans="1:26" ht="15" x14ac:dyDescent="0.25">
      <c r="A10404" s="4" t="s">
        <v>10401</v>
      </c>
      <c r="B10404" s="4" t="s">
        <v>9011</v>
      </c>
      <c r="C10404" s="2" t="str">
        <f ca="1">IFERROR(__xludf.DUMMYFUNCTION("GOOGLETRANSLATE(A10404,""bn"",""en"")"),"He will buy a new camera next week")</f>
        <v>He will buy a new camera next week</v>
      </c>
      <c r="D10404" s="5"/>
      <c r="E10404" s="5"/>
      <c r="F10404" s="5"/>
      <c r="G10404" s="5"/>
      <c r="H10404" s="5"/>
      <c r="I10404" s="5"/>
      <c r="J10404" s="5"/>
      <c r="K10404" s="5"/>
      <c r="L10404" s="5"/>
      <c r="M10404" s="5"/>
      <c r="N10404" s="5"/>
      <c r="O10404" s="5"/>
      <c r="P10404" s="5"/>
      <c r="Q10404" s="5"/>
      <c r="R10404" s="5"/>
      <c r="S10404" s="5"/>
      <c r="T10404" s="5"/>
      <c r="U10404" s="5"/>
      <c r="V10404" s="5"/>
      <c r="W10404" s="5"/>
      <c r="X10404" s="5"/>
      <c r="Y10404" s="5"/>
      <c r="Z10404" s="5"/>
    </row>
    <row r="10405" spans="1:26" ht="15" x14ac:dyDescent="0.25">
      <c r="A10405" s="4" t="s">
        <v>10402</v>
      </c>
      <c r="B10405" s="4" t="s">
        <v>9011</v>
      </c>
      <c r="C10405" s="2" t="str">
        <f ca="1">IFERROR(__xludf.DUMMYFUNCTION("GOOGLETRANSLATE(A10405,""bn"",""en"")"),"A drama's mesmerizing scenery, beautiful location selection and eye-catching costume design will enthrall the audience.")</f>
        <v>A drama's mesmerizing scenery, beautiful location selection and eye-catching costume design will enthrall the audience.</v>
      </c>
      <c r="D10405" s="5"/>
      <c r="E10405" s="5"/>
      <c r="F10405" s="5"/>
      <c r="G10405" s="5"/>
      <c r="H10405" s="5"/>
      <c r="I10405" s="5"/>
      <c r="J10405" s="5"/>
      <c r="K10405" s="5"/>
      <c r="L10405" s="5"/>
      <c r="M10405" s="5"/>
      <c r="N10405" s="5"/>
      <c r="O10405" s="5"/>
      <c r="P10405" s="5"/>
      <c r="Q10405" s="5"/>
      <c r="R10405" s="5"/>
      <c r="S10405" s="5"/>
      <c r="T10405" s="5"/>
      <c r="U10405" s="5"/>
      <c r="V10405" s="5"/>
      <c r="W10405" s="5"/>
      <c r="X10405" s="5"/>
      <c r="Y10405" s="5"/>
      <c r="Z10405" s="5"/>
    </row>
    <row r="10406" spans="1:26" ht="15" x14ac:dyDescent="0.25">
      <c r="A10406" s="4" t="s">
        <v>10403</v>
      </c>
      <c r="B10406" s="4" t="s">
        <v>9011</v>
      </c>
      <c r="C10406" s="2" t="str">
        <f ca="1">IFERROR(__xludf.DUMMYFUNCTION("GOOGLETRANSLATE(A10406,""bn"",""en"")"),"In future I will get a job in a big company")</f>
        <v>In future I will get a job in a big company</v>
      </c>
      <c r="D10406" s="5"/>
      <c r="E10406" s="5"/>
      <c r="F10406" s="5"/>
      <c r="G10406" s="5"/>
      <c r="H10406" s="5"/>
      <c r="I10406" s="5"/>
      <c r="J10406" s="5"/>
      <c r="K10406" s="5"/>
      <c r="L10406" s="5"/>
      <c r="M10406" s="5"/>
      <c r="N10406" s="5"/>
      <c r="O10406" s="5"/>
      <c r="P10406" s="5"/>
      <c r="Q10406" s="5"/>
      <c r="R10406" s="5"/>
      <c r="S10406" s="5"/>
      <c r="T10406" s="5"/>
      <c r="U10406" s="5"/>
      <c r="V10406" s="5"/>
      <c r="W10406" s="5"/>
      <c r="X10406" s="5"/>
      <c r="Y10406" s="5"/>
      <c r="Z10406" s="5"/>
    </row>
    <row r="10407" spans="1:26" ht="15" x14ac:dyDescent="0.25">
      <c r="A10407" s="4" t="s">
        <v>10404</v>
      </c>
      <c r="B10407" s="4" t="s">
        <v>9011</v>
      </c>
      <c r="C10407" s="2" t="str">
        <f ca="1">IFERROR(__xludf.DUMMYFUNCTION("GOOGLETRANSLATE(A10407,""bn"",""en"")"),"They will now attend our training classes.")</f>
        <v>They will now attend our training classes.</v>
      </c>
      <c r="D10407" s="5"/>
      <c r="E10407" s="5"/>
      <c r="F10407" s="5"/>
      <c r="G10407" s="5"/>
      <c r="H10407" s="5"/>
      <c r="I10407" s="5"/>
      <c r="J10407" s="5"/>
      <c r="K10407" s="5"/>
      <c r="L10407" s="5"/>
      <c r="M10407" s="5"/>
      <c r="N10407" s="5"/>
      <c r="O10407" s="5"/>
      <c r="P10407" s="5"/>
      <c r="Q10407" s="5"/>
      <c r="R10407" s="5"/>
      <c r="S10407" s="5"/>
      <c r="T10407" s="5"/>
      <c r="U10407" s="5"/>
      <c r="V10407" s="5"/>
      <c r="W10407" s="5"/>
      <c r="X10407" s="5"/>
      <c r="Y10407" s="5"/>
      <c r="Z10407" s="5"/>
    </row>
    <row r="10408" spans="1:26" ht="15" x14ac:dyDescent="0.25">
      <c r="A10408" s="4" t="s">
        <v>10405</v>
      </c>
      <c r="B10408" s="4" t="s">
        <v>9011</v>
      </c>
      <c r="C10408" s="2" t="str">
        <f ca="1">IFERROR(__xludf.DUMMYFUNCTION("GOOGLETRANSLATE(A10408,""bn"",""en"")"),"Tomorrow I will go to the market so that I can buy mua")</f>
        <v>Tomorrow I will go to the market so that I can buy mua</v>
      </c>
      <c r="D10408" s="5"/>
      <c r="E10408" s="5"/>
      <c r="F10408" s="5"/>
      <c r="G10408" s="5"/>
      <c r="H10408" s="5"/>
      <c r="I10408" s="5"/>
      <c r="J10408" s="5"/>
      <c r="K10408" s="5"/>
      <c r="L10408" s="5"/>
      <c r="M10408" s="5"/>
      <c r="N10408" s="5"/>
      <c r="O10408" s="5"/>
      <c r="P10408" s="5"/>
      <c r="Q10408" s="5"/>
      <c r="R10408" s="5"/>
      <c r="S10408" s="5"/>
      <c r="T10408" s="5"/>
      <c r="U10408" s="5"/>
      <c r="V10408" s="5"/>
      <c r="W10408" s="5"/>
      <c r="X10408" s="5"/>
      <c r="Y10408" s="5"/>
      <c r="Z10408" s="5"/>
    </row>
    <row r="10409" spans="1:26" ht="15" x14ac:dyDescent="0.25">
      <c r="A10409" s="4" t="s">
        <v>10406</v>
      </c>
      <c r="B10409" s="4" t="s">
        <v>9011</v>
      </c>
      <c r="C10409" s="2" t="str">
        <f ca="1">IFERROR(__xludf.DUMMYFUNCTION("GOOGLETRANSLATE(A10409,""bn"",""en"")"),"Love Symbol Author Almas Hossain reading this book the mind will enter into the bath of joy and prosperity Author's description The mind will play the picture of happiness in the love symbol will create happiness and prosperity in the mind")</f>
        <v>Love Symbol Author Almas Hossain reading this book the mind will enter into the bath of joy and prosperity Author's description The mind will play the picture of happiness in the love symbol will create happiness and prosperity in the mind</v>
      </c>
      <c r="D10409" s="5"/>
      <c r="E10409" s="5"/>
      <c r="F10409" s="5"/>
      <c r="G10409" s="5"/>
      <c r="H10409" s="5"/>
      <c r="I10409" s="5"/>
      <c r="J10409" s="5"/>
      <c r="K10409" s="5"/>
      <c r="L10409" s="5"/>
      <c r="M10409" s="5"/>
      <c r="N10409" s="5"/>
      <c r="O10409" s="5"/>
      <c r="P10409" s="5"/>
      <c r="Q10409" s="5"/>
      <c r="R10409" s="5"/>
      <c r="S10409" s="5"/>
      <c r="T10409" s="5"/>
      <c r="U10409" s="5"/>
      <c r="V10409" s="5"/>
      <c r="W10409" s="5"/>
      <c r="X10409" s="5"/>
      <c r="Y10409" s="5"/>
      <c r="Z10409" s="5"/>
    </row>
    <row r="10410" spans="1:26" ht="15" x14ac:dyDescent="0.25">
      <c r="A10410" s="4" t="s">
        <v>10407</v>
      </c>
      <c r="B10410" s="4" t="s">
        <v>9011</v>
      </c>
      <c r="C10410" s="2" t="str">
        <f ca="1">IFERROR(__xludf.DUMMYFUNCTION("GOOGLETRANSLATE(A10410,""bn"",""en"")"),"The sense of joy that comes with travel Walking on ancient mountain trails Swimming at the sea shore or even walking in the forest grass We are sure to find the face of happiness in travel.")</f>
        <v>The sense of joy that comes with travel Walking on ancient mountain trails Swimming at the sea shore or even walking in the forest grass We are sure to find the face of happiness in travel.</v>
      </c>
      <c r="D10410" s="5"/>
      <c r="E10410" s="5"/>
      <c r="F10410" s="5"/>
      <c r="G10410" s="5"/>
      <c r="H10410" s="5"/>
      <c r="I10410" s="5"/>
      <c r="J10410" s="5"/>
      <c r="K10410" s="5"/>
      <c r="L10410" s="5"/>
      <c r="M10410" s="5"/>
      <c r="N10410" s="5"/>
      <c r="O10410" s="5"/>
      <c r="P10410" s="5"/>
      <c r="Q10410" s="5"/>
      <c r="R10410" s="5"/>
      <c r="S10410" s="5"/>
      <c r="T10410" s="5"/>
      <c r="U10410" s="5"/>
      <c r="V10410" s="5"/>
      <c r="W10410" s="5"/>
      <c r="X10410" s="5"/>
      <c r="Y10410" s="5"/>
      <c r="Z10410" s="5"/>
    </row>
    <row r="10411" spans="1:26" ht="15" x14ac:dyDescent="0.25">
      <c r="A10411" s="4" t="s">
        <v>10408</v>
      </c>
      <c r="B10411" s="4" t="s">
        <v>9011</v>
      </c>
      <c r="C10411" s="2" t="str">
        <f ca="1">IFERROR(__xludf.DUMMYFUNCTION("GOOGLETRANSLATE(A10411,""bn"",""en"")"),"Hearing the news of cancellation of classes will seem like birds flying in the open sky")</f>
        <v>Hearing the news of cancellation of classes will seem like birds flying in the open sky</v>
      </c>
      <c r="D10411" s="5"/>
      <c r="E10411" s="5"/>
      <c r="F10411" s="5"/>
      <c r="G10411" s="5"/>
      <c r="H10411" s="5"/>
      <c r="I10411" s="5"/>
      <c r="J10411" s="5"/>
      <c r="K10411" s="5"/>
      <c r="L10411" s="5"/>
      <c r="M10411" s="5"/>
      <c r="N10411" s="5"/>
      <c r="O10411" s="5"/>
      <c r="P10411" s="5"/>
      <c r="Q10411" s="5"/>
      <c r="R10411" s="5"/>
      <c r="S10411" s="5"/>
      <c r="T10411" s="5"/>
      <c r="U10411" s="5"/>
      <c r="V10411" s="5"/>
      <c r="W10411" s="5"/>
      <c r="X10411" s="5"/>
      <c r="Y10411" s="5"/>
      <c r="Z10411" s="5"/>
    </row>
    <row r="10412" spans="1:26" ht="15" x14ac:dyDescent="0.25">
      <c r="A10412" s="4" t="s">
        <v>10409</v>
      </c>
      <c r="B10412" s="4" t="s">
        <v>9011</v>
      </c>
      <c r="C10412" s="2" t="str">
        <f ca="1">IFERROR(__xludf.DUMMYFUNCTION("GOOGLETRANSLATE(A10412,""bn"",""en"")"),"Earn money honestly without any regrets be it driving a van or selling tea on the street")</f>
        <v>Earn money honestly without any regrets be it driving a van or selling tea on the street</v>
      </c>
      <c r="D10412" s="5"/>
      <c r="E10412" s="5"/>
      <c r="F10412" s="5"/>
      <c r="G10412" s="5"/>
      <c r="H10412" s="5"/>
      <c r="I10412" s="5"/>
      <c r="J10412" s="5"/>
      <c r="K10412" s="5"/>
      <c r="L10412" s="5"/>
      <c r="M10412" s="5"/>
      <c r="N10412" s="5"/>
      <c r="O10412" s="5"/>
      <c r="P10412" s="5"/>
      <c r="Q10412" s="5"/>
      <c r="R10412" s="5"/>
      <c r="S10412" s="5"/>
      <c r="T10412" s="5"/>
      <c r="U10412" s="5"/>
      <c r="V10412" s="5"/>
      <c r="W10412" s="5"/>
      <c r="X10412" s="5"/>
      <c r="Y10412" s="5"/>
      <c r="Z10412" s="5"/>
    </row>
    <row r="10413" spans="1:26" ht="15" x14ac:dyDescent="0.25">
      <c r="A10413" s="4" t="s">
        <v>10410</v>
      </c>
      <c r="B10413" s="4" t="s">
        <v>9011</v>
      </c>
      <c r="C10413" s="2" t="str">
        <f ca="1">IFERROR(__xludf.DUMMYFUNCTION("GOOGLETRANSLATE(A10413,""bn"",""en"")"),"I will support increasing the use of artificial intelligence in education")</f>
        <v>I will support increasing the use of artificial intelligence in education</v>
      </c>
      <c r="D10413" s="5"/>
      <c r="E10413" s="5"/>
      <c r="F10413" s="5"/>
      <c r="G10413" s="5"/>
      <c r="H10413" s="5"/>
      <c r="I10413" s="5"/>
      <c r="J10413" s="5"/>
      <c r="K10413" s="5"/>
      <c r="L10413" s="5"/>
      <c r="M10413" s="5"/>
      <c r="N10413" s="5"/>
      <c r="O10413" s="5"/>
      <c r="P10413" s="5"/>
      <c r="Q10413" s="5"/>
      <c r="R10413" s="5"/>
      <c r="S10413" s="5"/>
      <c r="T10413" s="5"/>
      <c r="U10413" s="5"/>
      <c r="V10413" s="5"/>
      <c r="W10413" s="5"/>
      <c r="X10413" s="5"/>
      <c r="Y10413" s="5"/>
      <c r="Z10413" s="5"/>
    </row>
    <row r="10414" spans="1:26" ht="15" x14ac:dyDescent="0.25">
      <c r="A10414" s="4" t="s">
        <v>10411</v>
      </c>
      <c r="B10414" s="4" t="s">
        <v>9011</v>
      </c>
      <c r="C10414" s="2" t="str">
        <f ca="1">IFERROR(__xludf.DUMMYFUNCTION("GOOGLETRANSLATE(A10414,""bn"",""en"")"),"I will always be enthusiastic about making pudding as it will not only make my acquaintance taste better but also bring joy and happiness to my heart.")</f>
        <v>I will always be enthusiastic about making pudding as it will not only make my acquaintance taste better but also bring joy and happiness to my heart.</v>
      </c>
      <c r="D10414" s="5"/>
      <c r="E10414" s="5"/>
      <c r="F10414" s="5"/>
      <c r="G10414" s="5"/>
      <c r="H10414" s="5"/>
      <c r="I10414" s="5"/>
      <c r="J10414" s="5"/>
      <c r="K10414" s="5"/>
      <c r="L10414" s="5"/>
      <c r="M10414" s="5"/>
      <c r="N10414" s="5"/>
      <c r="O10414" s="5"/>
      <c r="P10414" s="5"/>
      <c r="Q10414" s="5"/>
      <c r="R10414" s="5"/>
      <c r="S10414" s="5"/>
      <c r="T10414" s="5"/>
      <c r="U10414" s="5"/>
      <c r="V10414" s="5"/>
      <c r="W10414" s="5"/>
      <c r="X10414" s="5"/>
      <c r="Y10414" s="5"/>
      <c r="Z10414" s="5"/>
    </row>
    <row r="10415" spans="1:26" ht="15" x14ac:dyDescent="0.25">
      <c r="A10415" s="4" t="s">
        <v>10412</v>
      </c>
      <c r="B10415" s="4" t="s">
        <v>9011</v>
      </c>
      <c r="C10415" s="2" t="str">
        <f ca="1">IFERROR(__xludf.DUMMYFUNCTION("GOOGLETRANSLATE(A10415,""bn"",""en"")"),"The sweetness of the sweet curd is guaranteed to please the mind")</f>
        <v>The sweetness of the sweet curd is guaranteed to please the mind</v>
      </c>
      <c r="D10415" s="5"/>
      <c r="E10415" s="5"/>
      <c r="F10415" s="5"/>
      <c r="G10415" s="5"/>
      <c r="H10415" s="5"/>
      <c r="I10415" s="5"/>
      <c r="J10415" s="5"/>
      <c r="K10415" s="5"/>
      <c r="L10415" s="5"/>
      <c r="M10415" s="5"/>
      <c r="N10415" s="5"/>
      <c r="O10415" s="5"/>
      <c r="P10415" s="5"/>
      <c r="Q10415" s="5"/>
      <c r="R10415" s="5"/>
      <c r="S10415" s="5"/>
      <c r="T10415" s="5"/>
      <c r="U10415" s="5"/>
      <c r="V10415" s="5"/>
      <c r="W10415" s="5"/>
      <c r="X10415" s="5"/>
      <c r="Y10415" s="5"/>
      <c r="Z10415" s="5"/>
    </row>
    <row r="10416" spans="1:26" ht="15" x14ac:dyDescent="0.25">
      <c r="A10416" s="4" t="s">
        <v>10413</v>
      </c>
      <c r="B10416" s="4" t="s">
        <v>9011</v>
      </c>
      <c r="C10416" s="2" t="str">
        <f ca="1">IFERROR(__xludf.DUMMYFUNCTION("GOOGLETRANSLATE(A10416,""bn"",""en"")"),"We will finalize all tenders in the coming months when all necessary information is collected")</f>
        <v>We will finalize all tenders in the coming months when all necessary information is collected</v>
      </c>
      <c r="D10416" s="5"/>
      <c r="E10416" s="5"/>
      <c r="F10416" s="5"/>
      <c r="G10416" s="5"/>
      <c r="H10416" s="5"/>
      <c r="I10416" s="5"/>
      <c r="J10416" s="5"/>
      <c r="K10416" s="5"/>
      <c r="L10416" s="5"/>
      <c r="M10416" s="5"/>
      <c r="N10416" s="5"/>
      <c r="O10416" s="5"/>
      <c r="P10416" s="5"/>
      <c r="Q10416" s="5"/>
      <c r="R10416" s="5"/>
      <c r="S10416" s="5"/>
      <c r="T10416" s="5"/>
      <c r="U10416" s="5"/>
      <c r="V10416" s="5"/>
      <c r="W10416" s="5"/>
      <c r="X10416" s="5"/>
      <c r="Y10416" s="5"/>
      <c r="Z10416" s="5"/>
    </row>
    <row r="10417" spans="1:26" ht="15" x14ac:dyDescent="0.25">
      <c r="A10417" s="4" t="s">
        <v>10414</v>
      </c>
      <c r="B10417" s="4" t="s">
        <v>9011</v>
      </c>
      <c r="C10417" s="2" t="str">
        <f ca="1">IFERROR(__xludf.DUMMYFUNCTION("GOOGLETRANSLATE(A10417,""bn"",""en"")"),"Allah will remove all problems from people's life at once and how good it will be for everyone.")</f>
        <v>Allah will remove all problems from people's life at once and how good it will be for everyone.</v>
      </c>
      <c r="D10417" s="5"/>
      <c r="E10417" s="5"/>
      <c r="F10417" s="5"/>
      <c r="G10417" s="5"/>
      <c r="H10417" s="5"/>
      <c r="I10417" s="5"/>
      <c r="J10417" s="5"/>
      <c r="K10417" s="5"/>
      <c r="L10417" s="5"/>
      <c r="M10417" s="5"/>
      <c r="N10417" s="5"/>
      <c r="O10417" s="5"/>
      <c r="P10417" s="5"/>
      <c r="Q10417" s="5"/>
      <c r="R10417" s="5"/>
      <c r="S10417" s="5"/>
      <c r="T10417" s="5"/>
      <c r="U10417" s="5"/>
      <c r="V10417" s="5"/>
      <c r="W10417" s="5"/>
      <c r="X10417" s="5"/>
      <c r="Y10417" s="5"/>
      <c r="Z10417" s="5"/>
    </row>
    <row r="10418" spans="1:26" ht="15" x14ac:dyDescent="0.25">
      <c r="A10418" s="4" t="s">
        <v>10415</v>
      </c>
      <c r="B10418" s="4" t="s">
        <v>9011</v>
      </c>
      <c r="C10418" s="2" t="str">
        <f ca="1">IFERROR(__xludf.DUMMYFUNCTION("GOOGLETRANSLATE(A10418,""bn"",""en"")"),"I will buy the first house in my life")</f>
        <v>I will buy the first house in my life</v>
      </c>
      <c r="D10418" s="5"/>
      <c r="E10418" s="5"/>
      <c r="F10418" s="5"/>
      <c r="G10418" s="5"/>
      <c r="H10418" s="5"/>
      <c r="I10418" s="5"/>
      <c r="J10418" s="5"/>
      <c r="K10418" s="5"/>
      <c r="L10418" s="5"/>
      <c r="M10418" s="5"/>
      <c r="N10418" s="5"/>
      <c r="O10418" s="5"/>
      <c r="P10418" s="5"/>
      <c r="Q10418" s="5"/>
      <c r="R10418" s="5"/>
      <c r="S10418" s="5"/>
      <c r="T10418" s="5"/>
      <c r="U10418" s="5"/>
      <c r="V10418" s="5"/>
      <c r="W10418" s="5"/>
      <c r="X10418" s="5"/>
      <c r="Y10418" s="5"/>
      <c r="Z10418" s="5"/>
    </row>
    <row r="10419" spans="1:26" ht="15" x14ac:dyDescent="0.25">
      <c r="A10419" s="4" t="s">
        <v>10416</v>
      </c>
      <c r="B10419" s="4" t="s">
        <v>9011</v>
      </c>
      <c r="C10419" s="2" t="str">
        <f ca="1">IFERROR(__xludf.DUMMYFUNCTION("GOOGLETRANSLATE(A10419,""bn"",""en"")"),"You will buy a new dress tomorrow")</f>
        <v>You will buy a new dress tomorrow</v>
      </c>
      <c r="D10419" s="5"/>
      <c r="E10419" s="5"/>
      <c r="F10419" s="5"/>
      <c r="G10419" s="5"/>
      <c r="H10419" s="5"/>
      <c r="I10419" s="5"/>
      <c r="J10419" s="5"/>
      <c r="K10419" s="5"/>
      <c r="L10419" s="5"/>
      <c r="M10419" s="5"/>
      <c r="N10419" s="5"/>
      <c r="O10419" s="5"/>
      <c r="P10419" s="5"/>
      <c r="Q10419" s="5"/>
      <c r="R10419" s="5"/>
      <c r="S10419" s="5"/>
      <c r="T10419" s="5"/>
      <c r="U10419" s="5"/>
      <c r="V10419" s="5"/>
      <c r="W10419" s="5"/>
      <c r="X10419" s="5"/>
      <c r="Y10419" s="5"/>
      <c r="Z10419" s="5"/>
    </row>
    <row r="10420" spans="1:26" ht="15" x14ac:dyDescent="0.25">
      <c r="A10420" s="4" t="s">
        <v>10417</v>
      </c>
      <c r="B10420" s="4" t="s">
        <v>9011</v>
      </c>
      <c r="C10420" s="2" t="str">
        <f ca="1">IFERROR(__xludf.DUMMYFUNCTION("GOOGLETRANSLATE(A10420,""bn"",""en"")"),"The little man will seem to need nothing more in life")</f>
        <v>The little man will seem to need nothing more in life</v>
      </c>
      <c r="D10420" s="5"/>
      <c r="E10420" s="5"/>
      <c r="F10420" s="5"/>
      <c r="G10420" s="5"/>
      <c r="H10420" s="5"/>
      <c r="I10420" s="5"/>
      <c r="J10420" s="5"/>
      <c r="K10420" s="5"/>
      <c r="L10420" s="5"/>
      <c r="M10420" s="5"/>
      <c r="N10420" s="5"/>
      <c r="O10420" s="5"/>
      <c r="P10420" s="5"/>
      <c r="Q10420" s="5"/>
      <c r="R10420" s="5"/>
      <c r="S10420" s="5"/>
      <c r="T10420" s="5"/>
      <c r="U10420" s="5"/>
      <c r="V10420" s="5"/>
      <c r="W10420" s="5"/>
      <c r="X10420" s="5"/>
      <c r="Y10420" s="5"/>
      <c r="Z10420" s="5"/>
    </row>
    <row r="10421" spans="1:26" ht="15" x14ac:dyDescent="0.25">
      <c r="A10421" s="4" t="s">
        <v>10418</v>
      </c>
      <c r="B10421" s="4" t="s">
        <v>9011</v>
      </c>
      <c r="C10421" s="2" t="str">
        <f ca="1">IFERROR(__xludf.DUMMYFUNCTION("GOOGLETRANSLATE(A10421,""bn"",""en"")"),"They will hold an international exhibition on advanced information technology next year")</f>
        <v>They will hold an international exhibition on advanced information technology next year</v>
      </c>
      <c r="D10421" s="5"/>
      <c r="E10421" s="5"/>
      <c r="F10421" s="5"/>
      <c r="G10421" s="5"/>
      <c r="H10421" s="5"/>
      <c r="I10421" s="5"/>
      <c r="J10421" s="5"/>
      <c r="K10421" s="5"/>
      <c r="L10421" s="5"/>
      <c r="M10421" s="5"/>
      <c r="N10421" s="5"/>
      <c r="O10421" s="5"/>
      <c r="P10421" s="5"/>
      <c r="Q10421" s="5"/>
      <c r="R10421" s="5"/>
      <c r="S10421" s="5"/>
      <c r="T10421" s="5"/>
      <c r="U10421" s="5"/>
      <c r="V10421" s="5"/>
      <c r="W10421" s="5"/>
      <c r="X10421" s="5"/>
      <c r="Y10421" s="5"/>
      <c r="Z10421" s="5"/>
    </row>
    <row r="10422" spans="1:26" ht="15" x14ac:dyDescent="0.25">
      <c r="A10422" s="4" t="s">
        <v>10419</v>
      </c>
      <c r="B10422" s="4" t="s">
        <v>9011</v>
      </c>
      <c r="C10422" s="2" t="str">
        <f ca="1">IFERROR(__xludf.DUMMYFUNCTION("GOOGLETRANSLATE(A10422,""bn"",""en"")"),"Best wishes for you with this gift")</f>
        <v>Best wishes for you with this gift</v>
      </c>
      <c r="D10422" s="5"/>
      <c r="E10422" s="5"/>
      <c r="F10422" s="5"/>
      <c r="G10422" s="5"/>
      <c r="H10422" s="5"/>
      <c r="I10422" s="5"/>
      <c r="J10422" s="5"/>
      <c r="K10422" s="5"/>
      <c r="L10422" s="5"/>
      <c r="M10422" s="5"/>
      <c r="N10422" s="5"/>
      <c r="O10422" s="5"/>
      <c r="P10422" s="5"/>
      <c r="Q10422" s="5"/>
      <c r="R10422" s="5"/>
      <c r="S10422" s="5"/>
      <c r="T10422" s="5"/>
      <c r="U10422" s="5"/>
      <c r="V10422" s="5"/>
      <c r="W10422" s="5"/>
      <c r="X10422" s="5"/>
      <c r="Y10422" s="5"/>
      <c r="Z10422" s="5"/>
    </row>
    <row r="10423" spans="1:26" ht="15" x14ac:dyDescent="0.25">
      <c r="A10423" s="4" t="s">
        <v>10420</v>
      </c>
      <c r="B10423" s="4" t="s">
        <v>9011</v>
      </c>
      <c r="C10423" s="2" t="str">
        <f ca="1">IFERROR(__xludf.DUMMYFUNCTION("GOOGLETRANSLATE(A10423,""bn"",""en"")"),"I am going to get such a free course online and I will be happy to learn something new")</f>
        <v>I am going to get such a free course online and I will be happy to learn something new</v>
      </c>
      <c r="D10423" s="5"/>
      <c r="E10423" s="5"/>
      <c r="F10423" s="5"/>
      <c r="G10423" s="5"/>
      <c r="H10423" s="5"/>
      <c r="I10423" s="5"/>
      <c r="J10423" s="5"/>
      <c r="K10423" s="5"/>
      <c r="L10423" s="5"/>
      <c r="M10423" s="5"/>
      <c r="N10423" s="5"/>
      <c r="O10423" s="5"/>
      <c r="P10423" s="5"/>
      <c r="Q10423" s="5"/>
      <c r="R10423" s="5"/>
      <c r="S10423" s="5"/>
      <c r="T10423" s="5"/>
      <c r="U10423" s="5"/>
      <c r="V10423" s="5"/>
      <c r="W10423" s="5"/>
      <c r="X10423" s="5"/>
      <c r="Y10423" s="5"/>
      <c r="Z10423" s="5"/>
    </row>
    <row r="10424" spans="1:26" ht="15" x14ac:dyDescent="0.25">
      <c r="A10424" s="4" t="s">
        <v>10421</v>
      </c>
      <c r="B10424" s="4" t="s">
        <v>9011</v>
      </c>
      <c r="C10424" s="2" t="str">
        <f ca="1">IFERROR(__xludf.DUMMYFUNCTION("GOOGLETRANSLATE(A10424,""bn"",""en"")"),"Being with friends will be the most priceless experience of my life")</f>
        <v>Being with friends will be the most priceless experience of my life</v>
      </c>
      <c r="D10424" s="5"/>
      <c r="E10424" s="5"/>
      <c r="F10424" s="5"/>
      <c r="G10424" s="5"/>
      <c r="H10424" s="5"/>
      <c r="I10424" s="5"/>
      <c r="J10424" s="5"/>
      <c r="K10424" s="5"/>
      <c r="L10424" s="5"/>
      <c r="M10424" s="5"/>
      <c r="N10424" s="5"/>
      <c r="O10424" s="5"/>
      <c r="P10424" s="5"/>
      <c r="Q10424" s="5"/>
      <c r="R10424" s="5"/>
      <c r="S10424" s="5"/>
      <c r="T10424" s="5"/>
      <c r="U10424" s="5"/>
      <c r="V10424" s="5"/>
      <c r="W10424" s="5"/>
      <c r="X10424" s="5"/>
      <c r="Y10424" s="5"/>
      <c r="Z10424" s="5"/>
    </row>
    <row r="10425" spans="1:26" ht="15" x14ac:dyDescent="0.25">
      <c r="A10425" s="4" t="s">
        <v>10422</v>
      </c>
      <c r="B10425" s="4" t="s">
        <v>9011</v>
      </c>
      <c r="C10425" s="2" t="str">
        <f ca="1">IFERROR(__xludf.DUMMYFUNCTION("GOOGLETRANSLATE(A10425,""bn"",""en"")"),"I will be doing a research workshop on advanced robotic technology tomorrow")</f>
        <v>I will be doing a research workshop on advanced robotic technology tomorrow</v>
      </c>
      <c r="D10425" s="5"/>
      <c r="E10425" s="5"/>
      <c r="F10425" s="5"/>
      <c r="G10425" s="5"/>
      <c r="H10425" s="5"/>
      <c r="I10425" s="5"/>
      <c r="J10425" s="5"/>
      <c r="K10425" s="5"/>
      <c r="L10425" s="5"/>
      <c r="M10425" s="5"/>
      <c r="N10425" s="5"/>
      <c r="O10425" s="5"/>
      <c r="P10425" s="5"/>
      <c r="Q10425" s="5"/>
      <c r="R10425" s="5"/>
      <c r="S10425" s="5"/>
      <c r="T10425" s="5"/>
      <c r="U10425" s="5"/>
      <c r="V10425" s="5"/>
      <c r="W10425" s="5"/>
      <c r="X10425" s="5"/>
      <c r="Y10425" s="5"/>
      <c r="Z10425" s="5"/>
    </row>
    <row r="10426" spans="1:26" ht="15" x14ac:dyDescent="0.25">
      <c r="A10426" s="4" t="s">
        <v>10423</v>
      </c>
      <c r="B10426" s="4" t="s">
        <v>9011</v>
      </c>
      <c r="C10426" s="2" t="str">
        <f ca="1">IFERROR(__xludf.DUMMYFUNCTION("GOOGLETRANSLATE(A10426,""bn"",""en"")"),"We will be preparing to attend the new art exhibition next week")</f>
        <v>We will be preparing to attend the new art exhibition next week</v>
      </c>
      <c r="D10426" s="5"/>
      <c r="E10426" s="5"/>
      <c r="F10426" s="5"/>
      <c r="G10426" s="5"/>
      <c r="H10426" s="5"/>
      <c r="I10426" s="5"/>
      <c r="J10426" s="5"/>
      <c r="K10426" s="5"/>
      <c r="L10426" s="5"/>
      <c r="M10426" s="5"/>
      <c r="N10426" s="5"/>
      <c r="O10426" s="5"/>
      <c r="P10426" s="5"/>
      <c r="Q10426" s="5"/>
      <c r="R10426" s="5"/>
      <c r="S10426" s="5"/>
      <c r="T10426" s="5"/>
      <c r="U10426" s="5"/>
      <c r="V10426" s="5"/>
      <c r="W10426" s="5"/>
      <c r="X10426" s="5"/>
      <c r="Y10426" s="5"/>
      <c r="Z10426" s="5"/>
    </row>
    <row r="10427" spans="1:26" ht="15" x14ac:dyDescent="0.25">
      <c r="A10427" s="4" t="s">
        <v>10424</v>
      </c>
      <c r="B10427" s="4" t="s">
        <v>9011</v>
      </c>
      <c r="C10427" s="2" t="str">
        <f ca="1">IFERROR(__xludf.DUMMYFUNCTION("GOOGLETRANSLATE(A10427,""bn"",""en"")"),"A whole morning reflected in a drop of dew")</f>
        <v>A whole morning reflected in a drop of dew</v>
      </c>
      <c r="D10427" s="5"/>
      <c r="E10427" s="5"/>
      <c r="F10427" s="5"/>
      <c r="G10427" s="5"/>
      <c r="H10427" s="5"/>
      <c r="I10427" s="5"/>
      <c r="J10427" s="5"/>
      <c r="K10427" s="5"/>
      <c r="L10427" s="5"/>
      <c r="M10427" s="5"/>
      <c r="N10427" s="5"/>
      <c r="O10427" s="5"/>
      <c r="P10427" s="5"/>
      <c r="Q10427" s="5"/>
      <c r="R10427" s="5"/>
      <c r="S10427" s="5"/>
      <c r="T10427" s="5"/>
      <c r="U10427" s="5"/>
      <c r="V10427" s="5"/>
      <c r="W10427" s="5"/>
      <c r="X10427" s="5"/>
      <c r="Y10427" s="5"/>
      <c r="Z10427" s="5"/>
    </row>
    <row r="10428" spans="1:26" ht="15" x14ac:dyDescent="0.25">
      <c r="A10428" s="4" t="s">
        <v>10425</v>
      </c>
      <c r="B10428" s="4" t="s">
        <v>9011</v>
      </c>
      <c r="C10428" s="2" t="str">
        <f ca="1">IFERROR(__xludf.DUMMYFUNCTION("GOOGLETRANSLATE(A10428,""bn"",""en"")"),"Your photos will be yours follow your intuition")</f>
        <v>Your photos will be yours follow your intuition</v>
      </c>
      <c r="D10428" s="5"/>
      <c r="E10428" s="5"/>
      <c r="F10428" s="5"/>
      <c r="G10428" s="5"/>
      <c r="H10428" s="5"/>
      <c r="I10428" s="5"/>
      <c r="J10428" s="5"/>
      <c r="K10428" s="5"/>
      <c r="L10428" s="5"/>
      <c r="M10428" s="5"/>
      <c r="N10428" s="5"/>
      <c r="O10428" s="5"/>
      <c r="P10428" s="5"/>
      <c r="Q10428" s="5"/>
      <c r="R10428" s="5"/>
      <c r="S10428" s="5"/>
      <c r="T10428" s="5"/>
      <c r="U10428" s="5"/>
      <c r="V10428" s="5"/>
      <c r="W10428" s="5"/>
      <c r="X10428" s="5"/>
      <c r="Y10428" s="5"/>
      <c r="Z10428" s="5"/>
    </row>
    <row r="10429" spans="1:26" ht="15" x14ac:dyDescent="0.25">
      <c r="A10429" s="4" t="s">
        <v>10426</v>
      </c>
      <c r="B10429" s="4" t="s">
        <v>9011</v>
      </c>
      <c r="C10429" s="2" t="str">
        <f ca="1">IFERROR(__xludf.DUMMYFUNCTION("GOOGLETRANSLATE(A10429,""bn"",""en"")"),"Mom you will remember that again because you got the best promotion")</f>
        <v>Mom you will remember that again because you got the best promotion</v>
      </c>
      <c r="D10429" s="5"/>
      <c r="E10429" s="5"/>
      <c r="F10429" s="5"/>
      <c r="G10429" s="5"/>
      <c r="H10429" s="5"/>
      <c r="I10429" s="5"/>
      <c r="J10429" s="5"/>
      <c r="K10429" s="5"/>
      <c r="L10429" s="5"/>
      <c r="M10429" s="5"/>
      <c r="N10429" s="5"/>
      <c r="O10429" s="5"/>
      <c r="P10429" s="5"/>
      <c r="Q10429" s="5"/>
      <c r="R10429" s="5"/>
      <c r="S10429" s="5"/>
      <c r="T10429" s="5"/>
      <c r="U10429" s="5"/>
      <c r="V10429" s="5"/>
      <c r="W10429" s="5"/>
      <c r="X10429" s="5"/>
      <c r="Y10429" s="5"/>
      <c r="Z10429" s="5"/>
    </row>
    <row r="10430" spans="1:26" ht="15" x14ac:dyDescent="0.25">
      <c r="A10430" s="4" t="s">
        <v>10427</v>
      </c>
      <c r="B10430" s="4" t="s">
        <v>9011</v>
      </c>
      <c r="C10430" s="2" t="str">
        <f ca="1">IFERROR(__xludf.DUMMYFUNCTION("GOOGLETRANSLATE(A10430,""bn"",""en"")"),"I will be running a mental health awareness campaign next year to encourage people to talk openly about mental health issues")</f>
        <v>I will be running a mental health awareness campaign next year to encourage people to talk openly about mental health issues</v>
      </c>
      <c r="D10430" s="5"/>
      <c r="E10430" s="5"/>
      <c r="F10430" s="5"/>
      <c r="G10430" s="5"/>
      <c r="H10430" s="5"/>
      <c r="I10430" s="5"/>
      <c r="J10430" s="5"/>
      <c r="K10430" s="5"/>
      <c r="L10430" s="5"/>
      <c r="M10430" s="5"/>
      <c r="N10430" s="5"/>
      <c r="O10430" s="5"/>
      <c r="P10430" s="5"/>
      <c r="Q10430" s="5"/>
      <c r="R10430" s="5"/>
      <c r="S10430" s="5"/>
      <c r="T10430" s="5"/>
      <c r="U10430" s="5"/>
      <c r="V10430" s="5"/>
      <c r="W10430" s="5"/>
      <c r="X10430" s="5"/>
      <c r="Y10430" s="5"/>
      <c r="Z10430" s="5"/>
    </row>
    <row r="10431" spans="1:26" ht="15" x14ac:dyDescent="0.25">
      <c r="A10431" s="4" t="s">
        <v>10428</v>
      </c>
      <c r="B10431" s="4" t="s">
        <v>9011</v>
      </c>
      <c r="C10431" s="2" t="str">
        <f ca="1">IFERROR(__xludf.DUMMYFUNCTION("GOOGLETRANSLATE(A10431,""bn"",""en"")"),"Kanak's business may be small but the dream will be big. Best wishes")</f>
        <v>Kanak's business may be small but the dream will be big. Best wishes</v>
      </c>
      <c r="D10431" s="5"/>
      <c r="E10431" s="5"/>
      <c r="F10431" s="5"/>
      <c r="G10431" s="5"/>
      <c r="H10431" s="5"/>
      <c r="I10431" s="5"/>
      <c r="J10431" s="5"/>
      <c r="K10431" s="5"/>
      <c r="L10431" s="5"/>
      <c r="M10431" s="5"/>
      <c r="N10431" s="5"/>
      <c r="O10431" s="5"/>
      <c r="P10431" s="5"/>
      <c r="Q10431" s="5"/>
      <c r="R10431" s="5"/>
      <c r="S10431" s="5"/>
      <c r="T10431" s="5"/>
      <c r="U10431" s="5"/>
      <c r="V10431" s="5"/>
      <c r="W10431" s="5"/>
      <c r="X10431" s="5"/>
      <c r="Y10431" s="5"/>
      <c r="Z10431" s="5"/>
    </row>
    <row r="10432" spans="1:26" ht="15" x14ac:dyDescent="0.25">
      <c r="A10432" s="4" t="s">
        <v>10429</v>
      </c>
      <c r="B10432" s="4" t="s">
        <v>9011</v>
      </c>
      <c r="C10432" s="2" t="str">
        <f ca="1">IFERROR(__xludf.DUMMYFUNCTION("GOOGLETRANSLATE(A10432,""bn"",""en"")"),"He will start a new business next month")</f>
        <v>He will start a new business next month</v>
      </c>
      <c r="D10432" s="5"/>
      <c r="E10432" s="5"/>
      <c r="F10432" s="5"/>
      <c r="G10432" s="5"/>
      <c r="H10432" s="5"/>
      <c r="I10432" s="5"/>
      <c r="J10432" s="5"/>
      <c r="K10432" s="5"/>
      <c r="L10432" s="5"/>
      <c r="M10432" s="5"/>
      <c r="N10432" s="5"/>
      <c r="O10432" s="5"/>
      <c r="P10432" s="5"/>
      <c r="Q10432" s="5"/>
      <c r="R10432" s="5"/>
      <c r="S10432" s="5"/>
      <c r="T10432" s="5"/>
      <c r="U10432" s="5"/>
      <c r="V10432" s="5"/>
      <c r="W10432" s="5"/>
      <c r="X10432" s="5"/>
      <c r="Y10432" s="5"/>
      <c r="Z10432" s="5"/>
    </row>
    <row r="10433" spans="1:26" ht="15" x14ac:dyDescent="0.25">
      <c r="A10433" s="4" t="s">
        <v>10430</v>
      </c>
      <c r="B10433" s="4" t="s">
        <v>9011</v>
      </c>
      <c r="C10433" s="2" t="str">
        <f ca="1">IFERROR(__xludf.DUMMYFUNCTION("GOOGLETRANSLATE(A10433,""bn"",""en"")"),"Small hands will bring small feet infinite joy welcome")</f>
        <v>Small hands will bring small feet infinite joy welcome</v>
      </c>
      <c r="D10433" s="5"/>
      <c r="E10433" s="5"/>
      <c r="F10433" s="5"/>
      <c r="G10433" s="5"/>
      <c r="H10433" s="5"/>
      <c r="I10433" s="5"/>
      <c r="J10433" s="5"/>
      <c r="K10433" s="5"/>
      <c r="L10433" s="5"/>
      <c r="M10433" s="5"/>
      <c r="N10433" s="5"/>
      <c r="O10433" s="5"/>
      <c r="P10433" s="5"/>
      <c r="Q10433" s="5"/>
      <c r="R10433" s="5"/>
      <c r="S10433" s="5"/>
      <c r="T10433" s="5"/>
      <c r="U10433" s="5"/>
      <c r="V10433" s="5"/>
      <c r="W10433" s="5"/>
      <c r="X10433" s="5"/>
      <c r="Y10433" s="5"/>
      <c r="Z10433" s="5"/>
    </row>
    <row r="10434" spans="1:26" ht="15" x14ac:dyDescent="0.25">
      <c r="A10434" s="4" t="s">
        <v>10431</v>
      </c>
      <c r="B10434" s="4" t="s">
        <v>9011</v>
      </c>
      <c r="C10434" s="2" t="str">
        <f ca="1">IFERROR(__xludf.DUMMYFUNCTION("GOOGLETRANSLATE(A10434,""bn"",""en"")"),"Never misbehave with teacher A teacher can make your future bright")</f>
        <v>Never misbehave with teacher A teacher can make your future bright</v>
      </c>
      <c r="D10434" s="5"/>
      <c r="E10434" s="5"/>
      <c r="F10434" s="5"/>
      <c r="G10434" s="5"/>
      <c r="H10434" s="5"/>
      <c r="I10434" s="5"/>
      <c r="J10434" s="5"/>
      <c r="K10434" s="5"/>
      <c r="L10434" s="5"/>
      <c r="M10434" s="5"/>
      <c r="N10434" s="5"/>
      <c r="O10434" s="5"/>
      <c r="P10434" s="5"/>
      <c r="Q10434" s="5"/>
      <c r="R10434" s="5"/>
      <c r="S10434" s="5"/>
      <c r="T10434" s="5"/>
      <c r="U10434" s="5"/>
      <c r="V10434" s="5"/>
      <c r="W10434" s="5"/>
      <c r="X10434" s="5"/>
      <c r="Y10434" s="5"/>
      <c r="Z10434" s="5"/>
    </row>
    <row r="10435" spans="1:26" ht="15" x14ac:dyDescent="0.25">
      <c r="A10435" s="4" t="s">
        <v>10432</v>
      </c>
      <c r="B10435" s="4" t="s">
        <v>9011</v>
      </c>
      <c r="C10435" s="2" t="str">
        <f ca="1">IFERROR(__xludf.DUMMYFUNCTION("GOOGLETRANSLATE(A10435,""bn"",""en"")"),"In the new year, old diseases will be goodbye, healthy life will come. Happy New Year")</f>
        <v>In the new year, old diseases will be goodbye, healthy life will come. Happy New Year</v>
      </c>
      <c r="D10435" s="5"/>
      <c r="E10435" s="5"/>
      <c r="F10435" s="5"/>
      <c r="G10435" s="5"/>
      <c r="H10435" s="5"/>
      <c r="I10435" s="5"/>
      <c r="J10435" s="5"/>
      <c r="K10435" s="5"/>
      <c r="L10435" s="5"/>
      <c r="M10435" s="5"/>
      <c r="N10435" s="5"/>
      <c r="O10435" s="5"/>
      <c r="P10435" s="5"/>
      <c r="Q10435" s="5"/>
      <c r="R10435" s="5"/>
      <c r="S10435" s="5"/>
      <c r="T10435" s="5"/>
      <c r="U10435" s="5"/>
      <c r="V10435" s="5"/>
      <c r="W10435" s="5"/>
      <c r="X10435" s="5"/>
      <c r="Y10435" s="5"/>
      <c r="Z10435" s="5"/>
    </row>
    <row r="10436" spans="1:26" ht="15" x14ac:dyDescent="0.25">
      <c r="A10436" s="4" t="s">
        <v>10433</v>
      </c>
      <c r="B10436" s="4" t="s">
        <v>9011</v>
      </c>
      <c r="C10436" s="2" t="str">
        <f ca="1">IFERROR(__xludf.DUMMYFUNCTION("GOOGLETRANSLATE(A10436,""bn"",""en"")"),"She will participate in an international language competition next month and demonstrate her newly learned language")</f>
        <v>She will participate in an international language competition next month and demonstrate her newly learned language</v>
      </c>
      <c r="D10436" s="5"/>
      <c r="E10436" s="5"/>
      <c r="F10436" s="5"/>
      <c r="G10436" s="5"/>
      <c r="H10436" s="5"/>
      <c r="I10436" s="5"/>
      <c r="J10436" s="5"/>
      <c r="K10436" s="5"/>
      <c r="L10436" s="5"/>
      <c r="M10436" s="5"/>
      <c r="N10436" s="5"/>
      <c r="O10436" s="5"/>
      <c r="P10436" s="5"/>
      <c r="Q10436" s="5"/>
      <c r="R10436" s="5"/>
      <c r="S10436" s="5"/>
      <c r="T10436" s="5"/>
      <c r="U10436" s="5"/>
      <c r="V10436" s="5"/>
      <c r="W10436" s="5"/>
      <c r="X10436" s="5"/>
      <c r="Y10436" s="5"/>
      <c r="Z10436" s="5"/>
    </row>
    <row r="10437" spans="1:26" ht="15" x14ac:dyDescent="0.25">
      <c r="A10437" s="4" t="s">
        <v>10434</v>
      </c>
      <c r="B10437" s="4" t="s">
        <v>9011</v>
      </c>
      <c r="C10437" s="2" t="str">
        <f ca="1">IFERROR(__xludf.DUMMYFUNCTION("GOOGLETRANSLATE(A10437,""bn"",""en"")"),"Looking at the strength of the batsmen, it seems that the flood of runs will continue")</f>
        <v>Looking at the strength of the batsmen, it seems that the flood of runs will continue</v>
      </c>
      <c r="D10437" s="5"/>
      <c r="E10437" s="5"/>
      <c r="F10437" s="5"/>
      <c r="G10437" s="5"/>
      <c r="H10437" s="5"/>
      <c r="I10437" s="5"/>
      <c r="J10437" s="5"/>
      <c r="K10437" s="5"/>
      <c r="L10437" s="5"/>
      <c r="M10437" s="5"/>
      <c r="N10437" s="5"/>
      <c r="O10437" s="5"/>
      <c r="P10437" s="5"/>
      <c r="Q10437" s="5"/>
      <c r="R10437" s="5"/>
      <c r="S10437" s="5"/>
      <c r="T10437" s="5"/>
      <c r="U10437" s="5"/>
      <c r="V10437" s="5"/>
      <c r="W10437" s="5"/>
      <c r="X10437" s="5"/>
      <c r="Y10437" s="5"/>
      <c r="Z10437" s="5"/>
    </row>
    <row r="10438" spans="1:26" ht="15" x14ac:dyDescent="0.25">
      <c r="A10438" s="4" t="s">
        <v>10435</v>
      </c>
      <c r="B10438" s="4" t="s">
        <v>9011</v>
      </c>
      <c r="C10438" s="2" t="str">
        <f ca="1">IFERROR(__xludf.DUMMYFUNCTION("GOOGLETRANSLATE(A10438,""bn"",""en"")"),"Next month I will start learning a new hobby")</f>
        <v>Next month I will start learning a new hobby</v>
      </c>
      <c r="D10438" s="5"/>
      <c r="E10438" s="5"/>
      <c r="F10438" s="5"/>
      <c r="G10438" s="5"/>
      <c r="H10438" s="5"/>
      <c r="I10438" s="5"/>
      <c r="J10438" s="5"/>
      <c r="K10438" s="5"/>
      <c r="L10438" s="5"/>
      <c r="M10438" s="5"/>
      <c r="N10438" s="5"/>
      <c r="O10438" s="5"/>
      <c r="P10438" s="5"/>
      <c r="Q10438" s="5"/>
      <c r="R10438" s="5"/>
      <c r="S10438" s="5"/>
      <c r="T10438" s="5"/>
      <c r="U10438" s="5"/>
      <c r="V10438" s="5"/>
      <c r="W10438" s="5"/>
      <c r="X10438" s="5"/>
      <c r="Y10438" s="5"/>
      <c r="Z10438" s="5"/>
    </row>
    <row r="10439" spans="1:26" ht="15" x14ac:dyDescent="0.25">
      <c r="A10439" s="4" t="s">
        <v>10436</v>
      </c>
      <c r="B10439" s="4" t="s">
        <v>9011</v>
      </c>
      <c r="C10439" s="2" t="str">
        <f ca="1">IFERROR(__xludf.DUMMYFUNCTION("GOOGLETRANSLATE(A10439,""bn"",""en"")"),"I was dreaming that one day I will become a father, today that dream will be fulfilled with the arrival of my son")</f>
        <v>I was dreaming that one day I will become a father, today that dream will be fulfilled with the arrival of my son</v>
      </c>
      <c r="D10439" s="5"/>
      <c r="E10439" s="5"/>
      <c r="F10439" s="5"/>
      <c r="G10439" s="5"/>
      <c r="H10439" s="5"/>
      <c r="I10439" s="5"/>
      <c r="J10439" s="5"/>
      <c r="K10439" s="5"/>
      <c r="L10439" s="5"/>
      <c r="M10439" s="5"/>
      <c r="N10439" s="5"/>
      <c r="O10439" s="5"/>
      <c r="P10439" s="5"/>
      <c r="Q10439" s="5"/>
      <c r="R10439" s="5"/>
      <c r="S10439" s="5"/>
      <c r="T10439" s="5"/>
      <c r="U10439" s="5"/>
      <c r="V10439" s="5"/>
      <c r="W10439" s="5"/>
      <c r="X10439" s="5"/>
      <c r="Y10439" s="5"/>
      <c r="Z10439" s="5"/>
    </row>
    <row r="10440" spans="1:26" ht="15" x14ac:dyDescent="0.25">
      <c r="A10440" s="4" t="s">
        <v>10437</v>
      </c>
      <c r="B10440" s="4" t="s">
        <v>9011</v>
      </c>
      <c r="C10440" s="2" t="str">
        <f ca="1">IFERROR(__xludf.DUMMYFUNCTION("GOOGLETRANSLATE(A10440,""bn"",""en"")"),"The series of words that start with Key Ray will never end")</f>
        <v>The series of words that start with Key Ray will never end</v>
      </c>
      <c r="D10440" s="5"/>
      <c r="E10440" s="5"/>
      <c r="F10440" s="5"/>
      <c r="G10440" s="5"/>
      <c r="H10440" s="5"/>
      <c r="I10440" s="5"/>
      <c r="J10440" s="5"/>
      <c r="K10440" s="5"/>
      <c r="L10440" s="5"/>
      <c r="M10440" s="5"/>
      <c r="N10440" s="5"/>
      <c r="O10440" s="5"/>
      <c r="P10440" s="5"/>
      <c r="Q10440" s="5"/>
      <c r="R10440" s="5"/>
      <c r="S10440" s="5"/>
      <c r="T10440" s="5"/>
      <c r="U10440" s="5"/>
      <c r="V10440" s="5"/>
      <c r="W10440" s="5"/>
      <c r="X10440" s="5"/>
      <c r="Y10440" s="5"/>
      <c r="Z10440" s="5"/>
    </row>
    <row r="10441" spans="1:26" ht="15" x14ac:dyDescent="0.25">
      <c r="A10441" s="4" t="s">
        <v>10438</v>
      </c>
      <c r="B10441" s="4" t="s">
        <v>9011</v>
      </c>
      <c r="C10441" s="2" t="str">
        <f ca="1">IFERROR(__xludf.DUMMYFUNCTION("GOOGLETRANSLATE(A10441,""bn"",""en"")"),"The little hands will hug me and it will feel like I will get all the strength in the world.")</f>
        <v>The little hands will hug me and it will feel like I will get all the strength in the world.</v>
      </c>
      <c r="D10441" s="5"/>
      <c r="E10441" s="5"/>
      <c r="F10441" s="5"/>
      <c r="G10441" s="5"/>
      <c r="H10441" s="5"/>
      <c r="I10441" s="5"/>
      <c r="J10441" s="5"/>
      <c r="K10441" s="5"/>
      <c r="L10441" s="5"/>
      <c r="M10441" s="5"/>
      <c r="N10441" s="5"/>
      <c r="O10441" s="5"/>
      <c r="P10441" s="5"/>
      <c r="Q10441" s="5"/>
      <c r="R10441" s="5"/>
      <c r="S10441" s="5"/>
      <c r="T10441" s="5"/>
      <c r="U10441" s="5"/>
      <c r="V10441" s="5"/>
      <c r="W10441" s="5"/>
      <c r="X10441" s="5"/>
      <c r="Y10441" s="5"/>
      <c r="Z10441" s="5"/>
    </row>
    <row r="10442" spans="1:26" ht="15" x14ac:dyDescent="0.25">
      <c r="A10442" s="4" t="s">
        <v>10439</v>
      </c>
      <c r="B10442" s="4" t="s">
        <v>9011</v>
      </c>
      <c r="C10442" s="2" t="str">
        <f ca="1">IFERROR(__xludf.DUMMYFUNCTION("GOOGLETRANSLATE(A10442,""bn"",""en"")"),"May your bond grow stronger year after year Happy wedding anniversary Happy and Yameen")</f>
        <v>May your bond grow stronger year after year Happy wedding anniversary Happy and Yameen</v>
      </c>
      <c r="D10442" s="5"/>
      <c r="E10442" s="5"/>
      <c r="F10442" s="5"/>
      <c r="G10442" s="5"/>
      <c r="H10442" s="5"/>
      <c r="I10442" s="5"/>
      <c r="J10442" s="5"/>
      <c r="K10442" s="5"/>
      <c r="L10442" s="5"/>
      <c r="M10442" s="5"/>
      <c r="N10442" s="5"/>
      <c r="O10442" s="5"/>
      <c r="P10442" s="5"/>
      <c r="Q10442" s="5"/>
      <c r="R10442" s="5"/>
      <c r="S10442" s="5"/>
      <c r="T10442" s="5"/>
      <c r="U10442" s="5"/>
      <c r="V10442" s="5"/>
      <c r="W10442" s="5"/>
      <c r="X10442" s="5"/>
      <c r="Y10442" s="5"/>
      <c r="Z10442" s="5"/>
    </row>
    <row r="10443" spans="1:26" ht="15" x14ac:dyDescent="0.25">
      <c r="A10443" s="4" t="s">
        <v>10440</v>
      </c>
      <c r="B10443" s="4" t="s">
        <v>9011</v>
      </c>
      <c r="C10443" s="2" t="str">
        <f ca="1">IFERROR(__xludf.DUMMYFUNCTION("GOOGLETRANSLATE(A10443,""bn"",""en"")"),"Next year I will start my own business where I will create new products")</f>
        <v>Next year I will start my own business where I will create new products</v>
      </c>
      <c r="D10443" s="5"/>
      <c r="E10443" s="5"/>
      <c r="F10443" s="5"/>
      <c r="G10443" s="5"/>
      <c r="H10443" s="5"/>
      <c r="I10443" s="5"/>
      <c r="J10443" s="5"/>
      <c r="K10443" s="5"/>
      <c r="L10443" s="5"/>
      <c r="M10443" s="5"/>
      <c r="N10443" s="5"/>
      <c r="O10443" s="5"/>
      <c r="P10443" s="5"/>
      <c r="Q10443" s="5"/>
      <c r="R10443" s="5"/>
      <c r="S10443" s="5"/>
      <c r="T10443" s="5"/>
      <c r="U10443" s="5"/>
      <c r="V10443" s="5"/>
      <c r="W10443" s="5"/>
      <c r="X10443" s="5"/>
      <c r="Y10443" s="5"/>
      <c r="Z10443" s="5"/>
    </row>
    <row r="10444" spans="1:26" ht="15" x14ac:dyDescent="0.25">
      <c r="A10444" s="4" t="s">
        <v>10441</v>
      </c>
      <c r="B10444" s="4" t="s">
        <v>9011</v>
      </c>
      <c r="C10444" s="2" t="str">
        <f ca="1">IFERROR(__xludf.DUMMYFUNCTION("GOOGLETRANSLATE(A10444,""bn"",""en"")"),"Puri and alubhaji will be a street food delight on rainy days")</f>
        <v>Puri and alubhaji will be a street food delight on rainy days</v>
      </c>
      <c r="D10444" s="5"/>
      <c r="E10444" s="5"/>
      <c r="F10444" s="5"/>
      <c r="G10444" s="5"/>
      <c r="H10444" s="5"/>
      <c r="I10444" s="5"/>
      <c r="J10444" s="5"/>
      <c r="K10444" s="5"/>
      <c r="L10444" s="5"/>
      <c r="M10444" s="5"/>
      <c r="N10444" s="5"/>
      <c r="O10444" s="5"/>
      <c r="P10444" s="5"/>
      <c r="Q10444" s="5"/>
      <c r="R10444" s="5"/>
      <c r="S10444" s="5"/>
      <c r="T10444" s="5"/>
      <c r="U10444" s="5"/>
      <c r="V10444" s="5"/>
      <c r="W10444" s="5"/>
      <c r="X10444" s="5"/>
      <c r="Y10444" s="5"/>
      <c r="Z10444" s="5"/>
    </row>
    <row r="10445" spans="1:26" ht="15" x14ac:dyDescent="0.25">
      <c r="A10445" s="4" t="s">
        <v>10442</v>
      </c>
      <c r="B10445" s="4" t="s">
        <v>9011</v>
      </c>
      <c r="C10445" s="2" t="str">
        <f ca="1">IFERROR(__xludf.DUMMYFUNCTION("GOOGLETRANSLATE(A10445,""bn"",""en"")"),"Every prayer is an opportunity for a new beginning")</f>
        <v>Every prayer is an opportunity for a new beginning</v>
      </c>
      <c r="D10445" s="5"/>
      <c r="E10445" s="5"/>
      <c r="F10445" s="5"/>
      <c r="G10445" s="5"/>
      <c r="H10445" s="5"/>
      <c r="I10445" s="5"/>
      <c r="J10445" s="5"/>
      <c r="K10445" s="5"/>
      <c r="L10445" s="5"/>
      <c r="M10445" s="5"/>
      <c r="N10445" s="5"/>
      <c r="O10445" s="5"/>
      <c r="P10445" s="5"/>
      <c r="Q10445" s="5"/>
      <c r="R10445" s="5"/>
      <c r="S10445" s="5"/>
      <c r="T10445" s="5"/>
      <c r="U10445" s="5"/>
      <c r="V10445" s="5"/>
      <c r="W10445" s="5"/>
      <c r="X10445" s="5"/>
      <c r="Y10445" s="5"/>
      <c r="Z10445" s="5"/>
    </row>
    <row r="10446" spans="1:26" ht="15" x14ac:dyDescent="0.25">
      <c r="A10446" s="4" t="s">
        <v>10443</v>
      </c>
      <c r="B10446" s="4" t="s">
        <v>9011</v>
      </c>
      <c r="C10446" s="2" t="str">
        <f ca="1">IFERROR(__xludf.DUMMYFUNCTION("GOOGLETRANSLATE(A10446,""bn"",""en"")"),"Mother's vermilion children's joyous sound this scene will enchant the mind Happy Durga Puja")</f>
        <v>Mother's vermilion children's joyous sound this scene will enchant the mind Happy Durga Puja</v>
      </c>
      <c r="D10446" s="5"/>
      <c r="E10446" s="5"/>
      <c r="F10446" s="5"/>
      <c r="G10446" s="5"/>
      <c r="H10446" s="5"/>
      <c r="I10446" s="5"/>
      <c r="J10446" s="5"/>
      <c r="K10446" s="5"/>
      <c r="L10446" s="5"/>
      <c r="M10446" s="5"/>
      <c r="N10446" s="5"/>
      <c r="O10446" s="5"/>
      <c r="P10446" s="5"/>
      <c r="Q10446" s="5"/>
      <c r="R10446" s="5"/>
      <c r="S10446" s="5"/>
      <c r="T10446" s="5"/>
      <c r="U10446" s="5"/>
      <c r="V10446" s="5"/>
      <c r="W10446" s="5"/>
      <c r="X10446" s="5"/>
      <c r="Y10446" s="5"/>
      <c r="Z10446" s="5"/>
    </row>
    <row r="10447" spans="1:26" ht="15" x14ac:dyDescent="0.25">
      <c r="A10447" s="4" t="s">
        <v>10444</v>
      </c>
      <c r="B10447" s="4" t="s">
        <v>9011</v>
      </c>
      <c r="C10447" s="2" t="str">
        <f ca="1">IFERROR(__xludf.DUMMYFUNCTION("GOOGLETRANSLATE(A10447,""bn"",""en"")"),"He will participate in a scientific study next year where he will write a paper on the new findings")</f>
        <v>He will participate in a scientific study next year where he will write a paper on the new findings</v>
      </c>
      <c r="D10447" s="5"/>
      <c r="E10447" s="5"/>
      <c r="F10447" s="5"/>
      <c r="G10447" s="5"/>
      <c r="H10447" s="5"/>
      <c r="I10447" s="5"/>
      <c r="J10447" s="5"/>
      <c r="K10447" s="5"/>
      <c r="L10447" s="5"/>
      <c r="M10447" s="5"/>
      <c r="N10447" s="5"/>
      <c r="O10447" s="5"/>
      <c r="P10447" s="5"/>
      <c r="Q10447" s="5"/>
      <c r="R10447" s="5"/>
      <c r="S10447" s="5"/>
      <c r="T10447" s="5"/>
      <c r="U10447" s="5"/>
      <c r="V10447" s="5"/>
      <c r="W10447" s="5"/>
      <c r="X10447" s="5"/>
      <c r="Y10447" s="5"/>
      <c r="Z10447" s="5"/>
    </row>
    <row r="10448" spans="1:26" ht="15" x14ac:dyDescent="0.25">
      <c r="A10448" s="4" t="s">
        <v>10445</v>
      </c>
      <c r="B10448" s="4" t="s">
        <v>9011</v>
      </c>
      <c r="C10448" s="2" t="str">
        <f ca="1">IFERROR(__xludf.DUMMYFUNCTION("GOOGLETRANSLATE(A10448,""bn"",""en"")"),"Take the camera and look around, beauty will be hidden everywhere, just keep an eye to see")</f>
        <v>Take the camera and look around, beauty will be hidden everywhere, just keep an eye to see</v>
      </c>
      <c r="D10448" s="5"/>
      <c r="E10448" s="5"/>
      <c r="F10448" s="5"/>
      <c r="G10448" s="5"/>
      <c r="H10448" s="5"/>
      <c r="I10448" s="5"/>
      <c r="J10448" s="5"/>
      <c r="K10448" s="5"/>
      <c r="L10448" s="5"/>
      <c r="M10448" s="5"/>
      <c r="N10448" s="5"/>
      <c r="O10448" s="5"/>
      <c r="P10448" s="5"/>
      <c r="Q10448" s="5"/>
      <c r="R10448" s="5"/>
      <c r="S10448" s="5"/>
      <c r="T10448" s="5"/>
      <c r="U10448" s="5"/>
      <c r="V10448" s="5"/>
      <c r="W10448" s="5"/>
      <c r="X10448" s="5"/>
      <c r="Y10448" s="5"/>
      <c r="Z10448" s="5"/>
    </row>
    <row r="10449" spans="1:26" ht="15" x14ac:dyDescent="0.25">
      <c r="A10449" s="4" t="s">
        <v>10446</v>
      </c>
      <c r="B10449" s="4" t="s">
        <v>9011</v>
      </c>
      <c r="C10449" s="2" t="str">
        <f ca="1">IFERROR(__xludf.DUMMYFUNCTION("GOOGLETRANSLATE(A10449,""bn"",""en"")"),"The news of Jaya's promotion will make the neighborhood boys jealous again")</f>
        <v>The news of Jaya's promotion will make the neighborhood boys jealous again</v>
      </c>
      <c r="D10449" s="5"/>
      <c r="E10449" s="5"/>
      <c r="F10449" s="5"/>
      <c r="G10449" s="5"/>
      <c r="H10449" s="5"/>
      <c r="I10449" s="5"/>
      <c r="J10449" s="5"/>
      <c r="K10449" s="5"/>
      <c r="L10449" s="5"/>
      <c r="M10449" s="5"/>
      <c r="N10449" s="5"/>
      <c r="O10449" s="5"/>
      <c r="P10449" s="5"/>
      <c r="Q10449" s="5"/>
      <c r="R10449" s="5"/>
      <c r="S10449" s="5"/>
      <c r="T10449" s="5"/>
      <c r="U10449" s="5"/>
      <c r="V10449" s="5"/>
      <c r="W10449" s="5"/>
      <c r="X10449" s="5"/>
      <c r="Y10449" s="5"/>
      <c r="Z10449" s="5"/>
    </row>
    <row r="10450" spans="1:26" ht="15" x14ac:dyDescent="0.25">
      <c r="A10450" s="4" t="s">
        <v>10447</v>
      </c>
      <c r="B10450" s="4" t="s">
        <v>9011</v>
      </c>
      <c r="C10450" s="2" t="str">
        <f ca="1">IFERROR(__xludf.DUMMYFUNCTION("GOOGLETRANSLATE(A10450,""bn"",""en"")"),"Getting inspiration through music If you feel sad or depressed, listen to your favorite song and wake up with new enthusiasm")</f>
        <v>Getting inspiration through music If you feel sad or depressed, listen to your favorite song and wake up with new enthusiasm</v>
      </c>
      <c r="D10450" s="5"/>
      <c r="E10450" s="5"/>
      <c r="F10450" s="5"/>
      <c r="G10450" s="5"/>
      <c r="H10450" s="5"/>
      <c r="I10450" s="5"/>
      <c r="J10450" s="5"/>
      <c r="K10450" s="5"/>
      <c r="L10450" s="5"/>
      <c r="M10450" s="5"/>
      <c r="N10450" s="5"/>
      <c r="O10450" s="5"/>
      <c r="P10450" s="5"/>
      <c r="Q10450" s="5"/>
      <c r="R10450" s="5"/>
      <c r="S10450" s="5"/>
      <c r="T10450" s="5"/>
      <c r="U10450" s="5"/>
      <c r="V10450" s="5"/>
      <c r="W10450" s="5"/>
      <c r="X10450" s="5"/>
      <c r="Y10450" s="5"/>
      <c r="Z10450" s="5"/>
    </row>
    <row r="10451" spans="1:26" ht="15" x14ac:dyDescent="0.25">
      <c r="A10451" s="4" t="s">
        <v>10448</v>
      </c>
      <c r="B10451" s="4" t="s">
        <v>9011</v>
      </c>
      <c r="C10451" s="2" t="str">
        <f ca="1">IFERROR(__xludf.DUMMYFUNCTION("GOOGLETRANSLATE(A10451,""bn"",""en"")"),"My life friendship will get a new color which is good to think")</f>
        <v>My life friendship will get a new color which is good to think</v>
      </c>
      <c r="D10451" s="5"/>
      <c r="E10451" s="5"/>
      <c r="F10451" s="5"/>
      <c r="G10451" s="5"/>
      <c r="H10451" s="5"/>
      <c r="I10451" s="5"/>
      <c r="J10451" s="5"/>
      <c r="K10451" s="5"/>
      <c r="L10451" s="5"/>
      <c r="M10451" s="5"/>
      <c r="N10451" s="5"/>
      <c r="O10451" s="5"/>
      <c r="P10451" s="5"/>
      <c r="Q10451" s="5"/>
      <c r="R10451" s="5"/>
      <c r="S10451" s="5"/>
      <c r="T10451" s="5"/>
      <c r="U10451" s="5"/>
      <c r="V10451" s="5"/>
      <c r="W10451" s="5"/>
      <c r="X10451" s="5"/>
      <c r="Y10451" s="5"/>
      <c r="Z10451" s="5"/>
    </row>
    <row r="10452" spans="1:26" ht="15" x14ac:dyDescent="0.25">
      <c r="A10452" s="4" t="s">
        <v>10449</v>
      </c>
      <c r="B10452" s="4" t="s">
        <v>9011</v>
      </c>
      <c r="C10452" s="2" t="str">
        <f ca="1">IFERROR(__xludf.DUMMYFUNCTION("GOOGLETRANSLATE(A10452,""bn"",""en"")"),"You have to work hard in life, if you work hard like a donkey, you have to work wisely")</f>
        <v>You have to work hard in life, if you work hard like a donkey, you have to work wisely</v>
      </c>
      <c r="D10452" s="5"/>
      <c r="E10452" s="5"/>
      <c r="F10452" s="5"/>
      <c r="G10452" s="5"/>
      <c r="H10452" s="5"/>
      <c r="I10452" s="5"/>
      <c r="J10452" s="5"/>
      <c r="K10452" s="5"/>
      <c r="L10452" s="5"/>
      <c r="M10452" s="5"/>
      <c r="N10452" s="5"/>
      <c r="O10452" s="5"/>
      <c r="P10452" s="5"/>
      <c r="Q10452" s="5"/>
      <c r="R10452" s="5"/>
      <c r="S10452" s="5"/>
      <c r="T10452" s="5"/>
      <c r="U10452" s="5"/>
      <c r="V10452" s="5"/>
      <c r="W10452" s="5"/>
      <c r="X10452" s="5"/>
      <c r="Y10452" s="5"/>
      <c r="Z10452" s="5"/>
    </row>
    <row r="10453" spans="1:26" ht="15" x14ac:dyDescent="0.25">
      <c r="A10453" s="4" t="s">
        <v>10450</v>
      </c>
      <c r="B10453" s="4" t="s">
        <v>9011</v>
      </c>
      <c r="C10453" s="2" t="str">
        <f ca="1">IFERROR(__xludf.DUMMYFUNCTION("GOOGLETRANSLATE(A10453,""bn"",""en"")"),"They will buy a new computer tomorrow")</f>
        <v>They will buy a new computer tomorrow</v>
      </c>
      <c r="D10453" s="5"/>
      <c r="E10453" s="5"/>
      <c r="F10453" s="5"/>
      <c r="G10453" s="5"/>
      <c r="H10453" s="5"/>
      <c r="I10453" s="5"/>
      <c r="J10453" s="5"/>
      <c r="K10453" s="5"/>
      <c r="L10453" s="5"/>
      <c r="M10453" s="5"/>
      <c r="N10453" s="5"/>
      <c r="O10453" s="5"/>
      <c r="P10453" s="5"/>
      <c r="Q10453" s="5"/>
      <c r="R10453" s="5"/>
      <c r="S10453" s="5"/>
      <c r="T10453" s="5"/>
      <c r="U10453" s="5"/>
      <c r="V10453" s="5"/>
      <c r="W10453" s="5"/>
      <c r="X10453" s="5"/>
      <c r="Y10453" s="5"/>
      <c r="Z10453" s="5"/>
    </row>
    <row r="10454" spans="1:26" ht="15" x14ac:dyDescent="0.25">
      <c r="A10454" s="4" t="s">
        <v>10451</v>
      </c>
      <c r="B10454" s="4" t="s">
        <v>9011</v>
      </c>
      <c r="C10454" s="2" t="str">
        <f ca="1">IFERROR(__xludf.DUMMYFUNCTION("GOOGLETRANSLATE(A10454,""bn"",""en"")"),"They will make a big show next year with better quality medical care")</f>
        <v>They will make a big show next year with better quality medical care</v>
      </c>
      <c r="D10454" s="5"/>
      <c r="E10454" s="5"/>
      <c r="F10454" s="5"/>
      <c r="G10454" s="5"/>
      <c r="H10454" s="5"/>
      <c r="I10454" s="5"/>
      <c r="J10454" s="5"/>
      <c r="K10454" s="5"/>
      <c r="L10454" s="5"/>
      <c r="M10454" s="5"/>
      <c r="N10454" s="5"/>
      <c r="O10454" s="5"/>
      <c r="P10454" s="5"/>
      <c r="Q10454" s="5"/>
      <c r="R10454" s="5"/>
      <c r="S10454" s="5"/>
      <c r="T10454" s="5"/>
      <c r="U10454" s="5"/>
      <c r="V10454" s="5"/>
      <c r="W10454" s="5"/>
      <c r="X10454" s="5"/>
      <c r="Y10454" s="5"/>
      <c r="Z10454" s="5"/>
    </row>
    <row r="10455" spans="1:26" ht="15" x14ac:dyDescent="0.25">
      <c r="A10455" s="4" t="s">
        <v>10452</v>
      </c>
      <c r="B10455" s="4" t="s">
        <v>9011</v>
      </c>
      <c r="C10455" s="2" t="str">
        <f ca="1">IFERROR(__xludf.DUMMYFUNCTION("GOOGLETRANSLATE(A10455,""bn"",""en"")"),"I will build a happy family in the future")</f>
        <v>I will build a happy family in the future</v>
      </c>
      <c r="D10455" s="5"/>
      <c r="E10455" s="5"/>
      <c r="F10455" s="5"/>
      <c r="G10455" s="5"/>
      <c r="H10455" s="5"/>
      <c r="I10455" s="5"/>
      <c r="J10455" s="5"/>
      <c r="K10455" s="5"/>
      <c r="L10455" s="5"/>
      <c r="M10455" s="5"/>
      <c r="N10455" s="5"/>
      <c r="O10455" s="5"/>
      <c r="P10455" s="5"/>
      <c r="Q10455" s="5"/>
      <c r="R10455" s="5"/>
      <c r="S10455" s="5"/>
      <c r="T10455" s="5"/>
      <c r="U10455" s="5"/>
      <c r="V10455" s="5"/>
      <c r="W10455" s="5"/>
      <c r="X10455" s="5"/>
      <c r="Y10455" s="5"/>
      <c r="Z10455" s="5"/>
    </row>
    <row r="10456" spans="1:26" ht="15" x14ac:dyDescent="0.25">
      <c r="A10456" s="4" t="s">
        <v>10453</v>
      </c>
      <c r="B10456" s="4" t="s">
        <v>9011</v>
      </c>
      <c r="C10456" s="2" t="str">
        <f ca="1">IFERROR(__xludf.DUMMYFUNCTION("GOOGLETRANSLATE(A10456,""bn"",""en"")"),"Confidence and happiness will increase through exercise, healthy people will face happiness")</f>
        <v>Confidence and happiness will increase through exercise, healthy people will face happiness</v>
      </c>
      <c r="D10456" s="5"/>
      <c r="E10456" s="5"/>
      <c r="F10456" s="5"/>
      <c r="G10456" s="5"/>
      <c r="H10456" s="5"/>
      <c r="I10456" s="5"/>
      <c r="J10456" s="5"/>
      <c r="K10456" s="5"/>
      <c r="L10456" s="5"/>
      <c r="M10456" s="5"/>
      <c r="N10456" s="5"/>
      <c r="O10456" s="5"/>
      <c r="P10456" s="5"/>
      <c r="Q10456" s="5"/>
      <c r="R10456" s="5"/>
      <c r="S10456" s="5"/>
      <c r="T10456" s="5"/>
      <c r="U10456" s="5"/>
      <c r="V10456" s="5"/>
      <c r="W10456" s="5"/>
      <c r="X10456" s="5"/>
      <c r="Y10456" s="5"/>
      <c r="Z10456" s="5"/>
    </row>
    <row r="10457" spans="1:26" ht="15" x14ac:dyDescent="0.25">
      <c r="A10457" s="4" t="s">
        <v>10454</v>
      </c>
      <c r="B10457" s="4" t="s">
        <v>9011</v>
      </c>
      <c r="C10457" s="2" t="str">
        <f ca="1">IFERROR(__xludf.DUMMYFUNCTION("GOOGLETRANSLATE(A10457,""bn"",""en"")"),"One day I may be as bright as the stars in the sky")</f>
        <v>One day I may be as bright as the stars in the sky</v>
      </c>
      <c r="D10457" s="5"/>
      <c r="E10457" s="5"/>
      <c r="F10457" s="5"/>
      <c r="G10457" s="5"/>
      <c r="H10457" s="5"/>
      <c r="I10457" s="5"/>
      <c r="J10457" s="5"/>
      <c r="K10457" s="5"/>
      <c r="L10457" s="5"/>
      <c r="M10457" s="5"/>
      <c r="N10457" s="5"/>
      <c r="O10457" s="5"/>
      <c r="P10457" s="5"/>
      <c r="Q10457" s="5"/>
      <c r="R10457" s="5"/>
      <c r="S10457" s="5"/>
      <c r="T10457" s="5"/>
      <c r="U10457" s="5"/>
      <c r="V10457" s="5"/>
      <c r="W10457" s="5"/>
      <c r="X10457" s="5"/>
      <c r="Y10457" s="5"/>
      <c r="Z10457" s="5"/>
    </row>
    <row r="10458" spans="1:26" ht="15" x14ac:dyDescent="0.25">
      <c r="A10458" s="4" t="s">
        <v>10455</v>
      </c>
      <c r="B10458" s="4" t="s">
        <v>9011</v>
      </c>
      <c r="C10458" s="2" t="str">
        <f ca="1">IFERROR(__xludf.DUMMYFUNCTION("GOOGLETRANSLATE(A10458,""bn"",""en"")"),"The first cinema hall experience will be so beautiful that I will still be humming the song from that film")</f>
        <v>The first cinema hall experience will be so beautiful that I will still be humming the song from that film</v>
      </c>
      <c r="D10458" s="5"/>
      <c r="E10458" s="5"/>
      <c r="F10458" s="5"/>
      <c r="G10458" s="5"/>
      <c r="H10458" s="5"/>
      <c r="I10458" s="5"/>
      <c r="J10458" s="5"/>
      <c r="K10458" s="5"/>
      <c r="L10458" s="5"/>
      <c r="M10458" s="5"/>
      <c r="N10458" s="5"/>
      <c r="O10458" s="5"/>
      <c r="P10458" s="5"/>
      <c r="Q10458" s="5"/>
      <c r="R10458" s="5"/>
      <c r="S10458" s="5"/>
      <c r="T10458" s="5"/>
      <c r="U10458" s="5"/>
      <c r="V10458" s="5"/>
      <c r="W10458" s="5"/>
      <c r="X10458" s="5"/>
      <c r="Y10458" s="5"/>
      <c r="Z10458" s="5"/>
    </row>
    <row r="10459" spans="1:26" ht="15" x14ac:dyDescent="0.25">
      <c r="A10459" s="4" t="s">
        <v>10456</v>
      </c>
      <c r="B10459" s="4" t="s">
        <v>9011</v>
      </c>
      <c r="C10459" s="2" t="str">
        <f ca="1">IFERROR(__xludf.DUMMYFUNCTION("GOOGLETRANSLATE(A10459,""bn"",""en"")"),"Will you continue to leave the house with us?")</f>
        <v>Will you continue to leave the house with us?</v>
      </c>
      <c r="D10459" s="5"/>
      <c r="E10459" s="5"/>
      <c r="F10459" s="5"/>
      <c r="G10459" s="5"/>
      <c r="H10459" s="5"/>
      <c r="I10459" s="5"/>
      <c r="J10459" s="5"/>
      <c r="K10459" s="5"/>
      <c r="L10459" s="5"/>
      <c r="M10459" s="5"/>
      <c r="N10459" s="5"/>
      <c r="O10459" s="5"/>
      <c r="P10459" s="5"/>
      <c r="Q10459" s="5"/>
      <c r="R10459" s="5"/>
      <c r="S10459" s="5"/>
      <c r="T10459" s="5"/>
      <c r="U10459" s="5"/>
      <c r="V10459" s="5"/>
      <c r="W10459" s="5"/>
      <c r="X10459" s="5"/>
      <c r="Y10459" s="5"/>
      <c r="Z10459" s="5"/>
    </row>
    <row r="10460" spans="1:26" ht="15" x14ac:dyDescent="0.25">
      <c r="A10460" s="4" t="s">
        <v>10457</v>
      </c>
      <c r="B10460" s="4" t="s">
        <v>9011</v>
      </c>
      <c r="C10460" s="2" t="str">
        <f ca="1">IFERROR(__xludf.DUMMYFUNCTION("GOOGLETRANSLATE(A10460,""bn"",""en"")"),"Like the sky, our dreams will have no limits")</f>
        <v>Like the sky, our dreams will have no limits</v>
      </c>
      <c r="D10460" s="5"/>
      <c r="E10460" s="5"/>
      <c r="F10460" s="5"/>
      <c r="G10460" s="5"/>
      <c r="H10460" s="5"/>
      <c r="I10460" s="5"/>
      <c r="J10460" s="5"/>
      <c r="K10460" s="5"/>
      <c r="L10460" s="5"/>
      <c r="M10460" s="5"/>
      <c r="N10460" s="5"/>
      <c r="O10460" s="5"/>
      <c r="P10460" s="5"/>
      <c r="Q10460" s="5"/>
      <c r="R10460" s="5"/>
      <c r="S10460" s="5"/>
      <c r="T10460" s="5"/>
      <c r="U10460" s="5"/>
      <c r="V10460" s="5"/>
      <c r="W10460" s="5"/>
      <c r="X10460" s="5"/>
      <c r="Y10460" s="5"/>
      <c r="Z10460" s="5"/>
    </row>
    <row r="10461" spans="1:26" ht="15" x14ac:dyDescent="0.25">
      <c r="A10461" s="4" t="s">
        <v>10458</v>
      </c>
      <c r="B10461" s="4" t="s">
        <v>9011</v>
      </c>
      <c r="C10461" s="2" t="str">
        <f ca="1">IFERROR(__xludf.DUMMYFUNCTION("GOOGLETRANSLATE(A10461,""bn"",""en"")"),"In the future I will work in an international organization where I will work with people from different countries around the world")</f>
        <v>In the future I will work in an international organization where I will work with people from different countries around the world</v>
      </c>
      <c r="D10461" s="5"/>
      <c r="E10461" s="5"/>
      <c r="F10461" s="5"/>
      <c r="G10461" s="5"/>
      <c r="H10461" s="5"/>
      <c r="I10461" s="5"/>
      <c r="J10461" s="5"/>
      <c r="K10461" s="5"/>
      <c r="L10461" s="5"/>
      <c r="M10461" s="5"/>
      <c r="N10461" s="5"/>
      <c r="O10461" s="5"/>
      <c r="P10461" s="5"/>
      <c r="Q10461" s="5"/>
      <c r="R10461" s="5"/>
      <c r="S10461" s="5"/>
      <c r="T10461" s="5"/>
      <c r="U10461" s="5"/>
      <c r="V10461" s="5"/>
      <c r="W10461" s="5"/>
      <c r="X10461" s="5"/>
      <c r="Y10461" s="5"/>
      <c r="Z10461" s="5"/>
    </row>
    <row r="10462" spans="1:26" ht="15" x14ac:dyDescent="0.25">
      <c r="A10462" s="4" t="s">
        <v>10459</v>
      </c>
      <c r="B10462" s="4" t="s">
        <v>9011</v>
      </c>
      <c r="C10462" s="2" t="str">
        <f ca="1">IFERROR(__xludf.DUMMYFUNCTION("GOOGLETRANSLATE(A10462,""bn"",""en"")"),"Colorful pictures sweet music funny dance art we will experience happiness through the art the sweetness of the colors of the picture the sweetness of the music and the sweetness of the dance movements all will light up our mind with the light of joy and "&amp;"we will be really happy with the thought of the art.")</f>
        <v>Colorful pictures sweet music funny dance art we will experience happiness through the art the sweetness of the colors of the picture the sweetness of the music and the sweetness of the dance movements all will light up our mind with the light of joy and we will be really happy with the thought of the art.</v>
      </c>
      <c r="D10462" s="5"/>
      <c r="E10462" s="5"/>
      <c r="F10462" s="5"/>
      <c r="G10462" s="5"/>
      <c r="H10462" s="5"/>
      <c r="I10462" s="5"/>
      <c r="J10462" s="5"/>
      <c r="K10462" s="5"/>
      <c r="L10462" s="5"/>
      <c r="M10462" s="5"/>
      <c r="N10462" s="5"/>
      <c r="O10462" s="5"/>
      <c r="P10462" s="5"/>
      <c r="Q10462" s="5"/>
      <c r="R10462" s="5"/>
      <c r="S10462" s="5"/>
      <c r="T10462" s="5"/>
      <c r="U10462" s="5"/>
      <c r="V10462" s="5"/>
      <c r="W10462" s="5"/>
      <c r="X10462" s="5"/>
      <c r="Y10462" s="5"/>
      <c r="Z10462" s="5"/>
    </row>
    <row r="10463" spans="1:26" ht="15" x14ac:dyDescent="0.25">
      <c r="A10463" s="4" t="s">
        <v>10460</v>
      </c>
      <c r="B10463" s="4" t="s">
        <v>9011</v>
      </c>
      <c r="C10463" s="2" t="str">
        <f ca="1">IFERROR(__xludf.DUMMYFUNCTION("GOOGLETRANSLATE(A10463,""bn"",""en"")"),"They had a complete plan when they launched the new business")</f>
        <v>They had a complete plan when they launched the new business</v>
      </c>
      <c r="D10463" s="5"/>
      <c r="E10463" s="5"/>
      <c r="F10463" s="5"/>
      <c r="G10463" s="5"/>
      <c r="H10463" s="5"/>
      <c r="I10463" s="5"/>
      <c r="J10463" s="5"/>
      <c r="K10463" s="5"/>
      <c r="L10463" s="5"/>
      <c r="M10463" s="5"/>
      <c r="N10463" s="5"/>
      <c r="O10463" s="5"/>
      <c r="P10463" s="5"/>
      <c r="Q10463" s="5"/>
      <c r="R10463" s="5"/>
      <c r="S10463" s="5"/>
      <c r="T10463" s="5"/>
      <c r="U10463" s="5"/>
      <c r="V10463" s="5"/>
      <c r="W10463" s="5"/>
      <c r="X10463" s="5"/>
      <c r="Y10463" s="5"/>
      <c r="Z10463" s="5"/>
    </row>
    <row r="10464" spans="1:26" ht="15" x14ac:dyDescent="0.25">
      <c r="A10464" s="4" t="s">
        <v>10461</v>
      </c>
      <c r="B10464" s="4" t="s">
        <v>9011</v>
      </c>
      <c r="C10464" s="2" t="str">
        <f ca="1">IFERROR(__xludf.DUMMYFUNCTION("GOOGLETRANSLATE(A10464,""bn"",""en"")"),"After watching this picture you will want to chat with your friends")</f>
        <v>After watching this picture you will want to chat with your friends</v>
      </c>
      <c r="D10464" s="5"/>
      <c r="E10464" s="5"/>
      <c r="F10464" s="5"/>
      <c r="G10464" s="5"/>
      <c r="H10464" s="5"/>
      <c r="I10464" s="5"/>
      <c r="J10464" s="5"/>
      <c r="K10464" s="5"/>
      <c r="L10464" s="5"/>
      <c r="M10464" s="5"/>
      <c r="N10464" s="5"/>
      <c r="O10464" s="5"/>
      <c r="P10464" s="5"/>
      <c r="Q10464" s="5"/>
      <c r="R10464" s="5"/>
      <c r="S10464" s="5"/>
      <c r="T10464" s="5"/>
      <c r="U10464" s="5"/>
      <c r="V10464" s="5"/>
      <c r="W10464" s="5"/>
      <c r="X10464" s="5"/>
      <c r="Y10464" s="5"/>
      <c r="Z10464" s="5"/>
    </row>
    <row r="10465" spans="1:26" ht="15" x14ac:dyDescent="0.25">
      <c r="A10465" s="4" t="s">
        <v>10462</v>
      </c>
      <c r="B10465" s="4" t="s">
        <v>9011</v>
      </c>
      <c r="C10465" s="2" t="str">
        <f ca="1">IFERROR(__xludf.DUMMYFUNCTION("GOOGLETRANSLATE(A10465,""bn"",""en"")"),"I will be staying in Dhaka next week")</f>
        <v>I will be staying in Dhaka next week</v>
      </c>
      <c r="D10465" s="5"/>
      <c r="E10465" s="5"/>
      <c r="F10465" s="5"/>
      <c r="G10465" s="5"/>
      <c r="H10465" s="5"/>
      <c r="I10465" s="5"/>
      <c r="J10465" s="5"/>
      <c r="K10465" s="5"/>
      <c r="L10465" s="5"/>
      <c r="M10465" s="5"/>
      <c r="N10465" s="5"/>
      <c r="O10465" s="5"/>
      <c r="P10465" s="5"/>
      <c r="Q10465" s="5"/>
      <c r="R10465" s="5"/>
      <c r="S10465" s="5"/>
      <c r="T10465" s="5"/>
      <c r="U10465" s="5"/>
      <c r="V10465" s="5"/>
      <c r="W10465" s="5"/>
      <c r="X10465" s="5"/>
      <c r="Y10465" s="5"/>
      <c r="Z10465" s="5"/>
    </row>
    <row r="10466" spans="1:26" ht="15" x14ac:dyDescent="0.25">
      <c r="A10466" s="4" t="s">
        <v>10463</v>
      </c>
      <c r="B10466" s="4" t="s">
        <v>9011</v>
      </c>
      <c r="C10466" s="2" t="str">
        <f ca="1">IFERROR(__xludf.DUMMYFUNCTION("GOOGLETRANSLATE(A10466,""bn"",""en"")"),"We will set up a bigger factory next year which will double our production capacity")</f>
        <v>We will set up a bigger factory next year which will double our production capacity</v>
      </c>
      <c r="D10466" s="5"/>
      <c r="E10466" s="5"/>
      <c r="F10466" s="5"/>
      <c r="G10466" s="5"/>
      <c r="H10466" s="5"/>
      <c r="I10466" s="5"/>
      <c r="J10466" s="5"/>
      <c r="K10466" s="5"/>
      <c r="L10466" s="5"/>
      <c r="M10466" s="5"/>
      <c r="N10466" s="5"/>
      <c r="O10466" s="5"/>
      <c r="P10466" s="5"/>
      <c r="Q10466" s="5"/>
      <c r="R10466" s="5"/>
      <c r="S10466" s="5"/>
      <c r="T10466" s="5"/>
      <c r="U10466" s="5"/>
      <c r="V10466" s="5"/>
      <c r="W10466" s="5"/>
      <c r="X10466" s="5"/>
      <c r="Y10466" s="5"/>
      <c r="Z10466" s="5"/>
    </row>
    <row r="10467" spans="1:26" ht="15" x14ac:dyDescent="0.25">
      <c r="A10467" s="4" t="s">
        <v>10464</v>
      </c>
      <c r="B10467" s="4" t="s">
        <v>9011</v>
      </c>
      <c r="C10467" s="2" t="str">
        <f ca="1">IFERROR(__xludf.DUMMYFUNCTION("GOOGLETRANSLATE(A10467,""bn"",""en"")"),"I will develop a water conservation program that will help reduce water wastage")</f>
        <v>I will develop a water conservation program that will help reduce water wastage</v>
      </c>
      <c r="D10467" s="5"/>
      <c r="E10467" s="5"/>
      <c r="F10467" s="5"/>
      <c r="G10467" s="5"/>
      <c r="H10467" s="5"/>
      <c r="I10467" s="5"/>
      <c r="J10467" s="5"/>
      <c r="K10467" s="5"/>
      <c r="L10467" s="5"/>
      <c r="M10467" s="5"/>
      <c r="N10467" s="5"/>
      <c r="O10467" s="5"/>
      <c r="P10467" s="5"/>
      <c r="Q10467" s="5"/>
      <c r="R10467" s="5"/>
      <c r="S10467" s="5"/>
      <c r="T10467" s="5"/>
      <c r="U10467" s="5"/>
      <c r="V10467" s="5"/>
      <c r="W10467" s="5"/>
      <c r="X10467" s="5"/>
      <c r="Y10467" s="5"/>
      <c r="Z10467" s="5"/>
    </row>
    <row r="10468" spans="1:26" ht="15" x14ac:dyDescent="0.25">
      <c r="A10468" s="4" t="s">
        <v>10465</v>
      </c>
      <c r="B10468" s="4" t="s">
        <v>9011</v>
      </c>
      <c r="C10468" s="2" t="str">
        <f ca="1">IFERROR(__xludf.DUMMYFUNCTION("GOOGLETRANSLATE(A10468,""bn"",""en"")"),"Bangladesh Sri Lanka match will be a bit more crowded than India Pakistan match")</f>
        <v>Bangladesh Sri Lanka match will be a bit more crowded than India Pakistan match</v>
      </c>
      <c r="D10468" s="5"/>
      <c r="E10468" s="5"/>
      <c r="F10468" s="5"/>
      <c r="G10468" s="5"/>
      <c r="H10468" s="5"/>
      <c r="I10468" s="5"/>
      <c r="J10468" s="5"/>
      <c r="K10468" s="5"/>
      <c r="L10468" s="5"/>
      <c r="M10468" s="5"/>
      <c r="N10468" s="5"/>
      <c r="O10468" s="5"/>
      <c r="P10468" s="5"/>
      <c r="Q10468" s="5"/>
      <c r="R10468" s="5"/>
      <c r="S10468" s="5"/>
      <c r="T10468" s="5"/>
      <c r="U10468" s="5"/>
      <c r="V10468" s="5"/>
      <c r="W10468" s="5"/>
      <c r="X10468" s="5"/>
      <c r="Y10468" s="5"/>
      <c r="Z10468" s="5"/>
    </row>
    <row r="10469" spans="1:26" ht="15" x14ac:dyDescent="0.25">
      <c r="A10469" s="4" t="s">
        <v>10466</v>
      </c>
      <c r="B10469" s="4" t="s">
        <v>9011</v>
      </c>
      <c r="C10469" s="2" t="str">
        <f ca="1">IFERROR(__xludf.DUMMYFUNCTION("GOOGLETRANSLATE(A10469,""bn"",""en"")"),"They will participate in an international competition next month that will assess their talent")</f>
        <v>They will participate in an international competition next month that will assess their talent</v>
      </c>
      <c r="D10469" s="5"/>
      <c r="E10469" s="5"/>
      <c r="F10469" s="5"/>
      <c r="G10469" s="5"/>
      <c r="H10469" s="5"/>
      <c r="I10469" s="5"/>
      <c r="J10469" s="5"/>
      <c r="K10469" s="5"/>
      <c r="L10469" s="5"/>
      <c r="M10469" s="5"/>
      <c r="N10469" s="5"/>
      <c r="O10469" s="5"/>
      <c r="P10469" s="5"/>
      <c r="Q10469" s="5"/>
      <c r="R10469" s="5"/>
      <c r="S10469" s="5"/>
      <c r="T10469" s="5"/>
      <c r="U10469" s="5"/>
      <c r="V10469" s="5"/>
      <c r="W10469" s="5"/>
      <c r="X10469" s="5"/>
      <c r="Y10469" s="5"/>
      <c r="Z10469" s="5"/>
    </row>
    <row r="10470" spans="1:26" ht="15" x14ac:dyDescent="0.25">
      <c r="A10470" s="4" t="s">
        <v>10467</v>
      </c>
      <c r="B10470" s="4" t="s">
        <v>9011</v>
      </c>
      <c r="C10470" s="2" t="str">
        <f ca="1">IFERROR(__xludf.DUMMYFUNCTION("GOOGLETRANSLATE(A10470,""bn"",""en"")"),"He will start a new startup next year that will revolutionize the technology field")</f>
        <v>He will start a new startup next year that will revolutionize the technology field</v>
      </c>
      <c r="D10470" s="5"/>
      <c r="E10470" s="5"/>
      <c r="F10470" s="5"/>
      <c r="G10470" s="5"/>
      <c r="H10470" s="5"/>
      <c r="I10470" s="5"/>
      <c r="J10470" s="5"/>
      <c r="K10470" s="5"/>
      <c r="L10470" s="5"/>
      <c r="M10470" s="5"/>
      <c r="N10470" s="5"/>
      <c r="O10470" s="5"/>
      <c r="P10470" s="5"/>
      <c r="Q10470" s="5"/>
      <c r="R10470" s="5"/>
      <c r="S10470" s="5"/>
      <c r="T10470" s="5"/>
      <c r="U10470" s="5"/>
      <c r="V10470" s="5"/>
      <c r="W10470" s="5"/>
      <c r="X10470" s="5"/>
      <c r="Y10470" s="5"/>
      <c r="Z10470" s="5"/>
    </row>
    <row r="10471" spans="1:26" ht="15" x14ac:dyDescent="0.25">
      <c r="A10471" s="4" t="s">
        <v>10468</v>
      </c>
      <c r="B10471" s="4" t="s">
        <v>9011</v>
      </c>
      <c r="C10471" s="2" t="str">
        <f ca="1">IFERROR(__xludf.DUMMYFUNCTION("GOOGLETRANSLATE(A10471,""bn"",""en"")"),"They will go tomorrow to organize flower planting in a resistant campus in Bagan")</f>
        <v>They will go tomorrow to organize flower planting in a resistant campus in Bagan</v>
      </c>
      <c r="D10471" s="5"/>
      <c r="E10471" s="5"/>
      <c r="F10471" s="5"/>
      <c r="G10471" s="5"/>
      <c r="H10471" s="5"/>
      <c r="I10471" s="5"/>
      <c r="J10471" s="5"/>
      <c r="K10471" s="5"/>
      <c r="L10471" s="5"/>
      <c r="M10471" s="5"/>
      <c r="N10471" s="5"/>
      <c r="O10471" s="5"/>
      <c r="P10471" s="5"/>
      <c r="Q10471" s="5"/>
      <c r="R10471" s="5"/>
      <c r="S10471" s="5"/>
      <c r="T10471" s="5"/>
      <c r="U10471" s="5"/>
      <c r="V10471" s="5"/>
      <c r="W10471" s="5"/>
      <c r="X10471" s="5"/>
      <c r="Y10471" s="5"/>
      <c r="Z10471" s="5"/>
    </row>
    <row r="10472" spans="1:26" ht="15" x14ac:dyDescent="0.25">
      <c r="A10472" s="4" t="s">
        <v>10469</v>
      </c>
      <c r="B10472" s="4" t="s">
        <v>9011</v>
      </c>
      <c r="C10472" s="2" t="str">
        <f ca="1">IFERROR(__xludf.DUMMYFUNCTION("GOOGLETRANSLATE(A10472,""bn"",""en"")"),"We will have all the work done next week as we work towards the completion of our project")</f>
        <v>We will have all the work done next week as we work towards the completion of our project</v>
      </c>
      <c r="D10472" s="5"/>
      <c r="E10472" s="5"/>
      <c r="F10472" s="5"/>
      <c r="G10472" s="5"/>
      <c r="H10472" s="5"/>
      <c r="I10472" s="5"/>
      <c r="J10472" s="5"/>
      <c r="K10472" s="5"/>
      <c r="L10472" s="5"/>
      <c r="M10472" s="5"/>
      <c r="N10472" s="5"/>
      <c r="O10472" s="5"/>
      <c r="P10472" s="5"/>
      <c r="Q10472" s="5"/>
      <c r="R10472" s="5"/>
      <c r="S10472" s="5"/>
      <c r="T10472" s="5"/>
      <c r="U10472" s="5"/>
      <c r="V10472" s="5"/>
      <c r="W10472" s="5"/>
      <c r="X10472" s="5"/>
      <c r="Y10472" s="5"/>
      <c r="Z10472" s="5"/>
    </row>
    <row r="10473" spans="1:26" ht="15" x14ac:dyDescent="0.25">
      <c r="A10473" s="4" t="s">
        <v>10470</v>
      </c>
      <c r="B10473" s="4" t="s">
        <v>9011</v>
      </c>
      <c r="C10473" s="2" t="str">
        <f ca="1">IFERROR(__xludf.DUMMYFUNCTION("GOOGLETRANSLATE(A10473,""bn"",""en"")"),"We will be ready for next week by making all necessary business preparations")</f>
        <v>We will be ready for next week by making all necessary business preparations</v>
      </c>
      <c r="D10473" s="5"/>
      <c r="E10473" s="5"/>
      <c r="F10473" s="5"/>
      <c r="G10473" s="5"/>
      <c r="H10473" s="5"/>
      <c r="I10473" s="5"/>
      <c r="J10473" s="5"/>
      <c r="K10473" s="5"/>
      <c r="L10473" s="5"/>
      <c r="M10473" s="5"/>
      <c r="N10473" s="5"/>
      <c r="O10473" s="5"/>
      <c r="P10473" s="5"/>
      <c r="Q10473" s="5"/>
      <c r="R10473" s="5"/>
      <c r="S10473" s="5"/>
      <c r="T10473" s="5"/>
      <c r="U10473" s="5"/>
      <c r="V10473" s="5"/>
      <c r="W10473" s="5"/>
      <c r="X10473" s="5"/>
      <c r="Y10473" s="5"/>
      <c r="Z10473" s="5"/>
    </row>
    <row r="10474" spans="1:26" ht="15" x14ac:dyDescent="0.25">
      <c r="A10474" s="4" t="s">
        <v>10471</v>
      </c>
      <c r="B10474" s="4" t="s">
        <v>9011</v>
      </c>
      <c r="C10474" s="2" t="str">
        <f ca="1">IFERROR(__xludf.DUMMYFUNCTION("GOOGLETRANSLATE(A10474,""bn"",""en"")"),"For those who practice singing, nighttime practice is the perfect time to practice and enjoy working on developing your singing technique.")</f>
        <v>For those who practice singing, nighttime practice is the perfect time to practice and enjoy working on developing your singing technique.</v>
      </c>
      <c r="D10474" s="5"/>
      <c r="E10474" s="5"/>
      <c r="F10474" s="5"/>
      <c r="G10474" s="5"/>
      <c r="H10474" s="5"/>
      <c r="I10474" s="5"/>
      <c r="J10474" s="5"/>
      <c r="K10474" s="5"/>
      <c r="L10474" s="5"/>
      <c r="M10474" s="5"/>
      <c r="N10474" s="5"/>
      <c r="O10474" s="5"/>
      <c r="P10474" s="5"/>
      <c r="Q10474" s="5"/>
      <c r="R10474" s="5"/>
      <c r="S10474" s="5"/>
      <c r="T10474" s="5"/>
      <c r="U10474" s="5"/>
      <c r="V10474" s="5"/>
      <c r="W10474" s="5"/>
      <c r="X10474" s="5"/>
      <c r="Y10474" s="5"/>
      <c r="Z10474" s="5"/>
    </row>
    <row r="10475" spans="1:26" ht="15" x14ac:dyDescent="0.25">
      <c r="A10475" s="4" t="s">
        <v>10472</v>
      </c>
      <c r="B10475" s="4" t="s">
        <v>9011</v>
      </c>
      <c r="C10475" s="2" t="str">
        <f ca="1">IFERROR(__xludf.DUMMYFUNCTION("GOOGLETRANSLATE(A10475,""bn"",""en"")"),"Next year we will organize a scientific fair where new innovations will be showcased")</f>
        <v>Next year we will organize a scientific fair where new innovations will be showcased</v>
      </c>
      <c r="D10475" s="5"/>
      <c r="E10475" s="5"/>
      <c r="F10475" s="5"/>
      <c r="G10475" s="5"/>
      <c r="H10475" s="5"/>
      <c r="I10475" s="5"/>
      <c r="J10475" s="5"/>
      <c r="K10475" s="5"/>
      <c r="L10475" s="5"/>
      <c r="M10475" s="5"/>
      <c r="N10475" s="5"/>
      <c r="O10475" s="5"/>
      <c r="P10475" s="5"/>
      <c r="Q10475" s="5"/>
      <c r="R10475" s="5"/>
      <c r="S10475" s="5"/>
      <c r="T10475" s="5"/>
      <c r="U10475" s="5"/>
      <c r="V10475" s="5"/>
      <c r="W10475" s="5"/>
      <c r="X10475" s="5"/>
      <c r="Y10475" s="5"/>
      <c r="Z10475" s="5"/>
    </row>
    <row r="10476" spans="1:26" ht="15" x14ac:dyDescent="0.25">
      <c r="A10476" s="4" t="s">
        <v>10473</v>
      </c>
      <c r="B10476" s="4" t="s">
        <v>9011</v>
      </c>
      <c r="C10476" s="2" t="str">
        <f ca="1">IFERROR(__xludf.DUMMYFUNCTION("GOOGLETRANSLATE(A10476,""bn"",""en"")"),"He will complete the project when he contacts customers next month")</f>
        <v>He will complete the project when he contacts customers next month</v>
      </c>
      <c r="D10476" s="5"/>
      <c r="E10476" s="5"/>
      <c r="F10476" s="5"/>
      <c r="G10476" s="5"/>
      <c r="H10476" s="5"/>
      <c r="I10476" s="5"/>
      <c r="J10476" s="5"/>
      <c r="K10476" s="5"/>
      <c r="L10476" s="5"/>
      <c r="M10476" s="5"/>
      <c r="N10476" s="5"/>
      <c r="O10476" s="5"/>
      <c r="P10476" s="5"/>
      <c r="Q10476" s="5"/>
      <c r="R10476" s="5"/>
      <c r="S10476" s="5"/>
      <c r="T10476" s="5"/>
      <c r="U10476" s="5"/>
      <c r="V10476" s="5"/>
      <c r="W10476" s="5"/>
      <c r="X10476" s="5"/>
      <c r="Y10476" s="5"/>
      <c r="Z10476" s="5"/>
    </row>
    <row r="10477" spans="1:26" ht="15" x14ac:dyDescent="0.25">
      <c r="A10477" s="4" t="s">
        <v>10474</v>
      </c>
      <c r="B10477" s="4" t="s">
        <v>9011</v>
      </c>
      <c r="C10477" s="2" t="str">
        <f ca="1">IFERROR(__xludf.DUMMYFUNCTION("GOOGLETRANSLATE(A10477,""bn"",""en"")"),"The leaves will spread a high sweetness in the collective joy")</f>
        <v>The leaves will spread a high sweetness in the collective joy</v>
      </c>
      <c r="D10477" s="5"/>
      <c r="E10477" s="5"/>
      <c r="F10477" s="5"/>
      <c r="G10477" s="5"/>
      <c r="H10477" s="5"/>
      <c r="I10477" s="5"/>
      <c r="J10477" s="5"/>
      <c r="K10477" s="5"/>
      <c r="L10477" s="5"/>
      <c r="M10477" s="5"/>
      <c r="N10477" s="5"/>
      <c r="O10477" s="5"/>
      <c r="P10477" s="5"/>
      <c r="Q10477" s="5"/>
      <c r="R10477" s="5"/>
      <c r="S10477" s="5"/>
      <c r="T10477" s="5"/>
      <c r="U10477" s="5"/>
      <c r="V10477" s="5"/>
      <c r="W10477" s="5"/>
      <c r="X10477" s="5"/>
      <c r="Y10477" s="5"/>
      <c r="Z10477" s="5"/>
    </row>
    <row r="10478" spans="1:26" ht="15" x14ac:dyDescent="0.25">
      <c r="A10478" s="4" t="s">
        <v>10475</v>
      </c>
      <c r="B10478" s="4" t="s">
        <v>9011</v>
      </c>
      <c r="C10478" s="2" t="str">
        <f ca="1">IFERROR(__xludf.DUMMYFUNCTION("GOOGLETRANSLATE(A10478,""bn"",""en"")"),"There won't be an end to our story just a chapter change Happy Wedding Anniversary dear")</f>
        <v>There won't be an end to our story just a chapter change Happy Wedding Anniversary dear</v>
      </c>
      <c r="D10478" s="5"/>
      <c r="E10478" s="5"/>
      <c r="F10478" s="5"/>
      <c r="G10478" s="5"/>
      <c r="H10478" s="5"/>
      <c r="I10478" s="5"/>
      <c r="J10478" s="5"/>
      <c r="K10478" s="5"/>
      <c r="L10478" s="5"/>
      <c r="M10478" s="5"/>
      <c r="N10478" s="5"/>
      <c r="O10478" s="5"/>
      <c r="P10478" s="5"/>
      <c r="Q10478" s="5"/>
      <c r="R10478" s="5"/>
      <c r="S10478" s="5"/>
      <c r="T10478" s="5"/>
      <c r="U10478" s="5"/>
      <c r="V10478" s="5"/>
      <c r="W10478" s="5"/>
      <c r="X10478" s="5"/>
      <c r="Y10478" s="5"/>
      <c r="Z10478" s="5"/>
    </row>
    <row r="10479" spans="1:26" ht="15" x14ac:dyDescent="0.25">
      <c r="A10479" s="4" t="s">
        <v>10476</v>
      </c>
      <c r="B10479" s="4" t="s">
        <v>9011</v>
      </c>
      <c r="C10479" s="2" t="str">
        <f ca="1">IFERROR(__xludf.DUMMYFUNCTION("GOOGLETRANSLATE(A10479,""bn"",""en"")"),"Belonging to a friend will be one of the happiest feelings")</f>
        <v>Belonging to a friend will be one of the happiest feelings</v>
      </c>
      <c r="D10479" s="5"/>
      <c r="E10479" s="5"/>
      <c r="F10479" s="5"/>
      <c r="G10479" s="5"/>
      <c r="H10479" s="5"/>
      <c r="I10479" s="5"/>
      <c r="J10479" s="5"/>
      <c r="K10479" s="5"/>
      <c r="L10479" s="5"/>
      <c r="M10479" s="5"/>
      <c r="N10479" s="5"/>
      <c r="O10479" s="5"/>
      <c r="P10479" s="5"/>
      <c r="Q10479" s="5"/>
      <c r="R10479" s="5"/>
      <c r="S10479" s="5"/>
      <c r="T10479" s="5"/>
      <c r="U10479" s="5"/>
      <c r="V10479" s="5"/>
      <c r="W10479" s="5"/>
      <c r="X10479" s="5"/>
      <c r="Y10479" s="5"/>
      <c r="Z10479" s="5"/>
    </row>
    <row r="10480" spans="1:26" ht="15" x14ac:dyDescent="0.25">
      <c r="A10480" s="4" t="s">
        <v>10477</v>
      </c>
      <c r="B10480" s="4" t="s">
        <v>9011</v>
      </c>
      <c r="C10480" s="2" t="str">
        <f ca="1">IFERROR(__xludf.DUMMYFUNCTION("GOOGLETRANSLATE(A10480,""bn"",""en"")"),"In future I will be a teacher where I can impart knowledge to others")</f>
        <v>In future I will be a teacher where I can impart knowledge to others</v>
      </c>
      <c r="D10480" s="5"/>
      <c r="E10480" s="5"/>
      <c r="F10480" s="5"/>
      <c r="G10480" s="5"/>
      <c r="H10480" s="5"/>
      <c r="I10480" s="5"/>
      <c r="J10480" s="5"/>
      <c r="K10480" s="5"/>
      <c r="L10480" s="5"/>
      <c r="M10480" s="5"/>
      <c r="N10480" s="5"/>
      <c r="O10480" s="5"/>
      <c r="P10480" s="5"/>
      <c r="Q10480" s="5"/>
      <c r="R10480" s="5"/>
      <c r="S10480" s="5"/>
      <c r="T10480" s="5"/>
      <c r="U10480" s="5"/>
      <c r="V10480" s="5"/>
      <c r="W10480" s="5"/>
      <c r="X10480" s="5"/>
      <c r="Y10480" s="5"/>
      <c r="Z10480" s="5"/>
    </row>
    <row r="10481" spans="1:26" ht="15" x14ac:dyDescent="0.25">
      <c r="A10481" s="4" t="s">
        <v>10478</v>
      </c>
      <c r="B10481" s="4" t="s">
        <v>9011</v>
      </c>
      <c r="C10481" s="2" t="str">
        <f ca="1">IFERROR(__xludf.DUMMYFUNCTION("GOOGLETRANSLATE(A10481,""bn"",""en"")"),"The new operating system update of the phone will be great, many nice features will come")</f>
        <v>The new operating system update of the phone will be great, many nice features will come</v>
      </c>
      <c r="D10481" s="5"/>
      <c r="E10481" s="5"/>
      <c r="F10481" s="5"/>
      <c r="G10481" s="5"/>
      <c r="H10481" s="5"/>
      <c r="I10481" s="5"/>
      <c r="J10481" s="5"/>
      <c r="K10481" s="5"/>
      <c r="L10481" s="5"/>
      <c r="M10481" s="5"/>
      <c r="N10481" s="5"/>
      <c r="O10481" s="5"/>
      <c r="P10481" s="5"/>
      <c r="Q10481" s="5"/>
      <c r="R10481" s="5"/>
      <c r="S10481" s="5"/>
      <c r="T10481" s="5"/>
      <c r="U10481" s="5"/>
      <c r="V10481" s="5"/>
      <c r="W10481" s="5"/>
      <c r="X10481" s="5"/>
      <c r="Y10481" s="5"/>
      <c r="Z10481" s="5"/>
    </row>
    <row r="10482" spans="1:26" ht="15" x14ac:dyDescent="0.25">
      <c r="A10482" s="4" t="s">
        <v>10479</v>
      </c>
      <c r="B10482" s="4" t="s">
        <v>9011</v>
      </c>
      <c r="C10482" s="2" t="str">
        <f ca="1">IFERROR(__xludf.DUMMYFUNCTION("GOOGLETRANSLATE(A10482,""bn"",""en"")"),"In the future I will set up a big hotel where many tourists will come")</f>
        <v>In the future I will set up a big hotel where many tourists will come</v>
      </c>
      <c r="D10482" s="5"/>
      <c r="E10482" s="5"/>
      <c r="F10482" s="5"/>
      <c r="G10482" s="5"/>
      <c r="H10482" s="5"/>
      <c r="I10482" s="5"/>
      <c r="J10482" s="5"/>
      <c r="K10482" s="5"/>
      <c r="L10482" s="5"/>
      <c r="M10482" s="5"/>
      <c r="N10482" s="5"/>
      <c r="O10482" s="5"/>
      <c r="P10482" s="5"/>
      <c r="Q10482" s="5"/>
      <c r="R10482" s="5"/>
      <c r="S10482" s="5"/>
      <c r="T10482" s="5"/>
      <c r="U10482" s="5"/>
      <c r="V10482" s="5"/>
      <c r="W10482" s="5"/>
      <c r="X10482" s="5"/>
      <c r="Y10482" s="5"/>
      <c r="Z10482" s="5"/>
    </row>
    <row r="10483" spans="1:26" ht="15" x14ac:dyDescent="0.25">
      <c r="A10483" s="4" t="s">
        <v>10480</v>
      </c>
      <c r="B10483" s="4" t="s">
        <v>9011</v>
      </c>
      <c r="C10483" s="2" t="str">
        <f ca="1">IFERROR(__xludf.DUMMYFUNCTION("GOOGLETRANSLATE(A10483,""bn"",""en"")"),"Coming home from abroad with the whole family will be indescribable")</f>
        <v>Coming home from abroad with the whole family will be indescribable</v>
      </c>
      <c r="D10483" s="5"/>
      <c r="E10483" s="5"/>
      <c r="F10483" s="5"/>
      <c r="G10483" s="5"/>
      <c r="H10483" s="5"/>
      <c r="I10483" s="5"/>
      <c r="J10483" s="5"/>
      <c r="K10483" s="5"/>
      <c r="L10483" s="5"/>
      <c r="M10483" s="5"/>
      <c r="N10483" s="5"/>
      <c r="O10483" s="5"/>
      <c r="P10483" s="5"/>
      <c r="Q10483" s="5"/>
      <c r="R10483" s="5"/>
      <c r="S10483" s="5"/>
      <c r="T10483" s="5"/>
      <c r="U10483" s="5"/>
      <c r="V10483" s="5"/>
      <c r="W10483" s="5"/>
      <c r="X10483" s="5"/>
      <c r="Y10483" s="5"/>
      <c r="Z10483" s="5"/>
    </row>
    <row r="10484" spans="1:26" ht="15" x14ac:dyDescent="0.25">
      <c r="A10484" s="4" t="s">
        <v>10481</v>
      </c>
      <c r="B10484" s="4" t="s">
        <v>9011</v>
      </c>
      <c r="C10484" s="2" t="str">
        <f ca="1">IFERROR(__xludf.DUMMYFUNCTION("GOOGLETRANSLATE(A10484,""bn"",""en"")"),"I will walk on the village road, the open sky, green fields and the path covered with the shade of trees will remove all thoughts from the mind")</f>
        <v>I will walk on the village road, the open sky, green fields and the path covered with the shade of trees will remove all thoughts from the mind</v>
      </c>
      <c r="D10484" s="5"/>
      <c r="E10484" s="5"/>
      <c r="F10484" s="5"/>
      <c r="G10484" s="5"/>
      <c r="H10484" s="5"/>
      <c r="I10484" s="5"/>
      <c r="J10484" s="5"/>
      <c r="K10484" s="5"/>
      <c r="L10484" s="5"/>
      <c r="M10484" s="5"/>
      <c r="N10484" s="5"/>
      <c r="O10484" s="5"/>
      <c r="P10484" s="5"/>
      <c r="Q10484" s="5"/>
      <c r="R10484" s="5"/>
      <c r="S10484" s="5"/>
      <c r="T10484" s="5"/>
      <c r="U10484" s="5"/>
      <c r="V10484" s="5"/>
      <c r="W10484" s="5"/>
      <c r="X10484" s="5"/>
      <c r="Y10484" s="5"/>
      <c r="Z10484" s="5"/>
    </row>
    <row r="10485" spans="1:26" ht="15" x14ac:dyDescent="0.25">
      <c r="A10485" s="4" t="s">
        <v>10482</v>
      </c>
      <c r="B10485" s="4" t="s">
        <v>9011</v>
      </c>
      <c r="C10485" s="2" t="str">
        <f ca="1">IFERROR(__xludf.DUMMYFUNCTION("GOOGLETRANSLATE(A10485,""bn"",""en"")"),"I will develop an online education platform next year that will make education more accessible to students in rural areas")</f>
        <v>I will develop an online education platform next year that will make education more accessible to students in rural areas</v>
      </c>
      <c r="D10485" s="5"/>
      <c r="E10485" s="5"/>
      <c r="F10485" s="5"/>
      <c r="G10485" s="5"/>
      <c r="H10485" s="5"/>
      <c r="I10485" s="5"/>
      <c r="J10485" s="5"/>
      <c r="K10485" s="5"/>
      <c r="L10485" s="5"/>
      <c r="M10485" s="5"/>
      <c r="N10485" s="5"/>
      <c r="O10485" s="5"/>
      <c r="P10485" s="5"/>
      <c r="Q10485" s="5"/>
      <c r="R10485" s="5"/>
      <c r="S10485" s="5"/>
      <c r="T10485" s="5"/>
      <c r="U10485" s="5"/>
      <c r="V10485" s="5"/>
      <c r="W10485" s="5"/>
      <c r="X10485" s="5"/>
      <c r="Y10485" s="5"/>
      <c r="Z10485" s="5"/>
    </row>
    <row r="10486" spans="1:26" ht="15" x14ac:dyDescent="0.25">
      <c r="A10486" s="4" t="s">
        <v>10483</v>
      </c>
      <c r="B10486" s="4" t="s">
        <v>9011</v>
      </c>
      <c r="C10486" s="2" t="str">
        <f ca="1">IFERROR(__xludf.DUMMYFUNCTION("GOOGLETRANSLATE(A10486,""bn"",""en"")"),"We will collect all the necessary opportunities while working towards the completion of the project")</f>
        <v>We will collect all the necessary opportunities while working towards the completion of the project</v>
      </c>
      <c r="D10486" s="5"/>
      <c r="E10486" s="5"/>
      <c r="F10486" s="5"/>
      <c r="G10486" s="5"/>
      <c r="H10486" s="5"/>
      <c r="I10486" s="5"/>
      <c r="J10486" s="5"/>
      <c r="K10486" s="5"/>
      <c r="L10486" s="5"/>
      <c r="M10486" s="5"/>
      <c r="N10486" s="5"/>
      <c r="O10486" s="5"/>
      <c r="P10486" s="5"/>
      <c r="Q10486" s="5"/>
      <c r="R10486" s="5"/>
      <c r="S10486" s="5"/>
      <c r="T10486" s="5"/>
      <c r="U10486" s="5"/>
      <c r="V10486" s="5"/>
      <c r="W10486" s="5"/>
      <c r="X10486" s="5"/>
      <c r="Y10486" s="5"/>
      <c r="Z10486" s="5"/>
    </row>
    <row r="10487" spans="1:26" ht="15" x14ac:dyDescent="0.25">
      <c r="A10487" s="4" t="s">
        <v>10484</v>
      </c>
      <c r="B10487" s="4" t="s">
        <v>9011</v>
      </c>
      <c r="C10487" s="2" t="str">
        <f ca="1">IFERROR(__xludf.DUMMYFUNCTION("GOOGLETRANSLATE(A10487,""bn"",""en"")"),"Its heroic story will be our inspiration tomorrow")</f>
        <v>Its heroic story will be our inspiration tomorrow</v>
      </c>
      <c r="D10487" s="5"/>
      <c r="E10487" s="5"/>
      <c r="F10487" s="5"/>
      <c r="G10487" s="5"/>
      <c r="H10487" s="5"/>
      <c r="I10487" s="5"/>
      <c r="J10487" s="5"/>
      <c r="K10487" s="5"/>
      <c r="L10487" s="5"/>
      <c r="M10487" s="5"/>
      <c r="N10487" s="5"/>
      <c r="O10487" s="5"/>
      <c r="P10487" s="5"/>
      <c r="Q10487" s="5"/>
      <c r="R10487" s="5"/>
      <c r="S10487" s="5"/>
      <c r="T10487" s="5"/>
      <c r="U10487" s="5"/>
      <c r="V10487" s="5"/>
      <c r="W10487" s="5"/>
      <c r="X10487" s="5"/>
      <c r="Y10487" s="5"/>
      <c r="Z10487" s="5"/>
    </row>
    <row r="10488" spans="1:26" ht="15" x14ac:dyDescent="0.25">
      <c r="A10488" s="4" t="s">
        <v>10485</v>
      </c>
      <c r="B10488" s="4" t="s">
        <v>9011</v>
      </c>
      <c r="C10488" s="2" t="str">
        <f ca="1">IFERROR(__xludf.DUMMYFUNCTION("GOOGLETRANSLATE(A10488,""bn"",""en"")"),"The movie will be a great history for the next generation")</f>
        <v>The movie will be a great history for the next generation</v>
      </c>
      <c r="D10488" s="5"/>
      <c r="E10488" s="5"/>
      <c r="F10488" s="5"/>
      <c r="G10488" s="5"/>
      <c r="H10488" s="5"/>
      <c r="I10488" s="5"/>
      <c r="J10488" s="5"/>
      <c r="K10488" s="5"/>
      <c r="L10488" s="5"/>
      <c r="M10488" s="5"/>
      <c r="N10488" s="5"/>
      <c r="O10488" s="5"/>
      <c r="P10488" s="5"/>
      <c r="Q10488" s="5"/>
      <c r="R10488" s="5"/>
      <c r="S10488" s="5"/>
      <c r="T10488" s="5"/>
      <c r="U10488" s="5"/>
      <c r="V10488" s="5"/>
      <c r="W10488" s="5"/>
      <c r="X10488" s="5"/>
      <c r="Y10488" s="5"/>
      <c r="Z10488" s="5"/>
    </row>
    <row r="10489" spans="1:26" ht="15" x14ac:dyDescent="0.25">
      <c r="A10489" s="4" t="s">
        <v>10486</v>
      </c>
      <c r="B10489" s="4" t="s">
        <v>9011</v>
      </c>
      <c r="C10489" s="2" t="str">
        <f ca="1">IFERROR(__xludf.DUMMYFUNCTION("GOOGLETRANSLATE(A10489,""bn"",""en"")"),"Next year I will learn a new language which will be helpful in my career")</f>
        <v>Next year I will learn a new language which will be helpful in my career</v>
      </c>
      <c r="D10489" s="5"/>
      <c r="E10489" s="5"/>
      <c r="F10489" s="5"/>
      <c r="G10489" s="5"/>
      <c r="H10489" s="5"/>
      <c r="I10489" s="5"/>
      <c r="J10489" s="5"/>
      <c r="K10489" s="5"/>
      <c r="L10489" s="5"/>
      <c r="M10489" s="5"/>
      <c r="N10489" s="5"/>
      <c r="O10489" s="5"/>
      <c r="P10489" s="5"/>
      <c r="Q10489" s="5"/>
      <c r="R10489" s="5"/>
      <c r="S10489" s="5"/>
      <c r="T10489" s="5"/>
      <c r="U10489" s="5"/>
      <c r="V10489" s="5"/>
      <c r="W10489" s="5"/>
      <c r="X10489" s="5"/>
      <c r="Y10489" s="5"/>
      <c r="Z10489" s="5"/>
    </row>
    <row r="10490" spans="1:26" ht="15" x14ac:dyDescent="0.25">
      <c r="A10490" s="4" t="s">
        <v>10487</v>
      </c>
      <c r="B10490" s="4" t="s">
        <v>9011</v>
      </c>
      <c r="C10490" s="2" t="str">
        <f ca="1">IFERROR(__xludf.DUMMYFUNCTION("GOOGLETRANSLATE(A10490,""bn"",""en"")"),"I will be attending a literary conference next month where my new book will be pre-released")</f>
        <v>I will be attending a literary conference next month where my new book will be pre-released</v>
      </c>
      <c r="D10490" s="5"/>
      <c r="E10490" s="5"/>
      <c r="F10490" s="5"/>
      <c r="G10490" s="5"/>
      <c r="H10490" s="5"/>
      <c r="I10490" s="5"/>
      <c r="J10490" s="5"/>
      <c r="K10490" s="5"/>
      <c r="L10490" s="5"/>
      <c r="M10490" s="5"/>
      <c r="N10490" s="5"/>
      <c r="O10490" s="5"/>
      <c r="P10490" s="5"/>
      <c r="Q10490" s="5"/>
      <c r="R10490" s="5"/>
      <c r="S10490" s="5"/>
      <c r="T10490" s="5"/>
      <c r="U10490" s="5"/>
      <c r="V10490" s="5"/>
      <c r="W10490" s="5"/>
      <c r="X10490" s="5"/>
      <c r="Y10490" s="5"/>
      <c r="Z10490" s="5"/>
    </row>
    <row r="10491" spans="1:26" ht="15" x14ac:dyDescent="0.25">
      <c r="A10491" s="4" t="s">
        <v>10488</v>
      </c>
      <c r="B10491" s="4" t="s">
        <v>9011</v>
      </c>
      <c r="C10491" s="2" t="str">
        <f ca="1">IFERROR(__xludf.DUMMYFUNCTION("GOOGLETRANSLATE(A10491,""bn"",""en"")"),"Tomorrow I will join a new cooking class so I can learn new recipes")</f>
        <v>Tomorrow I will join a new cooking class so I can learn new recipes</v>
      </c>
      <c r="D10491" s="5"/>
      <c r="E10491" s="5"/>
      <c r="F10491" s="5"/>
      <c r="G10491" s="5"/>
      <c r="H10491" s="5"/>
      <c r="I10491" s="5"/>
      <c r="J10491" s="5"/>
      <c r="K10491" s="5"/>
      <c r="L10491" s="5"/>
      <c r="M10491" s="5"/>
      <c r="N10491" s="5"/>
      <c r="O10491" s="5"/>
      <c r="P10491" s="5"/>
      <c r="Q10491" s="5"/>
      <c r="R10491" s="5"/>
      <c r="S10491" s="5"/>
      <c r="T10491" s="5"/>
      <c r="U10491" s="5"/>
      <c r="V10491" s="5"/>
      <c r="W10491" s="5"/>
      <c r="X10491" s="5"/>
      <c r="Y10491" s="5"/>
      <c r="Z10491" s="5"/>
    </row>
    <row r="10492" spans="1:26" ht="15" x14ac:dyDescent="0.25">
      <c r="A10492" s="4" t="s">
        <v>10489</v>
      </c>
      <c r="B10492" s="4" t="s">
        <v>9011</v>
      </c>
      <c r="C10492" s="2" t="str">
        <f ca="1">IFERROR(__xludf.DUMMYFUNCTION("GOOGLETRANSLATE(A10492,""bn"",""en"")"),"They will start a new educational program next week which will be very beneficial for the students")</f>
        <v>They will start a new educational program next week which will be very beneficial for the students</v>
      </c>
      <c r="D10492" s="5"/>
      <c r="E10492" s="5"/>
      <c r="F10492" s="5"/>
      <c r="G10492" s="5"/>
      <c r="H10492" s="5"/>
      <c r="I10492" s="5"/>
      <c r="J10492" s="5"/>
      <c r="K10492" s="5"/>
      <c r="L10492" s="5"/>
      <c r="M10492" s="5"/>
      <c r="N10492" s="5"/>
      <c r="O10492" s="5"/>
      <c r="P10492" s="5"/>
      <c r="Q10492" s="5"/>
      <c r="R10492" s="5"/>
      <c r="S10492" s="5"/>
      <c r="T10492" s="5"/>
      <c r="U10492" s="5"/>
      <c r="V10492" s="5"/>
      <c r="W10492" s="5"/>
      <c r="X10492" s="5"/>
      <c r="Y10492" s="5"/>
      <c r="Z10492" s="5"/>
    </row>
    <row r="10493" spans="1:26" ht="15" x14ac:dyDescent="0.25">
      <c r="A10493" s="4" t="s">
        <v>10490</v>
      </c>
      <c r="B10493" s="4" t="s">
        <v>9011</v>
      </c>
      <c r="C10493" s="2" t="str">
        <f ca="1">IFERROR(__xludf.DUMMYFUNCTION("GOOGLETRANSLATE(A10493,""bn"",""en"")"),"You will start a new academic year next month where new subjects and syllabus will be introduced")</f>
        <v>You will start a new academic year next month where new subjects and syllabus will be introduced</v>
      </c>
      <c r="D10493" s="5"/>
      <c r="E10493" s="5"/>
      <c r="F10493" s="5"/>
      <c r="G10493" s="5"/>
      <c r="H10493" s="5"/>
      <c r="I10493" s="5"/>
      <c r="J10493" s="5"/>
      <c r="K10493" s="5"/>
      <c r="L10493" s="5"/>
      <c r="M10493" s="5"/>
      <c r="N10493" s="5"/>
      <c r="O10493" s="5"/>
      <c r="P10493" s="5"/>
      <c r="Q10493" s="5"/>
      <c r="R10493" s="5"/>
      <c r="S10493" s="5"/>
      <c r="T10493" s="5"/>
      <c r="U10493" s="5"/>
      <c r="V10493" s="5"/>
      <c r="W10493" s="5"/>
      <c r="X10493" s="5"/>
      <c r="Y10493" s="5"/>
      <c r="Z10493" s="5"/>
    </row>
    <row r="10494" spans="1:26" ht="15" x14ac:dyDescent="0.25">
      <c r="A10494" s="4" t="s">
        <v>10491</v>
      </c>
      <c r="B10494" s="4" t="s">
        <v>9011</v>
      </c>
      <c r="C10494" s="2" t="str">
        <f ca="1">IFERROR(__xludf.DUMMYFUNCTION("GOOGLETRANSLATE(A10494,""bn"",""en"")"),"Memories will be cherished through music. Listening to old songs will bring back memories of past happiness and sadness. Mixed feelings will arise.")</f>
        <v>Memories will be cherished through music. Listening to old songs will bring back memories of past happiness and sadness. Mixed feelings will arise.</v>
      </c>
      <c r="D10494" s="5"/>
      <c r="E10494" s="5"/>
      <c r="F10494" s="5"/>
      <c r="G10494" s="5"/>
      <c r="H10494" s="5"/>
      <c r="I10494" s="5"/>
      <c r="J10494" s="5"/>
      <c r="K10494" s="5"/>
      <c r="L10494" s="5"/>
      <c r="M10494" s="5"/>
      <c r="N10494" s="5"/>
      <c r="O10494" s="5"/>
      <c r="P10494" s="5"/>
      <c r="Q10494" s="5"/>
      <c r="R10494" s="5"/>
      <c r="S10494" s="5"/>
      <c r="T10494" s="5"/>
      <c r="U10494" s="5"/>
      <c r="V10494" s="5"/>
      <c r="W10494" s="5"/>
      <c r="X10494" s="5"/>
      <c r="Y10494" s="5"/>
      <c r="Z10494" s="5"/>
    </row>
    <row r="10495" spans="1:26" ht="15" x14ac:dyDescent="0.25">
      <c r="A10495" s="4" t="s">
        <v>10492</v>
      </c>
      <c r="B10495" s="4" t="s">
        <v>9011</v>
      </c>
      <c r="C10495" s="2" t="str">
        <f ca="1">IFERROR(__xludf.DUMMYFUNCTION("GOOGLETRANSLATE(A10495,""bn"",""en"")"),"You start learning a new language tomorrow")</f>
        <v>You start learning a new language tomorrow</v>
      </c>
      <c r="D10495" s="5"/>
      <c r="E10495" s="5"/>
      <c r="F10495" s="5"/>
      <c r="G10495" s="5"/>
      <c r="H10495" s="5"/>
      <c r="I10495" s="5"/>
      <c r="J10495" s="5"/>
      <c r="K10495" s="5"/>
      <c r="L10495" s="5"/>
      <c r="M10495" s="5"/>
      <c r="N10495" s="5"/>
      <c r="O10495" s="5"/>
      <c r="P10495" s="5"/>
      <c r="Q10495" s="5"/>
      <c r="R10495" s="5"/>
      <c r="S10495" s="5"/>
      <c r="T10495" s="5"/>
      <c r="U10495" s="5"/>
      <c r="V10495" s="5"/>
      <c r="W10495" s="5"/>
      <c r="X10495" s="5"/>
      <c r="Y10495" s="5"/>
      <c r="Z10495" s="5"/>
    </row>
    <row r="10496" spans="1:26" ht="15" x14ac:dyDescent="0.25">
      <c r="A10496" s="4" t="s">
        <v>10493</v>
      </c>
      <c r="B10496" s="4" t="s">
        <v>9011</v>
      </c>
      <c r="C10496" s="2" t="str">
        <f ca="1">IFERROR(__xludf.DUMMYFUNCTION("GOOGLETRANSLATE(A10496,""bn"",""en"")"),"He will participate in a major sporting event next month where he will try to ensure victory for his team")</f>
        <v>He will participate in a major sporting event next month where he will try to ensure victory for his team</v>
      </c>
      <c r="D10496" s="5"/>
      <c r="E10496" s="5"/>
      <c r="F10496" s="5"/>
      <c r="G10496" s="5"/>
      <c r="H10496" s="5"/>
      <c r="I10496" s="5"/>
      <c r="J10496" s="5"/>
      <c r="K10496" s="5"/>
      <c r="L10496" s="5"/>
      <c r="M10496" s="5"/>
      <c r="N10496" s="5"/>
      <c r="O10496" s="5"/>
      <c r="P10496" s="5"/>
      <c r="Q10496" s="5"/>
      <c r="R10496" s="5"/>
      <c r="S10496" s="5"/>
      <c r="T10496" s="5"/>
      <c r="U10496" s="5"/>
      <c r="V10496" s="5"/>
      <c r="W10496" s="5"/>
      <c r="X10496" s="5"/>
      <c r="Y10496" s="5"/>
      <c r="Z10496" s="5"/>
    </row>
    <row r="10497" spans="1:26" ht="15" x14ac:dyDescent="0.25">
      <c r="A10497" s="4" t="s">
        <v>10494</v>
      </c>
      <c r="B10497" s="4" t="s">
        <v>9011</v>
      </c>
      <c r="C10497" s="2" t="str">
        <f ca="1">IFERROR(__xludf.DUMMYFUNCTION("GOOGLETRANSLATE(A10497,""bn"",""en"")"),"He will read all his school lessons while he prepares properly for the exam")</f>
        <v>He will read all his school lessons while he prepares properly for the exam</v>
      </c>
      <c r="D10497" s="5"/>
      <c r="E10497" s="5"/>
      <c r="F10497" s="5"/>
      <c r="G10497" s="5"/>
      <c r="H10497" s="5"/>
      <c r="I10497" s="5"/>
      <c r="J10497" s="5"/>
      <c r="K10497" s="5"/>
      <c r="L10497" s="5"/>
      <c r="M10497" s="5"/>
      <c r="N10497" s="5"/>
      <c r="O10497" s="5"/>
      <c r="P10497" s="5"/>
      <c r="Q10497" s="5"/>
      <c r="R10497" s="5"/>
      <c r="S10497" s="5"/>
      <c r="T10497" s="5"/>
      <c r="U10497" s="5"/>
      <c r="V10497" s="5"/>
      <c r="W10497" s="5"/>
      <c r="X10497" s="5"/>
      <c r="Y10497" s="5"/>
      <c r="Z10497" s="5"/>
    </row>
    <row r="10498" spans="1:26" ht="15" x14ac:dyDescent="0.25">
      <c r="A10498" s="4" t="s">
        <v>10495</v>
      </c>
      <c r="B10498" s="4" t="s">
        <v>9011</v>
      </c>
      <c r="C10498" s="2" t="str">
        <f ca="1">IFERROR(__xludf.DUMMYFUNCTION("GOOGLETRANSLATE(A10498,""bn"",""en"")"),"In future I will work on a big research project which will help our country to improve")</f>
        <v>In future I will work on a big research project which will help our country to improve</v>
      </c>
      <c r="D10498" s="5"/>
      <c r="E10498" s="5"/>
      <c r="F10498" s="5"/>
      <c r="G10498" s="5"/>
      <c r="H10498" s="5"/>
      <c r="I10498" s="5"/>
      <c r="J10498" s="5"/>
      <c r="K10498" s="5"/>
      <c r="L10498" s="5"/>
      <c r="M10498" s="5"/>
      <c r="N10498" s="5"/>
      <c r="O10498" s="5"/>
      <c r="P10498" s="5"/>
      <c r="Q10498" s="5"/>
      <c r="R10498" s="5"/>
      <c r="S10498" s="5"/>
      <c r="T10498" s="5"/>
      <c r="U10498" s="5"/>
      <c r="V10498" s="5"/>
      <c r="W10498" s="5"/>
      <c r="X10498" s="5"/>
      <c r="Y10498" s="5"/>
      <c r="Z10498" s="5"/>
    </row>
    <row r="10499" spans="1:26" ht="15" x14ac:dyDescent="0.25">
      <c r="A10499" s="4" t="s">
        <v>10496</v>
      </c>
      <c r="B10499" s="4" t="s">
        <v>9011</v>
      </c>
      <c r="C10499" s="2" t="str">
        <f ca="1">IFERROR(__xludf.DUMMYFUNCTION("GOOGLETRANSLATE(A10499,""bn"",""en"")"),"How will this organization's new website look like?")</f>
        <v>How will this organization's new website look like?</v>
      </c>
      <c r="D10499" s="5"/>
      <c r="E10499" s="5"/>
      <c r="F10499" s="5"/>
      <c r="G10499" s="5"/>
      <c r="H10499" s="5"/>
      <c r="I10499" s="5"/>
      <c r="J10499" s="5"/>
      <c r="K10499" s="5"/>
      <c r="L10499" s="5"/>
      <c r="M10499" s="5"/>
      <c r="N10499" s="5"/>
      <c r="O10499" s="5"/>
      <c r="P10499" s="5"/>
      <c r="Q10499" s="5"/>
      <c r="R10499" s="5"/>
      <c r="S10499" s="5"/>
      <c r="T10499" s="5"/>
      <c r="U10499" s="5"/>
      <c r="V10499" s="5"/>
      <c r="W10499" s="5"/>
      <c r="X10499" s="5"/>
      <c r="Y10499" s="5"/>
      <c r="Z10499" s="5"/>
    </row>
    <row r="10500" spans="1:26" ht="15" x14ac:dyDescent="0.25">
      <c r="A10500" s="4" t="s">
        <v>10497</v>
      </c>
      <c r="B10500" s="4" t="s">
        <v>9011</v>
      </c>
      <c r="C10500" s="2" t="str">
        <f ca="1">IFERROR(__xludf.DUMMYFUNCTION("GOOGLETRANSLATE(A10500,""bn"",""en"")"),"In the future I will set up a charity that will work to eradicate poverty")</f>
        <v>In the future I will set up a charity that will work to eradicate poverty</v>
      </c>
      <c r="D10500" s="5"/>
      <c r="E10500" s="5"/>
      <c r="F10500" s="5"/>
      <c r="G10500" s="5"/>
      <c r="H10500" s="5"/>
      <c r="I10500" s="5"/>
      <c r="J10500" s="5"/>
      <c r="K10500" s="5"/>
      <c r="L10500" s="5"/>
      <c r="M10500" s="5"/>
      <c r="N10500" s="5"/>
      <c r="O10500" s="5"/>
      <c r="P10500" s="5"/>
      <c r="Q10500" s="5"/>
      <c r="R10500" s="5"/>
      <c r="S10500" s="5"/>
      <c r="T10500" s="5"/>
      <c r="U10500" s="5"/>
      <c r="V10500" s="5"/>
      <c r="W10500" s="5"/>
      <c r="X10500" s="5"/>
      <c r="Y10500" s="5"/>
      <c r="Z10500" s="5"/>
    </row>
    <row r="10501" spans="1:26" ht="15" x14ac:dyDescent="0.25">
      <c r="A10501" s="4" t="s">
        <v>10498</v>
      </c>
      <c r="B10501" s="4" t="s">
        <v>9011</v>
      </c>
      <c r="C10501" s="2" t="str">
        <f ca="1">IFERROR(__xludf.DUMMYFUNCTION("GOOGLETRANSLATE(A10501,""bn"",""en"")"),"They will be able to face the challenges because they will have the necessary skills and knowledge")</f>
        <v>They will be able to face the challenges because they will have the necessary skills and knowledge</v>
      </c>
      <c r="D10501" s="5"/>
      <c r="E10501" s="5"/>
      <c r="F10501" s="5"/>
      <c r="G10501" s="5"/>
      <c r="H10501" s="5"/>
      <c r="I10501" s="5"/>
      <c r="J10501" s="5"/>
      <c r="K10501" s="5"/>
      <c r="L10501" s="5"/>
      <c r="M10501" s="5"/>
      <c r="N10501" s="5"/>
      <c r="O10501" s="5"/>
      <c r="P10501" s="5"/>
      <c r="Q10501" s="5"/>
      <c r="R10501" s="5"/>
      <c r="S10501" s="5"/>
      <c r="T10501" s="5"/>
      <c r="U10501" s="5"/>
      <c r="V10501" s="5"/>
      <c r="W10501" s="5"/>
      <c r="X10501" s="5"/>
      <c r="Y10501" s="5"/>
      <c r="Z10501" s="5"/>
    </row>
    <row r="10502" spans="1:26" ht="15" x14ac:dyDescent="0.25">
      <c r="A10502" s="4" t="s">
        <v>10499</v>
      </c>
      <c r="B10502" s="4" t="s">
        <v>9011</v>
      </c>
      <c r="C10502" s="2" t="str">
        <f ca="1">IFERROR(__xludf.DUMMYFUNCTION("GOOGLETRANSLATE(A10502,""bn"",""en"")"),"This first salary will make you more independent and that will be most important to me")</f>
        <v>This first salary will make you more independent and that will be most important to me</v>
      </c>
      <c r="D10502" s="5"/>
      <c r="E10502" s="5"/>
      <c r="F10502" s="5"/>
      <c r="G10502" s="5"/>
      <c r="H10502" s="5"/>
      <c r="I10502" s="5"/>
      <c r="J10502" s="5"/>
      <c r="K10502" s="5"/>
      <c r="L10502" s="5"/>
      <c r="M10502" s="5"/>
      <c r="N10502" s="5"/>
      <c r="O10502" s="5"/>
      <c r="P10502" s="5"/>
      <c r="Q10502" s="5"/>
      <c r="R10502" s="5"/>
      <c r="S10502" s="5"/>
      <c r="T10502" s="5"/>
      <c r="U10502" s="5"/>
      <c r="V10502" s="5"/>
      <c r="W10502" s="5"/>
      <c r="X10502" s="5"/>
      <c r="Y10502" s="5"/>
      <c r="Z10502" s="5"/>
    </row>
    <row r="10503" spans="1:26" ht="15" x14ac:dyDescent="0.25">
      <c r="A10503" s="4" t="s">
        <v>10500</v>
      </c>
      <c r="B10503" s="4" t="s">
        <v>9011</v>
      </c>
      <c r="C10503" s="2" t="str">
        <f ca="1">IFERROR(__xludf.DUMMYFUNCTION("GOOGLETRANSLATE(A10503,""bn"",""en"")"),"They will join a new sports team next month")</f>
        <v>They will join a new sports team next month</v>
      </c>
      <c r="D10503" s="5"/>
      <c r="E10503" s="5"/>
      <c r="F10503" s="5"/>
      <c r="G10503" s="5"/>
      <c r="H10503" s="5"/>
      <c r="I10503" s="5"/>
      <c r="J10503" s="5"/>
      <c r="K10503" s="5"/>
      <c r="L10503" s="5"/>
      <c r="M10503" s="5"/>
      <c r="N10503" s="5"/>
      <c r="O10503" s="5"/>
      <c r="P10503" s="5"/>
      <c r="Q10503" s="5"/>
      <c r="R10503" s="5"/>
      <c r="S10503" s="5"/>
      <c r="T10503" s="5"/>
      <c r="U10503" s="5"/>
      <c r="V10503" s="5"/>
      <c r="W10503" s="5"/>
      <c r="X10503" s="5"/>
      <c r="Y10503" s="5"/>
      <c r="Z10503" s="5"/>
    </row>
    <row r="10504" spans="1:26" ht="15" x14ac:dyDescent="0.25">
      <c r="A10504" s="4" t="s">
        <v>10501</v>
      </c>
      <c r="B10504" s="4" t="s">
        <v>9011</v>
      </c>
      <c r="C10504" s="2" t="str">
        <f ca="1">IFERROR(__xludf.DUMMYFUNCTION("GOOGLETRANSLATE(A10504,""bn"",""en"")"),"It would be nice, once I could not hold the guitar, now I can play some songs")</f>
        <v>It would be nice, once I could not hold the guitar, now I can play some songs</v>
      </c>
      <c r="D10504" s="5"/>
      <c r="E10504" s="5"/>
      <c r="F10504" s="5"/>
      <c r="G10504" s="5"/>
      <c r="H10504" s="5"/>
      <c r="I10504" s="5"/>
      <c r="J10504" s="5"/>
      <c r="K10504" s="5"/>
      <c r="L10504" s="5"/>
      <c r="M10504" s="5"/>
      <c r="N10504" s="5"/>
      <c r="O10504" s="5"/>
      <c r="P10504" s="5"/>
      <c r="Q10504" s="5"/>
      <c r="R10504" s="5"/>
      <c r="S10504" s="5"/>
      <c r="T10504" s="5"/>
      <c r="U10504" s="5"/>
      <c r="V10504" s="5"/>
      <c r="W10504" s="5"/>
      <c r="X10504" s="5"/>
      <c r="Y10504" s="5"/>
      <c r="Z10504" s="5"/>
    </row>
    <row r="10505" spans="1:26" ht="15" x14ac:dyDescent="0.25">
      <c r="A10505" s="4" t="s">
        <v>10502</v>
      </c>
      <c r="B10505" s="4" t="s">
        <v>9011</v>
      </c>
      <c r="C10505" s="2" t="str">
        <f ca="1">IFERROR(__xludf.DUMMYFUNCTION("GOOGLETRANSLATE(A10505,""bn"",""en"")"),"A bird will never fall from a branch because it will trust its wings and not the branch, so it will trust itself more than others.")</f>
        <v>A bird will never fall from a branch because it will trust its wings and not the branch, so it will trust itself more than others.</v>
      </c>
      <c r="D10505" s="5"/>
      <c r="E10505" s="5"/>
      <c r="F10505" s="5"/>
      <c r="G10505" s="5"/>
      <c r="H10505" s="5"/>
      <c r="I10505" s="5"/>
      <c r="J10505" s="5"/>
      <c r="K10505" s="5"/>
      <c r="L10505" s="5"/>
      <c r="M10505" s="5"/>
      <c r="N10505" s="5"/>
      <c r="O10505" s="5"/>
      <c r="P10505" s="5"/>
      <c r="Q10505" s="5"/>
      <c r="R10505" s="5"/>
      <c r="S10505" s="5"/>
      <c r="T10505" s="5"/>
      <c r="U10505" s="5"/>
      <c r="V10505" s="5"/>
      <c r="W10505" s="5"/>
      <c r="X10505" s="5"/>
      <c r="Y10505" s="5"/>
      <c r="Z10505" s="5"/>
    </row>
    <row r="10506" spans="1:26" ht="15" x14ac:dyDescent="0.25">
      <c r="A10506" s="4" t="s">
        <v>10503</v>
      </c>
      <c r="B10506" s="4" t="s">
        <v>9011</v>
      </c>
      <c r="C10506" s="2" t="str">
        <f ca="1">IFERROR(__xludf.DUMMYFUNCTION("GOOGLETRANSLATE(A10506,""bn"",""en"")"),"I will find strength in myself and communicate with Allah through prayer")</f>
        <v>I will find strength in myself and communicate with Allah through prayer</v>
      </c>
      <c r="D10506" s="5"/>
      <c r="E10506" s="5"/>
      <c r="F10506" s="5"/>
      <c r="G10506" s="5"/>
      <c r="H10506" s="5"/>
      <c r="I10506" s="5"/>
      <c r="J10506" s="5"/>
      <c r="K10506" s="5"/>
      <c r="L10506" s="5"/>
      <c r="M10506" s="5"/>
      <c r="N10506" s="5"/>
      <c r="O10506" s="5"/>
      <c r="P10506" s="5"/>
      <c r="Q10506" s="5"/>
      <c r="R10506" s="5"/>
      <c r="S10506" s="5"/>
      <c r="T10506" s="5"/>
      <c r="U10506" s="5"/>
      <c r="V10506" s="5"/>
      <c r="W10506" s="5"/>
      <c r="X10506" s="5"/>
      <c r="Y10506" s="5"/>
      <c r="Z10506" s="5"/>
    </row>
    <row r="10507" spans="1:26" ht="15" x14ac:dyDescent="0.25">
      <c r="A10507" s="4" t="s">
        <v>10504</v>
      </c>
      <c r="B10507" s="4" t="s">
        <v>9011</v>
      </c>
      <c r="C10507" s="2" t="str">
        <f ca="1">IFERROR(__xludf.DUMMYFUNCTION("GOOGLETRANSLATE(A10507,""bn"",""en"")"),"We will start working on new projects from tomorrow")</f>
        <v>We will start working on new projects from tomorrow</v>
      </c>
      <c r="D10507" s="5"/>
      <c r="E10507" s="5"/>
      <c r="F10507" s="5"/>
      <c r="G10507" s="5"/>
      <c r="H10507" s="5"/>
      <c r="I10507" s="5"/>
      <c r="J10507" s="5"/>
      <c r="K10507" s="5"/>
      <c r="L10507" s="5"/>
      <c r="M10507" s="5"/>
      <c r="N10507" s="5"/>
      <c r="O10507" s="5"/>
      <c r="P10507" s="5"/>
      <c r="Q10507" s="5"/>
      <c r="R10507" s="5"/>
      <c r="S10507" s="5"/>
      <c r="T10507" s="5"/>
      <c r="U10507" s="5"/>
      <c r="V10507" s="5"/>
      <c r="W10507" s="5"/>
      <c r="X10507" s="5"/>
      <c r="Y10507" s="5"/>
      <c r="Z10507" s="5"/>
    </row>
    <row r="10508" spans="1:26" ht="15" x14ac:dyDescent="0.25">
      <c r="A10508" s="4" t="s">
        <v>10505</v>
      </c>
      <c r="B10508" s="4" t="s">
        <v>9011</v>
      </c>
      <c r="C10508" s="2" t="str">
        <f ca="1">IFERROR(__xludf.DUMMYFUNCTION("GOOGLETRANSLATE(A10508,""bn"",""en"")"),"Pakoras with chatpot chutney will be the best rainy day snacks")</f>
        <v>Pakoras with chatpot chutney will be the best rainy day snacks</v>
      </c>
      <c r="D10508" s="5"/>
      <c r="E10508" s="5"/>
      <c r="F10508" s="5"/>
      <c r="G10508" s="5"/>
      <c r="H10508" s="5"/>
      <c r="I10508" s="5"/>
      <c r="J10508" s="5"/>
      <c r="K10508" s="5"/>
      <c r="L10508" s="5"/>
      <c r="M10508" s="5"/>
      <c r="N10508" s="5"/>
      <c r="O10508" s="5"/>
      <c r="P10508" s="5"/>
      <c r="Q10508" s="5"/>
      <c r="R10508" s="5"/>
      <c r="S10508" s="5"/>
      <c r="T10508" s="5"/>
      <c r="U10508" s="5"/>
      <c r="V10508" s="5"/>
      <c r="W10508" s="5"/>
      <c r="X10508" s="5"/>
      <c r="Y10508" s="5"/>
      <c r="Z10508" s="5"/>
    </row>
    <row r="10509" spans="1:26" ht="15" x14ac:dyDescent="0.25">
      <c r="A10509" s="4" t="s">
        <v>10506</v>
      </c>
      <c r="B10509" s="4" t="s">
        <v>9011</v>
      </c>
      <c r="C10509" s="2" t="str">
        <f ca="1">IFERROR(__xludf.DUMMYFUNCTION("GOOGLETRANSLATE(A10509,""bn"",""en"")"),"They will be so happy with this small success on the way to fulfilling their dreams that they will achieve much more in life")</f>
        <v>They will be so happy with this small success on the way to fulfilling their dreams that they will achieve much more in life</v>
      </c>
      <c r="D10509" s="5"/>
      <c r="E10509" s="5"/>
      <c r="F10509" s="5"/>
      <c r="G10509" s="5"/>
      <c r="H10509" s="5"/>
      <c r="I10509" s="5"/>
      <c r="J10509" s="5"/>
      <c r="K10509" s="5"/>
      <c r="L10509" s="5"/>
      <c r="M10509" s="5"/>
      <c r="N10509" s="5"/>
      <c r="O10509" s="5"/>
      <c r="P10509" s="5"/>
      <c r="Q10509" s="5"/>
      <c r="R10509" s="5"/>
      <c r="S10509" s="5"/>
      <c r="T10509" s="5"/>
      <c r="U10509" s="5"/>
      <c r="V10509" s="5"/>
      <c r="W10509" s="5"/>
      <c r="X10509" s="5"/>
      <c r="Y10509" s="5"/>
      <c r="Z10509" s="5"/>
    </row>
    <row r="10510" spans="1:26" ht="15" x14ac:dyDescent="0.25">
      <c r="A10510" s="4" t="s">
        <v>10507</v>
      </c>
      <c r="B10510" s="4" t="s">
        <v>9011</v>
      </c>
      <c r="C10510" s="2" t="str">
        <f ca="1">IFERROR(__xludf.DUMMYFUNCTION("GOOGLETRANSLATE(A10510,""bn"",""en"")"),"Date molasses syrup will keep the body cool on hot days and taste great too")</f>
        <v>Date molasses syrup will keep the body cool on hot days and taste great too</v>
      </c>
      <c r="D10510" s="5"/>
      <c r="E10510" s="5"/>
      <c r="F10510" s="5"/>
      <c r="G10510" s="5"/>
      <c r="H10510" s="5"/>
      <c r="I10510" s="5"/>
      <c r="J10510" s="5"/>
      <c r="K10510" s="5"/>
      <c r="L10510" s="5"/>
      <c r="M10510" s="5"/>
      <c r="N10510" s="5"/>
      <c r="O10510" s="5"/>
      <c r="P10510" s="5"/>
      <c r="Q10510" s="5"/>
      <c r="R10510" s="5"/>
      <c r="S10510" s="5"/>
      <c r="T10510" s="5"/>
      <c r="U10510" s="5"/>
      <c r="V10510" s="5"/>
      <c r="W10510" s="5"/>
      <c r="X10510" s="5"/>
      <c r="Y10510" s="5"/>
      <c r="Z10510" s="5"/>
    </row>
    <row r="10511" spans="1:26" ht="15" x14ac:dyDescent="0.25">
      <c r="A10511" s="4" t="s">
        <v>10508</v>
      </c>
      <c r="B10511" s="4" t="s">
        <v>9011</v>
      </c>
      <c r="C10511" s="2" t="str">
        <f ca="1">IFERROR(__xludf.DUMMYFUNCTION("GOOGLETRANSLATE(A10511,""bn"",""en"")"),"I will buy a new dress tomorrow")</f>
        <v>I will buy a new dress tomorrow</v>
      </c>
      <c r="D10511" s="5"/>
      <c r="E10511" s="5"/>
      <c r="F10511" s="5"/>
      <c r="G10511" s="5"/>
      <c r="H10511" s="5"/>
      <c r="I10511" s="5"/>
      <c r="J10511" s="5"/>
      <c r="K10511" s="5"/>
      <c r="L10511" s="5"/>
      <c r="M10511" s="5"/>
      <c r="N10511" s="5"/>
      <c r="O10511" s="5"/>
      <c r="P10511" s="5"/>
      <c r="Q10511" s="5"/>
      <c r="R10511" s="5"/>
      <c r="S10511" s="5"/>
      <c r="T10511" s="5"/>
      <c r="U10511" s="5"/>
      <c r="V10511" s="5"/>
      <c r="W10511" s="5"/>
      <c r="X10511" s="5"/>
      <c r="Y10511" s="5"/>
      <c r="Z10511" s="5"/>
    </row>
    <row r="10512" spans="1:26" ht="15" x14ac:dyDescent="0.25">
      <c r="A10512" s="4" t="s">
        <v>10509</v>
      </c>
      <c r="B10512" s="4" t="s">
        <v>9011</v>
      </c>
      <c r="C10512" s="2" t="str">
        <f ca="1">IFERROR(__xludf.DUMMYFUNCTION("GOOGLETRANSLATE(A10512,""bn"",""en"")"),"I will be a proud wife, my husband's love for him will increase in what he does")</f>
        <v>I will be a proud wife, my husband's love for him will increase in what he does</v>
      </c>
      <c r="D10512" s="5"/>
      <c r="E10512" s="5"/>
      <c r="F10512" s="5"/>
      <c r="G10512" s="5"/>
      <c r="H10512" s="5"/>
      <c r="I10512" s="5"/>
      <c r="J10512" s="5"/>
      <c r="K10512" s="5"/>
      <c r="L10512" s="5"/>
      <c r="M10512" s="5"/>
      <c r="N10512" s="5"/>
      <c r="O10512" s="5"/>
      <c r="P10512" s="5"/>
      <c r="Q10512" s="5"/>
      <c r="R10512" s="5"/>
      <c r="S10512" s="5"/>
      <c r="T10512" s="5"/>
      <c r="U10512" s="5"/>
      <c r="V10512" s="5"/>
      <c r="W10512" s="5"/>
      <c r="X10512" s="5"/>
      <c r="Y10512" s="5"/>
      <c r="Z10512" s="5"/>
    </row>
    <row r="10513" spans="1:26" ht="15" x14ac:dyDescent="0.25">
      <c r="A10513" s="4" t="s">
        <v>10510</v>
      </c>
      <c r="B10513" s="4" t="s">
        <v>9011</v>
      </c>
      <c r="C10513" s="2" t="str">
        <f ca="1">IFERROR(__xludf.DUMMYFUNCTION("GOOGLETRANSLATE(A10513,""bn"",""en"")"),"I have been searching for a job for a long time and today I will finally be successful, thank God")</f>
        <v>I have been searching for a job for a long time and today I will finally be successful, thank God</v>
      </c>
      <c r="D10513" s="5"/>
      <c r="E10513" s="5"/>
      <c r="F10513" s="5"/>
      <c r="G10513" s="5"/>
      <c r="H10513" s="5"/>
      <c r="I10513" s="5"/>
      <c r="J10513" s="5"/>
      <c r="K10513" s="5"/>
      <c r="L10513" s="5"/>
      <c r="M10513" s="5"/>
      <c r="N10513" s="5"/>
      <c r="O10513" s="5"/>
      <c r="P10513" s="5"/>
      <c r="Q10513" s="5"/>
      <c r="R10513" s="5"/>
      <c r="S10513" s="5"/>
      <c r="T10513" s="5"/>
      <c r="U10513" s="5"/>
      <c r="V10513" s="5"/>
      <c r="W10513" s="5"/>
      <c r="X10513" s="5"/>
      <c r="Y10513" s="5"/>
      <c r="Z10513" s="5"/>
    </row>
    <row r="10514" spans="1:26" ht="15" x14ac:dyDescent="0.25">
      <c r="A10514" s="4" t="s">
        <v>10511</v>
      </c>
      <c r="B10514" s="4" t="s">
        <v>9011</v>
      </c>
      <c r="C10514" s="2" t="str">
        <f ca="1">IFERROR(__xludf.DUMMYFUNCTION("GOOGLETRANSLATE(A10514,""bn"",""en"")"),"Look, you have studied so hard, you will get the result")</f>
        <v>Look, you have studied so hard, you will get the result</v>
      </c>
      <c r="D10514" s="5"/>
      <c r="E10514" s="5"/>
      <c r="F10514" s="5"/>
      <c r="G10514" s="5"/>
      <c r="H10514" s="5"/>
      <c r="I10514" s="5"/>
      <c r="J10514" s="5"/>
      <c r="K10514" s="5"/>
      <c r="L10514" s="5"/>
      <c r="M10514" s="5"/>
      <c r="N10514" s="5"/>
      <c r="O10514" s="5"/>
      <c r="P10514" s="5"/>
      <c r="Q10514" s="5"/>
      <c r="R10514" s="5"/>
      <c r="S10514" s="5"/>
      <c r="T10514" s="5"/>
      <c r="U10514" s="5"/>
      <c r="V10514" s="5"/>
      <c r="W10514" s="5"/>
      <c r="X10514" s="5"/>
      <c r="Y10514" s="5"/>
      <c r="Z10514" s="5"/>
    </row>
    <row r="10515" spans="1:26" ht="15" x14ac:dyDescent="0.25">
      <c r="A10515" s="4" t="s">
        <v>10512</v>
      </c>
      <c r="B10515" s="4" t="s">
        <v>9011</v>
      </c>
      <c r="C10515" s="2" t="str">
        <f ca="1">IFERROR(__xludf.DUMMYFUNCTION("GOOGLETRANSLATE(A10515,""bn"",""en"")"),"Friends will return home and spend some time talking about old chats and killing each other like the old days")</f>
        <v>Friends will return home and spend some time talking about old chats and killing each other like the old days</v>
      </c>
      <c r="D10515" s="5"/>
      <c r="E10515" s="5"/>
      <c r="F10515" s="5"/>
      <c r="G10515" s="5"/>
      <c r="H10515" s="5"/>
      <c r="I10515" s="5"/>
      <c r="J10515" s="5"/>
      <c r="K10515" s="5"/>
      <c r="L10515" s="5"/>
      <c r="M10515" s="5"/>
      <c r="N10515" s="5"/>
      <c r="O10515" s="5"/>
      <c r="P10515" s="5"/>
      <c r="Q10515" s="5"/>
      <c r="R10515" s="5"/>
      <c r="S10515" s="5"/>
      <c r="T10515" s="5"/>
      <c r="U10515" s="5"/>
      <c r="V10515" s="5"/>
      <c r="W10515" s="5"/>
      <c r="X10515" s="5"/>
      <c r="Y10515" s="5"/>
      <c r="Z10515" s="5"/>
    </row>
    <row r="10516" spans="1:26" ht="15" x14ac:dyDescent="0.25">
      <c r="A10516" s="4" t="s">
        <v>10513</v>
      </c>
      <c r="B10516" s="4" t="s">
        <v>9011</v>
      </c>
      <c r="C10516" s="2" t="str">
        <f ca="1">IFERROR(__xludf.DUMMYFUNCTION("GOOGLETRANSLATE(A10516,""bn"",""en"")"),"They will continue to support us in my new venture")</f>
        <v>They will continue to support us in my new venture</v>
      </c>
      <c r="D10516" s="5"/>
      <c r="E10516" s="5"/>
      <c r="F10516" s="5"/>
      <c r="G10516" s="5"/>
      <c r="H10516" s="5"/>
      <c r="I10516" s="5"/>
      <c r="J10516" s="5"/>
      <c r="K10516" s="5"/>
      <c r="L10516" s="5"/>
      <c r="M10516" s="5"/>
      <c r="N10516" s="5"/>
      <c r="O10516" s="5"/>
      <c r="P10516" s="5"/>
      <c r="Q10516" s="5"/>
      <c r="R10516" s="5"/>
      <c r="S10516" s="5"/>
      <c r="T10516" s="5"/>
      <c r="U10516" s="5"/>
      <c r="V10516" s="5"/>
      <c r="W10516" s="5"/>
      <c r="X10516" s="5"/>
      <c r="Y10516" s="5"/>
      <c r="Z10516" s="5"/>
    </row>
    <row r="10517" spans="1:26" ht="15" x14ac:dyDescent="0.25">
      <c r="A10517" s="4" t="s">
        <v>10514</v>
      </c>
      <c r="B10517" s="4" t="s">
        <v>9011</v>
      </c>
      <c r="C10517" s="2" t="str">
        <f ca="1">IFERROR(__xludf.DUMMYFUNCTION("GOOGLETRANSLATE(A10517,""bn"",""en"")"),"It is very good news that our company's share price will be the highest in the market tomorrow")</f>
        <v>It is very good news that our company's share price will be the highest in the market tomorrow</v>
      </c>
      <c r="D10517" s="5"/>
      <c r="E10517" s="5"/>
      <c r="F10517" s="5"/>
      <c r="G10517" s="5"/>
      <c r="H10517" s="5"/>
      <c r="I10517" s="5"/>
      <c r="J10517" s="5"/>
      <c r="K10517" s="5"/>
      <c r="L10517" s="5"/>
      <c r="M10517" s="5"/>
      <c r="N10517" s="5"/>
      <c r="O10517" s="5"/>
      <c r="P10517" s="5"/>
      <c r="Q10517" s="5"/>
      <c r="R10517" s="5"/>
      <c r="S10517" s="5"/>
      <c r="T10517" s="5"/>
      <c r="U10517" s="5"/>
      <c r="V10517" s="5"/>
      <c r="W10517" s="5"/>
      <c r="X10517" s="5"/>
      <c r="Y10517" s="5"/>
      <c r="Z10517" s="5"/>
    </row>
    <row r="10518" spans="1:26" ht="15" x14ac:dyDescent="0.25">
      <c r="A10518" s="4" t="s">
        <v>10515</v>
      </c>
      <c r="B10518" s="4" t="s">
        <v>9011</v>
      </c>
      <c r="C10518" s="2" t="str">
        <f ca="1">IFERROR(__xludf.DUMMYFUNCTION("GOOGLETRANSLATE(A10518,""bn"",""en"")"),"Falling asleep in class but being woken up by friends will make school life fun")</f>
        <v>Falling asleep in class but being woken up by friends will make school life fun</v>
      </c>
      <c r="D10518" s="5"/>
      <c r="E10518" s="5"/>
      <c r="F10518" s="5"/>
      <c r="G10518" s="5"/>
      <c r="H10518" s="5"/>
      <c r="I10518" s="5"/>
      <c r="J10518" s="5"/>
      <c r="K10518" s="5"/>
      <c r="L10518" s="5"/>
      <c r="M10518" s="5"/>
      <c r="N10518" s="5"/>
      <c r="O10518" s="5"/>
      <c r="P10518" s="5"/>
      <c r="Q10518" s="5"/>
      <c r="R10518" s="5"/>
      <c r="S10518" s="5"/>
      <c r="T10518" s="5"/>
      <c r="U10518" s="5"/>
      <c r="V10518" s="5"/>
      <c r="W10518" s="5"/>
      <c r="X10518" s="5"/>
      <c r="Y10518" s="5"/>
      <c r="Z10518" s="5"/>
    </row>
    <row r="10519" spans="1:26" ht="15" x14ac:dyDescent="0.25">
      <c r="A10519" s="4" t="s">
        <v>10516</v>
      </c>
      <c r="B10519" s="4" t="s">
        <v>9011</v>
      </c>
      <c r="C10519" s="2" t="str">
        <f ca="1">IFERROR(__xludf.DUMMYFUNCTION("GOOGLETRANSLATE(A10519,""bn"",""en"")"),"Haji's Biryani of Old Dhaka will never compare")</f>
        <v>Haji's Biryani of Old Dhaka will never compare</v>
      </c>
      <c r="D10519" s="5"/>
      <c r="E10519" s="5"/>
      <c r="F10519" s="5"/>
      <c r="G10519" s="5"/>
      <c r="H10519" s="5"/>
      <c r="I10519" s="5"/>
      <c r="J10519" s="5"/>
      <c r="K10519" s="5"/>
      <c r="L10519" s="5"/>
      <c r="M10519" s="5"/>
      <c r="N10519" s="5"/>
      <c r="O10519" s="5"/>
      <c r="P10519" s="5"/>
      <c r="Q10519" s="5"/>
      <c r="R10519" s="5"/>
      <c r="S10519" s="5"/>
      <c r="T10519" s="5"/>
      <c r="U10519" s="5"/>
      <c r="V10519" s="5"/>
      <c r="W10519" s="5"/>
      <c r="X10519" s="5"/>
      <c r="Y10519" s="5"/>
      <c r="Z10519" s="5"/>
    </row>
    <row r="10520" spans="1:26" ht="15" x14ac:dyDescent="0.25">
      <c r="A10520" s="4" t="s">
        <v>10517</v>
      </c>
      <c r="B10520" s="4" t="s">
        <v>9011</v>
      </c>
      <c r="C10520" s="2" t="str">
        <f ca="1">IFERROR(__xludf.DUMMYFUNCTION("GOOGLETRANSLATE(A10520,""bn"",""en"")"),"Sitting in the shade of an ancient tree, you will feel like listening to the past")</f>
        <v>Sitting in the shade of an ancient tree, you will feel like listening to the past</v>
      </c>
      <c r="D10520" s="5"/>
      <c r="E10520" s="5"/>
      <c r="F10520" s="5"/>
      <c r="G10520" s="5"/>
      <c r="H10520" s="5"/>
      <c r="I10520" s="5"/>
      <c r="J10520" s="5"/>
      <c r="K10520" s="5"/>
      <c r="L10520" s="5"/>
      <c r="M10520" s="5"/>
      <c r="N10520" s="5"/>
      <c r="O10520" s="5"/>
      <c r="P10520" s="5"/>
      <c r="Q10520" s="5"/>
      <c r="R10520" s="5"/>
      <c r="S10520" s="5"/>
      <c r="T10520" s="5"/>
      <c r="U10520" s="5"/>
      <c r="V10520" s="5"/>
      <c r="W10520" s="5"/>
      <c r="X10520" s="5"/>
      <c r="Y10520" s="5"/>
      <c r="Z10520" s="5"/>
    </row>
    <row r="10521" spans="1:26" ht="15" x14ac:dyDescent="0.25">
      <c r="A10521" s="4" t="s">
        <v>10518</v>
      </c>
      <c r="B10521" s="4" t="s">
        <v>9011</v>
      </c>
      <c r="C10521" s="2" t="str">
        <f ca="1">IFERROR(__xludf.DUMMYFUNCTION("GOOGLETRANSLATE(A10521,""bn"",""en"")"),"In the future I will start my own company where I can fulfill my dreams")</f>
        <v>In the future I will start my own company where I can fulfill my dreams</v>
      </c>
      <c r="D10521" s="5"/>
      <c r="E10521" s="5"/>
      <c r="F10521" s="5"/>
      <c r="G10521" s="5"/>
      <c r="H10521" s="5"/>
      <c r="I10521" s="5"/>
      <c r="J10521" s="5"/>
      <c r="K10521" s="5"/>
      <c r="L10521" s="5"/>
      <c r="M10521" s="5"/>
      <c r="N10521" s="5"/>
      <c r="O10521" s="5"/>
      <c r="P10521" s="5"/>
      <c r="Q10521" s="5"/>
      <c r="R10521" s="5"/>
      <c r="S10521" s="5"/>
      <c r="T10521" s="5"/>
      <c r="U10521" s="5"/>
      <c r="V10521" s="5"/>
      <c r="W10521" s="5"/>
      <c r="X10521" s="5"/>
      <c r="Y10521" s="5"/>
      <c r="Z10521" s="5"/>
    </row>
    <row r="10522" spans="1:26" ht="15" x14ac:dyDescent="0.25">
      <c r="A10522" s="4" t="s">
        <v>10519</v>
      </c>
      <c r="B10522" s="4" t="s">
        <v>9011</v>
      </c>
      <c r="C10522" s="2" t="str">
        <f ca="1">IFERROR(__xludf.DUMMYFUNCTION("GOOGLETRANSLATE(A10522,""bn"",""en"")"),"They will continue to master our technology")</f>
        <v>They will continue to master our technology</v>
      </c>
      <c r="D10522" s="5"/>
      <c r="E10522" s="5"/>
      <c r="F10522" s="5"/>
      <c r="G10522" s="5"/>
      <c r="H10522" s="5"/>
      <c r="I10522" s="5"/>
      <c r="J10522" s="5"/>
      <c r="K10522" s="5"/>
      <c r="L10522" s="5"/>
      <c r="M10522" s="5"/>
      <c r="N10522" s="5"/>
      <c r="O10522" s="5"/>
      <c r="P10522" s="5"/>
      <c r="Q10522" s="5"/>
      <c r="R10522" s="5"/>
      <c r="S10522" s="5"/>
      <c r="T10522" s="5"/>
      <c r="U10522" s="5"/>
      <c r="V10522" s="5"/>
      <c r="W10522" s="5"/>
      <c r="X10522" s="5"/>
      <c r="Y10522" s="5"/>
      <c r="Z10522" s="5"/>
    </row>
    <row r="10523" spans="1:26" ht="15" x14ac:dyDescent="0.25">
      <c r="A10523" s="4" t="s">
        <v>10520</v>
      </c>
      <c r="B10523" s="4" t="s">
        <v>9011</v>
      </c>
      <c r="C10523" s="2" t="str">
        <f ca="1">IFERROR(__xludf.DUMMYFUNCTION("GOOGLETRANSLATE(A10523,""bn"",""en"")"),"After so many years, the story of this film will still be remembered")</f>
        <v>After so many years, the story of this film will still be remembered</v>
      </c>
      <c r="D10523" s="5"/>
      <c r="E10523" s="5"/>
      <c r="F10523" s="5"/>
      <c r="G10523" s="5"/>
      <c r="H10523" s="5"/>
      <c r="I10523" s="5"/>
      <c r="J10523" s="5"/>
      <c r="K10523" s="5"/>
      <c r="L10523" s="5"/>
      <c r="M10523" s="5"/>
      <c r="N10523" s="5"/>
      <c r="O10523" s="5"/>
      <c r="P10523" s="5"/>
      <c r="Q10523" s="5"/>
      <c r="R10523" s="5"/>
      <c r="S10523" s="5"/>
      <c r="T10523" s="5"/>
      <c r="U10523" s="5"/>
      <c r="V10523" s="5"/>
      <c r="W10523" s="5"/>
      <c r="X10523" s="5"/>
      <c r="Y10523" s="5"/>
      <c r="Z10523" s="5"/>
    </row>
    <row r="10524" spans="1:26" ht="15" x14ac:dyDescent="0.25">
      <c r="A10524" s="4" t="s">
        <v>10521</v>
      </c>
      <c r="B10524" s="4" t="s">
        <v>9011</v>
      </c>
      <c r="C10524" s="2" t="str">
        <f ca="1">IFERROR(__xludf.DUMMYFUNCTION("GOOGLETRANSLATE(A10524,""bn"",""en"")"),"A cold shower after swimming will relieve fatigue and refresh the body and mind")</f>
        <v>A cold shower after swimming will relieve fatigue and refresh the body and mind</v>
      </c>
      <c r="D10524" s="5"/>
      <c r="E10524" s="5"/>
      <c r="F10524" s="5"/>
      <c r="G10524" s="5"/>
      <c r="H10524" s="5"/>
      <c r="I10524" s="5"/>
      <c r="J10524" s="5"/>
      <c r="K10524" s="5"/>
      <c r="L10524" s="5"/>
      <c r="M10524" s="5"/>
      <c r="N10524" s="5"/>
      <c r="O10524" s="5"/>
      <c r="P10524" s="5"/>
      <c r="Q10524" s="5"/>
      <c r="R10524" s="5"/>
      <c r="S10524" s="5"/>
      <c r="T10524" s="5"/>
      <c r="U10524" s="5"/>
      <c r="V10524" s="5"/>
      <c r="W10524" s="5"/>
      <c r="X10524" s="5"/>
      <c r="Y10524" s="5"/>
      <c r="Z10524" s="5"/>
    </row>
    <row r="10525" spans="1:26" ht="15" x14ac:dyDescent="0.25">
      <c r="A10525" s="4" t="s">
        <v>10522</v>
      </c>
      <c r="B10525" s="4" t="s">
        <v>9011</v>
      </c>
      <c r="C10525" s="2" t="str">
        <f ca="1">IFERROR(__xludf.DUMMYFUNCTION("GOOGLETRANSLATE(A10525,""bn"",""en"")"),"This match will be history for sure")</f>
        <v>This match will be history for sure</v>
      </c>
      <c r="D10525" s="5"/>
      <c r="E10525" s="5"/>
      <c r="F10525" s="5"/>
      <c r="G10525" s="5"/>
      <c r="H10525" s="5"/>
      <c r="I10525" s="5"/>
      <c r="J10525" s="5"/>
      <c r="K10525" s="5"/>
      <c r="L10525" s="5"/>
      <c r="M10525" s="5"/>
      <c r="N10525" s="5"/>
      <c r="O10525" s="5"/>
      <c r="P10525" s="5"/>
      <c r="Q10525" s="5"/>
      <c r="R10525" s="5"/>
      <c r="S10525" s="5"/>
      <c r="T10525" s="5"/>
      <c r="U10525" s="5"/>
      <c r="V10525" s="5"/>
      <c r="W10525" s="5"/>
      <c r="X10525" s="5"/>
      <c r="Y10525" s="5"/>
      <c r="Z10525" s="5"/>
    </row>
    <row r="10526" spans="1:26" ht="15" x14ac:dyDescent="0.25">
      <c r="A10526" s="4" t="s">
        <v>10523</v>
      </c>
      <c r="B10526" s="4" t="s">
        <v>9011</v>
      </c>
      <c r="C10526" s="2" t="str">
        <f ca="1">IFERROR(__xludf.DUMMYFUNCTION("GOOGLETRANSLATE(A10526,""bn"",""en"")"),"My business may be small but the dream will be big stay with it")</f>
        <v>My business may be small but the dream will be big stay with it</v>
      </c>
      <c r="D10526" s="5"/>
      <c r="E10526" s="5"/>
      <c r="F10526" s="5"/>
      <c r="G10526" s="5"/>
      <c r="H10526" s="5"/>
      <c r="I10526" s="5"/>
      <c r="J10526" s="5"/>
      <c r="K10526" s="5"/>
      <c r="L10526" s="5"/>
      <c r="M10526" s="5"/>
      <c r="N10526" s="5"/>
      <c r="O10526" s="5"/>
      <c r="P10526" s="5"/>
      <c r="Q10526" s="5"/>
      <c r="R10526" s="5"/>
      <c r="S10526" s="5"/>
      <c r="T10526" s="5"/>
      <c r="U10526" s="5"/>
      <c r="V10526" s="5"/>
      <c r="W10526" s="5"/>
      <c r="X10526" s="5"/>
      <c r="Y10526" s="5"/>
      <c r="Z10526" s="5"/>
    </row>
    <row r="10527" spans="1:26" ht="15" x14ac:dyDescent="0.25">
      <c r="A10527" s="4" t="s">
        <v>10524</v>
      </c>
      <c r="B10527" s="4" t="s">
        <v>9011</v>
      </c>
      <c r="C10527" s="2" t="str">
        <f ca="1">IFERROR(__xludf.DUMMYFUNCTION("GOOGLETRANSLATE(A10527,""bn"",""en"")"),"Not knowing the answer to the teacher's question but with the help of a friend will be the story of school life")</f>
        <v>Not knowing the answer to the teacher's question but with the help of a friend will be the story of school life</v>
      </c>
      <c r="D10527" s="5"/>
      <c r="E10527" s="5"/>
      <c r="F10527" s="5"/>
      <c r="G10527" s="5"/>
      <c r="H10527" s="5"/>
      <c r="I10527" s="5"/>
      <c r="J10527" s="5"/>
      <c r="K10527" s="5"/>
      <c r="L10527" s="5"/>
      <c r="M10527" s="5"/>
      <c r="N10527" s="5"/>
      <c r="O10527" s="5"/>
      <c r="P10527" s="5"/>
      <c r="Q10527" s="5"/>
      <c r="R10527" s="5"/>
      <c r="S10527" s="5"/>
      <c r="T10527" s="5"/>
      <c r="U10527" s="5"/>
      <c r="V10527" s="5"/>
      <c r="W10527" s="5"/>
      <c r="X10527" s="5"/>
      <c r="Y10527" s="5"/>
      <c r="Z10527" s="5"/>
    </row>
    <row r="10528" spans="1:26" ht="15" x14ac:dyDescent="0.25">
      <c r="A10528" s="4" t="s">
        <v>10525</v>
      </c>
      <c r="B10528" s="4" t="s">
        <v>9011</v>
      </c>
      <c r="C10528" s="2" t="str">
        <f ca="1">IFERROR(__xludf.DUMMYFUNCTION("GOOGLETRANSLATE(A10528,""bn"",""en"")"),"You will attend an important meeting next week where you will present your new project")</f>
        <v>You will attend an important meeting next week where you will present your new project</v>
      </c>
      <c r="D10528" s="5"/>
      <c r="E10528" s="5"/>
      <c r="F10528" s="5"/>
      <c r="G10528" s="5"/>
      <c r="H10528" s="5"/>
      <c r="I10528" s="5"/>
      <c r="J10528" s="5"/>
      <c r="K10528" s="5"/>
      <c r="L10528" s="5"/>
      <c r="M10528" s="5"/>
      <c r="N10528" s="5"/>
      <c r="O10528" s="5"/>
      <c r="P10528" s="5"/>
      <c r="Q10528" s="5"/>
      <c r="R10528" s="5"/>
      <c r="S10528" s="5"/>
      <c r="T10528" s="5"/>
      <c r="U10528" s="5"/>
      <c r="V10528" s="5"/>
      <c r="W10528" s="5"/>
      <c r="X10528" s="5"/>
      <c r="Y10528" s="5"/>
      <c r="Z10528" s="5"/>
    </row>
    <row r="10529" spans="1:26" ht="15" x14ac:dyDescent="0.25">
      <c r="A10529" s="4" t="s">
        <v>10526</v>
      </c>
      <c r="B10529" s="4" t="s">
        <v>9011</v>
      </c>
      <c r="C10529" s="2" t="str">
        <f ca="1">IFERROR(__xludf.DUMMYFUNCTION("GOOGLETRANSLATE(A10529,""bn"",""en"")"),"Tomorrow you will attend a seminar on improved water conservation technology")</f>
        <v>Tomorrow you will attend a seminar on improved water conservation technology</v>
      </c>
      <c r="D10529" s="5"/>
      <c r="E10529" s="5"/>
      <c r="F10529" s="5"/>
      <c r="G10529" s="5"/>
      <c r="H10529" s="5"/>
      <c r="I10529" s="5"/>
      <c r="J10529" s="5"/>
      <c r="K10529" s="5"/>
      <c r="L10529" s="5"/>
      <c r="M10529" s="5"/>
      <c r="N10529" s="5"/>
      <c r="O10529" s="5"/>
      <c r="P10529" s="5"/>
      <c r="Q10529" s="5"/>
      <c r="R10529" s="5"/>
      <c r="S10529" s="5"/>
      <c r="T10529" s="5"/>
      <c r="U10529" s="5"/>
      <c r="V10529" s="5"/>
      <c r="W10529" s="5"/>
      <c r="X10529" s="5"/>
      <c r="Y10529" s="5"/>
      <c r="Z10529" s="5"/>
    </row>
    <row r="10530" spans="1:26" ht="15" x14ac:dyDescent="0.25">
      <c r="A10530" s="4" t="s">
        <v>10527</v>
      </c>
      <c r="B10530" s="4" t="s">
        <v>9011</v>
      </c>
      <c r="C10530" s="2" t="str">
        <f ca="1">IFERROR(__xludf.DUMMYFUNCTION("GOOGLETRANSLATE(A10530,""bn"",""en"")"),"You will feel really lucky to receive such a beautiful gift")</f>
        <v>You will feel really lucky to receive such a beautiful gift</v>
      </c>
      <c r="D10530" s="5"/>
      <c r="E10530" s="5"/>
      <c r="F10530" s="5"/>
      <c r="G10530" s="5"/>
      <c r="H10530" s="5"/>
      <c r="I10530" s="5"/>
      <c r="J10530" s="5"/>
      <c r="K10530" s="5"/>
      <c r="L10530" s="5"/>
      <c r="M10530" s="5"/>
      <c r="N10530" s="5"/>
      <c r="O10530" s="5"/>
      <c r="P10530" s="5"/>
      <c r="Q10530" s="5"/>
      <c r="R10530" s="5"/>
      <c r="S10530" s="5"/>
      <c r="T10530" s="5"/>
      <c r="U10530" s="5"/>
      <c r="V10530" s="5"/>
      <c r="W10530" s="5"/>
      <c r="X10530" s="5"/>
      <c r="Y10530" s="5"/>
      <c r="Z10530" s="5"/>
    </row>
    <row r="10531" spans="1:26" ht="15" x14ac:dyDescent="0.25">
      <c r="A10531" s="4" t="s">
        <v>10528</v>
      </c>
      <c r="B10531" s="4" t="s">
        <v>9011</v>
      </c>
      <c r="C10531" s="2" t="str">
        <f ca="1">IFERROR(__xludf.DUMMYFUNCTION("GOOGLETRANSLATE(A10531,""bn"",""en"")"),"A happy life requires positive thinking")</f>
        <v>A happy life requires positive thinking</v>
      </c>
      <c r="D10531" s="5"/>
      <c r="E10531" s="5"/>
      <c r="F10531" s="5"/>
      <c r="G10531" s="5"/>
      <c r="H10531" s="5"/>
      <c r="I10531" s="5"/>
      <c r="J10531" s="5"/>
      <c r="K10531" s="5"/>
      <c r="L10531" s="5"/>
      <c r="M10531" s="5"/>
      <c r="N10531" s="5"/>
      <c r="O10531" s="5"/>
      <c r="P10531" s="5"/>
      <c r="Q10531" s="5"/>
      <c r="R10531" s="5"/>
      <c r="S10531" s="5"/>
      <c r="T10531" s="5"/>
      <c r="U10531" s="5"/>
      <c r="V10531" s="5"/>
      <c r="W10531" s="5"/>
      <c r="X10531" s="5"/>
      <c r="Y10531" s="5"/>
      <c r="Z10531" s="5"/>
    </row>
    <row r="10532" spans="1:26" ht="15" x14ac:dyDescent="0.25">
      <c r="A10532" s="4" t="s">
        <v>10529</v>
      </c>
      <c r="B10532" s="4" t="s">
        <v>9011</v>
      </c>
      <c r="C10532" s="2" t="str">
        <f ca="1">IFERROR(__xludf.DUMMYFUNCTION("GOOGLETRANSLATE(A10532,""bn"",""en"")"),"I will buy a new book tomorrow")</f>
        <v>I will buy a new book tomorrow</v>
      </c>
      <c r="D10532" s="5"/>
      <c r="E10532" s="5"/>
      <c r="F10532" s="5"/>
      <c r="G10532" s="5"/>
      <c r="H10532" s="5"/>
      <c r="I10532" s="5"/>
      <c r="J10532" s="5"/>
      <c r="K10532" s="5"/>
      <c r="L10532" s="5"/>
      <c r="M10532" s="5"/>
      <c r="N10532" s="5"/>
      <c r="O10532" s="5"/>
      <c r="P10532" s="5"/>
      <c r="Q10532" s="5"/>
      <c r="R10532" s="5"/>
      <c r="S10532" s="5"/>
      <c r="T10532" s="5"/>
      <c r="U10532" s="5"/>
      <c r="V10532" s="5"/>
      <c r="W10532" s="5"/>
      <c r="X10532" s="5"/>
      <c r="Y10532" s="5"/>
      <c r="Z10532" s="5"/>
    </row>
    <row r="10533" spans="1:26" ht="15" x14ac:dyDescent="0.25">
      <c r="A10533" s="4" t="s">
        <v>10530</v>
      </c>
      <c r="B10533" s="4" t="s">
        <v>9011</v>
      </c>
      <c r="C10533" s="2" t="str">
        <f ca="1">IFERROR(__xludf.DUMMYFUNCTION("GOOGLETRANSLATE(A10533,""bn"",""en"")"),"I will take money in the rocket")</f>
        <v>I will take money in the rocket</v>
      </c>
      <c r="D10533" s="5"/>
      <c r="E10533" s="5"/>
      <c r="F10533" s="5"/>
      <c r="G10533" s="5"/>
      <c r="H10533" s="5"/>
      <c r="I10533" s="5"/>
      <c r="J10533" s="5"/>
      <c r="K10533" s="5"/>
      <c r="L10533" s="5"/>
      <c r="M10533" s="5"/>
      <c r="N10533" s="5"/>
      <c r="O10533" s="5"/>
      <c r="P10533" s="5"/>
      <c r="Q10533" s="5"/>
      <c r="R10533" s="5"/>
      <c r="S10533" s="5"/>
      <c r="T10533" s="5"/>
      <c r="U10533" s="5"/>
      <c r="V10533" s="5"/>
      <c r="W10533" s="5"/>
      <c r="X10533" s="5"/>
      <c r="Y10533" s="5"/>
      <c r="Z10533" s="5"/>
    </row>
    <row r="10534" spans="1:26" ht="15" x14ac:dyDescent="0.25">
      <c r="A10534" s="4" t="s">
        <v>10531</v>
      </c>
      <c r="B10534" s="4" t="s">
        <v>9011</v>
      </c>
      <c r="C10534" s="2" t="str">
        <f ca="1">IFERROR(__xludf.DUMMYFUNCTION("GOOGLETRANSLATE(A10534,""bn"",""en"")"),"Teams will ask for help")</f>
        <v>Teams will ask for help</v>
      </c>
      <c r="D10534" s="5"/>
      <c r="E10534" s="5"/>
      <c r="F10534" s="5"/>
      <c r="G10534" s="5"/>
      <c r="H10534" s="5"/>
      <c r="I10534" s="5"/>
      <c r="J10534" s="5"/>
      <c r="K10534" s="5"/>
      <c r="L10534" s="5"/>
      <c r="M10534" s="5"/>
      <c r="N10534" s="5"/>
      <c r="O10534" s="5"/>
      <c r="P10534" s="5"/>
      <c r="Q10534" s="5"/>
      <c r="R10534" s="5"/>
      <c r="S10534" s="5"/>
      <c r="T10534" s="5"/>
      <c r="U10534" s="5"/>
      <c r="V10534" s="5"/>
      <c r="W10534" s="5"/>
      <c r="X10534" s="5"/>
      <c r="Y10534" s="5"/>
      <c r="Z10534" s="5"/>
    </row>
    <row r="10535" spans="1:26" ht="15" x14ac:dyDescent="0.25">
      <c r="A10535" s="4" t="s">
        <v>10532</v>
      </c>
      <c r="B10535" s="4" t="s">
        <v>9011</v>
      </c>
      <c r="C10535" s="2" t="str">
        <f ca="1">IFERROR(__xludf.DUMMYFUNCTION("GOOGLETRANSLATE(A10535,""bn"",""en"")"),"Loan will be approved")</f>
        <v>Loan will be approved</v>
      </c>
      <c r="D10535" s="5"/>
      <c r="E10535" s="5"/>
      <c r="F10535" s="5"/>
      <c r="G10535" s="5"/>
      <c r="H10535" s="5"/>
      <c r="I10535" s="5"/>
      <c r="J10535" s="5"/>
      <c r="K10535" s="5"/>
      <c r="L10535" s="5"/>
      <c r="M10535" s="5"/>
      <c r="N10535" s="5"/>
      <c r="O10535" s="5"/>
      <c r="P10535" s="5"/>
      <c r="Q10535" s="5"/>
      <c r="R10535" s="5"/>
      <c r="S10535" s="5"/>
      <c r="T10535" s="5"/>
      <c r="U10535" s="5"/>
      <c r="V10535" s="5"/>
      <c r="W10535" s="5"/>
      <c r="X10535" s="5"/>
      <c r="Y10535" s="5"/>
      <c r="Z10535" s="5"/>
    </row>
    <row r="10536" spans="1:26" ht="15" x14ac:dyDescent="0.25">
      <c r="A10536" s="4" t="s">
        <v>10533</v>
      </c>
      <c r="B10536" s="4" t="s">
        <v>9011</v>
      </c>
      <c r="C10536" s="2" t="str">
        <f ca="1">IFERROR(__xludf.DUMMYFUNCTION("GOOGLETRANSLATE(A10536,""bn"",""en"")"),"Get home loan")</f>
        <v>Get home loan</v>
      </c>
      <c r="D10536" s="5"/>
      <c r="E10536" s="5"/>
      <c r="F10536" s="5"/>
      <c r="G10536" s="5"/>
      <c r="H10536" s="5"/>
      <c r="I10536" s="5"/>
      <c r="J10536" s="5"/>
      <c r="K10536" s="5"/>
      <c r="L10536" s="5"/>
      <c r="M10536" s="5"/>
      <c r="N10536" s="5"/>
      <c r="O10536" s="5"/>
      <c r="P10536" s="5"/>
      <c r="Q10536" s="5"/>
      <c r="R10536" s="5"/>
      <c r="S10536" s="5"/>
      <c r="T10536" s="5"/>
      <c r="U10536" s="5"/>
      <c r="V10536" s="5"/>
      <c r="W10536" s="5"/>
      <c r="X10536" s="5"/>
      <c r="Y10536" s="5"/>
      <c r="Z10536" s="5"/>
    </row>
    <row r="10537" spans="1:26" ht="15" x14ac:dyDescent="0.25">
      <c r="A10537" s="4" t="s">
        <v>10534</v>
      </c>
      <c r="B10537" s="4" t="s">
        <v>9011</v>
      </c>
      <c r="C10537" s="2" t="str">
        <f ca="1">IFERROR(__xludf.DUMMYFUNCTION("GOOGLETRANSLATE(A10537,""bn"",""en"")"),"I will use the software")</f>
        <v>I will use the software</v>
      </c>
      <c r="D10537" s="5"/>
      <c r="E10537" s="5"/>
      <c r="F10537" s="5"/>
      <c r="G10537" s="5"/>
      <c r="H10537" s="5"/>
      <c r="I10537" s="5"/>
      <c r="J10537" s="5"/>
      <c r="K10537" s="5"/>
      <c r="L10537" s="5"/>
      <c r="M10537" s="5"/>
      <c r="N10537" s="5"/>
      <c r="O10537" s="5"/>
      <c r="P10537" s="5"/>
      <c r="Q10537" s="5"/>
      <c r="R10537" s="5"/>
      <c r="S10537" s="5"/>
      <c r="T10537" s="5"/>
      <c r="U10537" s="5"/>
      <c r="V10537" s="5"/>
      <c r="W10537" s="5"/>
      <c r="X10537" s="5"/>
      <c r="Y10537" s="5"/>
      <c r="Z10537" s="5"/>
    </row>
    <row r="10538" spans="1:26" ht="15" x14ac:dyDescent="0.25">
      <c r="A10538" s="4" t="s">
        <v>10535</v>
      </c>
      <c r="B10538" s="4" t="s">
        <v>9011</v>
      </c>
      <c r="C10538" s="2" t="str">
        <f ca="1">IFERROR(__xludf.DUMMYFUNCTION("GOOGLETRANSLATE(A10538,""bn"",""en"")"),"Have a pleasant trip")</f>
        <v>Have a pleasant trip</v>
      </c>
      <c r="D10538" s="5"/>
      <c r="E10538" s="5"/>
      <c r="F10538" s="5"/>
      <c r="G10538" s="5"/>
      <c r="H10538" s="5"/>
      <c r="I10538" s="5"/>
      <c r="J10538" s="5"/>
      <c r="K10538" s="5"/>
      <c r="L10538" s="5"/>
      <c r="M10538" s="5"/>
      <c r="N10538" s="5"/>
      <c r="O10538" s="5"/>
      <c r="P10538" s="5"/>
      <c r="Q10538" s="5"/>
      <c r="R10538" s="5"/>
      <c r="S10538" s="5"/>
      <c r="T10538" s="5"/>
      <c r="U10538" s="5"/>
      <c r="V10538" s="5"/>
      <c r="W10538" s="5"/>
      <c r="X10538" s="5"/>
      <c r="Y10538" s="5"/>
      <c r="Z10538" s="5"/>
    </row>
    <row r="10539" spans="1:26" ht="15" x14ac:dyDescent="0.25">
      <c r="A10539" s="4" t="s">
        <v>10536</v>
      </c>
      <c r="B10539" s="4" t="s">
        <v>9011</v>
      </c>
      <c r="C10539" s="2" t="str">
        <f ca="1">IFERROR(__xludf.DUMMYFUNCTION("GOOGLETRANSLATE(A10539,""bn"",""en"")"),"I will analyze the website")</f>
        <v>I will analyze the website</v>
      </c>
      <c r="D10539" s="5"/>
      <c r="E10539" s="5"/>
      <c r="F10539" s="5"/>
      <c r="G10539" s="5"/>
      <c r="H10539" s="5"/>
      <c r="I10539" s="5"/>
      <c r="J10539" s="5"/>
      <c r="K10539" s="5"/>
      <c r="L10539" s="5"/>
      <c r="M10539" s="5"/>
      <c r="N10539" s="5"/>
      <c r="O10539" s="5"/>
      <c r="P10539" s="5"/>
      <c r="Q10539" s="5"/>
      <c r="R10539" s="5"/>
      <c r="S10539" s="5"/>
      <c r="T10539" s="5"/>
      <c r="U10539" s="5"/>
      <c r="V10539" s="5"/>
      <c r="W10539" s="5"/>
      <c r="X10539" s="5"/>
      <c r="Y10539" s="5"/>
      <c r="Z10539" s="5"/>
    </row>
    <row r="10540" spans="1:26" ht="15" x14ac:dyDescent="0.25">
      <c r="A10540" s="4" t="s">
        <v>10537</v>
      </c>
      <c r="B10540" s="4" t="s">
        <v>9011</v>
      </c>
      <c r="C10540" s="2" t="str">
        <f ca="1">IFERROR(__xludf.DUMMYFUNCTION("GOOGLETRANSLATE(A10540,""bn"",""en"")"),"Catch will be in cricket")</f>
        <v>Catch will be in cricket</v>
      </c>
      <c r="D10540" s="5"/>
      <c r="E10540" s="5"/>
      <c r="F10540" s="5"/>
      <c r="G10540" s="5"/>
      <c r="H10540" s="5"/>
      <c r="I10540" s="5"/>
      <c r="J10540" s="5"/>
      <c r="K10540" s="5"/>
      <c r="L10540" s="5"/>
      <c r="M10540" s="5"/>
      <c r="N10540" s="5"/>
      <c r="O10540" s="5"/>
      <c r="P10540" s="5"/>
      <c r="Q10540" s="5"/>
      <c r="R10540" s="5"/>
      <c r="S10540" s="5"/>
      <c r="T10540" s="5"/>
      <c r="U10540" s="5"/>
      <c r="V10540" s="5"/>
      <c r="W10540" s="5"/>
      <c r="X10540" s="5"/>
      <c r="Y10540" s="5"/>
      <c r="Z10540" s="5"/>
    </row>
    <row r="10541" spans="1:26" ht="15" x14ac:dyDescent="0.25">
      <c r="A10541" s="4" t="s">
        <v>10538</v>
      </c>
      <c r="B10541" s="4" t="s">
        <v>9011</v>
      </c>
      <c r="C10541" s="2" t="str">
        <f ca="1">IFERROR(__xludf.DUMMYFUNCTION("GOOGLETRANSLATE(A10541,""bn"",""en"")"),"Score a goal in football")</f>
        <v>Score a goal in football</v>
      </c>
      <c r="D10541" s="5"/>
      <c r="E10541" s="5"/>
      <c r="F10541" s="5"/>
      <c r="G10541" s="5"/>
      <c r="H10541" s="5"/>
      <c r="I10541" s="5"/>
      <c r="J10541" s="5"/>
      <c r="K10541" s="5"/>
      <c r="L10541" s="5"/>
      <c r="M10541" s="5"/>
      <c r="N10541" s="5"/>
      <c r="O10541" s="5"/>
      <c r="P10541" s="5"/>
      <c r="Q10541" s="5"/>
      <c r="R10541" s="5"/>
      <c r="S10541" s="5"/>
      <c r="T10541" s="5"/>
      <c r="U10541" s="5"/>
      <c r="V10541" s="5"/>
      <c r="W10541" s="5"/>
      <c r="X10541" s="5"/>
      <c r="Y10541" s="5"/>
      <c r="Z10541" s="5"/>
    </row>
    <row r="10542" spans="1:26" ht="15" x14ac:dyDescent="0.25">
      <c r="A10542" s="4" t="s">
        <v>10539</v>
      </c>
      <c r="B10542" s="4" t="s">
        <v>9011</v>
      </c>
      <c r="C10542" s="2" t="str">
        <f ca="1">IFERROR(__xludf.DUMMYFUNCTION("GOOGLETRANSLATE(A10542,""bn"",""en"")"),"Casting will begin")</f>
        <v>Casting will begin</v>
      </c>
      <c r="D10542" s="5"/>
      <c r="E10542" s="5"/>
      <c r="F10542" s="5"/>
      <c r="G10542" s="5"/>
      <c r="H10542" s="5"/>
      <c r="I10542" s="5"/>
      <c r="J10542" s="5"/>
      <c r="K10542" s="5"/>
      <c r="L10542" s="5"/>
      <c r="M10542" s="5"/>
      <c r="N10542" s="5"/>
      <c r="O10542" s="5"/>
      <c r="P10542" s="5"/>
      <c r="Q10542" s="5"/>
      <c r="R10542" s="5"/>
      <c r="S10542" s="5"/>
      <c r="T10542" s="5"/>
      <c r="U10542" s="5"/>
      <c r="V10542" s="5"/>
      <c r="W10542" s="5"/>
      <c r="X10542" s="5"/>
      <c r="Y10542" s="5"/>
      <c r="Z10542" s="5"/>
    </row>
    <row r="10543" spans="1:26" ht="15" x14ac:dyDescent="0.25">
      <c r="A10543" s="4" t="s">
        <v>10540</v>
      </c>
      <c r="B10543" s="4" t="s">
        <v>9011</v>
      </c>
      <c r="C10543" s="2" t="str">
        <f ca="1">IFERROR(__xludf.DUMMYFUNCTION("GOOGLETRANSLATE(A10543,""bn"",""en"")"),"Good compliments")</f>
        <v>Good compliments</v>
      </c>
      <c r="D10543" s="5"/>
      <c r="E10543" s="5"/>
      <c r="F10543" s="5"/>
      <c r="G10543" s="5"/>
      <c r="H10543" s="5"/>
      <c r="I10543" s="5"/>
      <c r="J10543" s="5"/>
      <c r="K10543" s="5"/>
      <c r="L10543" s="5"/>
      <c r="M10543" s="5"/>
      <c r="N10543" s="5"/>
      <c r="O10543" s="5"/>
      <c r="P10543" s="5"/>
      <c r="Q10543" s="5"/>
      <c r="R10543" s="5"/>
      <c r="S10543" s="5"/>
      <c r="T10543" s="5"/>
      <c r="U10543" s="5"/>
      <c r="V10543" s="5"/>
      <c r="W10543" s="5"/>
      <c r="X10543" s="5"/>
      <c r="Y10543" s="5"/>
      <c r="Z10543" s="5"/>
    </row>
    <row r="10544" spans="1:26" ht="15" x14ac:dyDescent="0.25">
      <c r="A10544" s="4" t="s">
        <v>10541</v>
      </c>
      <c r="B10544" s="4" t="s">
        <v>9011</v>
      </c>
      <c r="C10544" s="2" t="str">
        <f ca="1">IFERROR(__xludf.DUMMYFUNCTION("GOOGLETRANSLATE(A10544,""bn"",""en"")"),"They will ski")</f>
        <v>They will ski</v>
      </c>
      <c r="D10544" s="5"/>
      <c r="E10544" s="5"/>
      <c r="F10544" s="5"/>
      <c r="G10544" s="5"/>
      <c r="H10544" s="5"/>
      <c r="I10544" s="5"/>
      <c r="J10544" s="5"/>
      <c r="K10544" s="5"/>
      <c r="L10544" s="5"/>
      <c r="M10544" s="5"/>
      <c r="N10544" s="5"/>
      <c r="O10544" s="5"/>
      <c r="P10544" s="5"/>
      <c r="Q10544" s="5"/>
      <c r="R10544" s="5"/>
      <c r="S10544" s="5"/>
      <c r="T10544" s="5"/>
      <c r="U10544" s="5"/>
      <c r="V10544" s="5"/>
      <c r="W10544" s="5"/>
      <c r="X10544" s="5"/>
      <c r="Y10544" s="5"/>
      <c r="Z10544" s="5"/>
    </row>
    <row r="10545" spans="1:26" ht="15" x14ac:dyDescent="0.25">
      <c r="A10545" s="4" t="s">
        <v>10542</v>
      </c>
      <c r="B10545" s="4" t="s">
        <v>9011</v>
      </c>
      <c r="C10545" s="2" t="str">
        <f ca="1">IFERROR(__xludf.DUMMYFUNCTION("GOOGLETRANSLATE(A10545,""bn"",""en"")"),"Will manage the project")</f>
        <v>Will manage the project</v>
      </c>
      <c r="D10545" s="5"/>
      <c r="E10545" s="5"/>
      <c r="F10545" s="5"/>
      <c r="G10545" s="5"/>
      <c r="H10545" s="5"/>
      <c r="I10545" s="5"/>
      <c r="J10545" s="5"/>
      <c r="K10545" s="5"/>
      <c r="L10545" s="5"/>
      <c r="M10545" s="5"/>
      <c r="N10545" s="5"/>
      <c r="O10545" s="5"/>
      <c r="P10545" s="5"/>
      <c r="Q10545" s="5"/>
      <c r="R10545" s="5"/>
      <c r="S10545" s="5"/>
      <c r="T10545" s="5"/>
      <c r="U10545" s="5"/>
      <c r="V10545" s="5"/>
      <c r="W10545" s="5"/>
      <c r="X10545" s="5"/>
      <c r="Y10545" s="5"/>
      <c r="Z10545" s="5"/>
    </row>
    <row r="10546" spans="1:26" ht="15" x14ac:dyDescent="0.25">
      <c r="A10546" s="4" t="s">
        <v>10543</v>
      </c>
      <c r="B10546" s="4" t="s">
        <v>9011</v>
      </c>
      <c r="C10546" s="2" t="str">
        <f ca="1">IFERROR(__xludf.DUMMYFUNCTION("GOOGLETRANSLATE(A10546,""bn"",""en"")"),"Access will be granted")</f>
        <v>Access will be granted</v>
      </c>
      <c r="D10546" s="5"/>
      <c r="E10546" s="5"/>
      <c r="F10546" s="5"/>
      <c r="G10546" s="5"/>
      <c r="H10546" s="5"/>
      <c r="I10546" s="5"/>
      <c r="J10546" s="5"/>
      <c r="K10546" s="5"/>
      <c r="L10546" s="5"/>
      <c r="M10546" s="5"/>
      <c r="N10546" s="5"/>
      <c r="O10546" s="5"/>
      <c r="P10546" s="5"/>
      <c r="Q10546" s="5"/>
      <c r="R10546" s="5"/>
      <c r="S10546" s="5"/>
      <c r="T10546" s="5"/>
      <c r="U10546" s="5"/>
      <c r="V10546" s="5"/>
      <c r="W10546" s="5"/>
      <c r="X10546" s="5"/>
      <c r="Y10546" s="5"/>
      <c r="Z10546" s="5"/>
    </row>
    <row r="10547" spans="1:26" ht="15" x14ac:dyDescent="0.25">
      <c r="A10547" s="4" t="s">
        <v>10544</v>
      </c>
      <c r="B10547" s="4" t="s">
        <v>9011</v>
      </c>
      <c r="C10547" s="2" t="str">
        <f ca="1">IFERROR(__xludf.DUMMYFUNCTION("GOOGLETRANSLATE(A10547,""bn"",""en"")"),"There will be a badminton match")</f>
        <v>There will be a badminton match</v>
      </c>
      <c r="D10547" s="5"/>
      <c r="E10547" s="5"/>
      <c r="F10547" s="5"/>
      <c r="G10547" s="5"/>
      <c r="H10547" s="5"/>
      <c r="I10547" s="5"/>
      <c r="J10547" s="5"/>
      <c r="K10547" s="5"/>
      <c r="L10547" s="5"/>
      <c r="M10547" s="5"/>
      <c r="N10547" s="5"/>
      <c r="O10547" s="5"/>
      <c r="P10547" s="5"/>
      <c r="Q10547" s="5"/>
      <c r="R10547" s="5"/>
      <c r="S10547" s="5"/>
      <c r="T10547" s="5"/>
      <c r="U10547" s="5"/>
      <c r="V10547" s="5"/>
      <c r="W10547" s="5"/>
      <c r="X10547" s="5"/>
      <c r="Y10547" s="5"/>
      <c r="Z10547" s="5"/>
    </row>
    <row r="10548" spans="1:26" ht="15" x14ac:dyDescent="0.25">
      <c r="A10548" s="4" t="s">
        <v>10545</v>
      </c>
      <c r="B10548" s="4" t="s">
        <v>9011</v>
      </c>
      <c r="C10548" s="2" t="str">
        <f ca="1">IFERROR(__xludf.DUMMYFUNCTION("GOOGLETRANSLATE(A10548,""bn"",""en"")"),"Windows will be popular")</f>
        <v>Windows will be popular</v>
      </c>
      <c r="D10548" s="5"/>
      <c r="E10548" s="5"/>
      <c r="F10548" s="5"/>
      <c r="G10548" s="5"/>
      <c r="H10548" s="5"/>
      <c r="I10548" s="5"/>
      <c r="J10548" s="5"/>
      <c r="K10548" s="5"/>
      <c r="L10548" s="5"/>
      <c r="M10548" s="5"/>
      <c r="N10548" s="5"/>
      <c r="O10548" s="5"/>
      <c r="P10548" s="5"/>
      <c r="Q10548" s="5"/>
      <c r="R10548" s="5"/>
      <c r="S10548" s="5"/>
      <c r="T10548" s="5"/>
      <c r="U10548" s="5"/>
      <c r="V10548" s="5"/>
      <c r="W10548" s="5"/>
      <c r="X10548" s="5"/>
      <c r="Y10548" s="5"/>
      <c r="Z10548" s="5"/>
    </row>
    <row r="10549" spans="1:26" ht="15" x14ac:dyDescent="0.25">
      <c r="A10549" s="4" t="s">
        <v>10546</v>
      </c>
      <c r="B10549" s="4" t="s">
        <v>9011</v>
      </c>
      <c r="C10549" s="2" t="str">
        <f ca="1">IFERROR(__xludf.DUMMYFUNCTION("GOOGLETRANSLATE(A10549,""bn"",""en"")"),"Politics will develop")</f>
        <v>Politics will develop</v>
      </c>
      <c r="D10549" s="5"/>
      <c r="E10549" s="5"/>
      <c r="F10549" s="5"/>
      <c r="G10549" s="5"/>
      <c r="H10549" s="5"/>
      <c r="I10549" s="5"/>
      <c r="J10549" s="5"/>
      <c r="K10549" s="5"/>
      <c r="L10549" s="5"/>
      <c r="M10549" s="5"/>
      <c r="N10549" s="5"/>
      <c r="O10549" s="5"/>
      <c r="P10549" s="5"/>
      <c r="Q10549" s="5"/>
      <c r="R10549" s="5"/>
      <c r="S10549" s="5"/>
      <c r="T10549" s="5"/>
      <c r="U10549" s="5"/>
      <c r="V10549" s="5"/>
      <c r="W10549" s="5"/>
      <c r="X10549" s="5"/>
      <c r="Y10549" s="5"/>
      <c r="Z10549" s="5"/>
    </row>
    <row r="10550" spans="1:26" ht="15" x14ac:dyDescent="0.25">
      <c r="A10550" s="4" t="s">
        <v>10547</v>
      </c>
      <c r="B10550" s="4" t="s">
        <v>9011</v>
      </c>
      <c r="C10550" s="2" t="str">
        <f ca="1">IFERROR(__xludf.DUMMYFUNCTION("GOOGLETRANSLATE(A10550,""bn"",""en"")"),"I will use the smartwatch")</f>
        <v>I will use the smartwatch</v>
      </c>
      <c r="D10550" s="5"/>
      <c r="E10550" s="5"/>
      <c r="F10550" s="5"/>
      <c r="G10550" s="5"/>
      <c r="H10550" s="5"/>
      <c r="I10550" s="5"/>
      <c r="J10550" s="5"/>
      <c r="K10550" s="5"/>
      <c r="L10550" s="5"/>
      <c r="M10550" s="5"/>
      <c r="N10550" s="5"/>
      <c r="O10550" s="5"/>
      <c r="P10550" s="5"/>
      <c r="Q10550" s="5"/>
      <c r="R10550" s="5"/>
      <c r="S10550" s="5"/>
      <c r="T10550" s="5"/>
      <c r="U10550" s="5"/>
      <c r="V10550" s="5"/>
      <c r="W10550" s="5"/>
      <c r="X10550" s="5"/>
      <c r="Y10550" s="5"/>
      <c r="Z10550" s="5"/>
    </row>
    <row r="10551" spans="1:26" ht="15" x14ac:dyDescent="0.25">
      <c r="A10551" s="4" t="s">
        <v>10548</v>
      </c>
      <c r="B10551" s="4" t="s">
        <v>9011</v>
      </c>
      <c r="C10551" s="2" t="str">
        <f ca="1">IFERROR(__xludf.DUMMYFUNCTION("GOOGLETRANSLATE(A10551,""bn"",""en"")"),"There will be exercise in sports")</f>
        <v>There will be exercise in sports</v>
      </c>
      <c r="D10551" s="5"/>
      <c r="E10551" s="5"/>
      <c r="F10551" s="5"/>
      <c r="G10551" s="5"/>
      <c r="H10551" s="5"/>
      <c r="I10551" s="5"/>
      <c r="J10551" s="5"/>
      <c r="K10551" s="5"/>
      <c r="L10551" s="5"/>
      <c r="M10551" s="5"/>
      <c r="N10551" s="5"/>
      <c r="O10551" s="5"/>
      <c r="P10551" s="5"/>
      <c r="Q10551" s="5"/>
      <c r="R10551" s="5"/>
      <c r="S10551" s="5"/>
      <c r="T10551" s="5"/>
      <c r="U10551" s="5"/>
      <c r="V10551" s="5"/>
      <c r="W10551" s="5"/>
      <c r="X10551" s="5"/>
      <c r="Y10551" s="5"/>
      <c r="Z10551" s="5"/>
    </row>
    <row r="10552" spans="1:26" ht="15" x14ac:dyDescent="0.25">
      <c r="A10552" s="4" t="s">
        <v>10549</v>
      </c>
      <c r="B10552" s="4" t="s">
        <v>9011</v>
      </c>
      <c r="C10552" s="2" t="str">
        <f ca="1">IFERROR(__xludf.DUMMYFUNCTION("GOOGLETRANSLATE(A10552,""bn"",""en"")"),"Automation will increase")</f>
        <v>Automation will increase</v>
      </c>
      <c r="D10552" s="5"/>
      <c r="E10552" s="5"/>
      <c r="F10552" s="5"/>
      <c r="G10552" s="5"/>
      <c r="H10552" s="5"/>
      <c r="I10552" s="5"/>
      <c r="J10552" s="5"/>
      <c r="K10552" s="5"/>
      <c r="L10552" s="5"/>
      <c r="M10552" s="5"/>
      <c r="N10552" s="5"/>
      <c r="O10552" s="5"/>
      <c r="P10552" s="5"/>
      <c r="Q10552" s="5"/>
      <c r="R10552" s="5"/>
      <c r="S10552" s="5"/>
      <c r="T10552" s="5"/>
      <c r="U10552" s="5"/>
      <c r="V10552" s="5"/>
      <c r="W10552" s="5"/>
      <c r="X10552" s="5"/>
      <c r="Y10552" s="5"/>
      <c r="Z10552" s="5"/>
    </row>
    <row r="10553" spans="1:26" ht="15" x14ac:dyDescent="0.25">
      <c r="A10553" s="4" t="s">
        <v>10550</v>
      </c>
      <c r="B10553" s="4" t="s">
        <v>9011</v>
      </c>
      <c r="C10553" s="2" t="str">
        <f ca="1">IFERROR(__xludf.DUMMYFUNCTION("GOOGLETRANSLATE(A10553,""bn"",""en"")"),"Clothing prices will increase")</f>
        <v>Clothing prices will increase</v>
      </c>
      <c r="D10553" s="5"/>
      <c r="E10553" s="5"/>
      <c r="F10553" s="5"/>
      <c r="G10553" s="5"/>
      <c r="H10553" s="5"/>
      <c r="I10553" s="5"/>
      <c r="J10553" s="5"/>
      <c r="K10553" s="5"/>
      <c r="L10553" s="5"/>
      <c r="M10553" s="5"/>
      <c r="N10553" s="5"/>
      <c r="O10553" s="5"/>
      <c r="P10553" s="5"/>
      <c r="Q10553" s="5"/>
      <c r="R10553" s="5"/>
      <c r="S10553" s="5"/>
      <c r="T10553" s="5"/>
      <c r="U10553" s="5"/>
      <c r="V10553" s="5"/>
      <c r="W10553" s="5"/>
      <c r="X10553" s="5"/>
      <c r="Y10553" s="5"/>
      <c r="Z10553" s="5"/>
    </row>
    <row r="10554" spans="1:26" ht="15" x14ac:dyDescent="0.25">
      <c r="A10554" s="4" t="s">
        <v>10551</v>
      </c>
      <c r="B10554" s="4" t="s">
        <v>9011</v>
      </c>
      <c r="C10554" s="2" t="str">
        <f ca="1">IFERROR(__xludf.DUMMYFUNCTION("GOOGLETRANSLATE(A10554,""bn"",""en"")"),"Players will beat the score")</f>
        <v>Players will beat the score</v>
      </c>
      <c r="D10554" s="5"/>
      <c r="E10554" s="5"/>
      <c r="F10554" s="5"/>
      <c r="G10554" s="5"/>
      <c r="H10554" s="5"/>
      <c r="I10554" s="5"/>
      <c r="J10554" s="5"/>
      <c r="K10554" s="5"/>
      <c r="L10554" s="5"/>
      <c r="M10554" s="5"/>
      <c r="N10554" s="5"/>
      <c r="O10554" s="5"/>
      <c r="P10554" s="5"/>
      <c r="Q10554" s="5"/>
      <c r="R10554" s="5"/>
      <c r="S10554" s="5"/>
      <c r="T10554" s="5"/>
      <c r="U10554" s="5"/>
      <c r="V10554" s="5"/>
      <c r="W10554" s="5"/>
      <c r="X10554" s="5"/>
      <c r="Y10554" s="5"/>
      <c r="Z10554" s="5"/>
    </row>
    <row r="10555" spans="1:26" ht="15" x14ac:dyDescent="0.25">
      <c r="A10555" s="4" t="s">
        <v>10552</v>
      </c>
      <c r="B10555" s="4" t="s">
        <v>9011</v>
      </c>
      <c r="C10555" s="2" t="str">
        <f ca="1">IFERROR(__xludf.DUMMYFUNCTION("GOOGLETRANSLATE(A10555,""bn"",""en"")"),"The team will play football")</f>
        <v>The team will play football</v>
      </c>
      <c r="D10555" s="5"/>
      <c r="E10555" s="5"/>
      <c r="F10555" s="5"/>
      <c r="G10555" s="5"/>
      <c r="H10555" s="5"/>
      <c r="I10555" s="5"/>
      <c r="J10555" s="5"/>
      <c r="K10555" s="5"/>
      <c r="L10555" s="5"/>
      <c r="M10555" s="5"/>
      <c r="N10555" s="5"/>
      <c r="O10555" s="5"/>
      <c r="P10555" s="5"/>
      <c r="Q10555" s="5"/>
      <c r="R10555" s="5"/>
      <c r="S10555" s="5"/>
      <c r="T10555" s="5"/>
      <c r="U10555" s="5"/>
      <c r="V10555" s="5"/>
      <c r="W10555" s="5"/>
      <c r="X10555" s="5"/>
      <c r="Y10555" s="5"/>
      <c r="Z10555" s="5"/>
    </row>
    <row r="10556" spans="1:26" ht="15" x14ac:dyDescent="0.25">
      <c r="A10556" s="4" t="s">
        <v>10553</v>
      </c>
      <c r="B10556" s="4" t="s">
        <v>9011</v>
      </c>
      <c r="C10556" s="2" t="str">
        <f ca="1">IFERROR(__xludf.DUMMYFUNCTION("GOOGLETRANSLATE(A10556,""bn"",""en"")"),"I will keep the account open")</f>
        <v>I will keep the account open</v>
      </c>
      <c r="D10556" s="5"/>
      <c r="E10556" s="5"/>
      <c r="F10556" s="5"/>
      <c r="G10556" s="5"/>
      <c r="H10556" s="5"/>
      <c r="I10556" s="5"/>
      <c r="J10556" s="5"/>
      <c r="K10556" s="5"/>
      <c r="L10556" s="5"/>
      <c r="M10556" s="5"/>
      <c r="N10556" s="5"/>
      <c r="O10556" s="5"/>
      <c r="P10556" s="5"/>
      <c r="Q10556" s="5"/>
      <c r="R10556" s="5"/>
      <c r="S10556" s="5"/>
      <c r="T10556" s="5"/>
      <c r="U10556" s="5"/>
      <c r="V10556" s="5"/>
      <c r="W10556" s="5"/>
      <c r="X10556" s="5"/>
      <c r="Y10556" s="5"/>
      <c r="Z10556" s="5"/>
    </row>
    <row r="10557" spans="1:26" ht="15" x14ac:dyDescent="0.25">
      <c r="A10557" s="4" t="s">
        <v>10554</v>
      </c>
      <c r="B10557" s="4" t="s">
        <v>9011</v>
      </c>
      <c r="C10557" s="2" t="str">
        <f ca="1">IFERROR(__xludf.DUMMYFUNCTION("GOOGLETRANSLATE(A10557,""bn"",""en"")"),"I will travel with friends")</f>
        <v>I will travel with friends</v>
      </c>
      <c r="D10557" s="5"/>
      <c r="E10557" s="5"/>
      <c r="F10557" s="5"/>
      <c r="G10557" s="5"/>
      <c r="H10557" s="5"/>
      <c r="I10557" s="5"/>
      <c r="J10557" s="5"/>
      <c r="K10557" s="5"/>
      <c r="L10557" s="5"/>
      <c r="M10557" s="5"/>
      <c r="N10557" s="5"/>
      <c r="O10557" s="5"/>
      <c r="P10557" s="5"/>
      <c r="Q10557" s="5"/>
      <c r="R10557" s="5"/>
      <c r="S10557" s="5"/>
      <c r="T10557" s="5"/>
      <c r="U10557" s="5"/>
      <c r="V10557" s="5"/>
      <c r="W10557" s="5"/>
      <c r="X10557" s="5"/>
      <c r="Y10557" s="5"/>
      <c r="Z10557" s="5"/>
    </row>
    <row r="10558" spans="1:26" ht="15" x14ac:dyDescent="0.25">
      <c r="A10558" s="4" t="s">
        <v>10555</v>
      </c>
      <c r="B10558" s="4" t="s">
        <v>9011</v>
      </c>
      <c r="C10558" s="2" t="str">
        <f ca="1">IFERROR(__xludf.DUMMYFUNCTION("GOOGLETRANSLATE(A10558,""bn"",""en"")"),"I will update the account")</f>
        <v>I will update the account</v>
      </c>
      <c r="D10558" s="5"/>
      <c r="E10558" s="5"/>
      <c r="F10558" s="5"/>
      <c r="G10558" s="5"/>
      <c r="H10558" s="5"/>
      <c r="I10558" s="5"/>
      <c r="J10558" s="5"/>
      <c r="K10558" s="5"/>
      <c r="L10558" s="5"/>
      <c r="M10558" s="5"/>
      <c r="N10558" s="5"/>
      <c r="O10558" s="5"/>
      <c r="P10558" s="5"/>
      <c r="Q10558" s="5"/>
      <c r="R10558" s="5"/>
      <c r="S10558" s="5"/>
      <c r="T10558" s="5"/>
      <c r="U10558" s="5"/>
      <c r="V10558" s="5"/>
      <c r="W10558" s="5"/>
      <c r="X10558" s="5"/>
      <c r="Y10558" s="5"/>
      <c r="Z10558" s="5"/>
    </row>
    <row r="10559" spans="1:26" ht="15" x14ac:dyDescent="0.25">
      <c r="A10559" s="4" t="s">
        <v>10556</v>
      </c>
      <c r="B10559" s="4" t="s">
        <v>9011</v>
      </c>
      <c r="C10559" s="2" t="str">
        <f ca="1">IFERROR(__xludf.DUMMYFUNCTION("GOOGLETRANSLATE(A10559,""bn"",""en"")"),"I will keep counting")</f>
        <v>I will keep counting</v>
      </c>
      <c r="D10559" s="5"/>
      <c r="E10559" s="5"/>
      <c r="F10559" s="5"/>
      <c r="G10559" s="5"/>
      <c r="H10559" s="5"/>
      <c r="I10559" s="5"/>
      <c r="J10559" s="5"/>
      <c r="K10559" s="5"/>
      <c r="L10559" s="5"/>
      <c r="M10559" s="5"/>
      <c r="N10559" s="5"/>
      <c r="O10559" s="5"/>
      <c r="P10559" s="5"/>
      <c r="Q10559" s="5"/>
      <c r="R10559" s="5"/>
      <c r="S10559" s="5"/>
      <c r="T10559" s="5"/>
      <c r="U10559" s="5"/>
      <c r="V10559" s="5"/>
      <c r="W10559" s="5"/>
      <c r="X10559" s="5"/>
      <c r="Y10559" s="5"/>
      <c r="Z10559" s="5"/>
    </row>
    <row r="10560" spans="1:26" ht="15" x14ac:dyDescent="0.25">
      <c r="A10560" s="4" t="s">
        <v>10557</v>
      </c>
      <c r="B10560" s="4" t="s">
        <v>9011</v>
      </c>
      <c r="C10560" s="2" t="str">
        <f ca="1">IFERROR(__xludf.DUMMYFUNCTION("GOOGLETRANSLATE(A10560,""bn"",""en"")"),"You will be angry")</f>
        <v>You will be angry</v>
      </c>
      <c r="D10560" s="5"/>
      <c r="E10560" s="5"/>
      <c r="F10560" s="5"/>
      <c r="G10560" s="5"/>
      <c r="H10560" s="5"/>
      <c r="I10560" s="5"/>
      <c r="J10560" s="5"/>
      <c r="K10560" s="5"/>
      <c r="L10560" s="5"/>
      <c r="M10560" s="5"/>
      <c r="N10560" s="5"/>
      <c r="O10560" s="5"/>
      <c r="P10560" s="5"/>
      <c r="Q10560" s="5"/>
      <c r="R10560" s="5"/>
      <c r="S10560" s="5"/>
      <c r="T10560" s="5"/>
      <c r="U10560" s="5"/>
      <c r="V10560" s="5"/>
      <c r="W10560" s="5"/>
      <c r="X10560" s="5"/>
      <c r="Y10560" s="5"/>
      <c r="Z10560" s="5"/>
    </row>
    <row r="10561" spans="1:26" ht="15" x14ac:dyDescent="0.25">
      <c r="A10561" s="4" t="s">
        <v>10558</v>
      </c>
      <c r="B10561" s="4" t="s">
        <v>9011</v>
      </c>
      <c r="C10561" s="2" t="str">
        <f ca="1">IFERROR(__xludf.DUMMYFUNCTION("GOOGLETRANSLATE(A10561,""bn"",""en"")"),"The tennis match will begin")</f>
        <v>The tennis match will begin</v>
      </c>
      <c r="D10561" s="5"/>
      <c r="E10561" s="5"/>
      <c r="F10561" s="5"/>
      <c r="G10561" s="5"/>
      <c r="H10561" s="5"/>
      <c r="I10561" s="5"/>
      <c r="J10561" s="5"/>
      <c r="K10561" s="5"/>
      <c r="L10561" s="5"/>
      <c r="M10561" s="5"/>
      <c r="N10561" s="5"/>
      <c r="O10561" s="5"/>
      <c r="P10561" s="5"/>
      <c r="Q10561" s="5"/>
      <c r="R10561" s="5"/>
      <c r="S10561" s="5"/>
      <c r="T10561" s="5"/>
      <c r="U10561" s="5"/>
      <c r="V10561" s="5"/>
      <c r="W10561" s="5"/>
      <c r="X10561" s="5"/>
      <c r="Y10561" s="5"/>
      <c r="Z10561" s="5"/>
    </row>
    <row r="10562" spans="1:26" ht="15" x14ac:dyDescent="0.25">
      <c r="A10562" s="4" t="s">
        <v>10559</v>
      </c>
      <c r="B10562" s="4" t="s">
        <v>9011</v>
      </c>
      <c r="C10562" s="2" t="str">
        <f ca="1">IFERROR(__xludf.DUMMYFUNCTION("GOOGLETRANSLATE(A10562,""bn"",""en"")"),"You will eat Malaikopta")</f>
        <v>You will eat Malaikopta</v>
      </c>
      <c r="D10562" s="5"/>
      <c r="E10562" s="5"/>
      <c r="F10562" s="5"/>
      <c r="G10562" s="5"/>
      <c r="H10562" s="5"/>
      <c r="I10562" s="5"/>
      <c r="J10562" s="5"/>
      <c r="K10562" s="5"/>
      <c r="L10562" s="5"/>
      <c r="M10562" s="5"/>
      <c r="N10562" s="5"/>
      <c r="O10562" s="5"/>
      <c r="P10562" s="5"/>
      <c r="Q10562" s="5"/>
      <c r="R10562" s="5"/>
      <c r="S10562" s="5"/>
      <c r="T10562" s="5"/>
      <c r="U10562" s="5"/>
      <c r="V10562" s="5"/>
      <c r="W10562" s="5"/>
      <c r="X10562" s="5"/>
      <c r="Y10562" s="5"/>
      <c r="Z10562" s="5"/>
    </row>
    <row r="10563" spans="1:26" ht="15" x14ac:dyDescent="0.25">
      <c r="A10563" s="4" t="s">
        <v>10560</v>
      </c>
      <c r="B10563" s="4" t="s">
        <v>9011</v>
      </c>
      <c r="C10563" s="2" t="str">
        <f ca="1">IFERROR(__xludf.DUMMYFUNCTION("GOOGLETRANSLATE(A10563,""bn"",""en"")"),"The algorithm will change")</f>
        <v>The algorithm will change</v>
      </c>
      <c r="D10563" s="5"/>
      <c r="E10563" s="5"/>
      <c r="F10563" s="5"/>
      <c r="G10563" s="5"/>
      <c r="H10563" s="5"/>
      <c r="I10563" s="5"/>
      <c r="J10563" s="5"/>
      <c r="K10563" s="5"/>
      <c r="L10563" s="5"/>
      <c r="M10563" s="5"/>
      <c r="N10563" s="5"/>
      <c r="O10563" s="5"/>
      <c r="P10563" s="5"/>
      <c r="Q10563" s="5"/>
      <c r="R10563" s="5"/>
      <c r="S10563" s="5"/>
      <c r="T10563" s="5"/>
      <c r="U10563" s="5"/>
      <c r="V10563" s="5"/>
      <c r="W10563" s="5"/>
      <c r="X10563" s="5"/>
      <c r="Y10563" s="5"/>
      <c r="Z10563" s="5"/>
    </row>
    <row r="10564" spans="1:26" ht="15" x14ac:dyDescent="0.25">
      <c r="A10564" s="4" t="s">
        <v>10561</v>
      </c>
      <c r="B10564" s="4" t="s">
        <v>9011</v>
      </c>
      <c r="C10564" s="2" t="str">
        <f ca="1">IFERROR(__xludf.DUMMYFUNCTION("GOOGLETRANSLATE(A10564,""bn"",""en"")"),"Food will be useful")</f>
        <v>Food will be useful</v>
      </c>
      <c r="D10564" s="5"/>
      <c r="E10564" s="5"/>
      <c r="F10564" s="5"/>
      <c r="G10564" s="5"/>
      <c r="H10564" s="5"/>
      <c r="I10564" s="5"/>
      <c r="J10564" s="5"/>
      <c r="K10564" s="5"/>
      <c r="L10564" s="5"/>
      <c r="M10564" s="5"/>
      <c r="N10564" s="5"/>
      <c r="O10564" s="5"/>
      <c r="P10564" s="5"/>
      <c r="Q10564" s="5"/>
      <c r="R10564" s="5"/>
      <c r="S10564" s="5"/>
      <c r="T10564" s="5"/>
      <c r="U10564" s="5"/>
      <c r="V10564" s="5"/>
      <c r="W10564" s="5"/>
      <c r="X10564" s="5"/>
      <c r="Y10564" s="5"/>
      <c r="Z10564" s="5"/>
    </row>
    <row r="10565" spans="1:26" ht="15" x14ac:dyDescent="0.25">
      <c r="A10565" s="4" t="s">
        <v>10562</v>
      </c>
      <c r="B10565" s="4" t="s">
        <v>9011</v>
      </c>
      <c r="C10565" s="2" t="str">
        <f ca="1">IFERROR(__xludf.DUMMYFUNCTION("GOOGLETRANSLATE(A10565,""bn"",""en"")"),"I will turn on the internet")</f>
        <v>I will turn on the internet</v>
      </c>
      <c r="D10565" s="5"/>
      <c r="E10565" s="5"/>
      <c r="F10565" s="5"/>
      <c r="G10565" s="5"/>
      <c r="H10565" s="5"/>
      <c r="I10565" s="5"/>
      <c r="J10565" s="5"/>
      <c r="K10565" s="5"/>
      <c r="L10565" s="5"/>
      <c r="M10565" s="5"/>
      <c r="N10565" s="5"/>
      <c r="O10565" s="5"/>
      <c r="P10565" s="5"/>
      <c r="Q10565" s="5"/>
      <c r="R10565" s="5"/>
      <c r="S10565" s="5"/>
      <c r="T10565" s="5"/>
      <c r="U10565" s="5"/>
      <c r="V10565" s="5"/>
      <c r="W10565" s="5"/>
      <c r="X10565" s="5"/>
      <c r="Y10565" s="5"/>
      <c r="Z10565" s="5"/>
    </row>
    <row r="10566" spans="1:26" ht="15" x14ac:dyDescent="0.25">
      <c r="A10566" s="4" t="s">
        <v>10563</v>
      </c>
      <c r="B10566" s="4" t="s">
        <v>9011</v>
      </c>
      <c r="C10566" s="2" t="str">
        <f ca="1">IFERROR(__xludf.DUMMYFUNCTION("GOOGLETRANSLATE(A10566,""bn"",""en"")"),"People will march")</f>
        <v>People will march</v>
      </c>
      <c r="D10566" s="5"/>
      <c r="E10566" s="5"/>
      <c r="F10566" s="5"/>
      <c r="G10566" s="5"/>
      <c r="H10566" s="5"/>
      <c r="I10566" s="5"/>
      <c r="J10566" s="5"/>
      <c r="K10566" s="5"/>
      <c r="L10566" s="5"/>
      <c r="M10566" s="5"/>
      <c r="N10566" s="5"/>
      <c r="O10566" s="5"/>
      <c r="P10566" s="5"/>
      <c r="Q10566" s="5"/>
      <c r="R10566" s="5"/>
      <c r="S10566" s="5"/>
      <c r="T10566" s="5"/>
      <c r="U10566" s="5"/>
      <c r="V10566" s="5"/>
      <c r="W10566" s="5"/>
      <c r="X10566" s="5"/>
      <c r="Y10566" s="5"/>
      <c r="Z10566" s="5"/>
    </row>
    <row r="10567" spans="1:26" ht="15" x14ac:dyDescent="0.25">
      <c r="A10567" s="4" t="s">
        <v>10564</v>
      </c>
      <c r="B10567" s="4" t="s">
        <v>9011</v>
      </c>
      <c r="C10567" s="2" t="str">
        <f ca="1">IFERROR(__xludf.DUMMYFUNCTION("GOOGLETRANSLATE(A10567,""bn"",""en"")"),"Will help street children")</f>
        <v>Will help street children</v>
      </c>
      <c r="D10567" s="5"/>
      <c r="E10567" s="5"/>
      <c r="F10567" s="5"/>
      <c r="G10567" s="5"/>
      <c r="H10567" s="5"/>
      <c r="I10567" s="5"/>
      <c r="J10567" s="5"/>
      <c r="K10567" s="5"/>
      <c r="L10567" s="5"/>
      <c r="M10567" s="5"/>
      <c r="N10567" s="5"/>
      <c r="O10567" s="5"/>
      <c r="P10567" s="5"/>
      <c r="Q10567" s="5"/>
      <c r="R10567" s="5"/>
      <c r="S10567" s="5"/>
      <c r="T10567" s="5"/>
      <c r="U10567" s="5"/>
      <c r="V10567" s="5"/>
      <c r="W10567" s="5"/>
      <c r="X10567" s="5"/>
      <c r="Y10567" s="5"/>
      <c r="Z10567" s="5"/>
    </row>
    <row r="10568" spans="1:26" ht="15" x14ac:dyDescent="0.25">
      <c r="A10568" s="4" t="s">
        <v>10565</v>
      </c>
      <c r="B10568" s="4" t="s">
        <v>9011</v>
      </c>
      <c r="C10568" s="2" t="str">
        <f ca="1">IFERROR(__xludf.DUMMYFUNCTION("GOOGLETRANSLATE(A10568,""bn"",""en"")"),"He will write books")</f>
        <v>He will write books</v>
      </c>
      <c r="D10568" s="5"/>
      <c r="E10568" s="5"/>
      <c r="F10568" s="5"/>
      <c r="G10568" s="5"/>
      <c r="H10568" s="5"/>
      <c r="I10568" s="5"/>
      <c r="J10568" s="5"/>
      <c r="K10568" s="5"/>
      <c r="L10568" s="5"/>
      <c r="M10568" s="5"/>
      <c r="N10568" s="5"/>
      <c r="O10568" s="5"/>
      <c r="P10568" s="5"/>
      <c r="Q10568" s="5"/>
      <c r="R10568" s="5"/>
      <c r="S10568" s="5"/>
      <c r="T10568" s="5"/>
      <c r="U10568" s="5"/>
      <c r="V10568" s="5"/>
      <c r="W10568" s="5"/>
      <c r="X10568" s="5"/>
      <c r="Y10568" s="5"/>
      <c r="Z10568" s="5"/>
    </row>
    <row r="10569" spans="1:26" ht="15" x14ac:dyDescent="0.25">
      <c r="A10569" s="4" t="s">
        <v>10566</v>
      </c>
      <c r="B10569" s="4" t="s">
        <v>9011</v>
      </c>
      <c r="C10569" s="2" t="str">
        <f ca="1">IFERROR(__xludf.DUMMYFUNCTION("GOOGLETRANSLATE(A10569,""bn"",""en"")"),"Will be a Java programmer")</f>
        <v>Will be a Java programmer</v>
      </c>
      <c r="D10569" s="5"/>
      <c r="E10569" s="5"/>
      <c r="F10569" s="5"/>
      <c r="G10569" s="5"/>
      <c r="H10569" s="5"/>
      <c r="I10569" s="5"/>
      <c r="J10569" s="5"/>
      <c r="K10569" s="5"/>
      <c r="L10569" s="5"/>
      <c r="M10569" s="5"/>
      <c r="N10569" s="5"/>
      <c r="O10569" s="5"/>
      <c r="P10569" s="5"/>
      <c r="Q10569" s="5"/>
      <c r="R10569" s="5"/>
      <c r="S10569" s="5"/>
      <c r="T10569" s="5"/>
      <c r="U10569" s="5"/>
      <c r="V10569" s="5"/>
      <c r="W10569" s="5"/>
      <c r="X10569" s="5"/>
      <c r="Y10569" s="5"/>
      <c r="Z10569" s="5"/>
    </row>
    <row r="10570" spans="1:26" ht="15" x14ac:dyDescent="0.25">
      <c r="A10570" s="4" t="s">
        <v>10567</v>
      </c>
      <c r="B10570" s="4" t="s">
        <v>9011</v>
      </c>
      <c r="C10570" s="2" t="str">
        <f ca="1">IFERROR(__xludf.DUMMYFUNCTION("GOOGLETRANSLATE(A10570,""bn"",""en"")"),"I will work on research")</f>
        <v>I will work on research</v>
      </c>
      <c r="D10570" s="5"/>
      <c r="E10570" s="5"/>
      <c r="F10570" s="5"/>
      <c r="G10570" s="5"/>
      <c r="H10570" s="5"/>
      <c r="I10570" s="5"/>
      <c r="J10570" s="5"/>
      <c r="K10570" s="5"/>
      <c r="L10570" s="5"/>
      <c r="M10570" s="5"/>
      <c r="N10570" s="5"/>
      <c r="O10570" s="5"/>
      <c r="P10570" s="5"/>
      <c r="Q10570" s="5"/>
      <c r="R10570" s="5"/>
      <c r="S10570" s="5"/>
      <c r="T10570" s="5"/>
      <c r="U10570" s="5"/>
      <c r="V10570" s="5"/>
      <c r="W10570" s="5"/>
      <c r="X10570" s="5"/>
      <c r="Y10570" s="5"/>
      <c r="Z10570" s="5"/>
    </row>
    <row r="10571" spans="1:26" ht="15" x14ac:dyDescent="0.25">
      <c r="A10571" s="4" t="s">
        <v>10568</v>
      </c>
      <c r="B10571" s="4" t="s">
        <v>9011</v>
      </c>
      <c r="C10571" s="2" t="str">
        <f ca="1">IFERROR(__xludf.DUMMYFUNCTION("GOOGLETRANSLATE(A10571,""bn"",""en"")"),"He will listen to the song")</f>
        <v>He will listen to the song</v>
      </c>
      <c r="D10571" s="5"/>
      <c r="E10571" s="5"/>
      <c r="F10571" s="5"/>
      <c r="G10571" s="5"/>
      <c r="H10571" s="5"/>
      <c r="I10571" s="5"/>
      <c r="J10571" s="5"/>
      <c r="K10571" s="5"/>
      <c r="L10571" s="5"/>
      <c r="M10571" s="5"/>
      <c r="N10571" s="5"/>
      <c r="O10571" s="5"/>
      <c r="P10571" s="5"/>
      <c r="Q10571" s="5"/>
      <c r="R10571" s="5"/>
      <c r="S10571" s="5"/>
      <c r="T10571" s="5"/>
      <c r="U10571" s="5"/>
      <c r="V10571" s="5"/>
      <c r="W10571" s="5"/>
      <c r="X10571" s="5"/>
      <c r="Y10571" s="5"/>
      <c r="Z10571" s="5"/>
    </row>
    <row r="10572" spans="1:26" ht="15" x14ac:dyDescent="0.25">
      <c r="A10572" s="4" t="s">
        <v>10569</v>
      </c>
      <c r="B10572" s="4" t="s">
        <v>9011</v>
      </c>
      <c r="C10572" s="2" t="str">
        <f ca="1">IFERROR(__xludf.DUMMYFUNCTION("GOOGLETRANSLATE(A10572,""bn"",""en"")"),"I would like to see the Taj Mahal")</f>
        <v>I would like to see the Taj Mahal</v>
      </c>
      <c r="D10572" s="5"/>
      <c r="E10572" s="5"/>
      <c r="F10572" s="5"/>
      <c r="G10572" s="5"/>
      <c r="H10572" s="5"/>
      <c r="I10572" s="5"/>
      <c r="J10572" s="5"/>
      <c r="K10572" s="5"/>
      <c r="L10572" s="5"/>
      <c r="M10572" s="5"/>
      <c r="N10572" s="5"/>
      <c r="O10572" s="5"/>
      <c r="P10572" s="5"/>
      <c r="Q10572" s="5"/>
      <c r="R10572" s="5"/>
      <c r="S10572" s="5"/>
      <c r="T10572" s="5"/>
      <c r="U10572" s="5"/>
      <c r="V10572" s="5"/>
      <c r="W10572" s="5"/>
      <c r="X10572" s="5"/>
      <c r="Y10572" s="5"/>
      <c r="Z10572" s="5"/>
    </row>
    <row r="10573" spans="1:26" ht="15" x14ac:dyDescent="0.25">
      <c r="A10573" s="4" t="s">
        <v>10570</v>
      </c>
      <c r="B10573" s="4" t="s">
        <v>9011</v>
      </c>
      <c r="C10573" s="2" t="str">
        <f ca="1">IFERROR(__xludf.DUMMYFUNCTION("GOOGLETRANSLATE(A10573,""bn"",""en"")"),"I will use the internet")</f>
        <v>I will use the internet</v>
      </c>
      <c r="D10573" s="5"/>
      <c r="E10573" s="5"/>
      <c r="F10573" s="5"/>
      <c r="G10573" s="5"/>
      <c r="H10573" s="5"/>
      <c r="I10573" s="5"/>
      <c r="J10573" s="5"/>
      <c r="K10573" s="5"/>
      <c r="L10573" s="5"/>
      <c r="M10573" s="5"/>
      <c r="N10573" s="5"/>
      <c r="O10573" s="5"/>
      <c r="P10573" s="5"/>
      <c r="Q10573" s="5"/>
      <c r="R10573" s="5"/>
      <c r="S10573" s="5"/>
      <c r="T10573" s="5"/>
      <c r="U10573" s="5"/>
      <c r="V10573" s="5"/>
      <c r="W10573" s="5"/>
      <c r="X10573" s="5"/>
      <c r="Y10573" s="5"/>
      <c r="Z10573" s="5"/>
    </row>
    <row r="10574" spans="1:26" ht="15" x14ac:dyDescent="0.25">
      <c r="A10574" s="4" t="s">
        <v>10571</v>
      </c>
      <c r="B10574" s="4" t="s">
        <v>9011</v>
      </c>
      <c r="C10574" s="2" t="str">
        <f ca="1">IFERROR(__xludf.DUMMYFUNCTION("GOOGLETRANSLATE(A10574,""bn"",""en"")"),"Development will start")</f>
        <v>Development will start</v>
      </c>
      <c r="D10574" s="5"/>
      <c r="E10574" s="5"/>
      <c r="F10574" s="5"/>
      <c r="G10574" s="5"/>
      <c r="H10574" s="5"/>
      <c r="I10574" s="5"/>
      <c r="J10574" s="5"/>
      <c r="K10574" s="5"/>
      <c r="L10574" s="5"/>
      <c r="M10574" s="5"/>
      <c r="N10574" s="5"/>
      <c r="O10574" s="5"/>
      <c r="P10574" s="5"/>
      <c r="Q10574" s="5"/>
      <c r="R10574" s="5"/>
      <c r="S10574" s="5"/>
      <c r="T10574" s="5"/>
      <c r="U10574" s="5"/>
      <c r="V10574" s="5"/>
      <c r="W10574" s="5"/>
      <c r="X10574" s="5"/>
      <c r="Y10574" s="5"/>
      <c r="Z10574" s="5"/>
    </row>
    <row r="10575" spans="1:26" ht="15" x14ac:dyDescent="0.25">
      <c r="A10575" s="4" t="s">
        <v>10572</v>
      </c>
      <c r="B10575" s="4" t="s">
        <v>9011</v>
      </c>
      <c r="C10575" s="2" t="str">
        <f ca="1">IFERROR(__xludf.DUMMYFUNCTION("GOOGLETRANSLATE(A10575,""bn"",""en"")"),"I will go to Alaska")</f>
        <v>I will go to Alaska</v>
      </c>
      <c r="D10575" s="5"/>
      <c r="E10575" s="5"/>
      <c r="F10575" s="5"/>
      <c r="G10575" s="5"/>
      <c r="H10575" s="5"/>
      <c r="I10575" s="5"/>
      <c r="J10575" s="5"/>
      <c r="K10575" s="5"/>
      <c r="L10575" s="5"/>
      <c r="M10575" s="5"/>
      <c r="N10575" s="5"/>
      <c r="O10575" s="5"/>
      <c r="P10575" s="5"/>
      <c r="Q10575" s="5"/>
      <c r="R10575" s="5"/>
      <c r="S10575" s="5"/>
      <c r="T10575" s="5"/>
      <c r="U10575" s="5"/>
      <c r="V10575" s="5"/>
      <c r="W10575" s="5"/>
      <c r="X10575" s="5"/>
      <c r="Y10575" s="5"/>
      <c r="Z10575" s="5"/>
    </row>
    <row r="10576" spans="1:26" ht="15" x14ac:dyDescent="0.25">
      <c r="A10576" s="4" t="s">
        <v>10573</v>
      </c>
      <c r="B10576" s="4" t="s">
        <v>9011</v>
      </c>
      <c r="C10576" s="2" t="str">
        <f ca="1">IFERROR(__xludf.DUMMYFUNCTION("GOOGLETRANSLATE(A10576,""bn"",""en"")"),"I will contact the bank")</f>
        <v>I will contact the bank</v>
      </c>
      <c r="D10576" s="5"/>
      <c r="E10576" s="5"/>
      <c r="F10576" s="5"/>
      <c r="G10576" s="5"/>
      <c r="H10576" s="5"/>
      <c r="I10576" s="5"/>
      <c r="J10576" s="5"/>
      <c r="K10576" s="5"/>
      <c r="L10576" s="5"/>
      <c r="M10576" s="5"/>
      <c r="N10576" s="5"/>
      <c r="O10576" s="5"/>
      <c r="P10576" s="5"/>
      <c r="Q10576" s="5"/>
      <c r="R10576" s="5"/>
      <c r="S10576" s="5"/>
      <c r="T10576" s="5"/>
      <c r="U10576" s="5"/>
      <c r="V10576" s="5"/>
      <c r="W10576" s="5"/>
      <c r="X10576" s="5"/>
      <c r="Y10576" s="5"/>
      <c r="Z10576" s="5"/>
    </row>
    <row r="10577" spans="1:26" ht="15" x14ac:dyDescent="0.25">
      <c r="A10577" s="4" t="s">
        <v>10574</v>
      </c>
      <c r="B10577" s="4" t="s">
        <v>9011</v>
      </c>
      <c r="C10577" s="2" t="str">
        <f ca="1">IFERROR(__xludf.DUMMYFUNCTION("GOOGLETRANSLATE(A10577,""bn"",""en"")"),"The bank will be permanent")</f>
        <v>The bank will be permanent</v>
      </c>
      <c r="D10577" s="5"/>
      <c r="E10577" s="5"/>
      <c r="F10577" s="5"/>
      <c r="G10577" s="5"/>
      <c r="H10577" s="5"/>
      <c r="I10577" s="5"/>
      <c r="J10577" s="5"/>
      <c r="K10577" s="5"/>
      <c r="L10577" s="5"/>
      <c r="M10577" s="5"/>
      <c r="N10577" s="5"/>
      <c r="O10577" s="5"/>
      <c r="P10577" s="5"/>
      <c r="Q10577" s="5"/>
      <c r="R10577" s="5"/>
      <c r="S10577" s="5"/>
      <c r="T10577" s="5"/>
      <c r="U10577" s="5"/>
      <c r="V10577" s="5"/>
      <c r="W10577" s="5"/>
      <c r="X10577" s="5"/>
      <c r="Y10577" s="5"/>
      <c r="Z10577" s="5"/>
    </row>
    <row r="10578" spans="1:26" ht="15" x14ac:dyDescent="0.25">
      <c r="A10578" s="4" t="s">
        <v>10575</v>
      </c>
      <c r="B10578" s="4" t="s">
        <v>9011</v>
      </c>
      <c r="C10578" s="2" t="str">
        <f ca="1">IFERROR(__xludf.DUMMYFUNCTION("GOOGLETRANSLATE(A10578,""bn"",""en"")"),"I will give you money.")</f>
        <v>I will give you money.</v>
      </c>
      <c r="D10578" s="5"/>
      <c r="E10578" s="5"/>
      <c r="F10578" s="5"/>
      <c r="G10578" s="5"/>
      <c r="H10578" s="5"/>
      <c r="I10578" s="5"/>
      <c r="J10578" s="5"/>
      <c r="K10578" s="5"/>
      <c r="L10578" s="5"/>
      <c r="M10578" s="5"/>
      <c r="N10578" s="5"/>
      <c r="O10578" s="5"/>
      <c r="P10578" s="5"/>
      <c r="Q10578" s="5"/>
      <c r="R10578" s="5"/>
      <c r="S10578" s="5"/>
      <c r="T10578" s="5"/>
      <c r="U10578" s="5"/>
      <c r="V10578" s="5"/>
      <c r="W10578" s="5"/>
      <c r="X10578" s="5"/>
      <c r="Y10578" s="5"/>
      <c r="Z10578" s="5"/>
    </row>
    <row r="10579" spans="1:26" ht="15" x14ac:dyDescent="0.25">
      <c r="A10579" s="4" t="s">
        <v>10576</v>
      </c>
      <c r="B10579" s="4" t="s">
        <v>9011</v>
      </c>
      <c r="C10579" s="2" t="str">
        <f ca="1">IFERROR(__xludf.DUMMYFUNCTION("GOOGLETRANSLATE(A10579,""bn"",""en"")"),"Money must be deposited.")</f>
        <v>Money must be deposited.</v>
      </c>
      <c r="D10579" s="5"/>
      <c r="E10579" s="5"/>
      <c r="F10579" s="5"/>
      <c r="G10579" s="5"/>
      <c r="H10579" s="5"/>
      <c r="I10579" s="5"/>
      <c r="J10579" s="5"/>
      <c r="K10579" s="5"/>
      <c r="L10579" s="5"/>
      <c r="M10579" s="5"/>
      <c r="N10579" s="5"/>
      <c r="O10579" s="5"/>
      <c r="P10579" s="5"/>
      <c r="Q10579" s="5"/>
      <c r="R10579" s="5"/>
      <c r="S10579" s="5"/>
      <c r="T10579" s="5"/>
      <c r="U10579" s="5"/>
      <c r="V10579" s="5"/>
      <c r="W10579" s="5"/>
      <c r="X10579" s="5"/>
      <c r="Y10579" s="5"/>
      <c r="Z10579" s="5"/>
    </row>
    <row r="10580" spans="1:26" ht="15" x14ac:dyDescent="0.25">
      <c r="A10580" s="4" t="s">
        <v>10577</v>
      </c>
      <c r="B10580" s="4" t="s">
        <v>9011</v>
      </c>
      <c r="C10580" s="2" t="str">
        <f ca="1">IFERROR(__xludf.DUMMYFUNCTION("GOOGLETRANSLATE(A10580,""bn"",""en"")"),"Save money and buy a new phone.")</f>
        <v>Save money and buy a new phone.</v>
      </c>
      <c r="D10580" s="5"/>
      <c r="E10580" s="5"/>
      <c r="F10580" s="5"/>
      <c r="G10580" s="5"/>
      <c r="H10580" s="5"/>
      <c r="I10580" s="5"/>
      <c r="J10580" s="5"/>
      <c r="K10580" s="5"/>
      <c r="L10580" s="5"/>
      <c r="M10580" s="5"/>
      <c r="N10580" s="5"/>
      <c r="O10580" s="5"/>
      <c r="P10580" s="5"/>
      <c r="Q10580" s="5"/>
      <c r="R10580" s="5"/>
      <c r="S10580" s="5"/>
      <c r="T10580" s="5"/>
      <c r="U10580" s="5"/>
      <c r="V10580" s="5"/>
      <c r="W10580" s="5"/>
      <c r="X10580" s="5"/>
      <c r="Y10580" s="5"/>
      <c r="Z10580" s="5"/>
    </row>
    <row r="10581" spans="1:26" ht="15" x14ac:dyDescent="0.25">
      <c r="A10581" s="4" t="s">
        <v>10578</v>
      </c>
      <c r="B10581" s="4" t="s">
        <v>9011</v>
      </c>
      <c r="C10581" s="2" t="str">
        <f ca="1">IFERROR(__xludf.DUMMYFUNCTION("GOOGLETRANSLATE(A10581,""bn"",""en"")"),"I will take pictures with the camera")</f>
        <v>I will take pictures with the camera</v>
      </c>
      <c r="D10581" s="5"/>
      <c r="E10581" s="5"/>
      <c r="F10581" s="5"/>
      <c r="G10581" s="5"/>
      <c r="H10581" s="5"/>
      <c r="I10581" s="5"/>
      <c r="J10581" s="5"/>
      <c r="K10581" s="5"/>
      <c r="L10581" s="5"/>
      <c r="M10581" s="5"/>
      <c r="N10581" s="5"/>
      <c r="O10581" s="5"/>
      <c r="P10581" s="5"/>
      <c r="Q10581" s="5"/>
      <c r="R10581" s="5"/>
      <c r="S10581" s="5"/>
      <c r="T10581" s="5"/>
      <c r="U10581" s="5"/>
      <c r="V10581" s="5"/>
      <c r="W10581" s="5"/>
      <c r="X10581" s="5"/>
      <c r="Y10581" s="5"/>
      <c r="Z10581" s="5"/>
    </row>
    <row r="10582" spans="1:26" ht="15" x14ac:dyDescent="0.25">
      <c r="A10582" s="4" t="s">
        <v>10579</v>
      </c>
      <c r="B10582" s="4" t="s">
        <v>9011</v>
      </c>
      <c r="C10582" s="2" t="str">
        <f ca="1">IFERROR(__xludf.DUMMYFUNCTION("GOOGLETRANSLATE(A10582,""bn"",""en"")"),"Mainul will read prose")</f>
        <v>Mainul will read prose</v>
      </c>
      <c r="D10582" s="5"/>
      <c r="E10582" s="5"/>
      <c r="F10582" s="5"/>
      <c r="G10582" s="5"/>
      <c r="H10582" s="5"/>
      <c r="I10582" s="5"/>
      <c r="J10582" s="5"/>
      <c r="K10582" s="5"/>
      <c r="L10582" s="5"/>
      <c r="M10582" s="5"/>
      <c r="N10582" s="5"/>
      <c r="O10582" s="5"/>
      <c r="P10582" s="5"/>
      <c r="Q10582" s="5"/>
      <c r="R10582" s="5"/>
      <c r="S10582" s="5"/>
      <c r="T10582" s="5"/>
      <c r="U10582" s="5"/>
      <c r="V10582" s="5"/>
      <c r="W10582" s="5"/>
      <c r="X10582" s="5"/>
      <c r="Y10582" s="5"/>
      <c r="Z10582" s="5"/>
    </row>
    <row r="10583" spans="1:26" ht="15" x14ac:dyDescent="0.25">
      <c r="A10583" s="4" t="s">
        <v>10580</v>
      </c>
      <c r="B10583" s="4" t="s">
        <v>9011</v>
      </c>
      <c r="C10583" s="2" t="str">
        <f ca="1">IFERROR(__xludf.DUMMYFUNCTION("GOOGLETRANSLATE(A10583,""bn"",""en"")"),"We will research")</f>
        <v>We will research</v>
      </c>
      <c r="D10583" s="5"/>
      <c r="E10583" s="5"/>
      <c r="F10583" s="5"/>
      <c r="G10583" s="5"/>
      <c r="H10583" s="5"/>
      <c r="I10583" s="5"/>
      <c r="J10583" s="5"/>
      <c r="K10583" s="5"/>
      <c r="L10583" s="5"/>
      <c r="M10583" s="5"/>
      <c r="N10583" s="5"/>
      <c r="O10583" s="5"/>
      <c r="P10583" s="5"/>
      <c r="Q10583" s="5"/>
      <c r="R10583" s="5"/>
      <c r="S10583" s="5"/>
      <c r="T10583" s="5"/>
      <c r="U10583" s="5"/>
      <c r="V10583" s="5"/>
      <c r="W10583" s="5"/>
      <c r="X10583" s="5"/>
      <c r="Y10583" s="5"/>
      <c r="Z10583" s="5"/>
    </row>
    <row r="10584" spans="1:26" ht="15" x14ac:dyDescent="0.25">
      <c r="A10584" s="4" t="s">
        <v>10581</v>
      </c>
      <c r="B10584" s="4" t="s">
        <v>9011</v>
      </c>
      <c r="C10584" s="2" t="str">
        <f ca="1">IFERROR(__xludf.DUMMYFUNCTION("GOOGLETRANSLATE(A10584,""bn"",""en"")"),"you will eat pie")</f>
        <v>you will eat pie</v>
      </c>
      <c r="D10584" s="5"/>
      <c r="E10584" s="5"/>
      <c r="F10584" s="5"/>
      <c r="G10584" s="5"/>
      <c r="H10584" s="5"/>
      <c r="I10584" s="5"/>
      <c r="J10584" s="5"/>
      <c r="K10584" s="5"/>
      <c r="L10584" s="5"/>
      <c r="M10584" s="5"/>
      <c r="N10584" s="5"/>
      <c r="O10584" s="5"/>
      <c r="P10584" s="5"/>
      <c r="Q10584" s="5"/>
      <c r="R10584" s="5"/>
      <c r="S10584" s="5"/>
      <c r="T10584" s="5"/>
      <c r="U10584" s="5"/>
      <c r="V10584" s="5"/>
      <c r="W10584" s="5"/>
      <c r="X10584" s="5"/>
      <c r="Y10584" s="5"/>
      <c r="Z10584" s="5"/>
    </row>
    <row r="10585" spans="1:26" ht="15" x14ac:dyDescent="0.25">
      <c r="A10585" s="4" t="s">
        <v>10582</v>
      </c>
      <c r="B10585" s="4" t="s">
        <v>9011</v>
      </c>
      <c r="C10585" s="2" t="str">
        <f ca="1">IFERROR(__xludf.DUMMYFUNCTION("GOOGLETRANSLATE(A10585,""bn"",""en"")"),"I will enroll the semester")</f>
        <v>I will enroll the semester</v>
      </c>
      <c r="D10585" s="5"/>
      <c r="E10585" s="5"/>
      <c r="F10585" s="5"/>
      <c r="G10585" s="5"/>
      <c r="H10585" s="5"/>
      <c r="I10585" s="5"/>
      <c r="J10585" s="5"/>
      <c r="K10585" s="5"/>
      <c r="L10585" s="5"/>
      <c r="M10585" s="5"/>
      <c r="N10585" s="5"/>
      <c r="O10585" s="5"/>
      <c r="P10585" s="5"/>
      <c r="Q10585" s="5"/>
      <c r="R10585" s="5"/>
      <c r="S10585" s="5"/>
      <c r="T10585" s="5"/>
      <c r="U10585" s="5"/>
      <c r="V10585" s="5"/>
      <c r="W10585" s="5"/>
      <c r="X10585" s="5"/>
      <c r="Y10585" s="5"/>
      <c r="Z10585" s="5"/>
    </row>
    <row r="10586" spans="1:26" ht="15" x14ac:dyDescent="0.25">
      <c r="A10586" s="4" t="s">
        <v>10583</v>
      </c>
      <c r="B10586" s="4" t="s">
        <v>9011</v>
      </c>
      <c r="C10586" s="2" t="str">
        <f ca="1">IFERROR(__xludf.DUMMYFUNCTION("GOOGLETRANSLATE(A10586,""bn"",""en"")"),"Will travel in winter")</f>
        <v>Will travel in winter</v>
      </c>
      <c r="D10586" s="5"/>
      <c r="E10586" s="5"/>
      <c r="F10586" s="5"/>
      <c r="G10586" s="5"/>
      <c r="H10586" s="5"/>
      <c r="I10586" s="5"/>
      <c r="J10586" s="5"/>
      <c r="K10586" s="5"/>
      <c r="L10586" s="5"/>
      <c r="M10586" s="5"/>
      <c r="N10586" s="5"/>
      <c r="O10586" s="5"/>
      <c r="P10586" s="5"/>
      <c r="Q10586" s="5"/>
      <c r="R10586" s="5"/>
      <c r="S10586" s="5"/>
      <c r="T10586" s="5"/>
      <c r="U10586" s="5"/>
      <c r="V10586" s="5"/>
      <c r="W10586" s="5"/>
      <c r="X10586" s="5"/>
      <c r="Y10586" s="5"/>
      <c r="Z10586" s="5"/>
    </row>
    <row r="10587" spans="1:26" ht="15" x14ac:dyDescent="0.25">
      <c r="A10587" s="4" t="s">
        <v>10584</v>
      </c>
      <c r="B10587" s="4" t="s">
        <v>9011</v>
      </c>
      <c r="C10587" s="2" t="str">
        <f ca="1">IFERROR(__xludf.DUMMYFUNCTION("GOOGLETRANSLATE(A10587,""bn"",""en"")"),"The forest will be beautiful")</f>
        <v>The forest will be beautiful</v>
      </c>
      <c r="D10587" s="5"/>
      <c r="E10587" s="5"/>
      <c r="F10587" s="5"/>
      <c r="G10587" s="5"/>
      <c r="H10587" s="5"/>
      <c r="I10587" s="5"/>
      <c r="J10587" s="5"/>
      <c r="K10587" s="5"/>
      <c r="L10587" s="5"/>
      <c r="M10587" s="5"/>
      <c r="N10587" s="5"/>
      <c r="O10587" s="5"/>
      <c r="P10587" s="5"/>
      <c r="Q10587" s="5"/>
      <c r="R10587" s="5"/>
      <c r="S10587" s="5"/>
      <c r="T10587" s="5"/>
      <c r="U10587" s="5"/>
      <c r="V10587" s="5"/>
      <c r="W10587" s="5"/>
      <c r="X10587" s="5"/>
      <c r="Y10587" s="5"/>
      <c r="Z10587" s="5"/>
    </row>
    <row r="10588" spans="1:26" ht="15" x14ac:dyDescent="0.25">
      <c r="A10588" s="4" t="s">
        <v>10585</v>
      </c>
      <c r="B10588" s="4" t="s">
        <v>9011</v>
      </c>
      <c r="C10588" s="2" t="str">
        <f ca="1">IFERROR(__xludf.DUMMYFUNCTION("GOOGLETRANSLATE(A10588,""bn"",""en"")"),"I will continue to go on study tours")</f>
        <v>I will continue to go on study tours</v>
      </c>
      <c r="D10588" s="5"/>
      <c r="E10588" s="5"/>
      <c r="F10588" s="5"/>
      <c r="G10588" s="5"/>
      <c r="H10588" s="5"/>
      <c r="I10588" s="5"/>
      <c r="J10588" s="5"/>
      <c r="K10588" s="5"/>
      <c r="L10588" s="5"/>
      <c r="M10588" s="5"/>
      <c r="N10588" s="5"/>
      <c r="O10588" s="5"/>
      <c r="P10588" s="5"/>
      <c r="Q10588" s="5"/>
      <c r="R10588" s="5"/>
      <c r="S10588" s="5"/>
      <c r="T10588" s="5"/>
      <c r="U10588" s="5"/>
      <c r="V10588" s="5"/>
      <c r="W10588" s="5"/>
      <c r="X10588" s="5"/>
      <c r="Y10588" s="5"/>
      <c r="Z10588" s="5"/>
    </row>
    <row r="10589" spans="1:26" ht="15" x14ac:dyDescent="0.25">
      <c r="A10589" s="4" t="s">
        <v>10586</v>
      </c>
      <c r="B10589" s="4" t="s">
        <v>9011</v>
      </c>
      <c r="C10589" s="2" t="str">
        <f ca="1">IFERROR(__xludf.DUMMYFUNCTION("GOOGLETRANSLATE(A10589,""bn"",""en"")"),"Google will buy YouTube")</f>
        <v>Google will buy YouTube</v>
      </c>
      <c r="D10589" s="5"/>
      <c r="E10589" s="5"/>
      <c r="F10589" s="5"/>
      <c r="G10589" s="5"/>
      <c r="H10589" s="5"/>
      <c r="I10589" s="5"/>
      <c r="J10589" s="5"/>
      <c r="K10589" s="5"/>
      <c r="L10589" s="5"/>
      <c r="M10589" s="5"/>
      <c r="N10589" s="5"/>
      <c r="O10589" s="5"/>
      <c r="P10589" s="5"/>
      <c r="Q10589" s="5"/>
      <c r="R10589" s="5"/>
      <c r="S10589" s="5"/>
      <c r="T10589" s="5"/>
      <c r="U10589" s="5"/>
      <c r="V10589" s="5"/>
      <c r="W10589" s="5"/>
      <c r="X10589" s="5"/>
      <c r="Y10589" s="5"/>
      <c r="Z10589" s="5"/>
    </row>
    <row r="10590" spans="1:26" ht="15" x14ac:dyDescent="0.25">
      <c r="A10590" s="4" t="s">
        <v>10587</v>
      </c>
      <c r="B10590" s="4" t="s">
        <v>9011</v>
      </c>
      <c r="C10590" s="2" t="str">
        <f ca="1">IFERROR(__xludf.DUMMYFUNCTION("GOOGLETRANSLATE(A10590,""bn"",""en"")"),"Identity card will be modern")</f>
        <v>Identity card will be modern</v>
      </c>
      <c r="D10590" s="5"/>
      <c r="E10590" s="5"/>
      <c r="F10590" s="5"/>
      <c r="G10590" s="5"/>
      <c r="H10590" s="5"/>
      <c r="I10590" s="5"/>
      <c r="J10590" s="5"/>
      <c r="K10590" s="5"/>
      <c r="L10590" s="5"/>
      <c r="M10590" s="5"/>
      <c r="N10590" s="5"/>
      <c r="O10590" s="5"/>
      <c r="P10590" s="5"/>
      <c r="Q10590" s="5"/>
      <c r="R10590" s="5"/>
      <c r="S10590" s="5"/>
      <c r="T10590" s="5"/>
      <c r="U10590" s="5"/>
      <c r="V10590" s="5"/>
      <c r="W10590" s="5"/>
      <c r="X10590" s="5"/>
      <c r="Y10590" s="5"/>
      <c r="Z10590" s="5"/>
    </row>
    <row r="10591" spans="1:26" ht="15" x14ac:dyDescent="0.25">
      <c r="A10591" s="4" t="s">
        <v>10588</v>
      </c>
      <c r="B10591" s="4" t="s">
        <v>9011</v>
      </c>
      <c r="C10591" s="2" t="str">
        <f ca="1">IFERROR(__xludf.DUMMYFUNCTION("GOOGLETRANSLATE(A10591,""bn"",""en"")"),"I will make software")</f>
        <v>I will make software</v>
      </c>
      <c r="D10591" s="5"/>
      <c r="E10591" s="5"/>
      <c r="F10591" s="5"/>
      <c r="G10591" s="5"/>
      <c r="H10591" s="5"/>
      <c r="I10591" s="5"/>
      <c r="J10591" s="5"/>
      <c r="K10591" s="5"/>
      <c r="L10591" s="5"/>
      <c r="M10591" s="5"/>
      <c r="N10591" s="5"/>
      <c r="O10591" s="5"/>
      <c r="P10591" s="5"/>
      <c r="Q10591" s="5"/>
      <c r="R10591" s="5"/>
      <c r="S10591" s="5"/>
      <c r="T10591" s="5"/>
      <c r="U10591" s="5"/>
      <c r="V10591" s="5"/>
      <c r="W10591" s="5"/>
      <c r="X10591" s="5"/>
      <c r="Y10591" s="5"/>
      <c r="Z10591" s="5"/>
    </row>
    <row r="10592" spans="1:26" ht="15" x14ac:dyDescent="0.25">
      <c r="A10592" s="4" t="s">
        <v>10589</v>
      </c>
      <c r="B10592" s="4" t="s">
        <v>9011</v>
      </c>
      <c r="C10592" s="2" t="str">
        <f ca="1">IFERROR(__xludf.DUMMYFUNCTION("GOOGLETRANSLATE(A10592,""bn"",""en"")"),"I want to download")</f>
        <v>I want to download</v>
      </c>
      <c r="D10592" s="5"/>
      <c r="E10592" s="5"/>
      <c r="F10592" s="5"/>
      <c r="G10592" s="5"/>
      <c r="H10592" s="5"/>
      <c r="I10592" s="5"/>
      <c r="J10592" s="5"/>
      <c r="K10592" s="5"/>
      <c r="L10592" s="5"/>
      <c r="M10592" s="5"/>
      <c r="N10592" s="5"/>
      <c r="O10592" s="5"/>
      <c r="P10592" s="5"/>
      <c r="Q10592" s="5"/>
      <c r="R10592" s="5"/>
      <c r="S10592" s="5"/>
      <c r="T10592" s="5"/>
      <c r="U10592" s="5"/>
      <c r="V10592" s="5"/>
      <c r="W10592" s="5"/>
      <c r="X10592" s="5"/>
      <c r="Y10592" s="5"/>
      <c r="Z10592" s="5"/>
    </row>
    <row r="10593" spans="1:26" ht="15" x14ac:dyDescent="0.25">
      <c r="A10593" s="4" t="s">
        <v>10590</v>
      </c>
      <c r="B10593" s="4" t="s">
        <v>9011</v>
      </c>
      <c r="C10593" s="2" t="str">
        <f ca="1">IFERROR(__xludf.DUMMYFUNCTION("GOOGLETRANSLATE(A10593,""bn"",""en"")"),"You eat spaghetti")</f>
        <v>You eat spaghetti</v>
      </c>
      <c r="D10593" s="5"/>
      <c r="E10593" s="5"/>
      <c r="F10593" s="5"/>
      <c r="G10593" s="5"/>
      <c r="H10593" s="5"/>
      <c r="I10593" s="5"/>
      <c r="J10593" s="5"/>
      <c r="K10593" s="5"/>
      <c r="L10593" s="5"/>
      <c r="M10593" s="5"/>
      <c r="N10593" s="5"/>
      <c r="O10593" s="5"/>
      <c r="P10593" s="5"/>
      <c r="Q10593" s="5"/>
      <c r="R10593" s="5"/>
      <c r="S10593" s="5"/>
      <c r="T10593" s="5"/>
      <c r="U10593" s="5"/>
      <c r="V10593" s="5"/>
      <c r="W10593" s="5"/>
      <c r="X10593" s="5"/>
      <c r="Y10593" s="5"/>
      <c r="Z10593" s="5"/>
    </row>
    <row r="10594" spans="1:26" ht="15" x14ac:dyDescent="0.25">
      <c r="A10594" s="4" t="s">
        <v>10591</v>
      </c>
      <c r="B10594" s="4" t="s">
        <v>9011</v>
      </c>
      <c r="C10594" s="2" t="str">
        <f ca="1">IFERROR(__xludf.DUMMYFUNCTION("GOOGLETRANSLATE(A10594,""bn"",""en"")"),"I will tell you something new")</f>
        <v>I will tell you something new</v>
      </c>
      <c r="D10594" s="5"/>
      <c r="E10594" s="5"/>
      <c r="F10594" s="5"/>
      <c r="G10594" s="5"/>
      <c r="H10594" s="5"/>
      <c r="I10594" s="5"/>
      <c r="J10594" s="5"/>
      <c r="K10594" s="5"/>
      <c r="L10594" s="5"/>
      <c r="M10594" s="5"/>
      <c r="N10594" s="5"/>
      <c r="O10594" s="5"/>
      <c r="P10594" s="5"/>
      <c r="Q10594" s="5"/>
      <c r="R10594" s="5"/>
      <c r="S10594" s="5"/>
      <c r="T10594" s="5"/>
      <c r="U10594" s="5"/>
      <c r="V10594" s="5"/>
      <c r="W10594" s="5"/>
      <c r="X10594" s="5"/>
      <c r="Y10594" s="5"/>
      <c r="Z10594" s="5"/>
    </row>
    <row r="10595" spans="1:26" ht="15" x14ac:dyDescent="0.25">
      <c r="A10595" s="4" t="s">
        <v>10592</v>
      </c>
      <c r="B10595" s="4" t="s">
        <v>9011</v>
      </c>
      <c r="C10595" s="2" t="str">
        <f ca="1">IFERROR(__xludf.DUMMYFUNCTION("GOOGLETRANSLATE(A10595,""bn"",""en"")"),"Will watch the game")</f>
        <v>Will watch the game</v>
      </c>
      <c r="D10595" s="5"/>
      <c r="E10595" s="5"/>
      <c r="F10595" s="5"/>
      <c r="G10595" s="5"/>
      <c r="H10595" s="5"/>
      <c r="I10595" s="5"/>
      <c r="J10595" s="5"/>
      <c r="K10595" s="5"/>
      <c r="L10595" s="5"/>
      <c r="M10595" s="5"/>
      <c r="N10595" s="5"/>
      <c r="O10595" s="5"/>
      <c r="P10595" s="5"/>
      <c r="Q10595" s="5"/>
      <c r="R10595" s="5"/>
      <c r="S10595" s="5"/>
      <c r="T10595" s="5"/>
      <c r="U10595" s="5"/>
      <c r="V10595" s="5"/>
      <c r="W10595" s="5"/>
      <c r="X10595" s="5"/>
      <c r="Y10595" s="5"/>
      <c r="Z10595" s="5"/>
    </row>
    <row r="10596" spans="1:26" ht="15" x14ac:dyDescent="0.25">
      <c r="A10596" s="4" t="s">
        <v>10593</v>
      </c>
      <c r="B10596" s="4" t="s">
        <v>9011</v>
      </c>
      <c r="C10596" s="2" t="str">
        <f ca="1">IFERROR(__xludf.DUMMYFUNCTION("GOOGLETRANSLATE(A10596,""bn"",""en"")"),"Data will be configured")</f>
        <v>Data will be configured</v>
      </c>
      <c r="D10596" s="5"/>
      <c r="E10596" s="5"/>
      <c r="F10596" s="5"/>
      <c r="G10596" s="5"/>
      <c r="H10596" s="5"/>
      <c r="I10596" s="5"/>
      <c r="J10596" s="5"/>
      <c r="K10596" s="5"/>
      <c r="L10596" s="5"/>
      <c r="M10596" s="5"/>
      <c r="N10596" s="5"/>
      <c r="O10596" s="5"/>
      <c r="P10596" s="5"/>
      <c r="Q10596" s="5"/>
      <c r="R10596" s="5"/>
      <c r="S10596" s="5"/>
      <c r="T10596" s="5"/>
      <c r="U10596" s="5"/>
      <c r="V10596" s="5"/>
      <c r="W10596" s="5"/>
      <c r="X10596" s="5"/>
      <c r="Y10596" s="5"/>
      <c r="Z10596" s="5"/>
    </row>
    <row r="10597" spans="1:26" ht="15" x14ac:dyDescent="0.25">
      <c r="A10597" s="4" t="s">
        <v>10594</v>
      </c>
      <c r="B10597" s="4" t="s">
        <v>9011</v>
      </c>
      <c r="C10597" s="2" t="str">
        <f ca="1">IFERROR(__xludf.DUMMYFUNCTION("GOOGLETRANSLATE(A10597,""bn"",""en"")"),"Football will continue to play")</f>
        <v>Football will continue to play</v>
      </c>
      <c r="D10597" s="5"/>
      <c r="E10597" s="5"/>
      <c r="F10597" s="5"/>
      <c r="G10597" s="5"/>
      <c r="H10597" s="5"/>
      <c r="I10597" s="5"/>
      <c r="J10597" s="5"/>
      <c r="K10597" s="5"/>
      <c r="L10597" s="5"/>
      <c r="M10597" s="5"/>
      <c r="N10597" s="5"/>
      <c r="O10597" s="5"/>
      <c r="P10597" s="5"/>
      <c r="Q10597" s="5"/>
      <c r="R10597" s="5"/>
      <c r="S10597" s="5"/>
      <c r="T10597" s="5"/>
      <c r="U10597" s="5"/>
      <c r="V10597" s="5"/>
      <c r="W10597" s="5"/>
      <c r="X10597" s="5"/>
      <c r="Y10597" s="5"/>
      <c r="Z10597" s="5"/>
    </row>
    <row r="10598" spans="1:26" ht="15" x14ac:dyDescent="0.25">
      <c r="A10598" s="4" t="s">
        <v>10595</v>
      </c>
      <c r="B10598" s="4" t="s">
        <v>9011</v>
      </c>
      <c r="C10598" s="2" t="str">
        <f ca="1">IFERROR(__xludf.DUMMYFUNCTION("GOOGLETRANSLATE(A10598,""bn"",""en"")"),"Send audio message")</f>
        <v>Send audio message</v>
      </c>
      <c r="D10598" s="5"/>
      <c r="E10598" s="5"/>
      <c r="F10598" s="5"/>
      <c r="G10598" s="5"/>
      <c r="H10598" s="5"/>
      <c r="I10598" s="5"/>
      <c r="J10598" s="5"/>
      <c r="K10598" s="5"/>
      <c r="L10598" s="5"/>
      <c r="M10598" s="5"/>
      <c r="N10598" s="5"/>
      <c r="O10598" s="5"/>
      <c r="P10598" s="5"/>
      <c r="Q10598" s="5"/>
      <c r="R10598" s="5"/>
      <c r="S10598" s="5"/>
      <c r="T10598" s="5"/>
      <c r="U10598" s="5"/>
      <c r="V10598" s="5"/>
      <c r="W10598" s="5"/>
      <c r="X10598" s="5"/>
      <c r="Y10598" s="5"/>
      <c r="Z10598" s="5"/>
    </row>
    <row r="10599" spans="1:26" ht="15" x14ac:dyDescent="0.25">
      <c r="A10599" s="4" t="s">
        <v>10596</v>
      </c>
      <c r="B10599" s="4" t="s">
        <v>9011</v>
      </c>
      <c r="C10599" s="2" t="str">
        <f ca="1">IFERROR(__xludf.DUMMYFUNCTION("GOOGLETRANSLATE(A10599,""bn"",""en"")"),"I will use GPS")</f>
        <v>I will use GPS</v>
      </c>
      <c r="D10599" s="5"/>
      <c r="E10599" s="5"/>
      <c r="F10599" s="5"/>
      <c r="G10599" s="5"/>
      <c r="H10599" s="5"/>
      <c r="I10599" s="5"/>
      <c r="J10599" s="5"/>
      <c r="K10599" s="5"/>
      <c r="L10599" s="5"/>
      <c r="M10599" s="5"/>
      <c r="N10599" s="5"/>
      <c r="O10599" s="5"/>
      <c r="P10599" s="5"/>
      <c r="Q10599" s="5"/>
      <c r="R10599" s="5"/>
      <c r="S10599" s="5"/>
      <c r="T10599" s="5"/>
      <c r="U10599" s="5"/>
      <c r="V10599" s="5"/>
      <c r="W10599" s="5"/>
      <c r="X10599" s="5"/>
      <c r="Y10599" s="5"/>
      <c r="Z10599" s="5"/>
    </row>
    <row r="10600" spans="1:26" ht="15" x14ac:dyDescent="0.25">
      <c r="A10600" s="4" t="s">
        <v>10597</v>
      </c>
      <c r="B10600" s="4" t="s">
        <v>9011</v>
      </c>
      <c r="C10600" s="2" t="str">
        <f ca="1">IFERROR(__xludf.DUMMYFUNCTION("GOOGLETRANSLATE(A10600,""bn"",""en"")"),"Make life easy")</f>
        <v>Make life easy</v>
      </c>
      <c r="D10600" s="5"/>
      <c r="E10600" s="5"/>
      <c r="F10600" s="5"/>
      <c r="G10600" s="5"/>
      <c r="H10600" s="5"/>
      <c r="I10600" s="5"/>
      <c r="J10600" s="5"/>
      <c r="K10600" s="5"/>
      <c r="L10600" s="5"/>
      <c r="M10600" s="5"/>
      <c r="N10600" s="5"/>
      <c r="O10600" s="5"/>
      <c r="P10600" s="5"/>
      <c r="Q10600" s="5"/>
      <c r="R10600" s="5"/>
      <c r="S10600" s="5"/>
      <c r="T10600" s="5"/>
      <c r="U10600" s="5"/>
      <c r="V10600" s="5"/>
      <c r="W10600" s="5"/>
      <c r="X10600" s="5"/>
      <c r="Y10600" s="5"/>
      <c r="Z10600" s="5"/>
    </row>
    <row r="10601" spans="1:26" ht="15" x14ac:dyDescent="0.25">
      <c r="A10601" s="4" t="s">
        <v>10598</v>
      </c>
      <c r="B10601" s="4" t="s">
        <v>9011</v>
      </c>
      <c r="C10601" s="2" t="str">
        <f ca="1">IFERROR(__xludf.DUMMYFUNCTION("GOOGLETRANSLATE(A10601,""bn"",""en"")"),"I will design")</f>
        <v>I will design</v>
      </c>
      <c r="D10601" s="5"/>
      <c r="E10601" s="5"/>
      <c r="F10601" s="5"/>
      <c r="G10601" s="5"/>
      <c r="H10601" s="5"/>
      <c r="I10601" s="5"/>
      <c r="J10601" s="5"/>
      <c r="K10601" s="5"/>
      <c r="L10601" s="5"/>
      <c r="M10601" s="5"/>
      <c r="N10601" s="5"/>
      <c r="O10601" s="5"/>
      <c r="P10601" s="5"/>
      <c r="Q10601" s="5"/>
      <c r="R10601" s="5"/>
      <c r="S10601" s="5"/>
      <c r="T10601" s="5"/>
      <c r="U10601" s="5"/>
      <c r="V10601" s="5"/>
      <c r="W10601" s="5"/>
      <c r="X10601" s="5"/>
      <c r="Y10601" s="5"/>
      <c r="Z10601" s="5"/>
    </row>
    <row r="10602" spans="1:26" ht="15" x14ac:dyDescent="0.25">
      <c r="A10602" s="4" t="s">
        <v>10599</v>
      </c>
      <c r="B10602" s="4" t="s">
        <v>9011</v>
      </c>
      <c r="C10602" s="2" t="str">
        <f ca="1">IFERROR(__xludf.DUMMYFUNCTION("GOOGLETRANSLATE(A10602,""bn"",""en"")"),"you will eat sweets")</f>
        <v>you will eat sweets</v>
      </c>
      <c r="D10602" s="5"/>
      <c r="E10602" s="5"/>
      <c r="F10602" s="5"/>
      <c r="G10602" s="5"/>
      <c r="H10602" s="5"/>
      <c r="I10602" s="5"/>
      <c r="J10602" s="5"/>
      <c r="K10602" s="5"/>
      <c r="L10602" s="5"/>
      <c r="M10602" s="5"/>
      <c r="N10602" s="5"/>
      <c r="O10602" s="5"/>
      <c r="P10602" s="5"/>
      <c r="Q10602" s="5"/>
      <c r="R10602" s="5"/>
      <c r="S10602" s="5"/>
      <c r="T10602" s="5"/>
      <c r="U10602" s="5"/>
      <c r="V10602" s="5"/>
      <c r="W10602" s="5"/>
      <c r="X10602" s="5"/>
      <c r="Y10602" s="5"/>
      <c r="Z10602" s="5"/>
    </row>
    <row r="10603" spans="1:26" ht="15" x14ac:dyDescent="0.25">
      <c r="A10603" s="4" t="s">
        <v>10600</v>
      </c>
      <c r="B10603" s="4" t="s">
        <v>9011</v>
      </c>
      <c r="C10603" s="2" t="str">
        <f ca="1">IFERROR(__xludf.DUMMYFUNCTION("GOOGLETRANSLATE(A10603,""bn"",""en"")"),"A rocket will go into space")</f>
        <v>A rocket will go into space</v>
      </c>
      <c r="D10603" s="5"/>
      <c r="E10603" s="5"/>
      <c r="F10603" s="5"/>
      <c r="G10603" s="5"/>
      <c r="H10603" s="5"/>
      <c r="I10603" s="5"/>
      <c r="J10603" s="5"/>
      <c r="K10603" s="5"/>
      <c r="L10603" s="5"/>
      <c r="M10603" s="5"/>
      <c r="N10603" s="5"/>
      <c r="O10603" s="5"/>
      <c r="P10603" s="5"/>
      <c r="Q10603" s="5"/>
      <c r="R10603" s="5"/>
      <c r="S10603" s="5"/>
      <c r="T10603" s="5"/>
      <c r="U10603" s="5"/>
      <c r="V10603" s="5"/>
      <c r="W10603" s="5"/>
      <c r="X10603" s="5"/>
      <c r="Y10603" s="5"/>
      <c r="Z10603" s="5"/>
    </row>
    <row r="10604" spans="1:26" ht="15" x14ac:dyDescent="0.25">
      <c r="A10604" s="4" t="s">
        <v>10601</v>
      </c>
      <c r="B10604" s="4" t="s">
        <v>9011</v>
      </c>
      <c r="C10604" s="2" t="str">
        <f ca="1">IFERROR(__xludf.DUMMYFUNCTION("GOOGLETRANSLATE(A10604,""bn"",""en"")"),"We will eat vegetables")</f>
        <v>We will eat vegetables</v>
      </c>
      <c r="D10604" s="5"/>
      <c r="E10604" s="5"/>
      <c r="F10604" s="5"/>
      <c r="G10604" s="5"/>
      <c r="H10604" s="5"/>
      <c r="I10604" s="5"/>
      <c r="J10604" s="5"/>
      <c r="K10604" s="5"/>
      <c r="L10604" s="5"/>
      <c r="M10604" s="5"/>
      <c r="N10604" s="5"/>
      <c r="O10604" s="5"/>
      <c r="P10604" s="5"/>
      <c r="Q10604" s="5"/>
      <c r="R10604" s="5"/>
      <c r="S10604" s="5"/>
      <c r="T10604" s="5"/>
      <c r="U10604" s="5"/>
      <c r="V10604" s="5"/>
      <c r="W10604" s="5"/>
      <c r="X10604" s="5"/>
      <c r="Y10604" s="5"/>
      <c r="Z10604" s="5"/>
    </row>
    <row r="10605" spans="1:26" ht="15" x14ac:dyDescent="0.25">
      <c r="A10605" s="4" t="s">
        <v>10602</v>
      </c>
      <c r="B10605" s="4" t="s">
        <v>9011</v>
      </c>
      <c r="C10605" s="2" t="str">
        <f ca="1">IFERROR(__xludf.DUMMYFUNCTION("GOOGLETRANSLATE(A10605,""bn"",""en"")"),"Golden box will be")</f>
        <v>Golden box will be</v>
      </c>
      <c r="D10605" s="5"/>
      <c r="E10605" s="5"/>
      <c r="F10605" s="5"/>
      <c r="G10605" s="5"/>
      <c r="H10605" s="5"/>
      <c r="I10605" s="5"/>
      <c r="J10605" s="5"/>
      <c r="K10605" s="5"/>
      <c r="L10605" s="5"/>
      <c r="M10605" s="5"/>
      <c r="N10605" s="5"/>
      <c r="O10605" s="5"/>
      <c r="P10605" s="5"/>
      <c r="Q10605" s="5"/>
      <c r="R10605" s="5"/>
      <c r="S10605" s="5"/>
      <c r="T10605" s="5"/>
      <c r="U10605" s="5"/>
      <c r="V10605" s="5"/>
      <c r="W10605" s="5"/>
      <c r="X10605" s="5"/>
      <c r="Y10605" s="5"/>
      <c r="Z10605" s="5"/>
    </row>
    <row r="10606" spans="1:26" ht="15" x14ac:dyDescent="0.25">
      <c r="A10606" s="4" t="s">
        <v>10603</v>
      </c>
      <c r="B10606" s="4" t="s">
        <v>9011</v>
      </c>
      <c r="C10606" s="2" t="str">
        <f ca="1">IFERROR(__xludf.DUMMYFUNCTION("GOOGLETRANSLATE(A10606,""bn"",""en"")"),"set up")</f>
        <v>set up</v>
      </c>
      <c r="D10606" s="5"/>
      <c r="E10606" s="5"/>
      <c r="F10606" s="5"/>
      <c r="G10606" s="5"/>
      <c r="H10606" s="5"/>
      <c r="I10606" s="5"/>
      <c r="J10606" s="5"/>
      <c r="K10606" s="5"/>
      <c r="L10606" s="5"/>
      <c r="M10606" s="5"/>
      <c r="N10606" s="5"/>
      <c r="O10606" s="5"/>
      <c r="P10606" s="5"/>
      <c r="Q10606" s="5"/>
      <c r="R10606" s="5"/>
      <c r="S10606" s="5"/>
      <c r="T10606" s="5"/>
      <c r="U10606" s="5"/>
      <c r="V10606" s="5"/>
      <c r="W10606" s="5"/>
      <c r="X10606" s="5"/>
      <c r="Y10606" s="5"/>
      <c r="Z10606" s="5"/>
    </row>
    <row r="10607" spans="1:26" ht="15" x14ac:dyDescent="0.25">
      <c r="A10607" s="4" t="s">
        <v>10604</v>
      </c>
      <c r="B10607" s="4" t="s">
        <v>9011</v>
      </c>
      <c r="C10607" s="2" t="str">
        <f ca="1">IFERROR(__xludf.DUMMYFUNCTION("GOOGLETRANSLATE(A10607,""bn"",""en"")"),"Chandrayaan will be of India")</f>
        <v>Chandrayaan will be of India</v>
      </c>
      <c r="D10607" s="5"/>
      <c r="E10607" s="5"/>
      <c r="F10607" s="5"/>
      <c r="G10607" s="5"/>
      <c r="H10607" s="5"/>
      <c r="I10607" s="5"/>
      <c r="J10607" s="5"/>
      <c r="K10607" s="5"/>
      <c r="L10607" s="5"/>
      <c r="M10607" s="5"/>
      <c r="N10607" s="5"/>
      <c r="O10607" s="5"/>
      <c r="P10607" s="5"/>
      <c r="Q10607" s="5"/>
      <c r="R10607" s="5"/>
      <c r="S10607" s="5"/>
      <c r="T10607" s="5"/>
      <c r="U10607" s="5"/>
      <c r="V10607" s="5"/>
      <c r="W10607" s="5"/>
      <c r="X10607" s="5"/>
      <c r="Y10607" s="5"/>
      <c r="Z10607" s="5"/>
    </row>
    <row r="10608" spans="1:26" ht="15" x14ac:dyDescent="0.25">
      <c r="A10608" s="4" t="s">
        <v>10605</v>
      </c>
      <c r="B10608" s="4" t="s">
        <v>9011</v>
      </c>
      <c r="C10608" s="2" t="str">
        <f ca="1">IFERROR(__xludf.DUMMYFUNCTION("GOOGLETRANSLATE(A10608,""bn"",""en"")"),"There will be a celebration")</f>
        <v>There will be a celebration</v>
      </c>
      <c r="D10608" s="5"/>
      <c r="E10608" s="5"/>
      <c r="F10608" s="5"/>
      <c r="G10608" s="5"/>
      <c r="H10608" s="5"/>
      <c r="I10608" s="5"/>
      <c r="J10608" s="5"/>
      <c r="K10608" s="5"/>
      <c r="L10608" s="5"/>
      <c r="M10608" s="5"/>
      <c r="N10608" s="5"/>
      <c r="O10608" s="5"/>
      <c r="P10608" s="5"/>
      <c r="Q10608" s="5"/>
      <c r="R10608" s="5"/>
      <c r="S10608" s="5"/>
      <c r="T10608" s="5"/>
      <c r="U10608" s="5"/>
      <c r="V10608" s="5"/>
      <c r="W10608" s="5"/>
      <c r="X10608" s="5"/>
      <c r="Y10608" s="5"/>
      <c r="Z10608" s="5"/>
    </row>
    <row r="10609" spans="1:26" ht="15" x14ac:dyDescent="0.25">
      <c r="A10609" s="4" t="s">
        <v>10606</v>
      </c>
      <c r="B10609" s="4" t="s">
        <v>9011</v>
      </c>
      <c r="C10609" s="2" t="str">
        <f ca="1">IFERROR(__xludf.DUMMYFUNCTION("GOOGLETRANSLATE(A10609,""bn"",""en"")"),"I will write a blog in Bengali")</f>
        <v>I will write a blog in Bengali</v>
      </c>
      <c r="D10609" s="5"/>
      <c r="E10609" s="5"/>
      <c r="F10609" s="5"/>
      <c r="G10609" s="5"/>
      <c r="H10609" s="5"/>
      <c r="I10609" s="5"/>
      <c r="J10609" s="5"/>
      <c r="K10609" s="5"/>
      <c r="L10609" s="5"/>
      <c r="M10609" s="5"/>
      <c r="N10609" s="5"/>
      <c r="O10609" s="5"/>
      <c r="P10609" s="5"/>
      <c r="Q10609" s="5"/>
      <c r="R10609" s="5"/>
      <c r="S10609" s="5"/>
      <c r="T10609" s="5"/>
      <c r="U10609" s="5"/>
      <c r="V10609" s="5"/>
      <c r="W10609" s="5"/>
      <c r="X10609" s="5"/>
      <c r="Y10609" s="5"/>
      <c r="Z10609" s="5"/>
    </row>
    <row r="10610" spans="1:26" ht="15" x14ac:dyDescent="0.25">
      <c r="A10610" s="4" t="s">
        <v>10607</v>
      </c>
      <c r="B10610" s="4" t="s">
        <v>9011</v>
      </c>
      <c r="C10610" s="2" t="str">
        <f ca="1">IFERROR(__xludf.DUMMYFUNCTION("GOOGLETRANSLATE(A10610,""bn"",""en"")"),"signal will be received")</f>
        <v>signal will be received</v>
      </c>
      <c r="D10610" s="5"/>
      <c r="E10610" s="5"/>
      <c r="F10610" s="5"/>
      <c r="G10610" s="5"/>
      <c r="H10610" s="5"/>
      <c r="I10610" s="5"/>
      <c r="J10610" s="5"/>
      <c r="K10610" s="5"/>
      <c r="L10610" s="5"/>
      <c r="M10610" s="5"/>
      <c r="N10610" s="5"/>
      <c r="O10610" s="5"/>
      <c r="P10610" s="5"/>
      <c r="Q10610" s="5"/>
      <c r="R10610" s="5"/>
      <c r="S10610" s="5"/>
      <c r="T10610" s="5"/>
      <c r="U10610" s="5"/>
      <c r="V10610" s="5"/>
      <c r="W10610" s="5"/>
      <c r="X10610" s="5"/>
      <c r="Y10610" s="5"/>
      <c r="Z10610" s="5"/>
    </row>
    <row r="10611" spans="1:26" ht="15" x14ac:dyDescent="0.25">
      <c r="A10611" s="4" t="s">
        <v>10608</v>
      </c>
      <c r="B10611" s="4" t="s">
        <v>9011</v>
      </c>
      <c r="C10611" s="2" t="str">
        <f ca="1">IFERROR(__xludf.DUMMYFUNCTION("GOOGLETRANSLATE(A10611,""bn"",""en"")"),"Will continue to teach Arabic")</f>
        <v>Will continue to teach Arabic</v>
      </c>
      <c r="D10611" s="5"/>
      <c r="E10611" s="5"/>
      <c r="F10611" s="5"/>
      <c r="G10611" s="5"/>
      <c r="H10611" s="5"/>
      <c r="I10611" s="5"/>
      <c r="J10611" s="5"/>
      <c r="K10611" s="5"/>
      <c r="L10611" s="5"/>
      <c r="M10611" s="5"/>
      <c r="N10611" s="5"/>
      <c r="O10611" s="5"/>
      <c r="P10611" s="5"/>
      <c r="Q10611" s="5"/>
      <c r="R10611" s="5"/>
      <c r="S10611" s="5"/>
      <c r="T10611" s="5"/>
      <c r="U10611" s="5"/>
      <c r="V10611" s="5"/>
      <c r="W10611" s="5"/>
      <c r="X10611" s="5"/>
      <c r="Y10611" s="5"/>
      <c r="Z10611" s="5"/>
    </row>
    <row r="10612" spans="1:26" ht="15" x14ac:dyDescent="0.25">
      <c r="A10612" s="4" t="s">
        <v>10609</v>
      </c>
      <c r="B10612" s="4" t="s">
        <v>9011</v>
      </c>
      <c r="C10612" s="2" t="str">
        <f ca="1">IFERROR(__xludf.DUMMYFUNCTION("GOOGLETRANSLATE(A10612,""bn"",""en"")"),"I will continue to enroll")</f>
        <v>I will continue to enroll</v>
      </c>
      <c r="D10612" s="5"/>
      <c r="E10612" s="5"/>
      <c r="F10612" s="5"/>
      <c r="G10612" s="5"/>
      <c r="H10612" s="5"/>
      <c r="I10612" s="5"/>
      <c r="J10612" s="5"/>
      <c r="K10612" s="5"/>
      <c r="L10612" s="5"/>
      <c r="M10612" s="5"/>
      <c r="N10612" s="5"/>
      <c r="O10612" s="5"/>
      <c r="P10612" s="5"/>
      <c r="Q10612" s="5"/>
      <c r="R10612" s="5"/>
      <c r="S10612" s="5"/>
      <c r="T10612" s="5"/>
      <c r="U10612" s="5"/>
      <c r="V10612" s="5"/>
      <c r="W10612" s="5"/>
      <c r="X10612" s="5"/>
      <c r="Y10612" s="5"/>
      <c r="Z10612" s="5"/>
    </row>
    <row r="10613" spans="1:26" ht="15" x14ac:dyDescent="0.25">
      <c r="A10613" s="4" t="s">
        <v>10610</v>
      </c>
      <c r="B10613" s="4" t="s">
        <v>9011</v>
      </c>
      <c r="C10613" s="2" t="str">
        <f ca="1">IFERROR(__xludf.DUMMYFUNCTION("GOOGLETRANSLATE(A10613,""bn"",""en"")"),"Spectators will reserve space")</f>
        <v>Spectators will reserve space</v>
      </c>
      <c r="D10613" s="5"/>
      <c r="E10613" s="5"/>
      <c r="F10613" s="5"/>
      <c r="G10613" s="5"/>
      <c r="H10613" s="5"/>
      <c r="I10613" s="5"/>
      <c r="J10613" s="5"/>
      <c r="K10613" s="5"/>
      <c r="L10613" s="5"/>
      <c r="M10613" s="5"/>
      <c r="N10613" s="5"/>
      <c r="O10613" s="5"/>
      <c r="P10613" s="5"/>
      <c r="Q10613" s="5"/>
      <c r="R10613" s="5"/>
      <c r="S10613" s="5"/>
      <c r="T10613" s="5"/>
      <c r="U10613" s="5"/>
      <c r="V10613" s="5"/>
      <c r="W10613" s="5"/>
      <c r="X10613" s="5"/>
      <c r="Y10613" s="5"/>
      <c r="Z10613" s="5"/>
    </row>
    <row r="10614" spans="1:26" ht="15" x14ac:dyDescent="0.25">
      <c r="A10614" s="4" t="s">
        <v>10611</v>
      </c>
      <c r="B10614" s="4" t="s">
        <v>9011</v>
      </c>
      <c r="C10614" s="2" t="str">
        <f ca="1">IFERROR(__xludf.DUMMYFUNCTION("GOOGLETRANSLATE(A10614,""bn"",""en"")"),"The hockey team will win")</f>
        <v>The hockey team will win</v>
      </c>
      <c r="D10614" s="5"/>
      <c r="E10614" s="5"/>
      <c r="F10614" s="5"/>
      <c r="G10614" s="5"/>
      <c r="H10614" s="5"/>
      <c r="I10614" s="5"/>
      <c r="J10614" s="5"/>
      <c r="K10614" s="5"/>
      <c r="L10614" s="5"/>
      <c r="M10614" s="5"/>
      <c r="N10614" s="5"/>
      <c r="O10614" s="5"/>
      <c r="P10614" s="5"/>
      <c r="Q10614" s="5"/>
      <c r="R10614" s="5"/>
      <c r="S10614" s="5"/>
      <c r="T10614" s="5"/>
      <c r="U10614" s="5"/>
      <c r="V10614" s="5"/>
      <c r="W10614" s="5"/>
      <c r="X10614" s="5"/>
      <c r="Y10614" s="5"/>
      <c r="Z10614" s="5"/>
    </row>
    <row r="10615" spans="1:26" ht="15" x14ac:dyDescent="0.25">
      <c r="A10615" s="4" t="s">
        <v>10612</v>
      </c>
      <c r="B10615" s="4" t="s">
        <v>9011</v>
      </c>
      <c r="C10615" s="2" t="str">
        <f ca="1">IFERROR(__xludf.DUMMYFUNCTION("GOOGLETRANSLATE(A10615,""bn"",""en"")"),"There will be pitha festival")</f>
        <v>There will be pitha festival</v>
      </c>
      <c r="D10615" s="5"/>
      <c r="E10615" s="5"/>
      <c r="F10615" s="5"/>
      <c r="G10615" s="5"/>
      <c r="H10615" s="5"/>
      <c r="I10615" s="5"/>
      <c r="J10615" s="5"/>
      <c r="K10615" s="5"/>
      <c r="L10615" s="5"/>
      <c r="M10615" s="5"/>
      <c r="N10615" s="5"/>
      <c r="O10615" s="5"/>
      <c r="P10615" s="5"/>
      <c r="Q10615" s="5"/>
      <c r="R10615" s="5"/>
      <c r="S10615" s="5"/>
      <c r="T10615" s="5"/>
      <c r="U10615" s="5"/>
      <c r="V10615" s="5"/>
      <c r="W10615" s="5"/>
      <c r="X10615" s="5"/>
      <c r="Y10615" s="5"/>
      <c r="Z10615" s="5"/>
    </row>
    <row r="10616" spans="1:26" ht="15" x14ac:dyDescent="0.25">
      <c r="A10616" s="4" t="s">
        <v>10613</v>
      </c>
      <c r="B10616" s="4" t="s">
        <v>9011</v>
      </c>
      <c r="C10616" s="2" t="str">
        <f ca="1">IFERROR(__xludf.DUMMYFUNCTION("GOOGLETRANSLATE(A10616,""bn"",""en"")"),"Product sales will increase")</f>
        <v>Product sales will increase</v>
      </c>
      <c r="D10616" s="5"/>
      <c r="E10616" s="5"/>
      <c r="F10616" s="5"/>
      <c r="G10616" s="5"/>
      <c r="H10616" s="5"/>
      <c r="I10616" s="5"/>
      <c r="J10616" s="5"/>
      <c r="K10616" s="5"/>
      <c r="L10616" s="5"/>
      <c r="M10616" s="5"/>
      <c r="N10616" s="5"/>
      <c r="O10616" s="5"/>
      <c r="P10616" s="5"/>
      <c r="Q10616" s="5"/>
      <c r="R10616" s="5"/>
      <c r="S10616" s="5"/>
      <c r="T10616" s="5"/>
      <c r="U10616" s="5"/>
      <c r="V10616" s="5"/>
      <c r="W10616" s="5"/>
      <c r="X10616" s="5"/>
      <c r="Y10616" s="5"/>
      <c r="Z10616" s="5"/>
    </row>
    <row r="10617" spans="1:26" ht="15" x14ac:dyDescent="0.25">
      <c r="A10617" s="4" t="s">
        <v>10614</v>
      </c>
      <c r="B10617" s="4" t="s">
        <v>9011</v>
      </c>
      <c r="C10617" s="2" t="str">
        <f ca="1">IFERROR(__xludf.DUMMYFUNCTION("GOOGLETRANSLATE(A10617,""bn"",""en"")"),"I will continue to read the blog")</f>
        <v>I will continue to read the blog</v>
      </c>
      <c r="D10617" s="5"/>
      <c r="E10617" s="5"/>
      <c r="F10617" s="5"/>
      <c r="G10617" s="5"/>
      <c r="H10617" s="5"/>
      <c r="I10617" s="5"/>
      <c r="J10617" s="5"/>
      <c r="K10617" s="5"/>
      <c r="L10617" s="5"/>
      <c r="M10617" s="5"/>
      <c r="N10617" s="5"/>
      <c r="O10617" s="5"/>
      <c r="P10617" s="5"/>
      <c r="Q10617" s="5"/>
      <c r="R10617" s="5"/>
      <c r="S10617" s="5"/>
      <c r="T10617" s="5"/>
      <c r="U10617" s="5"/>
      <c r="V10617" s="5"/>
      <c r="W10617" s="5"/>
      <c r="X10617" s="5"/>
      <c r="Y10617" s="5"/>
      <c r="Z10617" s="5"/>
    </row>
    <row r="10618" spans="1:26" ht="15" x14ac:dyDescent="0.25">
      <c r="A10618" s="4" t="s">
        <v>10615</v>
      </c>
      <c r="B10618" s="4" t="s">
        <v>9011</v>
      </c>
      <c r="C10618" s="2" t="str">
        <f ca="1">IFERROR(__xludf.DUMMYFUNCTION("GOOGLETRANSLATE(A10618,""bn"",""en"")"),"Send email easily")</f>
        <v>Send email easily</v>
      </c>
      <c r="D10618" s="5"/>
      <c r="E10618" s="5"/>
      <c r="F10618" s="5"/>
      <c r="G10618" s="5"/>
      <c r="H10618" s="5"/>
      <c r="I10618" s="5"/>
      <c r="J10618" s="5"/>
      <c r="K10618" s="5"/>
      <c r="L10618" s="5"/>
      <c r="M10618" s="5"/>
      <c r="N10618" s="5"/>
      <c r="O10618" s="5"/>
      <c r="P10618" s="5"/>
      <c r="Q10618" s="5"/>
      <c r="R10618" s="5"/>
      <c r="S10618" s="5"/>
      <c r="T10618" s="5"/>
      <c r="U10618" s="5"/>
      <c r="V10618" s="5"/>
      <c r="W10618" s="5"/>
      <c r="X10618" s="5"/>
      <c r="Y10618" s="5"/>
      <c r="Z10618" s="5"/>
    </row>
    <row r="10619" spans="1:26" ht="15" x14ac:dyDescent="0.25">
      <c r="A10619" s="4" t="s">
        <v>10616</v>
      </c>
      <c r="B10619" s="4" t="s">
        <v>9011</v>
      </c>
      <c r="C10619" s="2" t="str">
        <f ca="1">IFERROR(__xludf.DUMMYFUNCTION("GOOGLETRANSLATE(A10619,""bn"",""en"")"),"I will continue to go to book fairs")</f>
        <v>I will continue to go to book fairs</v>
      </c>
      <c r="D10619" s="5"/>
      <c r="E10619" s="5"/>
      <c r="F10619" s="5"/>
      <c r="G10619" s="5"/>
      <c r="H10619" s="5"/>
      <c r="I10619" s="5"/>
      <c r="J10619" s="5"/>
      <c r="K10619" s="5"/>
      <c r="L10619" s="5"/>
      <c r="M10619" s="5"/>
      <c r="N10619" s="5"/>
      <c r="O10619" s="5"/>
      <c r="P10619" s="5"/>
      <c r="Q10619" s="5"/>
      <c r="R10619" s="5"/>
      <c r="S10619" s="5"/>
      <c r="T10619" s="5"/>
      <c r="U10619" s="5"/>
      <c r="V10619" s="5"/>
      <c r="W10619" s="5"/>
      <c r="X10619" s="5"/>
      <c r="Y10619" s="5"/>
      <c r="Z10619" s="5"/>
    </row>
    <row r="10620" spans="1:26" ht="15" x14ac:dyDescent="0.25">
      <c r="A10620" s="4" t="s">
        <v>10617</v>
      </c>
      <c r="B10620" s="4" t="s">
        <v>9011</v>
      </c>
      <c r="C10620" s="2" t="str">
        <f ca="1">IFERROR(__xludf.DUMMYFUNCTION("GOOGLETRANSLATE(A10620,""bn"",""en"")"),"I will participate in sports")</f>
        <v>I will participate in sports</v>
      </c>
      <c r="D10620" s="5"/>
      <c r="E10620" s="5"/>
      <c r="F10620" s="5"/>
      <c r="G10620" s="5"/>
      <c r="H10620" s="5"/>
      <c r="I10620" s="5"/>
      <c r="J10620" s="5"/>
      <c r="K10620" s="5"/>
      <c r="L10620" s="5"/>
      <c r="M10620" s="5"/>
      <c r="N10620" s="5"/>
      <c r="O10620" s="5"/>
      <c r="P10620" s="5"/>
      <c r="Q10620" s="5"/>
      <c r="R10620" s="5"/>
      <c r="S10620" s="5"/>
      <c r="T10620" s="5"/>
      <c r="U10620" s="5"/>
      <c r="V10620" s="5"/>
      <c r="W10620" s="5"/>
      <c r="X10620" s="5"/>
      <c r="Y10620" s="5"/>
      <c r="Z10620" s="5"/>
    </row>
    <row r="10621" spans="1:26" ht="15" x14ac:dyDescent="0.25">
      <c r="A10621" s="4" t="s">
        <v>10618</v>
      </c>
      <c r="B10621" s="4" t="s">
        <v>9011</v>
      </c>
      <c r="C10621" s="2" t="str">
        <f ca="1">IFERROR(__xludf.DUMMYFUNCTION("GOOGLETRANSLATE(A10621,""bn"",""en"")"),"Will keep going to Alaska")</f>
        <v>Will keep going to Alaska</v>
      </c>
      <c r="D10621" s="5"/>
      <c r="E10621" s="5"/>
      <c r="F10621" s="5"/>
      <c r="G10621" s="5"/>
      <c r="H10621" s="5"/>
      <c r="I10621" s="5"/>
      <c r="J10621" s="5"/>
      <c r="K10621" s="5"/>
      <c r="L10621" s="5"/>
      <c r="M10621" s="5"/>
      <c r="N10621" s="5"/>
      <c r="O10621" s="5"/>
      <c r="P10621" s="5"/>
      <c r="Q10621" s="5"/>
      <c r="R10621" s="5"/>
      <c r="S10621" s="5"/>
      <c r="T10621" s="5"/>
      <c r="U10621" s="5"/>
      <c r="V10621" s="5"/>
      <c r="W10621" s="5"/>
      <c r="X10621" s="5"/>
      <c r="Y10621" s="5"/>
      <c r="Z10621" s="5"/>
    </row>
    <row r="10622" spans="1:26" ht="15" x14ac:dyDescent="0.25">
      <c r="A10622" s="4" t="s">
        <v>10619</v>
      </c>
      <c r="B10622" s="4" t="s">
        <v>9011</v>
      </c>
      <c r="C10622" s="2" t="str">
        <f ca="1">IFERROR(__xludf.DUMMYFUNCTION("GOOGLETRANSLATE(A10622,""bn"",""en"")"),"You will sing music")</f>
        <v>You will sing music</v>
      </c>
      <c r="D10622" s="5"/>
      <c r="E10622" s="5"/>
      <c r="F10622" s="5"/>
      <c r="G10622" s="5"/>
      <c r="H10622" s="5"/>
      <c r="I10622" s="5"/>
      <c r="J10622" s="5"/>
      <c r="K10622" s="5"/>
      <c r="L10622" s="5"/>
      <c r="M10622" s="5"/>
      <c r="N10622" s="5"/>
      <c r="O10622" s="5"/>
      <c r="P10622" s="5"/>
      <c r="Q10622" s="5"/>
      <c r="R10622" s="5"/>
      <c r="S10622" s="5"/>
      <c r="T10622" s="5"/>
      <c r="U10622" s="5"/>
      <c r="V10622" s="5"/>
      <c r="W10622" s="5"/>
      <c r="X10622" s="5"/>
      <c r="Y10622" s="5"/>
      <c r="Z10622" s="5"/>
    </row>
    <row r="10623" spans="1:26" ht="15" x14ac:dyDescent="0.25">
      <c r="A10623" s="4" t="s">
        <v>10620</v>
      </c>
      <c r="B10623" s="4" t="s">
        <v>9011</v>
      </c>
      <c r="C10623" s="2" t="str">
        <f ca="1">IFERROR(__xludf.DUMMYFUNCTION("GOOGLETRANSLATE(A10623,""bn"",""en"")"),"The bank will open")</f>
        <v>The bank will open</v>
      </c>
      <c r="D10623" s="5"/>
      <c r="E10623" s="5"/>
      <c r="F10623" s="5"/>
      <c r="G10623" s="5"/>
      <c r="H10623" s="5"/>
      <c r="I10623" s="5"/>
      <c r="J10623" s="5"/>
      <c r="K10623" s="5"/>
      <c r="L10623" s="5"/>
      <c r="M10623" s="5"/>
      <c r="N10623" s="5"/>
      <c r="O10623" s="5"/>
      <c r="P10623" s="5"/>
      <c r="Q10623" s="5"/>
      <c r="R10623" s="5"/>
      <c r="S10623" s="5"/>
      <c r="T10623" s="5"/>
      <c r="U10623" s="5"/>
      <c r="V10623" s="5"/>
      <c r="W10623" s="5"/>
      <c r="X10623" s="5"/>
      <c r="Y10623" s="5"/>
      <c r="Z10623" s="5"/>
    </row>
    <row r="10624" spans="1:26" ht="15" x14ac:dyDescent="0.25">
      <c r="A10624" s="4" t="s">
        <v>10621</v>
      </c>
      <c r="B10624" s="4" t="s">
        <v>9011</v>
      </c>
      <c r="C10624" s="2" t="str">
        <f ca="1">IFERROR(__xludf.DUMMYFUNCTION("GOOGLETRANSLATE(A10624,""bn"",""en"")"),"I will go to the cafeteria")</f>
        <v>I will go to the cafeteria</v>
      </c>
      <c r="D10624" s="5"/>
      <c r="E10624" s="5"/>
      <c r="F10624" s="5"/>
      <c r="G10624" s="5"/>
      <c r="H10624" s="5"/>
      <c r="I10624" s="5"/>
      <c r="J10624" s="5"/>
      <c r="K10624" s="5"/>
      <c r="L10624" s="5"/>
      <c r="M10624" s="5"/>
      <c r="N10624" s="5"/>
      <c r="O10624" s="5"/>
      <c r="P10624" s="5"/>
      <c r="Q10624" s="5"/>
      <c r="R10624" s="5"/>
      <c r="S10624" s="5"/>
      <c r="T10624" s="5"/>
      <c r="U10624" s="5"/>
      <c r="V10624" s="5"/>
      <c r="W10624" s="5"/>
      <c r="X10624" s="5"/>
      <c r="Y10624" s="5"/>
      <c r="Z10624" s="5"/>
    </row>
    <row r="10625" spans="1:26" ht="15" x14ac:dyDescent="0.25">
      <c r="A10625" s="4" t="s">
        <v>10622</v>
      </c>
      <c r="B10625" s="4" t="s">
        <v>9011</v>
      </c>
      <c r="C10625" s="2" t="str">
        <f ca="1">IFERROR(__xludf.DUMMYFUNCTION("GOOGLETRANSLATE(A10625,""bn"",""en"")"),"Badminton will end")</f>
        <v>Badminton will end</v>
      </c>
      <c r="D10625" s="5"/>
      <c r="E10625" s="5"/>
      <c r="F10625" s="5"/>
      <c r="G10625" s="5"/>
      <c r="H10625" s="5"/>
      <c r="I10625" s="5"/>
      <c r="J10625" s="5"/>
      <c r="K10625" s="5"/>
      <c r="L10625" s="5"/>
      <c r="M10625" s="5"/>
      <c r="N10625" s="5"/>
      <c r="O10625" s="5"/>
      <c r="P10625" s="5"/>
      <c r="Q10625" s="5"/>
      <c r="R10625" s="5"/>
      <c r="S10625" s="5"/>
      <c r="T10625" s="5"/>
      <c r="U10625" s="5"/>
      <c r="V10625" s="5"/>
      <c r="W10625" s="5"/>
      <c r="X10625" s="5"/>
      <c r="Y10625" s="5"/>
      <c r="Z10625" s="5"/>
    </row>
    <row r="10626" spans="1:26" ht="15" x14ac:dyDescent="0.25">
      <c r="A10626" s="4" t="s">
        <v>10623</v>
      </c>
      <c r="B10626" s="4" t="s">
        <v>9011</v>
      </c>
      <c r="C10626" s="2" t="str">
        <f ca="1">IFERROR(__xludf.DUMMYFUNCTION("GOOGLETRANSLATE(A10626,""bn"",""en"")"),"Build an Islamic life")</f>
        <v>Build an Islamic life</v>
      </c>
      <c r="D10626" s="5"/>
      <c r="E10626" s="5"/>
      <c r="F10626" s="5"/>
      <c r="G10626" s="5"/>
      <c r="H10626" s="5"/>
      <c r="I10626" s="5"/>
      <c r="J10626" s="5"/>
      <c r="K10626" s="5"/>
      <c r="L10626" s="5"/>
      <c r="M10626" s="5"/>
      <c r="N10626" s="5"/>
      <c r="O10626" s="5"/>
      <c r="P10626" s="5"/>
      <c r="Q10626" s="5"/>
      <c r="R10626" s="5"/>
      <c r="S10626" s="5"/>
      <c r="T10626" s="5"/>
      <c r="U10626" s="5"/>
      <c r="V10626" s="5"/>
      <c r="W10626" s="5"/>
      <c r="X10626" s="5"/>
      <c r="Y10626" s="5"/>
      <c r="Z10626" s="5"/>
    </row>
    <row r="10627" spans="1:26" ht="15" x14ac:dyDescent="0.25">
      <c r="A10627" s="4" t="s">
        <v>10624</v>
      </c>
      <c r="B10627" s="4" t="s">
        <v>9011</v>
      </c>
      <c r="C10627" s="2" t="str">
        <f ca="1">IFERROR(__xludf.DUMMYFUNCTION("GOOGLETRANSLATE(A10627,""bn"",""en"")"),"Ramya will be sold")</f>
        <v>Ramya will be sold</v>
      </c>
      <c r="D10627" s="5"/>
      <c r="E10627" s="5"/>
      <c r="F10627" s="5"/>
      <c r="G10627" s="5"/>
      <c r="H10627" s="5"/>
      <c r="I10627" s="5"/>
      <c r="J10627" s="5"/>
      <c r="K10627" s="5"/>
      <c r="L10627" s="5"/>
      <c r="M10627" s="5"/>
      <c r="N10627" s="5"/>
      <c r="O10627" s="5"/>
      <c r="P10627" s="5"/>
      <c r="Q10627" s="5"/>
      <c r="R10627" s="5"/>
      <c r="S10627" s="5"/>
      <c r="T10627" s="5"/>
      <c r="U10627" s="5"/>
      <c r="V10627" s="5"/>
      <c r="W10627" s="5"/>
      <c r="X10627" s="5"/>
      <c r="Y10627" s="5"/>
      <c r="Z10627" s="5"/>
    </row>
    <row r="10628" spans="1:26" ht="15" x14ac:dyDescent="0.25">
      <c r="A10628" s="4" t="s">
        <v>10625</v>
      </c>
      <c r="B10628" s="4" t="s">
        <v>9011</v>
      </c>
      <c r="C10628" s="2" t="str">
        <f ca="1">IFERROR(__xludf.DUMMYFUNCTION("GOOGLETRANSLATE(A10628,""bn"",""en"")"),"I will look for sea oysters")</f>
        <v>I will look for sea oysters</v>
      </c>
      <c r="D10628" s="5"/>
      <c r="E10628" s="5"/>
      <c r="F10628" s="5"/>
      <c r="G10628" s="5"/>
      <c r="H10628" s="5"/>
      <c r="I10628" s="5"/>
      <c r="J10628" s="5"/>
      <c r="K10628" s="5"/>
      <c r="L10628" s="5"/>
      <c r="M10628" s="5"/>
      <c r="N10628" s="5"/>
      <c r="O10628" s="5"/>
      <c r="P10628" s="5"/>
      <c r="Q10628" s="5"/>
      <c r="R10628" s="5"/>
      <c r="S10628" s="5"/>
      <c r="T10628" s="5"/>
      <c r="U10628" s="5"/>
      <c r="V10628" s="5"/>
      <c r="W10628" s="5"/>
      <c r="X10628" s="5"/>
      <c r="Y10628" s="5"/>
      <c r="Z10628" s="5"/>
    </row>
    <row r="10629" spans="1:26" ht="15" x14ac:dyDescent="0.25">
      <c r="A10629" s="4" t="s">
        <v>10626</v>
      </c>
      <c r="B10629" s="4" t="s">
        <v>9011</v>
      </c>
      <c r="C10629" s="2" t="str">
        <f ca="1">IFERROR(__xludf.DUMMYFUNCTION("GOOGLETRANSLATE(A10629,""bn"",""en"")"),"I will watch regular games")</f>
        <v>I will watch regular games</v>
      </c>
      <c r="D10629" s="5"/>
      <c r="E10629" s="5"/>
      <c r="F10629" s="5"/>
      <c r="G10629" s="5"/>
      <c r="H10629" s="5"/>
      <c r="I10629" s="5"/>
      <c r="J10629" s="5"/>
      <c r="K10629" s="5"/>
      <c r="L10629" s="5"/>
      <c r="M10629" s="5"/>
      <c r="N10629" s="5"/>
      <c r="O10629" s="5"/>
      <c r="P10629" s="5"/>
      <c r="Q10629" s="5"/>
      <c r="R10629" s="5"/>
      <c r="S10629" s="5"/>
      <c r="T10629" s="5"/>
      <c r="U10629" s="5"/>
      <c r="V10629" s="5"/>
      <c r="W10629" s="5"/>
      <c r="X10629" s="5"/>
      <c r="Y10629" s="5"/>
      <c r="Z10629" s="5"/>
    </row>
    <row r="10630" spans="1:26" ht="15" x14ac:dyDescent="0.25">
      <c r="A10630" s="4" t="s">
        <v>10627</v>
      </c>
      <c r="B10630" s="4" t="s">
        <v>9011</v>
      </c>
      <c r="C10630" s="2" t="str">
        <f ca="1">IFERROR(__xludf.DUMMYFUNCTION("GOOGLETRANSLATE(A10630,""bn"",""en"")"),"Politics will be promoted")</f>
        <v>Politics will be promoted</v>
      </c>
      <c r="D10630" s="5"/>
      <c r="E10630" s="5"/>
      <c r="F10630" s="5"/>
      <c r="G10630" s="5"/>
      <c r="H10630" s="5"/>
      <c r="I10630" s="5"/>
      <c r="J10630" s="5"/>
      <c r="K10630" s="5"/>
      <c r="L10630" s="5"/>
      <c r="M10630" s="5"/>
      <c r="N10630" s="5"/>
      <c r="O10630" s="5"/>
      <c r="P10630" s="5"/>
      <c r="Q10630" s="5"/>
      <c r="R10630" s="5"/>
      <c r="S10630" s="5"/>
      <c r="T10630" s="5"/>
      <c r="U10630" s="5"/>
      <c r="V10630" s="5"/>
      <c r="W10630" s="5"/>
      <c r="X10630" s="5"/>
      <c r="Y10630" s="5"/>
      <c r="Z10630" s="5"/>
    </row>
    <row r="10631" spans="1:26" ht="15" x14ac:dyDescent="0.25">
      <c r="A10631" s="4" t="s">
        <v>10628</v>
      </c>
      <c r="B10631" s="4" t="s">
        <v>9011</v>
      </c>
      <c r="C10631" s="2" t="str">
        <f ca="1">IFERROR(__xludf.DUMMYFUNCTION("GOOGLETRANSLATE(A10631,""bn"",""en"")"),"I will enroll in college")</f>
        <v>I will enroll in college</v>
      </c>
      <c r="D10631" s="5"/>
      <c r="E10631" s="5"/>
      <c r="F10631" s="5"/>
      <c r="G10631" s="5"/>
      <c r="H10631" s="5"/>
      <c r="I10631" s="5"/>
      <c r="J10631" s="5"/>
      <c r="K10631" s="5"/>
      <c r="L10631" s="5"/>
      <c r="M10631" s="5"/>
      <c r="N10631" s="5"/>
      <c r="O10631" s="5"/>
      <c r="P10631" s="5"/>
      <c r="Q10631" s="5"/>
      <c r="R10631" s="5"/>
      <c r="S10631" s="5"/>
      <c r="T10631" s="5"/>
      <c r="U10631" s="5"/>
      <c r="V10631" s="5"/>
      <c r="W10631" s="5"/>
      <c r="X10631" s="5"/>
      <c r="Y10631" s="5"/>
      <c r="Z10631" s="5"/>
    </row>
    <row r="10632" spans="1:26" ht="15" x14ac:dyDescent="0.25">
      <c r="A10632" s="4" t="s">
        <v>10629</v>
      </c>
      <c r="B10632" s="4" t="s">
        <v>9011</v>
      </c>
      <c r="C10632" s="2" t="str">
        <f ca="1">IFERROR(__xludf.DUMMYFUNCTION("GOOGLETRANSLATE(A10632,""bn"",""en"")"),"The game will be played")</f>
        <v>The game will be played</v>
      </c>
      <c r="D10632" s="5"/>
      <c r="E10632" s="5"/>
      <c r="F10632" s="5"/>
      <c r="G10632" s="5"/>
      <c r="H10632" s="5"/>
      <c r="I10632" s="5"/>
      <c r="J10632" s="5"/>
      <c r="K10632" s="5"/>
      <c r="L10632" s="5"/>
      <c r="M10632" s="5"/>
      <c r="N10632" s="5"/>
      <c r="O10632" s="5"/>
      <c r="P10632" s="5"/>
      <c r="Q10632" s="5"/>
      <c r="R10632" s="5"/>
      <c r="S10632" s="5"/>
      <c r="T10632" s="5"/>
      <c r="U10632" s="5"/>
      <c r="V10632" s="5"/>
      <c r="W10632" s="5"/>
      <c r="X10632" s="5"/>
      <c r="Y10632" s="5"/>
      <c r="Z10632" s="5"/>
    </row>
    <row r="10633" spans="1:26" ht="15" x14ac:dyDescent="0.25">
      <c r="A10633" s="4" t="s">
        <v>10630</v>
      </c>
      <c r="B10633" s="4" t="s">
        <v>9011</v>
      </c>
      <c r="C10633" s="2" t="str">
        <f ca="1">IFERROR(__xludf.DUMMYFUNCTION("GOOGLETRANSLATE(A10633,""bn"",""en"")"),"I would like to travel")</f>
        <v>I would like to travel</v>
      </c>
      <c r="D10633" s="5"/>
      <c r="E10633" s="5"/>
      <c r="F10633" s="5"/>
      <c r="G10633" s="5"/>
      <c r="H10633" s="5"/>
      <c r="I10633" s="5"/>
      <c r="J10633" s="5"/>
      <c r="K10633" s="5"/>
      <c r="L10633" s="5"/>
      <c r="M10633" s="5"/>
      <c r="N10633" s="5"/>
      <c r="O10633" s="5"/>
      <c r="P10633" s="5"/>
      <c r="Q10633" s="5"/>
      <c r="R10633" s="5"/>
      <c r="S10633" s="5"/>
      <c r="T10633" s="5"/>
      <c r="U10633" s="5"/>
      <c r="V10633" s="5"/>
      <c r="W10633" s="5"/>
      <c r="X10633" s="5"/>
      <c r="Y10633" s="5"/>
      <c r="Z10633" s="5"/>
    </row>
    <row r="10634" spans="1:26" ht="15" x14ac:dyDescent="0.25">
      <c r="A10634" s="4" t="s">
        <v>10631</v>
      </c>
      <c r="B10634" s="4" t="s">
        <v>9011</v>
      </c>
      <c r="C10634" s="2" t="str">
        <f ca="1">IFERROR(__xludf.DUMMYFUNCTION("GOOGLETRANSLATE(A10634,""bn"",""en"")"),"I will collect books")</f>
        <v>I will collect books</v>
      </c>
      <c r="D10634" s="5"/>
      <c r="E10634" s="5"/>
      <c r="F10634" s="5"/>
      <c r="G10634" s="5"/>
      <c r="H10634" s="5"/>
      <c r="I10634" s="5"/>
      <c r="J10634" s="5"/>
      <c r="K10634" s="5"/>
      <c r="L10634" s="5"/>
      <c r="M10634" s="5"/>
      <c r="N10634" s="5"/>
      <c r="O10634" s="5"/>
      <c r="P10634" s="5"/>
      <c r="Q10634" s="5"/>
      <c r="R10634" s="5"/>
      <c r="S10634" s="5"/>
      <c r="T10634" s="5"/>
      <c r="U10634" s="5"/>
      <c r="V10634" s="5"/>
      <c r="W10634" s="5"/>
      <c r="X10634" s="5"/>
      <c r="Y10634" s="5"/>
      <c r="Z10634" s="5"/>
    </row>
    <row r="10635" spans="1:26" ht="15" x14ac:dyDescent="0.25">
      <c r="A10635" s="4" t="s">
        <v>10632</v>
      </c>
      <c r="B10635" s="4" t="s">
        <v>9011</v>
      </c>
      <c r="C10635" s="2" t="str">
        <f ca="1">IFERROR(__xludf.DUMMYFUNCTION("GOOGLETRANSLATE(A10635,""bn"",""en"")"),"I will do it in the meeting")</f>
        <v>I will do it in the meeting</v>
      </c>
      <c r="D10635" s="5"/>
      <c r="E10635" s="5"/>
      <c r="F10635" s="5"/>
      <c r="G10635" s="5"/>
      <c r="H10635" s="5"/>
      <c r="I10635" s="5"/>
      <c r="J10635" s="5"/>
      <c r="K10635" s="5"/>
      <c r="L10635" s="5"/>
      <c r="M10635" s="5"/>
      <c r="N10635" s="5"/>
      <c r="O10635" s="5"/>
      <c r="P10635" s="5"/>
      <c r="Q10635" s="5"/>
      <c r="R10635" s="5"/>
      <c r="S10635" s="5"/>
      <c r="T10635" s="5"/>
      <c r="U10635" s="5"/>
      <c r="V10635" s="5"/>
      <c r="W10635" s="5"/>
      <c r="X10635" s="5"/>
      <c r="Y10635" s="5"/>
      <c r="Z10635" s="5"/>
    </row>
    <row r="10636" spans="1:26" ht="15" x14ac:dyDescent="0.25">
      <c r="A10636" s="4" t="s">
        <v>10633</v>
      </c>
      <c r="B10636" s="4" t="s">
        <v>9011</v>
      </c>
      <c r="C10636" s="2" t="str">
        <f ca="1">IFERROR(__xludf.DUMMYFUNCTION("GOOGLETRANSLATE(A10636,""bn"",""en"")"),"The movie will be popular")</f>
        <v>The movie will be popular</v>
      </c>
      <c r="D10636" s="5"/>
      <c r="E10636" s="5"/>
      <c r="F10636" s="5"/>
      <c r="G10636" s="5"/>
      <c r="H10636" s="5"/>
      <c r="I10636" s="5"/>
      <c r="J10636" s="5"/>
      <c r="K10636" s="5"/>
      <c r="L10636" s="5"/>
      <c r="M10636" s="5"/>
      <c r="N10636" s="5"/>
      <c r="O10636" s="5"/>
      <c r="P10636" s="5"/>
      <c r="Q10636" s="5"/>
      <c r="R10636" s="5"/>
      <c r="S10636" s="5"/>
      <c r="T10636" s="5"/>
      <c r="U10636" s="5"/>
      <c r="V10636" s="5"/>
      <c r="W10636" s="5"/>
      <c r="X10636" s="5"/>
      <c r="Y10636" s="5"/>
      <c r="Z10636" s="5"/>
    </row>
    <row r="10637" spans="1:26" ht="15" x14ac:dyDescent="0.25">
      <c r="A10637" s="4" t="s">
        <v>10634</v>
      </c>
      <c r="B10637" s="4" t="s">
        <v>9011</v>
      </c>
      <c r="C10637" s="2" t="str">
        <f ca="1">IFERROR(__xludf.DUMMYFUNCTION("GOOGLETRANSLATE(A10637,""bn"",""en"")"),"I would love to travel")</f>
        <v>I would love to travel</v>
      </c>
      <c r="D10637" s="5"/>
      <c r="E10637" s="5"/>
      <c r="F10637" s="5"/>
      <c r="G10637" s="5"/>
      <c r="H10637" s="5"/>
      <c r="I10637" s="5"/>
      <c r="J10637" s="5"/>
      <c r="K10637" s="5"/>
      <c r="L10637" s="5"/>
      <c r="M10637" s="5"/>
      <c r="N10637" s="5"/>
      <c r="O10637" s="5"/>
      <c r="P10637" s="5"/>
      <c r="Q10637" s="5"/>
      <c r="R10637" s="5"/>
      <c r="S10637" s="5"/>
      <c r="T10637" s="5"/>
      <c r="U10637" s="5"/>
      <c r="V10637" s="5"/>
      <c r="W10637" s="5"/>
      <c r="X10637" s="5"/>
      <c r="Y10637" s="5"/>
      <c r="Z10637" s="5"/>
    </row>
    <row r="10638" spans="1:26" ht="15" x14ac:dyDescent="0.25">
      <c r="A10638" s="4" t="s">
        <v>10635</v>
      </c>
      <c r="B10638" s="4" t="s">
        <v>9011</v>
      </c>
      <c r="C10638" s="2" t="str">
        <f ca="1">IFERROR(__xludf.DUMMYFUNCTION("GOOGLETRANSLATE(A10638,""bn"",""en"")"),"we will enjoy")</f>
        <v>we will enjoy</v>
      </c>
      <c r="D10638" s="5"/>
      <c r="E10638" s="5"/>
      <c r="F10638" s="5"/>
      <c r="G10638" s="5"/>
      <c r="H10638" s="5"/>
      <c r="I10638" s="5"/>
      <c r="J10638" s="5"/>
      <c r="K10638" s="5"/>
      <c r="L10638" s="5"/>
      <c r="M10638" s="5"/>
      <c r="N10638" s="5"/>
      <c r="O10638" s="5"/>
      <c r="P10638" s="5"/>
      <c r="Q10638" s="5"/>
      <c r="R10638" s="5"/>
      <c r="S10638" s="5"/>
      <c r="T10638" s="5"/>
      <c r="U10638" s="5"/>
      <c r="V10638" s="5"/>
      <c r="W10638" s="5"/>
      <c r="X10638" s="5"/>
      <c r="Y10638" s="5"/>
      <c r="Z10638" s="5"/>
    </row>
    <row r="10639" spans="1:26" ht="15" x14ac:dyDescent="0.25">
      <c r="A10639" s="4" t="s">
        <v>10636</v>
      </c>
      <c r="B10639" s="4" t="s">
        <v>9011</v>
      </c>
      <c r="C10639" s="2" t="str">
        <f ca="1">IFERROR(__xludf.DUMMYFUNCTION("GOOGLETRANSLATE(A10639,""bn"",""en"")"),"I will continue to train")</f>
        <v>I will continue to train</v>
      </c>
      <c r="D10639" s="5"/>
      <c r="E10639" s="5"/>
      <c r="F10639" s="5"/>
      <c r="G10639" s="5"/>
      <c r="H10639" s="5"/>
      <c r="I10639" s="5"/>
      <c r="J10639" s="5"/>
      <c r="K10639" s="5"/>
      <c r="L10639" s="5"/>
      <c r="M10639" s="5"/>
      <c r="N10639" s="5"/>
      <c r="O10639" s="5"/>
      <c r="P10639" s="5"/>
      <c r="Q10639" s="5"/>
      <c r="R10639" s="5"/>
      <c r="S10639" s="5"/>
      <c r="T10639" s="5"/>
      <c r="U10639" s="5"/>
      <c r="V10639" s="5"/>
      <c r="W10639" s="5"/>
      <c r="X10639" s="5"/>
      <c r="Y10639" s="5"/>
      <c r="Z10639" s="5"/>
    </row>
    <row r="10640" spans="1:26" ht="15" x14ac:dyDescent="0.25">
      <c r="A10640" s="4" t="s">
        <v>10637</v>
      </c>
      <c r="B10640" s="4" t="s">
        <v>9011</v>
      </c>
      <c r="C10640" s="2" t="str">
        <f ca="1">IFERROR(__xludf.DUMMYFUNCTION("GOOGLETRANSLATE(A10640,""bn"",""en"")"),"Will keep in touch")</f>
        <v>Will keep in touch</v>
      </c>
      <c r="D10640" s="5"/>
      <c r="E10640" s="5"/>
      <c r="F10640" s="5"/>
      <c r="G10640" s="5"/>
      <c r="H10640" s="5"/>
      <c r="I10640" s="5"/>
      <c r="J10640" s="5"/>
      <c r="K10640" s="5"/>
      <c r="L10640" s="5"/>
      <c r="M10640" s="5"/>
      <c r="N10640" s="5"/>
      <c r="O10640" s="5"/>
      <c r="P10640" s="5"/>
      <c r="Q10640" s="5"/>
      <c r="R10640" s="5"/>
      <c r="S10640" s="5"/>
      <c r="T10640" s="5"/>
      <c r="U10640" s="5"/>
      <c r="V10640" s="5"/>
      <c r="W10640" s="5"/>
      <c r="X10640" s="5"/>
      <c r="Y10640" s="5"/>
      <c r="Z10640" s="5"/>
    </row>
    <row r="10641" spans="1:26" ht="15" x14ac:dyDescent="0.25">
      <c r="A10641" s="4" t="s">
        <v>10638</v>
      </c>
      <c r="B10641" s="4" t="s">
        <v>9011</v>
      </c>
      <c r="C10641" s="2" t="str">
        <f ca="1">IFERROR(__xludf.DUMMYFUNCTION("GOOGLETRANSLATE(A10641,""bn"",""en"")"),"I will list the package")</f>
        <v>I will list the package</v>
      </c>
      <c r="D10641" s="5"/>
      <c r="E10641" s="5"/>
      <c r="F10641" s="5"/>
      <c r="G10641" s="5"/>
      <c r="H10641" s="5"/>
      <c r="I10641" s="5"/>
      <c r="J10641" s="5"/>
      <c r="K10641" s="5"/>
      <c r="L10641" s="5"/>
      <c r="M10641" s="5"/>
      <c r="N10641" s="5"/>
      <c r="O10641" s="5"/>
      <c r="P10641" s="5"/>
      <c r="Q10641" s="5"/>
      <c r="R10641" s="5"/>
      <c r="S10641" s="5"/>
      <c r="T10641" s="5"/>
      <c r="U10641" s="5"/>
      <c r="V10641" s="5"/>
      <c r="W10641" s="5"/>
      <c r="X10641" s="5"/>
      <c r="Y10641" s="5"/>
      <c r="Z10641" s="5"/>
    </row>
    <row r="10642" spans="1:26" ht="15" x14ac:dyDescent="0.25">
      <c r="A10642" s="4" t="s">
        <v>10639</v>
      </c>
      <c r="B10642" s="4" t="s">
        <v>9011</v>
      </c>
      <c r="C10642" s="2" t="str">
        <f ca="1">IFERROR(__xludf.DUMMYFUNCTION("GOOGLETRANSLATE(A10642,""bn"",""en"")"),"I will skyride")</f>
        <v>I will skyride</v>
      </c>
      <c r="D10642" s="5"/>
      <c r="E10642" s="5"/>
      <c r="F10642" s="5"/>
      <c r="G10642" s="5"/>
      <c r="H10642" s="5"/>
      <c r="I10642" s="5"/>
      <c r="J10642" s="5"/>
      <c r="K10642" s="5"/>
      <c r="L10642" s="5"/>
      <c r="M10642" s="5"/>
      <c r="N10642" s="5"/>
      <c r="O10642" s="5"/>
      <c r="P10642" s="5"/>
      <c r="Q10642" s="5"/>
      <c r="R10642" s="5"/>
      <c r="S10642" s="5"/>
      <c r="T10642" s="5"/>
      <c r="U10642" s="5"/>
      <c r="V10642" s="5"/>
      <c r="W10642" s="5"/>
      <c r="X10642" s="5"/>
      <c r="Y10642" s="5"/>
      <c r="Z10642" s="5"/>
    </row>
    <row r="10643" spans="1:26" ht="15" x14ac:dyDescent="0.25">
      <c r="A10643" s="4" t="s">
        <v>10640</v>
      </c>
      <c r="B10643" s="4" t="s">
        <v>9011</v>
      </c>
      <c r="C10643" s="2" t="str">
        <f ca="1">IFERROR(__xludf.DUMMYFUNCTION("GOOGLETRANSLATE(A10643,""bn"",""en"")"),"You will eat roast")</f>
        <v>You will eat roast</v>
      </c>
      <c r="D10643" s="5"/>
      <c r="E10643" s="5"/>
      <c r="F10643" s="5"/>
      <c r="G10643" s="5"/>
      <c r="H10643" s="5"/>
      <c r="I10643" s="5"/>
      <c r="J10643" s="5"/>
      <c r="K10643" s="5"/>
      <c r="L10643" s="5"/>
      <c r="M10643" s="5"/>
      <c r="N10643" s="5"/>
      <c r="O10643" s="5"/>
      <c r="P10643" s="5"/>
      <c r="Q10643" s="5"/>
      <c r="R10643" s="5"/>
      <c r="S10643" s="5"/>
      <c r="T10643" s="5"/>
      <c r="U10643" s="5"/>
      <c r="V10643" s="5"/>
      <c r="W10643" s="5"/>
      <c r="X10643" s="5"/>
      <c r="Y10643" s="5"/>
      <c r="Z10643" s="5"/>
    </row>
    <row r="10644" spans="1:26" ht="15" x14ac:dyDescent="0.25">
      <c r="A10644" s="4" t="s">
        <v>10641</v>
      </c>
      <c r="B10644" s="4" t="s">
        <v>9011</v>
      </c>
      <c r="C10644" s="2" t="str">
        <f ca="1">IFERROR(__xludf.DUMMYFUNCTION("GOOGLETRANSLATE(A10644,""bn"",""en"")"),"The path will be discovery")</f>
        <v>The path will be discovery</v>
      </c>
      <c r="D10644" s="5"/>
      <c r="E10644" s="5"/>
      <c r="F10644" s="5"/>
      <c r="G10644" s="5"/>
      <c r="H10644" s="5"/>
      <c r="I10644" s="5"/>
      <c r="J10644" s="5"/>
      <c r="K10644" s="5"/>
      <c r="L10644" s="5"/>
      <c r="M10644" s="5"/>
      <c r="N10644" s="5"/>
      <c r="O10644" s="5"/>
      <c r="P10644" s="5"/>
      <c r="Q10644" s="5"/>
      <c r="R10644" s="5"/>
      <c r="S10644" s="5"/>
      <c r="T10644" s="5"/>
      <c r="U10644" s="5"/>
      <c r="V10644" s="5"/>
      <c r="W10644" s="5"/>
      <c r="X10644" s="5"/>
      <c r="Y10644" s="5"/>
      <c r="Z10644" s="5"/>
    </row>
    <row r="10645" spans="1:26" ht="15" x14ac:dyDescent="0.25">
      <c r="A10645" s="4" t="s">
        <v>10642</v>
      </c>
      <c r="B10645" s="4" t="s">
        <v>9011</v>
      </c>
      <c r="C10645" s="2" t="str">
        <f ca="1">IFERROR(__xludf.DUMMYFUNCTION("GOOGLETRANSLATE(A10645,""bn"",""en"")"),"I will use smart TV")</f>
        <v>I will use smart TV</v>
      </c>
      <c r="D10645" s="5"/>
      <c r="E10645" s="5"/>
      <c r="F10645" s="5"/>
      <c r="G10645" s="5"/>
      <c r="H10645" s="5"/>
      <c r="I10645" s="5"/>
      <c r="J10645" s="5"/>
      <c r="K10645" s="5"/>
      <c r="L10645" s="5"/>
      <c r="M10645" s="5"/>
      <c r="N10645" s="5"/>
      <c r="O10645" s="5"/>
      <c r="P10645" s="5"/>
      <c r="Q10645" s="5"/>
      <c r="R10645" s="5"/>
      <c r="S10645" s="5"/>
      <c r="T10645" s="5"/>
      <c r="U10645" s="5"/>
      <c r="V10645" s="5"/>
      <c r="W10645" s="5"/>
      <c r="X10645" s="5"/>
      <c r="Y10645" s="5"/>
      <c r="Z10645" s="5"/>
    </row>
    <row r="10646" spans="1:26" ht="15" x14ac:dyDescent="0.25">
      <c r="A10646" s="4" t="s">
        <v>10643</v>
      </c>
      <c r="B10646" s="4" t="s">
        <v>9011</v>
      </c>
      <c r="C10646" s="2" t="str">
        <f ca="1">IFERROR(__xludf.DUMMYFUNCTION("GOOGLETRANSLATE(A10646,""bn"",""en"")"),"I will buy a smart TV.")</f>
        <v>I will buy a smart TV.</v>
      </c>
      <c r="D10646" s="5"/>
      <c r="E10646" s="5"/>
      <c r="F10646" s="5"/>
      <c r="G10646" s="5"/>
      <c r="H10646" s="5"/>
      <c r="I10646" s="5"/>
      <c r="J10646" s="5"/>
      <c r="K10646" s="5"/>
      <c r="L10646" s="5"/>
      <c r="M10646" s="5"/>
      <c r="N10646" s="5"/>
      <c r="O10646" s="5"/>
      <c r="P10646" s="5"/>
      <c r="Q10646" s="5"/>
      <c r="R10646" s="5"/>
      <c r="S10646" s="5"/>
      <c r="T10646" s="5"/>
      <c r="U10646" s="5"/>
      <c r="V10646" s="5"/>
      <c r="W10646" s="5"/>
      <c r="X10646" s="5"/>
      <c r="Y10646" s="5"/>
      <c r="Z10646" s="5"/>
    </row>
    <row r="10647" spans="1:26" ht="15" x14ac:dyDescent="0.25">
      <c r="A10647" s="4" t="s">
        <v>10644</v>
      </c>
      <c r="B10647" s="4" t="s">
        <v>9011</v>
      </c>
      <c r="C10647" s="2" t="str">
        <f ca="1">IFERROR(__xludf.DUMMYFUNCTION("GOOGLETRANSLATE(A10647,""bn"",""en"")"),"Goalkeeper will be selected")</f>
        <v>Goalkeeper will be selected</v>
      </c>
      <c r="D10647" s="5"/>
      <c r="E10647" s="5"/>
      <c r="F10647" s="5"/>
      <c r="G10647" s="5"/>
      <c r="H10647" s="5"/>
      <c r="I10647" s="5"/>
      <c r="J10647" s="5"/>
      <c r="K10647" s="5"/>
      <c r="L10647" s="5"/>
      <c r="M10647" s="5"/>
      <c r="N10647" s="5"/>
      <c r="O10647" s="5"/>
      <c r="P10647" s="5"/>
      <c r="Q10647" s="5"/>
      <c r="R10647" s="5"/>
      <c r="S10647" s="5"/>
      <c r="T10647" s="5"/>
      <c r="U10647" s="5"/>
      <c r="V10647" s="5"/>
      <c r="W10647" s="5"/>
      <c r="X10647" s="5"/>
      <c r="Y10647" s="5"/>
      <c r="Z10647" s="5"/>
    </row>
    <row r="10648" spans="1:26" ht="15" x14ac:dyDescent="0.25">
      <c r="A10648" s="4" t="s">
        <v>10645</v>
      </c>
      <c r="B10648" s="4" t="s">
        <v>9011</v>
      </c>
      <c r="C10648" s="2" t="str">
        <f ca="1">IFERROR(__xludf.DUMMYFUNCTION("GOOGLETRANSLATE(A10648,""bn"",""en"")"),"Will continue to suffer")</f>
        <v>Will continue to suffer</v>
      </c>
      <c r="D10648" s="5"/>
      <c r="E10648" s="5"/>
      <c r="F10648" s="5"/>
      <c r="G10648" s="5"/>
      <c r="H10648" s="5"/>
      <c r="I10648" s="5"/>
      <c r="J10648" s="5"/>
      <c r="K10648" s="5"/>
      <c r="L10648" s="5"/>
      <c r="M10648" s="5"/>
      <c r="N10648" s="5"/>
      <c r="O10648" s="5"/>
      <c r="P10648" s="5"/>
      <c r="Q10648" s="5"/>
      <c r="R10648" s="5"/>
      <c r="S10648" s="5"/>
      <c r="T10648" s="5"/>
      <c r="U10648" s="5"/>
      <c r="V10648" s="5"/>
      <c r="W10648" s="5"/>
      <c r="X10648" s="5"/>
      <c r="Y10648" s="5"/>
      <c r="Z10648" s="5"/>
    </row>
    <row r="10649" spans="1:26" ht="15" x14ac:dyDescent="0.25">
      <c r="A10649" s="4" t="s">
        <v>10646</v>
      </c>
      <c r="B10649" s="4" t="s">
        <v>9011</v>
      </c>
      <c r="C10649" s="2" t="str">
        <f ca="1">IFERROR(__xludf.DUMMYFUNCTION("GOOGLETRANSLATE(A10649,""bn"",""en"")"),"Looking for a good friend")</f>
        <v>Looking for a good friend</v>
      </c>
      <c r="D10649" s="5"/>
      <c r="E10649" s="5"/>
      <c r="F10649" s="5"/>
      <c r="G10649" s="5"/>
      <c r="H10649" s="5"/>
      <c r="I10649" s="5"/>
      <c r="J10649" s="5"/>
      <c r="K10649" s="5"/>
      <c r="L10649" s="5"/>
      <c r="M10649" s="5"/>
      <c r="N10649" s="5"/>
      <c r="O10649" s="5"/>
      <c r="P10649" s="5"/>
      <c r="Q10649" s="5"/>
      <c r="R10649" s="5"/>
      <c r="S10649" s="5"/>
      <c r="T10649" s="5"/>
      <c r="U10649" s="5"/>
      <c r="V10649" s="5"/>
      <c r="W10649" s="5"/>
      <c r="X10649" s="5"/>
      <c r="Y10649" s="5"/>
      <c r="Z10649" s="5"/>
    </row>
    <row r="10650" spans="1:26" ht="15" x14ac:dyDescent="0.25">
      <c r="A10650" s="4" t="s">
        <v>10647</v>
      </c>
      <c r="B10650" s="4" t="s">
        <v>9011</v>
      </c>
      <c r="C10650" s="2" t="str">
        <f ca="1">IFERROR(__xludf.DUMMYFUNCTION("GOOGLETRANSLATE(A10650,""bn"",""en"")"),"Developer will design")</f>
        <v>Developer will design</v>
      </c>
      <c r="D10650" s="5"/>
      <c r="E10650" s="5"/>
      <c r="F10650" s="5"/>
      <c r="G10650" s="5"/>
      <c r="H10650" s="5"/>
      <c r="I10650" s="5"/>
      <c r="J10650" s="5"/>
      <c r="K10650" s="5"/>
      <c r="L10650" s="5"/>
      <c r="M10650" s="5"/>
      <c r="N10650" s="5"/>
      <c r="O10650" s="5"/>
      <c r="P10650" s="5"/>
      <c r="Q10650" s="5"/>
      <c r="R10650" s="5"/>
      <c r="S10650" s="5"/>
      <c r="T10650" s="5"/>
      <c r="U10650" s="5"/>
      <c r="V10650" s="5"/>
      <c r="W10650" s="5"/>
      <c r="X10650" s="5"/>
      <c r="Y10650" s="5"/>
      <c r="Z10650" s="5"/>
    </row>
    <row r="10651" spans="1:26" ht="15" x14ac:dyDescent="0.25">
      <c r="A10651" s="4" t="s">
        <v>10648</v>
      </c>
      <c r="B10651" s="4" t="s">
        <v>9011</v>
      </c>
      <c r="C10651" s="2" t="str">
        <f ca="1">IFERROR(__xludf.DUMMYFUNCTION("GOOGLETRANSLATE(A10651,""bn"",""en"")"),"The player will score")</f>
        <v>The player will score</v>
      </c>
      <c r="D10651" s="5"/>
      <c r="E10651" s="5"/>
      <c r="F10651" s="5"/>
      <c r="G10651" s="5"/>
      <c r="H10651" s="5"/>
      <c r="I10651" s="5"/>
      <c r="J10651" s="5"/>
      <c r="K10651" s="5"/>
      <c r="L10651" s="5"/>
      <c r="M10651" s="5"/>
      <c r="N10651" s="5"/>
      <c r="O10651" s="5"/>
      <c r="P10651" s="5"/>
      <c r="Q10651" s="5"/>
      <c r="R10651" s="5"/>
      <c r="S10651" s="5"/>
      <c r="T10651" s="5"/>
      <c r="U10651" s="5"/>
      <c r="V10651" s="5"/>
      <c r="W10651" s="5"/>
      <c r="X10651" s="5"/>
      <c r="Y10651" s="5"/>
      <c r="Z10651" s="5"/>
    </row>
    <row r="10652" spans="1:26" ht="15" x14ac:dyDescent="0.25">
      <c r="A10652" s="4" t="s">
        <v>10649</v>
      </c>
      <c r="B10652" s="4" t="s">
        <v>9011</v>
      </c>
      <c r="C10652" s="2" t="str">
        <f ca="1">IFERROR(__xludf.DUMMYFUNCTION("GOOGLETRANSLATE(A10652,""bn"",""en"")"),"I will do the course online")</f>
        <v>I will do the course online</v>
      </c>
      <c r="D10652" s="5"/>
      <c r="E10652" s="5"/>
      <c r="F10652" s="5"/>
      <c r="G10652" s="5"/>
      <c r="H10652" s="5"/>
      <c r="I10652" s="5"/>
      <c r="J10652" s="5"/>
      <c r="K10652" s="5"/>
      <c r="L10652" s="5"/>
      <c r="M10652" s="5"/>
      <c r="N10652" s="5"/>
      <c r="O10652" s="5"/>
      <c r="P10652" s="5"/>
      <c r="Q10652" s="5"/>
      <c r="R10652" s="5"/>
      <c r="S10652" s="5"/>
      <c r="T10652" s="5"/>
      <c r="U10652" s="5"/>
      <c r="V10652" s="5"/>
      <c r="W10652" s="5"/>
      <c r="X10652" s="5"/>
      <c r="Y10652" s="5"/>
      <c r="Z10652" s="5"/>
    </row>
    <row r="10653" spans="1:26" ht="15" x14ac:dyDescent="0.25">
      <c r="A10653" s="4" t="s">
        <v>10650</v>
      </c>
      <c r="B10653" s="4" t="s">
        <v>9011</v>
      </c>
      <c r="C10653" s="2" t="str">
        <f ca="1">IFERROR(__xludf.DUMMYFUNCTION("GOOGLETRANSLATE(A10653,""bn"",""en"")"),"I will use the internet")</f>
        <v>I will use the internet</v>
      </c>
      <c r="D10653" s="5"/>
      <c r="E10653" s="5"/>
      <c r="F10653" s="5"/>
      <c r="G10653" s="5"/>
      <c r="H10653" s="5"/>
      <c r="I10653" s="5"/>
      <c r="J10653" s="5"/>
      <c r="K10653" s="5"/>
      <c r="L10653" s="5"/>
      <c r="M10653" s="5"/>
      <c r="N10653" s="5"/>
      <c r="O10653" s="5"/>
      <c r="P10653" s="5"/>
      <c r="Q10653" s="5"/>
      <c r="R10653" s="5"/>
      <c r="S10653" s="5"/>
      <c r="T10653" s="5"/>
      <c r="U10653" s="5"/>
      <c r="V10653" s="5"/>
      <c r="W10653" s="5"/>
      <c r="X10653" s="5"/>
      <c r="Y10653" s="5"/>
      <c r="Z10653" s="5"/>
    </row>
    <row r="10654" spans="1:26" ht="15" x14ac:dyDescent="0.25">
      <c r="A10654" s="4" t="s">
        <v>10651</v>
      </c>
      <c r="B10654" s="4" t="s">
        <v>9011</v>
      </c>
      <c r="C10654" s="2" t="str">
        <f ca="1">IFERROR(__xludf.DUMMYFUNCTION("GOOGLETRANSLATE(A10654,""bn"",""en"")"),"I will use ROM")</f>
        <v>I will use ROM</v>
      </c>
      <c r="D10654" s="5"/>
      <c r="E10654" s="5"/>
      <c r="F10654" s="5"/>
      <c r="G10654" s="5"/>
      <c r="H10654" s="5"/>
      <c r="I10654" s="5"/>
      <c r="J10654" s="5"/>
      <c r="K10654" s="5"/>
      <c r="L10654" s="5"/>
      <c r="M10654" s="5"/>
      <c r="N10654" s="5"/>
      <c r="O10654" s="5"/>
      <c r="P10654" s="5"/>
      <c r="Q10654" s="5"/>
      <c r="R10654" s="5"/>
      <c r="S10654" s="5"/>
      <c r="T10654" s="5"/>
      <c r="U10654" s="5"/>
      <c r="V10654" s="5"/>
      <c r="W10654" s="5"/>
      <c r="X10654" s="5"/>
      <c r="Y10654" s="5"/>
      <c r="Z10654" s="5"/>
    </row>
    <row r="10655" spans="1:26" ht="15" x14ac:dyDescent="0.25">
      <c r="A10655" s="4" t="s">
        <v>10652</v>
      </c>
      <c r="B10655" s="4" t="s">
        <v>9011</v>
      </c>
      <c r="C10655" s="2" t="str">
        <f ca="1">IFERROR(__xludf.DUMMYFUNCTION("GOOGLETRANSLATE(A10655,""bn"",""en"")"),"Don't get addicted online")</f>
        <v>Don't get addicted online</v>
      </c>
      <c r="D10655" s="5"/>
      <c r="E10655" s="5"/>
      <c r="F10655" s="5"/>
      <c r="G10655" s="5"/>
      <c r="H10655" s="5"/>
      <c r="I10655" s="5"/>
      <c r="J10655" s="5"/>
      <c r="K10655" s="5"/>
      <c r="L10655" s="5"/>
      <c r="M10655" s="5"/>
      <c r="N10655" s="5"/>
      <c r="O10655" s="5"/>
      <c r="P10655" s="5"/>
      <c r="Q10655" s="5"/>
      <c r="R10655" s="5"/>
      <c r="S10655" s="5"/>
      <c r="T10655" s="5"/>
      <c r="U10655" s="5"/>
      <c r="V10655" s="5"/>
      <c r="W10655" s="5"/>
      <c r="X10655" s="5"/>
      <c r="Y10655" s="5"/>
      <c r="Z10655" s="5"/>
    </row>
    <row r="10656" spans="1:26" ht="15" x14ac:dyDescent="0.25">
      <c r="A10656" s="4" t="s">
        <v>10653</v>
      </c>
      <c r="B10656" s="4" t="s">
        <v>9011</v>
      </c>
      <c r="C10656" s="2" t="str">
        <f ca="1">IFERROR(__xludf.DUMMYFUNCTION("GOOGLETRANSLATE(A10656,""bn"",""en"")"),"I will go to buy fish")</f>
        <v>I will go to buy fish</v>
      </c>
      <c r="D10656" s="5"/>
      <c r="E10656" s="5"/>
      <c r="F10656" s="5"/>
      <c r="G10656" s="5"/>
      <c r="H10656" s="5"/>
      <c r="I10656" s="5"/>
      <c r="J10656" s="5"/>
      <c r="K10656" s="5"/>
      <c r="L10656" s="5"/>
      <c r="M10656" s="5"/>
      <c r="N10656" s="5"/>
      <c r="O10656" s="5"/>
      <c r="P10656" s="5"/>
      <c r="Q10656" s="5"/>
      <c r="R10656" s="5"/>
      <c r="S10656" s="5"/>
      <c r="T10656" s="5"/>
      <c r="U10656" s="5"/>
      <c r="V10656" s="5"/>
      <c r="W10656" s="5"/>
      <c r="X10656" s="5"/>
      <c r="Y10656" s="5"/>
      <c r="Z10656" s="5"/>
    </row>
    <row r="10657" spans="1:26" ht="15" x14ac:dyDescent="0.25">
      <c r="A10657" s="4" t="s">
        <v>10654</v>
      </c>
      <c r="B10657" s="4" t="s">
        <v>9011</v>
      </c>
      <c r="C10657" s="2" t="str">
        <f ca="1">IFERROR(__xludf.DUMMYFUNCTION("GOOGLETRANSLATE(A10657,""bn"",""en"")"),"I will do politics")</f>
        <v>I will do politics</v>
      </c>
      <c r="D10657" s="5"/>
      <c r="E10657" s="5"/>
      <c r="F10657" s="5"/>
      <c r="G10657" s="5"/>
      <c r="H10657" s="5"/>
      <c r="I10657" s="5"/>
      <c r="J10657" s="5"/>
      <c r="K10657" s="5"/>
      <c r="L10657" s="5"/>
      <c r="M10657" s="5"/>
      <c r="N10657" s="5"/>
      <c r="O10657" s="5"/>
      <c r="P10657" s="5"/>
      <c r="Q10657" s="5"/>
      <c r="R10657" s="5"/>
      <c r="S10657" s="5"/>
      <c r="T10657" s="5"/>
      <c r="U10657" s="5"/>
      <c r="V10657" s="5"/>
      <c r="W10657" s="5"/>
      <c r="X10657" s="5"/>
      <c r="Y10657" s="5"/>
      <c r="Z10657" s="5"/>
    </row>
    <row r="10658" spans="1:26" ht="15" x14ac:dyDescent="0.25">
      <c r="A10658" s="4" t="s">
        <v>10655</v>
      </c>
      <c r="B10658" s="4" t="s">
        <v>9011</v>
      </c>
      <c r="C10658" s="2" t="str">
        <f ca="1">IFERROR(__xludf.DUMMYFUNCTION("GOOGLETRANSLATE(A10658,""bn"",""en"")"),"will be popular")</f>
        <v>will be popular</v>
      </c>
      <c r="D10658" s="5"/>
      <c r="E10658" s="5"/>
      <c r="F10658" s="5"/>
      <c r="G10658" s="5"/>
      <c r="H10658" s="5"/>
      <c r="I10658" s="5"/>
      <c r="J10658" s="5"/>
      <c r="K10658" s="5"/>
      <c r="L10658" s="5"/>
      <c r="M10658" s="5"/>
      <c r="N10658" s="5"/>
      <c r="O10658" s="5"/>
      <c r="P10658" s="5"/>
      <c r="Q10658" s="5"/>
      <c r="R10658" s="5"/>
      <c r="S10658" s="5"/>
      <c r="T10658" s="5"/>
      <c r="U10658" s="5"/>
      <c r="V10658" s="5"/>
      <c r="W10658" s="5"/>
      <c r="X10658" s="5"/>
      <c r="Y10658" s="5"/>
      <c r="Z10658" s="5"/>
    </row>
    <row r="10659" spans="1:26" ht="15" x14ac:dyDescent="0.25">
      <c r="A10659" s="4" t="s">
        <v>10656</v>
      </c>
      <c r="B10659" s="4" t="s">
        <v>9011</v>
      </c>
      <c r="C10659" s="2" t="str">
        <f ca="1">IFERROR(__xludf.DUMMYFUNCTION("GOOGLETRANSLATE(A10659,""bn"",""en"")"),"He will play tennis")</f>
        <v>He will play tennis</v>
      </c>
      <c r="D10659" s="5"/>
      <c r="E10659" s="5"/>
      <c r="F10659" s="5"/>
      <c r="G10659" s="5"/>
      <c r="H10659" s="5"/>
      <c r="I10659" s="5"/>
      <c r="J10659" s="5"/>
      <c r="K10659" s="5"/>
      <c r="L10659" s="5"/>
      <c r="M10659" s="5"/>
      <c r="N10659" s="5"/>
      <c r="O10659" s="5"/>
      <c r="P10659" s="5"/>
      <c r="Q10659" s="5"/>
      <c r="R10659" s="5"/>
      <c r="S10659" s="5"/>
      <c r="T10659" s="5"/>
      <c r="U10659" s="5"/>
      <c r="V10659" s="5"/>
      <c r="W10659" s="5"/>
      <c r="X10659" s="5"/>
      <c r="Y10659" s="5"/>
      <c r="Z10659" s="5"/>
    </row>
    <row r="10660" spans="1:26" ht="15" x14ac:dyDescent="0.25">
      <c r="A10660" s="4" t="s">
        <v>10657</v>
      </c>
      <c r="B10660" s="4" t="s">
        <v>9011</v>
      </c>
      <c r="C10660" s="2" t="str">
        <f ca="1">IFERROR(__xludf.DUMMYFUNCTION("GOOGLETRANSLATE(A10660,""bn"",""en"")"),"I will continue to spread the fragrance")</f>
        <v>I will continue to spread the fragrance</v>
      </c>
      <c r="D10660" s="5"/>
      <c r="E10660" s="5"/>
      <c r="F10660" s="5"/>
      <c r="G10660" s="5"/>
      <c r="H10660" s="5"/>
      <c r="I10660" s="5"/>
      <c r="J10660" s="5"/>
      <c r="K10660" s="5"/>
      <c r="L10660" s="5"/>
      <c r="M10660" s="5"/>
      <c r="N10660" s="5"/>
      <c r="O10660" s="5"/>
      <c r="P10660" s="5"/>
      <c r="Q10660" s="5"/>
      <c r="R10660" s="5"/>
      <c r="S10660" s="5"/>
      <c r="T10660" s="5"/>
      <c r="U10660" s="5"/>
      <c r="V10660" s="5"/>
      <c r="W10660" s="5"/>
      <c r="X10660" s="5"/>
      <c r="Y10660" s="5"/>
      <c r="Z10660" s="5"/>
    </row>
    <row r="10661" spans="1:26" ht="15" x14ac:dyDescent="0.25">
      <c r="A10661" s="4" t="s">
        <v>10658</v>
      </c>
      <c r="B10661" s="4" t="s">
        <v>9011</v>
      </c>
      <c r="C10661" s="2" t="str">
        <f ca="1">IFERROR(__xludf.DUMMYFUNCTION("GOOGLETRANSLATE(A10661,""bn"",""en"")"),"The application will launch")</f>
        <v>The application will launch</v>
      </c>
      <c r="D10661" s="5"/>
      <c r="E10661" s="5"/>
      <c r="F10661" s="5"/>
      <c r="G10661" s="5"/>
      <c r="H10661" s="5"/>
      <c r="I10661" s="5"/>
      <c r="J10661" s="5"/>
      <c r="K10661" s="5"/>
      <c r="L10661" s="5"/>
      <c r="M10661" s="5"/>
      <c r="N10661" s="5"/>
      <c r="O10661" s="5"/>
      <c r="P10661" s="5"/>
      <c r="Q10661" s="5"/>
      <c r="R10661" s="5"/>
      <c r="S10661" s="5"/>
      <c r="T10661" s="5"/>
      <c r="U10661" s="5"/>
      <c r="V10661" s="5"/>
      <c r="W10661" s="5"/>
      <c r="X10661" s="5"/>
      <c r="Y10661" s="5"/>
      <c r="Z10661" s="5"/>
    </row>
    <row r="10662" spans="1:26" ht="15" x14ac:dyDescent="0.25">
      <c r="A10662" s="4" t="s">
        <v>10659</v>
      </c>
      <c r="B10662" s="4" t="s">
        <v>9011</v>
      </c>
      <c r="C10662" s="2" t="str">
        <f ca="1">IFERROR(__xludf.DUMMYFUNCTION("GOOGLETRANSLATE(A10662,""bn"",""en"")"),"I will buy mobile")</f>
        <v>I will buy mobile</v>
      </c>
      <c r="D10662" s="5"/>
      <c r="E10662" s="5"/>
      <c r="F10662" s="5"/>
      <c r="G10662" s="5"/>
      <c r="H10662" s="5"/>
      <c r="I10662" s="5"/>
      <c r="J10662" s="5"/>
      <c r="K10662" s="5"/>
      <c r="L10662" s="5"/>
      <c r="M10662" s="5"/>
      <c r="N10662" s="5"/>
      <c r="O10662" s="5"/>
      <c r="P10662" s="5"/>
      <c r="Q10662" s="5"/>
      <c r="R10662" s="5"/>
      <c r="S10662" s="5"/>
      <c r="T10662" s="5"/>
      <c r="U10662" s="5"/>
      <c r="V10662" s="5"/>
      <c r="W10662" s="5"/>
      <c r="X10662" s="5"/>
      <c r="Y10662" s="5"/>
      <c r="Z10662" s="5"/>
    </row>
    <row r="10663" spans="1:26" ht="15" x14ac:dyDescent="0.25">
      <c r="A10663" s="4" t="s">
        <v>10660</v>
      </c>
      <c r="B10663" s="4" t="s">
        <v>9011</v>
      </c>
      <c r="C10663" s="2" t="str">
        <f ca="1">IFERROR(__xludf.DUMMYFUNCTION("GOOGLETRANSLATE(A10663,""bn"",""en"")"),"The protocol will increase")</f>
        <v>The protocol will increase</v>
      </c>
      <c r="D10663" s="5"/>
      <c r="E10663" s="5"/>
      <c r="F10663" s="5"/>
      <c r="G10663" s="5"/>
      <c r="H10663" s="5"/>
      <c r="I10663" s="5"/>
      <c r="J10663" s="5"/>
      <c r="K10663" s="5"/>
      <c r="L10663" s="5"/>
      <c r="M10663" s="5"/>
      <c r="N10663" s="5"/>
      <c r="O10663" s="5"/>
      <c r="P10663" s="5"/>
      <c r="Q10663" s="5"/>
      <c r="R10663" s="5"/>
      <c r="S10663" s="5"/>
      <c r="T10663" s="5"/>
      <c r="U10663" s="5"/>
      <c r="V10663" s="5"/>
      <c r="W10663" s="5"/>
      <c r="X10663" s="5"/>
      <c r="Y10663" s="5"/>
      <c r="Z10663" s="5"/>
    </row>
    <row r="10664" spans="1:26" ht="15" x14ac:dyDescent="0.25">
      <c r="A10664" s="4" t="s">
        <v>10661</v>
      </c>
      <c r="B10664" s="4" t="s">
        <v>9011</v>
      </c>
      <c r="C10664" s="2" t="str">
        <f ca="1">IFERROR(__xludf.DUMMYFUNCTION("GOOGLETRANSLATE(A10664,""bn"",""en"")"),"will be looking for")</f>
        <v>will be looking for</v>
      </c>
      <c r="D10664" s="5"/>
      <c r="E10664" s="5"/>
      <c r="F10664" s="5"/>
      <c r="G10664" s="5"/>
      <c r="H10664" s="5"/>
      <c r="I10664" s="5"/>
      <c r="J10664" s="5"/>
      <c r="K10664" s="5"/>
      <c r="L10664" s="5"/>
      <c r="M10664" s="5"/>
      <c r="N10664" s="5"/>
      <c r="O10664" s="5"/>
      <c r="P10664" s="5"/>
      <c r="Q10664" s="5"/>
      <c r="R10664" s="5"/>
      <c r="S10664" s="5"/>
      <c r="T10664" s="5"/>
      <c r="U10664" s="5"/>
      <c r="V10664" s="5"/>
      <c r="W10664" s="5"/>
      <c r="X10664" s="5"/>
      <c r="Y10664" s="5"/>
      <c r="Z10664" s="5"/>
    </row>
    <row r="10665" spans="1:26" ht="15" x14ac:dyDescent="0.25">
      <c r="A10665" s="4" t="s">
        <v>10662</v>
      </c>
      <c r="B10665" s="4" t="s">
        <v>9011</v>
      </c>
      <c r="C10665" s="2" t="str">
        <f ca="1">IFERROR(__xludf.DUMMYFUNCTION("GOOGLETRANSLATE(A10665,""bn"",""en"")"),"Will continue to operate")</f>
        <v>Will continue to operate</v>
      </c>
      <c r="D10665" s="5"/>
      <c r="E10665" s="5"/>
      <c r="F10665" s="5"/>
      <c r="G10665" s="5"/>
      <c r="H10665" s="5"/>
      <c r="I10665" s="5"/>
      <c r="J10665" s="5"/>
      <c r="K10665" s="5"/>
      <c r="L10665" s="5"/>
      <c r="M10665" s="5"/>
      <c r="N10665" s="5"/>
      <c r="O10665" s="5"/>
      <c r="P10665" s="5"/>
      <c r="Q10665" s="5"/>
      <c r="R10665" s="5"/>
      <c r="S10665" s="5"/>
      <c r="T10665" s="5"/>
      <c r="U10665" s="5"/>
      <c r="V10665" s="5"/>
      <c r="W10665" s="5"/>
      <c r="X10665" s="5"/>
      <c r="Y10665" s="5"/>
      <c r="Z10665" s="5"/>
    </row>
    <row r="10666" spans="1:26" ht="15" x14ac:dyDescent="0.25">
      <c r="A10666" s="4" t="s">
        <v>10663</v>
      </c>
      <c r="B10666" s="4" t="s">
        <v>9011</v>
      </c>
      <c r="C10666" s="2" t="str">
        <f ca="1">IFERROR(__xludf.DUMMYFUNCTION("GOOGLETRANSLATE(A10666,""bn"",""en"")"),"I will read the book")</f>
        <v>I will read the book</v>
      </c>
      <c r="D10666" s="5"/>
      <c r="E10666" s="5"/>
      <c r="F10666" s="5"/>
      <c r="G10666" s="5"/>
      <c r="H10666" s="5"/>
      <c r="I10666" s="5"/>
      <c r="J10666" s="5"/>
      <c r="K10666" s="5"/>
      <c r="L10666" s="5"/>
      <c r="M10666" s="5"/>
      <c r="N10666" s="5"/>
      <c r="O10666" s="5"/>
      <c r="P10666" s="5"/>
      <c r="Q10666" s="5"/>
      <c r="R10666" s="5"/>
      <c r="S10666" s="5"/>
      <c r="T10666" s="5"/>
      <c r="U10666" s="5"/>
      <c r="V10666" s="5"/>
      <c r="W10666" s="5"/>
      <c r="X10666" s="5"/>
      <c r="Y10666" s="5"/>
      <c r="Z10666" s="5"/>
    </row>
    <row r="10667" spans="1:26" ht="15" x14ac:dyDescent="0.25">
      <c r="A10667" s="4" t="s">
        <v>10664</v>
      </c>
      <c r="B10667" s="4" t="s">
        <v>9011</v>
      </c>
      <c r="C10667" s="2" t="str">
        <f ca="1">IFERROR(__xludf.DUMMYFUNCTION("GOOGLETRANSLATE(A10667,""bn"",""en"")"),"I will send money to the account")</f>
        <v>I will send money to the account</v>
      </c>
      <c r="D10667" s="5"/>
      <c r="E10667" s="5"/>
      <c r="F10667" s="5"/>
      <c r="G10667" s="5"/>
      <c r="H10667" s="5"/>
      <c r="I10667" s="5"/>
      <c r="J10667" s="5"/>
      <c r="K10667" s="5"/>
      <c r="L10667" s="5"/>
      <c r="M10667" s="5"/>
      <c r="N10667" s="5"/>
      <c r="O10667" s="5"/>
      <c r="P10667" s="5"/>
      <c r="Q10667" s="5"/>
      <c r="R10667" s="5"/>
      <c r="S10667" s="5"/>
      <c r="T10667" s="5"/>
      <c r="U10667" s="5"/>
      <c r="V10667" s="5"/>
      <c r="W10667" s="5"/>
      <c r="X10667" s="5"/>
      <c r="Y10667" s="5"/>
      <c r="Z10667" s="5"/>
    </row>
    <row r="10668" spans="1:26" ht="15" x14ac:dyDescent="0.25">
      <c r="A10668" s="4" t="s">
        <v>10665</v>
      </c>
      <c r="B10668" s="4" t="s">
        <v>9011</v>
      </c>
      <c r="C10668" s="2" t="str">
        <f ca="1">IFERROR(__xludf.DUMMYFUNCTION("GOOGLETRANSLATE(A10668,""bn"",""en"")"),"Will provide banking services")</f>
        <v>Will provide banking services</v>
      </c>
      <c r="D10668" s="5"/>
      <c r="E10668" s="5"/>
      <c r="F10668" s="5"/>
      <c r="G10668" s="5"/>
      <c r="H10668" s="5"/>
      <c r="I10668" s="5"/>
      <c r="J10668" s="5"/>
      <c r="K10668" s="5"/>
      <c r="L10668" s="5"/>
      <c r="M10668" s="5"/>
      <c r="N10668" s="5"/>
      <c r="O10668" s="5"/>
      <c r="P10668" s="5"/>
      <c r="Q10668" s="5"/>
      <c r="R10668" s="5"/>
      <c r="S10668" s="5"/>
      <c r="T10668" s="5"/>
      <c r="U10668" s="5"/>
      <c r="V10668" s="5"/>
      <c r="W10668" s="5"/>
      <c r="X10668" s="5"/>
      <c r="Y10668" s="5"/>
      <c r="Z10668" s="5"/>
    </row>
    <row r="10669" spans="1:26" ht="15" x14ac:dyDescent="0.25">
      <c r="A10669" s="4" t="s">
        <v>10666</v>
      </c>
      <c r="B10669" s="4" t="s">
        <v>9011</v>
      </c>
      <c r="C10669" s="2" t="str">
        <f ca="1">IFERROR(__xludf.DUMMYFUNCTION("GOOGLETRANSLATE(A10669,""bn"",""en"")"),"Will continue to provide energy")</f>
        <v>Will continue to provide energy</v>
      </c>
      <c r="D10669" s="5"/>
      <c r="E10669" s="5"/>
      <c r="F10669" s="5"/>
      <c r="G10669" s="5"/>
      <c r="H10669" s="5"/>
      <c r="I10669" s="5"/>
      <c r="J10669" s="5"/>
      <c r="K10669" s="5"/>
      <c r="L10669" s="5"/>
      <c r="M10669" s="5"/>
      <c r="N10669" s="5"/>
      <c r="O10669" s="5"/>
      <c r="P10669" s="5"/>
      <c r="Q10669" s="5"/>
      <c r="R10669" s="5"/>
      <c r="S10669" s="5"/>
      <c r="T10669" s="5"/>
      <c r="U10669" s="5"/>
      <c r="V10669" s="5"/>
      <c r="W10669" s="5"/>
      <c r="X10669" s="5"/>
      <c r="Y10669" s="5"/>
      <c r="Z10669" s="5"/>
    </row>
    <row r="10670" spans="1:26" ht="15" x14ac:dyDescent="0.25">
      <c r="A10670" s="4" t="s">
        <v>10667</v>
      </c>
      <c r="B10670" s="4" t="s">
        <v>9011</v>
      </c>
      <c r="C10670" s="2" t="str">
        <f ca="1">IFERROR(__xludf.DUMMYFUNCTION("GOOGLETRANSLATE(A10670,""bn"",""en"")"),"I will do according to the passbook")</f>
        <v>I will do according to the passbook</v>
      </c>
      <c r="D10670" s="5"/>
      <c r="E10670" s="5"/>
      <c r="F10670" s="5"/>
      <c r="G10670" s="5"/>
      <c r="H10670" s="5"/>
      <c r="I10670" s="5"/>
      <c r="J10670" s="5"/>
      <c r="K10670" s="5"/>
      <c r="L10670" s="5"/>
      <c r="M10670" s="5"/>
      <c r="N10670" s="5"/>
      <c r="O10670" s="5"/>
      <c r="P10670" s="5"/>
      <c r="Q10670" s="5"/>
      <c r="R10670" s="5"/>
      <c r="S10670" s="5"/>
      <c r="T10670" s="5"/>
      <c r="U10670" s="5"/>
      <c r="V10670" s="5"/>
      <c r="W10670" s="5"/>
      <c r="X10670" s="5"/>
      <c r="Y10670" s="5"/>
      <c r="Z10670" s="5"/>
    </row>
    <row r="10671" spans="1:26" ht="15" x14ac:dyDescent="0.25">
      <c r="A10671" s="4" t="s">
        <v>10668</v>
      </c>
      <c r="B10671" s="4" t="s">
        <v>9011</v>
      </c>
      <c r="C10671" s="2" t="str">
        <f ca="1">IFERROR(__xludf.DUMMYFUNCTION("GOOGLETRANSLATE(A10671,""bn"",""en"")"),"I will use the iPad")</f>
        <v>I will use the iPad</v>
      </c>
      <c r="D10671" s="5"/>
      <c r="E10671" s="5"/>
      <c r="F10671" s="5"/>
      <c r="G10671" s="5"/>
      <c r="H10671" s="5"/>
      <c r="I10671" s="5"/>
      <c r="J10671" s="5"/>
      <c r="K10671" s="5"/>
      <c r="L10671" s="5"/>
      <c r="M10671" s="5"/>
      <c r="N10671" s="5"/>
      <c r="O10671" s="5"/>
      <c r="P10671" s="5"/>
      <c r="Q10671" s="5"/>
      <c r="R10671" s="5"/>
      <c r="S10671" s="5"/>
      <c r="T10671" s="5"/>
      <c r="U10671" s="5"/>
      <c r="V10671" s="5"/>
      <c r="W10671" s="5"/>
      <c r="X10671" s="5"/>
      <c r="Y10671" s="5"/>
      <c r="Z10671" s="5"/>
    </row>
    <row r="10672" spans="1:26" ht="15" x14ac:dyDescent="0.25">
      <c r="A10672" s="4" t="s">
        <v>10669</v>
      </c>
      <c r="B10672" s="4" t="s">
        <v>9011</v>
      </c>
      <c r="C10672" s="2" t="str">
        <f ca="1">IFERROR(__xludf.DUMMYFUNCTION("GOOGLETRANSLATE(A10672,""bn"",""en"")"),"Eat food on time")</f>
        <v>Eat food on time</v>
      </c>
      <c r="D10672" s="5"/>
      <c r="E10672" s="5"/>
      <c r="F10672" s="5"/>
      <c r="G10672" s="5"/>
      <c r="H10672" s="5"/>
      <c r="I10672" s="5"/>
      <c r="J10672" s="5"/>
      <c r="K10672" s="5"/>
      <c r="L10672" s="5"/>
      <c r="M10672" s="5"/>
      <c r="N10672" s="5"/>
      <c r="O10672" s="5"/>
      <c r="P10672" s="5"/>
      <c r="Q10672" s="5"/>
      <c r="R10672" s="5"/>
      <c r="S10672" s="5"/>
      <c r="T10672" s="5"/>
      <c r="U10672" s="5"/>
      <c r="V10672" s="5"/>
      <c r="W10672" s="5"/>
      <c r="X10672" s="5"/>
      <c r="Y10672" s="5"/>
      <c r="Z10672" s="5"/>
    </row>
    <row r="10673" spans="1:26" ht="15" x14ac:dyDescent="0.25">
      <c r="A10673" s="4" t="s">
        <v>10670</v>
      </c>
      <c r="B10673" s="4" t="s">
        <v>9011</v>
      </c>
      <c r="C10673" s="2" t="str">
        <f ca="1">IFERROR(__xludf.DUMMYFUNCTION("GOOGLETRANSLATE(A10673,""bn"",""en"")"),"Politics will be debated")</f>
        <v>Politics will be debated</v>
      </c>
      <c r="D10673" s="5"/>
      <c r="E10673" s="5"/>
      <c r="F10673" s="5"/>
      <c r="G10673" s="5"/>
      <c r="H10673" s="5"/>
      <c r="I10673" s="5"/>
      <c r="J10673" s="5"/>
      <c r="K10673" s="5"/>
      <c r="L10673" s="5"/>
      <c r="M10673" s="5"/>
      <c r="N10673" s="5"/>
      <c r="O10673" s="5"/>
      <c r="P10673" s="5"/>
      <c r="Q10673" s="5"/>
      <c r="R10673" s="5"/>
      <c r="S10673" s="5"/>
      <c r="T10673" s="5"/>
      <c r="U10673" s="5"/>
      <c r="V10673" s="5"/>
      <c r="W10673" s="5"/>
      <c r="X10673" s="5"/>
      <c r="Y10673" s="5"/>
      <c r="Z10673" s="5"/>
    </row>
    <row r="10674" spans="1:26" ht="15" x14ac:dyDescent="0.25">
      <c r="A10674" s="4" t="s">
        <v>10671</v>
      </c>
      <c r="B10674" s="4" t="s">
        <v>9011</v>
      </c>
      <c r="C10674" s="2" t="str">
        <f ca="1">IFERROR(__xludf.DUMMYFUNCTION("GOOGLETRANSLATE(A10674,""bn"",""en"")"),"There will be political debates")</f>
        <v>There will be political debates</v>
      </c>
      <c r="D10674" s="5"/>
      <c r="E10674" s="5"/>
      <c r="F10674" s="5"/>
      <c r="G10674" s="5"/>
      <c r="H10674" s="5"/>
      <c r="I10674" s="5"/>
      <c r="J10674" s="5"/>
      <c r="K10674" s="5"/>
      <c r="L10674" s="5"/>
      <c r="M10674" s="5"/>
      <c r="N10674" s="5"/>
      <c r="O10674" s="5"/>
      <c r="P10674" s="5"/>
      <c r="Q10674" s="5"/>
      <c r="R10674" s="5"/>
      <c r="S10674" s="5"/>
      <c r="T10674" s="5"/>
      <c r="U10674" s="5"/>
      <c r="V10674" s="5"/>
      <c r="W10674" s="5"/>
      <c r="X10674" s="5"/>
      <c r="Y10674" s="5"/>
      <c r="Z10674" s="5"/>
    </row>
    <row r="10675" spans="1:26" ht="15" x14ac:dyDescent="0.25">
      <c r="A10675" s="4" t="s">
        <v>10672</v>
      </c>
      <c r="B10675" s="4" t="s">
        <v>9011</v>
      </c>
      <c r="C10675" s="2" t="str">
        <f ca="1">IFERROR(__xludf.DUMMYFUNCTION("GOOGLETRANSLATE(A10675,""bn"",""en"")"),"There will be political debates")</f>
        <v>There will be political debates</v>
      </c>
      <c r="D10675" s="5"/>
      <c r="E10675" s="5"/>
      <c r="F10675" s="5"/>
      <c r="G10675" s="5"/>
      <c r="H10675" s="5"/>
      <c r="I10675" s="5"/>
      <c r="J10675" s="5"/>
      <c r="K10675" s="5"/>
      <c r="L10675" s="5"/>
      <c r="M10675" s="5"/>
      <c r="N10675" s="5"/>
      <c r="O10675" s="5"/>
      <c r="P10675" s="5"/>
      <c r="Q10675" s="5"/>
      <c r="R10675" s="5"/>
      <c r="S10675" s="5"/>
      <c r="T10675" s="5"/>
      <c r="U10675" s="5"/>
      <c r="V10675" s="5"/>
      <c r="W10675" s="5"/>
      <c r="X10675" s="5"/>
      <c r="Y10675" s="5"/>
      <c r="Z10675" s="5"/>
    </row>
    <row r="10676" spans="1:26" ht="15" x14ac:dyDescent="0.25">
      <c r="A10676" s="4" t="s">
        <v>10673</v>
      </c>
      <c r="B10676" s="4" t="s">
        <v>9011</v>
      </c>
      <c r="C10676" s="2" t="str">
        <f ca="1">IFERROR(__xludf.DUMMYFUNCTION("GOOGLETRANSLATE(A10676,""bn"",""en"")"),"I will participate in political debates")</f>
        <v>I will participate in political debates</v>
      </c>
      <c r="D10676" s="5"/>
      <c r="E10676" s="5"/>
      <c r="F10676" s="5"/>
      <c r="G10676" s="5"/>
      <c r="H10676" s="5"/>
      <c r="I10676" s="5"/>
      <c r="J10676" s="5"/>
      <c r="K10676" s="5"/>
      <c r="L10676" s="5"/>
      <c r="M10676" s="5"/>
      <c r="N10676" s="5"/>
      <c r="O10676" s="5"/>
      <c r="P10676" s="5"/>
      <c r="Q10676" s="5"/>
      <c r="R10676" s="5"/>
      <c r="S10676" s="5"/>
      <c r="T10676" s="5"/>
      <c r="U10676" s="5"/>
      <c r="V10676" s="5"/>
      <c r="W10676" s="5"/>
      <c r="X10676" s="5"/>
      <c r="Y10676" s="5"/>
      <c r="Z10676" s="5"/>
    </row>
    <row r="10677" spans="1:26" ht="15" x14ac:dyDescent="0.25">
      <c r="A10677" s="4" t="s">
        <v>10674</v>
      </c>
      <c r="B10677" s="4" t="s">
        <v>9011</v>
      </c>
      <c r="C10677" s="2" t="str">
        <f ca="1">IFERROR(__xludf.DUMMYFUNCTION("GOOGLETRANSLATE(A10677,""bn"",""en"")"),"The problem will be solved")</f>
        <v>The problem will be solved</v>
      </c>
      <c r="D10677" s="5"/>
      <c r="E10677" s="5"/>
      <c r="F10677" s="5"/>
      <c r="G10677" s="5"/>
      <c r="H10677" s="5"/>
      <c r="I10677" s="5"/>
      <c r="J10677" s="5"/>
      <c r="K10677" s="5"/>
      <c r="L10677" s="5"/>
      <c r="M10677" s="5"/>
      <c r="N10677" s="5"/>
      <c r="O10677" s="5"/>
      <c r="P10677" s="5"/>
      <c r="Q10677" s="5"/>
      <c r="R10677" s="5"/>
      <c r="S10677" s="5"/>
      <c r="T10677" s="5"/>
      <c r="U10677" s="5"/>
      <c r="V10677" s="5"/>
      <c r="W10677" s="5"/>
      <c r="X10677" s="5"/>
      <c r="Y10677" s="5"/>
      <c r="Z10677" s="5"/>
    </row>
    <row r="10678" spans="1:26" ht="15" x14ac:dyDescent="0.25">
      <c r="A10678" s="4" t="s">
        <v>10675</v>
      </c>
      <c r="B10678" s="4" t="s">
        <v>9011</v>
      </c>
      <c r="C10678" s="2" t="str">
        <f ca="1">IFERROR(__xludf.DUMMYFUNCTION("GOOGLETRANSLATE(A10678,""bn"",""en"")"),"I will design the website")</f>
        <v>I will design the website</v>
      </c>
      <c r="D10678" s="5"/>
      <c r="E10678" s="5"/>
      <c r="F10678" s="5"/>
      <c r="G10678" s="5"/>
      <c r="H10678" s="5"/>
      <c r="I10678" s="5"/>
      <c r="J10678" s="5"/>
      <c r="K10678" s="5"/>
      <c r="L10678" s="5"/>
      <c r="M10678" s="5"/>
      <c r="N10678" s="5"/>
      <c r="O10678" s="5"/>
      <c r="P10678" s="5"/>
      <c r="Q10678" s="5"/>
      <c r="R10678" s="5"/>
      <c r="S10678" s="5"/>
      <c r="T10678" s="5"/>
      <c r="U10678" s="5"/>
      <c r="V10678" s="5"/>
      <c r="W10678" s="5"/>
      <c r="X10678" s="5"/>
      <c r="Y10678" s="5"/>
      <c r="Z10678" s="5"/>
    </row>
    <row r="10679" spans="1:26" ht="15" x14ac:dyDescent="0.25">
      <c r="A10679" s="4" t="s">
        <v>10676</v>
      </c>
      <c r="B10679" s="4" t="s">
        <v>9011</v>
      </c>
      <c r="C10679" s="2" t="str">
        <f ca="1">IFERROR(__xludf.DUMMYFUNCTION("GOOGLETRANSLATE(A10679,""bn"",""en"")"),"I will work in cash")</f>
        <v>I will work in cash</v>
      </c>
      <c r="D10679" s="5"/>
      <c r="E10679" s="5"/>
      <c r="F10679" s="5"/>
      <c r="G10679" s="5"/>
      <c r="H10679" s="5"/>
      <c r="I10679" s="5"/>
      <c r="J10679" s="5"/>
      <c r="K10679" s="5"/>
      <c r="L10679" s="5"/>
      <c r="M10679" s="5"/>
      <c r="N10679" s="5"/>
      <c r="O10679" s="5"/>
      <c r="P10679" s="5"/>
      <c r="Q10679" s="5"/>
      <c r="R10679" s="5"/>
      <c r="S10679" s="5"/>
      <c r="T10679" s="5"/>
      <c r="U10679" s="5"/>
      <c r="V10679" s="5"/>
      <c r="W10679" s="5"/>
      <c r="X10679" s="5"/>
      <c r="Y10679" s="5"/>
      <c r="Z10679" s="5"/>
    </row>
    <row r="10680" spans="1:26" ht="15" x14ac:dyDescent="0.25">
      <c r="A10680" s="4" t="s">
        <v>10677</v>
      </c>
      <c r="B10680" s="4" t="s">
        <v>9011</v>
      </c>
      <c r="C10680" s="2" t="str">
        <f ca="1">IFERROR(__xludf.DUMMYFUNCTION("GOOGLETRANSLATE(A10680,""bn"",""en"")"),"I will continue to collect")</f>
        <v>I will continue to collect</v>
      </c>
      <c r="D10680" s="5"/>
      <c r="E10680" s="5"/>
      <c r="F10680" s="5"/>
      <c r="G10680" s="5"/>
      <c r="H10680" s="5"/>
      <c r="I10680" s="5"/>
      <c r="J10680" s="5"/>
      <c r="K10680" s="5"/>
      <c r="L10680" s="5"/>
      <c r="M10680" s="5"/>
      <c r="N10680" s="5"/>
      <c r="O10680" s="5"/>
      <c r="P10680" s="5"/>
      <c r="Q10680" s="5"/>
      <c r="R10680" s="5"/>
      <c r="S10680" s="5"/>
      <c r="T10680" s="5"/>
      <c r="U10680" s="5"/>
      <c r="V10680" s="5"/>
      <c r="W10680" s="5"/>
      <c r="X10680" s="5"/>
      <c r="Y10680" s="5"/>
      <c r="Z10680" s="5"/>
    </row>
    <row r="10681" spans="1:26" ht="15" x14ac:dyDescent="0.25">
      <c r="A10681" s="4" t="s">
        <v>10678</v>
      </c>
      <c r="B10681" s="4" t="s">
        <v>9011</v>
      </c>
      <c r="C10681" s="2" t="str">
        <f ca="1">IFERROR(__xludf.DUMMYFUNCTION("GOOGLETRANSLATE(A10681,""bn"",""en"")"),"I will go to buy gadgets")</f>
        <v>I will go to buy gadgets</v>
      </c>
      <c r="D10681" s="5"/>
      <c r="E10681" s="5"/>
      <c r="F10681" s="5"/>
      <c r="G10681" s="5"/>
      <c r="H10681" s="5"/>
      <c r="I10681" s="5"/>
      <c r="J10681" s="5"/>
      <c r="K10681" s="5"/>
      <c r="L10681" s="5"/>
      <c r="M10681" s="5"/>
      <c r="N10681" s="5"/>
      <c r="O10681" s="5"/>
      <c r="P10681" s="5"/>
      <c r="Q10681" s="5"/>
      <c r="R10681" s="5"/>
      <c r="S10681" s="5"/>
      <c r="T10681" s="5"/>
      <c r="U10681" s="5"/>
      <c r="V10681" s="5"/>
      <c r="W10681" s="5"/>
      <c r="X10681" s="5"/>
      <c r="Y10681" s="5"/>
      <c r="Z10681" s="5"/>
    </row>
    <row r="10682" spans="1:26" ht="15" x14ac:dyDescent="0.25">
      <c r="A10682" s="4" t="s">
        <v>10679</v>
      </c>
      <c r="B10682" s="4" t="s">
        <v>9011</v>
      </c>
      <c r="C10682" s="2" t="str">
        <f ca="1">IFERROR(__xludf.DUMMYFUNCTION("GOOGLETRANSLATE(A10682,""bn"",""en"")"),"The performance will begin")</f>
        <v>The performance will begin</v>
      </c>
      <c r="D10682" s="5"/>
      <c r="E10682" s="5"/>
      <c r="F10682" s="5"/>
      <c r="G10682" s="5"/>
      <c r="H10682" s="5"/>
      <c r="I10682" s="5"/>
      <c r="J10682" s="5"/>
      <c r="K10682" s="5"/>
      <c r="L10682" s="5"/>
      <c r="M10682" s="5"/>
      <c r="N10682" s="5"/>
      <c r="O10682" s="5"/>
      <c r="P10682" s="5"/>
      <c r="Q10682" s="5"/>
      <c r="R10682" s="5"/>
      <c r="S10682" s="5"/>
      <c r="T10682" s="5"/>
      <c r="U10682" s="5"/>
      <c r="V10682" s="5"/>
      <c r="W10682" s="5"/>
      <c r="X10682" s="5"/>
      <c r="Y10682" s="5"/>
      <c r="Z10682" s="5"/>
    </row>
    <row r="10683" spans="1:26" ht="15" x14ac:dyDescent="0.25">
      <c r="A10683" s="4" t="s">
        <v>10680</v>
      </c>
      <c r="B10683" s="4" t="s">
        <v>9011</v>
      </c>
      <c r="C10683" s="2" t="str">
        <f ca="1">IFERROR(__xludf.DUMMYFUNCTION("GOOGLETRANSLATE(A10683,""bn"",""en"")"),"Write email easily")</f>
        <v>Write email easily</v>
      </c>
      <c r="D10683" s="5"/>
      <c r="E10683" s="5"/>
      <c r="F10683" s="5"/>
      <c r="G10683" s="5"/>
      <c r="H10683" s="5"/>
      <c r="I10683" s="5"/>
      <c r="J10683" s="5"/>
      <c r="K10683" s="5"/>
      <c r="L10683" s="5"/>
      <c r="M10683" s="5"/>
      <c r="N10683" s="5"/>
      <c r="O10683" s="5"/>
      <c r="P10683" s="5"/>
      <c r="Q10683" s="5"/>
      <c r="R10683" s="5"/>
      <c r="S10683" s="5"/>
      <c r="T10683" s="5"/>
      <c r="U10683" s="5"/>
      <c r="V10683" s="5"/>
      <c r="W10683" s="5"/>
      <c r="X10683" s="5"/>
      <c r="Y10683" s="5"/>
      <c r="Z10683" s="5"/>
    </row>
    <row r="10684" spans="1:26" ht="15" x14ac:dyDescent="0.25">
      <c r="A10684" s="4" t="s">
        <v>10681</v>
      </c>
      <c r="B10684" s="4" t="s">
        <v>9011</v>
      </c>
      <c r="C10684" s="2" t="str">
        <f ca="1">IFERROR(__xludf.DUMMYFUNCTION("GOOGLETRANSLATE(A10684,""bn"",""en"")"),"Will keep looking")</f>
        <v>Will keep looking</v>
      </c>
      <c r="D10684" s="5"/>
      <c r="E10684" s="5"/>
      <c r="F10684" s="5"/>
      <c r="G10684" s="5"/>
      <c r="H10684" s="5"/>
      <c r="I10684" s="5"/>
      <c r="J10684" s="5"/>
      <c r="K10684" s="5"/>
      <c r="L10684" s="5"/>
      <c r="M10684" s="5"/>
      <c r="N10684" s="5"/>
      <c r="O10684" s="5"/>
      <c r="P10684" s="5"/>
      <c r="Q10684" s="5"/>
      <c r="R10684" s="5"/>
      <c r="S10684" s="5"/>
      <c r="T10684" s="5"/>
      <c r="U10684" s="5"/>
      <c r="V10684" s="5"/>
      <c r="W10684" s="5"/>
      <c r="X10684" s="5"/>
      <c r="Y10684" s="5"/>
      <c r="Z10684" s="5"/>
    </row>
    <row r="10685" spans="1:26" ht="15" x14ac:dyDescent="0.25">
      <c r="A10685" s="4" t="s">
        <v>10682</v>
      </c>
      <c r="B10685" s="4" t="s">
        <v>9011</v>
      </c>
      <c r="C10685" s="2" t="str">
        <f ca="1">IFERROR(__xludf.DUMMYFUNCTION("GOOGLETRANSLATE(A10685,""bn"",""en"")"),"I will use the speaker")</f>
        <v>I will use the speaker</v>
      </c>
      <c r="D10685" s="5"/>
      <c r="E10685" s="5"/>
      <c r="F10685" s="5"/>
      <c r="G10685" s="5"/>
      <c r="H10685" s="5"/>
      <c r="I10685" s="5"/>
      <c r="J10685" s="5"/>
      <c r="K10685" s="5"/>
      <c r="L10685" s="5"/>
      <c r="M10685" s="5"/>
      <c r="N10685" s="5"/>
      <c r="O10685" s="5"/>
      <c r="P10685" s="5"/>
      <c r="Q10685" s="5"/>
      <c r="R10685" s="5"/>
      <c r="S10685" s="5"/>
      <c r="T10685" s="5"/>
      <c r="U10685" s="5"/>
      <c r="V10685" s="5"/>
      <c r="W10685" s="5"/>
      <c r="X10685" s="5"/>
      <c r="Y10685" s="5"/>
      <c r="Z10685" s="5"/>
    </row>
    <row r="10686" spans="1:26" ht="15" x14ac:dyDescent="0.25">
      <c r="A10686" s="4" t="s">
        <v>10683</v>
      </c>
      <c r="B10686" s="4" t="s">
        <v>9011</v>
      </c>
      <c r="C10686" s="2" t="str">
        <f ca="1">IFERROR(__xludf.DUMMYFUNCTION("GOOGLETRANSLATE(A10686,""bn"",""en"")"),"The design pattern will continue")</f>
        <v>The design pattern will continue</v>
      </c>
      <c r="D10686" s="5"/>
      <c r="E10686" s="5"/>
      <c r="F10686" s="5"/>
      <c r="G10686" s="5"/>
      <c r="H10686" s="5"/>
      <c r="I10686" s="5"/>
      <c r="J10686" s="5"/>
      <c r="K10686" s="5"/>
      <c r="L10686" s="5"/>
      <c r="M10686" s="5"/>
      <c r="N10686" s="5"/>
      <c r="O10686" s="5"/>
      <c r="P10686" s="5"/>
      <c r="Q10686" s="5"/>
      <c r="R10686" s="5"/>
      <c r="S10686" s="5"/>
      <c r="T10686" s="5"/>
      <c r="U10686" s="5"/>
      <c r="V10686" s="5"/>
      <c r="W10686" s="5"/>
      <c r="X10686" s="5"/>
      <c r="Y10686" s="5"/>
      <c r="Z10686" s="5"/>
    </row>
    <row r="10687" spans="1:26" ht="15" x14ac:dyDescent="0.25">
      <c r="A10687" s="4" t="s">
        <v>10684</v>
      </c>
      <c r="B10687" s="4" t="s">
        <v>9011</v>
      </c>
      <c r="C10687" s="2" t="str">
        <f ca="1">IFERROR(__xludf.DUMMYFUNCTION("GOOGLETRANSLATE(A10687,""bn"",""en"")"),"I will do mobile banking")</f>
        <v>I will do mobile banking</v>
      </c>
      <c r="D10687" s="5"/>
      <c r="E10687" s="5"/>
      <c r="F10687" s="5"/>
      <c r="G10687" s="5"/>
      <c r="H10687" s="5"/>
      <c r="I10687" s="5"/>
      <c r="J10687" s="5"/>
      <c r="K10687" s="5"/>
      <c r="L10687" s="5"/>
      <c r="M10687" s="5"/>
      <c r="N10687" s="5"/>
      <c r="O10687" s="5"/>
      <c r="P10687" s="5"/>
      <c r="Q10687" s="5"/>
      <c r="R10687" s="5"/>
      <c r="S10687" s="5"/>
      <c r="T10687" s="5"/>
      <c r="U10687" s="5"/>
      <c r="V10687" s="5"/>
      <c r="W10687" s="5"/>
      <c r="X10687" s="5"/>
      <c r="Y10687" s="5"/>
      <c r="Z10687" s="5"/>
    </row>
    <row r="10688" spans="1:26" ht="15" x14ac:dyDescent="0.25">
      <c r="A10688" s="4" t="s">
        <v>10685</v>
      </c>
      <c r="B10688" s="4" t="s">
        <v>9011</v>
      </c>
      <c r="C10688" s="2" t="str">
        <f ca="1">IFERROR(__xludf.DUMMYFUNCTION("GOOGLETRANSLATE(A10688,""bn"",""en"")"),"I will visit Saint Martin")</f>
        <v>I will visit Saint Martin</v>
      </c>
      <c r="D10688" s="5"/>
      <c r="E10688" s="5"/>
      <c r="F10688" s="5"/>
      <c r="G10688" s="5"/>
      <c r="H10688" s="5"/>
      <c r="I10688" s="5"/>
      <c r="J10688" s="5"/>
      <c r="K10688" s="5"/>
      <c r="L10688" s="5"/>
      <c r="M10688" s="5"/>
      <c r="N10688" s="5"/>
      <c r="O10688" s="5"/>
      <c r="P10688" s="5"/>
      <c r="Q10688" s="5"/>
      <c r="R10688" s="5"/>
      <c r="S10688" s="5"/>
      <c r="T10688" s="5"/>
      <c r="U10688" s="5"/>
      <c r="V10688" s="5"/>
      <c r="W10688" s="5"/>
      <c r="X10688" s="5"/>
      <c r="Y10688" s="5"/>
      <c r="Z10688" s="5"/>
    </row>
    <row r="10689" spans="1:26" ht="15" x14ac:dyDescent="0.25">
      <c r="A10689" s="4" t="s">
        <v>10686</v>
      </c>
      <c r="B10689" s="4" t="s">
        <v>9011</v>
      </c>
      <c r="C10689" s="2" t="str">
        <f ca="1">IFERROR(__xludf.DUMMYFUNCTION("GOOGLETRANSLATE(A10689,""bn"",""en"")"),"I will use memory card")</f>
        <v>I will use memory card</v>
      </c>
      <c r="D10689" s="5"/>
      <c r="E10689" s="5"/>
      <c r="F10689" s="5"/>
      <c r="G10689" s="5"/>
      <c r="H10689" s="5"/>
      <c r="I10689" s="5"/>
      <c r="J10689" s="5"/>
      <c r="K10689" s="5"/>
      <c r="L10689" s="5"/>
      <c r="M10689" s="5"/>
      <c r="N10689" s="5"/>
      <c r="O10689" s="5"/>
      <c r="P10689" s="5"/>
      <c r="Q10689" s="5"/>
      <c r="R10689" s="5"/>
      <c r="S10689" s="5"/>
      <c r="T10689" s="5"/>
      <c r="U10689" s="5"/>
      <c r="V10689" s="5"/>
      <c r="W10689" s="5"/>
      <c r="X10689" s="5"/>
      <c r="Y10689" s="5"/>
      <c r="Z10689" s="5"/>
    </row>
    <row r="10690" spans="1:26" ht="15" x14ac:dyDescent="0.25">
      <c r="A10690" s="4" t="s">
        <v>10687</v>
      </c>
      <c r="B10690" s="4" t="s">
        <v>9011</v>
      </c>
      <c r="C10690" s="2" t="str">
        <f ca="1">IFERROR(__xludf.DUMMYFUNCTION("GOOGLETRANSLATE(A10690,""bn"",""en"")"),"I will buy a memory card")</f>
        <v>I will buy a memory card</v>
      </c>
      <c r="D10690" s="5"/>
      <c r="E10690" s="5"/>
      <c r="F10690" s="5"/>
      <c r="G10690" s="5"/>
      <c r="H10690" s="5"/>
      <c r="I10690" s="5"/>
      <c r="J10690" s="5"/>
      <c r="K10690" s="5"/>
      <c r="L10690" s="5"/>
      <c r="M10690" s="5"/>
      <c r="N10690" s="5"/>
      <c r="O10690" s="5"/>
      <c r="P10690" s="5"/>
      <c r="Q10690" s="5"/>
      <c r="R10690" s="5"/>
      <c r="S10690" s="5"/>
      <c r="T10690" s="5"/>
      <c r="U10690" s="5"/>
      <c r="V10690" s="5"/>
      <c r="W10690" s="5"/>
      <c r="X10690" s="5"/>
      <c r="Y10690" s="5"/>
      <c r="Z10690" s="5"/>
    </row>
    <row r="10691" spans="1:26" ht="15" x14ac:dyDescent="0.25">
      <c r="A10691" s="4" t="s">
        <v>10688</v>
      </c>
      <c r="B10691" s="4" t="s">
        <v>9011</v>
      </c>
      <c r="C10691" s="2" t="str">
        <f ca="1">IFERROR(__xludf.DUMMYFUNCTION("GOOGLETRANSLATE(A10691,""bn"",""en"")"),"There will be a ceremony")</f>
        <v>There will be a ceremony</v>
      </c>
      <c r="D10691" s="5"/>
      <c r="E10691" s="5"/>
      <c r="F10691" s="5"/>
      <c r="G10691" s="5"/>
      <c r="H10691" s="5"/>
      <c r="I10691" s="5"/>
      <c r="J10691" s="5"/>
      <c r="K10691" s="5"/>
      <c r="L10691" s="5"/>
      <c r="M10691" s="5"/>
      <c r="N10691" s="5"/>
      <c r="O10691" s="5"/>
      <c r="P10691" s="5"/>
      <c r="Q10691" s="5"/>
      <c r="R10691" s="5"/>
      <c r="S10691" s="5"/>
      <c r="T10691" s="5"/>
      <c r="U10691" s="5"/>
      <c r="V10691" s="5"/>
      <c r="W10691" s="5"/>
      <c r="X10691" s="5"/>
      <c r="Y10691" s="5"/>
      <c r="Z10691" s="5"/>
    </row>
    <row r="10692" spans="1:26" ht="15" x14ac:dyDescent="0.25">
      <c r="A10692" s="4" t="s">
        <v>10689</v>
      </c>
      <c r="B10692" s="4" t="s">
        <v>9011</v>
      </c>
      <c r="C10692" s="2" t="str">
        <f ca="1">IFERROR(__xludf.DUMMYFUNCTION("GOOGLETRANSLATE(A10692,""bn"",""en"")"),"The quality of food will increase")</f>
        <v>The quality of food will increase</v>
      </c>
      <c r="D10692" s="5"/>
      <c r="E10692" s="5"/>
      <c r="F10692" s="5"/>
      <c r="G10692" s="5"/>
      <c r="H10692" s="5"/>
      <c r="I10692" s="5"/>
      <c r="J10692" s="5"/>
      <c r="K10692" s="5"/>
      <c r="L10692" s="5"/>
      <c r="M10692" s="5"/>
      <c r="N10692" s="5"/>
      <c r="O10692" s="5"/>
      <c r="P10692" s="5"/>
      <c r="Q10692" s="5"/>
      <c r="R10692" s="5"/>
      <c r="S10692" s="5"/>
      <c r="T10692" s="5"/>
      <c r="U10692" s="5"/>
      <c r="V10692" s="5"/>
      <c r="W10692" s="5"/>
      <c r="X10692" s="5"/>
      <c r="Y10692" s="5"/>
      <c r="Z10692" s="5"/>
    </row>
    <row r="10693" spans="1:26" ht="15" x14ac:dyDescent="0.25">
      <c r="A10693" s="4" t="s">
        <v>10690</v>
      </c>
      <c r="B10693" s="4" t="s">
        <v>9011</v>
      </c>
      <c r="C10693" s="2" t="str">
        <f ca="1">IFERROR(__xludf.DUMMYFUNCTION("GOOGLETRANSLATE(A10693,""bn"",""en"")"),"I will do transactions on Nexus")</f>
        <v>I will do transactions on Nexus</v>
      </c>
      <c r="D10693" s="5"/>
      <c r="E10693" s="5"/>
      <c r="F10693" s="5"/>
      <c r="G10693" s="5"/>
      <c r="H10693" s="5"/>
      <c r="I10693" s="5"/>
      <c r="J10693" s="5"/>
      <c r="K10693" s="5"/>
      <c r="L10693" s="5"/>
      <c r="M10693" s="5"/>
      <c r="N10693" s="5"/>
      <c r="O10693" s="5"/>
      <c r="P10693" s="5"/>
      <c r="Q10693" s="5"/>
      <c r="R10693" s="5"/>
      <c r="S10693" s="5"/>
      <c r="T10693" s="5"/>
      <c r="U10693" s="5"/>
      <c r="V10693" s="5"/>
      <c r="W10693" s="5"/>
      <c r="X10693" s="5"/>
      <c r="Y10693" s="5"/>
      <c r="Z10693" s="5"/>
    </row>
    <row r="10694" spans="1:26" ht="15" x14ac:dyDescent="0.25">
      <c r="A10694" s="4" t="s">
        <v>10691</v>
      </c>
      <c r="B10694" s="4" t="s">
        <v>9011</v>
      </c>
      <c r="C10694" s="2" t="str">
        <f ca="1">IFERROR(__xludf.DUMMYFUNCTION("GOOGLETRANSLATE(A10694,""bn"",""en"")"),"You will learn music")</f>
        <v>You will learn music</v>
      </c>
      <c r="D10694" s="5"/>
      <c r="E10694" s="5"/>
      <c r="F10694" s="5"/>
      <c r="G10694" s="5"/>
      <c r="H10694" s="5"/>
      <c r="I10694" s="5"/>
      <c r="J10694" s="5"/>
      <c r="K10694" s="5"/>
      <c r="L10694" s="5"/>
      <c r="M10694" s="5"/>
      <c r="N10694" s="5"/>
      <c r="O10694" s="5"/>
      <c r="P10694" s="5"/>
      <c r="Q10694" s="5"/>
      <c r="R10694" s="5"/>
      <c r="S10694" s="5"/>
      <c r="T10694" s="5"/>
      <c r="U10694" s="5"/>
      <c r="V10694" s="5"/>
      <c r="W10694" s="5"/>
      <c r="X10694" s="5"/>
      <c r="Y10694" s="5"/>
      <c r="Z10694" s="5"/>
    </row>
    <row r="10695" spans="1:26" ht="15" x14ac:dyDescent="0.25">
      <c r="A10695" s="4" t="s">
        <v>10692</v>
      </c>
      <c r="B10695" s="4" t="s">
        <v>9011</v>
      </c>
      <c r="C10695" s="2" t="str">
        <f ca="1">IFERROR(__xludf.DUMMYFUNCTION("GOOGLETRANSLATE(A10695,""bn"",""en"")"),"Apply the changes")</f>
        <v>Apply the changes</v>
      </c>
      <c r="D10695" s="5"/>
      <c r="E10695" s="5"/>
      <c r="F10695" s="5"/>
      <c r="G10695" s="5"/>
      <c r="H10695" s="5"/>
      <c r="I10695" s="5"/>
      <c r="J10695" s="5"/>
      <c r="K10695" s="5"/>
      <c r="L10695" s="5"/>
      <c r="M10695" s="5"/>
      <c r="N10695" s="5"/>
      <c r="O10695" s="5"/>
      <c r="P10695" s="5"/>
      <c r="Q10695" s="5"/>
      <c r="R10695" s="5"/>
      <c r="S10695" s="5"/>
      <c r="T10695" s="5"/>
      <c r="U10695" s="5"/>
      <c r="V10695" s="5"/>
      <c r="W10695" s="5"/>
      <c r="X10695" s="5"/>
      <c r="Y10695" s="5"/>
      <c r="Z10695" s="5"/>
    </row>
    <row r="10696" spans="1:26" ht="15" x14ac:dyDescent="0.25">
      <c r="A10696" s="4" t="s">
        <v>10693</v>
      </c>
      <c r="B10696" s="4" t="s">
        <v>9011</v>
      </c>
      <c r="C10696" s="2" t="str">
        <f ca="1">IFERROR(__xludf.DUMMYFUNCTION("GOOGLETRANSLATE(A10696,""bn"",""en"")"),"Beauty will bring joy")</f>
        <v>Beauty will bring joy</v>
      </c>
      <c r="D10696" s="5"/>
      <c r="E10696" s="5"/>
      <c r="F10696" s="5"/>
      <c r="G10696" s="5"/>
      <c r="H10696" s="5"/>
      <c r="I10696" s="5"/>
      <c r="J10696" s="5"/>
      <c r="K10696" s="5"/>
      <c r="L10696" s="5"/>
      <c r="M10696" s="5"/>
      <c r="N10696" s="5"/>
      <c r="O10696" s="5"/>
      <c r="P10696" s="5"/>
      <c r="Q10696" s="5"/>
      <c r="R10696" s="5"/>
      <c r="S10696" s="5"/>
      <c r="T10696" s="5"/>
      <c r="U10696" s="5"/>
      <c r="V10696" s="5"/>
      <c r="W10696" s="5"/>
      <c r="X10696" s="5"/>
      <c r="Y10696" s="5"/>
      <c r="Z10696" s="5"/>
    </row>
    <row r="10697" spans="1:26" ht="15" x14ac:dyDescent="0.25">
      <c r="A10697" s="4" t="s">
        <v>10694</v>
      </c>
      <c r="B10697" s="4" t="s">
        <v>9011</v>
      </c>
      <c r="C10697" s="2" t="str">
        <f ca="1">IFERROR(__xludf.DUMMYFUNCTION("GOOGLETRANSLATE(A10697,""bn"",""en"")"),"I will work in the account")</f>
        <v>I will work in the account</v>
      </c>
      <c r="D10697" s="5"/>
      <c r="E10697" s="5"/>
      <c r="F10697" s="5"/>
      <c r="G10697" s="5"/>
      <c r="H10697" s="5"/>
      <c r="I10697" s="5"/>
      <c r="J10697" s="5"/>
      <c r="K10697" s="5"/>
      <c r="L10697" s="5"/>
      <c r="M10697" s="5"/>
      <c r="N10697" s="5"/>
      <c r="O10697" s="5"/>
      <c r="P10697" s="5"/>
      <c r="Q10697" s="5"/>
      <c r="R10697" s="5"/>
      <c r="S10697" s="5"/>
      <c r="T10697" s="5"/>
      <c r="U10697" s="5"/>
      <c r="V10697" s="5"/>
      <c r="W10697" s="5"/>
      <c r="X10697" s="5"/>
      <c r="Y10697" s="5"/>
      <c r="Z10697" s="5"/>
    </row>
    <row r="10698" spans="1:26" ht="15" x14ac:dyDescent="0.25">
      <c r="A10698" s="4" t="s">
        <v>10695</v>
      </c>
      <c r="B10698" s="4" t="s">
        <v>9011</v>
      </c>
      <c r="C10698" s="2" t="str">
        <f ca="1">IFERROR(__xludf.DUMMYFUNCTION("GOOGLETRANSLATE(A10698,""bn"",""en"")"),"There will be educational trips")</f>
        <v>There will be educational trips</v>
      </c>
      <c r="D10698" s="5"/>
      <c r="E10698" s="5"/>
      <c r="F10698" s="5"/>
      <c r="G10698" s="5"/>
      <c r="H10698" s="5"/>
      <c r="I10698" s="5"/>
      <c r="J10698" s="5"/>
      <c r="K10698" s="5"/>
      <c r="L10698" s="5"/>
      <c r="M10698" s="5"/>
      <c r="N10698" s="5"/>
      <c r="O10698" s="5"/>
      <c r="P10698" s="5"/>
      <c r="Q10698" s="5"/>
      <c r="R10698" s="5"/>
      <c r="S10698" s="5"/>
      <c r="T10698" s="5"/>
      <c r="U10698" s="5"/>
      <c r="V10698" s="5"/>
      <c r="W10698" s="5"/>
      <c r="X10698" s="5"/>
      <c r="Y10698" s="5"/>
      <c r="Z10698" s="5"/>
    </row>
    <row r="10699" spans="1:26" ht="15" x14ac:dyDescent="0.25">
      <c r="A10699" s="4" t="s">
        <v>10696</v>
      </c>
      <c r="B10699" s="4" t="s">
        <v>9011</v>
      </c>
      <c r="C10699" s="2" t="str">
        <f ca="1">IFERROR(__xludf.DUMMYFUNCTION("GOOGLETRANSLATE(A10699,""bn"",""en"")"),"I will join the initiative")</f>
        <v>I will join the initiative</v>
      </c>
      <c r="D10699" s="5"/>
      <c r="E10699" s="5"/>
      <c r="F10699" s="5"/>
      <c r="G10699" s="5"/>
      <c r="H10699" s="5"/>
      <c r="I10699" s="5"/>
      <c r="J10699" s="5"/>
      <c r="K10699" s="5"/>
      <c r="L10699" s="5"/>
      <c r="M10699" s="5"/>
      <c r="N10699" s="5"/>
      <c r="O10699" s="5"/>
      <c r="P10699" s="5"/>
      <c r="Q10699" s="5"/>
      <c r="R10699" s="5"/>
      <c r="S10699" s="5"/>
      <c r="T10699" s="5"/>
      <c r="U10699" s="5"/>
      <c r="V10699" s="5"/>
      <c r="W10699" s="5"/>
      <c r="X10699" s="5"/>
      <c r="Y10699" s="5"/>
      <c r="Z10699" s="5"/>
    </row>
    <row r="10700" spans="1:26" ht="15" x14ac:dyDescent="0.25">
      <c r="A10700" s="4" t="s">
        <v>10697</v>
      </c>
      <c r="B10700" s="4" t="s">
        <v>9011</v>
      </c>
      <c r="C10700" s="2" t="str">
        <f ca="1">IFERROR(__xludf.DUMMYFUNCTION("GOOGLETRANSLATE(A10700,""bn"",""en"")"),"The movie will be directed")</f>
        <v>The movie will be directed</v>
      </c>
      <c r="D10700" s="5"/>
      <c r="E10700" s="5"/>
      <c r="F10700" s="5"/>
      <c r="G10700" s="5"/>
      <c r="H10700" s="5"/>
      <c r="I10700" s="5"/>
      <c r="J10700" s="5"/>
      <c r="K10700" s="5"/>
      <c r="L10700" s="5"/>
      <c r="M10700" s="5"/>
      <c r="N10700" s="5"/>
      <c r="O10700" s="5"/>
      <c r="P10700" s="5"/>
      <c r="Q10700" s="5"/>
      <c r="R10700" s="5"/>
      <c r="S10700" s="5"/>
      <c r="T10700" s="5"/>
      <c r="U10700" s="5"/>
      <c r="V10700" s="5"/>
      <c r="W10700" s="5"/>
      <c r="X10700" s="5"/>
      <c r="Y10700" s="5"/>
      <c r="Z10700" s="5"/>
    </row>
    <row r="10701" spans="1:26" ht="15" x14ac:dyDescent="0.25">
      <c r="A10701" s="4" t="s">
        <v>10698</v>
      </c>
      <c r="B10701" s="4" t="s">
        <v>9011</v>
      </c>
      <c r="C10701" s="2" t="str">
        <f ca="1">IFERROR(__xludf.DUMMYFUNCTION("GOOGLETRANSLATE(A10701,""bn"",""en"")"),"I will continue to go to the cafeteria")</f>
        <v>I will continue to go to the cafeteria</v>
      </c>
      <c r="D10701" s="5"/>
      <c r="E10701" s="5"/>
      <c r="F10701" s="5"/>
      <c r="G10701" s="5"/>
      <c r="H10701" s="5"/>
      <c r="I10701" s="5"/>
      <c r="J10701" s="5"/>
      <c r="K10701" s="5"/>
      <c r="L10701" s="5"/>
      <c r="M10701" s="5"/>
      <c r="N10701" s="5"/>
      <c r="O10701" s="5"/>
      <c r="P10701" s="5"/>
      <c r="Q10701" s="5"/>
      <c r="R10701" s="5"/>
      <c r="S10701" s="5"/>
      <c r="T10701" s="5"/>
      <c r="U10701" s="5"/>
      <c r="V10701" s="5"/>
      <c r="W10701" s="5"/>
      <c r="X10701" s="5"/>
      <c r="Y10701" s="5"/>
      <c r="Z10701" s="5"/>
    </row>
    <row r="10702" spans="1:26" ht="15" x14ac:dyDescent="0.25">
      <c r="A10702" s="4" t="s">
        <v>10699</v>
      </c>
      <c r="B10702" s="4" t="s">
        <v>9011</v>
      </c>
      <c r="C10702" s="2" t="str">
        <f ca="1">IFERROR(__xludf.DUMMYFUNCTION("GOOGLETRANSLATE(A10702,""bn"",""en"")"),"we will drink")</f>
        <v>we will drink</v>
      </c>
      <c r="D10702" s="5"/>
      <c r="E10702" s="5"/>
      <c r="F10702" s="5"/>
      <c r="G10702" s="5"/>
      <c r="H10702" s="5"/>
      <c r="I10702" s="5"/>
      <c r="J10702" s="5"/>
      <c r="K10702" s="5"/>
      <c r="L10702" s="5"/>
      <c r="M10702" s="5"/>
      <c r="N10702" s="5"/>
      <c r="O10702" s="5"/>
      <c r="P10702" s="5"/>
      <c r="Q10702" s="5"/>
      <c r="R10702" s="5"/>
      <c r="S10702" s="5"/>
      <c r="T10702" s="5"/>
      <c r="U10702" s="5"/>
      <c r="V10702" s="5"/>
      <c r="W10702" s="5"/>
      <c r="X10702" s="5"/>
      <c r="Y10702" s="5"/>
      <c r="Z10702" s="5"/>
    </row>
    <row r="10703" spans="1:26" ht="15" x14ac:dyDescent="0.25">
      <c r="A10703" s="4" t="s">
        <v>10700</v>
      </c>
      <c r="B10703" s="4" t="s">
        <v>9011</v>
      </c>
      <c r="C10703" s="2" t="str">
        <f ca="1">IFERROR(__xludf.DUMMYFUNCTION("GOOGLETRANSLATE(A10703,""bn"",""en"")"),"I will be in life")</f>
        <v>I will be in life</v>
      </c>
      <c r="D10703" s="5"/>
      <c r="E10703" s="5"/>
      <c r="F10703" s="5"/>
      <c r="G10703" s="5"/>
      <c r="H10703" s="5"/>
      <c r="I10703" s="5"/>
      <c r="J10703" s="5"/>
      <c r="K10703" s="5"/>
      <c r="L10703" s="5"/>
      <c r="M10703" s="5"/>
      <c r="N10703" s="5"/>
      <c r="O10703" s="5"/>
      <c r="P10703" s="5"/>
      <c r="Q10703" s="5"/>
      <c r="R10703" s="5"/>
      <c r="S10703" s="5"/>
      <c r="T10703" s="5"/>
      <c r="U10703" s="5"/>
      <c r="V10703" s="5"/>
      <c r="W10703" s="5"/>
      <c r="X10703" s="5"/>
      <c r="Y10703" s="5"/>
      <c r="Z10703" s="5"/>
    </row>
    <row r="10704" spans="1:26" ht="15" x14ac:dyDescent="0.25">
      <c r="A10704" s="4" t="s">
        <v>10701</v>
      </c>
      <c r="B10704" s="4" t="s">
        <v>9011</v>
      </c>
      <c r="C10704" s="2" t="str">
        <f ca="1">IFERROR(__xludf.DUMMYFUNCTION("GOOGLETRANSLATE(A10704,""bn"",""en"")"),"I will take advantage in life")</f>
        <v>I will take advantage in life</v>
      </c>
      <c r="D10704" s="5"/>
      <c r="E10704" s="5"/>
      <c r="F10704" s="5"/>
      <c r="G10704" s="5"/>
      <c r="H10704" s="5"/>
      <c r="I10704" s="5"/>
      <c r="J10704" s="5"/>
      <c r="K10704" s="5"/>
      <c r="L10704" s="5"/>
      <c r="M10704" s="5"/>
      <c r="N10704" s="5"/>
      <c r="O10704" s="5"/>
      <c r="P10704" s="5"/>
      <c r="Q10704" s="5"/>
      <c r="R10704" s="5"/>
      <c r="S10704" s="5"/>
      <c r="T10704" s="5"/>
      <c r="U10704" s="5"/>
      <c r="V10704" s="5"/>
      <c r="W10704" s="5"/>
      <c r="X10704" s="5"/>
      <c r="Y10704" s="5"/>
      <c r="Z10704" s="5"/>
    </row>
    <row r="10705" spans="1:26" ht="15" x14ac:dyDescent="0.25">
      <c r="A10705" s="4" t="s">
        <v>10702</v>
      </c>
      <c r="B10705" s="4" t="s">
        <v>9011</v>
      </c>
      <c r="C10705" s="2" t="str">
        <f ca="1">IFERROR(__xludf.DUMMYFUNCTION("GOOGLETRANSLATE(A10705,""bn"",""en"")"),"Music will be performed")</f>
        <v>Music will be performed</v>
      </c>
      <c r="D10705" s="5"/>
      <c r="E10705" s="5"/>
      <c r="F10705" s="5"/>
      <c r="G10705" s="5"/>
      <c r="H10705" s="5"/>
      <c r="I10705" s="5"/>
      <c r="J10705" s="5"/>
      <c r="K10705" s="5"/>
      <c r="L10705" s="5"/>
      <c r="M10705" s="5"/>
      <c r="N10705" s="5"/>
      <c r="O10705" s="5"/>
      <c r="P10705" s="5"/>
      <c r="Q10705" s="5"/>
      <c r="R10705" s="5"/>
      <c r="S10705" s="5"/>
      <c r="T10705" s="5"/>
      <c r="U10705" s="5"/>
      <c r="V10705" s="5"/>
      <c r="W10705" s="5"/>
      <c r="X10705" s="5"/>
      <c r="Y10705" s="5"/>
      <c r="Z10705" s="5"/>
    </row>
    <row r="10706" spans="1:26" ht="15" x14ac:dyDescent="0.25">
      <c r="A10706" s="4" t="s">
        <v>10703</v>
      </c>
      <c r="B10706" s="4" t="s">
        <v>9011</v>
      </c>
      <c r="C10706" s="2" t="str">
        <f ca="1">IFERROR(__xludf.DUMMYFUNCTION("GOOGLETRANSLATE(A10706,""bn"",""en"")"),"Russia will improve")</f>
        <v>Russia will improve</v>
      </c>
      <c r="D10706" s="5"/>
      <c r="E10706" s="5"/>
      <c r="F10706" s="5"/>
      <c r="G10706" s="5"/>
      <c r="H10706" s="5"/>
      <c r="I10706" s="5"/>
      <c r="J10706" s="5"/>
      <c r="K10706" s="5"/>
      <c r="L10706" s="5"/>
      <c r="M10706" s="5"/>
      <c r="N10706" s="5"/>
      <c r="O10706" s="5"/>
      <c r="P10706" s="5"/>
      <c r="Q10706" s="5"/>
      <c r="R10706" s="5"/>
      <c r="S10706" s="5"/>
      <c r="T10706" s="5"/>
      <c r="U10706" s="5"/>
      <c r="V10706" s="5"/>
      <c r="W10706" s="5"/>
      <c r="X10706" s="5"/>
      <c r="Y10706" s="5"/>
      <c r="Z10706" s="5"/>
    </row>
    <row r="10707" spans="1:26" ht="15" x14ac:dyDescent="0.25">
      <c r="A10707" s="4" t="s">
        <v>10704</v>
      </c>
      <c r="B10707" s="4" t="s">
        <v>9011</v>
      </c>
      <c r="C10707" s="2" t="str">
        <f ca="1">IFERROR(__xludf.DUMMYFUNCTION("GOOGLETRANSLATE(A10707,""bn"",""en"")"),"We will buy fish")</f>
        <v>We will buy fish</v>
      </c>
      <c r="D10707" s="5"/>
      <c r="E10707" s="5"/>
      <c r="F10707" s="5"/>
      <c r="G10707" s="5"/>
      <c r="H10707" s="5"/>
      <c r="I10707" s="5"/>
      <c r="J10707" s="5"/>
      <c r="K10707" s="5"/>
      <c r="L10707" s="5"/>
      <c r="M10707" s="5"/>
      <c r="N10707" s="5"/>
      <c r="O10707" s="5"/>
      <c r="P10707" s="5"/>
      <c r="Q10707" s="5"/>
      <c r="R10707" s="5"/>
      <c r="S10707" s="5"/>
      <c r="T10707" s="5"/>
      <c r="U10707" s="5"/>
      <c r="V10707" s="5"/>
      <c r="W10707" s="5"/>
      <c r="X10707" s="5"/>
      <c r="Y10707" s="5"/>
      <c r="Z10707" s="5"/>
    </row>
    <row r="10708" spans="1:26" ht="15" x14ac:dyDescent="0.25">
      <c r="A10708" s="4" t="s">
        <v>10705</v>
      </c>
      <c r="B10708" s="4" t="s">
        <v>9011</v>
      </c>
      <c r="C10708" s="2" t="str">
        <f ca="1">IFERROR(__xludf.DUMMYFUNCTION("GOOGLETRANSLATE(A10708,""bn"",""en"")"),"Credit card will be")</f>
        <v>Credit card will be</v>
      </c>
      <c r="D10708" s="5"/>
      <c r="E10708" s="5"/>
      <c r="F10708" s="5"/>
      <c r="G10708" s="5"/>
      <c r="H10708" s="5"/>
      <c r="I10708" s="5"/>
      <c r="J10708" s="5"/>
      <c r="K10708" s="5"/>
      <c r="L10708" s="5"/>
      <c r="M10708" s="5"/>
      <c r="N10708" s="5"/>
      <c r="O10708" s="5"/>
      <c r="P10708" s="5"/>
      <c r="Q10708" s="5"/>
      <c r="R10708" s="5"/>
      <c r="S10708" s="5"/>
      <c r="T10708" s="5"/>
      <c r="U10708" s="5"/>
      <c r="V10708" s="5"/>
      <c r="W10708" s="5"/>
      <c r="X10708" s="5"/>
      <c r="Y10708" s="5"/>
      <c r="Z10708" s="5"/>
    </row>
    <row r="10709" spans="1:26" ht="15" x14ac:dyDescent="0.25">
      <c r="A10709" s="4" t="s">
        <v>10706</v>
      </c>
      <c r="B10709" s="4" t="s">
        <v>9011</v>
      </c>
      <c r="C10709" s="2" t="str">
        <f ca="1">IFERROR(__xludf.DUMMYFUNCTION("GOOGLETRANSLATE(A10709,""bn"",""en"")"),"We will see the rain")</f>
        <v>We will see the rain</v>
      </c>
      <c r="D10709" s="5"/>
      <c r="E10709" s="5"/>
      <c r="F10709" s="5"/>
      <c r="G10709" s="5"/>
      <c r="H10709" s="5"/>
      <c r="I10709" s="5"/>
      <c r="J10709" s="5"/>
      <c r="K10709" s="5"/>
      <c r="L10709" s="5"/>
      <c r="M10709" s="5"/>
      <c r="N10709" s="5"/>
      <c r="O10709" s="5"/>
      <c r="P10709" s="5"/>
      <c r="Q10709" s="5"/>
      <c r="R10709" s="5"/>
      <c r="S10709" s="5"/>
      <c r="T10709" s="5"/>
      <c r="U10709" s="5"/>
      <c r="V10709" s="5"/>
      <c r="W10709" s="5"/>
      <c r="X10709" s="5"/>
      <c r="Y10709" s="5"/>
      <c r="Z10709" s="5"/>
    </row>
    <row r="10710" spans="1:26" ht="15" x14ac:dyDescent="0.25">
      <c r="A10710" s="4" t="s">
        <v>10707</v>
      </c>
      <c r="B10710" s="4" t="s">
        <v>9011</v>
      </c>
      <c r="C10710" s="2" t="str">
        <f ca="1">IFERROR(__xludf.DUMMYFUNCTION("GOOGLETRANSLATE(A10710,""bn"",""en"")"),"I will use the webcam")</f>
        <v>I will use the webcam</v>
      </c>
      <c r="D10710" s="5"/>
      <c r="E10710" s="5"/>
      <c r="F10710" s="5"/>
      <c r="G10710" s="5"/>
      <c r="H10710" s="5"/>
      <c r="I10710" s="5"/>
      <c r="J10710" s="5"/>
      <c r="K10710" s="5"/>
      <c r="L10710" s="5"/>
      <c r="M10710" s="5"/>
      <c r="N10710" s="5"/>
      <c r="O10710" s="5"/>
      <c r="P10710" s="5"/>
      <c r="Q10710" s="5"/>
      <c r="R10710" s="5"/>
      <c r="S10710" s="5"/>
      <c r="T10710" s="5"/>
      <c r="U10710" s="5"/>
      <c r="V10710" s="5"/>
      <c r="W10710" s="5"/>
      <c r="X10710" s="5"/>
      <c r="Y10710" s="5"/>
      <c r="Z10710" s="5"/>
    </row>
    <row r="10711" spans="1:26" ht="15" x14ac:dyDescent="0.25">
      <c r="A10711" s="4" t="s">
        <v>10708</v>
      </c>
      <c r="B10711" s="4" t="s">
        <v>9011</v>
      </c>
      <c r="C10711" s="2" t="str">
        <f ca="1">IFERROR(__xludf.DUMMYFUNCTION("GOOGLETRANSLATE(A10711,""bn"",""en"")"),"I will withdraw money")</f>
        <v>I will withdraw money</v>
      </c>
      <c r="D10711" s="5"/>
      <c r="E10711" s="5"/>
      <c r="F10711" s="5"/>
      <c r="G10711" s="5"/>
      <c r="H10711" s="5"/>
      <c r="I10711" s="5"/>
      <c r="J10711" s="5"/>
      <c r="K10711" s="5"/>
      <c r="L10711" s="5"/>
      <c r="M10711" s="5"/>
      <c r="N10711" s="5"/>
      <c r="O10711" s="5"/>
      <c r="P10711" s="5"/>
      <c r="Q10711" s="5"/>
      <c r="R10711" s="5"/>
      <c r="S10711" s="5"/>
      <c r="T10711" s="5"/>
      <c r="U10711" s="5"/>
      <c r="V10711" s="5"/>
      <c r="W10711" s="5"/>
      <c r="X10711" s="5"/>
      <c r="Y10711" s="5"/>
      <c r="Z10711" s="5"/>
    </row>
    <row r="10712" spans="1:26" ht="15" x14ac:dyDescent="0.25">
      <c r="A10712" s="4" t="s">
        <v>10709</v>
      </c>
      <c r="B10712" s="4" t="s">
        <v>9011</v>
      </c>
      <c r="C10712" s="2" t="str">
        <f ca="1">IFERROR(__xludf.DUMMYFUNCTION("GOOGLETRANSLATE(A10712,""bn"",""en"")"),"Desire to travel")</f>
        <v>Desire to travel</v>
      </c>
      <c r="D10712" s="5"/>
      <c r="E10712" s="5"/>
      <c r="F10712" s="5"/>
      <c r="G10712" s="5"/>
      <c r="H10712" s="5"/>
      <c r="I10712" s="5"/>
      <c r="J10712" s="5"/>
      <c r="K10712" s="5"/>
      <c r="L10712" s="5"/>
      <c r="M10712" s="5"/>
      <c r="N10712" s="5"/>
      <c r="O10712" s="5"/>
      <c r="P10712" s="5"/>
      <c r="Q10712" s="5"/>
      <c r="R10712" s="5"/>
      <c r="S10712" s="5"/>
      <c r="T10712" s="5"/>
      <c r="U10712" s="5"/>
      <c r="V10712" s="5"/>
      <c r="W10712" s="5"/>
      <c r="X10712" s="5"/>
      <c r="Y10712" s="5"/>
      <c r="Z10712" s="5"/>
    </row>
    <row r="10713" spans="1:26" ht="15" x14ac:dyDescent="0.25">
      <c r="A10713" s="4" t="s">
        <v>10710</v>
      </c>
      <c r="B10713" s="4" t="s">
        <v>9011</v>
      </c>
      <c r="C10713" s="2" t="str">
        <f ca="1">IFERROR(__xludf.DUMMYFUNCTION("GOOGLETRANSLATE(A10713,""bn"",""en"")"),"Will plan")</f>
        <v>Will plan</v>
      </c>
      <c r="D10713" s="5"/>
      <c r="E10713" s="5"/>
      <c r="F10713" s="5"/>
      <c r="G10713" s="5"/>
      <c r="H10713" s="5"/>
      <c r="I10713" s="5"/>
      <c r="J10713" s="5"/>
      <c r="K10713" s="5"/>
      <c r="L10713" s="5"/>
      <c r="M10713" s="5"/>
      <c r="N10713" s="5"/>
      <c r="O10713" s="5"/>
      <c r="P10713" s="5"/>
      <c r="Q10713" s="5"/>
      <c r="R10713" s="5"/>
      <c r="S10713" s="5"/>
      <c r="T10713" s="5"/>
      <c r="U10713" s="5"/>
      <c r="V10713" s="5"/>
      <c r="W10713" s="5"/>
      <c r="X10713" s="5"/>
      <c r="Y10713" s="5"/>
      <c r="Z10713" s="5"/>
    </row>
    <row r="10714" spans="1:26" ht="15" x14ac:dyDescent="0.25">
      <c r="A10714" s="4" t="s">
        <v>10711</v>
      </c>
      <c r="B10714" s="4" t="s">
        <v>9011</v>
      </c>
      <c r="C10714" s="2" t="str">
        <f ca="1">IFERROR(__xludf.DUMMYFUNCTION("GOOGLETRANSLATE(A10714,""bn"",""en"")"),"I will do complex calculations")</f>
        <v>I will do complex calculations</v>
      </c>
      <c r="D10714" s="5"/>
      <c r="E10714" s="5"/>
      <c r="F10714" s="5"/>
      <c r="G10714" s="5"/>
      <c r="H10714" s="5"/>
      <c r="I10714" s="5"/>
      <c r="J10714" s="5"/>
      <c r="K10714" s="5"/>
      <c r="L10714" s="5"/>
      <c r="M10714" s="5"/>
      <c r="N10714" s="5"/>
      <c r="O10714" s="5"/>
      <c r="P10714" s="5"/>
      <c r="Q10714" s="5"/>
      <c r="R10714" s="5"/>
      <c r="S10714" s="5"/>
      <c r="T10714" s="5"/>
      <c r="U10714" s="5"/>
      <c r="V10714" s="5"/>
      <c r="W10714" s="5"/>
      <c r="X10714" s="5"/>
      <c r="Y10714" s="5"/>
      <c r="Z10714" s="5"/>
    </row>
    <row r="10715" spans="1:26" ht="15" x14ac:dyDescent="0.25">
      <c r="A10715" s="4" t="s">
        <v>10712</v>
      </c>
      <c r="B10715" s="4" t="s">
        <v>9011</v>
      </c>
      <c r="C10715" s="2" t="str">
        <f ca="1">IFERROR(__xludf.DUMMYFUNCTION("GOOGLETRANSLATE(A10715,""bn"",""en"")"),"Install the firewall")</f>
        <v>Install the firewall</v>
      </c>
      <c r="D10715" s="5"/>
      <c r="E10715" s="5"/>
      <c r="F10715" s="5"/>
      <c r="G10715" s="5"/>
      <c r="H10715" s="5"/>
      <c r="I10715" s="5"/>
      <c r="J10715" s="5"/>
      <c r="K10715" s="5"/>
      <c r="L10715" s="5"/>
      <c r="M10715" s="5"/>
      <c r="N10715" s="5"/>
      <c r="O10715" s="5"/>
      <c r="P10715" s="5"/>
      <c r="Q10715" s="5"/>
      <c r="R10715" s="5"/>
      <c r="S10715" s="5"/>
      <c r="T10715" s="5"/>
      <c r="U10715" s="5"/>
      <c r="V10715" s="5"/>
      <c r="W10715" s="5"/>
      <c r="X10715" s="5"/>
      <c r="Y10715" s="5"/>
      <c r="Z10715" s="5"/>
    </row>
    <row r="10716" spans="1:26" ht="15" x14ac:dyDescent="0.25">
      <c r="A10716" s="4" t="s">
        <v>10713</v>
      </c>
      <c r="B10716" s="4" t="s">
        <v>9011</v>
      </c>
      <c r="C10716" s="2" t="str">
        <f ca="1">IFERROR(__xludf.DUMMYFUNCTION("GOOGLETRANSLATE(A10716,""bn"",""en"")"),"I will make an account statement")</f>
        <v>I will make an account statement</v>
      </c>
      <c r="D10716" s="5"/>
      <c r="E10716" s="5"/>
      <c r="F10716" s="5"/>
      <c r="G10716" s="5"/>
      <c r="H10716" s="5"/>
      <c r="I10716" s="5"/>
      <c r="J10716" s="5"/>
      <c r="K10716" s="5"/>
      <c r="L10716" s="5"/>
      <c r="M10716" s="5"/>
      <c r="N10716" s="5"/>
      <c r="O10716" s="5"/>
      <c r="P10716" s="5"/>
      <c r="Q10716" s="5"/>
      <c r="R10716" s="5"/>
      <c r="S10716" s="5"/>
      <c r="T10716" s="5"/>
      <c r="U10716" s="5"/>
      <c r="V10716" s="5"/>
      <c r="W10716" s="5"/>
      <c r="X10716" s="5"/>
      <c r="Y10716" s="5"/>
      <c r="Z10716" s="5"/>
    </row>
    <row r="10717" spans="1:26" ht="15" x14ac:dyDescent="0.25">
      <c r="A10717" s="4" t="s">
        <v>10714</v>
      </c>
      <c r="B10717" s="4" t="s">
        <v>9011</v>
      </c>
      <c r="C10717" s="2" t="str">
        <f ca="1">IFERROR(__xludf.DUMMYFUNCTION("GOOGLETRANSLATE(A10717,""bn"",""en"")"),"He will play the tune")</f>
        <v>He will play the tune</v>
      </c>
      <c r="D10717" s="5"/>
      <c r="E10717" s="5"/>
      <c r="F10717" s="5"/>
      <c r="G10717" s="5"/>
      <c r="H10717" s="5"/>
      <c r="I10717" s="5"/>
      <c r="J10717" s="5"/>
      <c r="K10717" s="5"/>
      <c r="L10717" s="5"/>
      <c r="M10717" s="5"/>
      <c r="N10717" s="5"/>
      <c r="O10717" s="5"/>
      <c r="P10717" s="5"/>
      <c r="Q10717" s="5"/>
      <c r="R10717" s="5"/>
      <c r="S10717" s="5"/>
      <c r="T10717" s="5"/>
      <c r="U10717" s="5"/>
      <c r="V10717" s="5"/>
      <c r="W10717" s="5"/>
      <c r="X10717" s="5"/>
      <c r="Y10717" s="5"/>
      <c r="Z10717" s="5"/>
    </row>
    <row r="10718" spans="1:26" ht="15" x14ac:dyDescent="0.25">
      <c r="A10718" s="4" t="s">
        <v>10715</v>
      </c>
      <c r="B10718" s="4" t="s">
        <v>9011</v>
      </c>
      <c r="C10718" s="2" t="str">
        <f ca="1">IFERROR(__xludf.DUMMYFUNCTION("GOOGLETRANSLATE(A10718,""bn"",""en"")"),"I will be happy to travel")</f>
        <v>I will be happy to travel</v>
      </c>
      <c r="D10718" s="5"/>
      <c r="E10718" s="5"/>
      <c r="F10718" s="5"/>
      <c r="G10718" s="5"/>
      <c r="H10718" s="5"/>
      <c r="I10718" s="5"/>
      <c r="J10718" s="5"/>
      <c r="K10718" s="5"/>
      <c r="L10718" s="5"/>
      <c r="M10718" s="5"/>
      <c r="N10718" s="5"/>
      <c r="O10718" s="5"/>
      <c r="P10718" s="5"/>
      <c r="Q10718" s="5"/>
      <c r="R10718" s="5"/>
      <c r="S10718" s="5"/>
      <c r="T10718" s="5"/>
      <c r="U10718" s="5"/>
      <c r="V10718" s="5"/>
      <c r="W10718" s="5"/>
      <c r="X10718" s="5"/>
      <c r="Y10718" s="5"/>
      <c r="Z10718" s="5"/>
    </row>
    <row r="10719" spans="1:26" ht="15" x14ac:dyDescent="0.25">
      <c r="A10719" s="4" t="s">
        <v>10716</v>
      </c>
      <c r="B10719" s="4" t="s">
        <v>9011</v>
      </c>
      <c r="C10719" s="2" t="str">
        <f ca="1">IFERROR(__xludf.DUMMYFUNCTION("GOOGLETRANSLATE(A10719,""bn"",""en"")"),"will configure the code")</f>
        <v>will configure the code</v>
      </c>
      <c r="D10719" s="5"/>
      <c r="E10719" s="5"/>
      <c r="F10719" s="5"/>
      <c r="G10719" s="5"/>
      <c r="H10719" s="5"/>
      <c r="I10719" s="5"/>
      <c r="J10719" s="5"/>
      <c r="K10719" s="5"/>
      <c r="L10719" s="5"/>
      <c r="M10719" s="5"/>
      <c r="N10719" s="5"/>
      <c r="O10719" s="5"/>
      <c r="P10719" s="5"/>
      <c r="Q10719" s="5"/>
      <c r="R10719" s="5"/>
      <c r="S10719" s="5"/>
      <c r="T10719" s="5"/>
      <c r="U10719" s="5"/>
      <c r="V10719" s="5"/>
      <c r="W10719" s="5"/>
      <c r="X10719" s="5"/>
      <c r="Y10719" s="5"/>
      <c r="Z10719" s="5"/>
    </row>
    <row r="10720" spans="1:26" ht="15" x14ac:dyDescent="0.25">
      <c r="A10720" s="4" t="s">
        <v>10717</v>
      </c>
      <c r="B10720" s="4" t="s">
        <v>9011</v>
      </c>
      <c r="C10720" s="2" t="str">
        <f ca="1">IFERROR(__xludf.DUMMYFUNCTION("GOOGLETRANSLATE(A10720,""bn"",""en"")"),"Will do in sports")</f>
        <v>Will do in sports</v>
      </c>
      <c r="D10720" s="5"/>
      <c r="E10720" s="5"/>
      <c r="F10720" s="5"/>
      <c r="G10720" s="5"/>
      <c r="H10720" s="5"/>
      <c r="I10720" s="5"/>
      <c r="J10720" s="5"/>
      <c r="K10720" s="5"/>
      <c r="L10720" s="5"/>
      <c r="M10720" s="5"/>
      <c r="N10720" s="5"/>
      <c r="O10720" s="5"/>
      <c r="P10720" s="5"/>
      <c r="Q10720" s="5"/>
      <c r="R10720" s="5"/>
      <c r="S10720" s="5"/>
      <c r="T10720" s="5"/>
      <c r="U10720" s="5"/>
      <c r="V10720" s="5"/>
      <c r="W10720" s="5"/>
      <c r="X10720" s="5"/>
      <c r="Y10720" s="5"/>
      <c r="Z10720" s="5"/>
    </row>
    <row r="10721" spans="1:26" ht="15" x14ac:dyDescent="0.25">
      <c r="A10721" s="4" t="s">
        <v>10718</v>
      </c>
      <c r="B10721" s="4" t="s">
        <v>9011</v>
      </c>
      <c r="C10721" s="2" t="str">
        <f ca="1">IFERROR(__xludf.DUMMYFUNCTION("GOOGLETRANSLATE(A10721,""bn"",""en"")"),"Children will play")</f>
        <v>Children will play</v>
      </c>
      <c r="D10721" s="5"/>
      <c r="E10721" s="5"/>
      <c r="F10721" s="5"/>
      <c r="G10721" s="5"/>
      <c r="H10721" s="5"/>
      <c r="I10721" s="5"/>
      <c r="J10721" s="5"/>
      <c r="K10721" s="5"/>
      <c r="L10721" s="5"/>
      <c r="M10721" s="5"/>
      <c r="N10721" s="5"/>
      <c r="O10721" s="5"/>
      <c r="P10721" s="5"/>
      <c r="Q10721" s="5"/>
      <c r="R10721" s="5"/>
      <c r="S10721" s="5"/>
      <c r="T10721" s="5"/>
      <c r="U10721" s="5"/>
      <c r="V10721" s="5"/>
      <c r="W10721" s="5"/>
      <c r="X10721" s="5"/>
      <c r="Y10721" s="5"/>
      <c r="Z10721" s="5"/>
    </row>
    <row r="10722" spans="1:26" ht="15" x14ac:dyDescent="0.25">
      <c r="A10722" s="4" t="s">
        <v>10719</v>
      </c>
      <c r="B10722" s="4" t="s">
        <v>9011</v>
      </c>
      <c r="C10722" s="2" t="str">
        <f ca="1">IFERROR(__xludf.DUMMYFUNCTION("GOOGLETRANSLATE(A10722,""bn"",""en"")"),"Automation will increase")</f>
        <v>Automation will increase</v>
      </c>
      <c r="D10722" s="5"/>
      <c r="E10722" s="5"/>
      <c r="F10722" s="5"/>
      <c r="G10722" s="5"/>
      <c r="H10722" s="5"/>
      <c r="I10722" s="5"/>
      <c r="J10722" s="5"/>
      <c r="K10722" s="5"/>
      <c r="L10722" s="5"/>
      <c r="M10722" s="5"/>
      <c r="N10722" s="5"/>
      <c r="O10722" s="5"/>
      <c r="P10722" s="5"/>
      <c r="Q10722" s="5"/>
      <c r="R10722" s="5"/>
      <c r="S10722" s="5"/>
      <c r="T10722" s="5"/>
      <c r="U10722" s="5"/>
      <c r="V10722" s="5"/>
      <c r="W10722" s="5"/>
      <c r="X10722" s="5"/>
      <c r="Y10722" s="5"/>
      <c r="Z10722" s="5"/>
    </row>
    <row r="10723" spans="1:26" ht="15" x14ac:dyDescent="0.25">
      <c r="A10723" s="4" t="s">
        <v>10720</v>
      </c>
      <c r="B10723" s="4" t="s">
        <v>9011</v>
      </c>
      <c r="C10723" s="2" t="str">
        <f ca="1">IFERROR(__xludf.DUMMYFUNCTION("GOOGLETRANSLATE(A10723,""bn"",""en"")"),"The file will open")</f>
        <v>The file will open</v>
      </c>
      <c r="D10723" s="5"/>
      <c r="E10723" s="5"/>
      <c r="F10723" s="5"/>
      <c r="G10723" s="5"/>
      <c r="H10723" s="5"/>
      <c r="I10723" s="5"/>
      <c r="J10723" s="5"/>
      <c r="K10723" s="5"/>
      <c r="L10723" s="5"/>
      <c r="M10723" s="5"/>
      <c r="N10723" s="5"/>
      <c r="O10723" s="5"/>
      <c r="P10723" s="5"/>
      <c r="Q10723" s="5"/>
      <c r="R10723" s="5"/>
      <c r="S10723" s="5"/>
      <c r="T10723" s="5"/>
      <c r="U10723" s="5"/>
      <c r="V10723" s="5"/>
      <c r="W10723" s="5"/>
      <c r="X10723" s="5"/>
      <c r="Y10723" s="5"/>
      <c r="Z10723" s="5"/>
    </row>
    <row r="10724" spans="1:26" ht="15" x14ac:dyDescent="0.25">
      <c r="A10724" s="4" t="s">
        <v>10721</v>
      </c>
      <c r="B10724" s="4" t="s">
        <v>9011</v>
      </c>
      <c r="C10724" s="2" t="str">
        <f ca="1">IFERROR(__xludf.DUMMYFUNCTION("GOOGLETRANSLATE(A10724,""bn"",""en"")"),"Bananas contain iron")</f>
        <v>Bananas contain iron</v>
      </c>
      <c r="D10724" s="5"/>
      <c r="E10724" s="5"/>
      <c r="F10724" s="5"/>
      <c r="G10724" s="5"/>
      <c r="H10724" s="5"/>
      <c r="I10724" s="5"/>
      <c r="J10724" s="5"/>
      <c r="K10724" s="5"/>
      <c r="L10724" s="5"/>
      <c r="M10724" s="5"/>
      <c r="N10724" s="5"/>
      <c r="O10724" s="5"/>
      <c r="P10724" s="5"/>
      <c r="Q10724" s="5"/>
      <c r="R10724" s="5"/>
      <c r="S10724" s="5"/>
      <c r="T10724" s="5"/>
      <c r="U10724" s="5"/>
      <c r="V10724" s="5"/>
      <c r="W10724" s="5"/>
      <c r="X10724" s="5"/>
      <c r="Y10724" s="5"/>
      <c r="Z10724" s="5"/>
    </row>
    <row r="10725" spans="1:26" ht="15" x14ac:dyDescent="0.25">
      <c r="A10725" s="4" t="s">
        <v>10722</v>
      </c>
      <c r="B10725" s="4" t="s">
        <v>9011</v>
      </c>
      <c r="C10725" s="2" t="str">
        <f ca="1">IFERROR(__xludf.DUMMYFUNCTION("GOOGLETRANSLATE(A10725,""bn"",""en"")"),"Always walking around")</f>
        <v>Always walking around</v>
      </c>
      <c r="D10725" s="5"/>
      <c r="E10725" s="5"/>
      <c r="F10725" s="5"/>
      <c r="G10725" s="5"/>
      <c r="H10725" s="5"/>
      <c r="I10725" s="5"/>
      <c r="J10725" s="5"/>
      <c r="K10725" s="5"/>
      <c r="L10725" s="5"/>
      <c r="M10725" s="5"/>
      <c r="N10725" s="5"/>
      <c r="O10725" s="5"/>
      <c r="P10725" s="5"/>
      <c r="Q10725" s="5"/>
      <c r="R10725" s="5"/>
      <c r="S10725" s="5"/>
      <c r="T10725" s="5"/>
      <c r="U10725" s="5"/>
      <c r="V10725" s="5"/>
      <c r="W10725" s="5"/>
      <c r="X10725" s="5"/>
      <c r="Y10725" s="5"/>
      <c r="Z10725" s="5"/>
    </row>
    <row r="10726" spans="1:26" ht="15" x14ac:dyDescent="0.25">
      <c r="A10726" s="4" t="s">
        <v>10723</v>
      </c>
      <c r="B10726" s="4" t="s">
        <v>9011</v>
      </c>
      <c r="C10726" s="2" t="str">
        <f ca="1">IFERROR(__xludf.DUMMYFUNCTION("GOOGLETRANSLATE(A10726,""bn"",""en"")"),"The developer will write the code")</f>
        <v>The developer will write the code</v>
      </c>
      <c r="D10726" s="5"/>
      <c r="E10726" s="5"/>
      <c r="F10726" s="5"/>
      <c r="G10726" s="5"/>
      <c r="H10726" s="5"/>
      <c r="I10726" s="5"/>
      <c r="J10726" s="5"/>
      <c r="K10726" s="5"/>
      <c r="L10726" s="5"/>
      <c r="M10726" s="5"/>
      <c r="N10726" s="5"/>
      <c r="O10726" s="5"/>
      <c r="P10726" s="5"/>
      <c r="Q10726" s="5"/>
      <c r="R10726" s="5"/>
      <c r="S10726" s="5"/>
      <c r="T10726" s="5"/>
      <c r="U10726" s="5"/>
      <c r="V10726" s="5"/>
      <c r="W10726" s="5"/>
      <c r="X10726" s="5"/>
      <c r="Y10726" s="5"/>
      <c r="Z10726" s="5"/>
    </row>
    <row r="10727" spans="1:26" ht="15" x14ac:dyDescent="0.25">
      <c r="A10727" s="4" t="s">
        <v>10724</v>
      </c>
      <c r="B10727" s="4" t="s">
        <v>9011</v>
      </c>
      <c r="C10727" s="2" t="str">
        <f ca="1">IFERROR(__xludf.DUMMYFUNCTION("GOOGLETRANSLATE(A10727,""bn"",""en"")"),"I will continue to learn database")</f>
        <v>I will continue to learn database</v>
      </c>
      <c r="D10727" s="5"/>
      <c r="E10727" s="5"/>
      <c r="F10727" s="5"/>
      <c r="G10727" s="5"/>
      <c r="H10727" s="5"/>
      <c r="I10727" s="5"/>
      <c r="J10727" s="5"/>
      <c r="K10727" s="5"/>
      <c r="L10727" s="5"/>
      <c r="M10727" s="5"/>
      <c r="N10727" s="5"/>
      <c r="O10727" s="5"/>
      <c r="P10727" s="5"/>
      <c r="Q10727" s="5"/>
      <c r="R10727" s="5"/>
      <c r="S10727" s="5"/>
      <c r="T10727" s="5"/>
      <c r="U10727" s="5"/>
      <c r="V10727" s="5"/>
      <c r="W10727" s="5"/>
      <c r="X10727" s="5"/>
      <c r="Y10727" s="5"/>
      <c r="Z10727" s="5"/>
    </row>
    <row r="10728" spans="1:26" ht="15" x14ac:dyDescent="0.25">
      <c r="A10728" s="4" t="s">
        <v>10725</v>
      </c>
      <c r="B10728" s="4" t="s">
        <v>9011</v>
      </c>
      <c r="C10728" s="2" t="str">
        <f ca="1">IFERROR(__xludf.DUMMYFUNCTION("GOOGLETRANSLATE(A10728,""bn"",""en"")"),"The bank will take the account")</f>
        <v>The bank will take the account</v>
      </c>
      <c r="D10728" s="5"/>
      <c r="E10728" s="5"/>
      <c r="F10728" s="5"/>
      <c r="G10728" s="5"/>
      <c r="H10728" s="5"/>
      <c r="I10728" s="5"/>
      <c r="J10728" s="5"/>
      <c r="K10728" s="5"/>
      <c r="L10728" s="5"/>
      <c r="M10728" s="5"/>
      <c r="N10728" s="5"/>
      <c r="O10728" s="5"/>
      <c r="P10728" s="5"/>
      <c r="Q10728" s="5"/>
      <c r="R10728" s="5"/>
      <c r="S10728" s="5"/>
      <c r="T10728" s="5"/>
      <c r="U10728" s="5"/>
      <c r="V10728" s="5"/>
      <c r="W10728" s="5"/>
      <c r="X10728" s="5"/>
      <c r="Y10728" s="5"/>
      <c r="Z10728" s="5"/>
    </row>
    <row r="10729" spans="1:26" ht="15" x14ac:dyDescent="0.25">
      <c r="A10729" s="4" t="s">
        <v>10726</v>
      </c>
      <c r="B10729" s="4" t="s">
        <v>9011</v>
      </c>
      <c r="C10729" s="2" t="str">
        <f ca="1">IFERROR(__xludf.DUMMYFUNCTION("GOOGLETRANSLATE(A10729,""bn"",""en"")"),"He will play the rhythm")</f>
        <v>He will play the rhythm</v>
      </c>
      <c r="D10729" s="5"/>
      <c r="E10729" s="5"/>
      <c r="F10729" s="5"/>
      <c r="G10729" s="5"/>
      <c r="H10729" s="5"/>
      <c r="I10729" s="5"/>
      <c r="J10729" s="5"/>
      <c r="K10729" s="5"/>
      <c r="L10729" s="5"/>
      <c r="M10729" s="5"/>
      <c r="N10729" s="5"/>
      <c r="O10729" s="5"/>
      <c r="P10729" s="5"/>
      <c r="Q10729" s="5"/>
      <c r="R10729" s="5"/>
      <c r="S10729" s="5"/>
      <c r="T10729" s="5"/>
      <c r="U10729" s="5"/>
      <c r="V10729" s="5"/>
      <c r="W10729" s="5"/>
      <c r="X10729" s="5"/>
      <c r="Y10729" s="5"/>
      <c r="Z10729" s="5"/>
    </row>
    <row r="10730" spans="1:26" ht="15" x14ac:dyDescent="0.25">
      <c r="A10730" s="4" t="s">
        <v>10727</v>
      </c>
      <c r="B10730" s="4" t="s">
        <v>9011</v>
      </c>
      <c r="C10730" s="2" t="str">
        <f ca="1">IFERROR(__xludf.DUMMYFUNCTION("GOOGLETRANSLATE(A10730,""bn"",""en"")"),"I will change the card")</f>
        <v>I will change the card</v>
      </c>
      <c r="D10730" s="5"/>
      <c r="E10730" s="5"/>
      <c r="F10730" s="5"/>
      <c r="G10730" s="5"/>
      <c r="H10730" s="5"/>
      <c r="I10730" s="5"/>
      <c r="J10730" s="5"/>
      <c r="K10730" s="5"/>
      <c r="L10730" s="5"/>
      <c r="M10730" s="5"/>
      <c r="N10730" s="5"/>
      <c r="O10730" s="5"/>
      <c r="P10730" s="5"/>
      <c r="Q10730" s="5"/>
      <c r="R10730" s="5"/>
      <c r="S10730" s="5"/>
      <c r="T10730" s="5"/>
      <c r="U10730" s="5"/>
      <c r="V10730" s="5"/>
      <c r="W10730" s="5"/>
      <c r="X10730" s="5"/>
      <c r="Y10730" s="5"/>
      <c r="Z10730" s="5"/>
    </row>
    <row r="10731" spans="1:26" ht="15" x14ac:dyDescent="0.25">
      <c r="A10731" s="4" t="s">
        <v>10728</v>
      </c>
      <c r="B10731" s="4" t="s">
        <v>9011</v>
      </c>
      <c r="C10731" s="2" t="str">
        <f ca="1">IFERROR(__xludf.DUMMYFUNCTION("GOOGLETRANSLATE(A10731,""bn"",""en"")"),"There will be new investment")</f>
        <v>There will be new investment</v>
      </c>
      <c r="D10731" s="5"/>
      <c r="E10731" s="5"/>
      <c r="F10731" s="5"/>
      <c r="G10731" s="5"/>
      <c r="H10731" s="5"/>
      <c r="I10731" s="5"/>
      <c r="J10731" s="5"/>
      <c r="K10731" s="5"/>
      <c r="L10731" s="5"/>
      <c r="M10731" s="5"/>
      <c r="N10731" s="5"/>
      <c r="O10731" s="5"/>
      <c r="P10731" s="5"/>
      <c r="Q10731" s="5"/>
      <c r="R10731" s="5"/>
      <c r="S10731" s="5"/>
      <c r="T10731" s="5"/>
      <c r="U10731" s="5"/>
      <c r="V10731" s="5"/>
      <c r="W10731" s="5"/>
      <c r="X10731" s="5"/>
      <c r="Y10731" s="5"/>
      <c r="Z10731" s="5"/>
    </row>
    <row r="10732" spans="1:26" ht="15" x14ac:dyDescent="0.25">
      <c r="A10732" s="4" t="s">
        <v>10729</v>
      </c>
      <c r="B10732" s="4" t="s">
        <v>9011</v>
      </c>
      <c r="C10732" s="2" t="str">
        <f ca="1">IFERROR(__xludf.DUMMYFUNCTION("GOOGLETRANSLATE(A10732,""bn"",""en"")"),"I will send the information")</f>
        <v>I will send the information</v>
      </c>
      <c r="D10732" s="5"/>
      <c r="E10732" s="5"/>
      <c r="F10732" s="5"/>
      <c r="G10732" s="5"/>
      <c r="H10732" s="5"/>
      <c r="I10732" s="5"/>
      <c r="J10732" s="5"/>
      <c r="K10732" s="5"/>
      <c r="L10732" s="5"/>
      <c r="M10732" s="5"/>
      <c r="N10732" s="5"/>
      <c r="O10732" s="5"/>
      <c r="P10732" s="5"/>
      <c r="Q10732" s="5"/>
      <c r="R10732" s="5"/>
      <c r="S10732" s="5"/>
      <c r="T10732" s="5"/>
      <c r="U10732" s="5"/>
      <c r="V10732" s="5"/>
      <c r="W10732" s="5"/>
      <c r="X10732" s="5"/>
      <c r="Y10732" s="5"/>
      <c r="Z10732" s="5"/>
    </row>
    <row r="10733" spans="1:26" ht="15" x14ac:dyDescent="0.25">
      <c r="A10733" s="4" t="s">
        <v>10730</v>
      </c>
      <c r="B10733" s="4" t="s">
        <v>9011</v>
      </c>
      <c r="C10733" s="2" t="str">
        <f ca="1">IFERROR(__xludf.DUMMYFUNCTION("GOOGLETRANSLATE(A10733,""bn"",""en"")"),"I will read the novel")</f>
        <v>I will read the novel</v>
      </c>
      <c r="D10733" s="5"/>
      <c r="E10733" s="5"/>
      <c r="F10733" s="5"/>
      <c r="G10733" s="5"/>
      <c r="H10733" s="5"/>
      <c r="I10733" s="5"/>
      <c r="J10733" s="5"/>
      <c r="K10733" s="5"/>
      <c r="L10733" s="5"/>
      <c r="M10733" s="5"/>
      <c r="N10733" s="5"/>
      <c r="O10733" s="5"/>
      <c r="P10733" s="5"/>
      <c r="Q10733" s="5"/>
      <c r="R10733" s="5"/>
      <c r="S10733" s="5"/>
      <c r="T10733" s="5"/>
      <c r="U10733" s="5"/>
      <c r="V10733" s="5"/>
      <c r="W10733" s="5"/>
      <c r="X10733" s="5"/>
      <c r="Y10733" s="5"/>
      <c r="Z10733" s="5"/>
    </row>
    <row r="10734" spans="1:26" ht="15" x14ac:dyDescent="0.25">
      <c r="A10734" s="4" t="s">
        <v>10731</v>
      </c>
      <c r="B10734" s="4" t="s">
        <v>9011</v>
      </c>
      <c r="C10734" s="2" t="str">
        <f ca="1">IFERROR(__xludf.DUMMYFUNCTION("GOOGLETRANSLATE(A10734,""bn"",""en"")"),"Will continue to write books")</f>
        <v>Will continue to write books</v>
      </c>
      <c r="D10734" s="5"/>
      <c r="E10734" s="5"/>
      <c r="F10734" s="5"/>
      <c r="G10734" s="5"/>
      <c r="H10734" s="5"/>
      <c r="I10734" s="5"/>
      <c r="J10734" s="5"/>
      <c r="K10734" s="5"/>
      <c r="L10734" s="5"/>
      <c r="M10734" s="5"/>
      <c r="N10734" s="5"/>
      <c r="O10734" s="5"/>
      <c r="P10734" s="5"/>
      <c r="Q10734" s="5"/>
      <c r="R10734" s="5"/>
      <c r="S10734" s="5"/>
      <c r="T10734" s="5"/>
      <c r="U10734" s="5"/>
      <c r="V10734" s="5"/>
      <c r="W10734" s="5"/>
      <c r="X10734" s="5"/>
      <c r="Y10734" s="5"/>
      <c r="Z10734" s="5"/>
    </row>
    <row r="10735" spans="1:26" ht="15" x14ac:dyDescent="0.25">
      <c r="A10735" s="4" t="s">
        <v>10732</v>
      </c>
      <c r="B10735" s="4" t="s">
        <v>9011</v>
      </c>
      <c r="C10735" s="2" t="str">
        <f ca="1">IFERROR(__xludf.DUMMYFUNCTION("GOOGLETRANSLATE(A10735,""bn"",""en"")"),"The player will play tennis")</f>
        <v>The player will play tennis</v>
      </c>
      <c r="D10735" s="5"/>
      <c r="E10735" s="5"/>
      <c r="F10735" s="5"/>
      <c r="G10735" s="5"/>
      <c r="H10735" s="5"/>
      <c r="I10735" s="5"/>
      <c r="J10735" s="5"/>
      <c r="K10735" s="5"/>
      <c r="L10735" s="5"/>
      <c r="M10735" s="5"/>
      <c r="N10735" s="5"/>
      <c r="O10735" s="5"/>
      <c r="P10735" s="5"/>
      <c r="Q10735" s="5"/>
      <c r="R10735" s="5"/>
      <c r="S10735" s="5"/>
      <c r="T10735" s="5"/>
      <c r="U10735" s="5"/>
      <c r="V10735" s="5"/>
      <c r="W10735" s="5"/>
      <c r="X10735" s="5"/>
      <c r="Y10735" s="5"/>
      <c r="Z10735" s="5"/>
    </row>
    <row r="10736" spans="1:26" ht="15" x14ac:dyDescent="0.25">
      <c r="A10736" s="4" t="s">
        <v>10733</v>
      </c>
      <c r="B10736" s="4" t="s">
        <v>9011</v>
      </c>
      <c r="C10736" s="2" t="str">
        <f ca="1">IFERROR(__xludf.DUMMYFUNCTION("GOOGLETRANSLATE(A10736,""bn"",""en"")"),"I will use the server")</f>
        <v>I will use the server</v>
      </c>
      <c r="D10736" s="5"/>
      <c r="E10736" s="5"/>
      <c r="F10736" s="5"/>
      <c r="G10736" s="5"/>
      <c r="H10736" s="5"/>
      <c r="I10736" s="5"/>
      <c r="J10736" s="5"/>
      <c r="K10736" s="5"/>
      <c r="L10736" s="5"/>
      <c r="M10736" s="5"/>
      <c r="N10736" s="5"/>
      <c r="O10736" s="5"/>
      <c r="P10736" s="5"/>
      <c r="Q10736" s="5"/>
      <c r="R10736" s="5"/>
      <c r="S10736" s="5"/>
      <c r="T10736" s="5"/>
      <c r="U10736" s="5"/>
      <c r="V10736" s="5"/>
      <c r="W10736" s="5"/>
      <c r="X10736" s="5"/>
      <c r="Y10736" s="5"/>
      <c r="Z10736" s="5"/>
    </row>
    <row r="10737" spans="1:26" ht="15" x14ac:dyDescent="0.25">
      <c r="A10737" s="4" t="s">
        <v>10734</v>
      </c>
      <c r="B10737" s="4" t="s">
        <v>9011</v>
      </c>
      <c r="C10737" s="2" t="str">
        <f ca="1">IFERROR(__xludf.DUMMYFUNCTION("GOOGLETRANSLATE(A10737,""bn"",""en"")"),"I will use the internet")</f>
        <v>I will use the internet</v>
      </c>
      <c r="D10737" s="5"/>
      <c r="E10737" s="5"/>
      <c r="F10737" s="5"/>
      <c r="G10737" s="5"/>
      <c r="H10737" s="5"/>
      <c r="I10737" s="5"/>
      <c r="J10737" s="5"/>
      <c r="K10737" s="5"/>
      <c r="L10737" s="5"/>
      <c r="M10737" s="5"/>
      <c r="N10737" s="5"/>
      <c r="O10737" s="5"/>
      <c r="P10737" s="5"/>
      <c r="Q10737" s="5"/>
      <c r="R10737" s="5"/>
      <c r="S10737" s="5"/>
      <c r="T10737" s="5"/>
      <c r="U10737" s="5"/>
      <c r="V10737" s="5"/>
      <c r="W10737" s="5"/>
      <c r="X10737" s="5"/>
      <c r="Y10737" s="5"/>
      <c r="Z10737" s="5"/>
    </row>
    <row r="10738" spans="1:26" ht="15" x14ac:dyDescent="0.25">
      <c r="A10738" s="4" t="s">
        <v>10735</v>
      </c>
      <c r="B10738" s="4" t="s">
        <v>9011</v>
      </c>
      <c r="C10738" s="2" t="str">
        <f ca="1">IFERROR(__xludf.DUMMYFUNCTION("GOOGLETRANSLATE(A10738,""bn"",""en"")"),"Travel will increase memory")</f>
        <v>Travel will increase memory</v>
      </c>
      <c r="D10738" s="5"/>
      <c r="E10738" s="5"/>
      <c r="F10738" s="5"/>
      <c r="G10738" s="5"/>
      <c r="H10738" s="5"/>
      <c r="I10738" s="5"/>
      <c r="J10738" s="5"/>
      <c r="K10738" s="5"/>
      <c r="L10738" s="5"/>
      <c r="M10738" s="5"/>
      <c r="N10738" s="5"/>
      <c r="O10738" s="5"/>
      <c r="P10738" s="5"/>
      <c r="Q10738" s="5"/>
      <c r="R10738" s="5"/>
      <c r="S10738" s="5"/>
      <c r="T10738" s="5"/>
      <c r="U10738" s="5"/>
      <c r="V10738" s="5"/>
      <c r="W10738" s="5"/>
      <c r="X10738" s="5"/>
      <c r="Y10738" s="5"/>
      <c r="Z10738" s="5"/>
    </row>
    <row r="10739" spans="1:26" ht="15" x14ac:dyDescent="0.25">
      <c r="A10739" s="4" t="s">
        <v>10736</v>
      </c>
      <c r="B10739" s="4" t="s">
        <v>9011</v>
      </c>
      <c r="C10739" s="2" t="str">
        <f ca="1">IFERROR(__xludf.DUMMYFUNCTION("GOOGLETRANSLATE(A10739,""bn"",""en"")"),"Sugar should be eaten")</f>
        <v>Sugar should be eaten</v>
      </c>
      <c r="D10739" s="5"/>
      <c r="E10739" s="5"/>
      <c r="F10739" s="5"/>
      <c r="G10739" s="5"/>
      <c r="H10739" s="5"/>
      <c r="I10739" s="5"/>
      <c r="J10739" s="5"/>
      <c r="K10739" s="5"/>
      <c r="L10739" s="5"/>
      <c r="M10739" s="5"/>
      <c r="N10739" s="5"/>
      <c r="O10739" s="5"/>
      <c r="P10739" s="5"/>
      <c r="Q10739" s="5"/>
      <c r="R10739" s="5"/>
      <c r="S10739" s="5"/>
      <c r="T10739" s="5"/>
      <c r="U10739" s="5"/>
      <c r="V10739" s="5"/>
      <c r="W10739" s="5"/>
      <c r="X10739" s="5"/>
      <c r="Y10739" s="5"/>
      <c r="Z10739" s="5"/>
    </row>
    <row r="10740" spans="1:26" ht="15" x14ac:dyDescent="0.25">
      <c r="A10740" s="4" t="s">
        <v>10737</v>
      </c>
      <c r="B10740" s="4" t="s">
        <v>9011</v>
      </c>
      <c r="C10740" s="2" t="str">
        <f ca="1">IFERROR(__xludf.DUMMYFUNCTION("GOOGLETRANSLATE(A10740,""bn"",""en"")"),"Optimize memory")</f>
        <v>Optimize memory</v>
      </c>
      <c r="D10740" s="5"/>
      <c r="E10740" s="5"/>
      <c r="F10740" s="5"/>
      <c r="G10740" s="5"/>
      <c r="H10740" s="5"/>
      <c r="I10740" s="5"/>
      <c r="J10740" s="5"/>
      <c r="K10740" s="5"/>
      <c r="L10740" s="5"/>
      <c r="M10740" s="5"/>
      <c r="N10740" s="5"/>
      <c r="O10740" s="5"/>
      <c r="P10740" s="5"/>
      <c r="Q10740" s="5"/>
      <c r="R10740" s="5"/>
      <c r="S10740" s="5"/>
      <c r="T10740" s="5"/>
      <c r="U10740" s="5"/>
      <c r="V10740" s="5"/>
      <c r="W10740" s="5"/>
      <c r="X10740" s="5"/>
      <c r="Y10740" s="5"/>
      <c r="Z10740" s="5"/>
    </row>
    <row r="10741" spans="1:26" ht="15" x14ac:dyDescent="0.25">
      <c r="A10741" s="4" t="s">
        <v>10738</v>
      </c>
      <c r="B10741" s="4" t="s">
        <v>9011</v>
      </c>
      <c r="C10741" s="2" t="str">
        <f ca="1">IFERROR(__xludf.DUMMYFUNCTION("GOOGLETRANSLATE(A10741,""bn"",""en"")"),"Poetry will be written")</f>
        <v>Poetry will be written</v>
      </c>
      <c r="D10741" s="5"/>
      <c r="E10741" s="5"/>
      <c r="F10741" s="5"/>
      <c r="G10741" s="5"/>
      <c r="H10741" s="5"/>
      <c r="I10741" s="5"/>
      <c r="J10741" s="5"/>
      <c r="K10741" s="5"/>
      <c r="L10741" s="5"/>
      <c r="M10741" s="5"/>
      <c r="N10741" s="5"/>
      <c r="O10741" s="5"/>
      <c r="P10741" s="5"/>
      <c r="Q10741" s="5"/>
      <c r="R10741" s="5"/>
      <c r="S10741" s="5"/>
      <c r="T10741" s="5"/>
      <c r="U10741" s="5"/>
      <c r="V10741" s="5"/>
      <c r="W10741" s="5"/>
      <c r="X10741" s="5"/>
      <c r="Y10741" s="5"/>
      <c r="Z10741" s="5"/>
    </row>
    <row r="10742" spans="1:26" ht="15" x14ac:dyDescent="0.25">
      <c r="A10742" s="4" t="s">
        <v>10739</v>
      </c>
      <c r="B10742" s="4" t="s">
        <v>9011</v>
      </c>
      <c r="C10742" s="2" t="str">
        <f ca="1">IFERROR(__xludf.DUMMYFUNCTION("GOOGLETRANSLATE(A10742,""bn"",""en"")"),"There will be a hockey match")</f>
        <v>There will be a hockey match</v>
      </c>
      <c r="D10742" s="5"/>
      <c r="E10742" s="5"/>
      <c r="F10742" s="5"/>
      <c r="G10742" s="5"/>
      <c r="H10742" s="5"/>
      <c r="I10742" s="5"/>
      <c r="J10742" s="5"/>
      <c r="K10742" s="5"/>
      <c r="L10742" s="5"/>
      <c r="M10742" s="5"/>
      <c r="N10742" s="5"/>
      <c r="O10742" s="5"/>
      <c r="P10742" s="5"/>
      <c r="Q10742" s="5"/>
      <c r="R10742" s="5"/>
      <c r="S10742" s="5"/>
      <c r="T10742" s="5"/>
      <c r="U10742" s="5"/>
      <c r="V10742" s="5"/>
      <c r="W10742" s="5"/>
      <c r="X10742" s="5"/>
      <c r="Y10742" s="5"/>
      <c r="Z10742" s="5"/>
    </row>
    <row r="10743" spans="1:26" ht="15" x14ac:dyDescent="0.25">
      <c r="A10743" s="4" t="s">
        <v>10740</v>
      </c>
      <c r="B10743" s="4" t="s">
        <v>9011</v>
      </c>
      <c r="C10743" s="2" t="str">
        <f ca="1">IFERROR(__xludf.DUMMYFUNCTION("GOOGLETRANSLATE(A10743,""bn"",""en"")"),"The bank will not be permanent")</f>
        <v>The bank will not be permanent</v>
      </c>
      <c r="D10743" s="5"/>
      <c r="E10743" s="5"/>
      <c r="F10743" s="5"/>
      <c r="G10743" s="5"/>
      <c r="H10743" s="5"/>
      <c r="I10743" s="5"/>
      <c r="J10743" s="5"/>
      <c r="K10743" s="5"/>
      <c r="L10743" s="5"/>
      <c r="M10743" s="5"/>
      <c r="N10743" s="5"/>
      <c r="O10743" s="5"/>
      <c r="P10743" s="5"/>
      <c r="Q10743" s="5"/>
      <c r="R10743" s="5"/>
      <c r="S10743" s="5"/>
      <c r="T10743" s="5"/>
      <c r="U10743" s="5"/>
      <c r="V10743" s="5"/>
      <c r="W10743" s="5"/>
      <c r="X10743" s="5"/>
      <c r="Y10743" s="5"/>
      <c r="Z10743" s="5"/>
    </row>
    <row r="10744" spans="1:26" ht="15" x14ac:dyDescent="0.25">
      <c r="A10744" s="4" t="s">
        <v>10741</v>
      </c>
      <c r="B10744" s="4" t="s">
        <v>9011</v>
      </c>
      <c r="C10744" s="2" t="str">
        <f ca="1">IFERROR(__xludf.DUMMYFUNCTION("GOOGLETRANSLATE(A10744,""bn"",""en"")"),"I will check the bank")</f>
        <v>I will check the bank</v>
      </c>
      <c r="D10744" s="5"/>
      <c r="E10744" s="5"/>
      <c r="F10744" s="5"/>
      <c r="G10744" s="5"/>
      <c r="H10744" s="5"/>
      <c r="I10744" s="5"/>
      <c r="J10744" s="5"/>
      <c r="K10744" s="5"/>
      <c r="L10744" s="5"/>
      <c r="M10744" s="5"/>
      <c r="N10744" s="5"/>
      <c r="O10744" s="5"/>
      <c r="P10744" s="5"/>
      <c r="Q10744" s="5"/>
      <c r="R10744" s="5"/>
      <c r="S10744" s="5"/>
      <c r="T10744" s="5"/>
      <c r="U10744" s="5"/>
      <c r="V10744" s="5"/>
      <c r="W10744" s="5"/>
      <c r="X10744" s="5"/>
      <c r="Y10744" s="5"/>
      <c r="Z10744" s="5"/>
    </row>
    <row r="10745" spans="1:26" ht="15" x14ac:dyDescent="0.25">
      <c r="A10745" s="4" t="s">
        <v>10742</v>
      </c>
      <c r="B10745" s="4" t="s">
        <v>9011</v>
      </c>
      <c r="C10745" s="2" t="str">
        <f ca="1">IFERROR(__xludf.DUMMYFUNCTION("GOOGLETRANSLATE(A10745,""bn"",""en"")"),"I will go to pitha festival")</f>
        <v>I will go to pitha festival</v>
      </c>
      <c r="D10745" s="5"/>
      <c r="E10745" s="5"/>
      <c r="F10745" s="5"/>
      <c r="G10745" s="5"/>
      <c r="H10745" s="5"/>
      <c r="I10745" s="5"/>
      <c r="J10745" s="5"/>
      <c r="K10745" s="5"/>
      <c r="L10745" s="5"/>
      <c r="M10745" s="5"/>
      <c r="N10745" s="5"/>
      <c r="O10745" s="5"/>
      <c r="P10745" s="5"/>
      <c r="Q10745" s="5"/>
      <c r="R10745" s="5"/>
      <c r="S10745" s="5"/>
      <c r="T10745" s="5"/>
      <c r="U10745" s="5"/>
      <c r="V10745" s="5"/>
      <c r="W10745" s="5"/>
      <c r="X10745" s="5"/>
      <c r="Y10745" s="5"/>
      <c r="Z10745" s="5"/>
    </row>
    <row r="10746" spans="1:26" ht="15" x14ac:dyDescent="0.25">
      <c r="A10746" s="4" t="s">
        <v>10743</v>
      </c>
      <c r="B10746" s="4" t="s">
        <v>9011</v>
      </c>
      <c r="C10746" s="2" t="str">
        <f ca="1">IFERROR(__xludf.DUMMYFUNCTION("GOOGLETRANSLATE(A10746,""bn"",""en"")"),"Do the test")</f>
        <v>Do the test</v>
      </c>
      <c r="D10746" s="5"/>
      <c r="E10746" s="5"/>
      <c r="F10746" s="5"/>
      <c r="G10746" s="5"/>
      <c r="H10746" s="5"/>
      <c r="I10746" s="5"/>
      <c r="J10746" s="5"/>
      <c r="K10746" s="5"/>
      <c r="L10746" s="5"/>
      <c r="M10746" s="5"/>
      <c r="N10746" s="5"/>
      <c r="O10746" s="5"/>
      <c r="P10746" s="5"/>
      <c r="Q10746" s="5"/>
      <c r="R10746" s="5"/>
      <c r="S10746" s="5"/>
      <c r="T10746" s="5"/>
      <c r="U10746" s="5"/>
      <c r="V10746" s="5"/>
      <c r="W10746" s="5"/>
      <c r="X10746" s="5"/>
      <c r="Y10746" s="5"/>
      <c r="Z10746" s="5"/>
    </row>
    <row r="10747" spans="1:26" ht="15" x14ac:dyDescent="0.25">
      <c r="A10747" s="4" t="s">
        <v>10744</v>
      </c>
      <c r="B10747" s="4" t="s">
        <v>9011</v>
      </c>
      <c r="C10747" s="2" t="str">
        <f ca="1">IFERROR(__xludf.DUMMYFUNCTION("GOOGLETRANSLATE(A10747,""bn"",""en"")"),"Will play football")</f>
        <v>Will play football</v>
      </c>
      <c r="D10747" s="5"/>
      <c r="E10747" s="5"/>
      <c r="F10747" s="5"/>
      <c r="G10747" s="5"/>
      <c r="H10747" s="5"/>
      <c r="I10747" s="5"/>
      <c r="J10747" s="5"/>
      <c r="K10747" s="5"/>
      <c r="L10747" s="5"/>
      <c r="M10747" s="5"/>
      <c r="N10747" s="5"/>
      <c r="O10747" s="5"/>
      <c r="P10747" s="5"/>
      <c r="Q10747" s="5"/>
      <c r="R10747" s="5"/>
      <c r="S10747" s="5"/>
      <c r="T10747" s="5"/>
      <c r="U10747" s="5"/>
      <c r="V10747" s="5"/>
      <c r="W10747" s="5"/>
      <c r="X10747" s="5"/>
      <c r="Y10747" s="5"/>
      <c r="Z10747" s="5"/>
    </row>
    <row r="10748" spans="1:26" ht="15" x14ac:dyDescent="0.25">
      <c r="A10748" s="4" t="s">
        <v>10745</v>
      </c>
      <c r="B10748" s="4" t="s">
        <v>9011</v>
      </c>
      <c r="C10748" s="2" t="str">
        <f ca="1">IFERROR(__xludf.DUMMYFUNCTION("GOOGLETRANSLATE(A10748,""bn"",""en"")"),"Will review cashflow")</f>
        <v>Will review cashflow</v>
      </c>
      <c r="D10748" s="5"/>
      <c r="E10748" s="5"/>
      <c r="F10748" s="5"/>
      <c r="G10748" s="5"/>
      <c r="H10748" s="5"/>
      <c r="I10748" s="5"/>
      <c r="J10748" s="5"/>
      <c r="K10748" s="5"/>
      <c r="L10748" s="5"/>
      <c r="M10748" s="5"/>
      <c r="N10748" s="5"/>
      <c r="O10748" s="5"/>
      <c r="P10748" s="5"/>
      <c r="Q10748" s="5"/>
      <c r="R10748" s="5"/>
      <c r="S10748" s="5"/>
      <c r="T10748" s="5"/>
      <c r="U10748" s="5"/>
      <c r="V10748" s="5"/>
      <c r="W10748" s="5"/>
      <c r="X10748" s="5"/>
      <c r="Y10748" s="5"/>
      <c r="Z10748" s="5"/>
    </row>
    <row r="10749" spans="1:26" ht="15" x14ac:dyDescent="0.25">
      <c r="A10749" s="4" t="s">
        <v>10746</v>
      </c>
      <c r="B10749" s="4" t="s">
        <v>9011</v>
      </c>
      <c r="C10749" s="2" t="str">
        <f ca="1">IFERROR(__xludf.DUMMYFUNCTION("GOOGLETRANSLATE(A10749,""bn"",""en"")"),"I will not keep money in the account")</f>
        <v>I will not keep money in the account</v>
      </c>
      <c r="D10749" s="5"/>
      <c r="E10749" s="5"/>
      <c r="F10749" s="5"/>
      <c r="G10749" s="5"/>
      <c r="H10749" s="5"/>
      <c r="I10749" s="5"/>
      <c r="J10749" s="5"/>
      <c r="K10749" s="5"/>
      <c r="L10749" s="5"/>
      <c r="M10749" s="5"/>
      <c r="N10749" s="5"/>
      <c r="O10749" s="5"/>
      <c r="P10749" s="5"/>
      <c r="Q10749" s="5"/>
      <c r="R10749" s="5"/>
      <c r="S10749" s="5"/>
      <c r="T10749" s="5"/>
      <c r="U10749" s="5"/>
      <c r="V10749" s="5"/>
      <c r="W10749" s="5"/>
      <c r="X10749" s="5"/>
      <c r="Y10749" s="5"/>
      <c r="Z10749" s="5"/>
    </row>
    <row r="10750" spans="1:26" ht="15" x14ac:dyDescent="0.25">
      <c r="A10750" s="4" t="s">
        <v>10747</v>
      </c>
      <c r="B10750" s="4" t="s">
        <v>9011</v>
      </c>
      <c r="C10750" s="2" t="str">
        <f ca="1">IFERROR(__xludf.DUMMYFUNCTION("GOOGLETRANSLATE(A10750,""bn"",""en"")"),"I will see the passbook")</f>
        <v>I will see the passbook</v>
      </c>
      <c r="D10750" s="5"/>
      <c r="E10750" s="5"/>
      <c r="F10750" s="5"/>
      <c r="G10750" s="5"/>
      <c r="H10750" s="5"/>
      <c r="I10750" s="5"/>
      <c r="J10750" s="5"/>
      <c r="K10750" s="5"/>
      <c r="L10750" s="5"/>
      <c r="M10750" s="5"/>
      <c r="N10750" s="5"/>
      <c r="O10750" s="5"/>
      <c r="P10750" s="5"/>
      <c r="Q10750" s="5"/>
      <c r="R10750" s="5"/>
      <c r="S10750" s="5"/>
      <c r="T10750" s="5"/>
      <c r="U10750" s="5"/>
      <c r="V10750" s="5"/>
      <c r="W10750" s="5"/>
      <c r="X10750" s="5"/>
      <c r="Y10750" s="5"/>
      <c r="Z10750" s="5"/>
    </row>
    <row r="10751" spans="1:26" ht="15" x14ac:dyDescent="0.25">
      <c r="A10751" s="4" t="s">
        <v>10748</v>
      </c>
      <c r="B10751" s="4" t="s">
        <v>9011</v>
      </c>
      <c r="C10751" s="2" t="str">
        <f ca="1">IFERROR(__xludf.DUMMYFUNCTION("GOOGLETRANSLATE(A10751,""bn"",""en"")"),"I will continue to buy books")</f>
        <v>I will continue to buy books</v>
      </c>
      <c r="D10751" s="5"/>
      <c r="E10751" s="5"/>
      <c r="F10751" s="5"/>
      <c r="G10751" s="5"/>
      <c r="H10751" s="5"/>
      <c r="I10751" s="5"/>
      <c r="J10751" s="5"/>
      <c r="K10751" s="5"/>
      <c r="L10751" s="5"/>
      <c r="M10751" s="5"/>
      <c r="N10751" s="5"/>
      <c r="O10751" s="5"/>
      <c r="P10751" s="5"/>
      <c r="Q10751" s="5"/>
      <c r="R10751" s="5"/>
      <c r="S10751" s="5"/>
      <c r="T10751" s="5"/>
      <c r="U10751" s="5"/>
      <c r="V10751" s="5"/>
      <c r="W10751" s="5"/>
      <c r="X10751" s="5"/>
      <c r="Y10751" s="5"/>
      <c r="Z10751" s="5"/>
    </row>
    <row r="10752" spans="1:26" ht="15" x14ac:dyDescent="0.25">
      <c r="A10752" s="4" t="s">
        <v>10749</v>
      </c>
      <c r="B10752" s="4" t="s">
        <v>9011</v>
      </c>
      <c r="C10752" s="2" t="str">
        <f ca="1">IFERROR(__xludf.DUMMYFUNCTION("GOOGLETRANSLATE(A10752,""bn"",""en"")"),"I will listen to music")</f>
        <v>I will listen to music</v>
      </c>
      <c r="D10752" s="5"/>
      <c r="E10752" s="5"/>
      <c r="F10752" s="5"/>
      <c r="G10752" s="5"/>
      <c r="H10752" s="5"/>
      <c r="I10752" s="5"/>
      <c r="J10752" s="5"/>
      <c r="K10752" s="5"/>
      <c r="L10752" s="5"/>
      <c r="M10752" s="5"/>
      <c r="N10752" s="5"/>
      <c r="O10752" s="5"/>
      <c r="P10752" s="5"/>
      <c r="Q10752" s="5"/>
      <c r="R10752" s="5"/>
      <c r="S10752" s="5"/>
      <c r="T10752" s="5"/>
      <c r="U10752" s="5"/>
      <c r="V10752" s="5"/>
      <c r="W10752" s="5"/>
      <c r="X10752" s="5"/>
      <c r="Y10752" s="5"/>
      <c r="Z10752" s="5"/>
    </row>
    <row r="10753" spans="1:26" ht="15" x14ac:dyDescent="0.25">
      <c r="A10753" s="4" t="s">
        <v>10750</v>
      </c>
      <c r="B10753" s="4" t="s">
        <v>9011</v>
      </c>
      <c r="C10753" s="2" t="str">
        <f ca="1">IFERROR(__xludf.DUMMYFUNCTION("GOOGLETRANSLATE(A10753,""bn"",""en"")"),"We will buy burgers")</f>
        <v>We will buy burgers</v>
      </c>
      <c r="D10753" s="5"/>
      <c r="E10753" s="5"/>
      <c r="F10753" s="5"/>
      <c r="G10753" s="5"/>
      <c r="H10753" s="5"/>
      <c r="I10753" s="5"/>
      <c r="J10753" s="5"/>
      <c r="K10753" s="5"/>
      <c r="L10753" s="5"/>
      <c r="M10753" s="5"/>
      <c r="N10753" s="5"/>
      <c r="O10753" s="5"/>
      <c r="P10753" s="5"/>
      <c r="Q10753" s="5"/>
      <c r="R10753" s="5"/>
      <c r="S10753" s="5"/>
      <c r="T10753" s="5"/>
      <c r="U10753" s="5"/>
      <c r="V10753" s="5"/>
      <c r="W10753" s="5"/>
      <c r="X10753" s="5"/>
      <c r="Y10753" s="5"/>
      <c r="Z10753" s="5"/>
    </row>
    <row r="10754" spans="1:26" ht="15" x14ac:dyDescent="0.25">
      <c r="A10754" s="4" t="s">
        <v>10751</v>
      </c>
      <c r="B10754" s="4" t="s">
        <v>9011</v>
      </c>
      <c r="C10754" s="2" t="str">
        <f ca="1">IFERROR(__xludf.DUMMYFUNCTION("GOOGLETRANSLATE(A10754,""bn"",""en"")"),"I will like politics")</f>
        <v>I will like politics</v>
      </c>
      <c r="D10754" s="5"/>
      <c r="E10754" s="5"/>
      <c r="F10754" s="5"/>
      <c r="G10754" s="5"/>
      <c r="H10754" s="5"/>
      <c r="I10754" s="5"/>
      <c r="J10754" s="5"/>
      <c r="K10754" s="5"/>
      <c r="L10754" s="5"/>
      <c r="M10754" s="5"/>
      <c r="N10754" s="5"/>
      <c r="O10754" s="5"/>
      <c r="P10754" s="5"/>
      <c r="Q10754" s="5"/>
      <c r="R10754" s="5"/>
      <c r="S10754" s="5"/>
      <c r="T10754" s="5"/>
      <c r="U10754" s="5"/>
      <c r="V10754" s="5"/>
      <c r="W10754" s="5"/>
      <c r="X10754" s="5"/>
      <c r="Y10754" s="5"/>
      <c r="Z10754" s="5"/>
    </row>
    <row r="10755" spans="1:26" ht="15" x14ac:dyDescent="0.25">
      <c r="A10755" s="4" t="s">
        <v>10752</v>
      </c>
      <c r="B10755" s="4" t="s">
        <v>9011</v>
      </c>
      <c r="C10755" s="2" t="str">
        <f ca="1">IFERROR(__xludf.DUMMYFUNCTION("GOOGLETRANSLATE(A10755,""bn"",""en"")"),"I will read sandhi in grammar")</f>
        <v>I will read sandhi in grammar</v>
      </c>
      <c r="D10755" s="5"/>
      <c r="E10755" s="5"/>
      <c r="F10755" s="5"/>
      <c r="G10755" s="5"/>
      <c r="H10755" s="5"/>
      <c r="I10755" s="5"/>
      <c r="J10755" s="5"/>
      <c r="K10755" s="5"/>
      <c r="L10755" s="5"/>
      <c r="M10755" s="5"/>
      <c r="N10755" s="5"/>
      <c r="O10755" s="5"/>
      <c r="P10755" s="5"/>
      <c r="Q10755" s="5"/>
      <c r="R10755" s="5"/>
      <c r="S10755" s="5"/>
      <c r="T10755" s="5"/>
      <c r="U10755" s="5"/>
      <c r="V10755" s="5"/>
      <c r="W10755" s="5"/>
      <c r="X10755" s="5"/>
      <c r="Y10755" s="5"/>
      <c r="Z10755" s="5"/>
    </row>
    <row r="10756" spans="1:26" ht="15" x14ac:dyDescent="0.25">
      <c r="A10756" s="4" t="s">
        <v>10753</v>
      </c>
      <c r="B10756" s="4" t="s">
        <v>9011</v>
      </c>
      <c r="C10756" s="2" t="str">
        <f ca="1">IFERROR(__xludf.DUMMYFUNCTION("GOOGLETRANSLATE(A10756,""bn"",""en"")"),"There will be acting school")</f>
        <v>There will be acting school</v>
      </c>
      <c r="D10756" s="5"/>
      <c r="E10756" s="5"/>
      <c r="F10756" s="5"/>
      <c r="G10756" s="5"/>
      <c r="H10756" s="5"/>
      <c r="I10756" s="5"/>
      <c r="J10756" s="5"/>
      <c r="K10756" s="5"/>
      <c r="L10756" s="5"/>
      <c r="M10756" s="5"/>
      <c r="N10756" s="5"/>
      <c r="O10756" s="5"/>
      <c r="P10756" s="5"/>
      <c r="Q10756" s="5"/>
      <c r="R10756" s="5"/>
      <c r="S10756" s="5"/>
      <c r="T10756" s="5"/>
      <c r="U10756" s="5"/>
      <c r="V10756" s="5"/>
      <c r="W10756" s="5"/>
      <c r="X10756" s="5"/>
      <c r="Y10756" s="5"/>
      <c r="Z10756" s="5"/>
    </row>
    <row r="10757" spans="1:26" ht="15" x14ac:dyDescent="0.25">
      <c r="A10757" s="4" t="s">
        <v>10754</v>
      </c>
      <c r="B10757" s="4" t="s">
        <v>9011</v>
      </c>
      <c r="C10757" s="2" t="str">
        <f ca="1">IFERROR(__xludf.DUMMYFUNCTION("GOOGLETRANSLATE(A10757,""bn"",""en"")"),"The player will strike")</f>
        <v>The player will strike</v>
      </c>
      <c r="D10757" s="5"/>
      <c r="E10757" s="5"/>
      <c r="F10757" s="5"/>
      <c r="G10757" s="5"/>
      <c r="H10757" s="5"/>
      <c r="I10757" s="5"/>
      <c r="J10757" s="5"/>
      <c r="K10757" s="5"/>
      <c r="L10757" s="5"/>
      <c r="M10757" s="5"/>
      <c r="N10757" s="5"/>
      <c r="O10757" s="5"/>
      <c r="P10757" s="5"/>
      <c r="Q10757" s="5"/>
      <c r="R10757" s="5"/>
      <c r="S10757" s="5"/>
      <c r="T10757" s="5"/>
      <c r="U10757" s="5"/>
      <c r="V10757" s="5"/>
      <c r="W10757" s="5"/>
      <c r="X10757" s="5"/>
      <c r="Y10757" s="5"/>
      <c r="Z10757" s="5"/>
    </row>
    <row r="10758" spans="1:26" ht="15" x14ac:dyDescent="0.25">
      <c r="A10758" s="4" t="s">
        <v>10755</v>
      </c>
      <c r="B10758" s="4" t="s">
        <v>9011</v>
      </c>
      <c r="C10758" s="2" t="str">
        <f ca="1">IFERROR(__xludf.DUMMYFUNCTION("GOOGLETRANSLATE(A10758,""bn"",""en"")"),"I will use the robot")</f>
        <v>I will use the robot</v>
      </c>
      <c r="D10758" s="5"/>
      <c r="E10758" s="5"/>
      <c r="F10758" s="5"/>
      <c r="G10758" s="5"/>
      <c r="H10758" s="5"/>
      <c r="I10758" s="5"/>
      <c r="J10758" s="5"/>
      <c r="K10758" s="5"/>
      <c r="L10758" s="5"/>
      <c r="M10758" s="5"/>
      <c r="N10758" s="5"/>
      <c r="O10758" s="5"/>
      <c r="P10758" s="5"/>
      <c r="Q10758" s="5"/>
      <c r="R10758" s="5"/>
      <c r="S10758" s="5"/>
      <c r="T10758" s="5"/>
      <c r="U10758" s="5"/>
      <c r="V10758" s="5"/>
      <c r="W10758" s="5"/>
      <c r="X10758" s="5"/>
      <c r="Y10758" s="5"/>
      <c r="Z10758" s="5"/>
    </row>
    <row r="10759" spans="1:26" ht="15" x14ac:dyDescent="0.25">
      <c r="A10759" s="4" t="s">
        <v>10756</v>
      </c>
      <c r="B10759" s="4" t="s">
        <v>9011</v>
      </c>
      <c r="C10759" s="2" t="str">
        <f ca="1">IFERROR(__xludf.DUMMYFUNCTION("GOOGLETRANSLATE(A10759,""bn"",""en"")"),"I will buy a new computer")</f>
        <v>I will buy a new computer</v>
      </c>
      <c r="D10759" s="5"/>
      <c r="E10759" s="5"/>
      <c r="F10759" s="5"/>
      <c r="G10759" s="5"/>
      <c r="H10759" s="5"/>
      <c r="I10759" s="5"/>
      <c r="J10759" s="5"/>
      <c r="K10759" s="5"/>
      <c r="L10759" s="5"/>
      <c r="M10759" s="5"/>
      <c r="N10759" s="5"/>
      <c r="O10759" s="5"/>
      <c r="P10759" s="5"/>
      <c r="Q10759" s="5"/>
      <c r="R10759" s="5"/>
      <c r="S10759" s="5"/>
      <c r="T10759" s="5"/>
      <c r="U10759" s="5"/>
      <c r="V10759" s="5"/>
      <c r="W10759" s="5"/>
      <c r="X10759" s="5"/>
      <c r="Y10759" s="5"/>
      <c r="Z10759" s="5"/>
    </row>
    <row r="10760" spans="1:26" ht="15" x14ac:dyDescent="0.25">
      <c r="A10760" s="4" t="s">
        <v>10757</v>
      </c>
      <c r="B10760" s="4" t="s">
        <v>9011</v>
      </c>
      <c r="C10760" s="2" t="str">
        <f ca="1">IFERROR(__xludf.DUMMYFUNCTION("GOOGLETRANSLATE(A10760,""bn"",""en"")"),"Commercial business will increase")</f>
        <v>Commercial business will increase</v>
      </c>
      <c r="D10760" s="5"/>
      <c r="E10760" s="5"/>
      <c r="F10760" s="5"/>
      <c r="G10760" s="5"/>
      <c r="H10760" s="5"/>
      <c r="I10760" s="5"/>
      <c r="J10760" s="5"/>
      <c r="K10760" s="5"/>
      <c r="L10760" s="5"/>
      <c r="M10760" s="5"/>
      <c r="N10760" s="5"/>
      <c r="O10760" s="5"/>
      <c r="P10760" s="5"/>
      <c r="Q10760" s="5"/>
      <c r="R10760" s="5"/>
      <c r="S10760" s="5"/>
      <c r="T10760" s="5"/>
      <c r="U10760" s="5"/>
      <c r="V10760" s="5"/>
      <c r="W10760" s="5"/>
      <c r="X10760" s="5"/>
      <c r="Y10760" s="5"/>
      <c r="Z10760" s="5"/>
    </row>
    <row r="10761" spans="1:26" ht="15" x14ac:dyDescent="0.25">
      <c r="A10761" s="4" t="s">
        <v>10758</v>
      </c>
      <c r="B10761" s="4" t="s">
        <v>9011</v>
      </c>
      <c r="C10761" s="2" t="str">
        <f ca="1">IFERROR(__xludf.DUMMYFUNCTION("GOOGLETRANSLATE(A10761,""bn"",""en"")"),"Will do strategic planning")</f>
        <v>Will do strategic planning</v>
      </c>
      <c r="D10761" s="5"/>
      <c r="E10761" s="5"/>
      <c r="F10761" s="5"/>
      <c r="G10761" s="5"/>
      <c r="H10761" s="5"/>
      <c r="I10761" s="5"/>
      <c r="J10761" s="5"/>
      <c r="K10761" s="5"/>
      <c r="L10761" s="5"/>
      <c r="M10761" s="5"/>
      <c r="N10761" s="5"/>
      <c r="O10761" s="5"/>
      <c r="P10761" s="5"/>
      <c r="Q10761" s="5"/>
      <c r="R10761" s="5"/>
      <c r="S10761" s="5"/>
      <c r="T10761" s="5"/>
      <c r="U10761" s="5"/>
      <c r="V10761" s="5"/>
      <c r="W10761" s="5"/>
      <c r="X10761" s="5"/>
      <c r="Y10761" s="5"/>
      <c r="Z10761" s="5"/>
    </row>
    <row r="10762" spans="1:26" ht="15" x14ac:dyDescent="0.25">
      <c r="A10762" s="4" t="s">
        <v>10759</v>
      </c>
      <c r="B10762" s="4" t="s">
        <v>9011</v>
      </c>
      <c r="C10762" s="2" t="str">
        <f ca="1">IFERROR(__xludf.DUMMYFUNCTION("GOOGLETRANSLATE(A10762,""bn"",""en"")"),"Invest properly")</f>
        <v>Invest properly</v>
      </c>
      <c r="D10762" s="5"/>
      <c r="E10762" s="5"/>
      <c r="F10762" s="5"/>
      <c r="G10762" s="5"/>
      <c r="H10762" s="5"/>
      <c r="I10762" s="5"/>
      <c r="J10762" s="5"/>
      <c r="K10762" s="5"/>
      <c r="L10762" s="5"/>
      <c r="M10762" s="5"/>
      <c r="N10762" s="5"/>
      <c r="O10762" s="5"/>
      <c r="P10762" s="5"/>
      <c r="Q10762" s="5"/>
      <c r="R10762" s="5"/>
      <c r="S10762" s="5"/>
      <c r="T10762" s="5"/>
      <c r="U10762" s="5"/>
      <c r="V10762" s="5"/>
      <c r="W10762" s="5"/>
      <c r="X10762" s="5"/>
      <c r="Y10762" s="5"/>
      <c r="Z10762" s="5"/>
    </row>
    <row r="10763" spans="1:26" ht="15" x14ac:dyDescent="0.25">
      <c r="A10763" s="4" t="s">
        <v>10760</v>
      </c>
      <c r="B10763" s="4" t="s">
        <v>9011</v>
      </c>
      <c r="C10763" s="2" t="str">
        <f ca="1">IFERROR(__xludf.DUMMYFUNCTION("GOOGLETRANSLATE(A10763,""bn"",""en"")"),"The actor will dance in the movie")</f>
        <v>The actor will dance in the movie</v>
      </c>
      <c r="D10763" s="5"/>
      <c r="E10763" s="5"/>
      <c r="F10763" s="5"/>
      <c r="G10763" s="5"/>
      <c r="H10763" s="5"/>
      <c r="I10763" s="5"/>
      <c r="J10763" s="5"/>
      <c r="K10763" s="5"/>
      <c r="L10763" s="5"/>
      <c r="M10763" s="5"/>
      <c r="N10763" s="5"/>
      <c r="O10763" s="5"/>
      <c r="P10763" s="5"/>
      <c r="Q10763" s="5"/>
      <c r="R10763" s="5"/>
      <c r="S10763" s="5"/>
      <c r="T10763" s="5"/>
      <c r="U10763" s="5"/>
      <c r="V10763" s="5"/>
      <c r="W10763" s="5"/>
      <c r="X10763" s="5"/>
      <c r="Y10763" s="5"/>
      <c r="Z10763" s="5"/>
    </row>
    <row r="10764" spans="1:26" ht="15" x14ac:dyDescent="0.25">
      <c r="A10764" s="4" t="s">
        <v>10761</v>
      </c>
      <c r="B10764" s="4" t="s">
        <v>9011</v>
      </c>
      <c r="C10764" s="2" t="str">
        <f ca="1">IFERROR(__xludf.DUMMYFUNCTION("GOOGLETRANSLATE(A10764,""bn"",""en"")"),"Credit card will be approved")</f>
        <v>Credit card will be approved</v>
      </c>
      <c r="D10764" s="5"/>
      <c r="E10764" s="5"/>
      <c r="F10764" s="5"/>
      <c r="G10764" s="5"/>
      <c r="H10764" s="5"/>
      <c r="I10764" s="5"/>
      <c r="J10764" s="5"/>
      <c r="K10764" s="5"/>
      <c r="L10764" s="5"/>
      <c r="M10764" s="5"/>
      <c r="N10764" s="5"/>
      <c r="O10764" s="5"/>
      <c r="P10764" s="5"/>
      <c r="Q10764" s="5"/>
      <c r="R10764" s="5"/>
      <c r="S10764" s="5"/>
      <c r="T10764" s="5"/>
      <c r="U10764" s="5"/>
      <c r="V10764" s="5"/>
      <c r="W10764" s="5"/>
      <c r="X10764" s="5"/>
      <c r="Y10764" s="5"/>
      <c r="Z10764" s="5"/>
    </row>
    <row r="10765" spans="1:26" ht="15" x14ac:dyDescent="0.25">
      <c r="A10765" s="4" t="s">
        <v>10762</v>
      </c>
      <c r="B10765" s="4" t="s">
        <v>9011</v>
      </c>
      <c r="C10765" s="2" t="str">
        <f ca="1">IFERROR(__xludf.DUMMYFUNCTION("GOOGLETRANSLATE(A10765,""bn"",""en"")"),"We will eat Halim")</f>
        <v>We will eat Halim</v>
      </c>
      <c r="D10765" s="5"/>
      <c r="E10765" s="5"/>
      <c r="F10765" s="5"/>
      <c r="G10765" s="5"/>
      <c r="H10765" s="5"/>
      <c r="I10765" s="5"/>
      <c r="J10765" s="5"/>
      <c r="K10765" s="5"/>
      <c r="L10765" s="5"/>
      <c r="M10765" s="5"/>
      <c r="N10765" s="5"/>
      <c r="O10765" s="5"/>
      <c r="P10765" s="5"/>
      <c r="Q10765" s="5"/>
      <c r="R10765" s="5"/>
      <c r="S10765" s="5"/>
      <c r="T10765" s="5"/>
      <c r="U10765" s="5"/>
      <c r="V10765" s="5"/>
      <c r="W10765" s="5"/>
      <c r="X10765" s="5"/>
      <c r="Y10765" s="5"/>
      <c r="Z10765" s="5"/>
    </row>
    <row r="10766" spans="1:26" ht="15" x14ac:dyDescent="0.25">
      <c r="A10766" s="4" t="s">
        <v>10763</v>
      </c>
      <c r="B10766" s="4" t="s">
        <v>9011</v>
      </c>
      <c r="C10766" s="2" t="str">
        <f ca="1">IFERROR(__xludf.DUMMYFUNCTION("GOOGLETRANSLATE(A10766,""bn"",""en"")"),"We will cook Haleem")</f>
        <v>We will cook Haleem</v>
      </c>
      <c r="D10766" s="5"/>
      <c r="E10766" s="5"/>
      <c r="F10766" s="5"/>
      <c r="G10766" s="5"/>
      <c r="H10766" s="5"/>
      <c r="I10766" s="5"/>
      <c r="J10766" s="5"/>
      <c r="K10766" s="5"/>
      <c r="L10766" s="5"/>
      <c r="M10766" s="5"/>
      <c r="N10766" s="5"/>
      <c r="O10766" s="5"/>
      <c r="P10766" s="5"/>
      <c r="Q10766" s="5"/>
      <c r="R10766" s="5"/>
      <c r="S10766" s="5"/>
      <c r="T10766" s="5"/>
      <c r="U10766" s="5"/>
      <c r="V10766" s="5"/>
      <c r="W10766" s="5"/>
      <c r="X10766" s="5"/>
      <c r="Y10766" s="5"/>
      <c r="Z10766" s="5"/>
    </row>
    <row r="10767" spans="1:26" ht="15" x14ac:dyDescent="0.25">
      <c r="A10767" s="4" t="s">
        <v>10764</v>
      </c>
      <c r="B10767" s="4" t="s">
        <v>9011</v>
      </c>
      <c r="C10767" s="2" t="str">
        <f ca="1">IFERROR(__xludf.DUMMYFUNCTION("GOOGLETRANSLATE(A10767,""bn"",""en"")"),"He will give chocolate")</f>
        <v>He will give chocolate</v>
      </c>
      <c r="D10767" s="5"/>
      <c r="E10767" s="5"/>
      <c r="F10767" s="5"/>
      <c r="G10767" s="5"/>
      <c r="H10767" s="5"/>
      <c r="I10767" s="5"/>
      <c r="J10767" s="5"/>
      <c r="K10767" s="5"/>
      <c r="L10767" s="5"/>
      <c r="M10767" s="5"/>
      <c r="N10767" s="5"/>
      <c r="O10767" s="5"/>
      <c r="P10767" s="5"/>
      <c r="Q10767" s="5"/>
      <c r="R10767" s="5"/>
      <c r="S10767" s="5"/>
      <c r="T10767" s="5"/>
      <c r="U10767" s="5"/>
      <c r="V10767" s="5"/>
      <c r="W10767" s="5"/>
      <c r="X10767" s="5"/>
      <c r="Y10767" s="5"/>
      <c r="Z10767" s="5"/>
    </row>
    <row r="10768" spans="1:26" ht="15" x14ac:dyDescent="0.25">
      <c r="A10768" s="4" t="s">
        <v>10765</v>
      </c>
      <c r="B10768" s="4" t="s">
        <v>9011</v>
      </c>
      <c r="C10768" s="2" t="str">
        <f ca="1">IFERROR(__xludf.DUMMYFUNCTION("GOOGLETRANSLATE(A10768,""bn"",""en"")"),"Keep paying checks")</f>
        <v>Keep paying checks</v>
      </c>
      <c r="D10768" s="5"/>
      <c r="E10768" s="5"/>
      <c r="F10768" s="5"/>
      <c r="G10768" s="5"/>
      <c r="H10768" s="5"/>
      <c r="I10768" s="5"/>
      <c r="J10768" s="5"/>
      <c r="K10768" s="5"/>
      <c r="L10768" s="5"/>
      <c r="M10768" s="5"/>
      <c r="N10768" s="5"/>
      <c r="O10768" s="5"/>
      <c r="P10768" s="5"/>
      <c r="Q10768" s="5"/>
      <c r="R10768" s="5"/>
      <c r="S10768" s="5"/>
      <c r="T10768" s="5"/>
      <c r="U10768" s="5"/>
      <c r="V10768" s="5"/>
      <c r="W10768" s="5"/>
      <c r="X10768" s="5"/>
      <c r="Y10768" s="5"/>
      <c r="Z10768" s="5"/>
    </row>
    <row r="10769" spans="1:26" ht="15" x14ac:dyDescent="0.25">
      <c r="A10769" s="4" t="s">
        <v>10766</v>
      </c>
      <c r="B10769" s="4" t="s">
        <v>9011</v>
      </c>
      <c r="C10769" s="2" t="str">
        <f ca="1">IFERROR(__xludf.DUMMYFUNCTION("GOOGLETRANSLATE(A10769,""bn"",""en"")"),"Food will provide vitality")</f>
        <v>Food will provide vitality</v>
      </c>
      <c r="D10769" s="5"/>
      <c r="E10769" s="5"/>
      <c r="F10769" s="5"/>
      <c r="G10769" s="5"/>
      <c r="H10769" s="5"/>
      <c r="I10769" s="5"/>
      <c r="J10769" s="5"/>
      <c r="K10769" s="5"/>
      <c r="L10769" s="5"/>
      <c r="M10769" s="5"/>
      <c r="N10769" s="5"/>
      <c r="O10769" s="5"/>
      <c r="P10769" s="5"/>
      <c r="Q10769" s="5"/>
      <c r="R10769" s="5"/>
      <c r="S10769" s="5"/>
      <c r="T10769" s="5"/>
      <c r="U10769" s="5"/>
      <c r="V10769" s="5"/>
      <c r="W10769" s="5"/>
      <c r="X10769" s="5"/>
      <c r="Y10769" s="5"/>
      <c r="Z10769" s="5"/>
    </row>
    <row r="10770" spans="1:26" ht="15" x14ac:dyDescent="0.25">
      <c r="A10770" s="4" t="s">
        <v>10767</v>
      </c>
      <c r="B10770" s="4" t="s">
        <v>9011</v>
      </c>
      <c r="C10770" s="2" t="str">
        <f ca="1">IFERROR(__xludf.DUMMYFUNCTION("GOOGLETRANSLATE(A10770,""bn"",""en"")"),"The program will be debugged")</f>
        <v>The program will be debugged</v>
      </c>
      <c r="D10770" s="5"/>
      <c r="E10770" s="5"/>
      <c r="F10770" s="5"/>
      <c r="G10770" s="5"/>
      <c r="H10770" s="5"/>
      <c r="I10770" s="5"/>
      <c r="J10770" s="5"/>
      <c r="K10770" s="5"/>
      <c r="L10770" s="5"/>
      <c r="M10770" s="5"/>
      <c r="N10770" s="5"/>
      <c r="O10770" s="5"/>
      <c r="P10770" s="5"/>
      <c r="Q10770" s="5"/>
      <c r="R10770" s="5"/>
      <c r="S10770" s="5"/>
      <c r="T10770" s="5"/>
      <c r="U10770" s="5"/>
      <c r="V10770" s="5"/>
      <c r="W10770" s="5"/>
      <c r="X10770" s="5"/>
      <c r="Y10770" s="5"/>
      <c r="Z10770" s="5"/>
    </row>
    <row r="10771" spans="1:26" ht="15" x14ac:dyDescent="0.25">
      <c r="A10771" s="4" t="s">
        <v>10768</v>
      </c>
      <c r="B10771" s="4" t="s">
        <v>9011</v>
      </c>
      <c r="C10771" s="2" t="str">
        <f ca="1">IFERROR(__xludf.DUMMYFUNCTION("GOOGLETRANSLATE(A10771,""bn"",""en"")"),"Do not withdraw money")</f>
        <v>Do not withdraw money</v>
      </c>
      <c r="D10771" s="5"/>
      <c r="E10771" s="5"/>
      <c r="F10771" s="5"/>
      <c r="G10771" s="5"/>
      <c r="H10771" s="5"/>
      <c r="I10771" s="5"/>
      <c r="J10771" s="5"/>
      <c r="K10771" s="5"/>
      <c r="L10771" s="5"/>
      <c r="M10771" s="5"/>
      <c r="N10771" s="5"/>
      <c r="O10771" s="5"/>
      <c r="P10771" s="5"/>
      <c r="Q10771" s="5"/>
      <c r="R10771" s="5"/>
      <c r="S10771" s="5"/>
      <c r="T10771" s="5"/>
      <c r="U10771" s="5"/>
      <c r="V10771" s="5"/>
      <c r="W10771" s="5"/>
      <c r="X10771" s="5"/>
      <c r="Y10771" s="5"/>
      <c r="Z10771" s="5"/>
    </row>
    <row r="10772" spans="1:26" ht="15" x14ac:dyDescent="0.25">
      <c r="A10772" s="4" t="s">
        <v>10769</v>
      </c>
      <c r="B10772" s="4" t="s">
        <v>9011</v>
      </c>
      <c r="C10772" s="2" t="str">
        <f ca="1">IFERROR(__xludf.DUMMYFUNCTION("GOOGLETRANSLATE(A10772,""bn"",""en"")"),"I will go to the rainforest")</f>
        <v>I will go to the rainforest</v>
      </c>
      <c r="D10772" s="5"/>
      <c r="E10772" s="5"/>
      <c r="F10772" s="5"/>
      <c r="G10772" s="5"/>
      <c r="H10772" s="5"/>
      <c r="I10772" s="5"/>
      <c r="J10772" s="5"/>
      <c r="K10772" s="5"/>
      <c r="L10772" s="5"/>
      <c r="M10772" s="5"/>
      <c r="N10772" s="5"/>
      <c r="O10772" s="5"/>
      <c r="P10772" s="5"/>
      <c r="Q10772" s="5"/>
      <c r="R10772" s="5"/>
      <c r="S10772" s="5"/>
      <c r="T10772" s="5"/>
      <c r="U10772" s="5"/>
      <c r="V10772" s="5"/>
      <c r="W10772" s="5"/>
      <c r="X10772" s="5"/>
      <c r="Y10772" s="5"/>
      <c r="Z10772" s="5"/>
    </row>
    <row r="10773" spans="1:26" ht="15" x14ac:dyDescent="0.25">
      <c r="A10773" s="4" t="s">
        <v>10770</v>
      </c>
      <c r="B10773" s="4" t="s">
        <v>9011</v>
      </c>
      <c r="C10773" s="2" t="str">
        <f ca="1">IFERROR(__xludf.DUMMYFUNCTION("GOOGLETRANSLATE(A10773,""bn"",""en"")"),"I will tell the story of life")</f>
        <v>I will tell the story of life</v>
      </c>
      <c r="D10773" s="5"/>
      <c r="E10773" s="5"/>
      <c r="F10773" s="5"/>
      <c r="G10773" s="5"/>
      <c r="H10773" s="5"/>
      <c r="I10773" s="5"/>
      <c r="J10773" s="5"/>
      <c r="K10773" s="5"/>
      <c r="L10773" s="5"/>
      <c r="M10773" s="5"/>
      <c r="N10773" s="5"/>
      <c r="O10773" s="5"/>
      <c r="P10773" s="5"/>
      <c r="Q10773" s="5"/>
      <c r="R10773" s="5"/>
      <c r="S10773" s="5"/>
      <c r="T10773" s="5"/>
      <c r="U10773" s="5"/>
      <c r="V10773" s="5"/>
      <c r="W10773" s="5"/>
      <c r="X10773" s="5"/>
      <c r="Y10773" s="5"/>
      <c r="Z10773" s="5"/>
    </row>
    <row r="10774" spans="1:26" ht="15" x14ac:dyDescent="0.25">
      <c r="A10774" s="4" t="s">
        <v>10771</v>
      </c>
      <c r="B10774" s="4" t="s">
        <v>9011</v>
      </c>
      <c r="C10774" s="2" t="str">
        <f ca="1">IFERROR(__xludf.DUMMYFUNCTION("GOOGLETRANSLATE(A10774,""bn"",""en"")"),"Construction will begin")</f>
        <v>Construction will begin</v>
      </c>
      <c r="D10774" s="5"/>
      <c r="E10774" s="5"/>
      <c r="F10774" s="5"/>
      <c r="G10774" s="5"/>
      <c r="H10774" s="5"/>
      <c r="I10774" s="5"/>
      <c r="J10774" s="5"/>
      <c r="K10774" s="5"/>
      <c r="L10774" s="5"/>
      <c r="M10774" s="5"/>
      <c r="N10774" s="5"/>
      <c r="O10774" s="5"/>
      <c r="P10774" s="5"/>
      <c r="Q10774" s="5"/>
      <c r="R10774" s="5"/>
      <c r="S10774" s="5"/>
      <c r="T10774" s="5"/>
      <c r="U10774" s="5"/>
      <c r="V10774" s="5"/>
      <c r="W10774" s="5"/>
      <c r="X10774" s="5"/>
      <c r="Y10774" s="5"/>
      <c r="Z10774" s="5"/>
    </row>
    <row r="10775" spans="1:26" ht="15" x14ac:dyDescent="0.25">
      <c r="A10775" s="4" t="s">
        <v>10772</v>
      </c>
      <c r="B10775" s="4" t="s">
        <v>9011</v>
      </c>
      <c r="C10775" s="2" t="str">
        <f ca="1">IFERROR(__xludf.DUMMYFUNCTION("GOOGLETRANSLATE(A10775,""bn"",""en"")"),"Internet connection will be")</f>
        <v>Internet connection will be</v>
      </c>
      <c r="D10775" s="5"/>
      <c r="E10775" s="5"/>
      <c r="F10775" s="5"/>
      <c r="G10775" s="5"/>
      <c r="H10775" s="5"/>
      <c r="I10775" s="5"/>
      <c r="J10775" s="5"/>
      <c r="K10775" s="5"/>
      <c r="L10775" s="5"/>
      <c r="M10775" s="5"/>
      <c r="N10775" s="5"/>
      <c r="O10775" s="5"/>
      <c r="P10775" s="5"/>
      <c r="Q10775" s="5"/>
      <c r="R10775" s="5"/>
      <c r="S10775" s="5"/>
      <c r="T10775" s="5"/>
      <c r="U10775" s="5"/>
      <c r="V10775" s="5"/>
      <c r="W10775" s="5"/>
      <c r="X10775" s="5"/>
      <c r="Y10775" s="5"/>
      <c r="Z10775" s="5"/>
    </row>
    <row r="10776" spans="1:26" ht="15" x14ac:dyDescent="0.25">
      <c r="A10776" s="4" t="s">
        <v>10773</v>
      </c>
      <c r="B10776" s="4" t="s">
        <v>9011</v>
      </c>
      <c r="C10776" s="2" t="str">
        <f ca="1">IFERROR(__xludf.DUMMYFUNCTION("GOOGLETRANSLATE(A10776,""bn"",""en"")"),"I will distribute winter clothes")</f>
        <v>I will distribute winter clothes</v>
      </c>
      <c r="D10776" s="5"/>
      <c r="E10776" s="5"/>
      <c r="F10776" s="5"/>
      <c r="G10776" s="5"/>
      <c r="H10776" s="5"/>
      <c r="I10776" s="5"/>
      <c r="J10776" s="5"/>
      <c r="K10776" s="5"/>
      <c r="L10776" s="5"/>
      <c r="M10776" s="5"/>
      <c r="N10776" s="5"/>
      <c r="O10776" s="5"/>
      <c r="P10776" s="5"/>
      <c r="Q10776" s="5"/>
      <c r="R10776" s="5"/>
      <c r="S10776" s="5"/>
      <c r="T10776" s="5"/>
      <c r="U10776" s="5"/>
      <c r="V10776" s="5"/>
      <c r="W10776" s="5"/>
      <c r="X10776" s="5"/>
      <c r="Y10776" s="5"/>
      <c r="Z10776" s="5"/>
    </row>
    <row r="10777" spans="1:26" ht="15" x14ac:dyDescent="0.25">
      <c r="A10777" s="4" t="s">
        <v>10774</v>
      </c>
      <c r="B10777" s="4" t="s">
        <v>9011</v>
      </c>
      <c r="C10777" s="2" t="str">
        <f ca="1">IFERROR(__xludf.DUMMYFUNCTION("GOOGLETRANSLATE(A10777,""bn"",""en"")"),"People will be self-employed")</f>
        <v>People will be self-employed</v>
      </c>
      <c r="D10777" s="5"/>
      <c r="E10777" s="5"/>
      <c r="F10777" s="5"/>
      <c r="G10777" s="5"/>
      <c r="H10777" s="5"/>
      <c r="I10777" s="5"/>
      <c r="J10777" s="5"/>
      <c r="K10777" s="5"/>
      <c r="L10777" s="5"/>
      <c r="M10777" s="5"/>
      <c r="N10777" s="5"/>
      <c r="O10777" s="5"/>
      <c r="P10777" s="5"/>
      <c r="Q10777" s="5"/>
      <c r="R10777" s="5"/>
      <c r="S10777" s="5"/>
      <c r="T10777" s="5"/>
      <c r="U10777" s="5"/>
      <c r="V10777" s="5"/>
      <c r="W10777" s="5"/>
      <c r="X10777" s="5"/>
      <c r="Y10777" s="5"/>
      <c r="Z10777" s="5"/>
    </row>
    <row r="10778" spans="1:26" ht="15" x14ac:dyDescent="0.25">
      <c r="A10778" s="4" t="s">
        <v>10775</v>
      </c>
      <c r="B10778" s="4" t="s">
        <v>9011</v>
      </c>
      <c r="C10778" s="2" t="str">
        <f ca="1">IFERROR(__xludf.DUMMYFUNCTION("GOOGLETRANSLATE(A10778,""bn"",""en"")"),"Food prices will increase")</f>
        <v>Food prices will increase</v>
      </c>
      <c r="D10778" s="5"/>
      <c r="E10778" s="5"/>
      <c r="F10778" s="5"/>
      <c r="G10778" s="5"/>
      <c r="H10778" s="5"/>
      <c r="I10778" s="5"/>
      <c r="J10778" s="5"/>
      <c r="K10778" s="5"/>
      <c r="L10778" s="5"/>
      <c r="M10778" s="5"/>
      <c r="N10778" s="5"/>
      <c r="O10778" s="5"/>
      <c r="P10778" s="5"/>
      <c r="Q10778" s="5"/>
      <c r="R10778" s="5"/>
      <c r="S10778" s="5"/>
      <c r="T10778" s="5"/>
      <c r="U10778" s="5"/>
      <c r="V10778" s="5"/>
      <c r="W10778" s="5"/>
      <c r="X10778" s="5"/>
      <c r="Y10778" s="5"/>
      <c r="Z10778" s="5"/>
    </row>
    <row r="10779" spans="1:26" ht="15" x14ac:dyDescent="0.25">
      <c r="A10779" s="4" t="s">
        <v>10776</v>
      </c>
      <c r="B10779" s="4" t="s">
        <v>9011</v>
      </c>
      <c r="C10779" s="2" t="str">
        <f ca="1">IFERROR(__xludf.DUMMYFUNCTION("GOOGLETRANSLATE(A10779,""bn"",""en"")"),"Will be playing tennis")</f>
        <v>Will be playing tennis</v>
      </c>
      <c r="D10779" s="5"/>
      <c r="E10779" s="5"/>
      <c r="F10779" s="5"/>
      <c r="G10779" s="5"/>
      <c r="H10779" s="5"/>
      <c r="I10779" s="5"/>
      <c r="J10779" s="5"/>
      <c r="K10779" s="5"/>
      <c r="L10779" s="5"/>
      <c r="M10779" s="5"/>
      <c r="N10779" s="5"/>
      <c r="O10779" s="5"/>
      <c r="P10779" s="5"/>
      <c r="Q10779" s="5"/>
      <c r="R10779" s="5"/>
      <c r="S10779" s="5"/>
      <c r="T10779" s="5"/>
      <c r="U10779" s="5"/>
      <c r="V10779" s="5"/>
      <c r="W10779" s="5"/>
      <c r="X10779" s="5"/>
      <c r="Y10779" s="5"/>
      <c r="Z10779" s="5"/>
    </row>
    <row r="10780" spans="1:26" ht="15" x14ac:dyDescent="0.25">
      <c r="A10780" s="4" t="s">
        <v>10777</v>
      </c>
      <c r="B10780" s="4" t="s">
        <v>9011</v>
      </c>
      <c r="C10780" s="2" t="str">
        <f ca="1">IFERROR(__xludf.DUMMYFUNCTION("GOOGLETRANSLATE(A10780,""bn"",""en"")"),"Check the situation")</f>
        <v>Check the situation</v>
      </c>
      <c r="D10780" s="5"/>
      <c r="E10780" s="5"/>
      <c r="F10780" s="5"/>
      <c r="G10780" s="5"/>
      <c r="H10780" s="5"/>
      <c r="I10780" s="5"/>
      <c r="J10780" s="5"/>
      <c r="K10780" s="5"/>
      <c r="L10780" s="5"/>
      <c r="M10780" s="5"/>
      <c r="N10780" s="5"/>
      <c r="O10780" s="5"/>
      <c r="P10780" s="5"/>
      <c r="Q10780" s="5"/>
      <c r="R10780" s="5"/>
      <c r="S10780" s="5"/>
      <c r="T10780" s="5"/>
      <c r="U10780" s="5"/>
      <c r="V10780" s="5"/>
      <c r="W10780" s="5"/>
      <c r="X10780" s="5"/>
      <c r="Y10780" s="5"/>
      <c r="Z10780" s="5"/>
    </row>
    <row r="10781" spans="1:26" ht="15" x14ac:dyDescent="0.25">
      <c r="A10781" s="4" t="s">
        <v>10778</v>
      </c>
      <c r="B10781" s="4" t="s">
        <v>9011</v>
      </c>
      <c r="C10781" s="2" t="str">
        <f ca="1">IFERROR(__xludf.DUMMYFUNCTION("GOOGLETRANSLATE(A10781,""bn"",""en"")"),"Your tune will play")</f>
        <v>Your tune will play</v>
      </c>
      <c r="D10781" s="5"/>
      <c r="E10781" s="5"/>
      <c r="F10781" s="5"/>
      <c r="G10781" s="5"/>
      <c r="H10781" s="5"/>
      <c r="I10781" s="5"/>
      <c r="J10781" s="5"/>
      <c r="K10781" s="5"/>
      <c r="L10781" s="5"/>
      <c r="M10781" s="5"/>
      <c r="N10781" s="5"/>
      <c r="O10781" s="5"/>
      <c r="P10781" s="5"/>
      <c r="Q10781" s="5"/>
      <c r="R10781" s="5"/>
      <c r="S10781" s="5"/>
      <c r="T10781" s="5"/>
      <c r="U10781" s="5"/>
      <c r="V10781" s="5"/>
      <c r="W10781" s="5"/>
      <c r="X10781" s="5"/>
      <c r="Y10781" s="5"/>
      <c r="Z10781" s="5"/>
    </row>
    <row r="10782" spans="1:26" ht="15" x14ac:dyDescent="0.25">
      <c r="A10782" s="4" t="s">
        <v>10779</v>
      </c>
      <c r="B10782" s="4" t="s">
        <v>9011</v>
      </c>
      <c r="C10782" s="2" t="str">
        <f ca="1">IFERROR(__xludf.DUMMYFUNCTION("GOOGLETRANSLATE(A10782,""bn"",""en"")"),"I will use smartphone")</f>
        <v>I will use smartphone</v>
      </c>
      <c r="D10782" s="5"/>
      <c r="E10782" s="5"/>
      <c r="F10782" s="5"/>
      <c r="G10782" s="5"/>
      <c r="H10782" s="5"/>
      <c r="I10782" s="5"/>
      <c r="J10782" s="5"/>
      <c r="K10782" s="5"/>
      <c r="L10782" s="5"/>
      <c r="M10782" s="5"/>
      <c r="N10782" s="5"/>
      <c r="O10782" s="5"/>
      <c r="P10782" s="5"/>
      <c r="Q10782" s="5"/>
      <c r="R10782" s="5"/>
      <c r="S10782" s="5"/>
      <c r="T10782" s="5"/>
      <c r="U10782" s="5"/>
      <c r="V10782" s="5"/>
      <c r="W10782" s="5"/>
      <c r="X10782" s="5"/>
      <c r="Y10782" s="5"/>
      <c r="Z10782" s="5"/>
    </row>
    <row r="10783" spans="1:26" ht="15" x14ac:dyDescent="0.25">
      <c r="A10783" s="4" t="s">
        <v>10780</v>
      </c>
      <c r="B10783" s="4" t="s">
        <v>9011</v>
      </c>
      <c r="C10783" s="2" t="str">
        <f ca="1">IFERROR(__xludf.DUMMYFUNCTION("GOOGLETRANSLATE(A10783,""bn"",""en"")"),"You will sing")</f>
        <v>You will sing</v>
      </c>
      <c r="D10783" s="5"/>
      <c r="E10783" s="5"/>
      <c r="F10783" s="5"/>
      <c r="G10783" s="5"/>
      <c r="H10783" s="5"/>
      <c r="I10783" s="5"/>
      <c r="J10783" s="5"/>
      <c r="K10783" s="5"/>
      <c r="L10783" s="5"/>
      <c r="M10783" s="5"/>
      <c r="N10783" s="5"/>
      <c r="O10783" s="5"/>
      <c r="P10783" s="5"/>
      <c r="Q10783" s="5"/>
      <c r="R10783" s="5"/>
      <c r="S10783" s="5"/>
      <c r="T10783" s="5"/>
      <c r="U10783" s="5"/>
      <c r="V10783" s="5"/>
      <c r="W10783" s="5"/>
      <c r="X10783" s="5"/>
      <c r="Y10783" s="5"/>
      <c r="Z10783" s="5"/>
    </row>
    <row r="10784" spans="1:26" ht="15" x14ac:dyDescent="0.25">
      <c r="A10784" s="4" t="s">
        <v>10781</v>
      </c>
      <c r="B10784" s="4" t="s">
        <v>9011</v>
      </c>
      <c r="C10784" s="2" t="str">
        <f ca="1">IFERROR(__xludf.DUMMYFUNCTION("GOOGLETRANSLATE(A10784,""bn"",""en"")"),"I will discover technology")</f>
        <v>I will discover technology</v>
      </c>
      <c r="D10784" s="5"/>
      <c r="E10784" s="5"/>
      <c r="F10784" s="5"/>
      <c r="G10784" s="5"/>
      <c r="H10784" s="5"/>
      <c r="I10784" s="5"/>
      <c r="J10784" s="5"/>
      <c r="K10784" s="5"/>
      <c r="L10784" s="5"/>
      <c r="M10784" s="5"/>
      <c r="N10784" s="5"/>
      <c r="O10784" s="5"/>
      <c r="P10784" s="5"/>
      <c r="Q10784" s="5"/>
      <c r="R10784" s="5"/>
      <c r="S10784" s="5"/>
      <c r="T10784" s="5"/>
      <c r="U10784" s="5"/>
      <c r="V10784" s="5"/>
      <c r="W10784" s="5"/>
      <c r="X10784" s="5"/>
      <c r="Y10784" s="5"/>
      <c r="Z10784" s="5"/>
    </row>
    <row r="10785" spans="1:26" ht="15" x14ac:dyDescent="0.25">
      <c r="A10785" s="4" t="s">
        <v>10782</v>
      </c>
      <c r="B10785" s="4" t="s">
        <v>9011</v>
      </c>
      <c r="C10785" s="2" t="str">
        <f ca="1">IFERROR(__xludf.DUMMYFUNCTION("GOOGLETRANSLATE(A10785,""bn"",""en"")"),"I will read hadith regularly")</f>
        <v>I will read hadith regularly</v>
      </c>
      <c r="D10785" s="5"/>
      <c r="E10785" s="5"/>
      <c r="F10785" s="5"/>
      <c r="G10785" s="5"/>
      <c r="H10785" s="5"/>
      <c r="I10785" s="5"/>
      <c r="J10785" s="5"/>
      <c r="K10785" s="5"/>
      <c r="L10785" s="5"/>
      <c r="M10785" s="5"/>
      <c r="N10785" s="5"/>
      <c r="O10785" s="5"/>
      <c r="P10785" s="5"/>
      <c r="Q10785" s="5"/>
      <c r="R10785" s="5"/>
      <c r="S10785" s="5"/>
      <c r="T10785" s="5"/>
      <c r="U10785" s="5"/>
      <c r="V10785" s="5"/>
      <c r="W10785" s="5"/>
      <c r="X10785" s="5"/>
      <c r="Y10785" s="5"/>
      <c r="Z10785" s="5"/>
    </row>
    <row r="10786" spans="1:26" ht="15" x14ac:dyDescent="0.25">
      <c r="A10786" s="4" t="s">
        <v>10783</v>
      </c>
      <c r="B10786" s="4" t="s">
        <v>9011</v>
      </c>
      <c r="C10786" s="2" t="str">
        <f ca="1">IFERROR(__xludf.DUMMYFUNCTION("GOOGLETRANSLATE(A10786,""bn"",""en"")"),"Taif will be a desert")</f>
        <v>Taif will be a desert</v>
      </c>
      <c r="D10786" s="5"/>
      <c r="E10786" s="5"/>
      <c r="F10786" s="5"/>
      <c r="G10786" s="5"/>
      <c r="H10786" s="5"/>
      <c r="I10786" s="5"/>
      <c r="J10786" s="5"/>
      <c r="K10786" s="5"/>
      <c r="L10786" s="5"/>
      <c r="M10786" s="5"/>
      <c r="N10786" s="5"/>
      <c r="O10786" s="5"/>
      <c r="P10786" s="5"/>
      <c r="Q10786" s="5"/>
      <c r="R10786" s="5"/>
      <c r="S10786" s="5"/>
      <c r="T10786" s="5"/>
      <c r="U10786" s="5"/>
      <c r="V10786" s="5"/>
      <c r="W10786" s="5"/>
      <c r="X10786" s="5"/>
      <c r="Y10786" s="5"/>
      <c r="Z10786" s="5"/>
    </row>
    <row r="10787" spans="1:26" ht="15" x14ac:dyDescent="0.25">
      <c r="A10787" s="4" t="s">
        <v>10784</v>
      </c>
      <c r="B10787" s="4" t="s">
        <v>9011</v>
      </c>
      <c r="C10787" s="2" t="str">
        <f ca="1">IFERROR(__xludf.DUMMYFUNCTION("GOOGLETRANSLATE(A10787,""bn"",""en"")"),"I will listen to the rhythm")</f>
        <v>I will listen to the rhythm</v>
      </c>
      <c r="D10787" s="5"/>
      <c r="E10787" s="5"/>
      <c r="F10787" s="5"/>
      <c r="G10787" s="5"/>
      <c r="H10787" s="5"/>
      <c r="I10787" s="5"/>
      <c r="J10787" s="5"/>
      <c r="K10787" s="5"/>
      <c r="L10787" s="5"/>
      <c r="M10787" s="5"/>
      <c r="N10787" s="5"/>
      <c r="O10787" s="5"/>
      <c r="P10787" s="5"/>
      <c r="Q10787" s="5"/>
      <c r="R10787" s="5"/>
      <c r="S10787" s="5"/>
      <c r="T10787" s="5"/>
      <c r="U10787" s="5"/>
      <c r="V10787" s="5"/>
      <c r="W10787" s="5"/>
      <c r="X10787" s="5"/>
      <c r="Y10787" s="5"/>
      <c r="Z10787" s="5"/>
    </row>
    <row r="10788" spans="1:26" ht="15" x14ac:dyDescent="0.25">
      <c r="A10788" s="4" t="s">
        <v>10785</v>
      </c>
      <c r="B10788" s="4" t="s">
        <v>9011</v>
      </c>
      <c r="C10788" s="2" t="str">
        <f ca="1">IFERROR(__xludf.DUMMYFUNCTION("GOOGLETRANSLATE(A10788,""bn"",""en"")"),"The way will be difficult")</f>
        <v>The way will be difficult</v>
      </c>
      <c r="D10788" s="5"/>
      <c r="E10788" s="5"/>
      <c r="F10788" s="5"/>
      <c r="G10788" s="5"/>
      <c r="H10788" s="5"/>
      <c r="I10788" s="5"/>
      <c r="J10788" s="5"/>
      <c r="K10788" s="5"/>
      <c r="L10788" s="5"/>
      <c r="M10788" s="5"/>
      <c r="N10788" s="5"/>
      <c r="O10788" s="5"/>
      <c r="P10788" s="5"/>
      <c r="Q10788" s="5"/>
      <c r="R10788" s="5"/>
      <c r="S10788" s="5"/>
      <c r="T10788" s="5"/>
      <c r="U10788" s="5"/>
      <c r="V10788" s="5"/>
      <c r="W10788" s="5"/>
      <c r="X10788" s="5"/>
      <c r="Y10788" s="5"/>
      <c r="Z10788" s="5"/>
    </row>
    <row r="10789" spans="1:26" ht="15" x14ac:dyDescent="0.25">
      <c r="A10789" s="4" t="s">
        <v>10786</v>
      </c>
      <c r="B10789" s="4" t="s">
        <v>9011</v>
      </c>
      <c r="C10789" s="2" t="str">
        <f ca="1">IFERROR(__xludf.DUMMYFUNCTION("GOOGLETRANSLATE(A10789,""bn"",""en"")"),"Development will change")</f>
        <v>Development will change</v>
      </c>
      <c r="D10789" s="5"/>
      <c r="E10789" s="5"/>
      <c r="F10789" s="5"/>
      <c r="G10789" s="5"/>
      <c r="H10789" s="5"/>
      <c r="I10789" s="5"/>
      <c r="J10789" s="5"/>
      <c r="K10789" s="5"/>
      <c r="L10789" s="5"/>
      <c r="M10789" s="5"/>
      <c r="N10789" s="5"/>
      <c r="O10789" s="5"/>
      <c r="P10789" s="5"/>
      <c r="Q10789" s="5"/>
      <c r="R10789" s="5"/>
      <c r="S10789" s="5"/>
      <c r="T10789" s="5"/>
      <c r="U10789" s="5"/>
      <c r="V10789" s="5"/>
      <c r="W10789" s="5"/>
      <c r="X10789" s="5"/>
      <c r="Y10789" s="5"/>
      <c r="Z10789" s="5"/>
    </row>
    <row r="10790" spans="1:26" ht="15" x14ac:dyDescent="0.25">
      <c r="A10790" s="4" t="s">
        <v>10787</v>
      </c>
      <c r="B10790" s="4" t="s">
        <v>9011</v>
      </c>
      <c r="C10790" s="2" t="str">
        <f ca="1">IFERROR(__xludf.DUMMYFUNCTION("GOOGLETRANSLATE(A10790,""bn"",""en"")"),"I want to find technology")</f>
        <v>I want to find technology</v>
      </c>
      <c r="D10790" s="5"/>
      <c r="E10790" s="5"/>
      <c r="F10790" s="5"/>
      <c r="G10790" s="5"/>
      <c r="H10790" s="5"/>
      <c r="I10790" s="5"/>
      <c r="J10790" s="5"/>
      <c r="K10790" s="5"/>
      <c r="L10790" s="5"/>
      <c r="M10790" s="5"/>
      <c r="N10790" s="5"/>
      <c r="O10790" s="5"/>
      <c r="P10790" s="5"/>
      <c r="Q10790" s="5"/>
      <c r="R10790" s="5"/>
      <c r="S10790" s="5"/>
      <c r="T10790" s="5"/>
      <c r="U10790" s="5"/>
      <c r="V10790" s="5"/>
      <c r="W10790" s="5"/>
      <c r="X10790" s="5"/>
      <c r="Y10790" s="5"/>
      <c r="Z10790" s="5"/>
    </row>
    <row r="10791" spans="1:26" ht="15" x14ac:dyDescent="0.25">
      <c r="A10791" s="4" t="s">
        <v>10788</v>
      </c>
      <c r="B10791" s="4" t="s">
        <v>9011</v>
      </c>
      <c r="C10791" s="2" t="str">
        <f ca="1">IFERROR(__xludf.DUMMYFUNCTION("GOOGLETRANSLATE(A10791,""bn"",""en"")"),"I will stay in the college hostel")</f>
        <v>I will stay in the college hostel</v>
      </c>
      <c r="D10791" s="5"/>
      <c r="E10791" s="5"/>
      <c r="F10791" s="5"/>
      <c r="G10791" s="5"/>
      <c r="H10791" s="5"/>
      <c r="I10791" s="5"/>
      <c r="J10791" s="5"/>
      <c r="K10791" s="5"/>
      <c r="L10791" s="5"/>
      <c r="M10791" s="5"/>
      <c r="N10791" s="5"/>
      <c r="O10791" s="5"/>
      <c r="P10791" s="5"/>
      <c r="Q10791" s="5"/>
      <c r="R10791" s="5"/>
      <c r="S10791" s="5"/>
      <c r="T10791" s="5"/>
      <c r="U10791" s="5"/>
      <c r="V10791" s="5"/>
      <c r="W10791" s="5"/>
      <c r="X10791" s="5"/>
      <c r="Y10791" s="5"/>
      <c r="Z10791" s="5"/>
    </row>
    <row r="10792" spans="1:26" ht="15" x14ac:dyDescent="0.25">
      <c r="A10792" s="4" t="s">
        <v>10789</v>
      </c>
      <c r="B10792" s="4" t="s">
        <v>9011</v>
      </c>
      <c r="C10792" s="2" t="str">
        <f ca="1">IFERROR(__xludf.DUMMYFUNCTION("GOOGLETRANSLATE(A10792,""bn"",""en"")"),"Batim will not be safe")</f>
        <v>Batim will not be safe</v>
      </c>
      <c r="D10792" s="5"/>
      <c r="E10792" s="5"/>
      <c r="F10792" s="5"/>
      <c r="G10792" s="5"/>
      <c r="H10792" s="5"/>
      <c r="I10792" s="5"/>
      <c r="J10792" s="5"/>
      <c r="K10792" s="5"/>
      <c r="L10792" s="5"/>
      <c r="M10792" s="5"/>
      <c r="N10792" s="5"/>
      <c r="O10792" s="5"/>
      <c r="P10792" s="5"/>
      <c r="Q10792" s="5"/>
      <c r="R10792" s="5"/>
      <c r="S10792" s="5"/>
      <c r="T10792" s="5"/>
      <c r="U10792" s="5"/>
      <c r="V10792" s="5"/>
      <c r="W10792" s="5"/>
      <c r="X10792" s="5"/>
      <c r="Y10792" s="5"/>
      <c r="Z10792" s="5"/>
    </row>
    <row r="10793" spans="1:26" ht="15" x14ac:dyDescent="0.25">
      <c r="A10793" s="4" t="s">
        <v>10790</v>
      </c>
      <c r="B10793" s="4" t="s">
        <v>9011</v>
      </c>
      <c r="C10793" s="2" t="str">
        <f ca="1">IFERROR(__xludf.DUMMYFUNCTION("GOOGLETRANSLATE(A10793,""bn"",""en"")"),"I will use television")</f>
        <v>I will use television</v>
      </c>
      <c r="D10793" s="5"/>
      <c r="E10793" s="5"/>
      <c r="F10793" s="5"/>
      <c r="G10793" s="5"/>
      <c r="H10793" s="5"/>
      <c r="I10793" s="5"/>
      <c r="J10793" s="5"/>
      <c r="K10793" s="5"/>
      <c r="L10793" s="5"/>
      <c r="M10793" s="5"/>
      <c r="N10793" s="5"/>
      <c r="O10793" s="5"/>
      <c r="P10793" s="5"/>
      <c r="Q10793" s="5"/>
      <c r="R10793" s="5"/>
      <c r="S10793" s="5"/>
      <c r="T10793" s="5"/>
      <c r="U10793" s="5"/>
      <c r="V10793" s="5"/>
      <c r="W10793" s="5"/>
      <c r="X10793" s="5"/>
      <c r="Y10793" s="5"/>
      <c r="Z10793" s="5"/>
    </row>
    <row r="10794" spans="1:26" ht="15" x14ac:dyDescent="0.25">
      <c r="A10794" s="4" t="s">
        <v>10791</v>
      </c>
      <c r="B10794" s="4" t="s">
        <v>9011</v>
      </c>
      <c r="C10794" s="2" t="str">
        <f ca="1">IFERROR(__xludf.DUMMYFUNCTION("GOOGLETRANSLATE(A10794,""bn"",""en"")"),"I will use desktop")</f>
        <v>I will use desktop</v>
      </c>
      <c r="D10794" s="5"/>
      <c r="E10794" s="5"/>
      <c r="F10794" s="5"/>
      <c r="G10794" s="5"/>
      <c r="H10794" s="5"/>
      <c r="I10794" s="5"/>
      <c r="J10794" s="5"/>
      <c r="K10794" s="5"/>
      <c r="L10794" s="5"/>
      <c r="M10794" s="5"/>
      <c r="N10794" s="5"/>
      <c r="O10794" s="5"/>
      <c r="P10794" s="5"/>
      <c r="Q10794" s="5"/>
      <c r="R10794" s="5"/>
      <c r="S10794" s="5"/>
      <c r="T10794" s="5"/>
      <c r="U10794" s="5"/>
      <c r="V10794" s="5"/>
      <c r="W10794" s="5"/>
      <c r="X10794" s="5"/>
      <c r="Y10794" s="5"/>
      <c r="Z10794" s="5"/>
    </row>
    <row r="10795" spans="1:26" ht="15" x14ac:dyDescent="0.25">
      <c r="A10795" s="4" t="s">
        <v>10792</v>
      </c>
      <c r="B10795" s="4" t="s">
        <v>9011</v>
      </c>
      <c r="C10795" s="2" t="str">
        <f ca="1">IFERROR(__xludf.DUMMYFUNCTION("GOOGLETRANSLATE(A10795,""bn"",""en"")"),"I will sell desktop")</f>
        <v>I will sell desktop</v>
      </c>
      <c r="D10795" s="5"/>
      <c r="E10795" s="5"/>
      <c r="F10795" s="5"/>
      <c r="G10795" s="5"/>
      <c r="H10795" s="5"/>
      <c r="I10795" s="5"/>
      <c r="J10795" s="5"/>
      <c r="K10795" s="5"/>
      <c r="L10795" s="5"/>
      <c r="M10795" s="5"/>
      <c r="N10795" s="5"/>
      <c r="O10795" s="5"/>
      <c r="P10795" s="5"/>
      <c r="Q10795" s="5"/>
      <c r="R10795" s="5"/>
      <c r="S10795" s="5"/>
      <c r="T10795" s="5"/>
      <c r="U10795" s="5"/>
      <c r="V10795" s="5"/>
      <c r="W10795" s="5"/>
      <c r="X10795" s="5"/>
      <c r="Y10795" s="5"/>
      <c r="Z10795" s="5"/>
    </row>
    <row r="10796" spans="1:26" ht="15" x14ac:dyDescent="0.25">
      <c r="A10796" s="4" t="s">
        <v>10793</v>
      </c>
      <c r="B10796" s="4" t="s">
        <v>9011</v>
      </c>
      <c r="C10796" s="2" t="str">
        <f ca="1">IFERROR(__xludf.DUMMYFUNCTION("GOOGLETRANSLATE(A10796,""bn"",""en"")"),"I will walk on the seashore")</f>
        <v>I will walk on the seashore</v>
      </c>
      <c r="D10796" s="5"/>
      <c r="E10796" s="5"/>
      <c r="F10796" s="5"/>
      <c r="G10796" s="5"/>
      <c r="H10796" s="5"/>
      <c r="I10796" s="5"/>
      <c r="J10796" s="5"/>
      <c r="K10796" s="5"/>
      <c r="L10796" s="5"/>
      <c r="M10796" s="5"/>
      <c r="N10796" s="5"/>
      <c r="O10796" s="5"/>
      <c r="P10796" s="5"/>
      <c r="Q10796" s="5"/>
      <c r="R10796" s="5"/>
      <c r="S10796" s="5"/>
      <c r="T10796" s="5"/>
      <c r="U10796" s="5"/>
      <c r="V10796" s="5"/>
      <c r="W10796" s="5"/>
      <c r="X10796" s="5"/>
      <c r="Y10796" s="5"/>
      <c r="Z10796" s="5"/>
    </row>
    <row r="10797" spans="1:26" ht="15" x14ac:dyDescent="0.25">
      <c r="A10797" s="4" t="s">
        <v>10794</v>
      </c>
      <c r="B10797" s="4" t="s">
        <v>9011</v>
      </c>
      <c r="C10797" s="2" t="str">
        <f ca="1">IFERROR(__xludf.DUMMYFUNCTION("GOOGLETRANSLATE(A10797,""bn"",""en"")"),"I will line up")</f>
        <v>I will line up</v>
      </c>
      <c r="D10797" s="5"/>
      <c r="E10797" s="5"/>
      <c r="F10797" s="5"/>
      <c r="G10797" s="5"/>
      <c r="H10797" s="5"/>
      <c r="I10797" s="5"/>
      <c r="J10797" s="5"/>
      <c r="K10797" s="5"/>
      <c r="L10797" s="5"/>
      <c r="M10797" s="5"/>
      <c r="N10797" s="5"/>
      <c r="O10797" s="5"/>
      <c r="P10797" s="5"/>
      <c r="Q10797" s="5"/>
      <c r="R10797" s="5"/>
      <c r="S10797" s="5"/>
      <c r="T10797" s="5"/>
      <c r="U10797" s="5"/>
      <c r="V10797" s="5"/>
      <c r="W10797" s="5"/>
      <c r="X10797" s="5"/>
      <c r="Y10797" s="5"/>
      <c r="Z10797" s="5"/>
    </row>
    <row r="10798" spans="1:26" ht="15" x14ac:dyDescent="0.25">
      <c r="A10798" s="4" t="s">
        <v>10795</v>
      </c>
      <c r="B10798" s="4" t="s">
        <v>9011</v>
      </c>
      <c r="C10798" s="2" t="str">
        <f ca="1">IFERROR(__xludf.DUMMYFUNCTION("GOOGLETRANSLATE(A10798,""bn"",""en"")"),"Players will play cricket")</f>
        <v>Players will play cricket</v>
      </c>
      <c r="D10798" s="5"/>
      <c r="E10798" s="5"/>
      <c r="F10798" s="5"/>
      <c r="G10798" s="5"/>
      <c r="H10798" s="5"/>
      <c r="I10798" s="5"/>
      <c r="J10798" s="5"/>
      <c r="K10798" s="5"/>
      <c r="L10798" s="5"/>
      <c r="M10798" s="5"/>
      <c r="N10798" s="5"/>
      <c r="O10798" s="5"/>
      <c r="P10798" s="5"/>
      <c r="Q10798" s="5"/>
      <c r="R10798" s="5"/>
      <c r="S10798" s="5"/>
      <c r="T10798" s="5"/>
      <c r="U10798" s="5"/>
      <c r="V10798" s="5"/>
      <c r="W10798" s="5"/>
      <c r="X10798" s="5"/>
      <c r="Y10798" s="5"/>
      <c r="Z10798" s="5"/>
    </row>
    <row r="10799" spans="1:26" ht="15" x14ac:dyDescent="0.25">
      <c r="A10799" s="4" t="s">
        <v>10796</v>
      </c>
      <c r="B10799" s="4" t="s">
        <v>9011</v>
      </c>
      <c r="C10799" s="2" t="str">
        <f ca="1">IFERROR(__xludf.DUMMYFUNCTION("GOOGLETRANSLATE(A10799,""bn"",""en"")"),"I will continue to do banking")</f>
        <v>I will continue to do banking</v>
      </c>
      <c r="D10799" s="5"/>
      <c r="E10799" s="5"/>
      <c r="F10799" s="5"/>
      <c r="G10799" s="5"/>
      <c r="H10799" s="5"/>
      <c r="I10799" s="5"/>
      <c r="J10799" s="5"/>
      <c r="K10799" s="5"/>
      <c r="L10799" s="5"/>
      <c r="M10799" s="5"/>
      <c r="N10799" s="5"/>
      <c r="O10799" s="5"/>
      <c r="P10799" s="5"/>
      <c r="Q10799" s="5"/>
      <c r="R10799" s="5"/>
      <c r="S10799" s="5"/>
      <c r="T10799" s="5"/>
      <c r="U10799" s="5"/>
      <c r="V10799" s="5"/>
      <c r="W10799" s="5"/>
      <c r="X10799" s="5"/>
      <c r="Y10799" s="5"/>
      <c r="Z10799" s="5"/>
    </row>
    <row r="10800" spans="1:26" ht="15" x14ac:dyDescent="0.25">
      <c r="A10800" s="4" t="s">
        <v>10797</v>
      </c>
      <c r="B10800" s="4" t="s">
        <v>9011</v>
      </c>
      <c r="C10800" s="2" t="str">
        <f ca="1">IFERROR(__xludf.DUMMYFUNCTION("GOOGLETRANSLATE(A10800,""bn"",""en"")"),"The children will play tennis")</f>
        <v>The children will play tennis</v>
      </c>
      <c r="D10800" s="5"/>
      <c r="E10800" s="5"/>
      <c r="F10800" s="5"/>
      <c r="G10800" s="5"/>
      <c r="H10800" s="5"/>
      <c r="I10800" s="5"/>
      <c r="J10800" s="5"/>
      <c r="K10800" s="5"/>
      <c r="L10800" s="5"/>
      <c r="M10800" s="5"/>
      <c r="N10800" s="5"/>
      <c r="O10800" s="5"/>
      <c r="P10800" s="5"/>
      <c r="Q10800" s="5"/>
      <c r="R10800" s="5"/>
      <c r="S10800" s="5"/>
      <c r="T10800" s="5"/>
      <c r="U10800" s="5"/>
      <c r="V10800" s="5"/>
      <c r="W10800" s="5"/>
      <c r="X10800" s="5"/>
      <c r="Y10800" s="5"/>
      <c r="Z10800" s="5"/>
    </row>
    <row r="10801" spans="1:26" ht="15" x14ac:dyDescent="0.25">
      <c r="A10801" s="4" t="s">
        <v>10798</v>
      </c>
      <c r="B10801" s="4" t="s">
        <v>9011</v>
      </c>
      <c r="C10801" s="2" t="str">
        <f ca="1">IFERROR(__xludf.DUMMYFUNCTION("GOOGLETRANSLATE(A10801,""bn"",""en"")"),"I will follow the path of politics")</f>
        <v>I will follow the path of politics</v>
      </c>
      <c r="D10801" s="5"/>
      <c r="E10801" s="5"/>
      <c r="F10801" s="5"/>
      <c r="G10801" s="5"/>
      <c r="H10801" s="5"/>
      <c r="I10801" s="5"/>
      <c r="J10801" s="5"/>
      <c r="K10801" s="5"/>
      <c r="L10801" s="5"/>
      <c r="M10801" s="5"/>
      <c r="N10801" s="5"/>
      <c r="O10801" s="5"/>
      <c r="P10801" s="5"/>
      <c r="Q10801" s="5"/>
      <c r="R10801" s="5"/>
      <c r="S10801" s="5"/>
      <c r="T10801" s="5"/>
      <c r="U10801" s="5"/>
      <c r="V10801" s="5"/>
      <c r="W10801" s="5"/>
      <c r="X10801" s="5"/>
      <c r="Y10801" s="5"/>
      <c r="Z10801" s="5"/>
    </row>
    <row r="10802" spans="1:26" ht="15" x14ac:dyDescent="0.25">
      <c r="A10802" s="4" t="s">
        <v>10799</v>
      </c>
      <c r="B10802" s="4" t="s">
        <v>9011</v>
      </c>
      <c r="C10802" s="2" t="str">
        <f ca="1">IFERROR(__xludf.DUMMYFUNCTION("GOOGLETRANSLATE(A10802,""bn"",""en"")"),"It will be a waste of time")</f>
        <v>It will be a waste of time</v>
      </c>
      <c r="D10802" s="5"/>
      <c r="E10802" s="5"/>
      <c r="F10802" s="5"/>
      <c r="G10802" s="5"/>
      <c r="H10802" s="5"/>
      <c r="I10802" s="5"/>
      <c r="J10802" s="5"/>
      <c r="K10802" s="5"/>
      <c r="L10802" s="5"/>
      <c r="M10802" s="5"/>
      <c r="N10802" s="5"/>
      <c r="O10802" s="5"/>
      <c r="P10802" s="5"/>
      <c r="Q10802" s="5"/>
      <c r="R10802" s="5"/>
      <c r="S10802" s="5"/>
      <c r="T10802" s="5"/>
      <c r="U10802" s="5"/>
      <c r="V10802" s="5"/>
      <c r="W10802" s="5"/>
      <c r="X10802" s="5"/>
      <c r="Y10802" s="5"/>
      <c r="Z10802" s="5"/>
    </row>
    <row r="10803" spans="1:26" ht="15" x14ac:dyDescent="0.25">
      <c r="A10803" s="4" t="s">
        <v>10800</v>
      </c>
      <c r="B10803" s="4" t="s">
        <v>9011</v>
      </c>
      <c r="C10803" s="2" t="str">
        <f ca="1">IFERROR(__xludf.DUMMYFUNCTION("GOOGLETRANSLATE(A10803,""bn"",""en"")"),"I will continue to work")</f>
        <v>I will continue to work</v>
      </c>
      <c r="D10803" s="5"/>
      <c r="E10803" s="5"/>
      <c r="F10803" s="5"/>
      <c r="G10803" s="5"/>
      <c r="H10803" s="5"/>
      <c r="I10803" s="5"/>
      <c r="J10803" s="5"/>
      <c r="K10803" s="5"/>
      <c r="L10803" s="5"/>
      <c r="M10803" s="5"/>
      <c r="N10803" s="5"/>
      <c r="O10803" s="5"/>
      <c r="P10803" s="5"/>
      <c r="Q10803" s="5"/>
      <c r="R10803" s="5"/>
      <c r="S10803" s="5"/>
      <c r="T10803" s="5"/>
      <c r="U10803" s="5"/>
      <c r="V10803" s="5"/>
      <c r="W10803" s="5"/>
      <c r="X10803" s="5"/>
      <c r="Y10803" s="5"/>
      <c r="Z10803" s="5"/>
    </row>
    <row r="10804" spans="1:26" ht="15" x14ac:dyDescent="0.25">
      <c r="A10804" s="4" t="s">
        <v>10801</v>
      </c>
      <c r="B10804" s="4" t="s">
        <v>9011</v>
      </c>
      <c r="C10804" s="2" t="str">
        <f ca="1">IFERROR(__xludf.DUMMYFUNCTION("GOOGLETRANSLATE(A10804,""bn"",""en"")"),"I will be released by traveling")</f>
        <v>I will be released by traveling</v>
      </c>
      <c r="D10804" s="5"/>
      <c r="E10804" s="5"/>
      <c r="F10804" s="5"/>
      <c r="G10804" s="5"/>
      <c r="H10804" s="5"/>
      <c r="I10804" s="5"/>
      <c r="J10804" s="5"/>
      <c r="K10804" s="5"/>
      <c r="L10804" s="5"/>
      <c r="M10804" s="5"/>
      <c r="N10804" s="5"/>
      <c r="O10804" s="5"/>
      <c r="P10804" s="5"/>
      <c r="Q10804" s="5"/>
      <c r="R10804" s="5"/>
      <c r="S10804" s="5"/>
      <c r="T10804" s="5"/>
      <c r="U10804" s="5"/>
      <c r="V10804" s="5"/>
      <c r="W10804" s="5"/>
      <c r="X10804" s="5"/>
      <c r="Y10804" s="5"/>
      <c r="Z10804" s="5"/>
    </row>
    <row r="10805" spans="1:26" ht="15" x14ac:dyDescent="0.25">
      <c r="A10805" s="4" t="s">
        <v>10802</v>
      </c>
      <c r="B10805" s="4" t="s">
        <v>9011</v>
      </c>
      <c r="C10805" s="2" t="str">
        <f ca="1">IFERROR(__xludf.DUMMYFUNCTION("GOOGLETRANSLATE(A10805,""bn"",""en"")"),"Preparation of the law will continue")</f>
        <v>Preparation of the law will continue</v>
      </c>
      <c r="D10805" s="5"/>
      <c r="E10805" s="5"/>
      <c r="F10805" s="5"/>
      <c r="G10805" s="5"/>
      <c r="H10805" s="5"/>
      <c r="I10805" s="5"/>
      <c r="J10805" s="5"/>
      <c r="K10805" s="5"/>
      <c r="L10805" s="5"/>
      <c r="M10805" s="5"/>
      <c r="N10805" s="5"/>
      <c r="O10805" s="5"/>
      <c r="P10805" s="5"/>
      <c r="Q10805" s="5"/>
      <c r="R10805" s="5"/>
      <c r="S10805" s="5"/>
      <c r="T10805" s="5"/>
      <c r="U10805" s="5"/>
      <c r="V10805" s="5"/>
      <c r="W10805" s="5"/>
      <c r="X10805" s="5"/>
      <c r="Y10805" s="5"/>
      <c r="Z10805" s="5"/>
    </row>
    <row r="10806" spans="1:26" ht="15" x14ac:dyDescent="0.25">
      <c r="A10806" s="4" t="s">
        <v>10803</v>
      </c>
      <c r="B10806" s="4" t="s">
        <v>9011</v>
      </c>
      <c r="C10806" s="2" t="str">
        <f ca="1">IFERROR(__xludf.DUMMYFUNCTION("GOOGLETRANSLATE(A10806,""bn"",""en"")"),"Will prepare the law")</f>
        <v>Will prepare the law</v>
      </c>
      <c r="D10806" s="5"/>
      <c r="E10806" s="5"/>
      <c r="F10806" s="5"/>
      <c r="G10806" s="5"/>
      <c r="H10806" s="5"/>
      <c r="I10806" s="5"/>
      <c r="J10806" s="5"/>
      <c r="K10806" s="5"/>
      <c r="L10806" s="5"/>
      <c r="M10806" s="5"/>
      <c r="N10806" s="5"/>
      <c r="O10806" s="5"/>
      <c r="P10806" s="5"/>
      <c r="Q10806" s="5"/>
      <c r="R10806" s="5"/>
      <c r="S10806" s="5"/>
      <c r="T10806" s="5"/>
      <c r="U10806" s="5"/>
      <c r="V10806" s="5"/>
      <c r="W10806" s="5"/>
      <c r="X10806" s="5"/>
      <c r="Y10806" s="5"/>
      <c r="Z10806" s="5"/>
    </row>
    <row r="10807" spans="1:26" ht="15" x14ac:dyDescent="0.25">
      <c r="A10807" s="4" t="s">
        <v>10804</v>
      </c>
      <c r="B10807" s="4" t="s">
        <v>9011</v>
      </c>
      <c r="C10807" s="2" t="str">
        <f ca="1">IFERROR(__xludf.DUMMYFUNCTION("GOOGLETRANSLATE(A10807,""bn"",""en"")"),"No need to prepare for law")</f>
        <v>No need to prepare for law</v>
      </c>
      <c r="D10807" s="5"/>
      <c r="E10807" s="5"/>
      <c r="F10807" s="5"/>
      <c r="G10807" s="5"/>
      <c r="H10807" s="5"/>
      <c r="I10807" s="5"/>
      <c r="J10807" s="5"/>
      <c r="K10807" s="5"/>
      <c r="L10807" s="5"/>
      <c r="M10807" s="5"/>
      <c r="N10807" s="5"/>
      <c r="O10807" s="5"/>
      <c r="P10807" s="5"/>
      <c r="Q10807" s="5"/>
      <c r="R10807" s="5"/>
      <c r="S10807" s="5"/>
      <c r="T10807" s="5"/>
      <c r="U10807" s="5"/>
      <c r="V10807" s="5"/>
      <c r="W10807" s="5"/>
      <c r="X10807" s="5"/>
      <c r="Y10807" s="5"/>
      <c r="Z10807" s="5"/>
    </row>
    <row r="10808" spans="1:26" ht="15" x14ac:dyDescent="0.25">
      <c r="A10808" s="4" t="s">
        <v>10805</v>
      </c>
      <c r="B10808" s="4" t="s">
        <v>9011</v>
      </c>
      <c r="C10808" s="2" t="str">
        <f ca="1">IFERROR(__xludf.DUMMYFUNCTION("GOOGLETRANSLATE(A10808,""bn"",""en"")"),"I would like flowers")</f>
        <v>I would like flowers</v>
      </c>
      <c r="D10808" s="5"/>
      <c r="E10808" s="5"/>
      <c r="F10808" s="5"/>
      <c r="G10808" s="5"/>
      <c r="H10808" s="5"/>
      <c r="I10808" s="5"/>
      <c r="J10808" s="5"/>
      <c r="K10808" s="5"/>
      <c r="L10808" s="5"/>
      <c r="M10808" s="5"/>
      <c r="N10808" s="5"/>
      <c r="O10808" s="5"/>
      <c r="P10808" s="5"/>
      <c r="Q10808" s="5"/>
      <c r="R10808" s="5"/>
      <c r="S10808" s="5"/>
      <c r="T10808" s="5"/>
      <c r="U10808" s="5"/>
      <c r="V10808" s="5"/>
      <c r="W10808" s="5"/>
      <c r="X10808" s="5"/>
      <c r="Y10808" s="5"/>
      <c r="Z10808" s="5"/>
    </row>
    <row r="10809" spans="1:26" ht="15" x14ac:dyDescent="0.25">
      <c r="A10809" s="4" t="s">
        <v>10806</v>
      </c>
      <c r="B10809" s="4" t="s">
        <v>9011</v>
      </c>
      <c r="C10809" s="2" t="str">
        <f ca="1">IFERROR(__xludf.DUMMYFUNCTION("GOOGLETRANSLATE(A10809,""bn"",""en"")"),"He will be a programmer")</f>
        <v>He will be a programmer</v>
      </c>
      <c r="D10809" s="5"/>
      <c r="E10809" s="5"/>
      <c r="F10809" s="5"/>
      <c r="G10809" s="5"/>
      <c r="H10809" s="5"/>
      <c r="I10809" s="5"/>
      <c r="J10809" s="5"/>
      <c r="K10809" s="5"/>
      <c r="L10809" s="5"/>
      <c r="M10809" s="5"/>
      <c r="N10809" s="5"/>
      <c r="O10809" s="5"/>
      <c r="P10809" s="5"/>
      <c r="Q10809" s="5"/>
      <c r="R10809" s="5"/>
      <c r="S10809" s="5"/>
      <c r="T10809" s="5"/>
      <c r="U10809" s="5"/>
      <c r="V10809" s="5"/>
      <c r="W10809" s="5"/>
      <c r="X10809" s="5"/>
      <c r="Y10809" s="5"/>
      <c r="Z10809" s="5"/>
    </row>
    <row r="10810" spans="1:26" ht="15" x14ac:dyDescent="0.25">
      <c r="A10810" s="4" t="s">
        <v>10807</v>
      </c>
      <c r="B10810" s="4" t="s">
        <v>9011</v>
      </c>
      <c r="C10810" s="2" t="str">
        <f ca="1">IFERROR(__xludf.DUMMYFUNCTION("GOOGLETRANSLATE(A10810,""bn"",""en"")"),"They will write poetry")</f>
        <v>They will write poetry</v>
      </c>
      <c r="D10810" s="5"/>
      <c r="E10810" s="5"/>
      <c r="F10810" s="5"/>
      <c r="G10810" s="5"/>
      <c r="H10810" s="5"/>
      <c r="I10810" s="5"/>
      <c r="J10810" s="5"/>
      <c r="K10810" s="5"/>
      <c r="L10810" s="5"/>
      <c r="M10810" s="5"/>
      <c r="N10810" s="5"/>
      <c r="O10810" s="5"/>
      <c r="P10810" s="5"/>
      <c r="Q10810" s="5"/>
      <c r="R10810" s="5"/>
      <c r="S10810" s="5"/>
      <c r="T10810" s="5"/>
      <c r="U10810" s="5"/>
      <c r="V10810" s="5"/>
      <c r="W10810" s="5"/>
      <c r="X10810" s="5"/>
      <c r="Y10810" s="5"/>
      <c r="Z10810" s="5"/>
    </row>
    <row r="10811" spans="1:26" ht="15" x14ac:dyDescent="0.25">
      <c r="A10811" s="4" t="s">
        <v>10808</v>
      </c>
      <c r="B10811" s="4" t="s">
        <v>9011</v>
      </c>
      <c r="C10811" s="2" t="str">
        <f ca="1">IFERROR(__xludf.DUMMYFUNCTION("GOOGLETRANSLATE(A10811,""bn"",""en"")"),"I will do blockchain course")</f>
        <v>I will do blockchain course</v>
      </c>
      <c r="D10811" s="5"/>
      <c r="E10811" s="5"/>
      <c r="F10811" s="5"/>
      <c r="G10811" s="5"/>
      <c r="H10811" s="5"/>
      <c r="I10811" s="5"/>
      <c r="J10811" s="5"/>
      <c r="K10811" s="5"/>
      <c r="L10811" s="5"/>
      <c r="M10811" s="5"/>
      <c r="N10811" s="5"/>
      <c r="O10811" s="5"/>
      <c r="P10811" s="5"/>
      <c r="Q10811" s="5"/>
      <c r="R10811" s="5"/>
      <c r="S10811" s="5"/>
      <c r="T10811" s="5"/>
      <c r="U10811" s="5"/>
      <c r="V10811" s="5"/>
      <c r="W10811" s="5"/>
      <c r="X10811" s="5"/>
      <c r="Y10811" s="5"/>
      <c r="Z10811" s="5"/>
    </row>
    <row r="10812" spans="1:26" ht="15" x14ac:dyDescent="0.25">
      <c r="A10812" s="4" t="s">
        <v>10809</v>
      </c>
      <c r="B10812" s="4" t="s">
        <v>9011</v>
      </c>
      <c r="C10812" s="2" t="str">
        <f ca="1">IFERROR(__xludf.DUMMYFUNCTION("GOOGLETRANSLATE(A10812,""bn"",""en"")"),"Development will be finished")</f>
        <v>Development will be finished</v>
      </c>
      <c r="D10812" s="5"/>
      <c r="E10812" s="5"/>
      <c r="F10812" s="5"/>
      <c r="G10812" s="5"/>
      <c r="H10812" s="5"/>
      <c r="I10812" s="5"/>
      <c r="J10812" s="5"/>
      <c r="K10812" s="5"/>
      <c r="L10812" s="5"/>
      <c r="M10812" s="5"/>
      <c r="N10812" s="5"/>
      <c r="O10812" s="5"/>
      <c r="P10812" s="5"/>
      <c r="Q10812" s="5"/>
      <c r="R10812" s="5"/>
      <c r="S10812" s="5"/>
      <c r="T10812" s="5"/>
      <c r="U10812" s="5"/>
      <c r="V10812" s="5"/>
      <c r="W10812" s="5"/>
      <c r="X10812" s="5"/>
      <c r="Y10812" s="5"/>
      <c r="Z10812" s="5"/>
    </row>
    <row r="10813" spans="1:26" ht="15" x14ac:dyDescent="0.25">
      <c r="A10813" s="4" t="s">
        <v>10810</v>
      </c>
      <c r="B10813" s="4" t="s">
        <v>9011</v>
      </c>
      <c r="C10813" s="2" t="str">
        <f ca="1">IFERROR(__xludf.DUMMYFUNCTION("GOOGLETRANSLATE(A10813,""bn"",""en"")"),"I will go on a study tour")</f>
        <v>I will go on a study tour</v>
      </c>
      <c r="D10813" s="5"/>
      <c r="E10813" s="5"/>
      <c r="F10813" s="5"/>
      <c r="G10813" s="5"/>
      <c r="H10813" s="5"/>
      <c r="I10813" s="5"/>
      <c r="J10813" s="5"/>
      <c r="K10813" s="5"/>
      <c r="L10813" s="5"/>
      <c r="M10813" s="5"/>
      <c r="N10813" s="5"/>
      <c r="O10813" s="5"/>
      <c r="P10813" s="5"/>
      <c r="Q10813" s="5"/>
      <c r="R10813" s="5"/>
      <c r="S10813" s="5"/>
      <c r="T10813" s="5"/>
      <c r="U10813" s="5"/>
      <c r="V10813" s="5"/>
      <c r="W10813" s="5"/>
      <c r="X10813" s="5"/>
      <c r="Y10813" s="5"/>
      <c r="Z10813" s="5"/>
    </row>
    <row r="10814" spans="1:26" ht="15" x14ac:dyDescent="0.25">
      <c r="A10814" s="4" t="s">
        <v>10811</v>
      </c>
      <c r="B10814" s="4" t="s">
        <v>9011</v>
      </c>
      <c r="C10814" s="2" t="str">
        <f ca="1">IFERROR(__xludf.DUMMYFUNCTION("GOOGLETRANSLATE(A10814,""bn"",""en"")"),"Satellite will be expensive")</f>
        <v>Satellite will be expensive</v>
      </c>
      <c r="D10814" s="5"/>
      <c r="E10814" s="5"/>
      <c r="F10814" s="5"/>
      <c r="G10814" s="5"/>
      <c r="H10814" s="5"/>
      <c r="I10814" s="5"/>
      <c r="J10814" s="5"/>
      <c r="K10814" s="5"/>
      <c r="L10814" s="5"/>
      <c r="M10814" s="5"/>
      <c r="N10814" s="5"/>
      <c r="O10814" s="5"/>
      <c r="P10814" s="5"/>
      <c r="Q10814" s="5"/>
      <c r="R10814" s="5"/>
      <c r="S10814" s="5"/>
      <c r="T10814" s="5"/>
      <c r="U10814" s="5"/>
      <c r="V10814" s="5"/>
      <c r="W10814" s="5"/>
      <c r="X10814" s="5"/>
      <c r="Y10814" s="5"/>
      <c r="Z10814" s="5"/>
    </row>
    <row r="10815" spans="1:26" ht="15" x14ac:dyDescent="0.25">
      <c r="A10815" s="4" t="s">
        <v>10812</v>
      </c>
      <c r="B10815" s="4" t="s">
        <v>9011</v>
      </c>
      <c r="C10815" s="2" t="str">
        <f ca="1">IFERROR(__xludf.DUMMYFUNCTION("GOOGLETRANSLATE(A10815,""bn"",""en"")"),"Yahoo will be popular")</f>
        <v>Yahoo will be popular</v>
      </c>
      <c r="D10815" s="5"/>
      <c r="E10815" s="5"/>
      <c r="F10815" s="5"/>
      <c r="G10815" s="5"/>
      <c r="H10815" s="5"/>
      <c r="I10815" s="5"/>
      <c r="J10815" s="5"/>
      <c r="K10815" s="5"/>
      <c r="L10815" s="5"/>
      <c r="M10815" s="5"/>
      <c r="N10815" s="5"/>
      <c r="O10815" s="5"/>
      <c r="P10815" s="5"/>
      <c r="Q10815" s="5"/>
      <c r="R10815" s="5"/>
      <c r="S10815" s="5"/>
      <c r="T10815" s="5"/>
      <c r="U10815" s="5"/>
      <c r="V10815" s="5"/>
      <c r="W10815" s="5"/>
      <c r="X10815" s="5"/>
      <c r="Y10815" s="5"/>
      <c r="Z10815" s="5"/>
    </row>
    <row r="10816" spans="1:26" ht="15" x14ac:dyDescent="0.25">
      <c r="A10816" s="4" t="s">
        <v>10813</v>
      </c>
      <c r="B10816" s="4" t="s">
        <v>9011</v>
      </c>
      <c r="C10816" s="2" t="str">
        <f ca="1">IFERROR(__xludf.DUMMYFUNCTION("GOOGLETRANSLATE(A10816,""bn"",""en"")"),"I will use the ebook")</f>
        <v>I will use the ebook</v>
      </c>
      <c r="D10816" s="5"/>
      <c r="E10816" s="5"/>
      <c r="F10816" s="5"/>
      <c r="G10816" s="5"/>
      <c r="H10816" s="5"/>
      <c r="I10816" s="5"/>
      <c r="J10816" s="5"/>
      <c r="K10816" s="5"/>
      <c r="L10816" s="5"/>
      <c r="M10816" s="5"/>
      <c r="N10816" s="5"/>
      <c r="O10816" s="5"/>
      <c r="P10816" s="5"/>
      <c r="Q10816" s="5"/>
      <c r="R10816" s="5"/>
      <c r="S10816" s="5"/>
      <c r="T10816" s="5"/>
      <c r="U10816" s="5"/>
      <c r="V10816" s="5"/>
      <c r="W10816" s="5"/>
      <c r="X10816" s="5"/>
      <c r="Y10816" s="5"/>
      <c r="Z10816" s="5"/>
    </row>
    <row r="10817" spans="1:26" ht="15" x14ac:dyDescent="0.25">
      <c r="A10817" s="4" t="s">
        <v>10814</v>
      </c>
      <c r="B10817" s="4" t="s">
        <v>9011</v>
      </c>
      <c r="C10817" s="2" t="str">
        <f ca="1">IFERROR(__xludf.DUMMYFUNCTION("GOOGLETRANSLATE(A10817,""bn"",""en"")"),"I will eat in the college cafeteria")</f>
        <v>I will eat in the college cafeteria</v>
      </c>
      <c r="D10817" s="5"/>
      <c r="E10817" s="5"/>
      <c r="F10817" s="5"/>
      <c r="G10817" s="5"/>
      <c r="H10817" s="5"/>
      <c r="I10817" s="5"/>
      <c r="J10817" s="5"/>
      <c r="K10817" s="5"/>
      <c r="L10817" s="5"/>
      <c r="M10817" s="5"/>
      <c r="N10817" s="5"/>
      <c r="O10817" s="5"/>
      <c r="P10817" s="5"/>
      <c r="Q10817" s="5"/>
      <c r="R10817" s="5"/>
      <c r="S10817" s="5"/>
      <c r="T10817" s="5"/>
      <c r="U10817" s="5"/>
      <c r="V10817" s="5"/>
      <c r="W10817" s="5"/>
      <c r="X10817" s="5"/>
      <c r="Y10817" s="5"/>
      <c r="Z10817" s="5"/>
    </row>
    <row r="10818" spans="1:26" ht="15" x14ac:dyDescent="0.25">
      <c r="A10818" s="4" t="s">
        <v>10815</v>
      </c>
      <c r="B10818" s="4" t="s">
        <v>9011</v>
      </c>
      <c r="C10818" s="2" t="str">
        <f ca="1">IFERROR(__xludf.DUMMYFUNCTION("GOOGLETRANSLATE(A10818,""bn"",""en"")"),"I will audit")</f>
        <v>I will audit</v>
      </c>
      <c r="D10818" s="5"/>
      <c r="E10818" s="5"/>
      <c r="F10818" s="5"/>
      <c r="G10818" s="5"/>
      <c r="H10818" s="5"/>
      <c r="I10818" s="5"/>
      <c r="J10818" s="5"/>
      <c r="K10818" s="5"/>
      <c r="L10818" s="5"/>
      <c r="M10818" s="5"/>
      <c r="N10818" s="5"/>
      <c r="O10818" s="5"/>
      <c r="P10818" s="5"/>
      <c r="Q10818" s="5"/>
      <c r="R10818" s="5"/>
      <c r="S10818" s="5"/>
      <c r="T10818" s="5"/>
      <c r="U10818" s="5"/>
      <c r="V10818" s="5"/>
      <c r="W10818" s="5"/>
      <c r="X10818" s="5"/>
      <c r="Y10818" s="5"/>
      <c r="Z10818" s="5"/>
    </row>
    <row r="10819" spans="1:26" ht="15" x14ac:dyDescent="0.25">
      <c r="A10819" s="4" t="s">
        <v>10816</v>
      </c>
      <c r="B10819" s="4" t="s">
        <v>9011</v>
      </c>
      <c r="C10819" s="2" t="str">
        <f ca="1">IFERROR(__xludf.DUMMYFUNCTION("GOOGLETRANSLATE(A10819,""bn"",""en"")"),"The law will be prepared")</f>
        <v>The law will be prepared</v>
      </c>
      <c r="D10819" s="5"/>
      <c r="E10819" s="5"/>
      <c r="F10819" s="5"/>
      <c r="G10819" s="5"/>
      <c r="H10819" s="5"/>
      <c r="I10819" s="5"/>
      <c r="J10819" s="5"/>
      <c r="K10819" s="5"/>
      <c r="L10819" s="5"/>
      <c r="M10819" s="5"/>
      <c r="N10819" s="5"/>
      <c r="O10819" s="5"/>
      <c r="P10819" s="5"/>
      <c r="Q10819" s="5"/>
      <c r="R10819" s="5"/>
      <c r="S10819" s="5"/>
      <c r="T10819" s="5"/>
      <c r="U10819" s="5"/>
      <c r="V10819" s="5"/>
      <c r="W10819" s="5"/>
      <c r="X10819" s="5"/>
      <c r="Y10819" s="5"/>
      <c r="Z10819" s="5"/>
    </row>
    <row r="10820" spans="1:26" ht="15" x14ac:dyDescent="0.25">
      <c r="A10820" s="4" t="s">
        <v>10817</v>
      </c>
      <c r="B10820" s="4" t="s">
        <v>9011</v>
      </c>
      <c r="C10820" s="2" t="str">
        <f ca="1">IFERROR(__xludf.DUMMYFUNCTION("GOOGLETRANSLATE(A10820,""bn"",""en"")"),"I will teach networking")</f>
        <v>I will teach networking</v>
      </c>
      <c r="D10820" s="5"/>
      <c r="E10820" s="5"/>
      <c r="F10820" s="5"/>
      <c r="G10820" s="5"/>
      <c r="H10820" s="5"/>
      <c r="I10820" s="5"/>
      <c r="J10820" s="5"/>
      <c r="K10820" s="5"/>
      <c r="L10820" s="5"/>
      <c r="M10820" s="5"/>
      <c r="N10820" s="5"/>
      <c r="O10820" s="5"/>
      <c r="P10820" s="5"/>
      <c r="Q10820" s="5"/>
      <c r="R10820" s="5"/>
      <c r="S10820" s="5"/>
      <c r="T10820" s="5"/>
      <c r="U10820" s="5"/>
      <c r="V10820" s="5"/>
      <c r="W10820" s="5"/>
      <c r="X10820" s="5"/>
      <c r="Y10820" s="5"/>
      <c r="Z10820" s="5"/>
    </row>
    <row r="10821" spans="1:26" ht="15" x14ac:dyDescent="0.25">
      <c r="A10821" s="4" t="s">
        <v>10818</v>
      </c>
      <c r="B10821" s="4" t="s">
        <v>9011</v>
      </c>
      <c r="C10821" s="2" t="str">
        <f ca="1">IFERROR(__xludf.DUMMYFUNCTION("GOOGLETRANSLATE(A10821,""bn"",""en"")"),"I will continue to open the account")</f>
        <v>I will continue to open the account</v>
      </c>
      <c r="D10821" s="5"/>
      <c r="E10821" s="5"/>
      <c r="F10821" s="5"/>
      <c r="G10821" s="5"/>
      <c r="H10821" s="5"/>
      <c r="I10821" s="5"/>
      <c r="J10821" s="5"/>
      <c r="K10821" s="5"/>
      <c r="L10821" s="5"/>
      <c r="M10821" s="5"/>
      <c r="N10821" s="5"/>
      <c r="O10821" s="5"/>
      <c r="P10821" s="5"/>
      <c r="Q10821" s="5"/>
      <c r="R10821" s="5"/>
      <c r="S10821" s="5"/>
      <c r="T10821" s="5"/>
      <c r="U10821" s="5"/>
      <c r="V10821" s="5"/>
      <c r="W10821" s="5"/>
      <c r="X10821" s="5"/>
      <c r="Y10821" s="5"/>
      <c r="Z10821" s="5"/>
    </row>
    <row r="10822" spans="1:26" ht="15" x14ac:dyDescent="0.25">
      <c r="A10822" s="4" t="s">
        <v>10819</v>
      </c>
      <c r="B10822" s="4" t="s">
        <v>9011</v>
      </c>
      <c r="C10822" s="2" t="str">
        <f ca="1">IFERROR(__xludf.DUMMYFUNCTION("GOOGLETRANSLATE(A10822,""bn"",""en"")"),"I will deposit money in the account")</f>
        <v>I will deposit money in the account</v>
      </c>
      <c r="D10822" s="5"/>
      <c r="E10822" s="5"/>
      <c r="F10822" s="5"/>
      <c r="G10822" s="5"/>
      <c r="H10822" s="5"/>
      <c r="I10822" s="5"/>
      <c r="J10822" s="5"/>
      <c r="K10822" s="5"/>
      <c r="L10822" s="5"/>
      <c r="M10822" s="5"/>
      <c r="N10822" s="5"/>
      <c r="O10822" s="5"/>
      <c r="P10822" s="5"/>
      <c r="Q10822" s="5"/>
      <c r="R10822" s="5"/>
      <c r="S10822" s="5"/>
      <c r="T10822" s="5"/>
      <c r="U10822" s="5"/>
      <c r="V10822" s="5"/>
      <c r="W10822" s="5"/>
      <c r="X10822" s="5"/>
      <c r="Y10822" s="5"/>
      <c r="Z10822" s="5"/>
    </row>
    <row r="10823" spans="1:26" ht="15" x14ac:dyDescent="0.25">
      <c r="A10823" s="4" t="s">
        <v>10820</v>
      </c>
      <c r="B10823" s="4" t="s">
        <v>9011</v>
      </c>
      <c r="C10823" s="2" t="str">
        <f ca="1">IFERROR(__xludf.DUMMYFUNCTION("GOOGLETRANSLATE(A10823,""bn"",""en"")"),"Poetry will be read")</f>
        <v>Poetry will be read</v>
      </c>
      <c r="D10823" s="5"/>
      <c r="E10823" s="5"/>
      <c r="F10823" s="5"/>
      <c r="G10823" s="5"/>
      <c r="H10823" s="5"/>
      <c r="I10823" s="5"/>
      <c r="J10823" s="5"/>
      <c r="K10823" s="5"/>
      <c r="L10823" s="5"/>
      <c r="M10823" s="5"/>
      <c r="N10823" s="5"/>
      <c r="O10823" s="5"/>
      <c r="P10823" s="5"/>
      <c r="Q10823" s="5"/>
      <c r="R10823" s="5"/>
      <c r="S10823" s="5"/>
      <c r="T10823" s="5"/>
      <c r="U10823" s="5"/>
      <c r="V10823" s="5"/>
      <c r="W10823" s="5"/>
      <c r="X10823" s="5"/>
      <c r="Y10823" s="5"/>
      <c r="Z10823" s="5"/>
    </row>
    <row r="10824" spans="1:26" ht="15" x14ac:dyDescent="0.25">
      <c r="A10824" s="4" t="s">
        <v>10821</v>
      </c>
      <c r="B10824" s="4" t="s">
        <v>9011</v>
      </c>
      <c r="C10824" s="2" t="str">
        <f ca="1">IFERROR(__xludf.DUMMYFUNCTION("GOOGLETRANSLATE(A10824,""bn"",""en"")"),"I will see birds in the forest")</f>
        <v>I will see birds in the forest</v>
      </c>
      <c r="D10824" s="5"/>
      <c r="E10824" s="5"/>
      <c r="F10824" s="5"/>
      <c r="G10824" s="5"/>
      <c r="H10824" s="5"/>
      <c r="I10824" s="5"/>
      <c r="J10824" s="5"/>
      <c r="K10824" s="5"/>
      <c r="L10824" s="5"/>
      <c r="M10824" s="5"/>
      <c r="N10824" s="5"/>
      <c r="O10824" s="5"/>
      <c r="P10824" s="5"/>
      <c r="Q10824" s="5"/>
      <c r="R10824" s="5"/>
      <c r="S10824" s="5"/>
      <c r="T10824" s="5"/>
      <c r="U10824" s="5"/>
      <c r="V10824" s="5"/>
      <c r="W10824" s="5"/>
      <c r="X10824" s="5"/>
      <c r="Y10824" s="5"/>
      <c r="Z10824" s="5"/>
    </row>
    <row r="10825" spans="1:26" ht="15" x14ac:dyDescent="0.25">
      <c r="A10825" s="4" t="s">
        <v>10822</v>
      </c>
      <c r="B10825" s="4" t="s">
        <v>9011</v>
      </c>
      <c r="C10825" s="2" t="str">
        <f ca="1">IFERROR(__xludf.DUMMYFUNCTION("GOOGLETRANSLATE(A10825,""bn"",""en"")"),"I will stay")</f>
        <v>I will stay</v>
      </c>
      <c r="D10825" s="5"/>
      <c r="E10825" s="5"/>
      <c r="F10825" s="5"/>
      <c r="G10825" s="5"/>
      <c r="H10825" s="5"/>
      <c r="I10825" s="5"/>
      <c r="J10825" s="5"/>
      <c r="K10825" s="5"/>
      <c r="L10825" s="5"/>
      <c r="M10825" s="5"/>
      <c r="N10825" s="5"/>
      <c r="O10825" s="5"/>
      <c r="P10825" s="5"/>
      <c r="Q10825" s="5"/>
      <c r="R10825" s="5"/>
      <c r="S10825" s="5"/>
      <c r="T10825" s="5"/>
      <c r="U10825" s="5"/>
      <c r="V10825" s="5"/>
      <c r="W10825" s="5"/>
      <c r="X10825" s="5"/>
      <c r="Y10825" s="5"/>
      <c r="Z10825" s="5"/>
    </row>
    <row r="10826" spans="1:26" ht="15" x14ac:dyDescent="0.25">
      <c r="A10826" s="4" t="s">
        <v>10823</v>
      </c>
      <c r="B10826" s="4" t="s">
        <v>9011</v>
      </c>
      <c r="C10826" s="2" t="str">
        <f ca="1">IFERROR(__xludf.DUMMYFUNCTION("GOOGLETRANSLATE(A10826,""bn"",""en"")"),"Dammam will be spectacular")</f>
        <v>Dammam will be spectacular</v>
      </c>
      <c r="D10826" s="5"/>
      <c r="E10826" s="5"/>
      <c r="F10826" s="5"/>
      <c r="G10826" s="5"/>
      <c r="H10826" s="5"/>
      <c r="I10826" s="5"/>
      <c r="J10826" s="5"/>
      <c r="K10826" s="5"/>
      <c r="L10826" s="5"/>
      <c r="M10826" s="5"/>
      <c r="N10826" s="5"/>
      <c r="O10826" s="5"/>
      <c r="P10826" s="5"/>
      <c r="Q10826" s="5"/>
      <c r="R10826" s="5"/>
      <c r="S10826" s="5"/>
      <c r="T10826" s="5"/>
      <c r="U10826" s="5"/>
      <c r="V10826" s="5"/>
      <c r="W10826" s="5"/>
      <c r="X10826" s="5"/>
      <c r="Y10826" s="5"/>
      <c r="Z10826" s="5"/>
    </row>
    <row r="10827" spans="1:26" ht="15" x14ac:dyDescent="0.25">
      <c r="A10827" s="4" t="s">
        <v>10824</v>
      </c>
      <c r="B10827" s="4" t="s">
        <v>9011</v>
      </c>
      <c r="C10827" s="2" t="str">
        <f ca="1">IFERROR(__xludf.DUMMYFUNCTION("GOOGLETRANSLATE(A10827,""bn"",""en"")"),"The player will play basketball")</f>
        <v>The player will play basketball</v>
      </c>
      <c r="D10827" s="5"/>
      <c r="E10827" s="5"/>
      <c r="F10827" s="5"/>
      <c r="G10827" s="5"/>
      <c r="H10827" s="5"/>
      <c r="I10827" s="5"/>
      <c r="J10827" s="5"/>
      <c r="K10827" s="5"/>
      <c r="L10827" s="5"/>
      <c r="M10827" s="5"/>
      <c r="N10827" s="5"/>
      <c r="O10827" s="5"/>
      <c r="P10827" s="5"/>
      <c r="Q10827" s="5"/>
      <c r="R10827" s="5"/>
      <c r="S10827" s="5"/>
      <c r="T10827" s="5"/>
      <c r="U10827" s="5"/>
      <c r="V10827" s="5"/>
      <c r="W10827" s="5"/>
      <c r="X10827" s="5"/>
      <c r="Y10827" s="5"/>
      <c r="Z10827" s="5"/>
    </row>
    <row r="10828" spans="1:26" ht="15" x14ac:dyDescent="0.25">
      <c r="A10828" s="4" t="s">
        <v>10825</v>
      </c>
      <c r="B10828" s="4" t="s">
        <v>9011</v>
      </c>
      <c r="C10828" s="2" t="str">
        <f ca="1">IFERROR(__xludf.DUMMYFUNCTION("GOOGLETRANSLATE(A10828,""bn"",""en"")"),"Will be reciting")</f>
        <v>Will be reciting</v>
      </c>
      <c r="D10828" s="5"/>
      <c r="E10828" s="5"/>
      <c r="F10828" s="5"/>
      <c r="G10828" s="5"/>
      <c r="H10828" s="5"/>
      <c r="I10828" s="5"/>
      <c r="J10828" s="5"/>
      <c r="K10828" s="5"/>
      <c r="L10828" s="5"/>
      <c r="M10828" s="5"/>
      <c r="N10828" s="5"/>
      <c r="O10828" s="5"/>
      <c r="P10828" s="5"/>
      <c r="Q10828" s="5"/>
      <c r="R10828" s="5"/>
      <c r="S10828" s="5"/>
      <c r="T10828" s="5"/>
      <c r="U10828" s="5"/>
      <c r="V10828" s="5"/>
      <c r="W10828" s="5"/>
      <c r="X10828" s="5"/>
      <c r="Y10828" s="5"/>
      <c r="Z10828" s="5"/>
    </row>
    <row r="10829" spans="1:26" ht="15" x14ac:dyDescent="0.25">
      <c r="A10829" s="4" t="s">
        <v>10826</v>
      </c>
      <c r="B10829" s="4" t="s">
        <v>9011</v>
      </c>
      <c r="C10829" s="2" t="str">
        <f ca="1">IFERROR(__xludf.DUMMYFUNCTION("GOOGLETRANSLATE(A10829,""bn"",""en"")"),"Blockchain will be popular")</f>
        <v>Blockchain will be popular</v>
      </c>
      <c r="D10829" s="5"/>
      <c r="E10829" s="5"/>
      <c r="F10829" s="5"/>
      <c r="G10829" s="5"/>
      <c r="H10829" s="5"/>
      <c r="I10829" s="5"/>
      <c r="J10829" s="5"/>
      <c r="K10829" s="5"/>
      <c r="L10829" s="5"/>
      <c r="M10829" s="5"/>
      <c r="N10829" s="5"/>
      <c r="O10829" s="5"/>
      <c r="P10829" s="5"/>
      <c r="Q10829" s="5"/>
      <c r="R10829" s="5"/>
      <c r="S10829" s="5"/>
      <c r="T10829" s="5"/>
      <c r="U10829" s="5"/>
      <c r="V10829" s="5"/>
      <c r="W10829" s="5"/>
      <c r="X10829" s="5"/>
      <c r="Y10829" s="5"/>
      <c r="Z10829" s="5"/>
    </row>
    <row r="10830" spans="1:26" ht="15" x14ac:dyDescent="0.25">
      <c r="A10830" s="4" t="s">
        <v>10827</v>
      </c>
      <c r="B10830" s="4" t="s">
        <v>9011</v>
      </c>
      <c r="C10830" s="2" t="str">
        <f ca="1">IFERROR(__xludf.DUMMYFUNCTION("GOOGLETRANSLATE(A10830,""bn"",""en"")"),"The team will discuss")</f>
        <v>The team will discuss</v>
      </c>
      <c r="D10830" s="5"/>
      <c r="E10830" s="5"/>
      <c r="F10830" s="5"/>
      <c r="G10830" s="5"/>
      <c r="H10830" s="5"/>
      <c r="I10830" s="5"/>
      <c r="J10830" s="5"/>
      <c r="K10830" s="5"/>
      <c r="L10830" s="5"/>
      <c r="M10830" s="5"/>
      <c r="N10830" s="5"/>
      <c r="O10830" s="5"/>
      <c r="P10830" s="5"/>
      <c r="Q10830" s="5"/>
      <c r="R10830" s="5"/>
      <c r="S10830" s="5"/>
      <c r="T10830" s="5"/>
      <c r="U10830" s="5"/>
      <c r="V10830" s="5"/>
      <c r="W10830" s="5"/>
      <c r="X10830" s="5"/>
      <c r="Y10830" s="5"/>
      <c r="Z10830" s="5"/>
    </row>
    <row r="10831" spans="1:26" ht="15" x14ac:dyDescent="0.25">
      <c r="A10831" s="4" t="s">
        <v>10828</v>
      </c>
      <c r="B10831" s="4" t="s">
        <v>9011</v>
      </c>
      <c r="C10831" s="2" t="str">
        <f ca="1">IFERROR(__xludf.DUMMYFUNCTION("GOOGLETRANSLATE(A10831,""bn"",""en"")"),"Everyone will have love")</f>
        <v>Everyone will have love</v>
      </c>
      <c r="D10831" s="5"/>
      <c r="E10831" s="5"/>
      <c r="F10831" s="5"/>
      <c r="G10831" s="5"/>
      <c r="H10831" s="5"/>
      <c r="I10831" s="5"/>
      <c r="J10831" s="5"/>
      <c r="K10831" s="5"/>
      <c r="L10831" s="5"/>
      <c r="M10831" s="5"/>
      <c r="N10831" s="5"/>
      <c r="O10831" s="5"/>
      <c r="P10831" s="5"/>
      <c r="Q10831" s="5"/>
      <c r="R10831" s="5"/>
      <c r="S10831" s="5"/>
      <c r="T10831" s="5"/>
      <c r="U10831" s="5"/>
      <c r="V10831" s="5"/>
      <c r="W10831" s="5"/>
      <c r="X10831" s="5"/>
      <c r="Y10831" s="5"/>
      <c r="Z10831" s="5"/>
    </row>
    <row r="10832" spans="1:26" ht="15" x14ac:dyDescent="0.25">
      <c r="A10832" s="4" t="s">
        <v>10829</v>
      </c>
      <c r="B10832" s="4" t="s">
        <v>9011</v>
      </c>
      <c r="C10832" s="2" t="str">
        <f ca="1">IFERROR(__xludf.DUMMYFUNCTION("GOOGLETRANSLATE(A10832,""bn"",""en"")"),"Technology will continue to evolve")</f>
        <v>Technology will continue to evolve</v>
      </c>
      <c r="D10832" s="5"/>
      <c r="E10832" s="5"/>
      <c r="F10832" s="5"/>
      <c r="G10832" s="5"/>
      <c r="H10832" s="5"/>
      <c r="I10832" s="5"/>
      <c r="J10832" s="5"/>
      <c r="K10832" s="5"/>
      <c r="L10832" s="5"/>
      <c r="M10832" s="5"/>
      <c r="N10832" s="5"/>
      <c r="O10832" s="5"/>
      <c r="P10832" s="5"/>
      <c r="Q10832" s="5"/>
      <c r="R10832" s="5"/>
      <c r="S10832" s="5"/>
      <c r="T10832" s="5"/>
      <c r="U10832" s="5"/>
      <c r="V10832" s="5"/>
      <c r="W10832" s="5"/>
      <c r="X10832" s="5"/>
      <c r="Y10832" s="5"/>
      <c r="Z10832" s="5"/>
    </row>
    <row r="10833" spans="1:26" ht="15" x14ac:dyDescent="0.25">
      <c r="A10833" s="4" t="s">
        <v>10830</v>
      </c>
      <c r="B10833" s="4" t="s">
        <v>9011</v>
      </c>
      <c r="C10833" s="2" t="str">
        <f ca="1">IFERROR(__xludf.DUMMYFUNCTION("GOOGLETRANSLATE(A10833,""bn"",""en"")"),"He will lick")</f>
        <v>He will lick</v>
      </c>
      <c r="D10833" s="5"/>
      <c r="E10833" s="5"/>
      <c r="F10833" s="5"/>
      <c r="G10833" s="5"/>
      <c r="H10833" s="5"/>
      <c r="I10833" s="5"/>
      <c r="J10833" s="5"/>
      <c r="K10833" s="5"/>
      <c r="L10833" s="5"/>
      <c r="M10833" s="5"/>
      <c r="N10833" s="5"/>
      <c r="O10833" s="5"/>
      <c r="P10833" s="5"/>
      <c r="Q10833" s="5"/>
      <c r="R10833" s="5"/>
      <c r="S10833" s="5"/>
      <c r="T10833" s="5"/>
      <c r="U10833" s="5"/>
      <c r="V10833" s="5"/>
      <c r="W10833" s="5"/>
      <c r="X10833" s="5"/>
      <c r="Y10833" s="5"/>
      <c r="Z10833" s="5"/>
    </row>
    <row r="10834" spans="1:26" ht="15" x14ac:dyDescent="0.25">
      <c r="A10834" s="4" t="s">
        <v>10831</v>
      </c>
      <c r="B10834" s="4" t="s">
        <v>9011</v>
      </c>
      <c r="C10834" s="2" t="str">
        <f ca="1">IFERROR(__xludf.DUMMYFUNCTION("GOOGLETRANSLATE(A10834,""bn"",""en"")"),"Efficiency should be increased")</f>
        <v>Efficiency should be increased</v>
      </c>
      <c r="D10834" s="5"/>
      <c r="E10834" s="5"/>
      <c r="F10834" s="5"/>
      <c r="G10834" s="5"/>
      <c r="H10834" s="5"/>
      <c r="I10834" s="5"/>
      <c r="J10834" s="5"/>
      <c r="K10834" s="5"/>
      <c r="L10834" s="5"/>
      <c r="M10834" s="5"/>
      <c r="N10834" s="5"/>
      <c r="O10834" s="5"/>
      <c r="P10834" s="5"/>
      <c r="Q10834" s="5"/>
      <c r="R10834" s="5"/>
      <c r="S10834" s="5"/>
      <c r="T10834" s="5"/>
      <c r="U10834" s="5"/>
      <c r="V10834" s="5"/>
      <c r="W10834" s="5"/>
      <c r="X10834" s="5"/>
      <c r="Y10834" s="5"/>
      <c r="Z10834" s="5"/>
    </row>
    <row r="10835" spans="1:26" ht="15" x14ac:dyDescent="0.25">
      <c r="A10835" s="4" t="s">
        <v>10832</v>
      </c>
      <c r="B10835" s="4" t="s">
        <v>9011</v>
      </c>
      <c r="C10835" s="2" t="str">
        <f ca="1">IFERROR(__xludf.DUMMYFUNCTION("GOOGLETRANSLATE(A10835,""bn"",""en"")"),"The bank will give the account")</f>
        <v>The bank will give the account</v>
      </c>
      <c r="D10835" s="5"/>
      <c r="E10835" s="5"/>
      <c r="F10835" s="5"/>
      <c r="G10835" s="5"/>
      <c r="H10835" s="5"/>
      <c r="I10835" s="5"/>
      <c r="J10835" s="5"/>
      <c r="K10835" s="5"/>
      <c r="L10835" s="5"/>
      <c r="M10835" s="5"/>
      <c r="N10835" s="5"/>
      <c r="O10835" s="5"/>
      <c r="P10835" s="5"/>
      <c r="Q10835" s="5"/>
      <c r="R10835" s="5"/>
      <c r="S10835" s="5"/>
      <c r="T10835" s="5"/>
      <c r="U10835" s="5"/>
      <c r="V10835" s="5"/>
      <c r="W10835" s="5"/>
      <c r="X10835" s="5"/>
      <c r="Y10835" s="5"/>
      <c r="Z10835" s="5"/>
    </row>
    <row r="10836" spans="1:26" ht="15" x14ac:dyDescent="0.25">
      <c r="A10836" s="4" t="s">
        <v>10833</v>
      </c>
      <c r="B10836" s="4" t="s">
        <v>9011</v>
      </c>
      <c r="C10836" s="2" t="str">
        <f ca="1">IFERROR(__xludf.DUMMYFUNCTION("GOOGLETRANSLATE(A10836,""bn"",""en"")"),"I will turn on the GPS")</f>
        <v>I will turn on the GPS</v>
      </c>
      <c r="D10836" s="5"/>
      <c r="E10836" s="5"/>
      <c r="F10836" s="5"/>
      <c r="G10836" s="5"/>
      <c r="H10836" s="5"/>
      <c r="I10836" s="5"/>
      <c r="J10836" s="5"/>
      <c r="K10836" s="5"/>
      <c r="L10836" s="5"/>
      <c r="M10836" s="5"/>
      <c r="N10836" s="5"/>
      <c r="O10836" s="5"/>
      <c r="P10836" s="5"/>
      <c r="Q10836" s="5"/>
      <c r="R10836" s="5"/>
      <c r="S10836" s="5"/>
      <c r="T10836" s="5"/>
      <c r="U10836" s="5"/>
      <c r="V10836" s="5"/>
      <c r="W10836" s="5"/>
      <c r="X10836" s="5"/>
      <c r="Y10836" s="5"/>
      <c r="Z10836" s="5"/>
    </row>
    <row r="10837" spans="1:26" ht="15" x14ac:dyDescent="0.25">
      <c r="A10837" s="4" t="s">
        <v>10834</v>
      </c>
      <c r="B10837" s="4" t="s">
        <v>9011</v>
      </c>
      <c r="C10837" s="2" t="str">
        <f ca="1">IFERROR(__xludf.DUMMYFUNCTION("GOOGLETRANSLATE(A10837,""bn"",""en"")"),"Innovation will be launched")</f>
        <v>Innovation will be launched</v>
      </c>
      <c r="D10837" s="5"/>
      <c r="E10837" s="5"/>
      <c r="F10837" s="5"/>
      <c r="G10837" s="5"/>
      <c r="H10837" s="5"/>
      <c r="I10837" s="5"/>
      <c r="J10837" s="5"/>
      <c r="K10837" s="5"/>
      <c r="L10837" s="5"/>
      <c r="M10837" s="5"/>
      <c r="N10837" s="5"/>
      <c r="O10837" s="5"/>
      <c r="P10837" s="5"/>
      <c r="Q10837" s="5"/>
      <c r="R10837" s="5"/>
      <c r="S10837" s="5"/>
      <c r="T10837" s="5"/>
      <c r="U10837" s="5"/>
      <c r="V10837" s="5"/>
      <c r="W10837" s="5"/>
      <c r="X10837" s="5"/>
      <c r="Y10837" s="5"/>
      <c r="Z10837" s="5"/>
    </row>
    <row r="10838" spans="1:26" ht="15" x14ac:dyDescent="0.25">
      <c r="A10838" s="4" t="s">
        <v>10835</v>
      </c>
      <c r="B10838" s="4" t="s">
        <v>9011</v>
      </c>
      <c r="C10838" s="2" t="str">
        <f ca="1">IFERROR(__xludf.DUMMYFUNCTION("GOOGLETRANSLATE(A10838,""bn"",""en"")"),"Loans will increase")</f>
        <v>Loans will increase</v>
      </c>
      <c r="D10838" s="5"/>
      <c r="E10838" s="5"/>
      <c r="F10838" s="5"/>
      <c r="G10838" s="5"/>
      <c r="H10838" s="5"/>
      <c r="I10838" s="5"/>
      <c r="J10838" s="5"/>
      <c r="K10838" s="5"/>
      <c r="L10838" s="5"/>
      <c r="M10838" s="5"/>
      <c r="N10838" s="5"/>
      <c r="O10838" s="5"/>
      <c r="P10838" s="5"/>
      <c r="Q10838" s="5"/>
      <c r="R10838" s="5"/>
      <c r="S10838" s="5"/>
      <c r="T10838" s="5"/>
      <c r="U10838" s="5"/>
      <c r="V10838" s="5"/>
      <c r="W10838" s="5"/>
      <c r="X10838" s="5"/>
      <c r="Y10838" s="5"/>
      <c r="Z10838" s="5"/>
    </row>
    <row r="10839" spans="1:26" ht="15" x14ac:dyDescent="0.25">
      <c r="A10839" s="4" t="s">
        <v>10836</v>
      </c>
      <c r="B10839" s="4" t="s">
        <v>9011</v>
      </c>
      <c r="C10839" s="2" t="str">
        <f ca="1">IFERROR(__xludf.DUMMYFUNCTION("GOOGLETRANSLATE(A10839,""bn"",""en"")"),"I will continue to skyride")</f>
        <v>I will continue to skyride</v>
      </c>
      <c r="D10839" s="5"/>
      <c r="E10839" s="5"/>
      <c r="F10839" s="5"/>
      <c r="G10839" s="5"/>
      <c r="H10839" s="5"/>
      <c r="I10839" s="5"/>
      <c r="J10839" s="5"/>
      <c r="K10839" s="5"/>
      <c r="L10839" s="5"/>
      <c r="M10839" s="5"/>
      <c r="N10839" s="5"/>
      <c r="O10839" s="5"/>
      <c r="P10839" s="5"/>
      <c r="Q10839" s="5"/>
      <c r="R10839" s="5"/>
      <c r="S10839" s="5"/>
      <c r="T10839" s="5"/>
      <c r="U10839" s="5"/>
      <c r="V10839" s="5"/>
      <c r="W10839" s="5"/>
      <c r="X10839" s="5"/>
      <c r="Y10839" s="5"/>
      <c r="Z10839" s="5"/>
    </row>
    <row r="10840" spans="1:26" ht="15" x14ac:dyDescent="0.25">
      <c r="A10840" s="4" t="s">
        <v>10837</v>
      </c>
      <c r="B10840" s="4" t="s">
        <v>9011</v>
      </c>
      <c r="C10840" s="2" t="str">
        <f ca="1">IFERROR(__xludf.DUMMYFUNCTION("GOOGLETRANSLATE(A10840,""bn"",""en"")"),"I will find peace in the journey")</f>
        <v>I will find peace in the journey</v>
      </c>
      <c r="D10840" s="5"/>
      <c r="E10840" s="5"/>
      <c r="F10840" s="5"/>
      <c r="G10840" s="5"/>
      <c r="H10840" s="5"/>
      <c r="I10840" s="5"/>
      <c r="J10840" s="5"/>
      <c r="K10840" s="5"/>
      <c r="L10840" s="5"/>
      <c r="M10840" s="5"/>
      <c r="N10840" s="5"/>
      <c r="O10840" s="5"/>
      <c r="P10840" s="5"/>
      <c r="Q10840" s="5"/>
      <c r="R10840" s="5"/>
      <c r="S10840" s="5"/>
      <c r="T10840" s="5"/>
      <c r="U10840" s="5"/>
      <c r="V10840" s="5"/>
      <c r="W10840" s="5"/>
      <c r="X10840" s="5"/>
      <c r="Y10840" s="5"/>
      <c r="Z10840" s="5"/>
    </row>
    <row r="10841" spans="1:26" ht="15" x14ac:dyDescent="0.25">
      <c r="A10841" s="4" t="s">
        <v>10838</v>
      </c>
      <c r="B10841" s="4" t="s">
        <v>9011</v>
      </c>
      <c r="C10841" s="2" t="str">
        <f ca="1">IFERROR(__xludf.DUMMYFUNCTION("GOOGLETRANSLATE(A10841,""bn"",""en"")"),"No loan will be sought")</f>
        <v>No loan will be sought</v>
      </c>
      <c r="D10841" s="5"/>
      <c r="E10841" s="5"/>
      <c r="F10841" s="5"/>
      <c r="G10841" s="5"/>
      <c r="H10841" s="5"/>
      <c r="I10841" s="5"/>
      <c r="J10841" s="5"/>
      <c r="K10841" s="5"/>
      <c r="L10841" s="5"/>
      <c r="M10841" s="5"/>
      <c r="N10841" s="5"/>
      <c r="O10841" s="5"/>
      <c r="P10841" s="5"/>
      <c r="Q10841" s="5"/>
      <c r="R10841" s="5"/>
      <c r="S10841" s="5"/>
      <c r="T10841" s="5"/>
      <c r="U10841" s="5"/>
      <c r="V10841" s="5"/>
      <c r="W10841" s="5"/>
      <c r="X10841" s="5"/>
      <c r="Y10841" s="5"/>
      <c r="Z10841" s="5"/>
    </row>
    <row r="10842" spans="1:26" ht="15" x14ac:dyDescent="0.25">
      <c r="A10842" s="4" t="s">
        <v>10839</v>
      </c>
      <c r="B10842" s="4" t="s">
        <v>9011</v>
      </c>
      <c r="C10842" s="2" t="str">
        <f ca="1">IFERROR(__xludf.DUMMYFUNCTION("GOOGLETRANSLATE(A10842,""bn"",""en"")"),"Data will be sent")</f>
        <v>Data will be sent</v>
      </c>
      <c r="D10842" s="5"/>
      <c r="E10842" s="5"/>
      <c r="F10842" s="5"/>
      <c r="G10842" s="5"/>
      <c r="H10842" s="5"/>
      <c r="I10842" s="5"/>
      <c r="J10842" s="5"/>
      <c r="K10842" s="5"/>
      <c r="L10842" s="5"/>
      <c r="M10842" s="5"/>
      <c r="N10842" s="5"/>
      <c r="O10842" s="5"/>
      <c r="P10842" s="5"/>
      <c r="Q10842" s="5"/>
      <c r="R10842" s="5"/>
      <c r="S10842" s="5"/>
      <c r="T10842" s="5"/>
      <c r="U10842" s="5"/>
      <c r="V10842" s="5"/>
      <c r="W10842" s="5"/>
      <c r="X10842" s="5"/>
      <c r="Y10842" s="5"/>
      <c r="Z10842" s="5"/>
    </row>
    <row r="10843" spans="1:26" ht="15" x14ac:dyDescent="0.25">
      <c r="A10843" s="4" t="s">
        <v>10840</v>
      </c>
      <c r="B10843" s="4" t="s">
        <v>9011</v>
      </c>
      <c r="C10843" s="2" t="str">
        <f ca="1">IFERROR(__xludf.DUMMYFUNCTION("GOOGLETRANSLATE(A10843,""bn"",""en"")"),"Bank loans will increase")</f>
        <v>Bank loans will increase</v>
      </c>
      <c r="D10843" s="5"/>
      <c r="E10843" s="5"/>
      <c r="F10843" s="5"/>
      <c r="G10843" s="5"/>
      <c r="H10843" s="5"/>
      <c r="I10843" s="5"/>
      <c r="J10843" s="5"/>
      <c r="K10843" s="5"/>
      <c r="L10843" s="5"/>
      <c r="M10843" s="5"/>
      <c r="N10843" s="5"/>
      <c r="O10843" s="5"/>
      <c r="P10843" s="5"/>
      <c r="Q10843" s="5"/>
      <c r="R10843" s="5"/>
      <c r="S10843" s="5"/>
      <c r="T10843" s="5"/>
      <c r="U10843" s="5"/>
      <c r="V10843" s="5"/>
      <c r="W10843" s="5"/>
      <c r="X10843" s="5"/>
      <c r="Y10843" s="5"/>
      <c r="Z10843" s="5"/>
    </row>
    <row r="10844" spans="1:26" ht="15" x14ac:dyDescent="0.25">
      <c r="A10844" s="4" t="s">
        <v>10841</v>
      </c>
      <c r="B10844" s="4" t="s">
        <v>9011</v>
      </c>
      <c r="C10844" s="2" t="str">
        <f ca="1">IFERROR(__xludf.DUMMYFUNCTION("GOOGLETRANSLATE(A10844,""bn"",""en"")"),"Save the address")</f>
        <v>Save the address</v>
      </c>
      <c r="D10844" s="5"/>
      <c r="E10844" s="5"/>
      <c r="F10844" s="5"/>
      <c r="G10844" s="5"/>
      <c r="H10844" s="5"/>
      <c r="I10844" s="5"/>
      <c r="J10844" s="5"/>
      <c r="K10844" s="5"/>
      <c r="L10844" s="5"/>
      <c r="M10844" s="5"/>
      <c r="N10844" s="5"/>
      <c r="O10844" s="5"/>
      <c r="P10844" s="5"/>
      <c r="Q10844" s="5"/>
      <c r="R10844" s="5"/>
      <c r="S10844" s="5"/>
      <c r="T10844" s="5"/>
      <c r="U10844" s="5"/>
      <c r="V10844" s="5"/>
      <c r="W10844" s="5"/>
      <c r="X10844" s="5"/>
      <c r="Y10844" s="5"/>
      <c r="Z10844" s="5"/>
    </row>
    <row r="10845" spans="1:26" ht="15" x14ac:dyDescent="0.25">
      <c r="A10845" s="4" t="s">
        <v>10842</v>
      </c>
      <c r="B10845" s="4" t="s">
        <v>9011</v>
      </c>
      <c r="C10845" s="2" t="str">
        <f ca="1">IFERROR(__xludf.DUMMYFUNCTION("GOOGLETRANSLATE(A10845,""bn"",""en"")"),"I will use iOS")</f>
        <v>I will use iOS</v>
      </c>
      <c r="D10845" s="5"/>
      <c r="E10845" s="5"/>
      <c r="F10845" s="5"/>
      <c r="G10845" s="5"/>
      <c r="H10845" s="5"/>
      <c r="I10845" s="5"/>
      <c r="J10845" s="5"/>
      <c r="K10845" s="5"/>
      <c r="L10845" s="5"/>
      <c r="M10845" s="5"/>
      <c r="N10845" s="5"/>
      <c r="O10845" s="5"/>
      <c r="P10845" s="5"/>
      <c r="Q10845" s="5"/>
      <c r="R10845" s="5"/>
      <c r="S10845" s="5"/>
      <c r="T10845" s="5"/>
      <c r="U10845" s="5"/>
      <c r="V10845" s="5"/>
      <c r="W10845" s="5"/>
      <c r="X10845" s="5"/>
      <c r="Y10845" s="5"/>
      <c r="Z10845" s="5"/>
    </row>
    <row r="10846" spans="1:26" ht="15" x14ac:dyDescent="0.25">
      <c r="A10846" s="4" t="s">
        <v>10843</v>
      </c>
      <c r="B10846" s="4" t="s">
        <v>9011</v>
      </c>
      <c r="C10846" s="2" t="str">
        <f ca="1">IFERROR(__xludf.DUMMYFUNCTION("GOOGLETRANSLATE(A10846,""bn"",""en"")"),"GPS will be required")</f>
        <v>GPS will be required</v>
      </c>
      <c r="D10846" s="5"/>
      <c r="E10846" s="5"/>
      <c r="F10846" s="5"/>
      <c r="G10846" s="5"/>
      <c r="H10846" s="5"/>
      <c r="I10846" s="5"/>
      <c r="J10846" s="5"/>
      <c r="K10846" s="5"/>
      <c r="L10846" s="5"/>
      <c r="M10846" s="5"/>
      <c r="N10846" s="5"/>
      <c r="O10846" s="5"/>
      <c r="P10846" s="5"/>
      <c r="Q10846" s="5"/>
      <c r="R10846" s="5"/>
      <c r="S10846" s="5"/>
      <c r="T10846" s="5"/>
      <c r="U10846" s="5"/>
      <c r="V10846" s="5"/>
      <c r="W10846" s="5"/>
      <c r="X10846" s="5"/>
      <c r="Y10846" s="5"/>
      <c r="Z10846" s="5"/>
    </row>
    <row r="10847" spans="1:26" ht="15" x14ac:dyDescent="0.25">
      <c r="A10847" s="4" t="s">
        <v>10844</v>
      </c>
      <c r="B10847" s="4" t="s">
        <v>9011</v>
      </c>
      <c r="C10847" s="2" t="str">
        <f ca="1">IFERROR(__xludf.DUMMYFUNCTION("GOOGLETRANSLATE(A10847,""bn"",""en"")"),"He will have a milkshake")</f>
        <v>He will have a milkshake</v>
      </c>
      <c r="D10847" s="5"/>
      <c r="E10847" s="5"/>
      <c r="F10847" s="5"/>
      <c r="G10847" s="5"/>
      <c r="H10847" s="5"/>
      <c r="I10847" s="5"/>
      <c r="J10847" s="5"/>
      <c r="K10847" s="5"/>
      <c r="L10847" s="5"/>
      <c r="M10847" s="5"/>
      <c r="N10847" s="5"/>
      <c r="O10847" s="5"/>
      <c r="P10847" s="5"/>
      <c r="Q10847" s="5"/>
      <c r="R10847" s="5"/>
      <c r="S10847" s="5"/>
      <c r="T10847" s="5"/>
      <c r="U10847" s="5"/>
      <c r="V10847" s="5"/>
      <c r="W10847" s="5"/>
      <c r="X10847" s="5"/>
      <c r="Y10847" s="5"/>
      <c r="Z10847" s="5"/>
    </row>
    <row r="10848" spans="1:26" ht="15" x14ac:dyDescent="0.25">
      <c r="A10848" s="4" t="s">
        <v>10845</v>
      </c>
      <c r="B10848" s="4" t="s">
        <v>9011</v>
      </c>
      <c r="C10848" s="2" t="str">
        <f ca="1">IFERROR(__xludf.DUMMYFUNCTION("GOOGLETRANSLATE(A10848,""bn"",""en"")"),"I will watch the news on television")</f>
        <v>I will watch the news on television</v>
      </c>
      <c r="D10848" s="5"/>
      <c r="E10848" s="5"/>
      <c r="F10848" s="5"/>
      <c r="G10848" s="5"/>
      <c r="H10848" s="5"/>
      <c r="I10848" s="5"/>
      <c r="J10848" s="5"/>
      <c r="K10848" s="5"/>
      <c r="L10848" s="5"/>
      <c r="M10848" s="5"/>
      <c r="N10848" s="5"/>
      <c r="O10848" s="5"/>
      <c r="P10848" s="5"/>
      <c r="Q10848" s="5"/>
      <c r="R10848" s="5"/>
      <c r="S10848" s="5"/>
      <c r="T10848" s="5"/>
      <c r="U10848" s="5"/>
      <c r="V10848" s="5"/>
      <c r="W10848" s="5"/>
      <c r="X10848" s="5"/>
      <c r="Y10848" s="5"/>
      <c r="Z10848" s="5"/>
    </row>
    <row r="10849" spans="1:26" ht="15" x14ac:dyDescent="0.25">
      <c r="A10849" s="4" t="s">
        <v>10846</v>
      </c>
      <c r="B10849" s="4" t="s">
        <v>9011</v>
      </c>
      <c r="C10849" s="2" t="str">
        <f ca="1">IFERROR(__xludf.DUMMYFUNCTION("GOOGLETRANSLATE(A10849,""bn"",""en"")"),"Will exchange messages")</f>
        <v>Will exchange messages</v>
      </c>
      <c r="D10849" s="5"/>
      <c r="E10849" s="5"/>
      <c r="F10849" s="5"/>
      <c r="G10849" s="5"/>
      <c r="H10849" s="5"/>
      <c r="I10849" s="5"/>
      <c r="J10849" s="5"/>
      <c r="K10849" s="5"/>
      <c r="L10849" s="5"/>
      <c r="M10849" s="5"/>
      <c r="N10849" s="5"/>
      <c r="O10849" s="5"/>
      <c r="P10849" s="5"/>
      <c r="Q10849" s="5"/>
      <c r="R10849" s="5"/>
      <c r="S10849" s="5"/>
      <c r="T10849" s="5"/>
      <c r="U10849" s="5"/>
      <c r="V10849" s="5"/>
      <c r="W10849" s="5"/>
      <c r="X10849" s="5"/>
      <c r="Y10849" s="5"/>
      <c r="Z10849" s="5"/>
    </row>
    <row r="10850" spans="1:26" ht="15" x14ac:dyDescent="0.25">
      <c r="A10850" s="4" t="s">
        <v>10847</v>
      </c>
      <c r="B10850" s="4" t="s">
        <v>9011</v>
      </c>
      <c r="C10850" s="2" t="str">
        <f ca="1">IFERROR(__xludf.DUMMYFUNCTION("GOOGLETRANSLATE(A10850,""bn"",""en"")"),"I will hack the laptop")</f>
        <v>I will hack the laptop</v>
      </c>
      <c r="D10850" s="5"/>
      <c r="E10850" s="5"/>
      <c r="F10850" s="5"/>
      <c r="G10850" s="5"/>
      <c r="H10850" s="5"/>
      <c r="I10850" s="5"/>
      <c r="J10850" s="5"/>
      <c r="K10850" s="5"/>
      <c r="L10850" s="5"/>
      <c r="M10850" s="5"/>
      <c r="N10850" s="5"/>
      <c r="O10850" s="5"/>
      <c r="P10850" s="5"/>
      <c r="Q10850" s="5"/>
      <c r="R10850" s="5"/>
      <c r="S10850" s="5"/>
      <c r="T10850" s="5"/>
      <c r="U10850" s="5"/>
      <c r="V10850" s="5"/>
      <c r="W10850" s="5"/>
      <c r="X10850" s="5"/>
      <c r="Y10850" s="5"/>
      <c r="Z10850" s="5"/>
    </row>
    <row r="10851" spans="1:26" ht="15" x14ac:dyDescent="0.25">
      <c r="A10851" s="4" t="s">
        <v>10848</v>
      </c>
      <c r="B10851" s="4" t="s">
        <v>9011</v>
      </c>
      <c r="C10851" s="2" t="str">
        <f ca="1">IFERROR(__xludf.DUMMYFUNCTION("GOOGLETRANSLATE(A10851,""bn"",""en"")"),"I will watch the sky")</f>
        <v>I will watch the sky</v>
      </c>
      <c r="D10851" s="5"/>
      <c r="E10851" s="5"/>
      <c r="F10851" s="5"/>
      <c r="G10851" s="5"/>
      <c r="H10851" s="5"/>
      <c r="I10851" s="5"/>
      <c r="J10851" s="5"/>
      <c r="K10851" s="5"/>
      <c r="L10851" s="5"/>
      <c r="M10851" s="5"/>
      <c r="N10851" s="5"/>
      <c r="O10851" s="5"/>
      <c r="P10851" s="5"/>
      <c r="Q10851" s="5"/>
      <c r="R10851" s="5"/>
      <c r="S10851" s="5"/>
      <c r="T10851" s="5"/>
      <c r="U10851" s="5"/>
      <c r="V10851" s="5"/>
      <c r="W10851" s="5"/>
      <c r="X10851" s="5"/>
      <c r="Y10851" s="5"/>
      <c r="Z10851" s="5"/>
    </row>
    <row r="10852" spans="1:26" ht="15" x14ac:dyDescent="0.25">
      <c r="A10852" s="4" t="s">
        <v>10849</v>
      </c>
      <c r="B10852" s="4" t="s">
        <v>9011</v>
      </c>
      <c r="C10852" s="2" t="str">
        <f ca="1">IFERROR(__xludf.DUMMYFUNCTION("GOOGLETRANSLATE(A10852,""bn"",""en"")"),"There will be political discussions")</f>
        <v>There will be political discussions</v>
      </c>
      <c r="D10852" s="5"/>
      <c r="E10852" s="5"/>
      <c r="F10852" s="5"/>
      <c r="G10852" s="5"/>
      <c r="H10852" s="5"/>
      <c r="I10852" s="5"/>
      <c r="J10852" s="5"/>
      <c r="K10852" s="5"/>
      <c r="L10852" s="5"/>
      <c r="M10852" s="5"/>
      <c r="N10852" s="5"/>
      <c r="O10852" s="5"/>
      <c r="P10852" s="5"/>
      <c r="Q10852" s="5"/>
      <c r="R10852" s="5"/>
      <c r="S10852" s="5"/>
      <c r="T10852" s="5"/>
      <c r="U10852" s="5"/>
      <c r="V10852" s="5"/>
      <c r="W10852" s="5"/>
      <c r="X10852" s="5"/>
      <c r="Y10852" s="5"/>
      <c r="Z10852" s="5"/>
    </row>
    <row r="10853" spans="1:26" ht="15" x14ac:dyDescent="0.25">
      <c r="A10853" s="4" t="s">
        <v>10850</v>
      </c>
      <c r="B10853" s="4" t="s">
        <v>9011</v>
      </c>
      <c r="C10853" s="2" t="str">
        <f ca="1">IFERROR(__xludf.DUMMYFUNCTION("GOOGLETRANSLATE(A10853,""bn"",""en"")"),"I will travel")</f>
        <v>I will travel</v>
      </c>
      <c r="D10853" s="5"/>
      <c r="E10853" s="5"/>
      <c r="F10853" s="5"/>
      <c r="G10853" s="5"/>
      <c r="H10853" s="5"/>
      <c r="I10853" s="5"/>
      <c r="J10853" s="5"/>
      <c r="K10853" s="5"/>
      <c r="L10853" s="5"/>
      <c r="M10853" s="5"/>
      <c r="N10853" s="5"/>
      <c r="O10853" s="5"/>
      <c r="P10853" s="5"/>
      <c r="Q10853" s="5"/>
      <c r="R10853" s="5"/>
      <c r="S10853" s="5"/>
      <c r="T10853" s="5"/>
      <c r="U10853" s="5"/>
      <c r="V10853" s="5"/>
      <c r="W10853" s="5"/>
      <c r="X10853" s="5"/>
      <c r="Y10853" s="5"/>
      <c r="Z10853" s="5"/>
    </row>
    <row r="10854" spans="1:26" ht="15" x14ac:dyDescent="0.25">
      <c r="A10854" s="4" t="s">
        <v>10851</v>
      </c>
      <c r="B10854" s="4" t="s">
        <v>9011</v>
      </c>
      <c r="C10854" s="2" t="str">
        <f ca="1">IFERROR(__xludf.DUMMYFUNCTION("GOOGLETRANSLATE(A10854,""bn"",""en"")"),"You will eat khichuri")</f>
        <v>You will eat khichuri</v>
      </c>
      <c r="D10854" s="5"/>
      <c r="E10854" s="5"/>
      <c r="F10854" s="5"/>
      <c r="G10854" s="5"/>
      <c r="H10854" s="5"/>
      <c r="I10854" s="5"/>
      <c r="J10854" s="5"/>
      <c r="K10854" s="5"/>
      <c r="L10854" s="5"/>
      <c r="M10854" s="5"/>
      <c r="N10854" s="5"/>
      <c r="O10854" s="5"/>
      <c r="P10854" s="5"/>
      <c r="Q10854" s="5"/>
      <c r="R10854" s="5"/>
      <c r="S10854" s="5"/>
      <c r="T10854" s="5"/>
      <c r="U10854" s="5"/>
      <c r="V10854" s="5"/>
      <c r="W10854" s="5"/>
      <c r="X10854" s="5"/>
      <c r="Y10854" s="5"/>
      <c r="Z10854" s="5"/>
    </row>
    <row r="10855" spans="1:26" ht="15" x14ac:dyDescent="0.25">
      <c r="A10855" s="4" t="s">
        <v>10852</v>
      </c>
      <c r="B10855" s="4" t="s">
        <v>9011</v>
      </c>
      <c r="C10855" s="2" t="str">
        <f ca="1">IFERROR(__xludf.DUMMYFUNCTION("GOOGLETRANSLATE(A10855,""bn"",""en"")"),"I will delete the account")</f>
        <v>I will delete the account</v>
      </c>
      <c r="D10855" s="5"/>
      <c r="E10855" s="5"/>
      <c r="F10855" s="5"/>
      <c r="G10855" s="5"/>
      <c r="H10855" s="5"/>
      <c r="I10855" s="5"/>
      <c r="J10855" s="5"/>
      <c r="K10855" s="5"/>
      <c r="L10855" s="5"/>
      <c r="M10855" s="5"/>
      <c r="N10855" s="5"/>
      <c r="O10855" s="5"/>
      <c r="P10855" s="5"/>
      <c r="Q10855" s="5"/>
      <c r="R10855" s="5"/>
      <c r="S10855" s="5"/>
      <c r="T10855" s="5"/>
      <c r="U10855" s="5"/>
      <c r="V10855" s="5"/>
      <c r="W10855" s="5"/>
      <c r="X10855" s="5"/>
      <c r="Y10855" s="5"/>
      <c r="Z10855" s="5"/>
    </row>
    <row r="10856" spans="1:26" ht="15" x14ac:dyDescent="0.25">
      <c r="A10856" s="4" t="s">
        <v>10853</v>
      </c>
      <c r="B10856" s="4" t="s">
        <v>9011</v>
      </c>
      <c r="C10856" s="2" t="str">
        <f ca="1">IFERROR(__xludf.DUMMYFUNCTION("GOOGLETRANSLATE(A10856,""bn"",""en"")"),"Scan the image")</f>
        <v>Scan the image</v>
      </c>
      <c r="D10856" s="5"/>
      <c r="E10856" s="5"/>
      <c r="F10856" s="5"/>
      <c r="G10856" s="5"/>
      <c r="H10856" s="5"/>
      <c r="I10856" s="5"/>
      <c r="J10856" s="5"/>
      <c r="K10856" s="5"/>
      <c r="L10856" s="5"/>
      <c r="M10856" s="5"/>
      <c r="N10856" s="5"/>
      <c r="O10856" s="5"/>
      <c r="P10856" s="5"/>
      <c r="Q10856" s="5"/>
      <c r="R10856" s="5"/>
      <c r="S10856" s="5"/>
      <c r="T10856" s="5"/>
      <c r="U10856" s="5"/>
      <c r="V10856" s="5"/>
      <c r="W10856" s="5"/>
      <c r="X10856" s="5"/>
      <c r="Y10856" s="5"/>
      <c r="Z10856" s="5"/>
    </row>
    <row r="10857" spans="1:26" ht="15" x14ac:dyDescent="0.25">
      <c r="A10857" s="4" t="s">
        <v>10854</v>
      </c>
      <c r="B10857" s="4" t="s">
        <v>9011</v>
      </c>
      <c r="C10857" s="2" t="str">
        <f ca="1">IFERROR(__xludf.DUMMYFUNCTION("GOOGLETRANSLATE(A10857,""bn"",""en"")"),"I will use tab")</f>
        <v>I will use tab</v>
      </c>
      <c r="D10857" s="5"/>
      <c r="E10857" s="5"/>
      <c r="F10857" s="5"/>
      <c r="G10857" s="5"/>
      <c r="H10857" s="5"/>
      <c r="I10857" s="5"/>
      <c r="J10857" s="5"/>
      <c r="K10857" s="5"/>
      <c r="L10857" s="5"/>
      <c r="M10857" s="5"/>
      <c r="N10857" s="5"/>
      <c r="O10857" s="5"/>
      <c r="P10857" s="5"/>
      <c r="Q10857" s="5"/>
      <c r="R10857" s="5"/>
      <c r="S10857" s="5"/>
      <c r="T10857" s="5"/>
      <c r="U10857" s="5"/>
      <c r="V10857" s="5"/>
      <c r="W10857" s="5"/>
      <c r="X10857" s="5"/>
      <c r="Y10857" s="5"/>
      <c r="Z10857" s="5"/>
    </row>
    <row r="10858" spans="1:26" ht="15" x14ac:dyDescent="0.25">
      <c r="A10858" s="4" t="s">
        <v>10855</v>
      </c>
      <c r="B10858" s="4" t="s">
        <v>9011</v>
      </c>
      <c r="C10858" s="2" t="str">
        <f ca="1">IFERROR(__xludf.DUMMYFUNCTION("GOOGLETRANSLATE(A10858,""bn"",""en"")"),"Food will be depleted")</f>
        <v>Food will be depleted</v>
      </c>
      <c r="D10858" s="5"/>
      <c r="E10858" s="5"/>
      <c r="F10858" s="5"/>
      <c r="G10858" s="5"/>
      <c r="H10858" s="5"/>
      <c r="I10858" s="5"/>
      <c r="J10858" s="5"/>
      <c r="K10858" s="5"/>
      <c r="L10858" s="5"/>
      <c r="M10858" s="5"/>
      <c r="N10858" s="5"/>
      <c r="O10858" s="5"/>
      <c r="P10858" s="5"/>
      <c r="Q10858" s="5"/>
      <c r="R10858" s="5"/>
      <c r="S10858" s="5"/>
      <c r="T10858" s="5"/>
      <c r="U10858" s="5"/>
      <c r="V10858" s="5"/>
      <c r="W10858" s="5"/>
      <c r="X10858" s="5"/>
      <c r="Y10858" s="5"/>
      <c r="Z10858" s="5"/>
    </row>
    <row r="10859" spans="1:26" ht="15" x14ac:dyDescent="0.25">
      <c r="A10859" s="4" t="s">
        <v>10856</v>
      </c>
      <c r="B10859" s="4" t="s">
        <v>9011</v>
      </c>
      <c r="C10859" s="2" t="str">
        <f ca="1">IFERROR(__xludf.DUMMYFUNCTION("GOOGLETRANSLATE(A10859,""bn"",""en"")"),"People will push the button")</f>
        <v>People will push the button</v>
      </c>
      <c r="D10859" s="5"/>
      <c r="E10859" s="5"/>
      <c r="F10859" s="5"/>
      <c r="G10859" s="5"/>
      <c r="H10859" s="5"/>
      <c r="I10859" s="5"/>
      <c r="J10859" s="5"/>
      <c r="K10859" s="5"/>
      <c r="L10859" s="5"/>
      <c r="M10859" s="5"/>
      <c r="N10859" s="5"/>
      <c r="O10859" s="5"/>
      <c r="P10859" s="5"/>
      <c r="Q10859" s="5"/>
      <c r="R10859" s="5"/>
      <c r="S10859" s="5"/>
      <c r="T10859" s="5"/>
      <c r="U10859" s="5"/>
      <c r="V10859" s="5"/>
      <c r="W10859" s="5"/>
      <c r="X10859" s="5"/>
      <c r="Y10859" s="5"/>
      <c r="Z10859" s="5"/>
    </row>
    <row r="10860" spans="1:26" ht="15" x14ac:dyDescent="0.25">
      <c r="A10860" s="4" t="s">
        <v>10857</v>
      </c>
      <c r="B10860" s="4" t="s">
        <v>9011</v>
      </c>
      <c r="C10860" s="2" t="str">
        <f ca="1">IFERROR(__xludf.DUMMYFUNCTION("GOOGLETRANSLATE(A10860,""bn"",""en"")"),"I will go to Kashmir")</f>
        <v>I will go to Kashmir</v>
      </c>
      <c r="D10860" s="5"/>
      <c r="E10860" s="5"/>
      <c r="F10860" s="5"/>
      <c r="G10860" s="5"/>
      <c r="H10860" s="5"/>
      <c r="I10860" s="5"/>
      <c r="J10860" s="5"/>
      <c r="K10860" s="5"/>
      <c r="L10860" s="5"/>
      <c r="M10860" s="5"/>
      <c r="N10860" s="5"/>
      <c r="O10860" s="5"/>
      <c r="P10860" s="5"/>
      <c r="Q10860" s="5"/>
      <c r="R10860" s="5"/>
      <c r="S10860" s="5"/>
      <c r="T10860" s="5"/>
      <c r="U10860" s="5"/>
      <c r="V10860" s="5"/>
      <c r="W10860" s="5"/>
      <c r="X10860" s="5"/>
      <c r="Y10860" s="5"/>
      <c r="Z10860" s="5"/>
    </row>
    <row r="10861" spans="1:26" ht="15" x14ac:dyDescent="0.25">
      <c r="A10861" s="4" t="s">
        <v>10858</v>
      </c>
      <c r="B10861" s="4" t="s">
        <v>9011</v>
      </c>
      <c r="C10861" s="2" t="str">
        <f ca="1">IFERROR(__xludf.DUMMYFUNCTION("GOOGLETRANSLATE(A10861,""bn"",""en"")"),"I will advance in knowledge")</f>
        <v>I will advance in knowledge</v>
      </c>
      <c r="D10861" s="5"/>
      <c r="E10861" s="5"/>
      <c r="F10861" s="5"/>
      <c r="G10861" s="5"/>
      <c r="H10861" s="5"/>
      <c r="I10861" s="5"/>
      <c r="J10861" s="5"/>
      <c r="K10861" s="5"/>
      <c r="L10861" s="5"/>
      <c r="M10861" s="5"/>
      <c r="N10861" s="5"/>
      <c r="O10861" s="5"/>
      <c r="P10861" s="5"/>
      <c r="Q10861" s="5"/>
      <c r="R10861" s="5"/>
      <c r="S10861" s="5"/>
      <c r="T10861" s="5"/>
      <c r="U10861" s="5"/>
      <c r="V10861" s="5"/>
      <c r="W10861" s="5"/>
      <c r="X10861" s="5"/>
      <c r="Y10861" s="5"/>
      <c r="Z10861" s="5"/>
    </row>
    <row r="10862" spans="1:26" ht="15" x14ac:dyDescent="0.25">
      <c r="A10862" s="4" t="s">
        <v>10859</v>
      </c>
      <c r="B10862" s="4" t="s">
        <v>9011</v>
      </c>
      <c r="C10862" s="2" t="str">
        <f ca="1">IFERROR(__xludf.DUMMYFUNCTION("GOOGLETRANSLATE(A10862,""bn"",""en"")"),"Money will be returned")</f>
        <v>Money will be returned</v>
      </c>
      <c r="D10862" s="5"/>
      <c r="E10862" s="5"/>
      <c r="F10862" s="5"/>
      <c r="G10862" s="5"/>
      <c r="H10862" s="5"/>
      <c r="I10862" s="5"/>
      <c r="J10862" s="5"/>
      <c r="K10862" s="5"/>
      <c r="L10862" s="5"/>
      <c r="M10862" s="5"/>
      <c r="N10862" s="5"/>
      <c r="O10862" s="5"/>
      <c r="P10862" s="5"/>
      <c r="Q10862" s="5"/>
      <c r="R10862" s="5"/>
      <c r="S10862" s="5"/>
      <c r="T10862" s="5"/>
      <c r="U10862" s="5"/>
      <c r="V10862" s="5"/>
      <c r="W10862" s="5"/>
      <c r="X10862" s="5"/>
      <c r="Y10862" s="5"/>
      <c r="Z10862" s="5"/>
    </row>
    <row r="10863" spans="1:26" ht="15" x14ac:dyDescent="0.25">
      <c r="A10863" s="4" t="s">
        <v>10860</v>
      </c>
      <c r="B10863" s="4" t="s">
        <v>9011</v>
      </c>
      <c r="C10863" s="2" t="str">
        <f ca="1">IFERROR(__xludf.DUMMYFUNCTION("GOOGLETRANSLATE(A10863,""bn"",""en"")"),"There will be trouble in digital")</f>
        <v>There will be trouble in digital</v>
      </c>
      <c r="D10863" s="5"/>
      <c r="E10863" s="5"/>
      <c r="F10863" s="5"/>
      <c r="G10863" s="5"/>
      <c r="H10863" s="5"/>
      <c r="I10863" s="5"/>
      <c r="J10863" s="5"/>
      <c r="K10863" s="5"/>
      <c r="L10863" s="5"/>
      <c r="M10863" s="5"/>
      <c r="N10863" s="5"/>
      <c r="O10863" s="5"/>
      <c r="P10863" s="5"/>
      <c r="Q10863" s="5"/>
      <c r="R10863" s="5"/>
      <c r="S10863" s="5"/>
      <c r="T10863" s="5"/>
      <c r="U10863" s="5"/>
      <c r="V10863" s="5"/>
      <c r="W10863" s="5"/>
      <c r="X10863" s="5"/>
      <c r="Y10863" s="5"/>
      <c r="Z10863" s="5"/>
    </row>
    <row r="10864" spans="1:26" ht="15" x14ac:dyDescent="0.25">
      <c r="A10864" s="4" t="s">
        <v>10861</v>
      </c>
      <c r="B10864" s="4" t="s">
        <v>9011</v>
      </c>
      <c r="C10864" s="2" t="str">
        <f ca="1">IFERROR(__xludf.DUMMYFUNCTION("GOOGLETRANSLATE(A10864,""bn"",""en"")"),"Install the application")</f>
        <v>Install the application</v>
      </c>
      <c r="D10864" s="5"/>
      <c r="E10864" s="5"/>
      <c r="F10864" s="5"/>
      <c r="G10864" s="5"/>
      <c r="H10864" s="5"/>
      <c r="I10864" s="5"/>
      <c r="J10864" s="5"/>
      <c r="K10864" s="5"/>
      <c r="L10864" s="5"/>
      <c r="M10864" s="5"/>
      <c r="N10864" s="5"/>
      <c r="O10864" s="5"/>
      <c r="P10864" s="5"/>
      <c r="Q10864" s="5"/>
      <c r="R10864" s="5"/>
      <c r="S10864" s="5"/>
      <c r="T10864" s="5"/>
      <c r="U10864" s="5"/>
      <c r="V10864" s="5"/>
      <c r="W10864" s="5"/>
      <c r="X10864" s="5"/>
      <c r="Y10864" s="5"/>
      <c r="Z10864" s="5"/>
    </row>
    <row r="10865" spans="1:26" ht="15" x14ac:dyDescent="0.25">
      <c r="A10865" s="4" t="s">
        <v>10862</v>
      </c>
      <c r="B10865" s="4" t="s">
        <v>9011</v>
      </c>
      <c r="C10865" s="2" t="str">
        <f ca="1">IFERROR(__xludf.DUMMYFUNCTION("GOOGLETRANSLATE(A10865,""bn"",""en"")"),"I will use smartphone")</f>
        <v>I will use smartphone</v>
      </c>
      <c r="D10865" s="5"/>
      <c r="E10865" s="5"/>
      <c r="F10865" s="5"/>
      <c r="G10865" s="5"/>
      <c r="H10865" s="5"/>
      <c r="I10865" s="5"/>
      <c r="J10865" s="5"/>
      <c r="K10865" s="5"/>
      <c r="L10865" s="5"/>
      <c r="M10865" s="5"/>
      <c r="N10865" s="5"/>
      <c r="O10865" s="5"/>
      <c r="P10865" s="5"/>
      <c r="Q10865" s="5"/>
      <c r="R10865" s="5"/>
      <c r="S10865" s="5"/>
      <c r="T10865" s="5"/>
      <c r="U10865" s="5"/>
      <c r="V10865" s="5"/>
      <c r="W10865" s="5"/>
      <c r="X10865" s="5"/>
      <c r="Y10865" s="5"/>
      <c r="Z10865" s="5"/>
    </row>
    <row r="10866" spans="1:26" ht="15" x14ac:dyDescent="0.25">
      <c r="A10866" s="4" t="s">
        <v>10863</v>
      </c>
      <c r="B10866" s="4" t="s">
        <v>9011</v>
      </c>
      <c r="C10866" s="2" t="str">
        <f ca="1">IFERROR(__xludf.DUMMYFUNCTION("GOOGLETRANSLATE(A10866,""bn"",""en"")"),"Technology will be scarce")</f>
        <v>Technology will be scarce</v>
      </c>
      <c r="D10866" s="5"/>
      <c r="E10866" s="5"/>
      <c r="F10866" s="5"/>
      <c r="G10866" s="5"/>
      <c r="H10866" s="5"/>
      <c r="I10866" s="5"/>
      <c r="J10866" s="5"/>
      <c r="K10866" s="5"/>
      <c r="L10866" s="5"/>
      <c r="M10866" s="5"/>
      <c r="N10866" s="5"/>
      <c r="O10866" s="5"/>
      <c r="P10866" s="5"/>
      <c r="Q10866" s="5"/>
      <c r="R10866" s="5"/>
      <c r="S10866" s="5"/>
      <c r="T10866" s="5"/>
      <c r="U10866" s="5"/>
      <c r="V10866" s="5"/>
      <c r="W10866" s="5"/>
      <c r="X10866" s="5"/>
      <c r="Y10866" s="5"/>
      <c r="Z10866" s="5"/>
    </row>
    <row r="10867" spans="1:26" ht="15" x14ac:dyDescent="0.25">
      <c r="A10867" s="4" t="s">
        <v>10864</v>
      </c>
      <c r="B10867" s="4" t="s">
        <v>9011</v>
      </c>
      <c r="C10867" s="2" t="str">
        <f ca="1">IFERROR(__xludf.DUMMYFUNCTION("GOOGLETRANSLATE(A10867,""bn"",""en"")"),"Lifting will be convenient")</f>
        <v>Lifting will be convenient</v>
      </c>
      <c r="D10867" s="5"/>
      <c r="E10867" s="5"/>
      <c r="F10867" s="5"/>
      <c r="G10867" s="5"/>
      <c r="H10867" s="5"/>
      <c r="I10867" s="5"/>
      <c r="J10867" s="5"/>
      <c r="K10867" s="5"/>
      <c r="L10867" s="5"/>
      <c r="M10867" s="5"/>
      <c r="N10867" s="5"/>
      <c r="O10867" s="5"/>
      <c r="P10867" s="5"/>
      <c r="Q10867" s="5"/>
      <c r="R10867" s="5"/>
      <c r="S10867" s="5"/>
      <c r="T10867" s="5"/>
      <c r="U10867" s="5"/>
      <c r="V10867" s="5"/>
      <c r="W10867" s="5"/>
      <c r="X10867" s="5"/>
      <c r="Y10867" s="5"/>
      <c r="Z10867" s="5"/>
    </row>
    <row r="10868" spans="1:26" ht="15" x14ac:dyDescent="0.25">
      <c r="A10868" s="4" t="s">
        <v>10865</v>
      </c>
      <c r="B10868" s="4" t="s">
        <v>9011</v>
      </c>
      <c r="C10868" s="2" t="str">
        <f ca="1">IFERROR(__xludf.DUMMYFUNCTION("GOOGLETRANSLATE(A10868,""bn"",""en"")"),"Account balance will decrease")</f>
        <v>Account balance will decrease</v>
      </c>
      <c r="D10868" s="5"/>
      <c r="E10868" s="5"/>
      <c r="F10868" s="5"/>
      <c r="G10868" s="5"/>
      <c r="H10868" s="5"/>
      <c r="I10868" s="5"/>
      <c r="J10868" s="5"/>
      <c r="K10868" s="5"/>
      <c r="L10868" s="5"/>
      <c r="M10868" s="5"/>
      <c r="N10868" s="5"/>
      <c r="O10868" s="5"/>
      <c r="P10868" s="5"/>
      <c r="Q10868" s="5"/>
      <c r="R10868" s="5"/>
      <c r="S10868" s="5"/>
      <c r="T10868" s="5"/>
      <c r="U10868" s="5"/>
      <c r="V10868" s="5"/>
      <c r="W10868" s="5"/>
      <c r="X10868" s="5"/>
      <c r="Y10868" s="5"/>
      <c r="Z10868" s="5"/>
    </row>
    <row r="10869" spans="1:26" ht="15" x14ac:dyDescent="0.25">
      <c r="A10869" s="4" t="s">
        <v>10866</v>
      </c>
      <c r="B10869" s="4" t="s">
        <v>9011</v>
      </c>
      <c r="C10869" s="2" t="str">
        <f ca="1">IFERROR(__xludf.DUMMYFUNCTION("GOOGLETRANSLATE(A10869,""bn"",""en"")"),"I will elect the government")</f>
        <v>I will elect the government</v>
      </c>
      <c r="D10869" s="5"/>
      <c r="E10869" s="5"/>
      <c r="F10869" s="5"/>
      <c r="G10869" s="5"/>
      <c r="H10869" s="5"/>
      <c r="I10869" s="5"/>
      <c r="J10869" s="5"/>
      <c r="K10869" s="5"/>
      <c r="L10869" s="5"/>
      <c r="M10869" s="5"/>
      <c r="N10869" s="5"/>
      <c r="O10869" s="5"/>
      <c r="P10869" s="5"/>
      <c r="Q10869" s="5"/>
      <c r="R10869" s="5"/>
      <c r="S10869" s="5"/>
      <c r="T10869" s="5"/>
      <c r="U10869" s="5"/>
      <c r="V10869" s="5"/>
      <c r="W10869" s="5"/>
      <c r="X10869" s="5"/>
      <c r="Y10869" s="5"/>
      <c r="Z10869" s="5"/>
    </row>
    <row r="10870" spans="1:26" ht="15" x14ac:dyDescent="0.25">
      <c r="A10870" s="4" t="s">
        <v>10867</v>
      </c>
      <c r="B10870" s="4" t="s">
        <v>9011</v>
      </c>
      <c r="C10870" s="2" t="str">
        <f ca="1">IFERROR(__xludf.DUMMYFUNCTION("GOOGLETRANSLATE(A10870,""bn"",""en"")"),"You will get angry")</f>
        <v>You will get angry</v>
      </c>
      <c r="D10870" s="5"/>
      <c r="E10870" s="5"/>
      <c r="F10870" s="5"/>
      <c r="G10870" s="5"/>
      <c r="H10870" s="5"/>
      <c r="I10870" s="5"/>
      <c r="J10870" s="5"/>
      <c r="K10870" s="5"/>
      <c r="L10870" s="5"/>
      <c r="M10870" s="5"/>
      <c r="N10870" s="5"/>
      <c r="O10870" s="5"/>
      <c r="P10870" s="5"/>
      <c r="Q10870" s="5"/>
      <c r="R10870" s="5"/>
      <c r="S10870" s="5"/>
      <c r="T10870" s="5"/>
      <c r="U10870" s="5"/>
      <c r="V10870" s="5"/>
      <c r="W10870" s="5"/>
      <c r="X10870" s="5"/>
      <c r="Y10870" s="5"/>
      <c r="Z10870" s="5"/>
    </row>
    <row r="10871" spans="1:26" ht="15" x14ac:dyDescent="0.25">
      <c r="A10871" s="4" t="s">
        <v>10868</v>
      </c>
      <c r="B10871" s="4" t="s">
        <v>9011</v>
      </c>
      <c r="C10871" s="2" t="str">
        <f ca="1">IFERROR(__xludf.DUMMYFUNCTION("GOOGLETRANSLATE(A10871,""bn"",""en"")"),"I will go to the rainforest")</f>
        <v>I will go to the rainforest</v>
      </c>
      <c r="D10871" s="5"/>
      <c r="E10871" s="5"/>
      <c r="F10871" s="5"/>
      <c r="G10871" s="5"/>
      <c r="H10871" s="5"/>
      <c r="I10871" s="5"/>
      <c r="J10871" s="5"/>
      <c r="K10871" s="5"/>
      <c r="L10871" s="5"/>
      <c r="M10871" s="5"/>
      <c r="N10871" s="5"/>
      <c r="O10871" s="5"/>
      <c r="P10871" s="5"/>
      <c r="Q10871" s="5"/>
      <c r="R10871" s="5"/>
      <c r="S10871" s="5"/>
      <c r="T10871" s="5"/>
      <c r="U10871" s="5"/>
      <c r="V10871" s="5"/>
      <c r="W10871" s="5"/>
      <c r="X10871" s="5"/>
      <c r="Y10871" s="5"/>
      <c r="Z10871" s="5"/>
    </row>
    <row r="10872" spans="1:26" ht="15" x14ac:dyDescent="0.25">
      <c r="A10872" s="4" t="s">
        <v>10869</v>
      </c>
      <c r="B10872" s="4" t="s">
        <v>9011</v>
      </c>
      <c r="C10872" s="2" t="str">
        <f ca="1">IFERROR(__xludf.DUMMYFUNCTION("GOOGLETRANSLATE(A10872,""bn"",""en"")"),"I will be entertained")</f>
        <v>I will be entertained</v>
      </c>
      <c r="D10872" s="5"/>
      <c r="E10872" s="5"/>
      <c r="F10872" s="5"/>
      <c r="G10872" s="5"/>
      <c r="H10872" s="5"/>
      <c r="I10872" s="5"/>
      <c r="J10872" s="5"/>
      <c r="K10872" s="5"/>
      <c r="L10872" s="5"/>
      <c r="M10872" s="5"/>
      <c r="N10872" s="5"/>
      <c r="O10872" s="5"/>
      <c r="P10872" s="5"/>
      <c r="Q10872" s="5"/>
      <c r="R10872" s="5"/>
      <c r="S10872" s="5"/>
      <c r="T10872" s="5"/>
      <c r="U10872" s="5"/>
      <c r="V10872" s="5"/>
      <c r="W10872" s="5"/>
      <c r="X10872" s="5"/>
      <c r="Y10872" s="5"/>
      <c r="Z10872" s="5"/>
    </row>
    <row r="10873" spans="1:26" ht="15" x14ac:dyDescent="0.25">
      <c r="A10873" s="4" t="s">
        <v>10870</v>
      </c>
      <c r="B10873" s="4" t="s">
        <v>9011</v>
      </c>
      <c r="C10873" s="2" t="str">
        <f ca="1">IFERROR(__xludf.DUMMYFUNCTION("GOOGLETRANSLATE(A10873,""bn"",""en"")"),"I will continue to go to Mecca")</f>
        <v>I will continue to go to Mecca</v>
      </c>
      <c r="D10873" s="5"/>
      <c r="E10873" s="5"/>
      <c r="F10873" s="5"/>
      <c r="G10873" s="5"/>
      <c r="H10873" s="5"/>
      <c r="I10873" s="5"/>
      <c r="J10873" s="5"/>
      <c r="K10873" s="5"/>
      <c r="L10873" s="5"/>
      <c r="M10873" s="5"/>
      <c r="N10873" s="5"/>
      <c r="O10873" s="5"/>
      <c r="P10873" s="5"/>
      <c r="Q10873" s="5"/>
      <c r="R10873" s="5"/>
      <c r="S10873" s="5"/>
      <c r="T10873" s="5"/>
      <c r="U10873" s="5"/>
      <c r="V10873" s="5"/>
      <c r="W10873" s="5"/>
      <c r="X10873" s="5"/>
      <c r="Y10873" s="5"/>
      <c r="Z10873" s="5"/>
    </row>
    <row r="10874" spans="1:26" ht="15" x14ac:dyDescent="0.25">
      <c r="A10874" s="4" t="s">
        <v>10871</v>
      </c>
      <c r="B10874" s="4" t="s">
        <v>9011</v>
      </c>
      <c r="C10874" s="2" t="str">
        <f ca="1">IFERROR(__xludf.DUMMYFUNCTION("GOOGLETRANSLATE(A10874,""bn"",""en"")"),"I will continue to watch the tiger")</f>
        <v>I will continue to watch the tiger</v>
      </c>
      <c r="D10874" s="5"/>
      <c r="E10874" s="5"/>
      <c r="F10874" s="5"/>
      <c r="G10874" s="5"/>
      <c r="H10874" s="5"/>
      <c r="I10874" s="5"/>
      <c r="J10874" s="5"/>
      <c r="K10874" s="5"/>
      <c r="L10874" s="5"/>
      <c r="M10874" s="5"/>
      <c r="N10874" s="5"/>
      <c r="O10874" s="5"/>
      <c r="P10874" s="5"/>
      <c r="Q10874" s="5"/>
      <c r="R10874" s="5"/>
      <c r="S10874" s="5"/>
      <c r="T10874" s="5"/>
      <c r="U10874" s="5"/>
      <c r="V10874" s="5"/>
      <c r="W10874" s="5"/>
      <c r="X10874" s="5"/>
      <c r="Y10874" s="5"/>
      <c r="Z10874" s="5"/>
    </row>
    <row r="10875" spans="1:26" ht="15" x14ac:dyDescent="0.25">
      <c r="A10875" s="4" t="s">
        <v>10872</v>
      </c>
      <c r="B10875" s="4" t="s">
        <v>9011</v>
      </c>
      <c r="C10875" s="2" t="str">
        <f ca="1">IFERROR(__xludf.DUMMYFUNCTION("GOOGLETRANSLATE(A10875,""bn"",""en"")"),"Parliament will be organized")</f>
        <v>Parliament will be organized</v>
      </c>
      <c r="D10875" s="5"/>
      <c r="E10875" s="5"/>
      <c r="F10875" s="5"/>
      <c r="G10875" s="5"/>
      <c r="H10875" s="5"/>
      <c r="I10875" s="5"/>
      <c r="J10875" s="5"/>
      <c r="K10875" s="5"/>
      <c r="L10875" s="5"/>
      <c r="M10875" s="5"/>
      <c r="N10875" s="5"/>
      <c r="O10875" s="5"/>
      <c r="P10875" s="5"/>
      <c r="Q10875" s="5"/>
      <c r="R10875" s="5"/>
      <c r="S10875" s="5"/>
      <c r="T10875" s="5"/>
      <c r="U10875" s="5"/>
      <c r="V10875" s="5"/>
      <c r="W10875" s="5"/>
      <c r="X10875" s="5"/>
      <c r="Y10875" s="5"/>
      <c r="Z10875" s="5"/>
    </row>
    <row r="10876" spans="1:26" ht="15" x14ac:dyDescent="0.25">
      <c r="A10876" s="4" t="s">
        <v>10873</v>
      </c>
      <c r="B10876" s="4" t="s">
        <v>9011</v>
      </c>
      <c r="C10876" s="2" t="str">
        <f ca="1">IFERROR(__xludf.DUMMYFUNCTION("GOOGLETRANSLATE(A10876,""bn"",""en"")"),"We will eat dal rice")</f>
        <v>We will eat dal rice</v>
      </c>
      <c r="D10876" s="5"/>
      <c r="E10876" s="5"/>
      <c r="F10876" s="5"/>
      <c r="G10876" s="5"/>
      <c r="H10876" s="5"/>
      <c r="I10876" s="5"/>
      <c r="J10876" s="5"/>
      <c r="K10876" s="5"/>
      <c r="L10876" s="5"/>
      <c r="M10876" s="5"/>
      <c r="N10876" s="5"/>
      <c r="O10876" s="5"/>
      <c r="P10876" s="5"/>
      <c r="Q10876" s="5"/>
      <c r="R10876" s="5"/>
      <c r="S10876" s="5"/>
      <c r="T10876" s="5"/>
      <c r="U10876" s="5"/>
      <c r="V10876" s="5"/>
      <c r="W10876" s="5"/>
      <c r="X10876" s="5"/>
      <c r="Y10876" s="5"/>
      <c r="Z10876" s="5"/>
    </row>
    <row r="10877" spans="1:26" ht="15" x14ac:dyDescent="0.25">
      <c r="A10877" s="4" t="s">
        <v>10874</v>
      </c>
      <c r="B10877" s="4" t="s">
        <v>9011</v>
      </c>
      <c r="C10877" s="2" t="str">
        <f ca="1">IFERROR(__xludf.DUMMYFUNCTION("GOOGLETRANSLATE(A10877,""bn"",""en"")"),"I will migrate")</f>
        <v>I will migrate</v>
      </c>
      <c r="D10877" s="5"/>
      <c r="E10877" s="5"/>
      <c r="F10877" s="5"/>
      <c r="G10877" s="5"/>
      <c r="H10877" s="5"/>
      <c r="I10877" s="5"/>
      <c r="J10877" s="5"/>
      <c r="K10877" s="5"/>
      <c r="L10877" s="5"/>
      <c r="M10877" s="5"/>
      <c r="N10877" s="5"/>
      <c r="O10877" s="5"/>
      <c r="P10877" s="5"/>
      <c r="Q10877" s="5"/>
      <c r="R10877" s="5"/>
      <c r="S10877" s="5"/>
      <c r="T10877" s="5"/>
      <c r="U10877" s="5"/>
      <c r="V10877" s="5"/>
      <c r="W10877" s="5"/>
      <c r="X10877" s="5"/>
      <c r="Y10877" s="5"/>
      <c r="Z10877" s="5"/>
    </row>
    <row r="10878" spans="1:26" ht="15" x14ac:dyDescent="0.25">
      <c r="A10878" s="4" t="s">
        <v>10875</v>
      </c>
      <c r="B10878" s="4" t="s">
        <v>9011</v>
      </c>
      <c r="C10878" s="2" t="str">
        <f ca="1">IFERROR(__xludf.DUMMYFUNCTION("GOOGLETRANSLATE(A10878,""bn"",""en"")"),"History will be rich")</f>
        <v>History will be rich</v>
      </c>
      <c r="D10878" s="5"/>
      <c r="E10878" s="5"/>
      <c r="F10878" s="5"/>
      <c r="G10878" s="5"/>
      <c r="H10878" s="5"/>
      <c r="I10878" s="5"/>
      <c r="J10878" s="5"/>
      <c r="K10878" s="5"/>
      <c r="L10878" s="5"/>
      <c r="M10878" s="5"/>
      <c r="N10878" s="5"/>
      <c r="O10878" s="5"/>
      <c r="P10878" s="5"/>
      <c r="Q10878" s="5"/>
      <c r="R10878" s="5"/>
      <c r="S10878" s="5"/>
      <c r="T10878" s="5"/>
      <c r="U10878" s="5"/>
      <c r="V10878" s="5"/>
      <c r="W10878" s="5"/>
      <c r="X10878" s="5"/>
      <c r="Y10878" s="5"/>
      <c r="Z10878" s="5"/>
    </row>
    <row r="10879" spans="1:26" ht="15" x14ac:dyDescent="0.25">
      <c r="A10879" s="4" t="s">
        <v>10876</v>
      </c>
      <c r="B10879" s="4" t="s">
        <v>9011</v>
      </c>
      <c r="C10879" s="2" t="str">
        <f ca="1">IFERROR(__xludf.DUMMYFUNCTION("GOOGLETRANSLATE(A10879,""bn"",""en"")"),"Food will provide energy")</f>
        <v>Food will provide energy</v>
      </c>
      <c r="D10879" s="5"/>
      <c r="E10879" s="5"/>
      <c r="F10879" s="5"/>
      <c r="G10879" s="5"/>
      <c r="H10879" s="5"/>
      <c r="I10879" s="5"/>
      <c r="J10879" s="5"/>
      <c r="K10879" s="5"/>
      <c r="L10879" s="5"/>
      <c r="M10879" s="5"/>
      <c r="N10879" s="5"/>
      <c r="O10879" s="5"/>
      <c r="P10879" s="5"/>
      <c r="Q10879" s="5"/>
      <c r="R10879" s="5"/>
      <c r="S10879" s="5"/>
      <c r="T10879" s="5"/>
      <c r="U10879" s="5"/>
      <c r="V10879" s="5"/>
      <c r="W10879" s="5"/>
      <c r="X10879" s="5"/>
      <c r="Y10879" s="5"/>
      <c r="Z10879" s="5"/>
    </row>
    <row r="10880" spans="1:26" ht="15" x14ac:dyDescent="0.25">
      <c r="A10880" s="4" t="s">
        <v>10877</v>
      </c>
      <c r="B10880" s="4" t="s">
        <v>9011</v>
      </c>
      <c r="C10880" s="2" t="str">
        <f ca="1">IFERROR(__xludf.DUMMYFUNCTION("GOOGLETRANSLATE(A10880,""bn"",""en"")"),"Money will go the way")</f>
        <v>Money will go the way</v>
      </c>
      <c r="D10880" s="5"/>
      <c r="E10880" s="5"/>
      <c r="F10880" s="5"/>
      <c r="G10880" s="5"/>
      <c r="H10880" s="5"/>
      <c r="I10880" s="5"/>
      <c r="J10880" s="5"/>
      <c r="K10880" s="5"/>
      <c r="L10880" s="5"/>
      <c r="M10880" s="5"/>
      <c r="N10880" s="5"/>
      <c r="O10880" s="5"/>
      <c r="P10880" s="5"/>
      <c r="Q10880" s="5"/>
      <c r="R10880" s="5"/>
      <c r="S10880" s="5"/>
      <c r="T10880" s="5"/>
      <c r="U10880" s="5"/>
      <c r="V10880" s="5"/>
      <c r="W10880" s="5"/>
      <c r="X10880" s="5"/>
      <c r="Y10880" s="5"/>
      <c r="Z10880" s="5"/>
    </row>
    <row r="10881" spans="1:26" ht="15" x14ac:dyDescent="0.25">
      <c r="A10881" s="4" t="s">
        <v>10878</v>
      </c>
      <c r="B10881" s="4" t="s">
        <v>9011</v>
      </c>
      <c r="C10881" s="2" t="str">
        <f ca="1">IFERROR(__xludf.DUMMYFUNCTION("GOOGLETRANSLATE(A10881,""bn"",""en"")"),"He will learn music")</f>
        <v>He will learn music</v>
      </c>
      <c r="D10881" s="5"/>
      <c r="E10881" s="5"/>
      <c r="F10881" s="5"/>
      <c r="G10881" s="5"/>
      <c r="H10881" s="5"/>
      <c r="I10881" s="5"/>
      <c r="J10881" s="5"/>
      <c r="K10881" s="5"/>
      <c r="L10881" s="5"/>
      <c r="M10881" s="5"/>
      <c r="N10881" s="5"/>
      <c r="O10881" s="5"/>
      <c r="P10881" s="5"/>
      <c r="Q10881" s="5"/>
      <c r="R10881" s="5"/>
      <c r="S10881" s="5"/>
      <c r="T10881" s="5"/>
      <c r="U10881" s="5"/>
      <c r="V10881" s="5"/>
      <c r="W10881" s="5"/>
      <c r="X10881" s="5"/>
      <c r="Y10881" s="5"/>
      <c r="Z10881" s="5"/>
    </row>
    <row r="10882" spans="1:26" ht="15" x14ac:dyDescent="0.25">
      <c r="A10882" s="4" t="s">
        <v>10879</v>
      </c>
      <c r="B10882" s="4" t="s">
        <v>9011</v>
      </c>
      <c r="C10882" s="2" t="str">
        <f ca="1">IFERROR(__xludf.DUMMYFUNCTION("GOOGLETRANSLATE(A10882,""bn"",""en"")"),"Waves will spread softness")</f>
        <v>Waves will spread softness</v>
      </c>
      <c r="D10882" s="5"/>
      <c r="E10882" s="5"/>
      <c r="F10882" s="5"/>
      <c r="G10882" s="5"/>
      <c r="H10882" s="5"/>
      <c r="I10882" s="5"/>
      <c r="J10882" s="5"/>
      <c r="K10882" s="5"/>
      <c r="L10882" s="5"/>
      <c r="M10882" s="5"/>
      <c r="N10882" s="5"/>
      <c r="O10882" s="5"/>
      <c r="P10882" s="5"/>
      <c r="Q10882" s="5"/>
      <c r="R10882" s="5"/>
      <c r="S10882" s="5"/>
      <c r="T10882" s="5"/>
      <c r="U10882" s="5"/>
      <c r="V10882" s="5"/>
      <c r="W10882" s="5"/>
      <c r="X10882" s="5"/>
      <c r="Y10882" s="5"/>
      <c r="Z10882" s="5"/>
    </row>
    <row r="10883" spans="1:26" ht="15" x14ac:dyDescent="0.25">
      <c r="A10883" s="4" t="s">
        <v>10880</v>
      </c>
      <c r="B10883" s="4" t="s">
        <v>9011</v>
      </c>
      <c r="C10883" s="2" t="str">
        <f ca="1">IFERROR(__xludf.DUMMYFUNCTION("GOOGLETRANSLATE(A10883,""bn"",""en"")"),"The story will be written")</f>
        <v>The story will be written</v>
      </c>
      <c r="D10883" s="5"/>
      <c r="E10883" s="5"/>
      <c r="F10883" s="5"/>
      <c r="G10883" s="5"/>
      <c r="H10883" s="5"/>
      <c r="I10883" s="5"/>
      <c r="J10883" s="5"/>
      <c r="K10883" s="5"/>
      <c r="L10883" s="5"/>
      <c r="M10883" s="5"/>
      <c r="N10883" s="5"/>
      <c r="O10883" s="5"/>
      <c r="P10883" s="5"/>
      <c r="Q10883" s="5"/>
      <c r="R10883" s="5"/>
      <c r="S10883" s="5"/>
      <c r="T10883" s="5"/>
      <c r="U10883" s="5"/>
      <c r="V10883" s="5"/>
      <c r="W10883" s="5"/>
      <c r="X10883" s="5"/>
      <c r="Y10883" s="5"/>
      <c r="Z10883" s="5"/>
    </row>
    <row r="10884" spans="1:26" ht="15" x14ac:dyDescent="0.25">
      <c r="A10884" s="4" t="s">
        <v>10881</v>
      </c>
      <c r="B10884" s="4" t="s">
        <v>9011</v>
      </c>
      <c r="C10884" s="2" t="str">
        <f ca="1">IFERROR(__xludf.DUMMYFUNCTION("GOOGLETRANSLATE(A10884,""bn"",""en"")"),"Ice cream will serve")</f>
        <v>Ice cream will serve</v>
      </c>
      <c r="D10884" s="5"/>
      <c r="E10884" s="5"/>
      <c r="F10884" s="5"/>
      <c r="G10884" s="5"/>
      <c r="H10884" s="5"/>
      <c r="I10884" s="5"/>
      <c r="J10884" s="5"/>
      <c r="K10884" s="5"/>
      <c r="L10884" s="5"/>
      <c r="M10884" s="5"/>
      <c r="N10884" s="5"/>
      <c r="O10884" s="5"/>
      <c r="P10884" s="5"/>
      <c r="Q10884" s="5"/>
      <c r="R10884" s="5"/>
      <c r="S10884" s="5"/>
      <c r="T10884" s="5"/>
      <c r="U10884" s="5"/>
      <c r="V10884" s="5"/>
      <c r="W10884" s="5"/>
      <c r="X10884" s="5"/>
      <c r="Y10884" s="5"/>
      <c r="Z10884" s="5"/>
    </row>
    <row r="10885" spans="1:26" ht="15" x14ac:dyDescent="0.25">
      <c r="A10885" s="4" t="s">
        <v>10882</v>
      </c>
      <c r="B10885" s="4" t="s">
        <v>9011</v>
      </c>
      <c r="C10885" s="2" t="str">
        <f ca="1">IFERROR(__xludf.DUMMYFUNCTION("GOOGLETRANSLATE(A10885,""bn"",""en"")"),"I will go to the mosque")</f>
        <v>I will go to the mosque</v>
      </c>
      <c r="D10885" s="5"/>
      <c r="E10885" s="5"/>
      <c r="F10885" s="5"/>
      <c r="G10885" s="5"/>
      <c r="H10885" s="5"/>
      <c r="I10885" s="5"/>
      <c r="J10885" s="5"/>
      <c r="K10885" s="5"/>
      <c r="L10885" s="5"/>
      <c r="M10885" s="5"/>
      <c r="N10885" s="5"/>
      <c r="O10885" s="5"/>
      <c r="P10885" s="5"/>
      <c r="Q10885" s="5"/>
      <c r="R10885" s="5"/>
      <c r="S10885" s="5"/>
      <c r="T10885" s="5"/>
      <c r="U10885" s="5"/>
      <c r="V10885" s="5"/>
      <c r="W10885" s="5"/>
      <c r="X10885" s="5"/>
      <c r="Y10885" s="5"/>
      <c r="Z10885" s="5"/>
    </row>
    <row r="10886" spans="1:26" ht="15" x14ac:dyDescent="0.25">
      <c r="A10886" s="4" t="s">
        <v>10883</v>
      </c>
      <c r="B10886" s="4" t="s">
        <v>9011</v>
      </c>
      <c r="C10886" s="2" t="str">
        <f ca="1">IFERROR(__xludf.DUMMYFUNCTION("GOOGLETRANSLATE(A10886,""bn"",""en"")"),"There will be experience")</f>
        <v>There will be experience</v>
      </c>
      <c r="D10886" s="5"/>
      <c r="E10886" s="5"/>
      <c r="F10886" s="5"/>
      <c r="G10886" s="5"/>
      <c r="H10886" s="5"/>
      <c r="I10886" s="5"/>
      <c r="J10886" s="5"/>
      <c r="K10886" s="5"/>
      <c r="L10886" s="5"/>
      <c r="M10886" s="5"/>
      <c r="N10886" s="5"/>
      <c r="O10886" s="5"/>
      <c r="P10886" s="5"/>
      <c r="Q10886" s="5"/>
      <c r="R10886" s="5"/>
      <c r="S10886" s="5"/>
      <c r="T10886" s="5"/>
      <c r="U10886" s="5"/>
      <c r="V10886" s="5"/>
      <c r="W10886" s="5"/>
      <c r="X10886" s="5"/>
      <c r="Y10886" s="5"/>
      <c r="Z10886" s="5"/>
    </row>
    <row r="10887" spans="1:26" ht="15" x14ac:dyDescent="0.25">
      <c r="A10887" s="4" t="s">
        <v>10884</v>
      </c>
      <c r="B10887" s="4" t="s">
        <v>9011</v>
      </c>
      <c r="C10887" s="2" t="str">
        <f ca="1">IFERROR(__xludf.DUMMYFUNCTION("GOOGLETRANSLATE(A10887,""bn"",""en"")"),"Reading will be enjoyable")</f>
        <v>Reading will be enjoyable</v>
      </c>
      <c r="D10887" s="5"/>
      <c r="E10887" s="5"/>
      <c r="F10887" s="5"/>
      <c r="G10887" s="5"/>
      <c r="H10887" s="5"/>
      <c r="I10887" s="5"/>
      <c r="J10887" s="5"/>
      <c r="K10887" s="5"/>
      <c r="L10887" s="5"/>
      <c r="M10887" s="5"/>
      <c r="N10887" s="5"/>
      <c r="O10887" s="5"/>
      <c r="P10887" s="5"/>
      <c r="Q10887" s="5"/>
      <c r="R10887" s="5"/>
      <c r="S10887" s="5"/>
      <c r="T10887" s="5"/>
      <c r="U10887" s="5"/>
      <c r="V10887" s="5"/>
      <c r="W10887" s="5"/>
      <c r="X10887" s="5"/>
      <c r="Y10887" s="5"/>
      <c r="Z10887" s="5"/>
    </row>
    <row r="10888" spans="1:26" ht="15" x14ac:dyDescent="0.25">
      <c r="A10888" s="4" t="s">
        <v>10885</v>
      </c>
      <c r="B10888" s="4" t="s">
        <v>9011</v>
      </c>
      <c r="C10888" s="2" t="str">
        <f ca="1">IFERROR(__xludf.DUMMYFUNCTION("GOOGLETRANSLATE(A10888,""bn"",""en"")"),"will improve the concept")</f>
        <v>will improve the concept</v>
      </c>
      <c r="D10888" s="5"/>
      <c r="E10888" s="5"/>
      <c r="F10888" s="5"/>
      <c r="G10888" s="5"/>
      <c r="H10888" s="5"/>
      <c r="I10888" s="5"/>
      <c r="J10888" s="5"/>
      <c r="K10888" s="5"/>
      <c r="L10888" s="5"/>
      <c r="M10888" s="5"/>
      <c r="N10888" s="5"/>
      <c r="O10888" s="5"/>
      <c r="P10888" s="5"/>
      <c r="Q10888" s="5"/>
      <c r="R10888" s="5"/>
      <c r="S10888" s="5"/>
      <c r="T10888" s="5"/>
      <c r="U10888" s="5"/>
      <c r="V10888" s="5"/>
      <c r="W10888" s="5"/>
      <c r="X10888" s="5"/>
      <c r="Y10888" s="5"/>
      <c r="Z10888" s="5"/>
    </row>
    <row r="10889" spans="1:26" ht="15" x14ac:dyDescent="0.25">
      <c r="A10889" s="4" t="s">
        <v>10886</v>
      </c>
      <c r="B10889" s="4" t="s">
        <v>9011</v>
      </c>
      <c r="C10889" s="2" t="str">
        <f ca="1">IFERROR(__xludf.DUMMYFUNCTION("GOOGLETRANSLATE(A10889,""bn"",""en"")"),"They will send money")</f>
        <v>They will send money</v>
      </c>
      <c r="D10889" s="5"/>
      <c r="E10889" s="5"/>
      <c r="F10889" s="5"/>
      <c r="G10889" s="5"/>
      <c r="H10889" s="5"/>
      <c r="I10889" s="5"/>
      <c r="J10889" s="5"/>
      <c r="K10889" s="5"/>
      <c r="L10889" s="5"/>
      <c r="M10889" s="5"/>
      <c r="N10889" s="5"/>
      <c r="O10889" s="5"/>
      <c r="P10889" s="5"/>
      <c r="Q10889" s="5"/>
      <c r="R10889" s="5"/>
      <c r="S10889" s="5"/>
      <c r="T10889" s="5"/>
      <c r="U10889" s="5"/>
      <c r="V10889" s="5"/>
      <c r="W10889" s="5"/>
      <c r="X10889" s="5"/>
      <c r="Y10889" s="5"/>
      <c r="Z10889" s="5"/>
    </row>
    <row r="10890" spans="1:26" ht="15" x14ac:dyDescent="0.25">
      <c r="A10890" s="4" t="s">
        <v>10887</v>
      </c>
      <c r="B10890" s="4" t="s">
        <v>9011</v>
      </c>
      <c r="C10890" s="2" t="str">
        <f ca="1">IFERROR(__xludf.DUMMYFUNCTION("GOOGLETRANSLATE(A10890,""bn"",""en"")"),"The interface will be designed")</f>
        <v>The interface will be designed</v>
      </c>
      <c r="D10890" s="5"/>
      <c r="E10890" s="5"/>
      <c r="F10890" s="5"/>
      <c r="G10890" s="5"/>
      <c r="H10890" s="5"/>
      <c r="I10890" s="5"/>
      <c r="J10890" s="5"/>
      <c r="K10890" s="5"/>
      <c r="L10890" s="5"/>
      <c r="M10890" s="5"/>
      <c r="N10890" s="5"/>
      <c r="O10890" s="5"/>
      <c r="P10890" s="5"/>
      <c r="Q10890" s="5"/>
      <c r="R10890" s="5"/>
      <c r="S10890" s="5"/>
      <c r="T10890" s="5"/>
      <c r="U10890" s="5"/>
      <c r="V10890" s="5"/>
      <c r="W10890" s="5"/>
      <c r="X10890" s="5"/>
      <c r="Y10890" s="5"/>
      <c r="Z10890" s="5"/>
    </row>
    <row r="10891" spans="1:26" ht="15" x14ac:dyDescent="0.25">
      <c r="A10891" s="4" t="s">
        <v>10888</v>
      </c>
      <c r="B10891" s="4" t="s">
        <v>9011</v>
      </c>
      <c r="C10891" s="2" t="str">
        <f ca="1">IFERROR(__xludf.DUMMYFUNCTION("GOOGLETRANSLATE(A10891,""bn"",""en"")"),"You will make the pasta")</f>
        <v>You will make the pasta</v>
      </c>
      <c r="D10891" s="5"/>
      <c r="E10891" s="5"/>
      <c r="F10891" s="5"/>
      <c r="G10891" s="5"/>
      <c r="H10891" s="5"/>
      <c r="I10891" s="5"/>
      <c r="J10891" s="5"/>
      <c r="K10891" s="5"/>
      <c r="L10891" s="5"/>
      <c r="M10891" s="5"/>
      <c r="N10891" s="5"/>
      <c r="O10891" s="5"/>
      <c r="P10891" s="5"/>
      <c r="Q10891" s="5"/>
      <c r="R10891" s="5"/>
      <c r="S10891" s="5"/>
      <c r="T10891" s="5"/>
      <c r="U10891" s="5"/>
      <c r="V10891" s="5"/>
      <c r="W10891" s="5"/>
      <c r="X10891" s="5"/>
      <c r="Y10891" s="5"/>
      <c r="Z10891" s="5"/>
    </row>
    <row r="10892" spans="1:26" ht="15" x14ac:dyDescent="0.25">
      <c r="A10892" s="4" t="s">
        <v>10889</v>
      </c>
      <c r="B10892" s="4" t="s">
        <v>9011</v>
      </c>
      <c r="C10892" s="2" t="str">
        <f ca="1">IFERROR(__xludf.DUMMYFUNCTION("GOOGLETRANSLATE(A10892,""bn"",""en"")"),"I will be interested in politics")</f>
        <v>I will be interested in politics</v>
      </c>
      <c r="D10892" s="5"/>
      <c r="E10892" s="5"/>
      <c r="F10892" s="5"/>
      <c r="G10892" s="5"/>
      <c r="H10892" s="5"/>
      <c r="I10892" s="5"/>
      <c r="J10892" s="5"/>
      <c r="K10892" s="5"/>
      <c r="L10892" s="5"/>
      <c r="M10892" s="5"/>
      <c r="N10892" s="5"/>
      <c r="O10892" s="5"/>
      <c r="P10892" s="5"/>
      <c r="Q10892" s="5"/>
      <c r="R10892" s="5"/>
      <c r="S10892" s="5"/>
      <c r="T10892" s="5"/>
      <c r="U10892" s="5"/>
      <c r="V10892" s="5"/>
      <c r="W10892" s="5"/>
      <c r="X10892" s="5"/>
      <c r="Y10892" s="5"/>
      <c r="Z10892" s="5"/>
    </row>
    <row r="10893" spans="1:26" ht="15" x14ac:dyDescent="0.25">
      <c r="A10893" s="4" t="s">
        <v>10890</v>
      </c>
      <c r="B10893" s="4" t="s">
        <v>9011</v>
      </c>
      <c r="C10893" s="2" t="str">
        <f ca="1">IFERROR(__xludf.DUMMYFUNCTION("GOOGLETRANSLATE(A10893,""bn"",""en"")"),"Think about technology")</f>
        <v>Think about technology</v>
      </c>
      <c r="D10893" s="5"/>
      <c r="E10893" s="5"/>
      <c r="F10893" s="5"/>
      <c r="G10893" s="5"/>
      <c r="H10893" s="5"/>
      <c r="I10893" s="5"/>
      <c r="J10893" s="5"/>
      <c r="K10893" s="5"/>
      <c r="L10893" s="5"/>
      <c r="M10893" s="5"/>
      <c r="N10893" s="5"/>
      <c r="O10893" s="5"/>
      <c r="P10893" s="5"/>
      <c r="Q10893" s="5"/>
      <c r="R10893" s="5"/>
      <c r="S10893" s="5"/>
      <c r="T10893" s="5"/>
      <c r="U10893" s="5"/>
      <c r="V10893" s="5"/>
      <c r="W10893" s="5"/>
      <c r="X10893" s="5"/>
      <c r="Y10893" s="5"/>
      <c r="Z10893" s="5"/>
    </row>
    <row r="10894" spans="1:26" ht="15" x14ac:dyDescent="0.25">
      <c r="A10894" s="4" t="s">
        <v>10891</v>
      </c>
      <c r="B10894" s="4" t="s">
        <v>9011</v>
      </c>
      <c r="C10894" s="2" t="str">
        <f ca="1">IFERROR(__xludf.DUMMYFUNCTION("GOOGLETRANSLATE(A10894,""bn"",""en"")"),"I will use chatgpt")</f>
        <v>I will use chatgpt</v>
      </c>
      <c r="D10894" s="5"/>
      <c r="E10894" s="5"/>
      <c r="F10894" s="5"/>
      <c r="G10894" s="5"/>
      <c r="H10894" s="5"/>
      <c r="I10894" s="5"/>
      <c r="J10894" s="5"/>
      <c r="K10894" s="5"/>
      <c r="L10894" s="5"/>
      <c r="M10894" s="5"/>
      <c r="N10894" s="5"/>
      <c r="O10894" s="5"/>
      <c r="P10894" s="5"/>
      <c r="Q10894" s="5"/>
      <c r="R10894" s="5"/>
      <c r="S10894" s="5"/>
      <c r="T10894" s="5"/>
      <c r="U10894" s="5"/>
      <c r="V10894" s="5"/>
      <c r="W10894" s="5"/>
      <c r="X10894" s="5"/>
      <c r="Y10894" s="5"/>
      <c r="Z10894" s="5"/>
    </row>
    <row r="10895" spans="1:26" ht="15" x14ac:dyDescent="0.25">
      <c r="A10895" s="4" t="s">
        <v>10892</v>
      </c>
      <c r="B10895" s="4" t="s">
        <v>9011</v>
      </c>
      <c r="C10895" s="2" t="str">
        <f ca="1">IFERROR(__xludf.DUMMYFUNCTION("GOOGLETRANSLATE(A10895,""bn"",""en"")"),"Travel will bring liberation")</f>
        <v>Travel will bring liberation</v>
      </c>
      <c r="D10895" s="5"/>
      <c r="E10895" s="5"/>
      <c r="F10895" s="5"/>
      <c r="G10895" s="5"/>
      <c r="H10895" s="5"/>
      <c r="I10895" s="5"/>
      <c r="J10895" s="5"/>
      <c r="K10895" s="5"/>
      <c r="L10895" s="5"/>
      <c r="M10895" s="5"/>
      <c r="N10895" s="5"/>
      <c r="O10895" s="5"/>
      <c r="P10895" s="5"/>
      <c r="Q10895" s="5"/>
      <c r="R10895" s="5"/>
      <c r="S10895" s="5"/>
      <c r="T10895" s="5"/>
      <c r="U10895" s="5"/>
      <c r="V10895" s="5"/>
      <c r="W10895" s="5"/>
      <c r="X10895" s="5"/>
      <c r="Y10895" s="5"/>
      <c r="Z10895" s="5"/>
    </row>
    <row r="10896" spans="1:26" ht="15" x14ac:dyDescent="0.25">
      <c r="A10896" s="4" t="s">
        <v>10893</v>
      </c>
      <c r="B10896" s="4" t="s">
        <v>9011</v>
      </c>
      <c r="C10896" s="2" t="str">
        <f ca="1">IFERROR(__xludf.DUMMYFUNCTION("GOOGLETRANSLATE(A10896,""bn"",""en"")"),"I will use the camera")</f>
        <v>I will use the camera</v>
      </c>
      <c r="D10896" s="5"/>
      <c r="E10896" s="5"/>
      <c r="F10896" s="5"/>
      <c r="G10896" s="5"/>
      <c r="H10896" s="5"/>
      <c r="I10896" s="5"/>
      <c r="J10896" s="5"/>
      <c r="K10896" s="5"/>
      <c r="L10896" s="5"/>
      <c r="M10896" s="5"/>
      <c r="N10896" s="5"/>
      <c r="O10896" s="5"/>
      <c r="P10896" s="5"/>
      <c r="Q10896" s="5"/>
      <c r="R10896" s="5"/>
      <c r="S10896" s="5"/>
      <c r="T10896" s="5"/>
      <c r="U10896" s="5"/>
      <c r="V10896" s="5"/>
      <c r="W10896" s="5"/>
      <c r="X10896" s="5"/>
      <c r="Y10896" s="5"/>
      <c r="Z10896" s="5"/>
    </row>
    <row r="10897" spans="1:26" ht="15" x14ac:dyDescent="0.25">
      <c r="A10897" s="4" t="s">
        <v>10894</v>
      </c>
      <c r="B10897" s="4" t="s">
        <v>9011</v>
      </c>
      <c r="C10897" s="2" t="str">
        <f ca="1">IFERROR(__xludf.DUMMYFUNCTION("GOOGLETRANSLATE(A10897,""bn"",""en"")"),"I will keep adding")</f>
        <v>I will keep adding</v>
      </c>
      <c r="D10897" s="5"/>
      <c r="E10897" s="5"/>
      <c r="F10897" s="5"/>
      <c r="G10897" s="5"/>
      <c r="H10897" s="5"/>
      <c r="I10897" s="5"/>
      <c r="J10897" s="5"/>
      <c r="K10897" s="5"/>
      <c r="L10897" s="5"/>
      <c r="M10897" s="5"/>
      <c r="N10897" s="5"/>
      <c r="O10897" s="5"/>
      <c r="P10897" s="5"/>
      <c r="Q10897" s="5"/>
      <c r="R10897" s="5"/>
      <c r="S10897" s="5"/>
      <c r="T10897" s="5"/>
      <c r="U10897" s="5"/>
      <c r="V10897" s="5"/>
      <c r="W10897" s="5"/>
      <c r="X10897" s="5"/>
      <c r="Y10897" s="5"/>
      <c r="Z10897" s="5"/>
    </row>
    <row r="10898" spans="1:26" ht="15" x14ac:dyDescent="0.25">
      <c r="A10898" s="4" t="s">
        <v>10895</v>
      </c>
      <c r="B10898" s="4" t="s">
        <v>9011</v>
      </c>
      <c r="C10898" s="2" t="str">
        <f ca="1">IFERROR(__xludf.DUMMYFUNCTION("GOOGLETRANSLATE(A10898,""bn"",""en"")"),"I will go to Mecca")</f>
        <v>I will go to Mecca</v>
      </c>
      <c r="D10898" s="5"/>
      <c r="E10898" s="5"/>
      <c r="F10898" s="5"/>
      <c r="G10898" s="5"/>
      <c r="H10898" s="5"/>
      <c r="I10898" s="5"/>
      <c r="J10898" s="5"/>
      <c r="K10898" s="5"/>
      <c r="L10898" s="5"/>
      <c r="M10898" s="5"/>
      <c r="N10898" s="5"/>
      <c r="O10898" s="5"/>
      <c r="P10898" s="5"/>
      <c r="Q10898" s="5"/>
      <c r="R10898" s="5"/>
      <c r="S10898" s="5"/>
      <c r="T10898" s="5"/>
      <c r="U10898" s="5"/>
      <c r="V10898" s="5"/>
      <c r="W10898" s="5"/>
      <c r="X10898" s="5"/>
      <c r="Y10898" s="5"/>
      <c r="Z10898" s="5"/>
    </row>
    <row r="10899" spans="1:26" ht="15" x14ac:dyDescent="0.25">
      <c r="A10899" s="4" t="s">
        <v>10896</v>
      </c>
      <c r="B10899" s="4" t="s">
        <v>9011</v>
      </c>
      <c r="C10899" s="2" t="str">
        <f ca="1">IFERROR(__xludf.DUMMYFUNCTION("GOOGLETRANSLATE(A10899,""bn"",""en"")"),"Promotion will start")</f>
        <v>Promotion will start</v>
      </c>
      <c r="D10899" s="5"/>
      <c r="E10899" s="5"/>
      <c r="F10899" s="5"/>
      <c r="G10899" s="5"/>
      <c r="H10899" s="5"/>
      <c r="I10899" s="5"/>
      <c r="J10899" s="5"/>
      <c r="K10899" s="5"/>
      <c r="L10899" s="5"/>
      <c r="M10899" s="5"/>
      <c r="N10899" s="5"/>
      <c r="O10899" s="5"/>
      <c r="P10899" s="5"/>
      <c r="Q10899" s="5"/>
      <c r="R10899" s="5"/>
      <c r="S10899" s="5"/>
      <c r="T10899" s="5"/>
      <c r="U10899" s="5"/>
      <c r="V10899" s="5"/>
      <c r="W10899" s="5"/>
      <c r="X10899" s="5"/>
      <c r="Y10899" s="5"/>
      <c r="Z10899" s="5"/>
    </row>
    <row r="10900" spans="1:26" ht="15" x14ac:dyDescent="0.25">
      <c r="A10900" s="4" t="s">
        <v>10897</v>
      </c>
      <c r="B10900" s="4" t="s">
        <v>9011</v>
      </c>
      <c r="C10900" s="2" t="str">
        <f ca="1">IFERROR(__xludf.DUMMYFUNCTION("GOOGLETRANSLATE(A10900,""bn"",""en"")"),"Then there will be travel")</f>
        <v>Then there will be travel</v>
      </c>
      <c r="D10900" s="5"/>
      <c r="E10900" s="5"/>
      <c r="F10900" s="5"/>
      <c r="G10900" s="5"/>
      <c r="H10900" s="5"/>
      <c r="I10900" s="5"/>
      <c r="J10900" s="5"/>
      <c r="K10900" s="5"/>
      <c r="L10900" s="5"/>
      <c r="M10900" s="5"/>
      <c r="N10900" s="5"/>
      <c r="O10900" s="5"/>
      <c r="P10900" s="5"/>
      <c r="Q10900" s="5"/>
      <c r="R10900" s="5"/>
      <c r="S10900" s="5"/>
      <c r="T10900" s="5"/>
      <c r="U10900" s="5"/>
      <c r="V10900" s="5"/>
      <c r="W10900" s="5"/>
      <c r="X10900" s="5"/>
      <c r="Y10900" s="5"/>
      <c r="Z10900" s="5"/>
    </row>
    <row r="10901" spans="1:26" ht="15" x14ac:dyDescent="0.25">
      <c r="A10901" s="4" t="s">
        <v>10898</v>
      </c>
      <c r="B10901" s="4" t="s">
        <v>9011</v>
      </c>
      <c r="C10901" s="2" t="str">
        <f ca="1">IFERROR(__xludf.DUMMYFUNCTION("GOOGLETRANSLATE(A10901,""bn"",""en"")"),"I will learn technology")</f>
        <v>I will learn technology</v>
      </c>
      <c r="D10901" s="5"/>
      <c r="E10901" s="5"/>
      <c r="F10901" s="5"/>
      <c r="G10901" s="5"/>
      <c r="H10901" s="5"/>
      <c r="I10901" s="5"/>
      <c r="J10901" s="5"/>
      <c r="K10901" s="5"/>
      <c r="L10901" s="5"/>
      <c r="M10901" s="5"/>
      <c r="N10901" s="5"/>
      <c r="O10901" s="5"/>
      <c r="P10901" s="5"/>
      <c r="Q10901" s="5"/>
      <c r="R10901" s="5"/>
      <c r="S10901" s="5"/>
      <c r="T10901" s="5"/>
      <c r="U10901" s="5"/>
      <c r="V10901" s="5"/>
      <c r="W10901" s="5"/>
      <c r="X10901" s="5"/>
      <c r="Y10901" s="5"/>
      <c r="Z10901" s="5"/>
    </row>
    <row r="10902" spans="1:26" ht="15" x14ac:dyDescent="0.25">
      <c r="A10902" s="4" t="s">
        <v>10899</v>
      </c>
      <c r="B10902" s="4" t="s">
        <v>9011</v>
      </c>
      <c r="C10902" s="2" t="str">
        <f ca="1">IFERROR(__xludf.DUMMYFUNCTION("GOOGLETRANSLATE(A10902,""bn"",""en"")"),"He will eat betel nuts")</f>
        <v>He will eat betel nuts</v>
      </c>
      <c r="D10902" s="5"/>
      <c r="E10902" s="5"/>
      <c r="F10902" s="5"/>
      <c r="G10902" s="5"/>
      <c r="H10902" s="5"/>
      <c r="I10902" s="5"/>
      <c r="J10902" s="5"/>
      <c r="K10902" s="5"/>
      <c r="L10902" s="5"/>
      <c r="M10902" s="5"/>
      <c r="N10902" s="5"/>
      <c r="O10902" s="5"/>
      <c r="P10902" s="5"/>
      <c r="Q10902" s="5"/>
      <c r="R10902" s="5"/>
      <c r="S10902" s="5"/>
      <c r="T10902" s="5"/>
      <c r="U10902" s="5"/>
      <c r="V10902" s="5"/>
      <c r="W10902" s="5"/>
      <c r="X10902" s="5"/>
      <c r="Y10902" s="5"/>
      <c r="Z10902" s="5"/>
    </row>
    <row r="10903" spans="1:26" ht="15" x14ac:dyDescent="0.25">
      <c r="A10903" s="4" t="s">
        <v>10900</v>
      </c>
      <c r="B10903" s="4" t="s">
        <v>9011</v>
      </c>
      <c r="C10903" s="2" t="str">
        <f ca="1">IFERROR(__xludf.DUMMYFUNCTION("GOOGLETRANSLATE(A10903,""bn"",""en"")"),"He will drink betel nut")</f>
        <v>He will drink betel nut</v>
      </c>
      <c r="D10903" s="5"/>
      <c r="E10903" s="5"/>
      <c r="F10903" s="5"/>
      <c r="G10903" s="5"/>
      <c r="H10903" s="5"/>
      <c r="I10903" s="5"/>
      <c r="J10903" s="5"/>
      <c r="K10903" s="5"/>
      <c r="L10903" s="5"/>
      <c r="M10903" s="5"/>
      <c r="N10903" s="5"/>
      <c r="O10903" s="5"/>
      <c r="P10903" s="5"/>
      <c r="Q10903" s="5"/>
      <c r="R10903" s="5"/>
      <c r="S10903" s="5"/>
      <c r="T10903" s="5"/>
      <c r="U10903" s="5"/>
      <c r="V10903" s="5"/>
      <c r="W10903" s="5"/>
      <c r="X10903" s="5"/>
      <c r="Y10903" s="5"/>
      <c r="Z10903" s="5"/>
    </row>
    <row r="10904" spans="1:26" ht="15" x14ac:dyDescent="0.25">
      <c r="A10904" s="4" t="s">
        <v>10901</v>
      </c>
      <c r="B10904" s="4" t="s">
        <v>9011</v>
      </c>
      <c r="C10904" s="2" t="str">
        <f ca="1">IFERROR(__xludf.DUMMYFUNCTION("GOOGLETRANSLATE(A10904,""bn"",""en"")"),"Will suffer")</f>
        <v>Will suffer</v>
      </c>
      <c r="D10904" s="5"/>
      <c r="E10904" s="5"/>
      <c r="F10904" s="5"/>
      <c r="G10904" s="5"/>
      <c r="H10904" s="5"/>
      <c r="I10904" s="5"/>
      <c r="J10904" s="5"/>
      <c r="K10904" s="5"/>
      <c r="L10904" s="5"/>
      <c r="M10904" s="5"/>
      <c r="N10904" s="5"/>
      <c r="O10904" s="5"/>
      <c r="P10904" s="5"/>
      <c r="Q10904" s="5"/>
      <c r="R10904" s="5"/>
      <c r="S10904" s="5"/>
      <c r="T10904" s="5"/>
      <c r="U10904" s="5"/>
      <c r="V10904" s="5"/>
      <c r="W10904" s="5"/>
      <c r="X10904" s="5"/>
      <c r="Y10904" s="5"/>
      <c r="Z10904" s="5"/>
    </row>
    <row r="10905" spans="1:26" ht="15" x14ac:dyDescent="0.25">
      <c r="A10905" s="4" t="s">
        <v>10902</v>
      </c>
      <c r="B10905" s="4" t="s">
        <v>9011</v>
      </c>
      <c r="C10905" s="2" t="str">
        <f ca="1">IFERROR(__xludf.DUMMYFUNCTION("GOOGLETRANSLATE(A10905,""bn"",""en"")"),"I will use the drone")</f>
        <v>I will use the drone</v>
      </c>
      <c r="D10905" s="5"/>
      <c r="E10905" s="5"/>
      <c r="F10905" s="5"/>
      <c r="G10905" s="5"/>
      <c r="H10905" s="5"/>
      <c r="I10905" s="5"/>
      <c r="J10905" s="5"/>
      <c r="K10905" s="5"/>
      <c r="L10905" s="5"/>
      <c r="M10905" s="5"/>
      <c r="N10905" s="5"/>
      <c r="O10905" s="5"/>
      <c r="P10905" s="5"/>
      <c r="Q10905" s="5"/>
      <c r="R10905" s="5"/>
      <c r="S10905" s="5"/>
      <c r="T10905" s="5"/>
      <c r="U10905" s="5"/>
      <c r="V10905" s="5"/>
      <c r="W10905" s="5"/>
      <c r="X10905" s="5"/>
      <c r="Y10905" s="5"/>
      <c r="Z10905" s="5"/>
    </row>
    <row r="10906" spans="1:26" ht="15" x14ac:dyDescent="0.25">
      <c r="A10906" s="4" t="s">
        <v>10903</v>
      </c>
      <c r="B10906" s="4" t="s">
        <v>9011</v>
      </c>
      <c r="C10906" s="2" t="str">
        <f ca="1">IFERROR(__xludf.DUMMYFUNCTION("GOOGLETRANSLATE(A10906,""bn"",""en"")"),"The quality of education will decrease")</f>
        <v>The quality of education will decrease</v>
      </c>
      <c r="D10906" s="5"/>
      <c r="E10906" s="5"/>
      <c r="F10906" s="5"/>
      <c r="G10906" s="5"/>
      <c r="H10906" s="5"/>
      <c r="I10906" s="5"/>
      <c r="J10906" s="5"/>
      <c r="K10906" s="5"/>
      <c r="L10906" s="5"/>
      <c r="M10906" s="5"/>
      <c r="N10906" s="5"/>
      <c r="O10906" s="5"/>
      <c r="P10906" s="5"/>
      <c r="Q10906" s="5"/>
      <c r="R10906" s="5"/>
      <c r="S10906" s="5"/>
      <c r="T10906" s="5"/>
      <c r="U10906" s="5"/>
      <c r="V10906" s="5"/>
      <c r="W10906" s="5"/>
      <c r="X10906" s="5"/>
      <c r="Y10906" s="5"/>
      <c r="Z10906" s="5"/>
    </row>
    <row r="10907" spans="1:26" ht="15" x14ac:dyDescent="0.25">
      <c r="A10907" s="4" t="s">
        <v>10904</v>
      </c>
      <c r="B10907" s="4" t="s">
        <v>9011</v>
      </c>
      <c r="C10907" s="2" t="str">
        <f ca="1">IFERROR(__xludf.DUMMYFUNCTION("GOOGLETRANSLATE(A10907,""bn"",""en"")"),"The file will be saved")</f>
        <v>The file will be saved</v>
      </c>
      <c r="D10907" s="5"/>
      <c r="E10907" s="5"/>
      <c r="F10907" s="5"/>
      <c r="G10907" s="5"/>
      <c r="H10907" s="5"/>
      <c r="I10907" s="5"/>
      <c r="J10907" s="5"/>
      <c r="K10907" s="5"/>
      <c r="L10907" s="5"/>
      <c r="M10907" s="5"/>
      <c r="N10907" s="5"/>
      <c r="O10907" s="5"/>
      <c r="P10907" s="5"/>
      <c r="Q10907" s="5"/>
      <c r="R10907" s="5"/>
      <c r="S10907" s="5"/>
      <c r="T10907" s="5"/>
      <c r="U10907" s="5"/>
      <c r="V10907" s="5"/>
      <c r="W10907" s="5"/>
      <c r="X10907" s="5"/>
      <c r="Y10907" s="5"/>
      <c r="Z10907" s="5"/>
    </row>
    <row r="10908" spans="1:26" ht="15" x14ac:dyDescent="0.25">
      <c r="A10908" s="4" t="s">
        <v>10905</v>
      </c>
      <c r="B10908" s="4" t="s">
        <v>9011</v>
      </c>
      <c r="C10908" s="2" t="str">
        <f ca="1">IFERROR(__xludf.DUMMYFUNCTION("GOOGLETRANSLATE(A10908,""bn"",""en"")"),"Save the necessary files")</f>
        <v>Save the necessary files</v>
      </c>
      <c r="D10908" s="5"/>
      <c r="E10908" s="5"/>
      <c r="F10908" s="5"/>
      <c r="G10908" s="5"/>
      <c r="H10908" s="5"/>
      <c r="I10908" s="5"/>
      <c r="J10908" s="5"/>
      <c r="K10908" s="5"/>
      <c r="L10908" s="5"/>
      <c r="M10908" s="5"/>
      <c r="N10908" s="5"/>
      <c r="O10908" s="5"/>
      <c r="P10908" s="5"/>
      <c r="Q10908" s="5"/>
      <c r="R10908" s="5"/>
      <c r="S10908" s="5"/>
      <c r="T10908" s="5"/>
      <c r="U10908" s="5"/>
      <c r="V10908" s="5"/>
      <c r="W10908" s="5"/>
      <c r="X10908" s="5"/>
      <c r="Y10908" s="5"/>
      <c r="Z10908" s="5"/>
    </row>
    <row r="10909" spans="1:26" ht="15" x14ac:dyDescent="0.25">
      <c r="A10909" s="4" t="s">
        <v>10906</v>
      </c>
      <c r="B10909" s="4" t="s">
        <v>9011</v>
      </c>
      <c r="C10909" s="2" t="str">
        <f ca="1">IFERROR(__xludf.DUMMYFUNCTION("GOOGLETRANSLATE(A10909,""bn"",""en"")"),"I will get loan facility")</f>
        <v>I will get loan facility</v>
      </c>
      <c r="D10909" s="5"/>
      <c r="E10909" s="5"/>
      <c r="F10909" s="5"/>
      <c r="G10909" s="5"/>
      <c r="H10909" s="5"/>
      <c r="I10909" s="5"/>
      <c r="J10909" s="5"/>
      <c r="K10909" s="5"/>
      <c r="L10909" s="5"/>
      <c r="M10909" s="5"/>
      <c r="N10909" s="5"/>
      <c r="O10909" s="5"/>
      <c r="P10909" s="5"/>
      <c r="Q10909" s="5"/>
      <c r="R10909" s="5"/>
      <c r="S10909" s="5"/>
      <c r="T10909" s="5"/>
      <c r="U10909" s="5"/>
      <c r="V10909" s="5"/>
      <c r="W10909" s="5"/>
      <c r="X10909" s="5"/>
      <c r="Y10909" s="5"/>
      <c r="Z10909" s="5"/>
    </row>
    <row r="10910" spans="1:26" ht="15" x14ac:dyDescent="0.25">
      <c r="A10910" s="4" t="s">
        <v>10907</v>
      </c>
      <c r="B10910" s="4" t="s">
        <v>9011</v>
      </c>
      <c r="C10910" s="2" t="str">
        <f ca="1">IFERROR(__xludf.DUMMYFUNCTION("GOOGLETRANSLATE(A10910,""bn"",""en"")"),"I will keep money in the account")</f>
        <v>I will keep money in the account</v>
      </c>
      <c r="D10910" s="5"/>
      <c r="E10910" s="5"/>
      <c r="F10910" s="5"/>
      <c r="G10910" s="5"/>
      <c r="H10910" s="5"/>
      <c r="I10910" s="5"/>
      <c r="J10910" s="5"/>
      <c r="K10910" s="5"/>
      <c r="L10910" s="5"/>
      <c r="M10910" s="5"/>
      <c r="N10910" s="5"/>
      <c r="O10910" s="5"/>
      <c r="P10910" s="5"/>
      <c r="Q10910" s="5"/>
      <c r="R10910" s="5"/>
      <c r="S10910" s="5"/>
      <c r="T10910" s="5"/>
      <c r="U10910" s="5"/>
      <c r="V10910" s="5"/>
      <c r="W10910" s="5"/>
      <c r="X10910" s="5"/>
      <c r="Y10910" s="5"/>
      <c r="Z10910" s="5"/>
    </row>
    <row r="10911" spans="1:26" ht="15" x14ac:dyDescent="0.25">
      <c r="A10911" s="4" t="s">
        <v>10908</v>
      </c>
      <c r="B10911" s="4" t="s">
        <v>9011</v>
      </c>
      <c r="C10911" s="2" t="str">
        <f ca="1">IFERROR(__xludf.DUMMYFUNCTION("GOOGLETRANSLATE(A10911,""bn"",""en"")"),"Development will load")</f>
        <v>Development will load</v>
      </c>
      <c r="D10911" s="5"/>
      <c r="E10911" s="5"/>
      <c r="F10911" s="5"/>
      <c r="G10911" s="5"/>
      <c r="H10911" s="5"/>
      <c r="I10911" s="5"/>
      <c r="J10911" s="5"/>
      <c r="K10911" s="5"/>
      <c r="L10911" s="5"/>
      <c r="M10911" s="5"/>
      <c r="N10911" s="5"/>
      <c r="O10911" s="5"/>
      <c r="P10911" s="5"/>
      <c r="Q10911" s="5"/>
      <c r="R10911" s="5"/>
      <c r="S10911" s="5"/>
      <c r="T10911" s="5"/>
      <c r="U10911" s="5"/>
      <c r="V10911" s="5"/>
      <c r="W10911" s="5"/>
      <c r="X10911" s="5"/>
      <c r="Y10911" s="5"/>
      <c r="Z10911" s="5"/>
    </row>
    <row r="10912" spans="1:26" ht="15" x14ac:dyDescent="0.25">
      <c r="A10912" s="4" t="s">
        <v>10909</v>
      </c>
      <c r="B10912" s="4" t="s">
        <v>9011</v>
      </c>
      <c r="C10912" s="2" t="str">
        <f ca="1">IFERROR(__xludf.DUMMYFUNCTION("GOOGLETRANSLATE(A10912,""bn"",""en"")"),"I will give regular videos")</f>
        <v>I will give regular videos</v>
      </c>
      <c r="D10912" s="5"/>
      <c r="E10912" s="5"/>
      <c r="F10912" s="5"/>
      <c r="G10912" s="5"/>
      <c r="H10912" s="5"/>
      <c r="I10912" s="5"/>
      <c r="J10912" s="5"/>
      <c r="K10912" s="5"/>
      <c r="L10912" s="5"/>
      <c r="M10912" s="5"/>
      <c r="N10912" s="5"/>
      <c r="O10912" s="5"/>
      <c r="P10912" s="5"/>
      <c r="Q10912" s="5"/>
      <c r="R10912" s="5"/>
      <c r="S10912" s="5"/>
      <c r="T10912" s="5"/>
      <c r="U10912" s="5"/>
      <c r="V10912" s="5"/>
      <c r="W10912" s="5"/>
      <c r="X10912" s="5"/>
      <c r="Y10912" s="5"/>
      <c r="Z10912" s="5"/>
    </row>
    <row r="10913" spans="1:26" ht="15" x14ac:dyDescent="0.25">
      <c r="A10913" s="4" t="s">
        <v>10910</v>
      </c>
      <c r="B10913" s="4" t="s">
        <v>9011</v>
      </c>
      <c r="C10913" s="2" t="str">
        <f ca="1">IFERROR(__xludf.DUMMYFUNCTION("GOOGLETRANSLATE(A10913,""bn"",""en"")"),"I will use apps")</f>
        <v>I will use apps</v>
      </c>
      <c r="D10913" s="5"/>
      <c r="E10913" s="5"/>
      <c r="F10913" s="5"/>
      <c r="G10913" s="5"/>
      <c r="H10913" s="5"/>
      <c r="I10913" s="5"/>
      <c r="J10913" s="5"/>
      <c r="K10913" s="5"/>
      <c r="L10913" s="5"/>
      <c r="M10913" s="5"/>
      <c r="N10913" s="5"/>
      <c r="O10913" s="5"/>
      <c r="P10913" s="5"/>
      <c r="Q10913" s="5"/>
      <c r="R10913" s="5"/>
      <c r="S10913" s="5"/>
      <c r="T10913" s="5"/>
      <c r="U10913" s="5"/>
      <c r="V10913" s="5"/>
      <c r="W10913" s="5"/>
      <c r="X10913" s="5"/>
      <c r="Y10913" s="5"/>
      <c r="Z10913" s="5"/>
    </row>
    <row r="10914" spans="1:26" ht="15" x14ac:dyDescent="0.25">
      <c r="A10914" s="4" t="s">
        <v>10911</v>
      </c>
      <c r="B10914" s="4" t="s">
        <v>9011</v>
      </c>
      <c r="C10914" s="2" t="str">
        <f ca="1">IFERROR(__xludf.DUMMYFUNCTION("GOOGLETRANSLATE(A10914,""bn"",""en"")"),"The movie will be re-released")</f>
        <v>The movie will be re-released</v>
      </c>
      <c r="D10914" s="5"/>
      <c r="E10914" s="5"/>
      <c r="F10914" s="5"/>
      <c r="G10914" s="5"/>
      <c r="H10914" s="5"/>
      <c r="I10914" s="5"/>
      <c r="J10914" s="5"/>
      <c r="K10914" s="5"/>
      <c r="L10914" s="5"/>
      <c r="M10914" s="5"/>
      <c r="N10914" s="5"/>
      <c r="O10914" s="5"/>
      <c r="P10914" s="5"/>
      <c r="Q10914" s="5"/>
      <c r="R10914" s="5"/>
      <c r="S10914" s="5"/>
      <c r="T10914" s="5"/>
      <c r="U10914" s="5"/>
      <c r="V10914" s="5"/>
      <c r="W10914" s="5"/>
      <c r="X10914" s="5"/>
      <c r="Y10914" s="5"/>
      <c r="Z10914" s="5"/>
    </row>
    <row r="10915" spans="1:26" ht="15" x14ac:dyDescent="0.25">
      <c r="A10915" s="4" t="s">
        <v>10912</v>
      </c>
      <c r="B10915" s="4" t="s">
        <v>9011</v>
      </c>
      <c r="C10915" s="2" t="str">
        <f ca="1">IFERROR(__xludf.DUMMYFUNCTION("GOOGLETRANSLATE(A10915,""bn"",""en"")"),"Will like it")</f>
        <v>Will like it</v>
      </c>
      <c r="D10915" s="5"/>
      <c r="E10915" s="5"/>
      <c r="F10915" s="5"/>
      <c r="G10915" s="5"/>
      <c r="H10915" s="5"/>
      <c r="I10915" s="5"/>
      <c r="J10915" s="5"/>
      <c r="K10915" s="5"/>
      <c r="L10915" s="5"/>
      <c r="M10915" s="5"/>
      <c r="N10915" s="5"/>
      <c r="O10915" s="5"/>
      <c r="P10915" s="5"/>
      <c r="Q10915" s="5"/>
      <c r="R10915" s="5"/>
      <c r="S10915" s="5"/>
      <c r="T10915" s="5"/>
      <c r="U10915" s="5"/>
      <c r="V10915" s="5"/>
      <c r="W10915" s="5"/>
      <c r="X10915" s="5"/>
      <c r="Y10915" s="5"/>
      <c r="Z10915" s="5"/>
    </row>
    <row r="10916" spans="1:26" ht="15" x14ac:dyDescent="0.25">
      <c r="A10916" s="4" t="s">
        <v>10913</v>
      </c>
      <c r="B10916" s="4" t="s">
        <v>9011</v>
      </c>
      <c r="C10916" s="2" t="str">
        <f ca="1">IFERROR(__xludf.DUMMYFUNCTION("GOOGLETRANSLATE(A10916,""bn"",""en"")"),"I will give money receipt")</f>
        <v>I will give money receipt</v>
      </c>
      <c r="D10916" s="5"/>
      <c r="E10916" s="5"/>
      <c r="F10916" s="5"/>
      <c r="G10916" s="5"/>
      <c r="H10916" s="5"/>
      <c r="I10916" s="5"/>
      <c r="J10916" s="5"/>
      <c r="K10916" s="5"/>
      <c r="L10916" s="5"/>
      <c r="M10916" s="5"/>
      <c r="N10916" s="5"/>
      <c r="O10916" s="5"/>
      <c r="P10916" s="5"/>
      <c r="Q10916" s="5"/>
      <c r="R10916" s="5"/>
      <c r="S10916" s="5"/>
      <c r="T10916" s="5"/>
      <c r="U10916" s="5"/>
      <c r="V10916" s="5"/>
      <c r="W10916" s="5"/>
      <c r="X10916" s="5"/>
      <c r="Y10916" s="5"/>
      <c r="Z10916" s="5"/>
    </row>
    <row r="10917" spans="1:26" ht="15" x14ac:dyDescent="0.25">
      <c r="A10917" s="4" t="s">
        <v>10914</v>
      </c>
      <c r="B10917" s="4" t="s">
        <v>9011</v>
      </c>
      <c r="C10917" s="2" t="str">
        <f ca="1">IFERROR(__xludf.DUMMYFUNCTION("GOOGLETRANSLATE(A10917,""bn"",""en"")"),"Will communicate on the Internet")</f>
        <v>Will communicate on the Internet</v>
      </c>
      <c r="D10917" s="5"/>
      <c r="E10917" s="5"/>
      <c r="F10917" s="5"/>
      <c r="G10917" s="5"/>
      <c r="H10917" s="5"/>
      <c r="I10917" s="5"/>
      <c r="J10917" s="5"/>
      <c r="K10917" s="5"/>
      <c r="L10917" s="5"/>
      <c r="M10917" s="5"/>
      <c r="N10917" s="5"/>
      <c r="O10917" s="5"/>
      <c r="P10917" s="5"/>
      <c r="Q10917" s="5"/>
      <c r="R10917" s="5"/>
      <c r="S10917" s="5"/>
      <c r="T10917" s="5"/>
      <c r="U10917" s="5"/>
      <c r="V10917" s="5"/>
      <c r="W10917" s="5"/>
      <c r="X10917" s="5"/>
      <c r="Y10917" s="5"/>
      <c r="Z10917" s="5"/>
    </row>
    <row r="10918" spans="1:26" ht="15" x14ac:dyDescent="0.25">
      <c r="A10918" s="4" t="s">
        <v>10915</v>
      </c>
      <c r="B10918" s="4" t="s">
        <v>9011</v>
      </c>
      <c r="C10918" s="2" t="str">
        <f ca="1">IFERROR(__xludf.DUMMYFUNCTION("GOOGLETRANSLATE(A10918,""bn"",""en"")"),"There will be a business conference")</f>
        <v>There will be a business conference</v>
      </c>
      <c r="D10918" s="5"/>
      <c r="E10918" s="5"/>
      <c r="F10918" s="5"/>
      <c r="G10918" s="5"/>
      <c r="H10918" s="5"/>
      <c r="I10918" s="5"/>
      <c r="J10918" s="5"/>
      <c r="K10918" s="5"/>
      <c r="L10918" s="5"/>
      <c r="M10918" s="5"/>
      <c r="N10918" s="5"/>
      <c r="O10918" s="5"/>
      <c r="P10918" s="5"/>
      <c r="Q10918" s="5"/>
      <c r="R10918" s="5"/>
      <c r="S10918" s="5"/>
      <c r="T10918" s="5"/>
      <c r="U10918" s="5"/>
      <c r="V10918" s="5"/>
      <c r="W10918" s="5"/>
      <c r="X10918" s="5"/>
      <c r="Y10918" s="5"/>
      <c r="Z10918" s="5"/>
    </row>
    <row r="10919" spans="1:26" ht="15" x14ac:dyDescent="0.25">
      <c r="A10919" s="4" t="s">
        <v>10916</v>
      </c>
      <c r="B10919" s="4" t="s">
        <v>9011</v>
      </c>
      <c r="C10919" s="2" t="str">
        <f ca="1">IFERROR(__xludf.DUMMYFUNCTION("GOOGLETRANSLATE(A10919,""bn"",""en"")"),"I will deliver the card")</f>
        <v>I will deliver the card</v>
      </c>
      <c r="D10919" s="5"/>
      <c r="E10919" s="5"/>
      <c r="F10919" s="5"/>
      <c r="G10919" s="5"/>
      <c r="H10919" s="5"/>
      <c r="I10919" s="5"/>
      <c r="J10919" s="5"/>
      <c r="K10919" s="5"/>
      <c r="L10919" s="5"/>
      <c r="M10919" s="5"/>
      <c r="N10919" s="5"/>
      <c r="O10919" s="5"/>
      <c r="P10919" s="5"/>
      <c r="Q10919" s="5"/>
      <c r="R10919" s="5"/>
      <c r="S10919" s="5"/>
      <c r="T10919" s="5"/>
      <c r="U10919" s="5"/>
      <c r="V10919" s="5"/>
      <c r="W10919" s="5"/>
      <c r="X10919" s="5"/>
      <c r="Y10919" s="5"/>
      <c r="Z10919" s="5"/>
    </row>
    <row r="10920" spans="1:26" ht="15" x14ac:dyDescent="0.25">
      <c r="A10920" s="4" t="s">
        <v>10917</v>
      </c>
      <c r="B10920" s="4" t="s">
        <v>9011</v>
      </c>
      <c r="C10920" s="2" t="str">
        <f ca="1">IFERROR(__xludf.DUMMYFUNCTION("GOOGLETRANSLATE(A10920,""bn"",""en"")"),"The tide will keep coming")</f>
        <v>The tide will keep coming</v>
      </c>
      <c r="D10920" s="5"/>
      <c r="E10920" s="5"/>
      <c r="F10920" s="5"/>
      <c r="G10920" s="5"/>
      <c r="H10920" s="5"/>
      <c r="I10920" s="5"/>
      <c r="J10920" s="5"/>
      <c r="K10920" s="5"/>
      <c r="L10920" s="5"/>
      <c r="M10920" s="5"/>
      <c r="N10920" s="5"/>
      <c r="O10920" s="5"/>
      <c r="P10920" s="5"/>
      <c r="Q10920" s="5"/>
      <c r="R10920" s="5"/>
      <c r="S10920" s="5"/>
      <c r="T10920" s="5"/>
      <c r="U10920" s="5"/>
      <c r="V10920" s="5"/>
      <c r="W10920" s="5"/>
      <c r="X10920" s="5"/>
      <c r="Y10920" s="5"/>
      <c r="Z10920" s="5"/>
    </row>
    <row r="10921" spans="1:26" ht="15" x14ac:dyDescent="0.25">
      <c r="A10921" s="4" t="s">
        <v>10918</v>
      </c>
      <c r="B10921" s="4" t="s">
        <v>9011</v>
      </c>
      <c r="C10921" s="2" t="str">
        <f ca="1">IFERROR(__xludf.DUMMYFUNCTION("GOOGLETRANSLATE(A10921,""bn"",""en"")"),"Runners will race")</f>
        <v>Runners will race</v>
      </c>
      <c r="D10921" s="5"/>
      <c r="E10921" s="5"/>
      <c r="F10921" s="5"/>
      <c r="G10921" s="5"/>
      <c r="H10921" s="5"/>
      <c r="I10921" s="5"/>
      <c r="J10921" s="5"/>
      <c r="K10921" s="5"/>
      <c r="L10921" s="5"/>
      <c r="M10921" s="5"/>
      <c r="N10921" s="5"/>
      <c r="O10921" s="5"/>
      <c r="P10921" s="5"/>
      <c r="Q10921" s="5"/>
      <c r="R10921" s="5"/>
      <c r="S10921" s="5"/>
      <c r="T10921" s="5"/>
      <c r="U10921" s="5"/>
      <c r="V10921" s="5"/>
      <c r="W10921" s="5"/>
      <c r="X10921" s="5"/>
      <c r="Y10921" s="5"/>
      <c r="Z10921" s="5"/>
    </row>
    <row r="10922" spans="1:26" ht="15" x14ac:dyDescent="0.25">
      <c r="A10922" s="4" t="s">
        <v>10919</v>
      </c>
      <c r="B10922" s="4" t="s">
        <v>9011</v>
      </c>
      <c r="C10922" s="2" t="str">
        <f ca="1">IFERROR(__xludf.DUMMYFUNCTION("GOOGLETRANSLATE(A10922,""bn"",""en"")"),"Will design the site")</f>
        <v>Will design the site</v>
      </c>
      <c r="D10922" s="5"/>
      <c r="E10922" s="5"/>
      <c r="F10922" s="5"/>
      <c r="G10922" s="5"/>
      <c r="H10922" s="5"/>
      <c r="I10922" s="5"/>
      <c r="J10922" s="5"/>
      <c r="K10922" s="5"/>
      <c r="L10922" s="5"/>
      <c r="M10922" s="5"/>
      <c r="N10922" s="5"/>
      <c r="O10922" s="5"/>
      <c r="P10922" s="5"/>
      <c r="Q10922" s="5"/>
      <c r="R10922" s="5"/>
      <c r="S10922" s="5"/>
      <c r="T10922" s="5"/>
      <c r="U10922" s="5"/>
      <c r="V10922" s="5"/>
      <c r="W10922" s="5"/>
      <c r="X10922" s="5"/>
      <c r="Y10922" s="5"/>
      <c r="Z10922" s="5"/>
    </row>
    <row r="10923" spans="1:26" ht="15" x14ac:dyDescent="0.25">
      <c r="A10923" s="4" t="s">
        <v>10920</v>
      </c>
      <c r="B10923" s="4" t="s">
        <v>9011</v>
      </c>
      <c r="C10923" s="2" t="str">
        <f ca="1">IFERROR(__xludf.DUMMYFUNCTION("GOOGLETRANSLATE(A10923,""bn"",""en"")"),"Sailors will steer the ship")</f>
        <v>Sailors will steer the ship</v>
      </c>
      <c r="D10923" s="5"/>
      <c r="E10923" s="5"/>
      <c r="F10923" s="5"/>
      <c r="G10923" s="5"/>
      <c r="H10923" s="5"/>
      <c r="I10923" s="5"/>
      <c r="J10923" s="5"/>
      <c r="K10923" s="5"/>
      <c r="L10923" s="5"/>
      <c r="M10923" s="5"/>
      <c r="N10923" s="5"/>
      <c r="O10923" s="5"/>
      <c r="P10923" s="5"/>
      <c r="Q10923" s="5"/>
      <c r="R10923" s="5"/>
      <c r="S10923" s="5"/>
      <c r="T10923" s="5"/>
      <c r="U10923" s="5"/>
      <c r="V10923" s="5"/>
      <c r="W10923" s="5"/>
      <c r="X10923" s="5"/>
      <c r="Y10923" s="5"/>
      <c r="Z10923" s="5"/>
    </row>
    <row r="10924" spans="1:26" ht="15" x14ac:dyDescent="0.25">
      <c r="A10924" s="4" t="s">
        <v>10921</v>
      </c>
      <c r="B10924" s="4" t="s">
        <v>9011</v>
      </c>
      <c r="C10924" s="2" t="str">
        <f ca="1">IFERROR(__xludf.DUMMYFUNCTION("GOOGLETRANSLATE(A10924,""bn"",""en"")"),"I will use laptop")</f>
        <v>I will use laptop</v>
      </c>
      <c r="D10924" s="5"/>
      <c r="E10924" s="5"/>
      <c r="F10924" s="5"/>
      <c r="G10924" s="5"/>
      <c r="H10924" s="5"/>
      <c r="I10924" s="5"/>
      <c r="J10924" s="5"/>
      <c r="K10924" s="5"/>
      <c r="L10924" s="5"/>
      <c r="M10924" s="5"/>
      <c r="N10924" s="5"/>
      <c r="O10924" s="5"/>
      <c r="P10924" s="5"/>
      <c r="Q10924" s="5"/>
      <c r="R10924" s="5"/>
      <c r="S10924" s="5"/>
      <c r="T10924" s="5"/>
      <c r="U10924" s="5"/>
      <c r="V10924" s="5"/>
      <c r="W10924" s="5"/>
      <c r="X10924" s="5"/>
      <c r="Y10924" s="5"/>
      <c r="Z10924" s="5"/>
    </row>
    <row r="10925" spans="1:26" ht="15" x14ac:dyDescent="0.25">
      <c r="A10925" s="4" t="s">
        <v>10922</v>
      </c>
      <c r="B10925" s="4" t="s">
        <v>9011</v>
      </c>
      <c r="C10925" s="2" t="str">
        <f ca="1">IFERROR(__xludf.DUMMYFUNCTION("GOOGLETRANSLATE(A10925,""bn"",""en"")"),"will be recognized internationally")</f>
        <v>will be recognized internationally</v>
      </c>
      <c r="D10925" s="5"/>
      <c r="E10925" s="5"/>
      <c r="F10925" s="5"/>
      <c r="G10925" s="5"/>
      <c r="H10925" s="5"/>
      <c r="I10925" s="5"/>
      <c r="J10925" s="5"/>
      <c r="K10925" s="5"/>
      <c r="L10925" s="5"/>
      <c r="M10925" s="5"/>
      <c r="N10925" s="5"/>
      <c r="O10925" s="5"/>
      <c r="P10925" s="5"/>
      <c r="Q10925" s="5"/>
      <c r="R10925" s="5"/>
      <c r="S10925" s="5"/>
      <c r="T10925" s="5"/>
      <c r="U10925" s="5"/>
      <c r="V10925" s="5"/>
      <c r="W10925" s="5"/>
      <c r="X10925" s="5"/>
      <c r="Y10925" s="5"/>
      <c r="Z10925" s="5"/>
    </row>
    <row r="10926" spans="1:26" ht="15" x14ac:dyDescent="0.25">
      <c r="A10926" s="4" t="s">
        <v>10923</v>
      </c>
      <c r="B10926" s="4" t="s">
        <v>9011</v>
      </c>
      <c r="C10926" s="2" t="str">
        <f ca="1">IFERROR(__xludf.DUMMYFUNCTION("GOOGLETRANSLATE(A10926,""bn"",""en"")"),"Remove data")</f>
        <v>Remove data</v>
      </c>
      <c r="D10926" s="5"/>
      <c r="E10926" s="5"/>
      <c r="F10926" s="5"/>
      <c r="G10926" s="5"/>
      <c r="H10926" s="5"/>
      <c r="I10926" s="5"/>
      <c r="J10926" s="5"/>
      <c r="K10926" s="5"/>
      <c r="L10926" s="5"/>
      <c r="M10926" s="5"/>
      <c r="N10926" s="5"/>
      <c r="O10926" s="5"/>
      <c r="P10926" s="5"/>
      <c r="Q10926" s="5"/>
      <c r="R10926" s="5"/>
      <c r="S10926" s="5"/>
      <c r="T10926" s="5"/>
      <c r="U10926" s="5"/>
      <c r="V10926" s="5"/>
      <c r="W10926" s="5"/>
      <c r="X10926" s="5"/>
      <c r="Y10926" s="5"/>
      <c r="Z10926" s="5"/>
    </row>
    <row r="10927" spans="1:26" ht="15" x14ac:dyDescent="0.25">
      <c r="A10927" s="4" t="s">
        <v>10924</v>
      </c>
      <c r="B10927" s="4" t="s">
        <v>9011</v>
      </c>
      <c r="C10927" s="2" t="str">
        <f ca="1">IFERROR(__xludf.DUMMYFUNCTION("GOOGLETRANSLATE(A10927,""bn"",""en"")"),"The hope of citizens will increase")</f>
        <v>The hope of citizens will increase</v>
      </c>
      <c r="D10927" s="5"/>
      <c r="E10927" s="5"/>
      <c r="F10927" s="5"/>
      <c r="G10927" s="5"/>
      <c r="H10927" s="5"/>
      <c r="I10927" s="5"/>
      <c r="J10927" s="5"/>
      <c r="K10927" s="5"/>
      <c r="L10927" s="5"/>
      <c r="M10927" s="5"/>
      <c r="N10927" s="5"/>
      <c r="O10927" s="5"/>
      <c r="P10927" s="5"/>
      <c r="Q10927" s="5"/>
      <c r="R10927" s="5"/>
      <c r="S10927" s="5"/>
      <c r="T10927" s="5"/>
      <c r="U10927" s="5"/>
      <c r="V10927" s="5"/>
      <c r="W10927" s="5"/>
      <c r="X10927" s="5"/>
      <c r="Y10927" s="5"/>
      <c r="Z10927" s="5"/>
    </row>
    <row r="10928" spans="1:26" ht="15" x14ac:dyDescent="0.25">
      <c r="A10928" s="4" t="s">
        <v>10925</v>
      </c>
      <c r="B10928" s="4" t="s">
        <v>9011</v>
      </c>
      <c r="C10928" s="2" t="str">
        <f ca="1">IFERROR(__xludf.DUMMYFUNCTION("GOOGLETRANSLATE(A10928,""bn"",""en"")"),"I will light up life")</f>
        <v>I will light up life</v>
      </c>
      <c r="D10928" s="5"/>
      <c r="E10928" s="5"/>
      <c r="F10928" s="5"/>
      <c r="G10928" s="5"/>
      <c r="H10928" s="5"/>
      <c r="I10928" s="5"/>
      <c r="J10928" s="5"/>
      <c r="K10928" s="5"/>
      <c r="L10928" s="5"/>
      <c r="M10928" s="5"/>
      <c r="N10928" s="5"/>
      <c r="O10928" s="5"/>
      <c r="P10928" s="5"/>
      <c r="Q10928" s="5"/>
      <c r="R10928" s="5"/>
      <c r="S10928" s="5"/>
      <c r="T10928" s="5"/>
      <c r="U10928" s="5"/>
      <c r="V10928" s="5"/>
      <c r="W10928" s="5"/>
      <c r="X10928" s="5"/>
      <c r="Y10928" s="5"/>
      <c r="Z10928" s="5"/>
    </row>
    <row r="10929" spans="1:26" ht="15" x14ac:dyDescent="0.25">
      <c r="A10929" s="4" t="s">
        <v>10926</v>
      </c>
      <c r="B10929" s="4" t="s">
        <v>9011</v>
      </c>
      <c r="C10929" s="2" t="str">
        <f ca="1">IFERROR(__xludf.DUMMYFUNCTION("GOOGLETRANSLATE(A10929,""bn"",""en"")"),"Create test cases")</f>
        <v>Create test cases</v>
      </c>
      <c r="D10929" s="5"/>
      <c r="E10929" s="5"/>
      <c r="F10929" s="5"/>
      <c r="G10929" s="5"/>
      <c r="H10929" s="5"/>
      <c r="I10929" s="5"/>
      <c r="J10929" s="5"/>
      <c r="K10929" s="5"/>
      <c r="L10929" s="5"/>
      <c r="M10929" s="5"/>
      <c r="N10929" s="5"/>
      <c r="O10929" s="5"/>
      <c r="P10929" s="5"/>
      <c r="Q10929" s="5"/>
      <c r="R10929" s="5"/>
      <c r="S10929" s="5"/>
      <c r="T10929" s="5"/>
      <c r="U10929" s="5"/>
      <c r="V10929" s="5"/>
      <c r="W10929" s="5"/>
      <c r="X10929" s="5"/>
      <c r="Y10929" s="5"/>
      <c r="Z10929" s="5"/>
    </row>
    <row r="10930" spans="1:26" ht="15" x14ac:dyDescent="0.25">
      <c r="A10930" s="4" t="s">
        <v>10927</v>
      </c>
      <c r="B10930" s="4" t="s">
        <v>9011</v>
      </c>
      <c r="C10930" s="2" t="str">
        <f ca="1">IFERROR(__xludf.DUMMYFUNCTION("GOOGLETRANSLATE(A10930,""bn"",""en"")"),"I will live")</f>
        <v>I will live</v>
      </c>
      <c r="D10930" s="5"/>
      <c r="E10930" s="5"/>
      <c r="F10930" s="5"/>
      <c r="G10930" s="5"/>
      <c r="H10930" s="5"/>
      <c r="I10930" s="5"/>
      <c r="J10930" s="5"/>
      <c r="K10930" s="5"/>
      <c r="L10930" s="5"/>
      <c r="M10930" s="5"/>
      <c r="N10930" s="5"/>
      <c r="O10930" s="5"/>
      <c r="P10930" s="5"/>
      <c r="Q10930" s="5"/>
      <c r="R10930" s="5"/>
      <c r="S10930" s="5"/>
      <c r="T10930" s="5"/>
      <c r="U10930" s="5"/>
      <c r="V10930" s="5"/>
      <c r="W10930" s="5"/>
      <c r="X10930" s="5"/>
      <c r="Y10930" s="5"/>
      <c r="Z10930" s="5"/>
    </row>
    <row r="10931" spans="1:26" ht="15" x14ac:dyDescent="0.25">
      <c r="A10931" s="4" t="s">
        <v>10928</v>
      </c>
      <c r="B10931" s="4" t="s">
        <v>9011</v>
      </c>
      <c r="C10931" s="2" t="str">
        <f ca="1">IFERROR(__xludf.DUMMYFUNCTION("GOOGLETRANSLATE(A10931,""bn"",""en"")"),"Parties will receive vows")</f>
        <v>Parties will receive vows</v>
      </c>
      <c r="D10931" s="5"/>
      <c r="E10931" s="5"/>
      <c r="F10931" s="5"/>
      <c r="G10931" s="5"/>
      <c r="H10931" s="5"/>
      <c r="I10931" s="5"/>
      <c r="J10931" s="5"/>
      <c r="K10931" s="5"/>
      <c r="L10931" s="5"/>
      <c r="M10931" s="5"/>
      <c r="N10931" s="5"/>
      <c r="O10931" s="5"/>
      <c r="P10931" s="5"/>
      <c r="Q10931" s="5"/>
      <c r="R10931" s="5"/>
      <c r="S10931" s="5"/>
      <c r="T10931" s="5"/>
      <c r="U10931" s="5"/>
      <c r="V10931" s="5"/>
      <c r="W10931" s="5"/>
      <c r="X10931" s="5"/>
      <c r="Y10931" s="5"/>
      <c r="Z10931" s="5"/>
    </row>
    <row r="10932" spans="1:26" ht="15" x14ac:dyDescent="0.25">
      <c r="A10932" s="4" t="s">
        <v>10929</v>
      </c>
      <c r="B10932" s="4" t="s">
        <v>9011</v>
      </c>
      <c r="C10932" s="2" t="str">
        <f ca="1">IFERROR(__xludf.DUMMYFUNCTION("GOOGLETRANSLATE(A10932,""bn"",""en"")"),"Website hosting will do")</f>
        <v>Website hosting will do</v>
      </c>
      <c r="D10932" s="5"/>
      <c r="E10932" s="5"/>
      <c r="F10932" s="5"/>
      <c r="G10932" s="5"/>
      <c r="H10932" s="5"/>
      <c r="I10932" s="5"/>
      <c r="J10932" s="5"/>
      <c r="K10932" s="5"/>
      <c r="L10932" s="5"/>
      <c r="M10932" s="5"/>
      <c r="N10932" s="5"/>
      <c r="O10932" s="5"/>
      <c r="P10932" s="5"/>
      <c r="Q10932" s="5"/>
      <c r="R10932" s="5"/>
      <c r="S10932" s="5"/>
      <c r="T10932" s="5"/>
      <c r="U10932" s="5"/>
      <c r="V10932" s="5"/>
      <c r="W10932" s="5"/>
      <c r="X10932" s="5"/>
      <c r="Y10932" s="5"/>
      <c r="Z10932" s="5"/>
    </row>
    <row r="10933" spans="1:26" ht="15" x14ac:dyDescent="0.25">
      <c r="A10933" s="4" t="s">
        <v>10930</v>
      </c>
      <c r="B10933" s="4" t="s">
        <v>9011</v>
      </c>
      <c r="C10933" s="2" t="str">
        <f ca="1">IFERROR(__xludf.DUMMYFUNCTION("GOOGLETRANSLATE(A10933,""bn"",""en"")"),"Eat fresh fruit")</f>
        <v>Eat fresh fruit</v>
      </c>
      <c r="D10933" s="5"/>
      <c r="E10933" s="5"/>
      <c r="F10933" s="5"/>
      <c r="G10933" s="5"/>
      <c r="H10933" s="5"/>
      <c r="I10933" s="5"/>
      <c r="J10933" s="5"/>
      <c r="K10933" s="5"/>
      <c r="L10933" s="5"/>
      <c r="M10933" s="5"/>
      <c r="N10933" s="5"/>
      <c r="O10933" s="5"/>
      <c r="P10933" s="5"/>
      <c r="Q10933" s="5"/>
      <c r="R10933" s="5"/>
      <c r="S10933" s="5"/>
      <c r="T10933" s="5"/>
      <c r="U10933" s="5"/>
      <c r="V10933" s="5"/>
      <c r="W10933" s="5"/>
      <c r="X10933" s="5"/>
      <c r="Y10933" s="5"/>
      <c r="Z10933" s="5"/>
    </row>
    <row r="10934" spans="1:26" ht="15" x14ac:dyDescent="0.25">
      <c r="A10934" s="4" t="s">
        <v>10931</v>
      </c>
      <c r="B10934" s="4" t="s">
        <v>9011</v>
      </c>
      <c r="C10934" s="2" t="str">
        <f ca="1">IFERROR(__xludf.DUMMYFUNCTION("GOOGLETRANSLATE(A10934,""bn"",""en"")"),"The pattern will change")</f>
        <v>The pattern will change</v>
      </c>
      <c r="D10934" s="5"/>
      <c r="E10934" s="5"/>
      <c r="F10934" s="5"/>
      <c r="G10934" s="5"/>
      <c r="H10934" s="5"/>
      <c r="I10934" s="5"/>
      <c r="J10934" s="5"/>
      <c r="K10934" s="5"/>
      <c r="L10934" s="5"/>
      <c r="M10934" s="5"/>
      <c r="N10934" s="5"/>
      <c r="O10934" s="5"/>
      <c r="P10934" s="5"/>
      <c r="Q10934" s="5"/>
      <c r="R10934" s="5"/>
      <c r="S10934" s="5"/>
      <c r="T10934" s="5"/>
      <c r="U10934" s="5"/>
      <c r="V10934" s="5"/>
      <c r="W10934" s="5"/>
      <c r="X10934" s="5"/>
      <c r="Y10934" s="5"/>
      <c r="Z10934" s="5"/>
    </row>
    <row r="10935" spans="1:26" ht="15" x14ac:dyDescent="0.25">
      <c r="A10935" s="4" t="s">
        <v>10932</v>
      </c>
      <c r="B10935" s="4" t="s">
        <v>9011</v>
      </c>
      <c r="C10935" s="2" t="str">
        <f ca="1">IFERROR(__xludf.DUMMYFUNCTION("GOOGLETRANSLATE(A10935,""bn"",""en"")"),"People will organize")</f>
        <v>People will organize</v>
      </c>
      <c r="D10935" s="5"/>
      <c r="E10935" s="5"/>
      <c r="F10935" s="5"/>
      <c r="G10935" s="5"/>
      <c r="H10935" s="5"/>
      <c r="I10935" s="5"/>
      <c r="J10935" s="5"/>
      <c r="K10935" s="5"/>
      <c r="L10935" s="5"/>
      <c r="M10935" s="5"/>
      <c r="N10935" s="5"/>
      <c r="O10935" s="5"/>
      <c r="P10935" s="5"/>
      <c r="Q10935" s="5"/>
      <c r="R10935" s="5"/>
      <c r="S10935" s="5"/>
      <c r="T10935" s="5"/>
      <c r="U10935" s="5"/>
      <c r="V10935" s="5"/>
      <c r="W10935" s="5"/>
      <c r="X10935" s="5"/>
      <c r="Y10935" s="5"/>
      <c r="Z10935" s="5"/>
    </row>
    <row r="10936" spans="1:26" ht="15" x14ac:dyDescent="0.25">
      <c r="A10936" s="4" t="s">
        <v>10933</v>
      </c>
      <c r="B10936" s="4" t="s">
        <v>9011</v>
      </c>
      <c r="C10936" s="2" t="str">
        <f ca="1">IFERROR(__xludf.DUMMYFUNCTION("GOOGLETRANSLATE(A10936,""bn"",""en"")"),"He will read the book")</f>
        <v>He will read the book</v>
      </c>
      <c r="D10936" s="5"/>
      <c r="E10936" s="5"/>
      <c r="F10936" s="5"/>
      <c r="G10936" s="5"/>
      <c r="H10936" s="5"/>
      <c r="I10936" s="5"/>
      <c r="J10936" s="5"/>
      <c r="K10936" s="5"/>
      <c r="L10936" s="5"/>
      <c r="M10936" s="5"/>
      <c r="N10936" s="5"/>
      <c r="O10936" s="5"/>
      <c r="P10936" s="5"/>
      <c r="Q10936" s="5"/>
      <c r="R10936" s="5"/>
      <c r="S10936" s="5"/>
      <c r="T10936" s="5"/>
      <c r="U10936" s="5"/>
      <c r="V10936" s="5"/>
      <c r="W10936" s="5"/>
      <c r="X10936" s="5"/>
      <c r="Y10936" s="5"/>
      <c r="Z10936" s="5"/>
    </row>
    <row r="10937" spans="1:26" ht="15" x14ac:dyDescent="0.25">
      <c r="A10937" s="4" t="s">
        <v>10934</v>
      </c>
      <c r="B10937" s="4" t="s">
        <v>9011</v>
      </c>
      <c r="C10937" s="2" t="str">
        <f ca="1">IFERROR(__xludf.DUMMYFUNCTION("GOOGLETRANSLATE(A10937,""bn"",""en"")"),"He will be a foodie")</f>
        <v>He will be a foodie</v>
      </c>
      <c r="D10937" s="5"/>
      <c r="E10937" s="5"/>
      <c r="F10937" s="5"/>
      <c r="G10937" s="5"/>
      <c r="H10937" s="5"/>
      <c r="I10937" s="5"/>
      <c r="J10937" s="5"/>
      <c r="K10937" s="5"/>
      <c r="L10937" s="5"/>
      <c r="M10937" s="5"/>
      <c r="N10937" s="5"/>
      <c r="O10937" s="5"/>
      <c r="P10937" s="5"/>
      <c r="Q10937" s="5"/>
      <c r="R10937" s="5"/>
      <c r="S10937" s="5"/>
      <c r="T10937" s="5"/>
      <c r="U10937" s="5"/>
      <c r="V10937" s="5"/>
      <c r="W10937" s="5"/>
      <c r="X10937" s="5"/>
      <c r="Y10937" s="5"/>
      <c r="Z10937" s="5"/>
    </row>
    <row r="10938" spans="1:26" ht="15" x14ac:dyDescent="0.25">
      <c r="A10938" s="4" t="s">
        <v>10935</v>
      </c>
      <c r="B10938" s="4" t="s">
        <v>9011</v>
      </c>
      <c r="C10938" s="2" t="str">
        <f ca="1">IFERROR(__xludf.DUMMYFUNCTION("GOOGLETRANSLATE(A10938,""bn"",""en"")"),"I will read in digital reading")</f>
        <v>I will read in digital reading</v>
      </c>
      <c r="D10938" s="5"/>
      <c r="E10938" s="5"/>
      <c r="F10938" s="5"/>
      <c r="G10938" s="5"/>
      <c r="H10938" s="5"/>
      <c r="I10938" s="5"/>
      <c r="J10938" s="5"/>
      <c r="K10938" s="5"/>
      <c r="L10938" s="5"/>
      <c r="M10938" s="5"/>
      <c r="N10938" s="5"/>
      <c r="O10938" s="5"/>
      <c r="P10938" s="5"/>
      <c r="Q10938" s="5"/>
      <c r="R10938" s="5"/>
      <c r="S10938" s="5"/>
      <c r="T10938" s="5"/>
      <c r="U10938" s="5"/>
      <c r="V10938" s="5"/>
      <c r="W10938" s="5"/>
      <c r="X10938" s="5"/>
      <c r="Y10938" s="5"/>
      <c r="Z10938" s="5"/>
    </row>
    <row r="10939" spans="1:26" ht="15" x14ac:dyDescent="0.25">
      <c r="A10939" s="4" t="s">
        <v>10936</v>
      </c>
      <c r="B10939" s="4" t="s">
        <v>9011</v>
      </c>
      <c r="C10939" s="2" t="str">
        <f ca="1">IFERROR(__xludf.DUMMYFUNCTION("GOOGLETRANSLATE(A10939,""bn"",""en"")"),"The server will start")</f>
        <v>The server will start</v>
      </c>
      <c r="D10939" s="5"/>
      <c r="E10939" s="5"/>
      <c r="F10939" s="5"/>
      <c r="G10939" s="5"/>
      <c r="H10939" s="5"/>
      <c r="I10939" s="5"/>
      <c r="J10939" s="5"/>
      <c r="K10939" s="5"/>
      <c r="L10939" s="5"/>
      <c r="M10939" s="5"/>
      <c r="N10939" s="5"/>
      <c r="O10939" s="5"/>
      <c r="P10939" s="5"/>
      <c r="Q10939" s="5"/>
      <c r="R10939" s="5"/>
      <c r="S10939" s="5"/>
      <c r="T10939" s="5"/>
      <c r="U10939" s="5"/>
      <c r="V10939" s="5"/>
      <c r="W10939" s="5"/>
      <c r="X10939" s="5"/>
      <c r="Y10939" s="5"/>
      <c r="Z10939" s="5"/>
    </row>
    <row r="10940" spans="1:26" ht="15" x14ac:dyDescent="0.25">
      <c r="A10940" s="4" t="s">
        <v>10937</v>
      </c>
      <c r="B10940" s="4" t="s">
        <v>9011</v>
      </c>
      <c r="C10940" s="2" t="str">
        <f ca="1">IFERROR(__xludf.DUMMYFUNCTION("GOOGLETRANSLATE(A10940,""bn"",""en"")"),"I will think about the afterlife")</f>
        <v>I will think about the afterlife</v>
      </c>
      <c r="D10940" s="5"/>
      <c r="E10940" s="5"/>
      <c r="F10940" s="5"/>
      <c r="G10940" s="5"/>
      <c r="H10940" s="5"/>
      <c r="I10940" s="5"/>
      <c r="J10940" s="5"/>
      <c r="K10940" s="5"/>
      <c r="L10940" s="5"/>
      <c r="M10940" s="5"/>
      <c r="N10940" s="5"/>
      <c r="O10940" s="5"/>
      <c r="P10940" s="5"/>
      <c r="Q10940" s="5"/>
      <c r="R10940" s="5"/>
      <c r="S10940" s="5"/>
      <c r="T10940" s="5"/>
      <c r="U10940" s="5"/>
      <c r="V10940" s="5"/>
      <c r="W10940" s="5"/>
      <c r="X10940" s="5"/>
      <c r="Y10940" s="5"/>
      <c r="Z10940" s="5"/>
    </row>
    <row r="10941" spans="1:26" ht="15" x14ac:dyDescent="0.25">
      <c r="A10941" s="4" t="s">
        <v>10938</v>
      </c>
      <c r="B10941" s="4" t="s">
        <v>9011</v>
      </c>
      <c r="C10941" s="2" t="str">
        <f ca="1">IFERROR(__xludf.DUMMYFUNCTION("GOOGLETRANSLATE(A10941,""bn"",""en"")"),"Will travel by sea")</f>
        <v>Will travel by sea</v>
      </c>
      <c r="D10941" s="5"/>
      <c r="E10941" s="5"/>
      <c r="F10941" s="5"/>
      <c r="G10941" s="5"/>
      <c r="H10941" s="5"/>
      <c r="I10941" s="5"/>
      <c r="J10941" s="5"/>
      <c r="K10941" s="5"/>
      <c r="L10941" s="5"/>
      <c r="M10941" s="5"/>
      <c r="N10941" s="5"/>
      <c r="O10941" s="5"/>
      <c r="P10941" s="5"/>
      <c r="Q10941" s="5"/>
      <c r="R10941" s="5"/>
      <c r="S10941" s="5"/>
      <c r="T10941" s="5"/>
      <c r="U10941" s="5"/>
      <c r="V10941" s="5"/>
      <c r="W10941" s="5"/>
      <c r="X10941" s="5"/>
      <c r="Y10941" s="5"/>
      <c r="Z10941" s="5"/>
    </row>
    <row r="10942" spans="1:26" ht="15" x14ac:dyDescent="0.25">
      <c r="A10942" s="4" t="s">
        <v>10939</v>
      </c>
      <c r="B10942" s="4" t="s">
        <v>9011</v>
      </c>
      <c r="C10942" s="2" t="str">
        <f ca="1">IFERROR(__xludf.DUMMYFUNCTION("GOOGLETRANSLATE(A10942,""bn"",""en"")"),"I will be programming")</f>
        <v>I will be programming</v>
      </c>
      <c r="D10942" s="5"/>
      <c r="E10942" s="5"/>
      <c r="F10942" s="5"/>
      <c r="G10942" s="5"/>
      <c r="H10942" s="5"/>
      <c r="I10942" s="5"/>
      <c r="J10942" s="5"/>
      <c r="K10942" s="5"/>
      <c r="L10942" s="5"/>
      <c r="M10942" s="5"/>
      <c r="N10942" s="5"/>
      <c r="O10942" s="5"/>
      <c r="P10942" s="5"/>
      <c r="Q10942" s="5"/>
      <c r="R10942" s="5"/>
      <c r="S10942" s="5"/>
      <c r="T10942" s="5"/>
      <c r="U10942" s="5"/>
      <c r="V10942" s="5"/>
      <c r="W10942" s="5"/>
      <c r="X10942" s="5"/>
      <c r="Y10942" s="5"/>
      <c r="Z10942" s="5"/>
    </row>
    <row r="10943" spans="1:26" ht="15" x14ac:dyDescent="0.25">
      <c r="A10943" s="4" t="s">
        <v>10940</v>
      </c>
      <c r="B10943" s="4" t="s">
        <v>9011</v>
      </c>
      <c r="C10943" s="2" t="str">
        <f ca="1">IFERROR(__xludf.DUMMYFUNCTION("GOOGLETRANSLATE(A10943,""bn"",""en"")"),"Will blog")</f>
        <v>Will blog</v>
      </c>
      <c r="D10943" s="5"/>
      <c r="E10943" s="5"/>
      <c r="F10943" s="5"/>
      <c r="G10943" s="5"/>
      <c r="H10943" s="5"/>
      <c r="I10943" s="5"/>
      <c r="J10943" s="5"/>
      <c r="K10943" s="5"/>
      <c r="L10943" s="5"/>
      <c r="M10943" s="5"/>
      <c r="N10943" s="5"/>
      <c r="O10943" s="5"/>
      <c r="P10943" s="5"/>
      <c r="Q10943" s="5"/>
      <c r="R10943" s="5"/>
      <c r="S10943" s="5"/>
      <c r="T10943" s="5"/>
      <c r="U10943" s="5"/>
      <c r="V10943" s="5"/>
      <c r="W10943" s="5"/>
      <c r="X10943" s="5"/>
      <c r="Y10943" s="5"/>
      <c r="Z10943" s="5"/>
    </row>
    <row r="10944" spans="1:26" ht="15" x14ac:dyDescent="0.25">
      <c r="A10944" s="4" t="s">
        <v>10941</v>
      </c>
      <c r="B10944" s="4" t="s">
        <v>9011</v>
      </c>
      <c r="C10944" s="2" t="str">
        <f ca="1">IFERROR(__xludf.DUMMYFUNCTION("GOOGLETRANSLATE(A10944,""bn"",""en"")"),"Will continue to go to the bank")</f>
        <v>Will continue to go to the bank</v>
      </c>
      <c r="D10944" s="5"/>
      <c r="E10944" s="5"/>
      <c r="F10944" s="5"/>
      <c r="G10944" s="5"/>
      <c r="H10944" s="5"/>
      <c r="I10944" s="5"/>
      <c r="J10944" s="5"/>
      <c r="K10944" s="5"/>
      <c r="L10944" s="5"/>
      <c r="M10944" s="5"/>
      <c r="N10944" s="5"/>
      <c r="O10944" s="5"/>
      <c r="P10944" s="5"/>
      <c r="Q10944" s="5"/>
      <c r="R10944" s="5"/>
      <c r="S10944" s="5"/>
      <c r="T10944" s="5"/>
      <c r="U10944" s="5"/>
      <c r="V10944" s="5"/>
      <c r="W10944" s="5"/>
      <c r="X10944" s="5"/>
      <c r="Y10944" s="5"/>
      <c r="Z10944" s="5"/>
    </row>
    <row r="10945" spans="1:26" ht="15" x14ac:dyDescent="0.25">
      <c r="A10945" s="4" t="s">
        <v>10942</v>
      </c>
      <c r="B10945" s="4" t="s">
        <v>9011</v>
      </c>
      <c r="C10945" s="2" t="str">
        <f ca="1">IFERROR(__xludf.DUMMYFUNCTION("GOOGLETRANSLATE(A10945,""bn"",""en"")"),"I will see the tiger in the forest")</f>
        <v>I will see the tiger in the forest</v>
      </c>
      <c r="D10945" s="5"/>
      <c r="E10945" s="5"/>
      <c r="F10945" s="5"/>
      <c r="G10945" s="5"/>
      <c r="H10945" s="5"/>
      <c r="I10945" s="5"/>
      <c r="J10945" s="5"/>
      <c r="K10945" s="5"/>
      <c r="L10945" s="5"/>
      <c r="M10945" s="5"/>
      <c r="N10945" s="5"/>
      <c r="O10945" s="5"/>
      <c r="P10945" s="5"/>
      <c r="Q10945" s="5"/>
      <c r="R10945" s="5"/>
      <c r="S10945" s="5"/>
      <c r="T10945" s="5"/>
      <c r="U10945" s="5"/>
      <c r="V10945" s="5"/>
      <c r="W10945" s="5"/>
      <c r="X10945" s="5"/>
      <c r="Y10945" s="5"/>
      <c r="Z10945" s="5"/>
    </row>
    <row r="10946" spans="1:26" ht="15" x14ac:dyDescent="0.25">
      <c r="A10946" s="4" t="s">
        <v>10943</v>
      </c>
      <c r="B10946" s="4" t="s">
        <v>9011</v>
      </c>
      <c r="C10946" s="2" t="str">
        <f ca="1">IFERROR(__xludf.DUMMYFUNCTION("GOOGLETRANSLATE(A10946,""bn"",""en"")"),"Love the mountain top")</f>
        <v>Love the mountain top</v>
      </c>
      <c r="D10946" s="5"/>
      <c r="E10946" s="5"/>
      <c r="F10946" s="5"/>
      <c r="G10946" s="5"/>
      <c r="H10946" s="5"/>
      <c r="I10946" s="5"/>
      <c r="J10946" s="5"/>
      <c r="K10946" s="5"/>
      <c r="L10946" s="5"/>
      <c r="M10946" s="5"/>
      <c r="N10946" s="5"/>
      <c r="O10946" s="5"/>
      <c r="P10946" s="5"/>
      <c r="Q10946" s="5"/>
      <c r="R10946" s="5"/>
      <c r="S10946" s="5"/>
      <c r="T10946" s="5"/>
      <c r="U10946" s="5"/>
      <c r="V10946" s="5"/>
      <c r="W10946" s="5"/>
      <c r="X10946" s="5"/>
      <c r="Y10946" s="5"/>
      <c r="Z10946" s="5"/>
    </row>
    <row r="10947" spans="1:26" ht="15" x14ac:dyDescent="0.25">
      <c r="A10947" s="4" t="s">
        <v>10944</v>
      </c>
      <c r="B10947" s="4" t="s">
        <v>9011</v>
      </c>
      <c r="C10947" s="2" t="str">
        <f ca="1">IFERROR(__xludf.DUMMYFUNCTION("GOOGLETRANSLATE(A10947,""bn"",""en"")"),"He will play music")</f>
        <v>He will play music</v>
      </c>
      <c r="D10947" s="5"/>
      <c r="E10947" s="5"/>
      <c r="F10947" s="5"/>
      <c r="G10947" s="5"/>
      <c r="H10947" s="5"/>
      <c r="I10947" s="5"/>
      <c r="J10947" s="5"/>
      <c r="K10947" s="5"/>
      <c r="L10947" s="5"/>
      <c r="M10947" s="5"/>
      <c r="N10947" s="5"/>
      <c r="O10947" s="5"/>
      <c r="P10947" s="5"/>
      <c r="Q10947" s="5"/>
      <c r="R10947" s="5"/>
      <c r="S10947" s="5"/>
      <c r="T10947" s="5"/>
      <c r="U10947" s="5"/>
      <c r="V10947" s="5"/>
      <c r="W10947" s="5"/>
      <c r="X10947" s="5"/>
      <c r="Y10947" s="5"/>
      <c r="Z10947" s="5"/>
    </row>
    <row r="10948" spans="1:26" ht="15" x14ac:dyDescent="0.25">
      <c r="A10948" s="4" t="s">
        <v>10945</v>
      </c>
      <c r="B10948" s="4" t="s">
        <v>9011</v>
      </c>
      <c r="C10948" s="2" t="str">
        <f ca="1">IFERROR(__xludf.DUMMYFUNCTION("GOOGLETRANSLATE(A10948,""bn"",""en"")"),"Create an account")</f>
        <v>Create an account</v>
      </c>
      <c r="D10948" s="5"/>
      <c r="E10948" s="5"/>
      <c r="F10948" s="5"/>
      <c r="G10948" s="5"/>
      <c r="H10948" s="5"/>
      <c r="I10948" s="5"/>
      <c r="J10948" s="5"/>
      <c r="K10948" s="5"/>
      <c r="L10948" s="5"/>
      <c r="M10948" s="5"/>
      <c r="N10948" s="5"/>
      <c r="O10948" s="5"/>
      <c r="P10948" s="5"/>
      <c r="Q10948" s="5"/>
      <c r="R10948" s="5"/>
      <c r="S10948" s="5"/>
      <c r="T10948" s="5"/>
      <c r="U10948" s="5"/>
      <c r="V10948" s="5"/>
      <c r="W10948" s="5"/>
      <c r="X10948" s="5"/>
      <c r="Y10948" s="5"/>
      <c r="Z10948" s="5"/>
    </row>
    <row r="10949" spans="1:26" ht="15" x14ac:dyDescent="0.25">
      <c r="A10949" s="4" t="s">
        <v>10946</v>
      </c>
      <c r="B10949" s="4" t="s">
        <v>9011</v>
      </c>
      <c r="C10949" s="2" t="str">
        <f ca="1">IFERROR(__xludf.DUMMYFUNCTION("GOOGLETRANSLATE(A10949,""bn"",""en"")"),"I will use the webcam")</f>
        <v>I will use the webcam</v>
      </c>
      <c r="D10949" s="5"/>
      <c r="E10949" s="5"/>
      <c r="F10949" s="5"/>
      <c r="G10949" s="5"/>
      <c r="H10949" s="5"/>
      <c r="I10949" s="5"/>
      <c r="J10949" s="5"/>
      <c r="K10949" s="5"/>
      <c r="L10949" s="5"/>
      <c r="M10949" s="5"/>
      <c r="N10949" s="5"/>
      <c r="O10949" s="5"/>
      <c r="P10949" s="5"/>
      <c r="Q10949" s="5"/>
      <c r="R10949" s="5"/>
      <c r="S10949" s="5"/>
      <c r="T10949" s="5"/>
      <c r="U10949" s="5"/>
      <c r="V10949" s="5"/>
      <c r="W10949" s="5"/>
      <c r="X10949" s="5"/>
      <c r="Y10949" s="5"/>
      <c r="Z10949" s="5"/>
    </row>
    <row r="10950" spans="1:26" ht="15" x14ac:dyDescent="0.25">
      <c r="A10950" s="4" t="s">
        <v>10947</v>
      </c>
      <c r="B10950" s="4" t="s">
        <v>9011</v>
      </c>
      <c r="C10950" s="2" t="str">
        <f ca="1">IFERROR(__xludf.DUMMYFUNCTION("GOOGLETRANSLATE(A10950,""bn"",""en"")"),"The paper will continue to read")</f>
        <v>The paper will continue to read</v>
      </c>
      <c r="D10950" s="5"/>
      <c r="E10950" s="5"/>
      <c r="F10950" s="5"/>
      <c r="G10950" s="5"/>
      <c r="H10950" s="5"/>
      <c r="I10950" s="5"/>
      <c r="J10950" s="5"/>
      <c r="K10950" s="5"/>
      <c r="L10950" s="5"/>
      <c r="M10950" s="5"/>
      <c r="N10950" s="5"/>
      <c r="O10950" s="5"/>
      <c r="P10950" s="5"/>
      <c r="Q10950" s="5"/>
      <c r="R10950" s="5"/>
      <c r="S10950" s="5"/>
      <c r="T10950" s="5"/>
      <c r="U10950" s="5"/>
      <c r="V10950" s="5"/>
      <c r="W10950" s="5"/>
      <c r="X10950" s="5"/>
      <c r="Y10950" s="5"/>
      <c r="Z10950" s="5"/>
    </row>
    <row r="10951" spans="1:26" ht="15" x14ac:dyDescent="0.25">
      <c r="A10951" s="4" t="s">
        <v>10948</v>
      </c>
      <c r="B10951" s="4" t="s">
        <v>9011</v>
      </c>
      <c r="C10951" s="2" t="str">
        <f ca="1">IFERROR(__xludf.DUMMYFUNCTION("GOOGLETRANSLATE(A10951,""bn"",""en"")"),"Move with time")</f>
        <v>Move with time</v>
      </c>
      <c r="D10951" s="5"/>
      <c r="E10951" s="5"/>
      <c r="F10951" s="5"/>
      <c r="G10951" s="5"/>
      <c r="H10951" s="5"/>
      <c r="I10951" s="5"/>
      <c r="J10951" s="5"/>
      <c r="K10951" s="5"/>
      <c r="L10951" s="5"/>
      <c r="M10951" s="5"/>
      <c r="N10951" s="5"/>
      <c r="O10951" s="5"/>
      <c r="P10951" s="5"/>
      <c r="Q10951" s="5"/>
      <c r="R10951" s="5"/>
      <c r="S10951" s="5"/>
      <c r="T10951" s="5"/>
      <c r="U10951" s="5"/>
      <c r="V10951" s="5"/>
      <c r="W10951" s="5"/>
      <c r="X10951" s="5"/>
      <c r="Y10951" s="5"/>
      <c r="Z10951" s="5"/>
    </row>
    <row r="10952" spans="1:26" ht="15" x14ac:dyDescent="0.25">
      <c r="A10952" s="4" t="s">
        <v>10949</v>
      </c>
      <c r="B10952" s="4" t="s">
        <v>9011</v>
      </c>
      <c r="C10952" s="2" t="str">
        <f ca="1">IFERROR(__xludf.DUMMYFUNCTION("GOOGLETRANSLATE(A10952,""bn"",""en"")"),"The player will dribble")</f>
        <v>The player will dribble</v>
      </c>
      <c r="D10952" s="5"/>
      <c r="E10952" s="5"/>
      <c r="F10952" s="5"/>
      <c r="G10952" s="5"/>
      <c r="H10952" s="5"/>
      <c r="I10952" s="5"/>
      <c r="J10952" s="5"/>
      <c r="K10952" s="5"/>
      <c r="L10952" s="5"/>
      <c r="M10952" s="5"/>
      <c r="N10952" s="5"/>
      <c r="O10952" s="5"/>
      <c r="P10952" s="5"/>
      <c r="Q10952" s="5"/>
      <c r="R10952" s="5"/>
      <c r="S10952" s="5"/>
      <c r="T10952" s="5"/>
      <c r="U10952" s="5"/>
      <c r="V10952" s="5"/>
      <c r="W10952" s="5"/>
      <c r="X10952" s="5"/>
      <c r="Y10952" s="5"/>
      <c r="Z10952" s="5"/>
    </row>
    <row r="10953" spans="1:26" ht="15" x14ac:dyDescent="0.25">
      <c r="A10953" s="4" t="s">
        <v>10950</v>
      </c>
      <c r="B10953" s="4" t="s">
        <v>9011</v>
      </c>
      <c r="C10953" s="2" t="str">
        <f ca="1">IFERROR(__xludf.DUMMYFUNCTION("GOOGLETRANSLATE(A10953,""bn"",""en"")"),"I will buy a house with money")</f>
        <v>I will buy a house with money</v>
      </c>
      <c r="D10953" s="5"/>
      <c r="E10953" s="5"/>
      <c r="F10953" s="5"/>
      <c r="G10953" s="5"/>
      <c r="H10953" s="5"/>
      <c r="I10953" s="5"/>
      <c r="J10953" s="5"/>
      <c r="K10953" s="5"/>
      <c r="L10953" s="5"/>
      <c r="M10953" s="5"/>
      <c r="N10953" s="5"/>
      <c r="O10953" s="5"/>
      <c r="P10953" s="5"/>
      <c r="Q10953" s="5"/>
      <c r="R10953" s="5"/>
      <c r="S10953" s="5"/>
      <c r="T10953" s="5"/>
      <c r="U10953" s="5"/>
      <c r="V10953" s="5"/>
      <c r="W10953" s="5"/>
      <c r="X10953" s="5"/>
      <c r="Y10953" s="5"/>
      <c r="Z10953" s="5"/>
    </row>
    <row r="10954" spans="1:26" ht="15" x14ac:dyDescent="0.25">
      <c r="A10954" s="4" t="s">
        <v>10951</v>
      </c>
      <c r="B10954" s="4" t="s">
        <v>9011</v>
      </c>
      <c r="C10954" s="2" t="str">
        <f ca="1">IFERROR(__xludf.DUMMYFUNCTION("GOOGLETRANSLATE(A10954,""bn"",""en"")"),"Shah Jahan will build the Taj Mahal")</f>
        <v>Shah Jahan will build the Taj Mahal</v>
      </c>
      <c r="D10954" s="5"/>
      <c r="E10954" s="5"/>
      <c r="F10954" s="5"/>
      <c r="G10954" s="5"/>
      <c r="H10954" s="5"/>
      <c r="I10954" s="5"/>
      <c r="J10954" s="5"/>
      <c r="K10954" s="5"/>
      <c r="L10954" s="5"/>
      <c r="M10954" s="5"/>
      <c r="N10954" s="5"/>
      <c r="O10954" s="5"/>
      <c r="P10954" s="5"/>
      <c r="Q10954" s="5"/>
      <c r="R10954" s="5"/>
      <c r="S10954" s="5"/>
      <c r="T10954" s="5"/>
      <c r="U10954" s="5"/>
      <c r="V10954" s="5"/>
      <c r="W10954" s="5"/>
      <c r="X10954" s="5"/>
      <c r="Y10954" s="5"/>
      <c r="Z10954" s="5"/>
    </row>
    <row r="10955" spans="1:26" ht="15" x14ac:dyDescent="0.25">
      <c r="A10955" s="4" t="s">
        <v>10952</v>
      </c>
      <c r="B10955" s="4" t="s">
        <v>9011</v>
      </c>
      <c r="C10955" s="2" t="str">
        <f ca="1">IFERROR(__xludf.DUMMYFUNCTION("GOOGLETRANSLATE(A10955,""bn"",""en"")"),"Must know the language")</f>
        <v>Must know the language</v>
      </c>
      <c r="D10955" s="5"/>
      <c r="E10955" s="5"/>
      <c r="F10955" s="5"/>
      <c r="G10955" s="5"/>
      <c r="H10955" s="5"/>
      <c r="I10955" s="5"/>
      <c r="J10955" s="5"/>
      <c r="K10955" s="5"/>
      <c r="L10955" s="5"/>
      <c r="M10955" s="5"/>
      <c r="N10955" s="5"/>
      <c r="O10955" s="5"/>
      <c r="P10955" s="5"/>
      <c r="Q10955" s="5"/>
      <c r="R10955" s="5"/>
      <c r="S10955" s="5"/>
      <c r="T10955" s="5"/>
      <c r="U10955" s="5"/>
      <c r="V10955" s="5"/>
      <c r="W10955" s="5"/>
      <c r="X10955" s="5"/>
      <c r="Y10955" s="5"/>
      <c r="Z10955" s="5"/>
    </row>
    <row r="10956" spans="1:26" ht="15" x14ac:dyDescent="0.25">
      <c r="A10956" s="4" t="s">
        <v>10953</v>
      </c>
      <c r="B10956" s="4" t="s">
        <v>9011</v>
      </c>
      <c r="C10956" s="2" t="str">
        <f ca="1">IFERROR(__xludf.DUMMYFUNCTION("GOOGLETRANSLATE(A10956,""bn"",""en"")"),"I will create a website")</f>
        <v>I will create a website</v>
      </c>
      <c r="D10956" s="5"/>
      <c r="E10956" s="5"/>
      <c r="F10956" s="5"/>
      <c r="G10956" s="5"/>
      <c r="H10956" s="5"/>
      <c r="I10956" s="5"/>
      <c r="J10956" s="5"/>
      <c r="K10956" s="5"/>
      <c r="L10956" s="5"/>
      <c r="M10956" s="5"/>
      <c r="N10956" s="5"/>
      <c r="O10956" s="5"/>
      <c r="P10956" s="5"/>
      <c r="Q10956" s="5"/>
      <c r="R10956" s="5"/>
      <c r="S10956" s="5"/>
      <c r="T10956" s="5"/>
      <c r="U10956" s="5"/>
      <c r="V10956" s="5"/>
      <c r="W10956" s="5"/>
      <c r="X10956" s="5"/>
      <c r="Y10956" s="5"/>
      <c r="Z10956" s="5"/>
    </row>
    <row r="10957" spans="1:26" ht="15" x14ac:dyDescent="0.25">
      <c r="A10957" s="4" t="s">
        <v>10954</v>
      </c>
      <c r="B10957" s="4" t="s">
        <v>9011</v>
      </c>
      <c r="C10957" s="2" t="str">
        <f ca="1">IFERROR(__xludf.DUMMYFUNCTION("GOOGLETRANSLATE(A10957,""bn"",""en"")"),"I will listen to the recitation of the Qur'an")</f>
        <v>I will listen to the recitation of the Qur'an</v>
      </c>
      <c r="D10957" s="5"/>
      <c r="E10957" s="5"/>
      <c r="F10957" s="5"/>
      <c r="G10957" s="5"/>
      <c r="H10957" s="5"/>
      <c r="I10957" s="5"/>
      <c r="J10957" s="5"/>
      <c r="K10957" s="5"/>
      <c r="L10957" s="5"/>
      <c r="M10957" s="5"/>
      <c r="N10957" s="5"/>
      <c r="O10957" s="5"/>
      <c r="P10957" s="5"/>
      <c r="Q10957" s="5"/>
      <c r="R10957" s="5"/>
      <c r="S10957" s="5"/>
      <c r="T10957" s="5"/>
      <c r="U10957" s="5"/>
      <c r="V10957" s="5"/>
      <c r="W10957" s="5"/>
      <c r="X10957" s="5"/>
      <c r="Y10957" s="5"/>
      <c r="Z10957" s="5"/>
    </row>
    <row r="10958" spans="1:26" ht="15" x14ac:dyDescent="0.25">
      <c r="A10958" s="4" t="s">
        <v>10955</v>
      </c>
      <c r="B10958" s="4" t="s">
        <v>9011</v>
      </c>
      <c r="C10958" s="2" t="str">
        <f ca="1">IFERROR(__xludf.DUMMYFUNCTION("GOOGLETRANSLATE(A10958,""bn"",""en"")"),"I will discuss politics")</f>
        <v>I will discuss politics</v>
      </c>
      <c r="D10958" s="5"/>
      <c r="E10958" s="5"/>
      <c r="F10958" s="5"/>
      <c r="G10958" s="5"/>
      <c r="H10958" s="5"/>
      <c r="I10958" s="5"/>
      <c r="J10958" s="5"/>
      <c r="K10958" s="5"/>
      <c r="L10958" s="5"/>
      <c r="M10958" s="5"/>
      <c r="N10958" s="5"/>
      <c r="O10958" s="5"/>
      <c r="P10958" s="5"/>
      <c r="Q10958" s="5"/>
      <c r="R10958" s="5"/>
      <c r="S10958" s="5"/>
      <c r="T10958" s="5"/>
      <c r="U10958" s="5"/>
      <c r="V10958" s="5"/>
      <c r="W10958" s="5"/>
      <c r="X10958" s="5"/>
      <c r="Y10958" s="5"/>
      <c r="Z10958" s="5"/>
    </row>
    <row r="10959" spans="1:26" ht="15" x14ac:dyDescent="0.25">
      <c r="A10959" s="4" t="s">
        <v>10956</v>
      </c>
      <c r="B10959" s="4" t="s">
        <v>9011</v>
      </c>
      <c r="C10959" s="2" t="str">
        <f ca="1">IFERROR(__xludf.DUMMYFUNCTION("GOOGLETRANSLATE(A10959,""bn"",""en"")"),"I will go to the meeting to discuss politics")</f>
        <v>I will go to the meeting to discuss politics</v>
      </c>
      <c r="D10959" s="5"/>
      <c r="E10959" s="5"/>
      <c r="F10959" s="5"/>
      <c r="G10959" s="5"/>
      <c r="H10959" s="5"/>
      <c r="I10959" s="5"/>
      <c r="J10959" s="5"/>
      <c r="K10959" s="5"/>
      <c r="L10959" s="5"/>
      <c r="M10959" s="5"/>
      <c r="N10959" s="5"/>
      <c r="O10959" s="5"/>
      <c r="P10959" s="5"/>
      <c r="Q10959" s="5"/>
      <c r="R10959" s="5"/>
      <c r="S10959" s="5"/>
      <c r="T10959" s="5"/>
      <c r="U10959" s="5"/>
      <c r="V10959" s="5"/>
      <c r="W10959" s="5"/>
      <c r="X10959" s="5"/>
      <c r="Y10959" s="5"/>
      <c r="Z10959" s="5"/>
    </row>
    <row r="10960" spans="1:26" ht="15" x14ac:dyDescent="0.25">
      <c r="A10960" s="4" t="s">
        <v>10957</v>
      </c>
      <c r="B10960" s="4" t="s">
        <v>9011</v>
      </c>
      <c r="C10960" s="2" t="str">
        <f ca="1">IFERROR(__xludf.DUMMYFUNCTION("GOOGLETRANSLATE(A10960,""bn"",""en"")"),"You will eat money")</f>
        <v>You will eat money</v>
      </c>
      <c r="D10960" s="5"/>
      <c r="E10960" s="5"/>
      <c r="F10960" s="5"/>
      <c r="G10960" s="5"/>
      <c r="H10960" s="5"/>
      <c r="I10960" s="5"/>
      <c r="J10960" s="5"/>
      <c r="K10960" s="5"/>
      <c r="L10960" s="5"/>
      <c r="M10960" s="5"/>
      <c r="N10960" s="5"/>
      <c r="O10960" s="5"/>
      <c r="P10960" s="5"/>
      <c r="Q10960" s="5"/>
      <c r="R10960" s="5"/>
      <c r="S10960" s="5"/>
      <c r="T10960" s="5"/>
      <c r="U10960" s="5"/>
      <c r="V10960" s="5"/>
      <c r="W10960" s="5"/>
      <c r="X10960" s="5"/>
      <c r="Y10960" s="5"/>
      <c r="Z10960" s="5"/>
    </row>
    <row r="10961" spans="1:26" ht="15" x14ac:dyDescent="0.25">
      <c r="A10961" s="4" t="s">
        <v>10958</v>
      </c>
      <c r="B10961" s="4" t="s">
        <v>9011</v>
      </c>
      <c r="C10961" s="2" t="str">
        <f ca="1">IFERROR(__xludf.DUMMYFUNCTION("GOOGLETRANSLATE(A10961,""bn"",""en"")"),"You will go to the restaurant to eat.")</f>
        <v>You will go to the restaurant to eat.</v>
      </c>
      <c r="D10961" s="5"/>
      <c r="E10961" s="5"/>
      <c r="F10961" s="5"/>
      <c r="G10961" s="5"/>
      <c r="H10961" s="5"/>
      <c r="I10961" s="5"/>
      <c r="J10961" s="5"/>
      <c r="K10961" s="5"/>
      <c r="L10961" s="5"/>
      <c r="M10961" s="5"/>
      <c r="N10961" s="5"/>
      <c r="O10961" s="5"/>
      <c r="P10961" s="5"/>
      <c r="Q10961" s="5"/>
      <c r="R10961" s="5"/>
      <c r="S10961" s="5"/>
      <c r="T10961" s="5"/>
      <c r="U10961" s="5"/>
      <c r="V10961" s="5"/>
      <c r="W10961" s="5"/>
      <c r="X10961" s="5"/>
      <c r="Y10961" s="5"/>
      <c r="Z10961" s="5"/>
    </row>
    <row r="10962" spans="1:26" ht="15" x14ac:dyDescent="0.25">
      <c r="A10962" s="4" t="s">
        <v>10959</v>
      </c>
      <c r="B10962" s="4" t="s">
        <v>9011</v>
      </c>
      <c r="C10962" s="2" t="str">
        <f ca="1">IFERROR(__xludf.DUMMYFUNCTION("GOOGLETRANSLATE(A10962,""bn"",""en"")"),"Bank will look at eligibility")</f>
        <v>Bank will look at eligibility</v>
      </c>
      <c r="D10962" s="5"/>
      <c r="E10962" s="5"/>
      <c r="F10962" s="5"/>
      <c r="G10962" s="5"/>
      <c r="H10962" s="5"/>
      <c r="I10962" s="5"/>
      <c r="J10962" s="5"/>
      <c r="K10962" s="5"/>
      <c r="L10962" s="5"/>
      <c r="M10962" s="5"/>
      <c r="N10962" s="5"/>
      <c r="O10962" s="5"/>
      <c r="P10962" s="5"/>
      <c r="Q10962" s="5"/>
      <c r="R10962" s="5"/>
      <c r="S10962" s="5"/>
      <c r="T10962" s="5"/>
      <c r="U10962" s="5"/>
      <c r="V10962" s="5"/>
      <c r="W10962" s="5"/>
      <c r="X10962" s="5"/>
      <c r="Y10962" s="5"/>
      <c r="Z10962" s="5"/>
    </row>
    <row r="10963" spans="1:26" ht="15" x14ac:dyDescent="0.25">
      <c r="A10963" s="4" t="s">
        <v>10960</v>
      </c>
      <c r="B10963" s="4" t="s">
        <v>9011</v>
      </c>
      <c r="C10963" s="2" t="str">
        <f ca="1">IFERROR(__xludf.DUMMYFUNCTION("GOOGLETRANSLATE(A10963,""bn"",""en"")"),"I will continue to visit the Taj Mahal")</f>
        <v>I will continue to visit the Taj Mahal</v>
      </c>
      <c r="D10963" s="5"/>
      <c r="E10963" s="5"/>
      <c r="F10963" s="5"/>
      <c r="G10963" s="5"/>
      <c r="H10963" s="5"/>
      <c r="I10963" s="5"/>
      <c r="J10963" s="5"/>
      <c r="K10963" s="5"/>
      <c r="L10963" s="5"/>
      <c r="M10963" s="5"/>
      <c r="N10963" s="5"/>
      <c r="O10963" s="5"/>
      <c r="P10963" s="5"/>
      <c r="Q10963" s="5"/>
      <c r="R10963" s="5"/>
      <c r="S10963" s="5"/>
      <c r="T10963" s="5"/>
      <c r="U10963" s="5"/>
      <c r="V10963" s="5"/>
      <c r="W10963" s="5"/>
      <c r="X10963" s="5"/>
      <c r="Y10963" s="5"/>
      <c r="Z10963" s="5"/>
    </row>
    <row r="10964" spans="1:26" ht="15" x14ac:dyDescent="0.25">
      <c r="A10964" s="4" t="s">
        <v>10961</v>
      </c>
      <c r="B10964" s="4" t="s">
        <v>9011</v>
      </c>
      <c r="C10964" s="2" t="str">
        <f ca="1">IFERROR(__xludf.DUMMYFUNCTION("GOOGLETRANSLATE(A10964,""bn"",""en"")"),"He will cook shrimp")</f>
        <v>He will cook shrimp</v>
      </c>
      <c r="D10964" s="5"/>
      <c r="E10964" s="5"/>
      <c r="F10964" s="5"/>
      <c r="G10964" s="5"/>
      <c r="H10964" s="5"/>
      <c r="I10964" s="5"/>
      <c r="J10964" s="5"/>
      <c r="K10964" s="5"/>
      <c r="L10964" s="5"/>
      <c r="M10964" s="5"/>
      <c r="N10964" s="5"/>
      <c r="O10964" s="5"/>
      <c r="P10964" s="5"/>
      <c r="Q10964" s="5"/>
      <c r="R10964" s="5"/>
      <c r="S10964" s="5"/>
      <c r="T10964" s="5"/>
      <c r="U10964" s="5"/>
      <c r="V10964" s="5"/>
      <c r="W10964" s="5"/>
      <c r="X10964" s="5"/>
      <c r="Y10964" s="5"/>
      <c r="Z10964" s="5"/>
    </row>
    <row r="10965" spans="1:26" ht="15" x14ac:dyDescent="0.25">
      <c r="A10965" s="4" t="s">
        <v>10962</v>
      </c>
      <c r="B10965" s="4" t="s">
        <v>9011</v>
      </c>
      <c r="C10965" s="2" t="str">
        <f ca="1">IFERROR(__xludf.DUMMYFUNCTION("GOOGLETRANSLATE(A10965,""bn"",""en"")"),"He will farm shrimp")</f>
        <v>He will farm shrimp</v>
      </c>
      <c r="D10965" s="5"/>
      <c r="E10965" s="5"/>
      <c r="F10965" s="5"/>
      <c r="G10965" s="5"/>
      <c r="H10965" s="5"/>
      <c r="I10965" s="5"/>
      <c r="J10965" s="5"/>
      <c r="K10965" s="5"/>
      <c r="L10965" s="5"/>
      <c r="M10965" s="5"/>
      <c r="N10965" s="5"/>
      <c r="O10965" s="5"/>
      <c r="P10965" s="5"/>
      <c r="Q10965" s="5"/>
      <c r="R10965" s="5"/>
      <c r="S10965" s="5"/>
      <c r="T10965" s="5"/>
      <c r="U10965" s="5"/>
      <c r="V10965" s="5"/>
      <c r="W10965" s="5"/>
      <c r="X10965" s="5"/>
      <c r="Y10965" s="5"/>
      <c r="Z10965" s="5"/>
    </row>
    <row r="10966" spans="1:26" ht="15" x14ac:dyDescent="0.25">
      <c r="A10966" s="4" t="s">
        <v>10963</v>
      </c>
      <c r="B10966" s="4" t="s">
        <v>9011</v>
      </c>
      <c r="C10966" s="2" t="str">
        <f ca="1">IFERROR(__xludf.DUMMYFUNCTION("GOOGLETRANSLATE(A10966,""bn"",""en"")"),"Secure check will be done")</f>
        <v>Secure check will be done</v>
      </c>
      <c r="D10966" s="5"/>
      <c r="E10966" s="5"/>
      <c r="F10966" s="5"/>
      <c r="G10966" s="5"/>
      <c r="H10966" s="5"/>
      <c r="I10966" s="5"/>
      <c r="J10966" s="5"/>
      <c r="K10966" s="5"/>
      <c r="L10966" s="5"/>
      <c r="M10966" s="5"/>
      <c r="N10966" s="5"/>
      <c r="O10966" s="5"/>
      <c r="P10966" s="5"/>
      <c r="Q10966" s="5"/>
      <c r="R10966" s="5"/>
      <c r="S10966" s="5"/>
      <c r="T10966" s="5"/>
      <c r="U10966" s="5"/>
      <c r="V10966" s="5"/>
      <c r="W10966" s="5"/>
      <c r="X10966" s="5"/>
      <c r="Y10966" s="5"/>
      <c r="Z10966" s="5"/>
    </row>
    <row r="10967" spans="1:26" ht="15" x14ac:dyDescent="0.25">
      <c r="A10967" s="4" t="s">
        <v>10964</v>
      </c>
      <c r="B10967" s="4" t="s">
        <v>9011</v>
      </c>
      <c r="C10967" s="2" t="str">
        <f ca="1">IFERROR(__xludf.DUMMYFUNCTION("GOOGLETRANSLATE(A10967,""bn"",""en"")"),"I will watch the sea")</f>
        <v>I will watch the sea</v>
      </c>
      <c r="D10967" s="5"/>
      <c r="E10967" s="5"/>
      <c r="F10967" s="5"/>
      <c r="G10967" s="5"/>
      <c r="H10967" s="5"/>
      <c r="I10967" s="5"/>
      <c r="J10967" s="5"/>
      <c r="K10967" s="5"/>
      <c r="L10967" s="5"/>
      <c r="M10967" s="5"/>
      <c r="N10967" s="5"/>
      <c r="O10967" s="5"/>
      <c r="P10967" s="5"/>
      <c r="Q10967" s="5"/>
      <c r="R10967" s="5"/>
      <c r="S10967" s="5"/>
      <c r="T10967" s="5"/>
      <c r="U10967" s="5"/>
      <c r="V10967" s="5"/>
      <c r="W10967" s="5"/>
      <c r="X10967" s="5"/>
      <c r="Y10967" s="5"/>
      <c r="Z10967" s="5"/>
    </row>
    <row r="10968" spans="1:26" ht="15" x14ac:dyDescent="0.25">
      <c r="A10968" s="4" t="s">
        <v>10965</v>
      </c>
      <c r="B10968" s="4" t="s">
        <v>9011</v>
      </c>
      <c r="C10968" s="2" t="str">
        <f ca="1">IFERROR(__xludf.DUMMYFUNCTION("GOOGLETRANSLATE(A10968,""bn"",""en"")"),"I will take physical training")</f>
        <v>I will take physical training</v>
      </c>
      <c r="D10968" s="5"/>
      <c r="E10968" s="5"/>
      <c r="F10968" s="5"/>
      <c r="G10968" s="5"/>
      <c r="H10968" s="5"/>
      <c r="I10968" s="5"/>
      <c r="J10968" s="5"/>
      <c r="K10968" s="5"/>
      <c r="L10968" s="5"/>
      <c r="M10968" s="5"/>
      <c r="N10968" s="5"/>
      <c r="O10968" s="5"/>
      <c r="P10968" s="5"/>
      <c r="Q10968" s="5"/>
      <c r="R10968" s="5"/>
      <c r="S10968" s="5"/>
      <c r="T10968" s="5"/>
      <c r="U10968" s="5"/>
      <c r="V10968" s="5"/>
      <c r="W10968" s="5"/>
      <c r="X10968" s="5"/>
      <c r="Y10968" s="5"/>
      <c r="Z10968" s="5"/>
    </row>
    <row r="10969" spans="1:26" ht="15" x14ac:dyDescent="0.25">
      <c r="A10969" s="4" t="s">
        <v>10966</v>
      </c>
      <c r="B10969" s="4" t="s">
        <v>9011</v>
      </c>
      <c r="C10969" s="2" t="str">
        <f ca="1">IFERROR(__xludf.DUMMYFUNCTION("GOOGLETRANSLATE(A10969,""bn"",""en"")"),"Learn secure coding")</f>
        <v>Learn secure coding</v>
      </c>
      <c r="D10969" s="5"/>
      <c r="E10969" s="5"/>
      <c r="F10969" s="5"/>
      <c r="G10969" s="5"/>
      <c r="H10969" s="5"/>
      <c r="I10969" s="5"/>
      <c r="J10969" s="5"/>
      <c r="K10969" s="5"/>
      <c r="L10969" s="5"/>
      <c r="M10969" s="5"/>
      <c r="N10969" s="5"/>
      <c r="O10969" s="5"/>
      <c r="P10969" s="5"/>
      <c r="Q10969" s="5"/>
      <c r="R10969" s="5"/>
      <c r="S10969" s="5"/>
      <c r="T10969" s="5"/>
      <c r="U10969" s="5"/>
      <c r="V10969" s="5"/>
      <c r="W10969" s="5"/>
      <c r="X10969" s="5"/>
      <c r="Y10969" s="5"/>
      <c r="Z10969" s="5"/>
    </row>
    <row r="10970" spans="1:26" ht="15" x14ac:dyDescent="0.25">
      <c r="A10970" s="4" t="s">
        <v>10967</v>
      </c>
      <c r="B10970" s="4" t="s">
        <v>9011</v>
      </c>
      <c r="C10970" s="2" t="str">
        <f ca="1">IFERROR(__xludf.DUMMYFUNCTION("GOOGLETRANSLATE(A10970,""bn"",""en"")"),"I will continue to eat in the cafeteria")</f>
        <v>I will continue to eat in the cafeteria</v>
      </c>
      <c r="D10970" s="5"/>
      <c r="E10970" s="5"/>
      <c r="F10970" s="5"/>
      <c r="G10970" s="5"/>
      <c r="H10970" s="5"/>
      <c r="I10970" s="5"/>
      <c r="J10970" s="5"/>
      <c r="K10970" s="5"/>
      <c r="L10970" s="5"/>
      <c r="M10970" s="5"/>
      <c r="N10970" s="5"/>
      <c r="O10970" s="5"/>
      <c r="P10970" s="5"/>
      <c r="Q10970" s="5"/>
      <c r="R10970" s="5"/>
      <c r="S10970" s="5"/>
      <c r="T10970" s="5"/>
      <c r="U10970" s="5"/>
      <c r="V10970" s="5"/>
      <c r="W10970" s="5"/>
      <c r="X10970" s="5"/>
      <c r="Y10970" s="5"/>
      <c r="Z10970" s="5"/>
    </row>
    <row r="10971" spans="1:26" ht="15" x14ac:dyDescent="0.25">
      <c r="A10971" s="4" t="s">
        <v>10968</v>
      </c>
      <c r="B10971" s="4" t="s">
        <v>9011</v>
      </c>
      <c r="C10971" s="2" t="str">
        <f ca="1">IFERROR(__xludf.DUMMYFUNCTION("GOOGLETRANSLATE(A10971,""bn"",""en"")"),"I will be enthusiastic about traveling")</f>
        <v>I will be enthusiastic about traveling</v>
      </c>
      <c r="D10971" s="5"/>
      <c r="E10971" s="5"/>
      <c r="F10971" s="5"/>
      <c r="G10971" s="5"/>
      <c r="H10971" s="5"/>
      <c r="I10971" s="5"/>
      <c r="J10971" s="5"/>
      <c r="K10971" s="5"/>
      <c r="L10971" s="5"/>
      <c r="M10971" s="5"/>
      <c r="N10971" s="5"/>
      <c r="O10971" s="5"/>
      <c r="P10971" s="5"/>
      <c r="Q10971" s="5"/>
      <c r="R10971" s="5"/>
      <c r="S10971" s="5"/>
      <c r="T10971" s="5"/>
      <c r="U10971" s="5"/>
      <c r="V10971" s="5"/>
      <c r="W10971" s="5"/>
      <c r="X10971" s="5"/>
      <c r="Y10971" s="5"/>
      <c r="Z10971" s="5"/>
    </row>
    <row r="10972" spans="1:26" ht="15" x14ac:dyDescent="0.25">
      <c r="A10972" s="4" t="s">
        <v>10969</v>
      </c>
      <c r="B10972" s="4" t="s">
        <v>9011</v>
      </c>
      <c r="C10972" s="2" t="str">
        <f ca="1">IFERROR(__xludf.DUMMYFUNCTION("GOOGLETRANSLATE(A10972,""bn"",""en"")"),"The team will play badminton")</f>
        <v>The team will play badminton</v>
      </c>
      <c r="D10972" s="5"/>
      <c r="E10972" s="5"/>
      <c r="F10972" s="5"/>
      <c r="G10972" s="5"/>
      <c r="H10972" s="5"/>
      <c r="I10972" s="5"/>
      <c r="J10972" s="5"/>
      <c r="K10972" s="5"/>
      <c r="L10972" s="5"/>
      <c r="M10972" s="5"/>
      <c r="N10972" s="5"/>
      <c r="O10972" s="5"/>
      <c r="P10972" s="5"/>
      <c r="Q10972" s="5"/>
      <c r="R10972" s="5"/>
      <c r="S10972" s="5"/>
      <c r="T10972" s="5"/>
      <c r="U10972" s="5"/>
      <c r="V10972" s="5"/>
      <c r="W10972" s="5"/>
      <c r="X10972" s="5"/>
      <c r="Y10972" s="5"/>
      <c r="Z10972" s="5"/>
    </row>
    <row r="10973" spans="1:26" ht="15" x14ac:dyDescent="0.25">
      <c r="A10973" s="4" t="s">
        <v>10970</v>
      </c>
      <c r="B10973" s="4" t="s">
        <v>9011</v>
      </c>
      <c r="C10973" s="2" t="str">
        <f ca="1">IFERROR(__xludf.DUMMYFUNCTION("GOOGLETRANSLATE(A10973,""bn"",""en"")"),"Weight will be less")</f>
        <v>Weight will be less</v>
      </c>
      <c r="D10973" s="5"/>
      <c r="E10973" s="5"/>
      <c r="F10973" s="5"/>
      <c r="G10973" s="5"/>
      <c r="H10973" s="5"/>
      <c r="I10973" s="5"/>
      <c r="J10973" s="5"/>
      <c r="K10973" s="5"/>
      <c r="L10973" s="5"/>
      <c r="M10973" s="5"/>
      <c r="N10973" s="5"/>
      <c r="O10973" s="5"/>
      <c r="P10973" s="5"/>
      <c r="Q10973" s="5"/>
      <c r="R10973" s="5"/>
      <c r="S10973" s="5"/>
      <c r="T10973" s="5"/>
      <c r="U10973" s="5"/>
      <c r="V10973" s="5"/>
      <c r="W10973" s="5"/>
      <c r="X10973" s="5"/>
      <c r="Y10973" s="5"/>
      <c r="Z10973" s="5"/>
    </row>
    <row r="10974" spans="1:26" ht="15" x14ac:dyDescent="0.25">
      <c r="A10974" s="4" t="s">
        <v>10971</v>
      </c>
      <c r="B10974" s="4" t="s">
        <v>9011</v>
      </c>
      <c r="C10974" s="2" t="str">
        <f ca="1">IFERROR(__xludf.DUMMYFUNCTION("GOOGLETRANSLATE(A10974,""bn"",""en"")"),"I will be happy")</f>
        <v>I will be happy</v>
      </c>
      <c r="D10974" s="5"/>
      <c r="E10974" s="5"/>
      <c r="F10974" s="5"/>
      <c r="G10974" s="5"/>
      <c r="H10974" s="5"/>
      <c r="I10974" s="5"/>
      <c r="J10974" s="5"/>
      <c r="K10974" s="5"/>
      <c r="L10974" s="5"/>
      <c r="M10974" s="5"/>
      <c r="N10974" s="5"/>
      <c r="O10974" s="5"/>
      <c r="P10974" s="5"/>
      <c r="Q10974" s="5"/>
      <c r="R10974" s="5"/>
      <c r="S10974" s="5"/>
      <c r="T10974" s="5"/>
      <c r="U10974" s="5"/>
      <c r="V10974" s="5"/>
      <c r="W10974" s="5"/>
      <c r="X10974" s="5"/>
      <c r="Y10974" s="5"/>
      <c r="Z10974" s="5"/>
    </row>
    <row r="10975" spans="1:26" ht="15" x14ac:dyDescent="0.25">
      <c r="A10975" s="4" t="s">
        <v>10972</v>
      </c>
      <c r="B10975" s="4" t="s">
        <v>9011</v>
      </c>
      <c r="C10975" s="2" t="str">
        <f ca="1">IFERROR(__xludf.DUMMYFUNCTION("GOOGLETRANSLATE(A10975,""bn"",""en"")"),"I will use bluetooth")</f>
        <v>I will use bluetooth</v>
      </c>
      <c r="D10975" s="5"/>
      <c r="E10975" s="5"/>
      <c r="F10975" s="5"/>
      <c r="G10975" s="5"/>
      <c r="H10975" s="5"/>
      <c r="I10975" s="5"/>
      <c r="J10975" s="5"/>
      <c r="K10975" s="5"/>
      <c r="L10975" s="5"/>
      <c r="M10975" s="5"/>
      <c r="N10975" s="5"/>
      <c r="O10975" s="5"/>
      <c r="P10975" s="5"/>
      <c r="Q10975" s="5"/>
      <c r="R10975" s="5"/>
      <c r="S10975" s="5"/>
      <c r="T10975" s="5"/>
      <c r="U10975" s="5"/>
      <c r="V10975" s="5"/>
      <c r="W10975" s="5"/>
      <c r="X10975" s="5"/>
      <c r="Y10975" s="5"/>
      <c r="Z10975" s="5"/>
    </row>
    <row r="10976" spans="1:26" ht="15" x14ac:dyDescent="0.25">
      <c r="A10976" s="4" t="s">
        <v>10973</v>
      </c>
      <c r="B10976" s="4" t="s">
        <v>9011</v>
      </c>
      <c r="C10976" s="2" t="str">
        <f ca="1">IFERROR(__xludf.DUMMYFUNCTION("GOOGLETRANSLATE(A10976,""bn"",""en"")"),"I will operate Linux")</f>
        <v>I will operate Linux</v>
      </c>
      <c r="D10976" s="5"/>
      <c r="E10976" s="5"/>
      <c r="F10976" s="5"/>
      <c r="G10976" s="5"/>
      <c r="H10976" s="5"/>
      <c r="I10976" s="5"/>
      <c r="J10976" s="5"/>
      <c r="K10976" s="5"/>
      <c r="L10976" s="5"/>
      <c r="M10976" s="5"/>
      <c r="N10976" s="5"/>
      <c r="O10976" s="5"/>
      <c r="P10976" s="5"/>
      <c r="Q10976" s="5"/>
      <c r="R10976" s="5"/>
      <c r="S10976" s="5"/>
      <c r="T10976" s="5"/>
      <c r="U10976" s="5"/>
      <c r="V10976" s="5"/>
      <c r="W10976" s="5"/>
      <c r="X10976" s="5"/>
      <c r="Y10976" s="5"/>
      <c r="Z10976" s="5"/>
    </row>
    <row r="10977" spans="1:26" ht="15" x14ac:dyDescent="0.25">
      <c r="A10977" s="4" t="s">
        <v>10974</v>
      </c>
      <c r="B10977" s="4" t="s">
        <v>9011</v>
      </c>
      <c r="C10977" s="2" t="str">
        <f ca="1">IFERROR(__xludf.DUMMYFUNCTION("GOOGLETRANSLATE(A10977,""bn"",""en"")"),"Technology will suffer")</f>
        <v>Technology will suffer</v>
      </c>
      <c r="D10977" s="5"/>
      <c r="E10977" s="5"/>
      <c r="F10977" s="5"/>
      <c r="G10977" s="5"/>
      <c r="H10977" s="5"/>
      <c r="I10977" s="5"/>
      <c r="J10977" s="5"/>
      <c r="K10977" s="5"/>
      <c r="L10977" s="5"/>
      <c r="M10977" s="5"/>
      <c r="N10977" s="5"/>
      <c r="O10977" s="5"/>
      <c r="P10977" s="5"/>
      <c r="Q10977" s="5"/>
      <c r="R10977" s="5"/>
      <c r="S10977" s="5"/>
      <c r="T10977" s="5"/>
      <c r="U10977" s="5"/>
      <c r="V10977" s="5"/>
      <c r="W10977" s="5"/>
      <c r="X10977" s="5"/>
      <c r="Y10977" s="5"/>
      <c r="Z10977" s="5"/>
    </row>
    <row r="10978" spans="1:26" ht="15" x14ac:dyDescent="0.25">
      <c r="A10978" s="4" t="s">
        <v>10975</v>
      </c>
      <c r="B10978" s="4" t="s">
        <v>9011</v>
      </c>
      <c r="C10978" s="2" t="str">
        <f ca="1">IFERROR(__xludf.DUMMYFUNCTION("GOOGLETRANSLATE(A10978,""bn"",""en"")"),"He will eat sweets")</f>
        <v>He will eat sweets</v>
      </c>
      <c r="D10978" s="5"/>
      <c r="E10978" s="5"/>
      <c r="F10978" s="5"/>
      <c r="G10978" s="5"/>
      <c r="H10978" s="5"/>
      <c r="I10978" s="5"/>
      <c r="J10978" s="5"/>
      <c r="K10978" s="5"/>
      <c r="L10978" s="5"/>
      <c r="M10978" s="5"/>
      <c r="N10978" s="5"/>
      <c r="O10978" s="5"/>
      <c r="P10978" s="5"/>
      <c r="Q10978" s="5"/>
      <c r="R10978" s="5"/>
      <c r="S10978" s="5"/>
      <c r="T10978" s="5"/>
      <c r="U10978" s="5"/>
      <c r="V10978" s="5"/>
      <c r="W10978" s="5"/>
      <c r="X10978" s="5"/>
      <c r="Y10978" s="5"/>
      <c r="Z10978" s="5"/>
    </row>
    <row r="10979" spans="1:26" ht="15" x14ac:dyDescent="0.25">
      <c r="A10979" s="4" t="s">
        <v>10976</v>
      </c>
      <c r="B10979" s="4" t="s">
        <v>9011</v>
      </c>
      <c r="C10979" s="2" t="str">
        <f ca="1">IFERROR(__xludf.DUMMYFUNCTION("GOOGLETRANSLATE(A10979,""bn"",""en"")"),"He will go to the restaurant to eat sweets")</f>
        <v>He will go to the restaurant to eat sweets</v>
      </c>
      <c r="D10979" s="5"/>
      <c r="E10979" s="5"/>
      <c r="F10979" s="5"/>
      <c r="G10979" s="5"/>
      <c r="H10979" s="5"/>
      <c r="I10979" s="5"/>
      <c r="J10979" s="5"/>
      <c r="K10979" s="5"/>
      <c r="L10979" s="5"/>
      <c r="M10979" s="5"/>
      <c r="N10979" s="5"/>
      <c r="O10979" s="5"/>
      <c r="P10979" s="5"/>
      <c r="Q10979" s="5"/>
      <c r="R10979" s="5"/>
      <c r="S10979" s="5"/>
      <c r="T10979" s="5"/>
      <c r="U10979" s="5"/>
      <c r="V10979" s="5"/>
      <c r="W10979" s="5"/>
      <c r="X10979" s="5"/>
      <c r="Y10979" s="5"/>
      <c r="Z10979" s="5"/>
    </row>
    <row r="10980" spans="1:26" ht="15" x14ac:dyDescent="0.25">
      <c r="A10980" s="4" t="s">
        <v>10977</v>
      </c>
      <c r="B10980" s="4" t="s">
        <v>9011</v>
      </c>
      <c r="C10980" s="2" t="str">
        <f ca="1">IFERROR(__xludf.DUMMYFUNCTION("GOOGLETRANSLATE(A10980,""bn"",""en"")"),"Eat baked chicken")</f>
        <v>Eat baked chicken</v>
      </c>
      <c r="D10980" s="5"/>
      <c r="E10980" s="5"/>
      <c r="F10980" s="5"/>
      <c r="G10980" s="5"/>
      <c r="H10980" s="5"/>
      <c r="I10980" s="5"/>
      <c r="J10980" s="5"/>
      <c r="K10980" s="5"/>
      <c r="L10980" s="5"/>
      <c r="M10980" s="5"/>
      <c r="N10980" s="5"/>
      <c r="O10980" s="5"/>
      <c r="P10980" s="5"/>
      <c r="Q10980" s="5"/>
      <c r="R10980" s="5"/>
      <c r="S10980" s="5"/>
      <c r="T10980" s="5"/>
      <c r="U10980" s="5"/>
      <c r="V10980" s="5"/>
      <c r="W10980" s="5"/>
      <c r="X10980" s="5"/>
      <c r="Y10980" s="5"/>
      <c r="Z10980" s="5"/>
    </row>
    <row r="10981" spans="1:26" ht="15" x14ac:dyDescent="0.25">
      <c r="A10981" s="4" t="s">
        <v>10978</v>
      </c>
      <c r="B10981" s="4" t="s">
        <v>9011</v>
      </c>
      <c r="C10981" s="2" t="str">
        <f ca="1">IFERROR(__xludf.DUMMYFUNCTION("GOOGLETRANSLATE(A10981,""bn"",""en"")"),"Hitech Park will be designed")</f>
        <v>Hitech Park will be designed</v>
      </c>
      <c r="D10981" s="5"/>
      <c r="E10981" s="5"/>
      <c r="F10981" s="5"/>
      <c r="G10981" s="5"/>
      <c r="H10981" s="5"/>
      <c r="I10981" s="5"/>
      <c r="J10981" s="5"/>
      <c r="K10981" s="5"/>
      <c r="L10981" s="5"/>
      <c r="M10981" s="5"/>
      <c r="N10981" s="5"/>
      <c r="O10981" s="5"/>
      <c r="P10981" s="5"/>
      <c r="Q10981" s="5"/>
      <c r="R10981" s="5"/>
      <c r="S10981" s="5"/>
      <c r="T10981" s="5"/>
      <c r="U10981" s="5"/>
      <c r="V10981" s="5"/>
      <c r="W10981" s="5"/>
      <c r="X10981" s="5"/>
      <c r="Y10981" s="5"/>
      <c r="Z10981" s="5"/>
    </row>
    <row r="10982" spans="1:26" ht="15" x14ac:dyDescent="0.25">
      <c r="A10982" s="4" t="s">
        <v>10979</v>
      </c>
      <c r="B10982" s="4" t="s">
        <v>9011</v>
      </c>
      <c r="C10982" s="2" t="str">
        <f ca="1">IFERROR(__xludf.DUMMYFUNCTION("GOOGLETRANSLATE(A10982,""bn"",""en"")"),"I will find peace in retirement")</f>
        <v>I will find peace in retirement</v>
      </c>
      <c r="D10982" s="5"/>
      <c r="E10982" s="5"/>
      <c r="F10982" s="5"/>
      <c r="G10982" s="5"/>
      <c r="H10982" s="5"/>
      <c r="I10982" s="5"/>
      <c r="J10982" s="5"/>
      <c r="K10982" s="5"/>
      <c r="L10982" s="5"/>
      <c r="M10982" s="5"/>
      <c r="N10982" s="5"/>
      <c r="O10982" s="5"/>
      <c r="P10982" s="5"/>
      <c r="Q10982" s="5"/>
      <c r="R10982" s="5"/>
      <c r="S10982" s="5"/>
      <c r="T10982" s="5"/>
      <c r="U10982" s="5"/>
      <c r="V10982" s="5"/>
      <c r="W10982" s="5"/>
      <c r="X10982" s="5"/>
      <c r="Y10982" s="5"/>
      <c r="Z10982" s="5"/>
    </row>
    <row r="10983" spans="1:26" ht="15" x14ac:dyDescent="0.25">
      <c r="A10983" s="4" t="s">
        <v>10980</v>
      </c>
      <c r="B10983" s="4" t="s">
        <v>9011</v>
      </c>
      <c r="C10983" s="2" t="str">
        <f ca="1">IFERROR(__xludf.DUMMYFUNCTION("GOOGLETRANSLATE(A10983,""bn"",""en"")"),"There will be a new state")</f>
        <v>There will be a new state</v>
      </c>
      <c r="D10983" s="5"/>
      <c r="E10983" s="5"/>
      <c r="F10983" s="5"/>
      <c r="G10983" s="5"/>
      <c r="H10983" s="5"/>
      <c r="I10983" s="5"/>
      <c r="J10983" s="5"/>
      <c r="K10983" s="5"/>
      <c r="L10983" s="5"/>
      <c r="M10983" s="5"/>
      <c r="N10983" s="5"/>
      <c r="O10983" s="5"/>
      <c r="P10983" s="5"/>
      <c r="Q10983" s="5"/>
      <c r="R10983" s="5"/>
      <c r="S10983" s="5"/>
      <c r="T10983" s="5"/>
      <c r="U10983" s="5"/>
      <c r="V10983" s="5"/>
      <c r="W10983" s="5"/>
      <c r="X10983" s="5"/>
      <c r="Y10983" s="5"/>
      <c r="Z10983" s="5"/>
    </row>
    <row r="10984" spans="1:26" ht="15" x14ac:dyDescent="0.25">
      <c r="A10984" s="4" t="s">
        <v>10981</v>
      </c>
      <c r="B10984" s="4" t="s">
        <v>9011</v>
      </c>
      <c r="C10984" s="2" t="str">
        <f ca="1">IFERROR(__xludf.DUMMYFUNCTION("GOOGLETRANSLATE(A10984,""bn"",""en"")"),"Security will be updated")</f>
        <v>Security will be updated</v>
      </c>
      <c r="D10984" s="5"/>
      <c r="E10984" s="5"/>
      <c r="F10984" s="5"/>
      <c r="G10984" s="5"/>
      <c r="H10984" s="5"/>
      <c r="I10984" s="5"/>
      <c r="J10984" s="5"/>
      <c r="K10984" s="5"/>
      <c r="L10984" s="5"/>
      <c r="M10984" s="5"/>
      <c r="N10984" s="5"/>
      <c r="O10984" s="5"/>
      <c r="P10984" s="5"/>
      <c r="Q10984" s="5"/>
      <c r="R10984" s="5"/>
      <c r="S10984" s="5"/>
      <c r="T10984" s="5"/>
      <c r="U10984" s="5"/>
      <c r="V10984" s="5"/>
      <c r="W10984" s="5"/>
      <c r="X10984" s="5"/>
      <c r="Y10984" s="5"/>
      <c r="Z10984" s="5"/>
    </row>
    <row r="10985" spans="1:26" ht="15" x14ac:dyDescent="0.25">
      <c r="A10985" s="4" t="s">
        <v>10982</v>
      </c>
      <c r="B10985" s="4" t="s">
        <v>9011</v>
      </c>
      <c r="C10985" s="2" t="str">
        <f ca="1">IFERROR(__xludf.DUMMYFUNCTION("GOOGLETRANSLATE(A10985,""bn"",""en"")"),"Motor will be supplied")</f>
        <v>Motor will be supplied</v>
      </c>
      <c r="D10985" s="5"/>
      <c r="E10985" s="5"/>
      <c r="F10985" s="5"/>
      <c r="G10985" s="5"/>
      <c r="H10985" s="5"/>
      <c r="I10985" s="5"/>
      <c r="J10985" s="5"/>
      <c r="K10985" s="5"/>
      <c r="L10985" s="5"/>
      <c r="M10985" s="5"/>
      <c r="N10985" s="5"/>
      <c r="O10985" s="5"/>
      <c r="P10985" s="5"/>
      <c r="Q10985" s="5"/>
      <c r="R10985" s="5"/>
      <c r="S10985" s="5"/>
      <c r="T10985" s="5"/>
      <c r="U10985" s="5"/>
      <c r="V10985" s="5"/>
      <c r="W10985" s="5"/>
      <c r="X10985" s="5"/>
      <c r="Y10985" s="5"/>
      <c r="Z10985" s="5"/>
    </row>
    <row r="10986" spans="1:26" ht="15" x14ac:dyDescent="0.25">
      <c r="A10986" s="4" t="s">
        <v>10983</v>
      </c>
      <c r="B10986" s="4" t="s">
        <v>9011</v>
      </c>
      <c r="C10986" s="2" t="str">
        <f ca="1">IFERROR(__xludf.DUMMYFUNCTION("GOOGLETRANSLATE(A10986,""bn"",""en"")"),"There will be code review")</f>
        <v>There will be code review</v>
      </c>
      <c r="D10986" s="5"/>
      <c r="E10986" s="5"/>
      <c r="F10986" s="5"/>
      <c r="G10986" s="5"/>
      <c r="H10986" s="5"/>
      <c r="I10986" s="5"/>
      <c r="J10986" s="5"/>
      <c r="K10986" s="5"/>
      <c r="L10986" s="5"/>
      <c r="M10986" s="5"/>
      <c r="N10986" s="5"/>
      <c r="O10986" s="5"/>
      <c r="P10986" s="5"/>
      <c r="Q10986" s="5"/>
      <c r="R10986" s="5"/>
      <c r="S10986" s="5"/>
      <c r="T10986" s="5"/>
      <c r="U10986" s="5"/>
      <c r="V10986" s="5"/>
      <c r="W10986" s="5"/>
      <c r="X10986" s="5"/>
      <c r="Y10986" s="5"/>
      <c r="Z10986" s="5"/>
    </row>
    <row r="10987" spans="1:26" ht="15" x14ac:dyDescent="0.25">
      <c r="A10987" s="4" t="s">
        <v>10984</v>
      </c>
      <c r="B10987" s="4" t="s">
        <v>9011</v>
      </c>
      <c r="C10987" s="2" t="str">
        <f ca="1">IFERROR(__xludf.DUMMYFUNCTION("GOOGLETRANSLATE(A10987,""bn"",""en"")"),"Attitudes will change")</f>
        <v>Attitudes will change</v>
      </c>
      <c r="D10987" s="5"/>
      <c r="E10987" s="5"/>
      <c r="F10987" s="5"/>
      <c r="G10987" s="5"/>
      <c r="H10987" s="5"/>
      <c r="I10987" s="5"/>
      <c r="J10987" s="5"/>
      <c r="K10987" s="5"/>
      <c r="L10987" s="5"/>
      <c r="M10987" s="5"/>
      <c r="N10987" s="5"/>
      <c r="O10987" s="5"/>
      <c r="P10987" s="5"/>
      <c r="Q10987" s="5"/>
      <c r="R10987" s="5"/>
      <c r="S10987" s="5"/>
      <c r="T10987" s="5"/>
      <c r="U10987" s="5"/>
      <c r="V10987" s="5"/>
      <c r="W10987" s="5"/>
      <c r="X10987" s="5"/>
      <c r="Y10987" s="5"/>
      <c r="Z10987" s="5"/>
    </row>
    <row r="10988" spans="1:26" ht="15" x14ac:dyDescent="0.25">
      <c r="A10988" s="4" t="s">
        <v>10985</v>
      </c>
      <c r="B10988" s="4" t="s">
        <v>9011</v>
      </c>
      <c r="C10988" s="2" t="str">
        <f ca="1">IFERROR(__xludf.DUMMYFUNCTION("GOOGLETRANSLATE(A10988,""bn"",""en"")"),"I will write the file")</f>
        <v>I will write the file</v>
      </c>
      <c r="D10988" s="5"/>
      <c r="E10988" s="5"/>
      <c r="F10988" s="5"/>
      <c r="G10988" s="5"/>
      <c r="H10988" s="5"/>
      <c r="I10988" s="5"/>
      <c r="J10988" s="5"/>
      <c r="K10988" s="5"/>
      <c r="L10988" s="5"/>
      <c r="M10988" s="5"/>
      <c r="N10988" s="5"/>
      <c r="O10988" s="5"/>
      <c r="P10988" s="5"/>
      <c r="Q10988" s="5"/>
      <c r="R10988" s="5"/>
      <c r="S10988" s="5"/>
      <c r="T10988" s="5"/>
      <c r="U10988" s="5"/>
      <c r="V10988" s="5"/>
      <c r="W10988" s="5"/>
      <c r="X10988" s="5"/>
      <c r="Y10988" s="5"/>
      <c r="Z10988" s="5"/>
    </row>
    <row r="10989" spans="1:26" ht="15" x14ac:dyDescent="0.25">
      <c r="A10989" s="4" t="s">
        <v>10986</v>
      </c>
      <c r="B10989" s="4" t="s">
        <v>9011</v>
      </c>
      <c r="C10989" s="2" t="str">
        <f ca="1">IFERROR(__xludf.DUMMYFUNCTION("GOOGLETRANSLATE(A10989,""bn"",""en"")"),"I will play at school")</f>
        <v>I will play at school</v>
      </c>
      <c r="D10989" s="5"/>
      <c r="E10989" s="5"/>
      <c r="F10989" s="5"/>
      <c r="G10989" s="5"/>
      <c r="H10989" s="5"/>
      <c r="I10989" s="5"/>
      <c r="J10989" s="5"/>
      <c r="K10989" s="5"/>
      <c r="L10989" s="5"/>
      <c r="M10989" s="5"/>
      <c r="N10989" s="5"/>
      <c r="O10989" s="5"/>
      <c r="P10989" s="5"/>
      <c r="Q10989" s="5"/>
      <c r="R10989" s="5"/>
      <c r="S10989" s="5"/>
      <c r="T10989" s="5"/>
      <c r="U10989" s="5"/>
      <c r="V10989" s="5"/>
      <c r="W10989" s="5"/>
      <c r="X10989" s="5"/>
      <c r="Y10989" s="5"/>
      <c r="Z10989" s="5"/>
    </row>
    <row r="10990" spans="1:26" ht="15" x14ac:dyDescent="0.25">
      <c r="A10990" s="4" t="s">
        <v>10987</v>
      </c>
      <c r="B10990" s="4" t="s">
        <v>9011</v>
      </c>
      <c r="C10990" s="2" t="str">
        <f ca="1">IFERROR(__xludf.DUMMYFUNCTION("GOOGLETRANSLATE(A10990,""bn"",""en"")"),"There will be technology requirements")</f>
        <v>There will be technology requirements</v>
      </c>
      <c r="D10990" s="5"/>
      <c r="E10990" s="5"/>
      <c r="F10990" s="5"/>
      <c r="G10990" s="5"/>
      <c r="H10990" s="5"/>
      <c r="I10990" s="5"/>
      <c r="J10990" s="5"/>
      <c r="K10990" s="5"/>
      <c r="L10990" s="5"/>
      <c r="M10990" s="5"/>
      <c r="N10990" s="5"/>
      <c r="O10990" s="5"/>
      <c r="P10990" s="5"/>
      <c r="Q10990" s="5"/>
      <c r="R10990" s="5"/>
      <c r="S10990" s="5"/>
      <c r="T10990" s="5"/>
      <c r="U10990" s="5"/>
      <c r="V10990" s="5"/>
      <c r="W10990" s="5"/>
      <c r="X10990" s="5"/>
      <c r="Y10990" s="5"/>
      <c r="Z10990" s="5"/>
    </row>
    <row r="10991" spans="1:26" ht="15" x14ac:dyDescent="0.25">
      <c r="A10991" s="4" t="s">
        <v>10988</v>
      </c>
      <c r="B10991" s="4" t="s">
        <v>9011</v>
      </c>
      <c r="C10991" s="2" t="str">
        <f ca="1">IFERROR(__xludf.DUMMYFUNCTION("GOOGLETRANSLATE(A10991,""bn"",""en"")"),"I will close the account")</f>
        <v>I will close the account</v>
      </c>
      <c r="D10991" s="5"/>
      <c r="E10991" s="5"/>
      <c r="F10991" s="5"/>
      <c r="G10991" s="5"/>
      <c r="H10991" s="5"/>
      <c r="I10991" s="5"/>
      <c r="J10991" s="5"/>
      <c r="K10991" s="5"/>
      <c r="L10991" s="5"/>
      <c r="M10991" s="5"/>
      <c r="N10991" s="5"/>
      <c r="O10991" s="5"/>
      <c r="P10991" s="5"/>
      <c r="Q10991" s="5"/>
      <c r="R10991" s="5"/>
      <c r="S10991" s="5"/>
      <c r="T10991" s="5"/>
      <c r="U10991" s="5"/>
      <c r="V10991" s="5"/>
      <c r="W10991" s="5"/>
      <c r="X10991" s="5"/>
      <c r="Y10991" s="5"/>
      <c r="Z10991" s="5"/>
    </row>
    <row r="10992" spans="1:26" ht="15" x14ac:dyDescent="0.25">
      <c r="A10992" s="4" t="s">
        <v>10989</v>
      </c>
      <c r="B10992" s="4" t="s">
        <v>9011</v>
      </c>
      <c r="C10992" s="2" t="str">
        <f ca="1">IFERROR(__xludf.DUMMYFUNCTION("GOOGLETRANSLATE(A10992,""bn"",""en"")"),"I will use mobile")</f>
        <v>I will use mobile</v>
      </c>
      <c r="D10992" s="5"/>
      <c r="E10992" s="5"/>
      <c r="F10992" s="5"/>
      <c r="G10992" s="5"/>
      <c r="H10992" s="5"/>
      <c r="I10992" s="5"/>
      <c r="J10992" s="5"/>
      <c r="K10992" s="5"/>
      <c r="L10992" s="5"/>
      <c r="M10992" s="5"/>
      <c r="N10992" s="5"/>
      <c r="O10992" s="5"/>
      <c r="P10992" s="5"/>
      <c r="Q10992" s="5"/>
      <c r="R10992" s="5"/>
      <c r="S10992" s="5"/>
      <c r="T10992" s="5"/>
      <c r="U10992" s="5"/>
      <c r="V10992" s="5"/>
      <c r="W10992" s="5"/>
      <c r="X10992" s="5"/>
      <c r="Y10992" s="5"/>
      <c r="Z10992" s="5"/>
    </row>
    <row r="10993" spans="1:26" ht="15" x14ac:dyDescent="0.25">
      <c r="A10993" s="4" t="s">
        <v>10990</v>
      </c>
      <c r="B10993" s="4" t="s">
        <v>9011</v>
      </c>
      <c r="C10993" s="2" t="str">
        <f ca="1">IFERROR(__xludf.DUMMYFUNCTION("GOOGLETRANSLATE(A10993,""bn"",""en"")"),"I will look for information")</f>
        <v>I will look for information</v>
      </c>
      <c r="D10993" s="5"/>
      <c r="E10993" s="5"/>
      <c r="F10993" s="5"/>
      <c r="G10993" s="5"/>
      <c r="H10993" s="5"/>
      <c r="I10993" s="5"/>
      <c r="J10993" s="5"/>
      <c r="K10993" s="5"/>
      <c r="L10993" s="5"/>
      <c r="M10993" s="5"/>
      <c r="N10993" s="5"/>
      <c r="O10993" s="5"/>
      <c r="P10993" s="5"/>
      <c r="Q10993" s="5"/>
      <c r="R10993" s="5"/>
      <c r="S10993" s="5"/>
      <c r="T10993" s="5"/>
      <c r="U10993" s="5"/>
      <c r="V10993" s="5"/>
      <c r="W10993" s="5"/>
      <c r="X10993" s="5"/>
      <c r="Y10993" s="5"/>
      <c r="Z10993" s="5"/>
    </row>
    <row r="10994" spans="1:26" ht="15" x14ac:dyDescent="0.25">
      <c r="A10994" s="4" t="s">
        <v>10991</v>
      </c>
      <c r="B10994" s="4" t="s">
        <v>9011</v>
      </c>
      <c r="C10994" s="2" t="str">
        <f ca="1">IFERROR(__xludf.DUMMYFUNCTION("GOOGLETRANSLATE(A10994,""bn"",""en"")"),"I will observe the college")</f>
        <v>I will observe the college</v>
      </c>
      <c r="D10994" s="5"/>
      <c r="E10994" s="5"/>
      <c r="F10994" s="5"/>
      <c r="G10994" s="5"/>
      <c r="H10994" s="5"/>
      <c r="I10994" s="5"/>
      <c r="J10994" s="5"/>
      <c r="K10994" s="5"/>
      <c r="L10994" s="5"/>
      <c r="M10994" s="5"/>
      <c r="N10994" s="5"/>
      <c r="O10994" s="5"/>
      <c r="P10994" s="5"/>
      <c r="Q10994" s="5"/>
      <c r="R10994" s="5"/>
      <c r="S10994" s="5"/>
      <c r="T10994" s="5"/>
      <c r="U10994" s="5"/>
      <c r="V10994" s="5"/>
      <c r="W10994" s="5"/>
      <c r="X10994" s="5"/>
      <c r="Y10994" s="5"/>
      <c r="Z10994" s="5"/>
    </row>
    <row r="10995" spans="1:26" ht="15" x14ac:dyDescent="0.25">
      <c r="A10995" s="4" t="s">
        <v>10992</v>
      </c>
      <c r="B10995" s="4" t="s">
        <v>9011</v>
      </c>
      <c r="C10995" s="2" t="str">
        <f ca="1">IFERROR(__xludf.DUMMYFUNCTION("GOOGLETRANSLATE(A10995,""bn"",""en"")"),"Running will start")</f>
        <v>Running will start</v>
      </c>
      <c r="D10995" s="5"/>
      <c r="E10995" s="5"/>
      <c r="F10995" s="5"/>
      <c r="G10995" s="5"/>
      <c r="H10995" s="5"/>
      <c r="I10995" s="5"/>
      <c r="J10995" s="5"/>
      <c r="K10995" s="5"/>
      <c r="L10995" s="5"/>
      <c r="M10995" s="5"/>
      <c r="N10995" s="5"/>
      <c r="O10995" s="5"/>
      <c r="P10995" s="5"/>
      <c r="Q10995" s="5"/>
      <c r="R10995" s="5"/>
      <c r="S10995" s="5"/>
      <c r="T10995" s="5"/>
      <c r="U10995" s="5"/>
      <c r="V10995" s="5"/>
      <c r="W10995" s="5"/>
      <c r="X10995" s="5"/>
      <c r="Y10995" s="5"/>
      <c r="Z10995" s="5"/>
    </row>
    <row r="10996" spans="1:26" ht="15" x14ac:dyDescent="0.25">
      <c r="A10996" s="4" t="s">
        <v>10993</v>
      </c>
      <c r="B10996" s="4" t="s">
        <v>9011</v>
      </c>
      <c r="C10996" s="2" t="str">
        <f ca="1">IFERROR(__xludf.DUMMYFUNCTION("GOOGLETRANSLATE(A10996,""bn"",""en"")"),"Bank will give loan")</f>
        <v>Bank will give loan</v>
      </c>
      <c r="D10996" s="5"/>
      <c r="E10996" s="5"/>
      <c r="F10996" s="5"/>
      <c r="G10996" s="5"/>
      <c r="H10996" s="5"/>
      <c r="I10996" s="5"/>
      <c r="J10996" s="5"/>
      <c r="K10996" s="5"/>
      <c r="L10996" s="5"/>
      <c r="M10996" s="5"/>
      <c r="N10996" s="5"/>
      <c r="O10996" s="5"/>
      <c r="P10996" s="5"/>
      <c r="Q10996" s="5"/>
      <c r="R10996" s="5"/>
      <c r="S10996" s="5"/>
      <c r="T10996" s="5"/>
      <c r="U10996" s="5"/>
      <c r="V10996" s="5"/>
      <c r="W10996" s="5"/>
      <c r="X10996" s="5"/>
      <c r="Y10996" s="5"/>
      <c r="Z10996" s="5"/>
    </row>
    <row r="10997" spans="1:26" ht="15" x14ac:dyDescent="0.25">
      <c r="A10997" s="4" t="s">
        <v>10994</v>
      </c>
      <c r="B10997" s="4" t="s">
        <v>9011</v>
      </c>
      <c r="C10997" s="2" t="str">
        <f ca="1">IFERROR(__xludf.DUMMYFUNCTION("GOOGLETRANSLATE(A10997,""bn"",""en"")"),"I will sing")</f>
        <v>I will sing</v>
      </c>
      <c r="D10997" s="5"/>
      <c r="E10997" s="5"/>
      <c r="F10997" s="5"/>
      <c r="G10997" s="5"/>
      <c r="H10997" s="5"/>
      <c r="I10997" s="5"/>
      <c r="J10997" s="5"/>
      <c r="K10997" s="5"/>
      <c r="L10997" s="5"/>
      <c r="M10997" s="5"/>
      <c r="N10997" s="5"/>
      <c r="O10997" s="5"/>
      <c r="P10997" s="5"/>
      <c r="Q10997" s="5"/>
      <c r="R10997" s="5"/>
      <c r="S10997" s="5"/>
      <c r="T10997" s="5"/>
      <c r="U10997" s="5"/>
      <c r="V10997" s="5"/>
      <c r="W10997" s="5"/>
      <c r="X10997" s="5"/>
      <c r="Y10997" s="5"/>
      <c r="Z10997" s="5"/>
    </row>
    <row r="10998" spans="1:26" ht="15" x14ac:dyDescent="0.25">
      <c r="A10998" s="4" t="s">
        <v>10995</v>
      </c>
      <c r="B10998" s="4" t="s">
        <v>9011</v>
      </c>
      <c r="C10998" s="2" t="str">
        <f ca="1">IFERROR(__xludf.DUMMYFUNCTION("GOOGLETRANSLATE(A10998,""bn"",""en"")"),"I will continue programming")</f>
        <v>I will continue programming</v>
      </c>
      <c r="D10998" s="5"/>
      <c r="E10998" s="5"/>
      <c r="F10998" s="5"/>
      <c r="G10998" s="5"/>
      <c r="H10998" s="5"/>
      <c r="I10998" s="5"/>
      <c r="J10998" s="5"/>
      <c r="K10998" s="5"/>
      <c r="L10998" s="5"/>
      <c r="M10998" s="5"/>
      <c r="N10998" s="5"/>
      <c r="O10998" s="5"/>
      <c r="P10998" s="5"/>
      <c r="Q10998" s="5"/>
      <c r="R10998" s="5"/>
      <c r="S10998" s="5"/>
      <c r="T10998" s="5"/>
      <c r="U10998" s="5"/>
      <c r="V10998" s="5"/>
      <c r="W10998" s="5"/>
      <c r="X10998" s="5"/>
      <c r="Y10998" s="5"/>
      <c r="Z10998" s="5"/>
    </row>
    <row r="10999" spans="1:26" ht="15" x14ac:dyDescent="0.25">
      <c r="A10999" s="4" t="s">
        <v>10996</v>
      </c>
      <c r="B10999" s="4" t="s">
        <v>9011</v>
      </c>
      <c r="C10999" s="2" t="str">
        <f ca="1">IFERROR(__xludf.DUMMYFUNCTION("GOOGLETRANSLATE(A10999,""bn"",""en"")"),"I will buy a new laptop")</f>
        <v>I will buy a new laptop</v>
      </c>
      <c r="D10999" s="5"/>
      <c r="E10999" s="5"/>
      <c r="F10999" s="5"/>
      <c r="G10999" s="5"/>
      <c r="H10999" s="5"/>
      <c r="I10999" s="5"/>
      <c r="J10999" s="5"/>
      <c r="K10999" s="5"/>
      <c r="L10999" s="5"/>
      <c r="M10999" s="5"/>
      <c r="N10999" s="5"/>
      <c r="O10999" s="5"/>
      <c r="P10999" s="5"/>
      <c r="Q10999" s="5"/>
      <c r="R10999" s="5"/>
      <c r="S10999" s="5"/>
      <c r="T10999" s="5"/>
      <c r="U10999" s="5"/>
      <c r="V10999" s="5"/>
      <c r="W10999" s="5"/>
      <c r="X10999" s="5"/>
      <c r="Y10999" s="5"/>
      <c r="Z10999" s="5"/>
    </row>
    <row r="11000" spans="1:26" ht="15" x14ac:dyDescent="0.25">
      <c r="A11000" s="4" t="s">
        <v>10997</v>
      </c>
      <c r="B11000" s="4" t="s">
        <v>9011</v>
      </c>
      <c r="C11000" s="2" t="str">
        <f ca="1">IFERROR(__xludf.DUMMYFUNCTION("GOOGLETRANSLATE(A11000,""bn"",""en"")"),"You write notes")</f>
        <v>You write notes</v>
      </c>
      <c r="D11000" s="5"/>
      <c r="E11000" s="5"/>
      <c r="F11000" s="5"/>
      <c r="G11000" s="5"/>
      <c r="H11000" s="5"/>
      <c r="I11000" s="5"/>
      <c r="J11000" s="5"/>
      <c r="K11000" s="5"/>
      <c r="L11000" s="5"/>
      <c r="M11000" s="5"/>
      <c r="N11000" s="5"/>
      <c r="O11000" s="5"/>
      <c r="P11000" s="5"/>
      <c r="Q11000" s="5"/>
      <c r="R11000" s="5"/>
      <c r="S11000" s="5"/>
      <c r="T11000" s="5"/>
      <c r="U11000" s="5"/>
      <c r="V11000" s="5"/>
      <c r="W11000" s="5"/>
      <c r="X11000" s="5"/>
      <c r="Y11000" s="5"/>
      <c r="Z11000" s="5"/>
    </row>
    <row r="11001" spans="1:26" ht="15" x14ac:dyDescent="0.25">
      <c r="A11001" s="4" t="s">
        <v>10998</v>
      </c>
      <c r="B11001" s="4" t="s">
        <v>9011</v>
      </c>
      <c r="C11001" s="2" t="str">
        <f ca="1">IFERROR(__xludf.DUMMYFUNCTION("GOOGLETRANSLATE(A11001,""bn"",""en"")"),"Arabic will be studied")</f>
        <v>Arabic will be studied</v>
      </c>
      <c r="D11001" s="5"/>
      <c r="E11001" s="5"/>
      <c r="F11001" s="5"/>
      <c r="G11001" s="5"/>
      <c r="H11001" s="5"/>
      <c r="I11001" s="5"/>
      <c r="J11001" s="5"/>
      <c r="K11001" s="5"/>
      <c r="L11001" s="5"/>
      <c r="M11001" s="5"/>
      <c r="N11001" s="5"/>
      <c r="O11001" s="5"/>
      <c r="P11001" s="5"/>
      <c r="Q11001" s="5"/>
      <c r="R11001" s="5"/>
      <c r="S11001" s="5"/>
      <c r="T11001" s="5"/>
      <c r="U11001" s="5"/>
      <c r="V11001" s="5"/>
      <c r="W11001" s="5"/>
      <c r="X11001" s="5"/>
      <c r="Y11001" s="5"/>
      <c r="Z11001" s="5"/>
    </row>
    <row r="11002" spans="1:26" ht="15" x14ac:dyDescent="0.25">
      <c r="A11002" s="4" t="s">
        <v>10999</v>
      </c>
      <c r="B11002" s="4" t="s">
        <v>9011</v>
      </c>
      <c r="C11002" s="2" t="str">
        <f ca="1">IFERROR(__xludf.DUMMYFUNCTION("GOOGLETRANSLATE(A11002,""bn"",""en"")"),"I will enroll for the semester")</f>
        <v>I will enroll for the semester</v>
      </c>
      <c r="D11002" s="5"/>
      <c r="E11002" s="5"/>
      <c r="F11002" s="5"/>
      <c r="G11002" s="5"/>
      <c r="H11002" s="5"/>
      <c r="I11002" s="5"/>
      <c r="J11002" s="5"/>
      <c r="K11002" s="5"/>
      <c r="L11002" s="5"/>
      <c r="M11002" s="5"/>
      <c r="N11002" s="5"/>
      <c r="O11002" s="5"/>
      <c r="P11002" s="5"/>
      <c r="Q11002" s="5"/>
      <c r="R11002" s="5"/>
      <c r="S11002" s="5"/>
      <c r="T11002" s="5"/>
      <c r="U11002" s="5"/>
      <c r="V11002" s="5"/>
      <c r="W11002" s="5"/>
      <c r="X11002" s="5"/>
      <c r="Y11002" s="5"/>
      <c r="Z11002" s="5"/>
    </row>
    <row r="11003" spans="1:26" ht="15" x14ac:dyDescent="0.25">
      <c r="A11003" s="4" t="s">
        <v>11000</v>
      </c>
      <c r="B11003" s="4" t="s">
        <v>9011</v>
      </c>
      <c r="C11003" s="2" t="str">
        <f ca="1">IFERROR(__xludf.DUMMYFUNCTION("GOOGLETRANSLATE(A11003,""bn"",""en"")"),"want to do business")</f>
        <v>want to do business</v>
      </c>
      <c r="D11003" s="5"/>
      <c r="E11003" s="5"/>
      <c r="F11003" s="5"/>
      <c r="G11003" s="5"/>
      <c r="H11003" s="5"/>
      <c r="I11003" s="5"/>
      <c r="J11003" s="5"/>
      <c r="K11003" s="5"/>
      <c r="L11003" s="5"/>
      <c r="M11003" s="5"/>
      <c r="N11003" s="5"/>
      <c r="O11003" s="5"/>
      <c r="P11003" s="5"/>
      <c r="Q11003" s="5"/>
      <c r="R11003" s="5"/>
      <c r="S11003" s="5"/>
      <c r="T11003" s="5"/>
      <c r="U11003" s="5"/>
      <c r="V11003" s="5"/>
      <c r="W11003" s="5"/>
      <c r="X11003" s="5"/>
      <c r="Y11003" s="5"/>
      <c r="Z11003" s="5"/>
    </row>
    <row r="11004" spans="1:26" ht="15" x14ac:dyDescent="0.25">
      <c r="A11004" s="4" t="s">
        <v>11001</v>
      </c>
      <c r="B11004" s="4" t="s">
        <v>9011</v>
      </c>
      <c r="C11004" s="2" t="str">
        <f ca="1">IFERROR(__xludf.DUMMYFUNCTION("GOOGLETRANSLATE(A11004,""bn"",""en"")"),"Ministry will be created")</f>
        <v>Ministry will be created</v>
      </c>
      <c r="D11004" s="5"/>
      <c r="E11004" s="5"/>
      <c r="F11004" s="5"/>
      <c r="G11004" s="5"/>
      <c r="H11004" s="5"/>
      <c r="I11004" s="5"/>
      <c r="J11004" s="5"/>
      <c r="K11004" s="5"/>
      <c r="L11004" s="5"/>
      <c r="M11004" s="5"/>
      <c r="N11004" s="5"/>
      <c r="O11004" s="5"/>
      <c r="P11004" s="5"/>
      <c r="Q11004" s="5"/>
      <c r="R11004" s="5"/>
      <c r="S11004" s="5"/>
      <c r="T11004" s="5"/>
      <c r="U11004" s="5"/>
      <c r="V11004" s="5"/>
      <c r="W11004" s="5"/>
      <c r="X11004" s="5"/>
      <c r="Y11004" s="5"/>
      <c r="Z11004" s="5"/>
    </row>
    <row r="11005" spans="1:26" ht="15" x14ac:dyDescent="0.25">
      <c r="A11005" s="4" t="s">
        <v>11002</v>
      </c>
      <c r="B11005" s="4" t="s">
        <v>9011</v>
      </c>
      <c r="C11005" s="2" t="str">
        <f ca="1">IFERROR(__xludf.DUMMYFUNCTION("GOOGLETRANSLATE(A11005,""bn"",""en"")"),"Travel will inspire")</f>
        <v>Travel will inspire</v>
      </c>
      <c r="D11005" s="5"/>
      <c r="E11005" s="5"/>
      <c r="F11005" s="5"/>
      <c r="G11005" s="5"/>
      <c r="H11005" s="5"/>
      <c r="I11005" s="5"/>
      <c r="J11005" s="5"/>
      <c r="K11005" s="5"/>
      <c r="L11005" s="5"/>
      <c r="M11005" s="5"/>
      <c r="N11005" s="5"/>
      <c r="O11005" s="5"/>
      <c r="P11005" s="5"/>
      <c r="Q11005" s="5"/>
      <c r="R11005" s="5"/>
      <c r="S11005" s="5"/>
      <c r="T11005" s="5"/>
      <c r="U11005" s="5"/>
      <c r="V11005" s="5"/>
      <c r="W11005" s="5"/>
      <c r="X11005" s="5"/>
      <c r="Y11005" s="5"/>
      <c r="Z11005" s="5"/>
    </row>
    <row r="11006" spans="1:26" ht="15" x14ac:dyDescent="0.25">
      <c r="A11006" s="4" t="s">
        <v>11003</v>
      </c>
      <c r="B11006" s="4" t="s">
        <v>9011</v>
      </c>
      <c r="C11006" s="2" t="str">
        <f ca="1">IFERROR(__xludf.DUMMYFUNCTION("GOOGLETRANSLATE(A11006,""bn"",""en"")"),"I will attend the meeting")</f>
        <v>I will attend the meeting</v>
      </c>
      <c r="D11006" s="5"/>
      <c r="E11006" s="5"/>
      <c r="F11006" s="5"/>
      <c r="G11006" s="5"/>
      <c r="H11006" s="5"/>
      <c r="I11006" s="5"/>
      <c r="J11006" s="5"/>
      <c r="K11006" s="5"/>
      <c r="L11006" s="5"/>
      <c r="M11006" s="5"/>
      <c r="N11006" s="5"/>
      <c r="O11006" s="5"/>
      <c r="P11006" s="5"/>
      <c r="Q11006" s="5"/>
      <c r="R11006" s="5"/>
      <c r="S11006" s="5"/>
      <c r="T11006" s="5"/>
      <c r="U11006" s="5"/>
      <c r="V11006" s="5"/>
      <c r="W11006" s="5"/>
      <c r="X11006" s="5"/>
      <c r="Y11006" s="5"/>
      <c r="Z11006" s="5"/>
    </row>
    <row r="11007" spans="1:26" ht="15" x14ac:dyDescent="0.25">
      <c r="A11007" s="4" t="s">
        <v>11004</v>
      </c>
      <c r="B11007" s="4" t="s">
        <v>9011</v>
      </c>
      <c r="C11007" s="2" t="str">
        <f ca="1">IFERROR(__xludf.DUMMYFUNCTION("GOOGLETRANSLATE(A11007,""bn"",""en"")"),"He will get coffee")</f>
        <v>He will get coffee</v>
      </c>
      <c r="D11007" s="5"/>
      <c r="E11007" s="5"/>
      <c r="F11007" s="5"/>
      <c r="G11007" s="5"/>
      <c r="H11007" s="5"/>
      <c r="I11007" s="5"/>
      <c r="J11007" s="5"/>
      <c r="K11007" s="5"/>
      <c r="L11007" s="5"/>
      <c r="M11007" s="5"/>
      <c r="N11007" s="5"/>
      <c r="O11007" s="5"/>
      <c r="P11007" s="5"/>
      <c r="Q11007" s="5"/>
      <c r="R11007" s="5"/>
      <c r="S11007" s="5"/>
      <c r="T11007" s="5"/>
      <c r="U11007" s="5"/>
      <c r="V11007" s="5"/>
      <c r="W11007" s="5"/>
      <c r="X11007" s="5"/>
      <c r="Y11007" s="5"/>
      <c r="Z11007" s="5"/>
    </row>
    <row r="11008" spans="1:26" ht="15" x14ac:dyDescent="0.25">
      <c r="A11008" s="4" t="s">
        <v>11005</v>
      </c>
      <c r="B11008" s="4" t="s">
        <v>9011</v>
      </c>
      <c r="C11008" s="2" t="str">
        <f ca="1">IFERROR(__xludf.DUMMYFUNCTION("GOOGLETRANSLATE(A11008,""bn"",""en"")"),"New sellers will come")</f>
        <v>New sellers will come</v>
      </c>
      <c r="D11008" s="5"/>
      <c r="E11008" s="5"/>
      <c r="F11008" s="5"/>
      <c r="G11008" s="5"/>
      <c r="H11008" s="5"/>
      <c r="I11008" s="5"/>
      <c r="J11008" s="5"/>
      <c r="K11008" s="5"/>
      <c r="L11008" s="5"/>
      <c r="M11008" s="5"/>
      <c r="N11008" s="5"/>
      <c r="O11008" s="5"/>
      <c r="P11008" s="5"/>
      <c r="Q11008" s="5"/>
      <c r="R11008" s="5"/>
      <c r="S11008" s="5"/>
      <c r="T11008" s="5"/>
      <c r="U11008" s="5"/>
      <c r="V11008" s="5"/>
      <c r="W11008" s="5"/>
      <c r="X11008" s="5"/>
      <c r="Y11008" s="5"/>
      <c r="Z11008" s="5"/>
    </row>
    <row r="11009" spans="1:26" ht="15" x14ac:dyDescent="0.25">
      <c r="A11009" s="4" t="s">
        <v>11006</v>
      </c>
      <c r="B11009" s="4" t="s">
        <v>9011</v>
      </c>
      <c r="C11009" s="2" t="str">
        <f ca="1">IFERROR(__xludf.DUMMYFUNCTION("GOOGLETRANSLATE(A11009,""bn"",""en"")"),"Change will come")</f>
        <v>Change will come</v>
      </c>
      <c r="D11009" s="5"/>
      <c r="E11009" s="5"/>
      <c r="F11009" s="5"/>
      <c r="G11009" s="5"/>
      <c r="H11009" s="5"/>
      <c r="I11009" s="5"/>
      <c r="J11009" s="5"/>
      <c r="K11009" s="5"/>
      <c r="L11009" s="5"/>
      <c r="M11009" s="5"/>
      <c r="N11009" s="5"/>
      <c r="O11009" s="5"/>
      <c r="P11009" s="5"/>
      <c r="Q11009" s="5"/>
      <c r="R11009" s="5"/>
      <c r="S11009" s="5"/>
      <c r="T11009" s="5"/>
      <c r="U11009" s="5"/>
      <c r="V11009" s="5"/>
      <c r="W11009" s="5"/>
      <c r="X11009" s="5"/>
      <c r="Y11009" s="5"/>
      <c r="Z11009" s="5"/>
    </row>
    <row r="11010" spans="1:26" ht="15" x14ac:dyDescent="0.25">
      <c r="A11010" s="4" t="s">
        <v>11007</v>
      </c>
      <c r="B11010" s="4" t="s">
        <v>9011</v>
      </c>
      <c r="C11010" s="2" t="str">
        <f ca="1">IFERROR(__xludf.DUMMYFUNCTION("GOOGLETRANSLATE(A11010,""bn"",""en"")"),"I will pay Zakat")</f>
        <v>I will pay Zakat</v>
      </c>
      <c r="D11010" s="5"/>
      <c r="E11010" s="5"/>
      <c r="F11010" s="5"/>
      <c r="G11010" s="5"/>
      <c r="H11010" s="5"/>
      <c r="I11010" s="5"/>
      <c r="J11010" s="5"/>
      <c r="K11010" s="5"/>
      <c r="L11010" s="5"/>
      <c r="M11010" s="5"/>
      <c r="N11010" s="5"/>
      <c r="O11010" s="5"/>
      <c r="P11010" s="5"/>
      <c r="Q11010" s="5"/>
      <c r="R11010" s="5"/>
      <c r="S11010" s="5"/>
      <c r="T11010" s="5"/>
      <c r="U11010" s="5"/>
      <c r="V11010" s="5"/>
      <c r="W11010" s="5"/>
      <c r="X11010" s="5"/>
      <c r="Y11010" s="5"/>
      <c r="Z11010" s="5"/>
    </row>
    <row r="11011" spans="1:26" ht="15" x14ac:dyDescent="0.25">
      <c r="A11011" s="4" t="s">
        <v>11008</v>
      </c>
      <c r="B11011" s="4" t="s">
        <v>9011</v>
      </c>
      <c r="C11011" s="2" t="str">
        <f ca="1">IFERROR(__xludf.DUMMYFUNCTION("GOOGLETRANSLATE(A11011,""bn"",""en"")"),"I will go to the college cafeteria")</f>
        <v>I will go to the college cafeteria</v>
      </c>
      <c r="D11011" s="5"/>
      <c r="E11011" s="5"/>
      <c r="F11011" s="5"/>
      <c r="G11011" s="5"/>
      <c r="H11011" s="5"/>
      <c r="I11011" s="5"/>
      <c r="J11011" s="5"/>
      <c r="K11011" s="5"/>
      <c r="L11011" s="5"/>
      <c r="M11011" s="5"/>
      <c r="N11011" s="5"/>
      <c r="O11011" s="5"/>
      <c r="P11011" s="5"/>
      <c r="Q11011" s="5"/>
      <c r="R11011" s="5"/>
      <c r="S11011" s="5"/>
      <c r="T11011" s="5"/>
      <c r="U11011" s="5"/>
      <c r="V11011" s="5"/>
      <c r="W11011" s="5"/>
      <c r="X11011" s="5"/>
      <c r="Y11011" s="5"/>
      <c r="Z11011" s="5"/>
    </row>
    <row r="11012" spans="1:26" ht="15" x14ac:dyDescent="0.25">
      <c r="A11012" s="4" t="s">
        <v>11009</v>
      </c>
      <c r="B11012" s="4" t="s">
        <v>9011</v>
      </c>
      <c r="C11012" s="2" t="str">
        <f ca="1">IFERROR(__xludf.DUMMYFUNCTION("GOOGLETRANSLATE(A11012,""bn"",""en"")"),"Government will help")</f>
        <v>Government will help</v>
      </c>
      <c r="D11012" s="5"/>
      <c r="E11012" s="5"/>
      <c r="F11012" s="5"/>
      <c r="G11012" s="5"/>
      <c r="H11012" s="5"/>
      <c r="I11012" s="5"/>
      <c r="J11012" s="5"/>
      <c r="K11012" s="5"/>
      <c r="L11012" s="5"/>
      <c r="M11012" s="5"/>
      <c r="N11012" s="5"/>
      <c r="O11012" s="5"/>
      <c r="P11012" s="5"/>
      <c r="Q11012" s="5"/>
      <c r="R11012" s="5"/>
      <c r="S11012" s="5"/>
      <c r="T11012" s="5"/>
      <c r="U11012" s="5"/>
      <c r="V11012" s="5"/>
      <c r="W11012" s="5"/>
      <c r="X11012" s="5"/>
      <c r="Y11012" s="5"/>
      <c r="Z11012" s="5"/>
    </row>
    <row r="11013" spans="1:26" ht="15" x14ac:dyDescent="0.25">
      <c r="A11013" s="4" t="s">
        <v>11010</v>
      </c>
      <c r="B11013" s="4" t="s">
        <v>9011</v>
      </c>
      <c r="C11013" s="2" t="str">
        <f ca="1">IFERROR(__xludf.DUMMYFUNCTION("GOOGLETRANSLATE(A11013,""bn"",""en"")"),"Radio will be used")</f>
        <v>Radio will be used</v>
      </c>
      <c r="D11013" s="5"/>
      <c r="E11013" s="5"/>
      <c r="F11013" s="5"/>
      <c r="G11013" s="5"/>
      <c r="H11013" s="5"/>
      <c r="I11013" s="5"/>
      <c r="J11013" s="5"/>
      <c r="K11013" s="5"/>
      <c r="L11013" s="5"/>
      <c r="M11013" s="5"/>
      <c r="N11013" s="5"/>
      <c r="O11013" s="5"/>
      <c r="P11013" s="5"/>
      <c r="Q11013" s="5"/>
      <c r="R11013" s="5"/>
      <c r="S11013" s="5"/>
      <c r="T11013" s="5"/>
      <c r="U11013" s="5"/>
      <c r="V11013" s="5"/>
      <c r="W11013" s="5"/>
      <c r="X11013" s="5"/>
      <c r="Y11013" s="5"/>
      <c r="Z11013" s="5"/>
    </row>
    <row r="11014" spans="1:26" ht="15" x14ac:dyDescent="0.25">
      <c r="A11014" s="4" t="s">
        <v>11011</v>
      </c>
      <c r="B11014" s="4" t="s">
        <v>9011</v>
      </c>
      <c r="C11014" s="2" t="str">
        <f ca="1">IFERROR(__xludf.DUMMYFUNCTION("GOOGLETRANSLATE(A11014,""bn"",""en"")"),"I will focus on studies")</f>
        <v>I will focus on studies</v>
      </c>
      <c r="D11014" s="5"/>
      <c r="E11014" s="5"/>
      <c r="F11014" s="5"/>
      <c r="G11014" s="5"/>
      <c r="H11014" s="5"/>
      <c r="I11014" s="5"/>
      <c r="J11014" s="5"/>
      <c r="K11014" s="5"/>
      <c r="L11014" s="5"/>
      <c r="M11014" s="5"/>
      <c r="N11014" s="5"/>
      <c r="O11014" s="5"/>
      <c r="P11014" s="5"/>
      <c r="Q11014" s="5"/>
      <c r="R11014" s="5"/>
      <c r="S11014" s="5"/>
      <c r="T11014" s="5"/>
      <c r="U11014" s="5"/>
      <c r="V11014" s="5"/>
      <c r="W11014" s="5"/>
      <c r="X11014" s="5"/>
      <c r="Y11014" s="5"/>
      <c r="Z11014" s="5"/>
    </row>
    <row r="11015" spans="1:26" ht="15" x14ac:dyDescent="0.25">
      <c r="A11015" s="4" t="s">
        <v>11012</v>
      </c>
      <c r="B11015" s="4" t="s">
        <v>9011</v>
      </c>
      <c r="C11015" s="2" t="str">
        <f ca="1">IFERROR(__xludf.DUMMYFUNCTION("GOOGLETRANSLATE(A11015,""bn"",""en"")"),"Will start business")</f>
        <v>Will start business</v>
      </c>
      <c r="D11015" s="5"/>
      <c r="E11015" s="5"/>
      <c r="F11015" s="5"/>
      <c r="G11015" s="5"/>
      <c r="H11015" s="5"/>
      <c r="I11015" s="5"/>
      <c r="J11015" s="5"/>
      <c r="K11015" s="5"/>
      <c r="L11015" s="5"/>
      <c r="M11015" s="5"/>
      <c r="N11015" s="5"/>
      <c r="O11015" s="5"/>
      <c r="P11015" s="5"/>
      <c r="Q11015" s="5"/>
      <c r="R11015" s="5"/>
      <c r="S11015" s="5"/>
      <c r="T11015" s="5"/>
      <c r="U11015" s="5"/>
      <c r="V11015" s="5"/>
      <c r="W11015" s="5"/>
      <c r="X11015" s="5"/>
      <c r="Y11015" s="5"/>
      <c r="Z11015" s="5"/>
    </row>
    <row r="11016" spans="1:26" ht="15" x14ac:dyDescent="0.25">
      <c r="A11016" s="4" t="s">
        <v>11013</v>
      </c>
      <c r="B11016" s="4" t="s">
        <v>9011</v>
      </c>
      <c r="C11016" s="2" t="str">
        <f ca="1">IFERROR(__xludf.DUMMYFUNCTION("GOOGLETRANSLATE(A11016,""bn"",""en"")"),"I will use the printer")</f>
        <v>I will use the printer</v>
      </c>
      <c r="D11016" s="5"/>
      <c r="E11016" s="5"/>
      <c r="F11016" s="5"/>
      <c r="G11016" s="5"/>
      <c r="H11016" s="5"/>
      <c r="I11016" s="5"/>
      <c r="J11016" s="5"/>
      <c r="K11016" s="5"/>
      <c r="L11016" s="5"/>
      <c r="M11016" s="5"/>
      <c r="N11016" s="5"/>
      <c r="O11016" s="5"/>
      <c r="P11016" s="5"/>
      <c r="Q11016" s="5"/>
      <c r="R11016" s="5"/>
      <c r="S11016" s="5"/>
      <c r="T11016" s="5"/>
      <c r="U11016" s="5"/>
      <c r="V11016" s="5"/>
      <c r="W11016" s="5"/>
      <c r="X11016" s="5"/>
      <c r="Y11016" s="5"/>
      <c r="Z11016" s="5"/>
    </row>
    <row r="11017" spans="1:26" ht="15" x14ac:dyDescent="0.25">
      <c r="A11017" s="4" t="s">
        <v>11014</v>
      </c>
      <c r="B11017" s="4" t="s">
        <v>9011</v>
      </c>
      <c r="C11017" s="2" t="str">
        <f ca="1">IFERROR(__xludf.DUMMYFUNCTION("GOOGLETRANSLATE(A11017,""bn"",""en"")"),"Will continue to roam")</f>
        <v>Will continue to roam</v>
      </c>
      <c r="D11017" s="5"/>
      <c r="E11017" s="5"/>
      <c r="F11017" s="5"/>
      <c r="G11017" s="5"/>
      <c r="H11017" s="5"/>
      <c r="I11017" s="5"/>
      <c r="J11017" s="5"/>
      <c r="K11017" s="5"/>
      <c r="L11017" s="5"/>
      <c r="M11017" s="5"/>
      <c r="N11017" s="5"/>
      <c r="O11017" s="5"/>
      <c r="P11017" s="5"/>
      <c r="Q11017" s="5"/>
      <c r="R11017" s="5"/>
      <c r="S11017" s="5"/>
      <c r="T11017" s="5"/>
      <c r="U11017" s="5"/>
      <c r="V11017" s="5"/>
      <c r="W11017" s="5"/>
      <c r="X11017" s="5"/>
      <c r="Y11017" s="5"/>
      <c r="Z11017" s="5"/>
    </row>
    <row r="11018" spans="1:26" ht="15" x14ac:dyDescent="0.25">
      <c r="A11018" s="4" t="s">
        <v>11015</v>
      </c>
      <c r="B11018" s="4" t="s">
        <v>9011</v>
      </c>
      <c r="C11018" s="2" t="str">
        <f ca="1">IFERROR(__xludf.DUMMYFUNCTION("GOOGLETRANSLATE(A11018,""bn"",""en"")"),"Will keep posting")</f>
        <v>Will keep posting</v>
      </c>
      <c r="D11018" s="5"/>
      <c r="E11018" s="5"/>
      <c r="F11018" s="5"/>
      <c r="G11018" s="5"/>
      <c r="H11018" s="5"/>
      <c r="I11018" s="5"/>
      <c r="J11018" s="5"/>
      <c r="K11018" s="5"/>
      <c r="L11018" s="5"/>
      <c r="M11018" s="5"/>
      <c r="N11018" s="5"/>
      <c r="O11018" s="5"/>
      <c r="P11018" s="5"/>
      <c r="Q11018" s="5"/>
      <c r="R11018" s="5"/>
      <c r="S11018" s="5"/>
      <c r="T11018" s="5"/>
      <c r="U11018" s="5"/>
      <c r="V11018" s="5"/>
      <c r="W11018" s="5"/>
      <c r="X11018" s="5"/>
      <c r="Y11018" s="5"/>
      <c r="Z11018" s="5"/>
    </row>
    <row r="11019" spans="1:26" ht="15" x14ac:dyDescent="0.25">
      <c r="A11019" s="4" t="s">
        <v>11016</v>
      </c>
      <c r="B11019" s="4" t="s">
        <v>9011</v>
      </c>
      <c r="C11019" s="2" t="str">
        <f ca="1">IFERROR(__xludf.DUMMYFUNCTION("GOOGLETRANSLATE(A11019,""bn"",""en"")"),"will check the code")</f>
        <v>will check the code</v>
      </c>
      <c r="D11019" s="5"/>
      <c r="E11019" s="5"/>
      <c r="F11019" s="5"/>
      <c r="G11019" s="5"/>
      <c r="H11019" s="5"/>
      <c r="I11019" s="5"/>
      <c r="J11019" s="5"/>
      <c r="K11019" s="5"/>
      <c r="L11019" s="5"/>
      <c r="M11019" s="5"/>
      <c r="N11019" s="5"/>
      <c r="O11019" s="5"/>
      <c r="P11019" s="5"/>
      <c r="Q11019" s="5"/>
      <c r="R11019" s="5"/>
      <c r="S11019" s="5"/>
      <c r="T11019" s="5"/>
      <c r="U11019" s="5"/>
      <c r="V11019" s="5"/>
      <c r="W11019" s="5"/>
      <c r="X11019" s="5"/>
      <c r="Y11019" s="5"/>
      <c r="Z11019" s="5"/>
    </row>
    <row r="11020" spans="1:26" ht="15" x14ac:dyDescent="0.25">
      <c r="A11020" s="4" t="s">
        <v>11017</v>
      </c>
      <c r="B11020" s="4" t="s">
        <v>9011</v>
      </c>
      <c r="C11020" s="2" t="str">
        <f ca="1">IFERROR(__xludf.DUMMYFUNCTION("GOOGLETRANSLATE(A11020,""bn"",""en"")"),"Will continue to play in college")</f>
        <v>Will continue to play in college</v>
      </c>
      <c r="D11020" s="5"/>
      <c r="E11020" s="5"/>
      <c r="F11020" s="5"/>
      <c r="G11020" s="5"/>
      <c r="H11020" s="5"/>
      <c r="I11020" s="5"/>
      <c r="J11020" s="5"/>
      <c r="K11020" s="5"/>
      <c r="L11020" s="5"/>
      <c r="M11020" s="5"/>
      <c r="N11020" s="5"/>
      <c r="O11020" s="5"/>
      <c r="P11020" s="5"/>
      <c r="Q11020" s="5"/>
      <c r="R11020" s="5"/>
      <c r="S11020" s="5"/>
      <c r="T11020" s="5"/>
      <c r="U11020" s="5"/>
      <c r="V11020" s="5"/>
      <c r="W11020" s="5"/>
      <c r="X11020" s="5"/>
      <c r="Y11020" s="5"/>
      <c r="Z11020" s="5"/>
    </row>
    <row r="11021" spans="1:26" ht="15" x14ac:dyDescent="0.25">
      <c r="A11021" s="4" t="s">
        <v>11018</v>
      </c>
      <c r="B11021" s="4" t="s">
        <v>9011</v>
      </c>
      <c r="C11021" s="2" t="str">
        <f ca="1">IFERROR(__xludf.DUMMYFUNCTION("GOOGLETRANSLATE(A11021,""bn"",""en"")"),"You will learn rhythm")</f>
        <v>You will learn rhythm</v>
      </c>
      <c r="D11021" s="5"/>
      <c r="E11021" s="5"/>
      <c r="F11021" s="5"/>
      <c r="G11021" s="5"/>
      <c r="H11021" s="5"/>
      <c r="I11021" s="5"/>
      <c r="J11021" s="5"/>
      <c r="K11021" s="5"/>
      <c r="L11021" s="5"/>
      <c r="M11021" s="5"/>
      <c r="N11021" s="5"/>
      <c r="O11021" s="5"/>
      <c r="P11021" s="5"/>
      <c r="Q11021" s="5"/>
      <c r="R11021" s="5"/>
      <c r="S11021" s="5"/>
      <c r="T11021" s="5"/>
      <c r="U11021" s="5"/>
      <c r="V11021" s="5"/>
      <c r="W11021" s="5"/>
      <c r="X11021" s="5"/>
      <c r="Y11021" s="5"/>
      <c r="Z11021" s="5"/>
    </row>
    <row r="11022" spans="1:26" ht="15" x14ac:dyDescent="0.25">
      <c r="A11022" s="4" t="s">
        <v>11019</v>
      </c>
      <c r="B11022" s="4" t="s">
        <v>9011</v>
      </c>
      <c r="C11022" s="2" t="str">
        <f ca="1">IFERROR(__xludf.DUMMYFUNCTION("GOOGLETRANSLATE(A11022,""bn"",""en"")"),"Poetry will be written")</f>
        <v>Poetry will be written</v>
      </c>
      <c r="D11022" s="5"/>
      <c r="E11022" s="5"/>
      <c r="F11022" s="5"/>
      <c r="G11022" s="5"/>
      <c r="H11022" s="5"/>
      <c r="I11022" s="5"/>
      <c r="J11022" s="5"/>
      <c r="K11022" s="5"/>
      <c r="L11022" s="5"/>
      <c r="M11022" s="5"/>
      <c r="N11022" s="5"/>
      <c r="O11022" s="5"/>
      <c r="P11022" s="5"/>
      <c r="Q11022" s="5"/>
      <c r="R11022" s="5"/>
      <c r="S11022" s="5"/>
      <c r="T11022" s="5"/>
      <c r="U11022" s="5"/>
      <c r="V11022" s="5"/>
      <c r="W11022" s="5"/>
      <c r="X11022" s="5"/>
      <c r="Y11022" s="5"/>
      <c r="Z11022" s="5"/>
    </row>
    <row r="11023" spans="1:26" ht="15" x14ac:dyDescent="0.25">
      <c r="A11023" s="4" t="s">
        <v>11020</v>
      </c>
      <c r="B11023" s="4" t="s">
        <v>9011</v>
      </c>
      <c r="C11023" s="2" t="str">
        <f ca="1">IFERROR(__xludf.DUMMYFUNCTION("GOOGLETRANSLATE(A11023,""bn"",""en"")"),"Test the program")</f>
        <v>Test the program</v>
      </c>
      <c r="D11023" s="5"/>
      <c r="E11023" s="5"/>
      <c r="F11023" s="5"/>
      <c r="G11023" s="5"/>
      <c r="H11023" s="5"/>
      <c r="I11023" s="5"/>
      <c r="J11023" s="5"/>
      <c r="K11023" s="5"/>
      <c r="L11023" s="5"/>
      <c r="M11023" s="5"/>
      <c r="N11023" s="5"/>
      <c r="O11023" s="5"/>
      <c r="P11023" s="5"/>
      <c r="Q11023" s="5"/>
      <c r="R11023" s="5"/>
      <c r="S11023" s="5"/>
      <c r="T11023" s="5"/>
      <c r="U11023" s="5"/>
      <c r="V11023" s="5"/>
      <c r="W11023" s="5"/>
      <c r="X11023" s="5"/>
      <c r="Y11023" s="5"/>
      <c r="Z11023" s="5"/>
    </row>
    <row r="11024" spans="1:26" ht="15" x14ac:dyDescent="0.25">
      <c r="A11024" s="4" t="s">
        <v>11021</v>
      </c>
      <c r="B11024" s="4" t="s">
        <v>9011</v>
      </c>
      <c r="C11024" s="2" t="str">
        <f ca="1">IFERROR(__xludf.DUMMYFUNCTION("GOOGLETRANSLATE(A11024,""bn"",""en"")"),"You eat hotdogs")</f>
        <v>You eat hotdogs</v>
      </c>
      <c r="D11024" s="5"/>
      <c r="E11024" s="5"/>
      <c r="F11024" s="5"/>
      <c r="G11024" s="5"/>
      <c r="H11024" s="5"/>
      <c r="I11024" s="5"/>
      <c r="J11024" s="5"/>
      <c r="K11024" s="5"/>
      <c r="L11024" s="5"/>
      <c r="M11024" s="5"/>
      <c r="N11024" s="5"/>
      <c r="O11024" s="5"/>
      <c r="P11024" s="5"/>
      <c r="Q11024" s="5"/>
      <c r="R11024" s="5"/>
      <c r="S11024" s="5"/>
      <c r="T11024" s="5"/>
      <c r="U11024" s="5"/>
      <c r="V11024" s="5"/>
      <c r="W11024" s="5"/>
      <c r="X11024" s="5"/>
      <c r="Y11024" s="5"/>
      <c r="Z11024" s="5"/>
    </row>
    <row r="11025" spans="1:26" ht="15" x14ac:dyDescent="0.25">
      <c r="A11025" s="4" t="s">
        <v>11022</v>
      </c>
      <c r="B11025" s="4" t="s">
        <v>9011</v>
      </c>
      <c r="C11025" s="2" t="str">
        <f ca="1">IFERROR(__xludf.DUMMYFUNCTION("GOOGLETRANSLATE(A11025,""bn"",""en"")"),"I will use floppy disk")</f>
        <v>I will use floppy disk</v>
      </c>
      <c r="D11025" s="5"/>
      <c r="E11025" s="5"/>
      <c r="F11025" s="5"/>
      <c r="G11025" s="5"/>
      <c r="H11025" s="5"/>
      <c r="I11025" s="5"/>
      <c r="J11025" s="5"/>
      <c r="K11025" s="5"/>
      <c r="L11025" s="5"/>
      <c r="M11025" s="5"/>
      <c r="N11025" s="5"/>
      <c r="O11025" s="5"/>
      <c r="P11025" s="5"/>
      <c r="Q11025" s="5"/>
      <c r="R11025" s="5"/>
      <c r="S11025" s="5"/>
      <c r="T11025" s="5"/>
      <c r="U11025" s="5"/>
      <c r="V11025" s="5"/>
      <c r="W11025" s="5"/>
      <c r="X11025" s="5"/>
      <c r="Y11025" s="5"/>
      <c r="Z11025" s="5"/>
    </row>
    <row r="11026" spans="1:26" ht="15" x14ac:dyDescent="0.25">
      <c r="A11026" s="4" t="s">
        <v>11023</v>
      </c>
      <c r="B11026" s="4" t="s">
        <v>9011</v>
      </c>
      <c r="C11026" s="2" t="str">
        <f ca="1">IFERROR(__xludf.DUMMYFUNCTION("GOOGLETRANSLATE(A11026,""bn"",""en"")"),"The government will seek support")</f>
        <v>The government will seek support</v>
      </c>
      <c r="D11026" s="5"/>
      <c r="E11026" s="5"/>
      <c r="F11026" s="5"/>
      <c r="G11026" s="5"/>
      <c r="H11026" s="5"/>
      <c r="I11026" s="5"/>
      <c r="J11026" s="5"/>
      <c r="K11026" s="5"/>
      <c r="L11026" s="5"/>
      <c r="M11026" s="5"/>
      <c r="N11026" s="5"/>
      <c r="O11026" s="5"/>
      <c r="P11026" s="5"/>
      <c r="Q11026" s="5"/>
      <c r="R11026" s="5"/>
      <c r="S11026" s="5"/>
      <c r="T11026" s="5"/>
      <c r="U11026" s="5"/>
      <c r="V11026" s="5"/>
      <c r="W11026" s="5"/>
      <c r="X11026" s="5"/>
      <c r="Y11026" s="5"/>
      <c r="Z11026" s="5"/>
    </row>
    <row r="11027" spans="1:26" ht="15" x14ac:dyDescent="0.25">
      <c r="A11027" s="4" t="s">
        <v>11024</v>
      </c>
      <c r="B11027" s="4" t="s">
        <v>9011</v>
      </c>
      <c r="C11027" s="2" t="str">
        <f ca="1">IFERROR(__xludf.DUMMYFUNCTION("GOOGLETRANSLATE(A11027,""bn"",""en"")"),"I will discuss social")</f>
        <v>I will discuss social</v>
      </c>
      <c r="D11027" s="5"/>
      <c r="E11027" s="5"/>
      <c r="F11027" s="5"/>
      <c r="G11027" s="5"/>
      <c r="H11027" s="5"/>
      <c r="I11027" s="5"/>
      <c r="J11027" s="5"/>
      <c r="K11027" s="5"/>
      <c r="L11027" s="5"/>
      <c r="M11027" s="5"/>
      <c r="N11027" s="5"/>
      <c r="O11027" s="5"/>
      <c r="P11027" s="5"/>
      <c r="Q11027" s="5"/>
      <c r="R11027" s="5"/>
      <c r="S11027" s="5"/>
      <c r="T11027" s="5"/>
      <c r="U11027" s="5"/>
      <c r="V11027" s="5"/>
      <c r="W11027" s="5"/>
      <c r="X11027" s="5"/>
      <c r="Y11027" s="5"/>
      <c r="Z11027" s="5"/>
    </row>
    <row r="11028" spans="1:26" ht="15" x14ac:dyDescent="0.25">
      <c r="A11028" s="4" t="s">
        <v>11025</v>
      </c>
      <c r="B11028" s="4" t="s">
        <v>9011</v>
      </c>
      <c r="C11028" s="2" t="str">
        <f ca="1">IFERROR(__xludf.DUMMYFUNCTION("GOOGLETRANSLATE(A11028,""bn"",""en"")"),"I will be successful in my career")</f>
        <v>I will be successful in my career</v>
      </c>
      <c r="D11028" s="5"/>
      <c r="E11028" s="5"/>
      <c r="F11028" s="5"/>
      <c r="G11028" s="5"/>
      <c r="H11028" s="5"/>
      <c r="I11028" s="5"/>
      <c r="J11028" s="5"/>
      <c r="K11028" s="5"/>
      <c r="L11028" s="5"/>
      <c r="M11028" s="5"/>
      <c r="N11028" s="5"/>
      <c r="O11028" s="5"/>
      <c r="P11028" s="5"/>
      <c r="Q11028" s="5"/>
      <c r="R11028" s="5"/>
      <c r="S11028" s="5"/>
      <c r="T11028" s="5"/>
      <c r="U11028" s="5"/>
      <c r="V11028" s="5"/>
      <c r="W11028" s="5"/>
      <c r="X11028" s="5"/>
      <c r="Y11028" s="5"/>
      <c r="Z11028" s="5"/>
    </row>
    <row r="11029" spans="1:26" ht="15" x14ac:dyDescent="0.25">
      <c r="A11029" s="4" t="s">
        <v>11026</v>
      </c>
      <c r="B11029" s="4" t="s">
        <v>9011</v>
      </c>
      <c r="C11029" s="2" t="str">
        <f ca="1">IFERROR(__xludf.DUMMYFUNCTION("GOOGLETRANSLATE(A11029,""bn"",""en"")"),"Memory will continue to grow")</f>
        <v>Memory will continue to grow</v>
      </c>
      <c r="D11029" s="5"/>
      <c r="E11029" s="5"/>
      <c r="F11029" s="5"/>
      <c r="G11029" s="5"/>
      <c r="H11029" s="5"/>
      <c r="I11029" s="5"/>
      <c r="J11029" s="5"/>
      <c r="K11029" s="5"/>
      <c r="L11029" s="5"/>
      <c r="M11029" s="5"/>
      <c r="N11029" s="5"/>
      <c r="O11029" s="5"/>
      <c r="P11029" s="5"/>
      <c r="Q11029" s="5"/>
      <c r="R11029" s="5"/>
      <c r="S11029" s="5"/>
      <c r="T11029" s="5"/>
      <c r="U11029" s="5"/>
      <c r="V11029" s="5"/>
      <c r="W11029" s="5"/>
      <c r="X11029" s="5"/>
      <c r="Y11029" s="5"/>
      <c r="Z11029" s="5"/>
    </row>
    <row r="11030" spans="1:26" ht="15" x14ac:dyDescent="0.25">
      <c r="A11030" s="4" t="s">
        <v>11027</v>
      </c>
      <c r="B11030" s="4" t="s">
        <v>9011</v>
      </c>
      <c r="C11030" s="2" t="str">
        <f ca="1">IFERROR(__xludf.DUMMYFUNCTION("GOOGLETRANSLATE(A11030,""bn"",""en"")"),"I will spread the news")</f>
        <v>I will spread the news</v>
      </c>
      <c r="D11030" s="5"/>
      <c r="E11030" s="5"/>
      <c r="F11030" s="5"/>
      <c r="G11030" s="5"/>
      <c r="H11030" s="5"/>
      <c r="I11030" s="5"/>
      <c r="J11030" s="5"/>
      <c r="K11030" s="5"/>
      <c r="L11030" s="5"/>
      <c r="M11030" s="5"/>
      <c r="N11030" s="5"/>
      <c r="O11030" s="5"/>
      <c r="P11030" s="5"/>
      <c r="Q11030" s="5"/>
      <c r="R11030" s="5"/>
      <c r="S11030" s="5"/>
      <c r="T11030" s="5"/>
      <c r="U11030" s="5"/>
      <c r="V11030" s="5"/>
      <c r="W11030" s="5"/>
      <c r="X11030" s="5"/>
      <c r="Y11030" s="5"/>
      <c r="Z11030" s="5"/>
    </row>
    <row r="11031" spans="1:26" ht="15" x14ac:dyDescent="0.25">
      <c r="A11031" s="4" t="s">
        <v>11028</v>
      </c>
      <c r="B11031" s="4" t="s">
        <v>9011</v>
      </c>
      <c r="C11031" s="2" t="str">
        <f ca="1">IFERROR(__xludf.DUMMYFUNCTION("GOOGLETRANSLATE(A11031,""bn"",""en"")"),"I will check the checkbook")</f>
        <v>I will check the checkbook</v>
      </c>
      <c r="D11031" s="5"/>
      <c r="E11031" s="5"/>
      <c r="F11031" s="5"/>
      <c r="G11031" s="5"/>
      <c r="H11031" s="5"/>
      <c r="I11031" s="5"/>
      <c r="J11031" s="5"/>
      <c r="K11031" s="5"/>
      <c r="L11031" s="5"/>
      <c r="M11031" s="5"/>
      <c r="N11031" s="5"/>
      <c r="O11031" s="5"/>
      <c r="P11031" s="5"/>
      <c r="Q11031" s="5"/>
      <c r="R11031" s="5"/>
      <c r="S11031" s="5"/>
      <c r="T11031" s="5"/>
      <c r="U11031" s="5"/>
      <c r="V11031" s="5"/>
      <c r="W11031" s="5"/>
      <c r="X11031" s="5"/>
      <c r="Y11031" s="5"/>
      <c r="Z11031" s="5"/>
    </row>
    <row r="11032" spans="1:26" ht="15" x14ac:dyDescent="0.25">
      <c r="A11032" s="4" t="s">
        <v>11029</v>
      </c>
      <c r="B11032" s="4" t="s">
        <v>9011</v>
      </c>
      <c r="C11032" s="2" t="str">
        <f ca="1">IFERROR(__xludf.DUMMYFUNCTION("GOOGLETRANSLATE(A11032,""bn"",""en"")"),"I will continue to go to the rainforest")</f>
        <v>I will continue to go to the rainforest</v>
      </c>
      <c r="D11032" s="5"/>
      <c r="E11032" s="5"/>
      <c r="F11032" s="5"/>
      <c r="G11032" s="5"/>
      <c r="H11032" s="5"/>
      <c r="I11032" s="5"/>
      <c r="J11032" s="5"/>
      <c r="K11032" s="5"/>
      <c r="L11032" s="5"/>
      <c r="M11032" s="5"/>
      <c r="N11032" s="5"/>
      <c r="O11032" s="5"/>
      <c r="P11032" s="5"/>
      <c r="Q11032" s="5"/>
      <c r="R11032" s="5"/>
      <c r="S11032" s="5"/>
      <c r="T11032" s="5"/>
      <c r="U11032" s="5"/>
      <c r="V11032" s="5"/>
      <c r="W11032" s="5"/>
      <c r="X11032" s="5"/>
      <c r="Y11032" s="5"/>
      <c r="Z11032" s="5"/>
    </row>
    <row r="11033" spans="1:26" ht="15" x14ac:dyDescent="0.25">
      <c r="A11033" s="4" t="s">
        <v>11030</v>
      </c>
      <c r="B11033" s="4" t="s">
        <v>9011</v>
      </c>
      <c r="C11033" s="2" t="str">
        <f ca="1">IFERROR(__xludf.DUMMYFUNCTION("GOOGLETRANSLATE(A11033,""bn"",""en"")"),"He will read the paper")</f>
        <v>He will read the paper</v>
      </c>
      <c r="D11033" s="5"/>
      <c r="E11033" s="5"/>
      <c r="F11033" s="5"/>
      <c r="G11033" s="5"/>
      <c r="H11033" s="5"/>
      <c r="I11033" s="5"/>
      <c r="J11033" s="5"/>
      <c r="K11033" s="5"/>
      <c r="L11033" s="5"/>
      <c r="M11033" s="5"/>
      <c r="N11033" s="5"/>
      <c r="O11033" s="5"/>
      <c r="P11033" s="5"/>
      <c r="Q11033" s="5"/>
      <c r="R11033" s="5"/>
      <c r="S11033" s="5"/>
      <c r="T11033" s="5"/>
      <c r="U11033" s="5"/>
      <c r="V11033" s="5"/>
      <c r="W11033" s="5"/>
      <c r="X11033" s="5"/>
      <c r="Y11033" s="5"/>
      <c r="Z11033" s="5"/>
    </row>
    <row r="11034" spans="1:26" ht="15" x14ac:dyDescent="0.25">
      <c r="A11034" s="4" t="s">
        <v>11031</v>
      </c>
      <c r="B11034" s="4" t="s">
        <v>9011</v>
      </c>
      <c r="C11034" s="2" t="str">
        <f ca="1">IFERROR(__xludf.DUMMYFUNCTION("GOOGLETRANSLATE(A11034,""bn"",""en"")"),"I will visit the book fair")</f>
        <v>I will visit the book fair</v>
      </c>
      <c r="D11034" s="5"/>
      <c r="E11034" s="5"/>
      <c r="F11034" s="5"/>
      <c r="G11034" s="5"/>
      <c r="H11034" s="5"/>
      <c r="I11034" s="5"/>
      <c r="J11034" s="5"/>
      <c r="K11034" s="5"/>
      <c r="L11034" s="5"/>
      <c r="M11034" s="5"/>
      <c r="N11034" s="5"/>
      <c r="O11034" s="5"/>
      <c r="P11034" s="5"/>
      <c r="Q11034" s="5"/>
      <c r="R11034" s="5"/>
      <c r="S11034" s="5"/>
      <c r="T11034" s="5"/>
      <c r="U11034" s="5"/>
      <c r="V11034" s="5"/>
      <c r="W11034" s="5"/>
      <c r="X11034" s="5"/>
      <c r="Y11034" s="5"/>
      <c r="Z11034" s="5"/>
    </row>
    <row r="11035" spans="1:26" ht="15" x14ac:dyDescent="0.25">
      <c r="A11035" s="4" t="s">
        <v>11032</v>
      </c>
      <c r="B11035" s="4" t="s">
        <v>9011</v>
      </c>
      <c r="C11035" s="2" t="str">
        <f ca="1">IFERROR(__xludf.DUMMYFUNCTION("GOOGLETRANSLATE(A11035,""bn"",""en"")"),"Bank customers will come")</f>
        <v>Bank customers will come</v>
      </c>
      <c r="D11035" s="5"/>
      <c r="E11035" s="5"/>
      <c r="F11035" s="5"/>
      <c r="G11035" s="5"/>
      <c r="H11035" s="5"/>
      <c r="I11035" s="5"/>
      <c r="J11035" s="5"/>
      <c r="K11035" s="5"/>
      <c r="L11035" s="5"/>
      <c r="M11035" s="5"/>
      <c r="N11035" s="5"/>
      <c r="O11035" s="5"/>
      <c r="P11035" s="5"/>
      <c r="Q11035" s="5"/>
      <c r="R11035" s="5"/>
      <c r="S11035" s="5"/>
      <c r="T11035" s="5"/>
      <c r="U11035" s="5"/>
      <c r="V11035" s="5"/>
      <c r="W11035" s="5"/>
      <c r="X11035" s="5"/>
      <c r="Y11035" s="5"/>
      <c r="Z11035" s="5"/>
    </row>
    <row r="11036" spans="1:26" ht="15" x14ac:dyDescent="0.25">
      <c r="A11036" s="4" t="s">
        <v>11033</v>
      </c>
      <c r="B11036" s="4" t="s">
        <v>9011</v>
      </c>
      <c r="C11036" s="2" t="str">
        <f ca="1">IFERROR(__xludf.DUMMYFUNCTION("GOOGLETRANSLATE(A11036,""bn"",""en"")"),"Ribosomes will decrease")</f>
        <v>Ribosomes will decrease</v>
      </c>
      <c r="D11036" s="5"/>
      <c r="E11036" s="5"/>
      <c r="F11036" s="5"/>
      <c r="G11036" s="5"/>
      <c r="H11036" s="5"/>
      <c r="I11036" s="5"/>
      <c r="J11036" s="5"/>
      <c r="K11036" s="5"/>
      <c r="L11036" s="5"/>
      <c r="M11036" s="5"/>
      <c r="N11036" s="5"/>
      <c r="O11036" s="5"/>
      <c r="P11036" s="5"/>
      <c r="Q11036" s="5"/>
      <c r="R11036" s="5"/>
      <c r="S11036" s="5"/>
      <c r="T11036" s="5"/>
      <c r="U11036" s="5"/>
      <c r="V11036" s="5"/>
      <c r="W11036" s="5"/>
      <c r="X11036" s="5"/>
      <c r="Y11036" s="5"/>
      <c r="Z11036" s="5"/>
    </row>
    <row r="11037" spans="1:26" ht="15" x14ac:dyDescent="0.25">
      <c r="A11037" s="4" t="s">
        <v>11034</v>
      </c>
      <c r="B11037" s="4" t="s">
        <v>9011</v>
      </c>
      <c r="C11037" s="2" t="str">
        <f ca="1">IFERROR(__xludf.DUMMYFUNCTION("GOOGLETRANSLATE(A11037,""bn"",""en"")"),"Knowledge will be required")</f>
        <v>Knowledge will be required</v>
      </c>
      <c r="D11037" s="5"/>
      <c r="E11037" s="5"/>
      <c r="F11037" s="5"/>
      <c r="G11037" s="5"/>
      <c r="H11037" s="5"/>
      <c r="I11037" s="5"/>
      <c r="J11037" s="5"/>
      <c r="K11037" s="5"/>
      <c r="L11037" s="5"/>
      <c r="M11037" s="5"/>
      <c r="N11037" s="5"/>
      <c r="O11037" s="5"/>
      <c r="P11037" s="5"/>
      <c r="Q11037" s="5"/>
      <c r="R11037" s="5"/>
      <c r="S11037" s="5"/>
      <c r="T11037" s="5"/>
      <c r="U11037" s="5"/>
      <c r="V11037" s="5"/>
      <c r="W11037" s="5"/>
      <c r="X11037" s="5"/>
      <c r="Y11037" s="5"/>
      <c r="Z11037" s="5"/>
    </row>
    <row r="11038" spans="1:26" ht="15" x14ac:dyDescent="0.25">
      <c r="A11038" s="4" t="s">
        <v>11035</v>
      </c>
      <c r="B11038" s="4" t="s">
        <v>9011</v>
      </c>
      <c r="C11038" s="2" t="str">
        <f ca="1">IFERROR(__xludf.DUMMYFUNCTION("GOOGLETRANSLATE(A11038,""bn"",""en"")"),"I will forget the grief")</f>
        <v>I will forget the grief</v>
      </c>
      <c r="D11038" s="5"/>
      <c r="E11038" s="5"/>
      <c r="F11038" s="5"/>
      <c r="G11038" s="5"/>
      <c r="H11038" s="5"/>
      <c r="I11038" s="5"/>
      <c r="J11038" s="5"/>
      <c r="K11038" s="5"/>
      <c r="L11038" s="5"/>
      <c r="M11038" s="5"/>
      <c r="N11038" s="5"/>
      <c r="O11038" s="5"/>
      <c r="P11038" s="5"/>
      <c r="Q11038" s="5"/>
      <c r="R11038" s="5"/>
      <c r="S11038" s="5"/>
      <c r="T11038" s="5"/>
      <c r="U11038" s="5"/>
      <c r="V11038" s="5"/>
      <c r="W11038" s="5"/>
      <c r="X11038" s="5"/>
      <c r="Y11038" s="5"/>
      <c r="Z11038" s="5"/>
    </row>
    <row r="11039" spans="1:26" ht="15" x14ac:dyDescent="0.25">
      <c r="A11039" s="4" t="s">
        <v>11036</v>
      </c>
      <c r="B11039" s="4" t="s">
        <v>9011</v>
      </c>
      <c r="C11039" s="2" t="str">
        <f ca="1">IFERROR(__xludf.DUMMYFUNCTION("GOOGLETRANSLATE(A11039,""bn"",""en"")"),"Circus will be in politics")</f>
        <v>Circus will be in politics</v>
      </c>
      <c r="D11039" s="5"/>
      <c r="E11039" s="5"/>
      <c r="F11039" s="5"/>
      <c r="G11039" s="5"/>
      <c r="H11039" s="5"/>
      <c r="I11039" s="5"/>
      <c r="J11039" s="5"/>
      <c r="K11039" s="5"/>
      <c r="L11039" s="5"/>
      <c r="M11039" s="5"/>
      <c r="N11039" s="5"/>
      <c r="O11039" s="5"/>
      <c r="P11039" s="5"/>
      <c r="Q11039" s="5"/>
      <c r="R11039" s="5"/>
      <c r="S11039" s="5"/>
      <c r="T11039" s="5"/>
      <c r="U11039" s="5"/>
      <c r="V11039" s="5"/>
      <c r="W11039" s="5"/>
      <c r="X11039" s="5"/>
      <c r="Y11039" s="5"/>
      <c r="Z11039" s="5"/>
    </row>
    <row r="11040" spans="1:26" ht="15" x14ac:dyDescent="0.25">
      <c r="A11040" s="4" t="s">
        <v>11037</v>
      </c>
      <c r="B11040" s="4" t="s">
        <v>9011</v>
      </c>
      <c r="C11040" s="2" t="str">
        <f ca="1">IFERROR(__xludf.DUMMYFUNCTION("GOOGLETRANSLATE(A11040,""bn"",""en"")"),"I will use the keyboard")</f>
        <v>I will use the keyboard</v>
      </c>
      <c r="D11040" s="5"/>
      <c r="E11040" s="5"/>
      <c r="F11040" s="5"/>
      <c r="G11040" s="5"/>
      <c r="H11040" s="5"/>
      <c r="I11040" s="5"/>
      <c r="J11040" s="5"/>
      <c r="K11040" s="5"/>
      <c r="L11040" s="5"/>
      <c r="M11040" s="5"/>
      <c r="N11040" s="5"/>
      <c r="O11040" s="5"/>
      <c r="P11040" s="5"/>
      <c r="Q11040" s="5"/>
      <c r="R11040" s="5"/>
      <c r="S11040" s="5"/>
      <c r="T11040" s="5"/>
      <c r="U11040" s="5"/>
      <c r="V11040" s="5"/>
      <c r="W11040" s="5"/>
      <c r="X11040" s="5"/>
      <c r="Y11040" s="5"/>
      <c r="Z11040" s="5"/>
    </row>
    <row r="11041" spans="1:26" ht="15" x14ac:dyDescent="0.25">
      <c r="A11041" s="4" t="s">
        <v>11038</v>
      </c>
      <c r="B11041" s="4" t="s">
        <v>9011</v>
      </c>
      <c r="C11041" s="2" t="str">
        <f ca="1">IFERROR(__xludf.DUMMYFUNCTION("GOOGLETRANSLATE(A11041,""bn"",""en"")"),"They will go by bus")</f>
        <v>They will go by bus</v>
      </c>
      <c r="D11041" s="5"/>
      <c r="E11041" s="5"/>
      <c r="F11041" s="5"/>
      <c r="G11041" s="5"/>
      <c r="H11041" s="5"/>
      <c r="I11041" s="5"/>
      <c r="J11041" s="5"/>
      <c r="K11041" s="5"/>
      <c r="L11041" s="5"/>
      <c r="M11041" s="5"/>
      <c r="N11041" s="5"/>
      <c r="O11041" s="5"/>
      <c r="P11041" s="5"/>
      <c r="Q11041" s="5"/>
      <c r="R11041" s="5"/>
      <c r="S11041" s="5"/>
      <c r="T11041" s="5"/>
      <c r="U11041" s="5"/>
      <c r="V11041" s="5"/>
      <c r="W11041" s="5"/>
      <c r="X11041" s="5"/>
      <c r="Y11041" s="5"/>
      <c r="Z11041" s="5"/>
    </row>
    <row r="11042" spans="1:26" ht="15" x14ac:dyDescent="0.25">
      <c r="A11042" s="4" t="s">
        <v>11039</v>
      </c>
      <c r="B11042" s="4" t="s">
        <v>9011</v>
      </c>
      <c r="C11042" s="2" t="str">
        <f ca="1">IFERROR(__xludf.DUMMYFUNCTION("GOOGLETRANSLATE(A11042,""bn"",""en"")"),"Development will be a problem")</f>
        <v>Development will be a problem</v>
      </c>
      <c r="D11042" s="5"/>
      <c r="E11042" s="5"/>
      <c r="F11042" s="5"/>
      <c r="G11042" s="5"/>
      <c r="H11042" s="5"/>
      <c r="I11042" s="5"/>
      <c r="J11042" s="5"/>
      <c r="K11042" s="5"/>
      <c r="L11042" s="5"/>
      <c r="M11042" s="5"/>
      <c r="N11042" s="5"/>
      <c r="O11042" s="5"/>
      <c r="P11042" s="5"/>
      <c r="Q11042" s="5"/>
      <c r="R11042" s="5"/>
      <c r="S11042" s="5"/>
      <c r="T11042" s="5"/>
      <c r="U11042" s="5"/>
      <c r="V11042" s="5"/>
      <c r="W11042" s="5"/>
      <c r="X11042" s="5"/>
      <c r="Y11042" s="5"/>
      <c r="Z11042" s="5"/>
    </row>
    <row r="11043" spans="1:26" ht="15" x14ac:dyDescent="0.25">
      <c r="A11043" s="4" t="s">
        <v>11040</v>
      </c>
      <c r="B11043" s="4" t="s">
        <v>9011</v>
      </c>
      <c r="C11043" s="2" t="str">
        <f ca="1">IFERROR(__xludf.DUMMYFUNCTION("GOOGLETRANSLATE(A11043,""bn"",""en"")"),"Read the Quran regularly")</f>
        <v>Read the Quran regularly</v>
      </c>
      <c r="D11043" s="5"/>
      <c r="E11043" s="5"/>
      <c r="F11043" s="5"/>
      <c r="G11043" s="5"/>
      <c r="H11043" s="5"/>
      <c r="I11043" s="5"/>
      <c r="J11043" s="5"/>
      <c r="K11043" s="5"/>
      <c r="L11043" s="5"/>
      <c r="M11043" s="5"/>
      <c r="N11043" s="5"/>
      <c r="O11043" s="5"/>
      <c r="P11043" s="5"/>
      <c r="Q11043" s="5"/>
      <c r="R11043" s="5"/>
      <c r="S11043" s="5"/>
      <c r="T11043" s="5"/>
      <c r="U11043" s="5"/>
      <c r="V11043" s="5"/>
      <c r="W11043" s="5"/>
      <c r="X11043" s="5"/>
      <c r="Y11043" s="5"/>
      <c r="Z11043" s="5"/>
    </row>
    <row r="11044" spans="1:26" ht="15" x14ac:dyDescent="0.25">
      <c r="A11044" s="4" t="s">
        <v>11041</v>
      </c>
      <c r="B11044" s="4" t="s">
        <v>9011</v>
      </c>
      <c r="C11044" s="2" t="str">
        <f ca="1">IFERROR(__xludf.DUMMYFUNCTION("GOOGLETRANSLATE(A11044,""bn"",""en"")"),"Change will come")</f>
        <v>Change will come</v>
      </c>
      <c r="D11044" s="5"/>
      <c r="E11044" s="5"/>
      <c r="F11044" s="5"/>
      <c r="G11044" s="5"/>
      <c r="H11044" s="5"/>
      <c r="I11044" s="5"/>
      <c r="J11044" s="5"/>
      <c r="K11044" s="5"/>
      <c r="L11044" s="5"/>
      <c r="M11044" s="5"/>
      <c r="N11044" s="5"/>
      <c r="O11044" s="5"/>
      <c r="P11044" s="5"/>
      <c r="Q11044" s="5"/>
      <c r="R11044" s="5"/>
      <c r="S11044" s="5"/>
      <c r="T11044" s="5"/>
      <c r="U11044" s="5"/>
      <c r="V11044" s="5"/>
      <c r="W11044" s="5"/>
      <c r="X11044" s="5"/>
      <c r="Y11044" s="5"/>
      <c r="Z11044" s="5"/>
    </row>
    <row r="11045" spans="1:26" ht="15" x14ac:dyDescent="0.25">
      <c r="A11045" s="4" t="s">
        <v>11042</v>
      </c>
      <c r="B11045" s="4" t="s">
        <v>9011</v>
      </c>
      <c r="C11045" s="2" t="str">
        <f ca="1">IFERROR(__xludf.DUMMYFUNCTION("GOOGLETRANSLATE(A11045,""bn"",""en"")"),"Google will have it all")</f>
        <v>Google will have it all</v>
      </c>
      <c r="D11045" s="5"/>
      <c r="E11045" s="5"/>
      <c r="F11045" s="5"/>
      <c r="G11045" s="5"/>
      <c r="H11045" s="5"/>
      <c r="I11045" s="5"/>
      <c r="J11045" s="5"/>
      <c r="K11045" s="5"/>
      <c r="L11045" s="5"/>
      <c r="M11045" s="5"/>
      <c r="N11045" s="5"/>
      <c r="O11045" s="5"/>
      <c r="P11045" s="5"/>
      <c r="Q11045" s="5"/>
      <c r="R11045" s="5"/>
      <c r="S11045" s="5"/>
      <c r="T11045" s="5"/>
      <c r="U11045" s="5"/>
      <c r="V11045" s="5"/>
      <c r="W11045" s="5"/>
      <c r="X11045" s="5"/>
      <c r="Y11045" s="5"/>
      <c r="Z11045" s="5"/>
    </row>
    <row r="11046" spans="1:26" ht="15" x14ac:dyDescent="0.25">
      <c r="A11046" s="4" t="s">
        <v>11043</v>
      </c>
      <c r="B11046" s="4" t="s">
        <v>9011</v>
      </c>
      <c r="C11046" s="2" t="str">
        <f ca="1">IFERROR(__xludf.DUMMYFUNCTION("GOOGLETRANSLATE(A11046,""bn"",""en"")"),"you will eat kebab")</f>
        <v>you will eat kebab</v>
      </c>
      <c r="D11046" s="5"/>
      <c r="E11046" s="5"/>
      <c r="F11046" s="5"/>
      <c r="G11046" s="5"/>
      <c r="H11046" s="5"/>
      <c r="I11046" s="5"/>
      <c r="J11046" s="5"/>
      <c r="K11046" s="5"/>
      <c r="L11046" s="5"/>
      <c r="M11046" s="5"/>
      <c r="N11046" s="5"/>
      <c r="O11046" s="5"/>
      <c r="P11046" s="5"/>
      <c r="Q11046" s="5"/>
      <c r="R11046" s="5"/>
      <c r="S11046" s="5"/>
      <c r="T11046" s="5"/>
      <c r="U11046" s="5"/>
      <c r="V11046" s="5"/>
      <c r="W11046" s="5"/>
      <c r="X11046" s="5"/>
      <c r="Y11046" s="5"/>
      <c r="Z11046" s="5"/>
    </row>
    <row r="11047" spans="1:26" ht="15" x14ac:dyDescent="0.25">
      <c r="A11047" s="4" t="s">
        <v>11044</v>
      </c>
      <c r="B11047" s="4" t="s">
        <v>9011</v>
      </c>
      <c r="C11047" s="2" t="str">
        <f ca="1">IFERROR(__xludf.DUMMYFUNCTION("GOOGLETRANSLATE(A11047,""bn"",""en"")"),"Kids will learn programming")</f>
        <v>Kids will learn programming</v>
      </c>
      <c r="D11047" s="5"/>
      <c r="E11047" s="5"/>
      <c r="F11047" s="5"/>
      <c r="G11047" s="5"/>
      <c r="H11047" s="5"/>
      <c r="I11047" s="5"/>
      <c r="J11047" s="5"/>
      <c r="K11047" s="5"/>
      <c r="L11047" s="5"/>
      <c r="M11047" s="5"/>
      <c r="N11047" s="5"/>
      <c r="O11047" s="5"/>
      <c r="P11047" s="5"/>
      <c r="Q11047" s="5"/>
      <c r="R11047" s="5"/>
      <c r="S11047" s="5"/>
      <c r="T11047" s="5"/>
      <c r="U11047" s="5"/>
      <c r="V11047" s="5"/>
      <c r="W11047" s="5"/>
      <c r="X11047" s="5"/>
      <c r="Y11047" s="5"/>
      <c r="Z11047" s="5"/>
    </row>
    <row r="11048" spans="1:26" ht="15" x14ac:dyDescent="0.25">
      <c r="A11048" s="4" t="s">
        <v>11045</v>
      </c>
      <c r="B11048" s="4" t="s">
        <v>9011</v>
      </c>
      <c r="C11048" s="2" t="str">
        <f ca="1">IFERROR(__xludf.DUMMYFUNCTION("GOOGLETRANSLATE(A11048,""bn"",""en"")"),"I want benefits in life")</f>
        <v>I want benefits in life</v>
      </c>
      <c r="D11048" s="5"/>
      <c r="E11048" s="5"/>
      <c r="F11048" s="5"/>
      <c r="G11048" s="5"/>
      <c r="H11048" s="5"/>
      <c r="I11048" s="5"/>
      <c r="J11048" s="5"/>
      <c r="K11048" s="5"/>
      <c r="L11048" s="5"/>
      <c r="M11048" s="5"/>
      <c r="N11048" s="5"/>
      <c r="O11048" s="5"/>
      <c r="P11048" s="5"/>
      <c r="Q11048" s="5"/>
      <c r="R11048" s="5"/>
      <c r="S11048" s="5"/>
      <c r="T11048" s="5"/>
      <c r="U11048" s="5"/>
      <c r="V11048" s="5"/>
      <c r="W11048" s="5"/>
      <c r="X11048" s="5"/>
      <c r="Y11048" s="5"/>
      <c r="Z11048" s="5"/>
    </row>
    <row r="11049" spans="1:26" ht="15" x14ac:dyDescent="0.25">
      <c r="A11049" s="4" t="s">
        <v>11046</v>
      </c>
      <c r="B11049" s="4" t="s">
        <v>9011</v>
      </c>
      <c r="C11049" s="2" t="str">
        <f ca="1">IFERROR(__xludf.DUMMYFUNCTION("GOOGLETRANSLATE(A11049,""bn"",""en"")"),"Many visitors will come")</f>
        <v>Many visitors will come</v>
      </c>
      <c r="D11049" s="5"/>
      <c r="E11049" s="5"/>
      <c r="F11049" s="5"/>
      <c r="G11049" s="5"/>
      <c r="H11049" s="5"/>
      <c r="I11049" s="5"/>
      <c r="J11049" s="5"/>
      <c r="K11049" s="5"/>
      <c r="L11049" s="5"/>
      <c r="M11049" s="5"/>
      <c r="N11049" s="5"/>
      <c r="O11049" s="5"/>
      <c r="P11049" s="5"/>
      <c r="Q11049" s="5"/>
      <c r="R11049" s="5"/>
      <c r="S11049" s="5"/>
      <c r="T11049" s="5"/>
      <c r="U11049" s="5"/>
      <c r="V11049" s="5"/>
      <c r="W11049" s="5"/>
      <c r="X11049" s="5"/>
      <c r="Y11049" s="5"/>
      <c r="Z11049" s="5"/>
    </row>
    <row r="11050" spans="1:26" ht="15" x14ac:dyDescent="0.25">
      <c r="A11050" s="4" t="s">
        <v>11047</v>
      </c>
      <c r="B11050" s="4" t="s">
        <v>9011</v>
      </c>
      <c r="C11050" s="2" t="str">
        <f ca="1">IFERROR(__xludf.DUMMYFUNCTION("GOOGLETRANSLATE(A11050,""bn"",""en"")"),"It will be a pleasant experience")</f>
        <v>It will be a pleasant experience</v>
      </c>
      <c r="D11050" s="5"/>
      <c r="E11050" s="5"/>
      <c r="F11050" s="5"/>
      <c r="G11050" s="5"/>
      <c r="H11050" s="5"/>
      <c r="I11050" s="5"/>
      <c r="J11050" s="5"/>
      <c r="K11050" s="5"/>
      <c r="L11050" s="5"/>
      <c r="M11050" s="5"/>
      <c r="N11050" s="5"/>
      <c r="O11050" s="5"/>
      <c r="P11050" s="5"/>
      <c r="Q11050" s="5"/>
      <c r="R11050" s="5"/>
      <c r="S11050" s="5"/>
      <c r="T11050" s="5"/>
      <c r="U11050" s="5"/>
      <c r="V11050" s="5"/>
      <c r="W11050" s="5"/>
      <c r="X11050" s="5"/>
      <c r="Y11050" s="5"/>
      <c r="Z11050" s="5"/>
    </row>
    <row r="11051" spans="1:26" ht="15" x14ac:dyDescent="0.25">
      <c r="A11051" s="4" t="s">
        <v>11048</v>
      </c>
      <c r="B11051" s="4" t="s">
        <v>9011</v>
      </c>
      <c r="C11051" s="2" t="str">
        <f ca="1">IFERROR(__xludf.DUMMYFUNCTION("GOOGLETRANSLATE(A11051,""bn"",""en"")"),"Rahat will do banking")</f>
        <v>Rahat will do banking</v>
      </c>
      <c r="D11051" s="5"/>
      <c r="E11051" s="5"/>
      <c r="F11051" s="5"/>
      <c r="G11051" s="5"/>
      <c r="H11051" s="5"/>
      <c r="I11051" s="5"/>
      <c r="J11051" s="5"/>
      <c r="K11051" s="5"/>
      <c r="L11051" s="5"/>
      <c r="M11051" s="5"/>
      <c r="N11051" s="5"/>
      <c r="O11051" s="5"/>
      <c r="P11051" s="5"/>
      <c r="Q11051" s="5"/>
      <c r="R11051" s="5"/>
      <c r="S11051" s="5"/>
      <c r="T11051" s="5"/>
      <c r="U11051" s="5"/>
      <c r="V11051" s="5"/>
      <c r="W11051" s="5"/>
      <c r="X11051" s="5"/>
      <c r="Y11051" s="5"/>
      <c r="Z11051" s="5"/>
    </row>
    <row r="11052" spans="1:26" ht="15" x14ac:dyDescent="0.25">
      <c r="A11052" s="4" t="s">
        <v>11049</v>
      </c>
      <c r="B11052" s="4" t="s">
        <v>9011</v>
      </c>
      <c r="C11052" s="2" t="str">
        <f ca="1">IFERROR(__xludf.DUMMYFUNCTION("GOOGLETRANSLATE(A11052,""bn"",""en"")"),"I will continue to blog")</f>
        <v>I will continue to blog</v>
      </c>
      <c r="D11052" s="5"/>
      <c r="E11052" s="5"/>
      <c r="F11052" s="5"/>
      <c r="G11052" s="5"/>
      <c r="H11052" s="5"/>
      <c r="I11052" s="5"/>
      <c r="J11052" s="5"/>
      <c r="K11052" s="5"/>
      <c r="L11052" s="5"/>
      <c r="M11052" s="5"/>
      <c r="N11052" s="5"/>
      <c r="O11052" s="5"/>
      <c r="P11052" s="5"/>
      <c r="Q11052" s="5"/>
      <c r="R11052" s="5"/>
      <c r="S11052" s="5"/>
      <c r="T11052" s="5"/>
      <c r="U11052" s="5"/>
      <c r="V11052" s="5"/>
      <c r="W11052" s="5"/>
      <c r="X11052" s="5"/>
      <c r="Y11052" s="5"/>
      <c r="Z11052" s="5"/>
    </row>
    <row r="11053" spans="1:26" ht="15" x14ac:dyDescent="0.25">
      <c r="A11053" s="4" t="s">
        <v>11050</v>
      </c>
      <c r="B11053" s="4" t="s">
        <v>9011</v>
      </c>
      <c r="C11053" s="2" t="str">
        <f ca="1">IFERROR(__xludf.DUMMYFUNCTION("GOOGLETRANSLATE(A11053,""bn"",""en"")"),"The problem will be solved")</f>
        <v>The problem will be solved</v>
      </c>
      <c r="D11053" s="5"/>
      <c r="E11053" s="5"/>
      <c r="F11053" s="5"/>
      <c r="G11053" s="5"/>
      <c r="H11053" s="5"/>
      <c r="I11053" s="5"/>
      <c r="J11053" s="5"/>
      <c r="K11053" s="5"/>
      <c r="L11053" s="5"/>
      <c r="M11053" s="5"/>
      <c r="N11053" s="5"/>
      <c r="O11053" s="5"/>
      <c r="P11053" s="5"/>
      <c r="Q11053" s="5"/>
      <c r="R11053" s="5"/>
      <c r="S11053" s="5"/>
      <c r="T11053" s="5"/>
      <c r="U11053" s="5"/>
      <c r="V11053" s="5"/>
      <c r="W11053" s="5"/>
      <c r="X11053" s="5"/>
      <c r="Y11053" s="5"/>
      <c r="Z11053" s="5"/>
    </row>
    <row r="11054" spans="1:26" ht="15" x14ac:dyDescent="0.25">
      <c r="A11054" s="4" t="s">
        <v>11051</v>
      </c>
      <c r="B11054" s="4" t="s">
        <v>9011</v>
      </c>
      <c r="C11054" s="2" t="str">
        <f ca="1">IFERROR(__xludf.DUMMYFUNCTION("GOOGLETRANSLATE(A11054,""bn"",""en"")"),"I will pay the internet bill")</f>
        <v>I will pay the internet bill</v>
      </c>
      <c r="D11054" s="5"/>
      <c r="E11054" s="5"/>
      <c r="F11054" s="5"/>
      <c r="G11054" s="5"/>
      <c r="H11054" s="5"/>
      <c r="I11054" s="5"/>
      <c r="J11054" s="5"/>
      <c r="K11054" s="5"/>
      <c r="L11054" s="5"/>
      <c r="M11054" s="5"/>
      <c r="N11054" s="5"/>
      <c r="O11054" s="5"/>
      <c r="P11054" s="5"/>
      <c r="Q11054" s="5"/>
      <c r="R11054" s="5"/>
      <c r="S11054" s="5"/>
      <c r="T11054" s="5"/>
      <c r="U11054" s="5"/>
      <c r="V11054" s="5"/>
      <c r="W11054" s="5"/>
      <c r="X11054" s="5"/>
      <c r="Y11054" s="5"/>
      <c r="Z11054" s="5"/>
    </row>
    <row r="11055" spans="1:26" ht="15" x14ac:dyDescent="0.25">
      <c r="A11055" s="4" t="s">
        <v>11052</v>
      </c>
      <c r="B11055" s="4" t="s">
        <v>9011</v>
      </c>
      <c r="C11055" s="2" t="str">
        <f ca="1">IFERROR(__xludf.DUMMYFUNCTION("GOOGLETRANSLATE(A11055,""bn"",""en"")"),"I will shop online")</f>
        <v>I will shop online</v>
      </c>
      <c r="D11055" s="5"/>
      <c r="E11055" s="5"/>
      <c r="F11055" s="5"/>
      <c r="G11055" s="5"/>
      <c r="H11055" s="5"/>
      <c r="I11055" s="5"/>
      <c r="J11055" s="5"/>
      <c r="K11055" s="5"/>
      <c r="L11055" s="5"/>
      <c r="M11055" s="5"/>
      <c r="N11055" s="5"/>
      <c r="O11055" s="5"/>
      <c r="P11055" s="5"/>
      <c r="Q11055" s="5"/>
      <c r="R11055" s="5"/>
      <c r="S11055" s="5"/>
      <c r="T11055" s="5"/>
      <c r="U11055" s="5"/>
      <c r="V11055" s="5"/>
      <c r="W11055" s="5"/>
      <c r="X11055" s="5"/>
      <c r="Y11055" s="5"/>
      <c r="Z11055" s="5"/>
    </row>
    <row r="11056" spans="1:26" ht="15" x14ac:dyDescent="0.25">
      <c r="A11056" s="4" t="s">
        <v>11053</v>
      </c>
      <c r="B11056" s="4" t="s">
        <v>9011</v>
      </c>
      <c r="C11056" s="2" t="str">
        <f ca="1">IFERROR(__xludf.DUMMYFUNCTION("GOOGLETRANSLATE(A11056,""bn"",""en"")"),"The system will be integrated")</f>
        <v>The system will be integrated</v>
      </c>
      <c r="D11056" s="5"/>
      <c r="E11056" s="5"/>
      <c r="F11056" s="5"/>
      <c r="G11056" s="5"/>
      <c r="H11056" s="5"/>
      <c r="I11056" s="5"/>
      <c r="J11056" s="5"/>
      <c r="K11056" s="5"/>
      <c r="L11056" s="5"/>
      <c r="M11056" s="5"/>
      <c r="N11056" s="5"/>
      <c r="O11056" s="5"/>
      <c r="P11056" s="5"/>
      <c r="Q11056" s="5"/>
      <c r="R11056" s="5"/>
      <c r="S11056" s="5"/>
      <c r="T11056" s="5"/>
      <c r="U11056" s="5"/>
      <c r="V11056" s="5"/>
      <c r="W11056" s="5"/>
      <c r="X11056" s="5"/>
      <c r="Y11056" s="5"/>
      <c r="Z11056" s="5"/>
    </row>
    <row r="11057" spans="1:26" ht="15" x14ac:dyDescent="0.25">
      <c r="A11057" s="4" t="s">
        <v>11054</v>
      </c>
      <c r="B11057" s="4" t="s">
        <v>9011</v>
      </c>
      <c r="C11057" s="2" t="str">
        <f ca="1">IFERROR(__xludf.DUMMYFUNCTION("GOOGLETRANSLATE(A11057,""bn"",""en"")"),"Tesla will be a giant")</f>
        <v>Tesla will be a giant</v>
      </c>
      <c r="D11057" s="5"/>
      <c r="E11057" s="5"/>
      <c r="F11057" s="5"/>
      <c r="G11057" s="5"/>
      <c r="H11057" s="5"/>
      <c r="I11057" s="5"/>
      <c r="J11057" s="5"/>
      <c r="K11057" s="5"/>
      <c r="L11057" s="5"/>
      <c r="M11057" s="5"/>
      <c r="N11057" s="5"/>
      <c r="O11057" s="5"/>
      <c r="P11057" s="5"/>
      <c r="Q11057" s="5"/>
      <c r="R11057" s="5"/>
      <c r="S11057" s="5"/>
      <c r="T11057" s="5"/>
      <c r="U11057" s="5"/>
      <c r="V11057" s="5"/>
      <c r="W11057" s="5"/>
      <c r="X11057" s="5"/>
      <c r="Y11057" s="5"/>
      <c r="Z11057" s="5"/>
    </row>
    <row r="11058" spans="1:26" ht="15" x14ac:dyDescent="0.25">
      <c r="A11058" s="4" t="s">
        <v>11055</v>
      </c>
      <c r="B11058" s="4" t="s">
        <v>9011</v>
      </c>
      <c r="C11058" s="2" t="str">
        <f ca="1">IFERROR(__xludf.DUMMYFUNCTION("GOOGLETRANSLATE(A11058,""bn"",""en"")"),"I will continue to visit book fairs")</f>
        <v>I will continue to visit book fairs</v>
      </c>
      <c r="D11058" s="5"/>
      <c r="E11058" s="5"/>
      <c r="F11058" s="5"/>
      <c r="G11058" s="5"/>
      <c r="H11058" s="5"/>
      <c r="I11058" s="5"/>
      <c r="J11058" s="5"/>
      <c r="K11058" s="5"/>
      <c r="L11058" s="5"/>
      <c r="M11058" s="5"/>
      <c r="N11058" s="5"/>
      <c r="O11058" s="5"/>
      <c r="P11058" s="5"/>
      <c r="Q11058" s="5"/>
      <c r="R11058" s="5"/>
      <c r="S11058" s="5"/>
      <c r="T11058" s="5"/>
      <c r="U11058" s="5"/>
      <c r="V11058" s="5"/>
      <c r="W11058" s="5"/>
      <c r="X11058" s="5"/>
      <c r="Y11058" s="5"/>
      <c r="Z11058" s="5"/>
    </row>
    <row r="11059" spans="1:26" ht="15" x14ac:dyDescent="0.25">
      <c r="A11059" s="4" t="s">
        <v>11056</v>
      </c>
      <c r="B11059" s="4" t="s">
        <v>9011</v>
      </c>
      <c r="C11059" s="2" t="str">
        <f ca="1">IFERROR(__xludf.DUMMYFUNCTION("GOOGLETRANSLATE(A11059,""bn"",""en"")"),"Bank customers will increase")</f>
        <v>Bank customers will increase</v>
      </c>
      <c r="D11059" s="5"/>
      <c r="E11059" s="5"/>
      <c r="F11059" s="5"/>
      <c r="G11059" s="5"/>
      <c r="H11059" s="5"/>
      <c r="I11059" s="5"/>
      <c r="J11059" s="5"/>
      <c r="K11059" s="5"/>
      <c r="L11059" s="5"/>
      <c r="M11059" s="5"/>
      <c r="N11059" s="5"/>
      <c r="O11059" s="5"/>
      <c r="P11059" s="5"/>
      <c r="Q11059" s="5"/>
      <c r="R11059" s="5"/>
      <c r="S11059" s="5"/>
      <c r="T11059" s="5"/>
      <c r="U11059" s="5"/>
      <c r="V11059" s="5"/>
      <c r="W11059" s="5"/>
      <c r="X11059" s="5"/>
      <c r="Y11059" s="5"/>
      <c r="Z11059" s="5"/>
    </row>
    <row r="11060" spans="1:26" ht="15" x14ac:dyDescent="0.25">
      <c r="A11060" s="4" t="s">
        <v>11057</v>
      </c>
      <c r="B11060" s="4" t="s">
        <v>9011</v>
      </c>
      <c r="C11060" s="2" t="str">
        <f ca="1">IFERROR(__xludf.DUMMYFUNCTION("GOOGLETRANSLATE(A11060,""bn"",""en"")"),"I will look for success")</f>
        <v>I will look for success</v>
      </c>
      <c r="D11060" s="5"/>
      <c r="E11060" s="5"/>
      <c r="F11060" s="5"/>
      <c r="G11060" s="5"/>
      <c r="H11060" s="5"/>
      <c r="I11060" s="5"/>
      <c r="J11060" s="5"/>
      <c r="K11060" s="5"/>
      <c r="L11060" s="5"/>
      <c r="M11060" s="5"/>
      <c r="N11060" s="5"/>
      <c r="O11060" s="5"/>
      <c r="P11060" s="5"/>
      <c r="Q11060" s="5"/>
      <c r="R11060" s="5"/>
      <c r="S11060" s="5"/>
      <c r="T11060" s="5"/>
      <c r="U11060" s="5"/>
      <c r="V11060" s="5"/>
      <c r="W11060" s="5"/>
      <c r="X11060" s="5"/>
      <c r="Y11060" s="5"/>
      <c r="Z11060" s="5"/>
    </row>
    <row r="11061" spans="1:26" ht="15" x14ac:dyDescent="0.25">
      <c r="A11061" s="4" t="s">
        <v>11058</v>
      </c>
      <c r="B11061" s="4" t="s">
        <v>9011</v>
      </c>
      <c r="C11061" s="2" t="str">
        <f ca="1">IFERROR(__xludf.DUMMYFUNCTION("GOOGLETRANSLATE(A11061,""bn"",""en"")"),"I will visit the bank")</f>
        <v>I will visit the bank</v>
      </c>
      <c r="D11061" s="5"/>
      <c r="E11061" s="5"/>
      <c r="F11061" s="5"/>
      <c r="G11061" s="5"/>
      <c r="H11061" s="5"/>
      <c r="I11061" s="5"/>
      <c r="J11061" s="5"/>
      <c r="K11061" s="5"/>
      <c r="L11061" s="5"/>
      <c r="M11061" s="5"/>
      <c r="N11061" s="5"/>
      <c r="O11061" s="5"/>
      <c r="P11061" s="5"/>
      <c r="Q11061" s="5"/>
      <c r="R11061" s="5"/>
      <c r="S11061" s="5"/>
      <c r="T11061" s="5"/>
      <c r="U11061" s="5"/>
      <c r="V11061" s="5"/>
      <c r="W11061" s="5"/>
      <c r="X11061" s="5"/>
      <c r="Y11061" s="5"/>
      <c r="Z11061" s="5"/>
    </row>
    <row r="11062" spans="1:26" ht="15" x14ac:dyDescent="0.25">
      <c r="A11062" s="4" t="s">
        <v>11059</v>
      </c>
      <c r="B11062" s="4" t="s">
        <v>9011</v>
      </c>
      <c r="C11062" s="2" t="str">
        <f ca="1">IFERROR(__xludf.DUMMYFUNCTION("GOOGLETRANSLATE(A11062,""bn"",""en"")"),"I will send to email")</f>
        <v>I will send to email</v>
      </c>
      <c r="D11062" s="5"/>
      <c r="E11062" s="5"/>
      <c r="F11062" s="5"/>
      <c r="G11062" s="5"/>
      <c r="H11062" s="5"/>
      <c r="I11062" s="5"/>
      <c r="J11062" s="5"/>
      <c r="K11062" s="5"/>
      <c r="L11062" s="5"/>
      <c r="M11062" s="5"/>
      <c r="N11062" s="5"/>
      <c r="O11062" s="5"/>
      <c r="P11062" s="5"/>
      <c r="Q11062" s="5"/>
      <c r="R11062" s="5"/>
      <c r="S11062" s="5"/>
      <c r="T11062" s="5"/>
      <c r="U11062" s="5"/>
      <c r="V11062" s="5"/>
      <c r="W11062" s="5"/>
      <c r="X11062" s="5"/>
      <c r="Y11062" s="5"/>
      <c r="Z11062" s="5"/>
    </row>
    <row r="11063" spans="1:26" ht="15" x14ac:dyDescent="0.25">
      <c r="A11063" s="4" t="s">
        <v>11060</v>
      </c>
      <c r="B11063" s="4" t="s">
        <v>9011</v>
      </c>
      <c r="C11063" s="2" t="str">
        <f ca="1">IFERROR(__xludf.DUMMYFUNCTION("GOOGLETRANSLATE(A11063,""bn"",""en"")"),"Technology will apply")</f>
        <v>Technology will apply</v>
      </c>
      <c r="D11063" s="5"/>
      <c r="E11063" s="5"/>
      <c r="F11063" s="5"/>
      <c r="G11063" s="5"/>
      <c r="H11063" s="5"/>
      <c r="I11063" s="5"/>
      <c r="J11063" s="5"/>
      <c r="K11063" s="5"/>
      <c r="L11063" s="5"/>
      <c r="M11063" s="5"/>
      <c r="N11063" s="5"/>
      <c r="O11063" s="5"/>
      <c r="P11063" s="5"/>
      <c r="Q11063" s="5"/>
      <c r="R11063" s="5"/>
      <c r="S11063" s="5"/>
      <c r="T11063" s="5"/>
      <c r="U11063" s="5"/>
      <c r="V11063" s="5"/>
      <c r="W11063" s="5"/>
      <c r="X11063" s="5"/>
      <c r="Y11063" s="5"/>
      <c r="Z11063" s="5"/>
    </row>
    <row r="11064" spans="1:26" ht="15" x14ac:dyDescent="0.25">
      <c r="A11064" s="4" t="s">
        <v>11061</v>
      </c>
      <c r="B11064" s="4" t="s">
        <v>9011</v>
      </c>
      <c r="C11064" s="2" t="str">
        <f ca="1">IFERROR(__xludf.DUMMYFUNCTION("GOOGLETRANSLATE(A11064,""bn"",""en"")"),"I will visit Kashmir")</f>
        <v>I will visit Kashmir</v>
      </c>
      <c r="D11064" s="5"/>
      <c r="E11064" s="5"/>
      <c r="F11064" s="5"/>
      <c r="G11064" s="5"/>
      <c r="H11064" s="5"/>
      <c r="I11064" s="5"/>
      <c r="J11064" s="5"/>
      <c r="K11064" s="5"/>
      <c r="L11064" s="5"/>
      <c r="M11064" s="5"/>
      <c r="N11064" s="5"/>
      <c r="O11064" s="5"/>
      <c r="P11064" s="5"/>
      <c r="Q11064" s="5"/>
      <c r="R11064" s="5"/>
      <c r="S11064" s="5"/>
      <c r="T11064" s="5"/>
      <c r="U11064" s="5"/>
      <c r="V11064" s="5"/>
      <c r="W11064" s="5"/>
      <c r="X11064" s="5"/>
      <c r="Y11064" s="5"/>
      <c r="Z11064" s="5"/>
    </row>
    <row r="11065" spans="1:26" ht="15" x14ac:dyDescent="0.25">
      <c r="A11065" s="4" t="s">
        <v>11062</v>
      </c>
      <c r="B11065" s="4" t="s">
        <v>9011</v>
      </c>
      <c r="C11065" s="2" t="str">
        <f ca="1">IFERROR(__xludf.DUMMYFUNCTION("GOOGLETRANSLATE(A11065,""bn"",""en"")"),"Adulteration will increase in the market")</f>
        <v>Adulteration will increase in the market</v>
      </c>
      <c r="D11065" s="5"/>
      <c r="E11065" s="5"/>
      <c r="F11065" s="5"/>
      <c r="G11065" s="5"/>
      <c r="H11065" s="5"/>
      <c r="I11065" s="5"/>
      <c r="J11065" s="5"/>
      <c r="K11065" s="5"/>
      <c r="L11065" s="5"/>
      <c r="M11065" s="5"/>
      <c r="N11065" s="5"/>
      <c r="O11065" s="5"/>
      <c r="P11065" s="5"/>
      <c r="Q11065" s="5"/>
      <c r="R11065" s="5"/>
      <c r="S11065" s="5"/>
      <c r="T11065" s="5"/>
      <c r="U11065" s="5"/>
      <c r="V11065" s="5"/>
      <c r="W11065" s="5"/>
      <c r="X11065" s="5"/>
      <c r="Y11065" s="5"/>
      <c r="Z11065" s="5"/>
    </row>
    <row r="11066" spans="1:26" ht="15" x14ac:dyDescent="0.25">
      <c r="A11066" s="4" t="s">
        <v>11063</v>
      </c>
      <c r="B11066" s="4" t="s">
        <v>9011</v>
      </c>
      <c r="C11066" s="2" t="str">
        <f ca="1">IFERROR(__xludf.DUMMYFUNCTION("GOOGLETRANSLATE(A11066,""bn"",""en"")"),"I will invest in the project")</f>
        <v>I will invest in the project</v>
      </c>
      <c r="D11066" s="5"/>
      <c r="E11066" s="5"/>
      <c r="F11066" s="5"/>
      <c r="G11066" s="5"/>
      <c r="H11066" s="5"/>
      <c r="I11066" s="5"/>
      <c r="J11066" s="5"/>
      <c r="K11066" s="5"/>
      <c r="L11066" s="5"/>
      <c r="M11066" s="5"/>
      <c r="N11066" s="5"/>
      <c r="O11066" s="5"/>
      <c r="P11066" s="5"/>
      <c r="Q11066" s="5"/>
      <c r="R11066" s="5"/>
      <c r="S11066" s="5"/>
      <c r="T11066" s="5"/>
      <c r="U11066" s="5"/>
      <c r="V11066" s="5"/>
      <c r="W11066" s="5"/>
      <c r="X11066" s="5"/>
      <c r="Y11066" s="5"/>
      <c r="Z11066" s="5"/>
    </row>
    <row r="11067" spans="1:26" ht="15" x14ac:dyDescent="0.25">
      <c r="A11067" s="4" t="s">
        <v>11064</v>
      </c>
      <c r="B11067" s="4" t="s">
        <v>9011</v>
      </c>
      <c r="C11067" s="2" t="str">
        <f ca="1">IFERROR(__xludf.DUMMYFUNCTION("GOOGLETRANSLATE(A11067,""bn"",""en"")"),"I will play computer games")</f>
        <v>I will play computer games</v>
      </c>
      <c r="D11067" s="5"/>
      <c r="E11067" s="5"/>
      <c r="F11067" s="5"/>
      <c r="G11067" s="5"/>
      <c r="H11067" s="5"/>
      <c r="I11067" s="5"/>
      <c r="J11067" s="5"/>
      <c r="K11067" s="5"/>
      <c r="L11067" s="5"/>
      <c r="M11067" s="5"/>
      <c r="N11067" s="5"/>
      <c r="O11067" s="5"/>
      <c r="P11067" s="5"/>
      <c r="Q11067" s="5"/>
      <c r="R11067" s="5"/>
      <c r="S11067" s="5"/>
      <c r="T11067" s="5"/>
      <c r="U11067" s="5"/>
      <c r="V11067" s="5"/>
      <c r="W11067" s="5"/>
      <c r="X11067" s="5"/>
      <c r="Y11067" s="5"/>
      <c r="Z11067" s="5"/>
    </row>
    <row r="11068" spans="1:26" ht="15" x14ac:dyDescent="0.25">
      <c r="A11068" s="4" t="s">
        <v>11065</v>
      </c>
      <c r="B11068" s="4" t="s">
        <v>9011</v>
      </c>
      <c r="C11068" s="2" t="str">
        <f ca="1">IFERROR(__xludf.DUMMYFUNCTION("GOOGLETRANSLATE(A11068,""bn"",""en"")"),"I will use the server")</f>
        <v>I will use the server</v>
      </c>
      <c r="D11068" s="5"/>
      <c r="E11068" s="5"/>
      <c r="F11068" s="5"/>
      <c r="G11068" s="5"/>
      <c r="H11068" s="5"/>
      <c r="I11068" s="5"/>
      <c r="J11068" s="5"/>
      <c r="K11068" s="5"/>
      <c r="L11068" s="5"/>
      <c r="M11068" s="5"/>
      <c r="N11068" s="5"/>
      <c r="O11068" s="5"/>
      <c r="P11068" s="5"/>
      <c r="Q11068" s="5"/>
      <c r="R11068" s="5"/>
      <c r="S11068" s="5"/>
      <c r="T11068" s="5"/>
      <c r="U11068" s="5"/>
      <c r="V11068" s="5"/>
      <c r="W11068" s="5"/>
      <c r="X11068" s="5"/>
      <c r="Y11068" s="5"/>
      <c r="Z11068" s="5"/>
    </row>
    <row r="11069" spans="1:26" ht="15" x14ac:dyDescent="0.25">
      <c r="A11069" s="4" t="s">
        <v>11066</v>
      </c>
      <c r="B11069" s="4" t="s">
        <v>9011</v>
      </c>
      <c r="C11069" s="2" t="str">
        <f ca="1">IFERROR(__xludf.DUMMYFUNCTION("GOOGLETRANSLATE(A11069,""bn"",""en"")"),"Bank will provide services")</f>
        <v>Bank will provide services</v>
      </c>
      <c r="D11069" s="5"/>
      <c r="E11069" s="5"/>
      <c r="F11069" s="5"/>
      <c r="G11069" s="5"/>
      <c r="H11069" s="5"/>
      <c r="I11069" s="5"/>
      <c r="J11069" s="5"/>
      <c r="K11069" s="5"/>
      <c r="L11069" s="5"/>
      <c r="M11069" s="5"/>
      <c r="N11069" s="5"/>
      <c r="O11069" s="5"/>
      <c r="P11069" s="5"/>
      <c r="Q11069" s="5"/>
      <c r="R11069" s="5"/>
      <c r="S11069" s="5"/>
      <c r="T11069" s="5"/>
      <c r="U11069" s="5"/>
      <c r="V11069" s="5"/>
      <c r="W11069" s="5"/>
      <c r="X11069" s="5"/>
      <c r="Y11069" s="5"/>
      <c r="Z11069" s="5"/>
    </row>
    <row r="11070" spans="1:26" ht="15" x14ac:dyDescent="0.25">
      <c r="A11070" s="4" t="s">
        <v>11067</v>
      </c>
      <c r="B11070" s="4" t="s">
        <v>9011</v>
      </c>
      <c r="C11070" s="2" t="str">
        <f ca="1">IFERROR(__xludf.DUMMYFUNCTION("GOOGLETRANSLATE(A11070,""bn"",""en"")"),"Confidence in traveling will increase")</f>
        <v>Confidence in traveling will increase</v>
      </c>
      <c r="D11070" s="5"/>
      <c r="E11070" s="5"/>
      <c r="F11070" s="5"/>
      <c r="G11070" s="5"/>
      <c r="H11070" s="5"/>
      <c r="I11070" s="5"/>
      <c r="J11070" s="5"/>
      <c r="K11070" s="5"/>
      <c r="L11070" s="5"/>
      <c r="M11070" s="5"/>
      <c r="N11070" s="5"/>
      <c r="O11070" s="5"/>
      <c r="P11070" s="5"/>
      <c r="Q11070" s="5"/>
      <c r="R11070" s="5"/>
      <c r="S11070" s="5"/>
      <c r="T11070" s="5"/>
      <c r="U11070" s="5"/>
      <c r="V11070" s="5"/>
      <c r="W11070" s="5"/>
      <c r="X11070" s="5"/>
      <c r="Y11070" s="5"/>
      <c r="Z11070" s="5"/>
    </row>
    <row r="11071" spans="1:26" ht="15" x14ac:dyDescent="0.25">
      <c r="A11071" s="4" t="s">
        <v>11068</v>
      </c>
      <c r="B11071" s="4" t="s">
        <v>9011</v>
      </c>
      <c r="C11071" s="2" t="str">
        <f ca="1">IFERROR(__xludf.DUMMYFUNCTION("GOOGLETRANSLATE(A11071,""bn"",""en"")"),"You will definitely find the ultimate joy in travel")</f>
        <v>You will definitely find the ultimate joy in travel</v>
      </c>
      <c r="D11071" s="5"/>
      <c r="E11071" s="5"/>
      <c r="F11071" s="5"/>
      <c r="G11071" s="5"/>
      <c r="H11071" s="5"/>
      <c r="I11071" s="5"/>
      <c r="J11071" s="5"/>
      <c r="K11071" s="5"/>
      <c r="L11071" s="5"/>
      <c r="M11071" s="5"/>
      <c r="N11071" s="5"/>
      <c r="O11071" s="5"/>
      <c r="P11071" s="5"/>
      <c r="Q11071" s="5"/>
      <c r="R11071" s="5"/>
      <c r="S11071" s="5"/>
      <c r="T11071" s="5"/>
      <c r="U11071" s="5"/>
      <c r="V11071" s="5"/>
      <c r="W11071" s="5"/>
      <c r="X11071" s="5"/>
      <c r="Y11071" s="5"/>
      <c r="Z11071" s="5"/>
    </row>
    <row r="11072" spans="1:26" ht="15" x14ac:dyDescent="0.25">
      <c r="A11072" s="4" t="s">
        <v>11069</v>
      </c>
      <c r="B11072" s="4" t="s">
        <v>9011</v>
      </c>
      <c r="C11072" s="2" t="str">
        <f ca="1">IFERROR(__xludf.DUMMYFUNCTION("GOOGLETRANSLATE(A11072,""bn"",""en"")"),"I will see the beauty of the forest")</f>
        <v>I will see the beauty of the forest</v>
      </c>
      <c r="D11072" s="5"/>
      <c r="E11072" s="5"/>
      <c r="F11072" s="5"/>
      <c r="G11072" s="5"/>
      <c r="H11072" s="5"/>
      <c r="I11072" s="5"/>
      <c r="J11072" s="5"/>
      <c r="K11072" s="5"/>
      <c r="L11072" s="5"/>
      <c r="M11072" s="5"/>
      <c r="N11072" s="5"/>
      <c r="O11072" s="5"/>
      <c r="P11072" s="5"/>
      <c r="Q11072" s="5"/>
      <c r="R11072" s="5"/>
      <c r="S11072" s="5"/>
      <c r="T11072" s="5"/>
      <c r="U11072" s="5"/>
      <c r="V11072" s="5"/>
      <c r="W11072" s="5"/>
      <c r="X11072" s="5"/>
      <c r="Y11072" s="5"/>
      <c r="Z11072" s="5"/>
    </row>
    <row r="11073" spans="1:26" ht="15" x14ac:dyDescent="0.25">
      <c r="A11073" s="4" t="s">
        <v>11070</v>
      </c>
      <c r="B11073" s="4" t="s">
        <v>9011</v>
      </c>
      <c r="C11073" s="2" t="str">
        <f ca="1">IFERROR(__xludf.DUMMYFUNCTION("GOOGLETRANSLATE(A11073,""bn"",""en"")"),"The movie will be released")</f>
        <v>The movie will be released</v>
      </c>
      <c r="D11073" s="5"/>
      <c r="E11073" s="5"/>
      <c r="F11073" s="5"/>
      <c r="G11073" s="5"/>
      <c r="H11073" s="5"/>
      <c r="I11073" s="5"/>
      <c r="J11073" s="5"/>
      <c r="K11073" s="5"/>
      <c r="L11073" s="5"/>
      <c r="M11073" s="5"/>
      <c r="N11073" s="5"/>
      <c r="O11073" s="5"/>
      <c r="P11073" s="5"/>
      <c r="Q11073" s="5"/>
      <c r="R11073" s="5"/>
      <c r="S11073" s="5"/>
      <c r="T11073" s="5"/>
      <c r="U11073" s="5"/>
      <c r="V11073" s="5"/>
      <c r="W11073" s="5"/>
      <c r="X11073" s="5"/>
      <c r="Y11073" s="5"/>
      <c r="Z11073" s="5"/>
    </row>
    <row r="11074" spans="1:26" ht="15" x14ac:dyDescent="0.25">
      <c r="A11074" s="4" t="s">
        <v>11071</v>
      </c>
      <c r="B11074" s="4" t="s">
        <v>9011</v>
      </c>
      <c r="C11074" s="2" t="str">
        <f ca="1">IFERROR(__xludf.DUMMYFUNCTION("GOOGLETRANSLATE(A11074,""bn"",""en"")"),"I will try the software")</f>
        <v>I will try the software</v>
      </c>
      <c r="D11074" s="5"/>
      <c r="E11074" s="5"/>
      <c r="F11074" s="5"/>
      <c r="G11074" s="5"/>
      <c r="H11074" s="5"/>
      <c r="I11074" s="5"/>
      <c r="J11074" s="5"/>
      <c r="K11074" s="5"/>
      <c r="L11074" s="5"/>
      <c r="M11074" s="5"/>
      <c r="N11074" s="5"/>
      <c r="O11074" s="5"/>
      <c r="P11074" s="5"/>
      <c r="Q11074" s="5"/>
      <c r="R11074" s="5"/>
      <c r="S11074" s="5"/>
      <c r="T11074" s="5"/>
      <c r="U11074" s="5"/>
      <c r="V11074" s="5"/>
      <c r="W11074" s="5"/>
      <c r="X11074" s="5"/>
      <c r="Y11074" s="5"/>
      <c r="Z11074" s="5"/>
    </row>
    <row r="11075" spans="1:26" ht="15" x14ac:dyDescent="0.25">
      <c r="A11075" s="4" t="s">
        <v>11072</v>
      </c>
      <c r="B11075" s="4" t="s">
        <v>9011</v>
      </c>
      <c r="C11075" s="2" t="str">
        <f ca="1">IFERROR(__xludf.DUMMYFUNCTION("GOOGLETRANSLATE(A11075,""bn"",""en"")"),"Will continue to write poetry")</f>
        <v>Will continue to write poetry</v>
      </c>
      <c r="D11075" s="5"/>
      <c r="E11075" s="5"/>
      <c r="F11075" s="5"/>
      <c r="G11075" s="5"/>
      <c r="H11075" s="5"/>
      <c r="I11075" s="5"/>
      <c r="J11075" s="5"/>
      <c r="K11075" s="5"/>
      <c r="L11075" s="5"/>
      <c r="M11075" s="5"/>
      <c r="N11075" s="5"/>
      <c r="O11075" s="5"/>
      <c r="P11075" s="5"/>
      <c r="Q11075" s="5"/>
      <c r="R11075" s="5"/>
      <c r="S11075" s="5"/>
      <c r="T11075" s="5"/>
      <c r="U11075" s="5"/>
      <c r="V11075" s="5"/>
      <c r="W11075" s="5"/>
      <c r="X11075" s="5"/>
      <c r="Y11075" s="5"/>
      <c r="Z11075" s="5"/>
    </row>
    <row r="11076" spans="1:26" ht="15" x14ac:dyDescent="0.25">
      <c r="A11076" s="4" t="s">
        <v>11073</v>
      </c>
      <c r="B11076" s="4" t="s">
        <v>9011</v>
      </c>
      <c r="C11076" s="2" t="str">
        <f ca="1">IFERROR(__xludf.DUMMYFUNCTION("GOOGLETRANSLATE(A11076,""bn"",""en"")"),"I will read the story")</f>
        <v>I will read the story</v>
      </c>
      <c r="D11076" s="5"/>
      <c r="E11076" s="5"/>
      <c r="F11076" s="5"/>
      <c r="G11076" s="5"/>
      <c r="H11076" s="5"/>
      <c r="I11076" s="5"/>
      <c r="J11076" s="5"/>
      <c r="K11076" s="5"/>
      <c r="L11076" s="5"/>
      <c r="M11076" s="5"/>
      <c r="N11076" s="5"/>
      <c r="O11076" s="5"/>
      <c r="P11076" s="5"/>
      <c r="Q11076" s="5"/>
      <c r="R11076" s="5"/>
      <c r="S11076" s="5"/>
      <c r="T11076" s="5"/>
      <c r="U11076" s="5"/>
      <c r="V11076" s="5"/>
      <c r="W11076" s="5"/>
      <c r="X11076" s="5"/>
      <c r="Y11076" s="5"/>
      <c r="Z11076" s="5"/>
    </row>
    <row r="11077" spans="1:26" ht="15" x14ac:dyDescent="0.25">
      <c r="A11077" s="4" t="s">
        <v>11074</v>
      </c>
      <c r="B11077" s="4" t="s">
        <v>9011</v>
      </c>
      <c r="C11077" s="2" t="str">
        <f ca="1">IFERROR(__xludf.DUMMYFUNCTION("GOOGLETRANSLATE(A11077,""bn"",""en"")"),"The ceremony will take place")</f>
        <v>The ceremony will take place</v>
      </c>
      <c r="D11077" s="5"/>
      <c r="E11077" s="5"/>
      <c r="F11077" s="5"/>
      <c r="G11077" s="5"/>
      <c r="H11077" s="5"/>
      <c r="I11077" s="5"/>
      <c r="J11077" s="5"/>
      <c r="K11077" s="5"/>
      <c r="L11077" s="5"/>
      <c r="M11077" s="5"/>
      <c r="N11077" s="5"/>
      <c r="O11077" s="5"/>
      <c r="P11077" s="5"/>
      <c r="Q11077" s="5"/>
      <c r="R11077" s="5"/>
      <c r="S11077" s="5"/>
      <c r="T11077" s="5"/>
      <c r="U11077" s="5"/>
      <c r="V11077" s="5"/>
      <c r="W11077" s="5"/>
      <c r="X11077" s="5"/>
      <c r="Y11077" s="5"/>
      <c r="Z11077" s="5"/>
    </row>
    <row r="11078" spans="1:26" ht="15" x14ac:dyDescent="0.25">
      <c r="A11078" s="4" t="s">
        <v>11075</v>
      </c>
      <c r="B11078" s="4" t="s">
        <v>9011</v>
      </c>
      <c r="C11078" s="2" t="str">
        <f ca="1">IFERROR(__xludf.DUMMYFUNCTION("GOOGLETRANSLATE(A11078,""bn"",""en"")"),"I will go to the Taj Mahal")</f>
        <v>I will go to the Taj Mahal</v>
      </c>
      <c r="D11078" s="5"/>
      <c r="E11078" s="5"/>
      <c r="F11078" s="5"/>
      <c r="G11078" s="5"/>
      <c r="H11078" s="5"/>
      <c r="I11078" s="5"/>
      <c r="J11078" s="5"/>
      <c r="K11078" s="5"/>
      <c r="L11078" s="5"/>
      <c r="M11078" s="5"/>
      <c r="N11078" s="5"/>
      <c r="O11078" s="5"/>
      <c r="P11078" s="5"/>
      <c r="Q11078" s="5"/>
      <c r="R11078" s="5"/>
      <c r="S11078" s="5"/>
      <c r="T11078" s="5"/>
      <c r="U11078" s="5"/>
      <c r="V11078" s="5"/>
      <c r="W11078" s="5"/>
      <c r="X11078" s="5"/>
      <c r="Y11078" s="5"/>
      <c r="Z11078" s="5"/>
    </row>
    <row r="11079" spans="1:26" ht="15" x14ac:dyDescent="0.25">
      <c r="A11079" s="4" t="s">
        <v>11076</v>
      </c>
      <c r="B11079" s="4" t="s">
        <v>9011</v>
      </c>
      <c r="C11079" s="2" t="str">
        <f ca="1">IFERROR(__xludf.DUMMYFUNCTION("GOOGLETRANSLATE(A11079,""bn"",""en"")"),"I will use a router")</f>
        <v>I will use a router</v>
      </c>
      <c r="D11079" s="5"/>
      <c r="E11079" s="5"/>
      <c r="F11079" s="5"/>
      <c r="G11079" s="5"/>
      <c r="H11079" s="5"/>
      <c r="I11079" s="5"/>
      <c r="J11079" s="5"/>
      <c r="K11079" s="5"/>
      <c r="L11079" s="5"/>
      <c r="M11079" s="5"/>
      <c r="N11079" s="5"/>
      <c r="O11079" s="5"/>
      <c r="P11079" s="5"/>
      <c r="Q11079" s="5"/>
      <c r="R11079" s="5"/>
      <c r="S11079" s="5"/>
      <c r="T11079" s="5"/>
      <c r="U11079" s="5"/>
      <c r="V11079" s="5"/>
      <c r="W11079" s="5"/>
      <c r="X11079" s="5"/>
      <c r="Y11079" s="5"/>
      <c r="Z11079" s="5"/>
    </row>
    <row r="11080" spans="1:26" ht="15" x14ac:dyDescent="0.25">
      <c r="A11080" s="4" t="s">
        <v>11077</v>
      </c>
      <c r="B11080" s="4" t="s">
        <v>9011</v>
      </c>
      <c r="C11080" s="2" t="str">
        <f ca="1">IFERROR(__xludf.DUMMYFUNCTION("GOOGLETRANSLATE(A11080,""bn"",""en"")"),"I will use headphones")</f>
        <v>I will use headphones</v>
      </c>
      <c r="D11080" s="5"/>
      <c r="E11080" s="5"/>
      <c r="F11080" s="5"/>
      <c r="G11080" s="5"/>
      <c r="H11080" s="5"/>
      <c r="I11080" s="5"/>
      <c r="J11080" s="5"/>
      <c r="K11080" s="5"/>
      <c r="L11080" s="5"/>
      <c r="M11080" s="5"/>
      <c r="N11080" s="5"/>
      <c r="O11080" s="5"/>
      <c r="P11080" s="5"/>
      <c r="Q11080" s="5"/>
      <c r="R11080" s="5"/>
      <c r="S11080" s="5"/>
      <c r="T11080" s="5"/>
      <c r="U11080" s="5"/>
      <c r="V11080" s="5"/>
      <c r="W11080" s="5"/>
      <c r="X11080" s="5"/>
      <c r="Y11080" s="5"/>
      <c r="Z11080" s="5"/>
    </row>
    <row r="11081" spans="1:26" ht="15" x14ac:dyDescent="0.25">
      <c r="A11081" s="4" t="s">
        <v>11078</v>
      </c>
      <c r="B11081" s="4" t="s">
        <v>9011</v>
      </c>
      <c r="C11081" s="2" t="str">
        <f ca="1">IFERROR(__xludf.DUMMYFUNCTION("GOOGLETRANSLATE(A11081,""bn"",""en"")"),"I will use headphones to talk to everyone")</f>
        <v>I will use headphones to talk to everyone</v>
      </c>
      <c r="D11081" s="5"/>
      <c r="E11081" s="5"/>
      <c r="F11081" s="5"/>
      <c r="G11081" s="5"/>
      <c r="H11081" s="5"/>
      <c r="I11081" s="5"/>
      <c r="J11081" s="5"/>
      <c r="K11081" s="5"/>
      <c r="L11081" s="5"/>
      <c r="M11081" s="5"/>
      <c r="N11081" s="5"/>
      <c r="O11081" s="5"/>
      <c r="P11081" s="5"/>
      <c r="Q11081" s="5"/>
      <c r="R11081" s="5"/>
      <c r="S11081" s="5"/>
      <c r="T11081" s="5"/>
      <c r="U11081" s="5"/>
      <c r="V11081" s="5"/>
      <c r="W11081" s="5"/>
      <c r="X11081" s="5"/>
      <c r="Y11081" s="5"/>
      <c r="Z11081" s="5"/>
    </row>
    <row r="11082" spans="1:26" ht="15" x14ac:dyDescent="0.25">
      <c r="A11082" s="4" t="s">
        <v>11079</v>
      </c>
      <c r="B11082" s="4" t="s">
        <v>9011</v>
      </c>
      <c r="C11082" s="2" t="str">
        <f ca="1">IFERROR(__xludf.DUMMYFUNCTION("GOOGLETRANSLATE(A11082,""bn"",""en"")"),"Travel will be time consuming")</f>
        <v>Travel will be time consuming</v>
      </c>
      <c r="D11082" s="5"/>
      <c r="E11082" s="5"/>
      <c r="F11082" s="5"/>
      <c r="G11082" s="5"/>
      <c r="H11082" s="5"/>
      <c r="I11082" s="5"/>
      <c r="J11082" s="5"/>
      <c r="K11082" s="5"/>
      <c r="L11082" s="5"/>
      <c r="M11082" s="5"/>
      <c r="N11082" s="5"/>
      <c r="O11082" s="5"/>
      <c r="P11082" s="5"/>
      <c r="Q11082" s="5"/>
      <c r="R11082" s="5"/>
      <c r="S11082" s="5"/>
      <c r="T11082" s="5"/>
      <c r="U11082" s="5"/>
      <c r="V11082" s="5"/>
      <c r="W11082" s="5"/>
      <c r="X11082" s="5"/>
      <c r="Y11082" s="5"/>
      <c r="Z11082" s="5"/>
    </row>
    <row r="11083" spans="1:26" ht="15" x14ac:dyDescent="0.25">
      <c r="A11083" s="4" t="s">
        <v>11080</v>
      </c>
      <c r="B11083" s="4" t="s">
        <v>9011</v>
      </c>
      <c r="C11083" s="2" t="str">
        <f ca="1">IFERROR(__xludf.DUMMYFUNCTION("GOOGLETRANSLATE(A11083,""bn"",""en"")"),"Field hockey will continue")</f>
        <v>Field hockey will continue</v>
      </c>
      <c r="D11083" s="5"/>
      <c r="E11083" s="5"/>
      <c r="F11083" s="5"/>
      <c r="G11083" s="5"/>
      <c r="H11083" s="5"/>
      <c r="I11083" s="5"/>
      <c r="J11083" s="5"/>
      <c r="K11083" s="5"/>
      <c r="L11083" s="5"/>
      <c r="M11083" s="5"/>
      <c r="N11083" s="5"/>
      <c r="O11083" s="5"/>
      <c r="P11083" s="5"/>
      <c r="Q11083" s="5"/>
      <c r="R11083" s="5"/>
      <c r="S11083" s="5"/>
      <c r="T11083" s="5"/>
      <c r="U11083" s="5"/>
      <c r="V11083" s="5"/>
      <c r="W11083" s="5"/>
      <c r="X11083" s="5"/>
      <c r="Y11083" s="5"/>
      <c r="Z11083" s="5"/>
    </row>
    <row r="11084" spans="1:26" ht="15" x14ac:dyDescent="0.25">
      <c r="A11084" s="4" t="s">
        <v>11081</v>
      </c>
      <c r="B11084" s="4" t="s">
        <v>9011</v>
      </c>
      <c r="C11084" s="2" t="str">
        <f ca="1">IFERROR(__xludf.DUMMYFUNCTION("GOOGLETRANSLATE(A11084,""bn"",""en"")"),"The application will be optimized")</f>
        <v>The application will be optimized</v>
      </c>
      <c r="D11084" s="5"/>
      <c r="E11084" s="5"/>
      <c r="F11084" s="5"/>
      <c r="G11084" s="5"/>
      <c r="H11084" s="5"/>
      <c r="I11084" s="5"/>
      <c r="J11084" s="5"/>
      <c r="K11084" s="5"/>
      <c r="L11084" s="5"/>
      <c r="M11084" s="5"/>
      <c r="N11084" s="5"/>
      <c r="O11084" s="5"/>
      <c r="P11084" s="5"/>
      <c r="Q11084" s="5"/>
      <c r="R11084" s="5"/>
      <c r="S11084" s="5"/>
      <c r="T11084" s="5"/>
      <c r="U11084" s="5"/>
      <c r="V11084" s="5"/>
      <c r="W11084" s="5"/>
      <c r="X11084" s="5"/>
      <c r="Y11084" s="5"/>
      <c r="Z11084" s="5"/>
    </row>
    <row r="11085" spans="1:26" ht="15" x14ac:dyDescent="0.25">
      <c r="A11085" s="4" t="s">
        <v>11082</v>
      </c>
      <c r="B11085" s="4" t="s">
        <v>9011</v>
      </c>
      <c r="C11085" s="2" t="str">
        <f ca="1">IFERROR(__xludf.DUMMYFUNCTION("GOOGLETRANSLATE(A11085,""bn"",""en"")"),"I will use ant")</f>
        <v>I will use ant</v>
      </c>
      <c r="D11085" s="5"/>
      <c r="E11085" s="5"/>
      <c r="F11085" s="5"/>
      <c r="G11085" s="5"/>
      <c r="H11085" s="5"/>
      <c r="I11085" s="5"/>
      <c r="J11085" s="5"/>
      <c r="K11085" s="5"/>
      <c r="L11085" s="5"/>
      <c r="M11085" s="5"/>
      <c r="N11085" s="5"/>
      <c r="O11085" s="5"/>
      <c r="P11085" s="5"/>
      <c r="Q11085" s="5"/>
      <c r="R11085" s="5"/>
      <c r="S11085" s="5"/>
      <c r="T11085" s="5"/>
      <c r="U11085" s="5"/>
      <c r="V11085" s="5"/>
      <c r="W11085" s="5"/>
      <c r="X11085" s="5"/>
      <c r="Y11085" s="5"/>
      <c r="Z11085" s="5"/>
    </row>
    <row r="11086" spans="1:26" ht="15" x14ac:dyDescent="0.25">
      <c r="A11086" s="4" t="s">
        <v>11083</v>
      </c>
      <c r="B11086" s="4" t="s">
        <v>9011</v>
      </c>
      <c r="C11086" s="2" t="str">
        <f ca="1">IFERROR(__xludf.DUMMYFUNCTION("GOOGLETRANSLATE(A11086,""bn"",""en"")"),"I will be a movie director")</f>
        <v>I will be a movie director</v>
      </c>
      <c r="D11086" s="5"/>
      <c r="E11086" s="5"/>
      <c r="F11086" s="5"/>
      <c r="G11086" s="5"/>
      <c r="H11086" s="5"/>
      <c r="I11086" s="5"/>
      <c r="J11086" s="5"/>
      <c r="K11086" s="5"/>
      <c r="L11086" s="5"/>
      <c r="M11086" s="5"/>
      <c r="N11086" s="5"/>
      <c r="O11086" s="5"/>
      <c r="P11086" s="5"/>
      <c r="Q11086" s="5"/>
      <c r="R11086" s="5"/>
      <c r="S11086" s="5"/>
      <c r="T11086" s="5"/>
      <c r="U11086" s="5"/>
      <c r="V11086" s="5"/>
      <c r="W11086" s="5"/>
      <c r="X11086" s="5"/>
      <c r="Y11086" s="5"/>
      <c r="Z11086" s="5"/>
    </row>
    <row r="11087" spans="1:26" ht="15" x14ac:dyDescent="0.25">
      <c r="A11087" s="4" t="s">
        <v>11084</v>
      </c>
      <c r="B11087" s="4" t="s">
        <v>9011</v>
      </c>
      <c r="C11087" s="2" t="str">
        <f ca="1">IFERROR(__xludf.DUMMYFUNCTION("GOOGLETRANSLATE(A11087,""bn"",""en"")"),"I will plan the trip")</f>
        <v>I will plan the trip</v>
      </c>
      <c r="D11087" s="5"/>
      <c r="E11087" s="5"/>
      <c r="F11087" s="5"/>
      <c r="G11087" s="5"/>
      <c r="H11087" s="5"/>
      <c r="I11087" s="5"/>
      <c r="J11087" s="5"/>
      <c r="K11087" s="5"/>
      <c r="L11087" s="5"/>
      <c r="M11087" s="5"/>
      <c r="N11087" s="5"/>
      <c r="O11087" s="5"/>
      <c r="P11087" s="5"/>
      <c r="Q11087" s="5"/>
      <c r="R11087" s="5"/>
      <c r="S11087" s="5"/>
      <c r="T11087" s="5"/>
      <c r="U11087" s="5"/>
      <c r="V11087" s="5"/>
      <c r="W11087" s="5"/>
      <c r="X11087" s="5"/>
      <c r="Y11087" s="5"/>
      <c r="Z11087" s="5"/>
    </row>
    <row r="11088" spans="1:26" ht="15" x14ac:dyDescent="0.25">
      <c r="A11088" s="4" t="s">
        <v>11085</v>
      </c>
      <c r="B11088" s="4" t="s">
        <v>9011</v>
      </c>
      <c r="C11088" s="2" t="str">
        <f ca="1">IFERROR(__xludf.DUMMYFUNCTION("GOOGLETRANSLATE(A11088,""bn"",""en"")"),"Will keep adding")</f>
        <v>Will keep adding</v>
      </c>
      <c r="D11088" s="5"/>
      <c r="E11088" s="5"/>
      <c r="F11088" s="5"/>
      <c r="G11088" s="5"/>
      <c r="H11088" s="5"/>
      <c r="I11088" s="5"/>
      <c r="J11088" s="5"/>
      <c r="K11088" s="5"/>
      <c r="L11088" s="5"/>
      <c r="M11088" s="5"/>
      <c r="N11088" s="5"/>
      <c r="O11088" s="5"/>
      <c r="P11088" s="5"/>
      <c r="Q11088" s="5"/>
      <c r="R11088" s="5"/>
      <c r="S11088" s="5"/>
      <c r="T11088" s="5"/>
      <c r="U11088" s="5"/>
      <c r="V11088" s="5"/>
      <c r="W11088" s="5"/>
      <c r="X11088" s="5"/>
      <c r="Y11088" s="5"/>
      <c r="Z11088" s="5"/>
    </row>
    <row r="11089" spans="1:26" ht="15" x14ac:dyDescent="0.25">
      <c r="A11089" s="4" t="s">
        <v>11086</v>
      </c>
      <c r="B11089" s="4" t="s">
        <v>9011</v>
      </c>
      <c r="C11089" s="2" t="str">
        <f ca="1">IFERROR(__xludf.DUMMYFUNCTION("GOOGLETRANSLATE(A11089,""bn"",""en"")"),"GPS will be on")</f>
        <v>GPS will be on</v>
      </c>
      <c r="D11089" s="5"/>
      <c r="E11089" s="5"/>
      <c r="F11089" s="5"/>
      <c r="G11089" s="5"/>
      <c r="H11089" s="5"/>
      <c r="I11089" s="5"/>
      <c r="J11089" s="5"/>
      <c r="K11089" s="5"/>
      <c r="L11089" s="5"/>
      <c r="M11089" s="5"/>
      <c r="N11089" s="5"/>
      <c r="O11089" s="5"/>
      <c r="P11089" s="5"/>
      <c r="Q11089" s="5"/>
      <c r="R11089" s="5"/>
      <c r="S11089" s="5"/>
      <c r="T11089" s="5"/>
      <c r="U11089" s="5"/>
      <c r="V11089" s="5"/>
      <c r="W11089" s="5"/>
      <c r="X11089" s="5"/>
      <c r="Y11089" s="5"/>
      <c r="Z11089" s="5"/>
    </row>
    <row r="11090" spans="1:26" ht="15" x14ac:dyDescent="0.25">
      <c r="A11090" s="4" t="s">
        <v>11087</v>
      </c>
      <c r="B11090" s="4" t="s">
        <v>9011</v>
      </c>
      <c r="C11090" s="2" t="str">
        <f ca="1">IFERROR(__xludf.DUMMYFUNCTION("GOOGLETRANSLATE(A11090,""bn"",""en"")"),"I will use ereader")</f>
        <v>I will use ereader</v>
      </c>
      <c r="D11090" s="5"/>
      <c r="E11090" s="5"/>
      <c r="F11090" s="5"/>
      <c r="G11090" s="5"/>
      <c r="H11090" s="5"/>
      <c r="I11090" s="5"/>
      <c r="J11090" s="5"/>
      <c r="K11090" s="5"/>
      <c r="L11090" s="5"/>
      <c r="M11090" s="5"/>
      <c r="N11090" s="5"/>
      <c r="O11090" s="5"/>
      <c r="P11090" s="5"/>
      <c r="Q11090" s="5"/>
      <c r="R11090" s="5"/>
      <c r="S11090" s="5"/>
      <c r="T11090" s="5"/>
      <c r="U11090" s="5"/>
      <c r="V11090" s="5"/>
      <c r="W11090" s="5"/>
      <c r="X11090" s="5"/>
      <c r="Y11090" s="5"/>
      <c r="Z11090" s="5"/>
    </row>
    <row r="11091" spans="1:26" ht="15" x14ac:dyDescent="0.25">
      <c r="A11091" s="4" t="s">
        <v>11088</v>
      </c>
      <c r="B11091" s="4" t="s">
        <v>9011</v>
      </c>
      <c r="C11091" s="2" t="str">
        <f ca="1">IFERROR(__xludf.DUMMYFUNCTION("GOOGLETRANSLATE(A11091,""bn"",""en"")"),"Style will seat")</f>
        <v>Style will seat</v>
      </c>
      <c r="D11091" s="5"/>
      <c r="E11091" s="5"/>
      <c r="F11091" s="5"/>
      <c r="G11091" s="5"/>
      <c r="H11091" s="5"/>
      <c r="I11091" s="5"/>
      <c r="J11091" s="5"/>
      <c r="K11091" s="5"/>
      <c r="L11091" s="5"/>
      <c r="M11091" s="5"/>
      <c r="N11091" s="5"/>
      <c r="O11091" s="5"/>
      <c r="P11091" s="5"/>
      <c r="Q11091" s="5"/>
      <c r="R11091" s="5"/>
      <c r="S11091" s="5"/>
      <c r="T11091" s="5"/>
      <c r="U11091" s="5"/>
      <c r="V11091" s="5"/>
      <c r="W11091" s="5"/>
      <c r="X11091" s="5"/>
      <c r="Y11091" s="5"/>
      <c r="Z11091" s="5"/>
    </row>
    <row r="11092" spans="1:26" ht="15" x14ac:dyDescent="0.25">
      <c r="A11092" s="4" t="s">
        <v>11089</v>
      </c>
      <c r="B11092" s="4" t="s">
        <v>9011</v>
      </c>
      <c r="C11092" s="2" t="str">
        <f ca="1">IFERROR(__xludf.DUMMYFUNCTION("GOOGLETRANSLATE(A11092,""bn"",""en"")"),"Development will be the task")</f>
        <v>Development will be the task</v>
      </c>
      <c r="D11092" s="5"/>
      <c r="E11092" s="5"/>
      <c r="F11092" s="5"/>
      <c r="G11092" s="5"/>
      <c r="H11092" s="5"/>
      <c r="I11092" s="5"/>
      <c r="J11092" s="5"/>
      <c r="K11092" s="5"/>
      <c r="L11092" s="5"/>
      <c r="M11092" s="5"/>
      <c r="N11092" s="5"/>
      <c r="O11092" s="5"/>
      <c r="P11092" s="5"/>
      <c r="Q11092" s="5"/>
      <c r="R11092" s="5"/>
      <c r="S11092" s="5"/>
      <c r="T11092" s="5"/>
      <c r="U11092" s="5"/>
      <c r="V11092" s="5"/>
      <c r="W11092" s="5"/>
      <c r="X11092" s="5"/>
      <c r="Y11092" s="5"/>
      <c r="Z11092" s="5"/>
    </row>
    <row r="11093" spans="1:26" ht="15" x14ac:dyDescent="0.25">
      <c r="A11093" s="4" t="s">
        <v>11090</v>
      </c>
      <c r="B11093" s="4" t="s">
        <v>9011</v>
      </c>
      <c r="C11093" s="2" t="str">
        <f ca="1">IFERROR(__xludf.DUMMYFUNCTION("GOOGLETRANSLATE(A11093,""bn"",""en"")"),"I will observe")</f>
        <v>I will observe</v>
      </c>
      <c r="D11093" s="5"/>
      <c r="E11093" s="5"/>
      <c r="F11093" s="5"/>
      <c r="G11093" s="5"/>
      <c r="H11093" s="5"/>
      <c r="I11093" s="5"/>
      <c r="J11093" s="5"/>
      <c r="K11093" s="5"/>
      <c r="L11093" s="5"/>
      <c r="M11093" s="5"/>
      <c r="N11093" s="5"/>
      <c r="O11093" s="5"/>
      <c r="P11093" s="5"/>
      <c r="Q11093" s="5"/>
      <c r="R11093" s="5"/>
      <c r="S11093" s="5"/>
      <c r="T11093" s="5"/>
      <c r="U11093" s="5"/>
      <c r="V11093" s="5"/>
      <c r="W11093" s="5"/>
      <c r="X11093" s="5"/>
      <c r="Y11093" s="5"/>
      <c r="Z11093" s="5"/>
    </row>
    <row r="11094" spans="1:26" ht="15" x14ac:dyDescent="0.25">
      <c r="A11094" s="4" t="s">
        <v>11091</v>
      </c>
      <c r="B11094" s="4" t="s">
        <v>9011</v>
      </c>
      <c r="C11094" s="2" t="str">
        <f ca="1">IFERROR(__xludf.DUMMYFUNCTION("GOOGLETRANSLATE(A11094,""bn"",""en"")"),"Robots will be used")</f>
        <v>Robots will be used</v>
      </c>
      <c r="D11094" s="5"/>
      <c r="E11094" s="5"/>
      <c r="F11094" s="5"/>
      <c r="G11094" s="5"/>
      <c r="H11094" s="5"/>
      <c r="I11094" s="5"/>
      <c r="J11094" s="5"/>
      <c r="K11094" s="5"/>
      <c r="L11094" s="5"/>
      <c r="M11094" s="5"/>
      <c r="N11094" s="5"/>
      <c r="O11094" s="5"/>
      <c r="P11094" s="5"/>
      <c r="Q11094" s="5"/>
      <c r="R11094" s="5"/>
      <c r="S11094" s="5"/>
      <c r="T11094" s="5"/>
      <c r="U11094" s="5"/>
      <c r="V11094" s="5"/>
      <c r="W11094" s="5"/>
      <c r="X11094" s="5"/>
      <c r="Y11094" s="5"/>
      <c r="Z11094" s="5"/>
    </row>
    <row r="11095" spans="1:26" ht="15" x14ac:dyDescent="0.25">
      <c r="A11095" s="4" t="s">
        <v>11092</v>
      </c>
      <c r="B11095" s="4" t="s">
        <v>9011</v>
      </c>
      <c r="C11095" s="2" t="str">
        <f ca="1">IFERROR(__xludf.DUMMYFUNCTION("GOOGLETRANSLATE(A11095,""bn"",""en"")"),"Account will be fined")</f>
        <v>Account will be fined</v>
      </c>
      <c r="D11095" s="5"/>
      <c r="E11095" s="5"/>
      <c r="F11095" s="5"/>
      <c r="G11095" s="5"/>
      <c r="H11095" s="5"/>
      <c r="I11095" s="5"/>
      <c r="J11095" s="5"/>
      <c r="K11095" s="5"/>
      <c r="L11095" s="5"/>
      <c r="M11095" s="5"/>
      <c r="N11095" s="5"/>
      <c r="O11095" s="5"/>
      <c r="P11095" s="5"/>
      <c r="Q11095" s="5"/>
      <c r="R11095" s="5"/>
      <c r="S11095" s="5"/>
      <c r="T11095" s="5"/>
      <c r="U11095" s="5"/>
      <c r="V11095" s="5"/>
      <c r="W11095" s="5"/>
      <c r="X11095" s="5"/>
      <c r="Y11095" s="5"/>
      <c r="Z11095" s="5"/>
    </row>
    <row r="11096" spans="1:26" ht="15" x14ac:dyDescent="0.25">
      <c r="A11096" s="4" t="s">
        <v>11093</v>
      </c>
      <c r="B11096" s="4" t="s">
        <v>9011</v>
      </c>
      <c r="C11096" s="2" t="str">
        <f ca="1">IFERROR(__xludf.DUMMYFUNCTION("GOOGLETRANSLATE(A11096,""bn"",""en"")"),"I will apply for a loan")</f>
        <v>I will apply for a loan</v>
      </c>
      <c r="D11096" s="5"/>
      <c r="E11096" s="5"/>
      <c r="F11096" s="5"/>
      <c r="G11096" s="5"/>
      <c r="H11096" s="5"/>
      <c r="I11096" s="5"/>
      <c r="J11096" s="5"/>
      <c r="K11096" s="5"/>
      <c r="L11096" s="5"/>
      <c r="M11096" s="5"/>
      <c r="N11096" s="5"/>
      <c r="O11096" s="5"/>
      <c r="P11096" s="5"/>
      <c r="Q11096" s="5"/>
      <c r="R11096" s="5"/>
      <c r="S11096" s="5"/>
      <c r="T11096" s="5"/>
      <c r="U11096" s="5"/>
      <c r="V11096" s="5"/>
      <c r="W11096" s="5"/>
      <c r="X11096" s="5"/>
      <c r="Y11096" s="5"/>
      <c r="Z11096" s="5"/>
    </row>
    <row r="11097" spans="1:26" ht="15" x14ac:dyDescent="0.25">
      <c r="A11097" s="4" t="s">
        <v>11094</v>
      </c>
      <c r="B11097" s="4" t="s">
        <v>9011</v>
      </c>
      <c r="C11097" s="2" t="str">
        <f ca="1">IFERROR(__xludf.DUMMYFUNCTION("GOOGLETRANSLATE(A11097,""bn"",""en"")"),"Invest in the market")</f>
        <v>Invest in the market</v>
      </c>
      <c r="D11097" s="5"/>
      <c r="E11097" s="5"/>
      <c r="F11097" s="5"/>
      <c r="G11097" s="5"/>
      <c r="H11097" s="5"/>
      <c r="I11097" s="5"/>
      <c r="J11097" s="5"/>
      <c r="K11097" s="5"/>
      <c r="L11097" s="5"/>
      <c r="M11097" s="5"/>
      <c r="N11097" s="5"/>
      <c r="O11097" s="5"/>
      <c r="P11097" s="5"/>
      <c r="Q11097" s="5"/>
      <c r="R11097" s="5"/>
      <c r="S11097" s="5"/>
      <c r="T11097" s="5"/>
      <c r="U11097" s="5"/>
      <c r="V11097" s="5"/>
      <c r="W11097" s="5"/>
      <c r="X11097" s="5"/>
      <c r="Y11097" s="5"/>
      <c r="Z11097" s="5"/>
    </row>
    <row r="11098" spans="1:26" ht="15" x14ac:dyDescent="0.25">
      <c r="A11098" s="4" t="s">
        <v>11095</v>
      </c>
      <c r="B11098" s="4" t="s">
        <v>9011</v>
      </c>
      <c r="C11098" s="2" t="str">
        <f ca="1">IFERROR(__xludf.DUMMYFUNCTION("GOOGLETRANSLATE(A11098,""bn"",""en"")"),"You will get rhythm")</f>
        <v>You will get rhythm</v>
      </c>
      <c r="D11098" s="5"/>
      <c r="E11098" s="5"/>
      <c r="F11098" s="5"/>
      <c r="G11098" s="5"/>
      <c r="H11098" s="5"/>
      <c r="I11098" s="5"/>
      <c r="J11098" s="5"/>
      <c r="K11098" s="5"/>
      <c r="L11098" s="5"/>
      <c r="M11098" s="5"/>
      <c r="N11098" s="5"/>
      <c r="O11098" s="5"/>
      <c r="P11098" s="5"/>
      <c r="Q11098" s="5"/>
      <c r="R11098" s="5"/>
      <c r="S11098" s="5"/>
      <c r="T11098" s="5"/>
      <c r="U11098" s="5"/>
      <c r="V11098" s="5"/>
      <c r="W11098" s="5"/>
      <c r="X11098" s="5"/>
      <c r="Y11098" s="5"/>
      <c r="Z11098" s="5"/>
    </row>
    <row r="11099" spans="1:26" ht="15" x14ac:dyDescent="0.25">
      <c r="A11099" s="4" t="s">
        <v>11096</v>
      </c>
      <c r="B11099" s="4" t="s">
        <v>9011</v>
      </c>
      <c r="C11099" s="2" t="str">
        <f ca="1">IFERROR(__xludf.DUMMYFUNCTION("GOOGLETRANSLATE(A11099,""bn"",""en"")"),"I will express my feelings")</f>
        <v>I will express my feelings</v>
      </c>
      <c r="D11099" s="5"/>
      <c r="E11099" s="5"/>
      <c r="F11099" s="5"/>
      <c r="G11099" s="5"/>
      <c r="H11099" s="5"/>
      <c r="I11099" s="5"/>
      <c r="J11099" s="5"/>
      <c r="K11099" s="5"/>
      <c r="L11099" s="5"/>
      <c r="M11099" s="5"/>
      <c r="N11099" s="5"/>
      <c r="O11099" s="5"/>
      <c r="P11099" s="5"/>
      <c r="Q11099" s="5"/>
      <c r="R11099" s="5"/>
      <c r="S11099" s="5"/>
      <c r="T11099" s="5"/>
      <c r="U11099" s="5"/>
      <c r="V11099" s="5"/>
      <c r="W11099" s="5"/>
      <c r="X11099" s="5"/>
      <c r="Y11099" s="5"/>
      <c r="Z11099" s="5"/>
    </row>
    <row r="11100" spans="1:26" ht="15" x14ac:dyDescent="0.25">
      <c r="A11100" s="4" t="s">
        <v>11097</v>
      </c>
      <c r="B11100" s="4" t="s">
        <v>9011</v>
      </c>
      <c r="C11100" s="2" t="str">
        <f ca="1">IFERROR(__xludf.DUMMYFUNCTION("GOOGLETRANSLATE(A11100,""bn"",""en"")"),"I will watch cricket")</f>
        <v>I will watch cricket</v>
      </c>
      <c r="D11100" s="5"/>
      <c r="E11100" s="5"/>
      <c r="F11100" s="5"/>
      <c r="G11100" s="5"/>
      <c r="H11100" s="5"/>
      <c r="I11100" s="5"/>
      <c r="J11100" s="5"/>
      <c r="K11100" s="5"/>
      <c r="L11100" s="5"/>
      <c r="M11100" s="5"/>
      <c r="N11100" s="5"/>
      <c r="O11100" s="5"/>
      <c r="P11100" s="5"/>
      <c r="Q11100" s="5"/>
      <c r="R11100" s="5"/>
      <c r="S11100" s="5"/>
      <c r="T11100" s="5"/>
      <c r="U11100" s="5"/>
      <c r="V11100" s="5"/>
      <c r="W11100" s="5"/>
      <c r="X11100" s="5"/>
      <c r="Y11100" s="5"/>
      <c r="Z11100" s="5"/>
    </row>
    <row r="11101" spans="1:26" ht="15" x14ac:dyDescent="0.25">
      <c r="A11101" s="4" t="s">
        <v>11098</v>
      </c>
      <c r="B11101" s="4" t="s">
        <v>9011</v>
      </c>
      <c r="C11101" s="2" t="str">
        <f ca="1">IFERROR(__xludf.DUMMYFUNCTION("GOOGLETRANSLATE(A11101,""bn"",""en"")"),"He will read poetry")</f>
        <v>He will read poetry</v>
      </c>
      <c r="D11101" s="5"/>
      <c r="E11101" s="5"/>
      <c r="F11101" s="5"/>
      <c r="G11101" s="5"/>
      <c r="H11101" s="5"/>
      <c r="I11101" s="5"/>
      <c r="J11101" s="5"/>
      <c r="K11101" s="5"/>
      <c r="L11101" s="5"/>
      <c r="M11101" s="5"/>
      <c r="N11101" s="5"/>
      <c r="O11101" s="5"/>
      <c r="P11101" s="5"/>
      <c r="Q11101" s="5"/>
      <c r="R11101" s="5"/>
      <c r="S11101" s="5"/>
      <c r="T11101" s="5"/>
      <c r="U11101" s="5"/>
      <c r="V11101" s="5"/>
      <c r="W11101" s="5"/>
      <c r="X11101" s="5"/>
      <c r="Y11101" s="5"/>
      <c r="Z11101" s="5"/>
    </row>
    <row r="11102" spans="1:26" ht="15" x14ac:dyDescent="0.25">
      <c r="A11102" s="4" t="s">
        <v>11099</v>
      </c>
      <c r="B11102" s="4" t="s">
        <v>9011</v>
      </c>
      <c r="C11102" s="2" t="str">
        <f ca="1">IFERROR(__xludf.DUMMYFUNCTION("GOOGLETRANSLATE(A11102,""bn"",""en"")"),"I will start learning")</f>
        <v>I will start learning</v>
      </c>
      <c r="D11102" s="5"/>
      <c r="E11102" s="5"/>
      <c r="F11102" s="5"/>
      <c r="G11102" s="5"/>
      <c r="H11102" s="5"/>
      <c r="I11102" s="5"/>
      <c r="J11102" s="5"/>
      <c r="K11102" s="5"/>
      <c r="L11102" s="5"/>
      <c r="M11102" s="5"/>
      <c r="N11102" s="5"/>
      <c r="O11102" s="5"/>
      <c r="P11102" s="5"/>
      <c r="Q11102" s="5"/>
      <c r="R11102" s="5"/>
      <c r="S11102" s="5"/>
      <c r="T11102" s="5"/>
      <c r="U11102" s="5"/>
      <c r="V11102" s="5"/>
      <c r="W11102" s="5"/>
      <c r="X11102" s="5"/>
      <c r="Y11102" s="5"/>
      <c r="Z11102" s="5"/>
    </row>
    <row r="11103" spans="1:26" ht="15" x14ac:dyDescent="0.25">
      <c r="A11103" s="4" t="s">
        <v>11100</v>
      </c>
      <c r="B11103" s="4" t="s">
        <v>9011</v>
      </c>
      <c r="C11103" s="2" t="str">
        <f ca="1">IFERROR(__xludf.DUMMYFUNCTION("GOOGLETRANSLATE(A11103,""bn"",""en"")"),"The trailer will be released")</f>
        <v>The trailer will be released</v>
      </c>
      <c r="D11103" s="5"/>
      <c r="E11103" s="5"/>
      <c r="F11103" s="5"/>
      <c r="G11103" s="5"/>
      <c r="H11103" s="5"/>
      <c r="I11103" s="5"/>
      <c r="J11103" s="5"/>
      <c r="K11103" s="5"/>
      <c r="L11103" s="5"/>
      <c r="M11103" s="5"/>
      <c r="N11103" s="5"/>
      <c r="O11103" s="5"/>
      <c r="P11103" s="5"/>
      <c r="Q11103" s="5"/>
      <c r="R11103" s="5"/>
      <c r="S11103" s="5"/>
      <c r="T11103" s="5"/>
      <c r="U11103" s="5"/>
      <c r="V11103" s="5"/>
      <c r="W11103" s="5"/>
      <c r="X11103" s="5"/>
      <c r="Y11103" s="5"/>
      <c r="Z11103" s="5"/>
    </row>
    <row r="11104" spans="1:26" ht="15" x14ac:dyDescent="0.25">
      <c r="A11104" s="4" t="s">
        <v>11101</v>
      </c>
      <c r="B11104" s="4" t="s">
        <v>9011</v>
      </c>
      <c r="C11104" s="2" t="str">
        <f ca="1">IFERROR(__xludf.DUMMYFUNCTION("GOOGLETRANSLATE(A11104,""bn"",""en"")"),"He will get the song")</f>
        <v>He will get the song</v>
      </c>
      <c r="D11104" s="5"/>
      <c r="E11104" s="5"/>
      <c r="F11104" s="5"/>
      <c r="G11104" s="5"/>
      <c r="H11104" s="5"/>
      <c r="I11104" s="5"/>
      <c r="J11104" s="5"/>
      <c r="K11104" s="5"/>
      <c r="L11104" s="5"/>
      <c r="M11104" s="5"/>
      <c r="N11104" s="5"/>
      <c r="O11104" s="5"/>
      <c r="P11104" s="5"/>
      <c r="Q11104" s="5"/>
      <c r="R11104" s="5"/>
      <c r="S11104" s="5"/>
      <c r="T11104" s="5"/>
      <c r="U11104" s="5"/>
      <c r="V11104" s="5"/>
      <c r="W11104" s="5"/>
      <c r="X11104" s="5"/>
      <c r="Y11104" s="5"/>
      <c r="Z11104" s="5"/>
    </row>
    <row r="11105" spans="1:26" ht="15" x14ac:dyDescent="0.25">
      <c r="A11105" s="4" t="s">
        <v>11102</v>
      </c>
      <c r="B11105" s="4" t="s">
        <v>9011</v>
      </c>
      <c r="C11105" s="2" t="str">
        <f ca="1">IFERROR(__xludf.DUMMYFUNCTION("GOOGLETRANSLATE(A11105,""bn"",""en"")"),"I will use the touchpad")</f>
        <v>I will use the touchpad</v>
      </c>
      <c r="D11105" s="5"/>
      <c r="E11105" s="5"/>
      <c r="F11105" s="5"/>
      <c r="G11105" s="5"/>
      <c r="H11105" s="5"/>
      <c r="I11105" s="5"/>
      <c r="J11105" s="5"/>
      <c r="K11105" s="5"/>
      <c r="L11105" s="5"/>
      <c r="M11105" s="5"/>
      <c r="N11105" s="5"/>
      <c r="O11105" s="5"/>
      <c r="P11105" s="5"/>
      <c r="Q11105" s="5"/>
      <c r="R11105" s="5"/>
      <c r="S11105" s="5"/>
      <c r="T11105" s="5"/>
      <c r="U11105" s="5"/>
      <c r="V11105" s="5"/>
      <c r="W11105" s="5"/>
      <c r="X11105" s="5"/>
      <c r="Y11105" s="5"/>
      <c r="Z11105" s="5"/>
    </row>
    <row r="11106" spans="1:26" ht="15" x14ac:dyDescent="0.25">
      <c r="A11106" s="4" t="s">
        <v>11103</v>
      </c>
      <c r="B11106" s="4" t="s">
        <v>9011</v>
      </c>
      <c r="C11106" s="2" t="str">
        <f ca="1">IFERROR(__xludf.DUMMYFUNCTION("GOOGLETRANSLATE(A11106,""bn"",""en"")"),"Data will be stored")</f>
        <v>Data will be stored</v>
      </c>
      <c r="D11106" s="5"/>
      <c r="E11106" s="5"/>
      <c r="F11106" s="5"/>
      <c r="G11106" s="5"/>
      <c r="H11106" s="5"/>
      <c r="I11106" s="5"/>
      <c r="J11106" s="5"/>
      <c r="K11106" s="5"/>
      <c r="L11106" s="5"/>
      <c r="M11106" s="5"/>
      <c r="N11106" s="5"/>
      <c r="O11106" s="5"/>
      <c r="P11106" s="5"/>
      <c r="Q11106" s="5"/>
      <c r="R11106" s="5"/>
      <c r="S11106" s="5"/>
      <c r="T11106" s="5"/>
      <c r="U11106" s="5"/>
      <c r="V11106" s="5"/>
      <c r="W11106" s="5"/>
      <c r="X11106" s="5"/>
      <c r="Y11106" s="5"/>
      <c r="Z11106" s="5"/>
    </row>
    <row r="11107" spans="1:26" ht="15" x14ac:dyDescent="0.25">
      <c r="A11107" s="4" t="s">
        <v>11104</v>
      </c>
      <c r="B11107" s="4" t="s">
        <v>9011</v>
      </c>
      <c r="C11107" s="2" t="str">
        <f ca="1">IFERROR(__xludf.DUMMYFUNCTION("GOOGLETRANSLATE(A11107,""bn"",""en"")"),"Competition will increase")</f>
        <v>Competition will increase</v>
      </c>
      <c r="D11107" s="5"/>
      <c r="E11107" s="5"/>
      <c r="F11107" s="5"/>
      <c r="G11107" s="5"/>
      <c r="H11107" s="5"/>
      <c r="I11107" s="5"/>
      <c r="J11107" s="5"/>
      <c r="K11107" s="5"/>
      <c r="L11107" s="5"/>
      <c r="M11107" s="5"/>
      <c r="N11107" s="5"/>
      <c r="O11107" s="5"/>
      <c r="P11107" s="5"/>
      <c r="Q11107" s="5"/>
      <c r="R11107" s="5"/>
      <c r="S11107" s="5"/>
      <c r="T11107" s="5"/>
      <c r="U11107" s="5"/>
      <c r="V11107" s="5"/>
      <c r="W11107" s="5"/>
      <c r="X11107" s="5"/>
      <c r="Y11107" s="5"/>
      <c r="Z11107" s="5"/>
    </row>
    <row r="11108" spans="1:26" ht="15" x14ac:dyDescent="0.25">
      <c r="A11108" s="4" t="s">
        <v>11105</v>
      </c>
      <c r="B11108" s="4" t="s">
        <v>9011</v>
      </c>
      <c r="C11108" s="2" t="str">
        <f ca="1">IFERROR(__xludf.DUMMYFUNCTION("GOOGLETRANSLATE(A11108,""bn"",""en"")"),"We will eat milk")</f>
        <v>We will eat milk</v>
      </c>
      <c r="D11108" s="5"/>
      <c r="E11108" s="5"/>
      <c r="F11108" s="5"/>
      <c r="G11108" s="5"/>
      <c r="H11108" s="5"/>
      <c r="I11108" s="5"/>
      <c r="J11108" s="5"/>
      <c r="K11108" s="5"/>
      <c r="L11108" s="5"/>
      <c r="M11108" s="5"/>
      <c r="N11108" s="5"/>
      <c r="O11108" s="5"/>
      <c r="P11108" s="5"/>
      <c r="Q11108" s="5"/>
      <c r="R11108" s="5"/>
      <c r="S11108" s="5"/>
      <c r="T11108" s="5"/>
      <c r="U11108" s="5"/>
      <c r="V11108" s="5"/>
      <c r="W11108" s="5"/>
      <c r="X11108" s="5"/>
      <c r="Y11108" s="5"/>
      <c r="Z11108" s="5"/>
    </row>
    <row r="11109" spans="1:26" ht="15" x14ac:dyDescent="0.25">
      <c r="A11109" s="4" t="s">
        <v>11106</v>
      </c>
      <c r="B11109" s="4" t="s">
        <v>9011</v>
      </c>
      <c r="C11109" s="2" t="str">
        <f ca="1">IFERROR(__xludf.DUMMYFUNCTION("GOOGLETRANSLATE(A11109,""bn"",""en"")"),"Will travel comfortably")</f>
        <v>Will travel comfortably</v>
      </c>
      <c r="D11109" s="5"/>
      <c r="E11109" s="5"/>
      <c r="F11109" s="5"/>
      <c r="G11109" s="5"/>
      <c r="H11109" s="5"/>
      <c r="I11109" s="5"/>
      <c r="J11109" s="5"/>
      <c r="K11109" s="5"/>
      <c r="L11109" s="5"/>
      <c r="M11109" s="5"/>
      <c r="N11109" s="5"/>
      <c r="O11109" s="5"/>
      <c r="P11109" s="5"/>
      <c r="Q11109" s="5"/>
      <c r="R11109" s="5"/>
      <c r="S11109" s="5"/>
      <c r="T11109" s="5"/>
      <c r="U11109" s="5"/>
      <c r="V11109" s="5"/>
      <c r="W11109" s="5"/>
      <c r="X11109" s="5"/>
      <c r="Y11109" s="5"/>
      <c r="Z11109" s="5"/>
    </row>
    <row r="11110" spans="1:26" ht="15" x14ac:dyDescent="0.25">
      <c r="A11110" s="4" t="s">
        <v>11107</v>
      </c>
      <c r="B11110" s="4" t="s">
        <v>9011</v>
      </c>
      <c r="C11110" s="2" t="str">
        <f ca="1">IFERROR(__xludf.DUMMYFUNCTION("GOOGLETRANSLATE(A11110,""bn"",""en"")"),"The film will run on Saturday")</f>
        <v>The film will run on Saturday</v>
      </c>
      <c r="D11110" s="5"/>
      <c r="E11110" s="5"/>
      <c r="F11110" s="5"/>
      <c r="G11110" s="5"/>
      <c r="H11110" s="5"/>
      <c r="I11110" s="5"/>
      <c r="J11110" s="5"/>
      <c r="K11110" s="5"/>
      <c r="L11110" s="5"/>
      <c r="M11110" s="5"/>
      <c r="N11110" s="5"/>
      <c r="O11110" s="5"/>
      <c r="P11110" s="5"/>
      <c r="Q11110" s="5"/>
      <c r="R11110" s="5"/>
      <c r="S11110" s="5"/>
      <c r="T11110" s="5"/>
      <c r="U11110" s="5"/>
      <c r="V11110" s="5"/>
      <c r="W11110" s="5"/>
      <c r="X11110" s="5"/>
      <c r="Y11110" s="5"/>
      <c r="Z11110" s="5"/>
    </row>
    <row r="11111" spans="1:26" ht="15" x14ac:dyDescent="0.25">
      <c r="A11111" s="4" t="s">
        <v>11108</v>
      </c>
      <c r="B11111" s="4" t="s">
        <v>9011</v>
      </c>
      <c r="C11111" s="2" t="str">
        <f ca="1">IFERROR(__xludf.DUMMYFUNCTION("GOOGLETRANSLATE(A11111,""bn"",""en"")"),"Will keep sending messages")</f>
        <v>Will keep sending messages</v>
      </c>
      <c r="D11111" s="5"/>
      <c r="E11111" s="5"/>
      <c r="F11111" s="5"/>
      <c r="G11111" s="5"/>
      <c r="H11111" s="5"/>
      <c r="I11111" s="5"/>
      <c r="J11111" s="5"/>
      <c r="K11111" s="5"/>
      <c r="L11111" s="5"/>
      <c r="M11111" s="5"/>
      <c r="N11111" s="5"/>
      <c r="O11111" s="5"/>
      <c r="P11111" s="5"/>
      <c r="Q11111" s="5"/>
      <c r="R11111" s="5"/>
      <c r="S11111" s="5"/>
      <c r="T11111" s="5"/>
      <c r="U11111" s="5"/>
      <c r="V11111" s="5"/>
      <c r="W11111" s="5"/>
      <c r="X11111" s="5"/>
      <c r="Y11111" s="5"/>
      <c r="Z11111" s="5"/>
    </row>
    <row r="11112" spans="1:26" ht="15" x14ac:dyDescent="0.25">
      <c r="A11112" s="4" t="s">
        <v>11109</v>
      </c>
      <c r="B11112" s="4" t="s">
        <v>9011</v>
      </c>
      <c r="C11112" s="2" t="str">
        <f ca="1">IFERROR(__xludf.DUMMYFUNCTION("GOOGLETRANSLATE(A11112,""bn"",""en"")"),"I will buy chocolate and eat it")</f>
        <v>I will buy chocolate and eat it</v>
      </c>
      <c r="D11112" s="5"/>
      <c r="E11112" s="5"/>
      <c r="F11112" s="5"/>
      <c r="G11112" s="5"/>
      <c r="H11112" s="5"/>
      <c r="I11112" s="5"/>
      <c r="J11112" s="5"/>
      <c r="K11112" s="5"/>
      <c r="L11112" s="5"/>
      <c r="M11112" s="5"/>
      <c r="N11112" s="5"/>
      <c r="O11112" s="5"/>
      <c r="P11112" s="5"/>
      <c r="Q11112" s="5"/>
      <c r="R11112" s="5"/>
      <c r="S11112" s="5"/>
      <c r="T11112" s="5"/>
      <c r="U11112" s="5"/>
      <c r="V11112" s="5"/>
      <c r="W11112" s="5"/>
      <c r="X11112" s="5"/>
      <c r="Y11112" s="5"/>
      <c r="Z11112" s="5"/>
    </row>
    <row r="11113" spans="1:26" ht="15" x14ac:dyDescent="0.25">
      <c r="A11113" s="4" t="s">
        <v>11110</v>
      </c>
      <c r="B11113" s="4" t="s">
        <v>9011</v>
      </c>
      <c r="C11113" s="2" t="str">
        <f ca="1">IFERROR(__xludf.DUMMYFUNCTION("GOOGLETRANSLATE(A11113,""bn"",""en"")"),"The Prime Minister will discuss")</f>
        <v>The Prime Minister will discuss</v>
      </c>
      <c r="D11113" s="5"/>
      <c r="E11113" s="5"/>
      <c r="F11113" s="5"/>
      <c r="G11113" s="5"/>
      <c r="H11113" s="5"/>
      <c r="I11113" s="5"/>
      <c r="J11113" s="5"/>
      <c r="K11113" s="5"/>
      <c r="L11113" s="5"/>
      <c r="M11113" s="5"/>
      <c r="N11113" s="5"/>
      <c r="O11113" s="5"/>
      <c r="P11113" s="5"/>
      <c r="Q11113" s="5"/>
      <c r="R11113" s="5"/>
      <c r="S11113" s="5"/>
      <c r="T11113" s="5"/>
      <c r="U11113" s="5"/>
      <c r="V11113" s="5"/>
      <c r="W11113" s="5"/>
      <c r="X11113" s="5"/>
      <c r="Y11113" s="5"/>
      <c r="Z11113" s="5"/>
    </row>
    <row r="11114" spans="1:26" ht="15" x14ac:dyDescent="0.25">
      <c r="A11114" s="4" t="s">
        <v>11111</v>
      </c>
      <c r="B11114" s="4" t="s">
        <v>9011</v>
      </c>
      <c r="C11114" s="2" t="str">
        <f ca="1">IFERROR(__xludf.DUMMYFUNCTION("GOOGLETRANSLATE(A11114,""bn"",""en"")"),"The Prime Minister will discuss in the Senate")</f>
        <v>The Prime Minister will discuss in the Senate</v>
      </c>
      <c r="D11114" s="5"/>
      <c r="E11114" s="5"/>
      <c r="F11114" s="5"/>
      <c r="G11114" s="5"/>
      <c r="H11114" s="5"/>
      <c r="I11114" s="5"/>
      <c r="J11114" s="5"/>
      <c r="K11114" s="5"/>
      <c r="L11114" s="5"/>
      <c r="M11114" s="5"/>
      <c r="N11114" s="5"/>
      <c r="O11114" s="5"/>
      <c r="P11114" s="5"/>
      <c r="Q11114" s="5"/>
      <c r="R11114" s="5"/>
      <c r="S11114" s="5"/>
      <c r="T11114" s="5"/>
      <c r="U11114" s="5"/>
      <c r="V11114" s="5"/>
      <c r="W11114" s="5"/>
      <c r="X11114" s="5"/>
      <c r="Y11114" s="5"/>
      <c r="Z11114" s="5"/>
    </row>
    <row r="11115" spans="1:26" ht="15" x14ac:dyDescent="0.25">
      <c r="A11115" s="4" t="s">
        <v>11112</v>
      </c>
      <c r="B11115" s="4" t="s">
        <v>9011</v>
      </c>
      <c r="C11115" s="2" t="str">
        <f ca="1">IFERROR(__xludf.DUMMYFUNCTION("GOOGLETRANSLATE(A11115,""bn"",""en"")"),"The Prime Minister will want to sit in the discussion")</f>
        <v>The Prime Minister will want to sit in the discussion</v>
      </c>
      <c r="D11115" s="5"/>
      <c r="E11115" s="5"/>
      <c r="F11115" s="5"/>
      <c r="G11115" s="5"/>
      <c r="H11115" s="5"/>
      <c r="I11115" s="5"/>
      <c r="J11115" s="5"/>
      <c r="K11115" s="5"/>
      <c r="L11115" s="5"/>
      <c r="M11115" s="5"/>
      <c r="N11115" s="5"/>
      <c r="O11115" s="5"/>
      <c r="P11115" s="5"/>
      <c r="Q11115" s="5"/>
      <c r="R11115" s="5"/>
      <c r="S11115" s="5"/>
      <c r="T11115" s="5"/>
      <c r="U11115" s="5"/>
      <c r="V11115" s="5"/>
      <c r="W11115" s="5"/>
      <c r="X11115" s="5"/>
      <c r="Y11115" s="5"/>
      <c r="Z11115" s="5"/>
    </row>
    <row r="11116" spans="1:26" ht="15" x14ac:dyDescent="0.25">
      <c r="A11116" s="4" t="s">
        <v>11113</v>
      </c>
      <c r="B11116" s="4" t="s">
        <v>9011</v>
      </c>
      <c r="C11116" s="2" t="str">
        <f ca="1">IFERROR(__xludf.DUMMYFUNCTION("GOOGLETRANSLATE(A11116,""bn"",""en"")"),"The Prime Minister will announce a meeting of the Cabinet for discussion")</f>
        <v>The Prime Minister will announce a meeting of the Cabinet for discussion</v>
      </c>
      <c r="D11116" s="5"/>
      <c r="E11116" s="5"/>
      <c r="F11116" s="5"/>
      <c r="G11116" s="5"/>
      <c r="H11116" s="5"/>
      <c r="I11116" s="5"/>
      <c r="J11116" s="5"/>
      <c r="K11116" s="5"/>
      <c r="L11116" s="5"/>
      <c r="M11116" s="5"/>
      <c r="N11116" s="5"/>
      <c r="O11116" s="5"/>
      <c r="P11116" s="5"/>
      <c r="Q11116" s="5"/>
      <c r="R11116" s="5"/>
      <c r="S11116" s="5"/>
      <c r="T11116" s="5"/>
      <c r="U11116" s="5"/>
      <c r="V11116" s="5"/>
      <c r="W11116" s="5"/>
      <c r="X11116" s="5"/>
      <c r="Y11116" s="5"/>
      <c r="Z11116" s="5"/>
    </row>
    <row r="11117" spans="1:26" ht="15" x14ac:dyDescent="0.25">
      <c r="A11117" s="4" t="s">
        <v>11114</v>
      </c>
      <c r="B11117" s="4" t="s">
        <v>9011</v>
      </c>
      <c r="C11117" s="2" t="str">
        <f ca="1">IFERROR(__xludf.DUMMYFUNCTION("GOOGLETRANSLATE(A11117,""bn"",""en"")"),"The network will grow")</f>
        <v>The network will grow</v>
      </c>
      <c r="D11117" s="5"/>
      <c r="E11117" s="5"/>
      <c r="F11117" s="5"/>
      <c r="G11117" s="5"/>
      <c r="H11117" s="5"/>
      <c r="I11117" s="5"/>
      <c r="J11117" s="5"/>
      <c r="K11117" s="5"/>
      <c r="L11117" s="5"/>
      <c r="M11117" s="5"/>
      <c r="N11117" s="5"/>
      <c r="O11117" s="5"/>
      <c r="P11117" s="5"/>
      <c r="Q11117" s="5"/>
      <c r="R11117" s="5"/>
      <c r="S11117" s="5"/>
      <c r="T11117" s="5"/>
      <c r="U11117" s="5"/>
      <c r="V11117" s="5"/>
      <c r="W11117" s="5"/>
      <c r="X11117" s="5"/>
      <c r="Y11117" s="5"/>
      <c r="Z11117" s="5"/>
    </row>
    <row r="11118" spans="1:26" ht="15" x14ac:dyDescent="0.25">
      <c r="A11118" s="4" t="s">
        <v>11115</v>
      </c>
      <c r="B11118" s="4" t="s">
        <v>9011</v>
      </c>
      <c r="C11118" s="2" t="str">
        <f ca="1">IFERROR(__xludf.DUMMYFUNCTION("GOOGLETRANSLATE(A11118,""bn"",""en"")"),"The system will deploy")</f>
        <v>The system will deploy</v>
      </c>
      <c r="D11118" s="5"/>
      <c r="E11118" s="5"/>
      <c r="F11118" s="5"/>
      <c r="G11118" s="5"/>
      <c r="H11118" s="5"/>
      <c r="I11118" s="5"/>
      <c r="J11118" s="5"/>
      <c r="K11118" s="5"/>
      <c r="L11118" s="5"/>
      <c r="M11118" s="5"/>
      <c r="N11118" s="5"/>
      <c r="O11118" s="5"/>
      <c r="P11118" s="5"/>
      <c r="Q11118" s="5"/>
      <c r="R11118" s="5"/>
      <c r="S11118" s="5"/>
      <c r="T11118" s="5"/>
      <c r="U11118" s="5"/>
      <c r="V11118" s="5"/>
      <c r="W11118" s="5"/>
      <c r="X11118" s="5"/>
      <c r="Y11118" s="5"/>
      <c r="Z11118" s="5"/>
    </row>
    <row r="11119" spans="1:26" ht="15" x14ac:dyDescent="0.25">
      <c r="A11119" s="4" t="s">
        <v>11116</v>
      </c>
      <c r="B11119" s="4" t="s">
        <v>9011</v>
      </c>
      <c r="C11119" s="2" t="str">
        <f ca="1">IFERROR(__xludf.DUMMYFUNCTION("GOOGLETRANSLATE(A11119,""bn"",""en"")"),"I will work in the organization")</f>
        <v>I will work in the organization</v>
      </c>
      <c r="D11119" s="5"/>
      <c r="E11119" s="5"/>
      <c r="F11119" s="5"/>
      <c r="G11119" s="5"/>
      <c r="H11119" s="5"/>
      <c r="I11119" s="5"/>
      <c r="J11119" s="5"/>
      <c r="K11119" s="5"/>
      <c r="L11119" s="5"/>
      <c r="M11119" s="5"/>
      <c r="N11119" s="5"/>
      <c r="O11119" s="5"/>
      <c r="P11119" s="5"/>
      <c r="Q11119" s="5"/>
      <c r="R11119" s="5"/>
      <c r="S11119" s="5"/>
      <c r="T11119" s="5"/>
      <c r="U11119" s="5"/>
      <c r="V11119" s="5"/>
      <c r="W11119" s="5"/>
      <c r="X11119" s="5"/>
      <c r="Y11119" s="5"/>
      <c r="Z11119" s="5"/>
    </row>
    <row r="11120" spans="1:26" ht="15" x14ac:dyDescent="0.25">
      <c r="A11120" s="4" t="s">
        <v>11117</v>
      </c>
      <c r="B11120" s="4" t="s">
        <v>9011</v>
      </c>
      <c r="C11120" s="2" t="str">
        <f ca="1">IFERROR(__xludf.DUMMYFUNCTION("GOOGLETRANSLATE(A11120,""bn"",""en"")"),"I will eat in the cafeteria")</f>
        <v>I will eat in the cafeteria</v>
      </c>
      <c r="D11120" s="5"/>
      <c r="E11120" s="5"/>
      <c r="F11120" s="5"/>
      <c r="G11120" s="5"/>
      <c r="H11120" s="5"/>
      <c r="I11120" s="5"/>
      <c r="J11120" s="5"/>
      <c r="K11120" s="5"/>
      <c r="L11120" s="5"/>
      <c r="M11120" s="5"/>
      <c r="N11120" s="5"/>
      <c r="O11120" s="5"/>
      <c r="P11120" s="5"/>
      <c r="Q11120" s="5"/>
      <c r="R11120" s="5"/>
      <c r="S11120" s="5"/>
      <c r="T11120" s="5"/>
      <c r="U11120" s="5"/>
      <c r="V11120" s="5"/>
      <c r="W11120" s="5"/>
      <c r="X11120" s="5"/>
      <c r="Y11120" s="5"/>
      <c r="Z11120" s="5"/>
    </row>
    <row r="11121" spans="1:26" ht="15" x14ac:dyDescent="0.25">
      <c r="A11121" s="4" t="s">
        <v>11118</v>
      </c>
      <c r="B11121" s="4" t="s">
        <v>9011</v>
      </c>
      <c r="C11121" s="2" t="str">
        <f ca="1">IFERROR(__xludf.DUMMYFUNCTION("GOOGLETRANSLATE(A11121,""bn"",""en"")"),"Will increase political communication")</f>
        <v>Will increase political communication</v>
      </c>
      <c r="D11121" s="5"/>
      <c r="E11121" s="5"/>
      <c r="F11121" s="5"/>
      <c r="G11121" s="5"/>
      <c r="H11121" s="5"/>
      <c r="I11121" s="5"/>
      <c r="J11121" s="5"/>
      <c r="K11121" s="5"/>
      <c r="L11121" s="5"/>
      <c r="M11121" s="5"/>
      <c r="N11121" s="5"/>
      <c r="O11121" s="5"/>
      <c r="P11121" s="5"/>
      <c r="Q11121" s="5"/>
      <c r="R11121" s="5"/>
      <c r="S11121" s="5"/>
      <c r="T11121" s="5"/>
      <c r="U11121" s="5"/>
      <c r="V11121" s="5"/>
      <c r="W11121" s="5"/>
      <c r="X11121" s="5"/>
      <c r="Y11121" s="5"/>
      <c r="Z11121" s="5"/>
    </row>
    <row r="11122" spans="1:26" ht="15" x14ac:dyDescent="0.25">
      <c r="A11122" s="4" t="s">
        <v>11119</v>
      </c>
      <c r="B11122" s="4" t="s">
        <v>9011</v>
      </c>
      <c r="C11122" s="2" t="str">
        <f ca="1">IFERROR(__xludf.DUMMYFUNCTION("GOOGLETRANSLATE(A11122,""bn"",""en"")"),"Power will be available")</f>
        <v>Power will be available</v>
      </c>
      <c r="D11122" s="5"/>
      <c r="E11122" s="5"/>
      <c r="F11122" s="5"/>
      <c r="G11122" s="5"/>
      <c r="H11122" s="5"/>
      <c r="I11122" s="5"/>
      <c r="J11122" s="5"/>
      <c r="K11122" s="5"/>
      <c r="L11122" s="5"/>
      <c r="M11122" s="5"/>
      <c r="N11122" s="5"/>
      <c r="O11122" s="5"/>
      <c r="P11122" s="5"/>
      <c r="Q11122" s="5"/>
      <c r="R11122" s="5"/>
      <c r="S11122" s="5"/>
      <c r="T11122" s="5"/>
      <c r="U11122" s="5"/>
      <c r="V11122" s="5"/>
      <c r="W11122" s="5"/>
      <c r="X11122" s="5"/>
      <c r="Y11122" s="5"/>
      <c r="Z11122" s="5"/>
    </row>
    <row r="11123" spans="1:26" ht="15" x14ac:dyDescent="0.25">
      <c r="A11123" s="4" t="s">
        <v>11120</v>
      </c>
      <c r="B11123" s="4" t="s">
        <v>9011</v>
      </c>
      <c r="C11123" s="2" t="str">
        <f ca="1">IFERROR(__xludf.DUMMYFUNCTION("GOOGLETRANSLATE(A11123,""bn"",""en"")"),"The program will run")</f>
        <v>The program will run</v>
      </c>
      <c r="D11123" s="5"/>
      <c r="E11123" s="5"/>
      <c r="F11123" s="5"/>
      <c r="G11123" s="5"/>
      <c r="H11123" s="5"/>
      <c r="I11123" s="5"/>
      <c r="J11123" s="5"/>
      <c r="K11123" s="5"/>
      <c r="L11123" s="5"/>
      <c r="M11123" s="5"/>
      <c r="N11123" s="5"/>
      <c r="O11123" s="5"/>
      <c r="P11123" s="5"/>
      <c r="Q11123" s="5"/>
      <c r="R11123" s="5"/>
      <c r="S11123" s="5"/>
      <c r="T11123" s="5"/>
      <c r="U11123" s="5"/>
      <c r="V11123" s="5"/>
      <c r="W11123" s="5"/>
      <c r="X11123" s="5"/>
      <c r="Y11123" s="5"/>
      <c r="Z11123" s="5"/>
    </row>
    <row r="11124" spans="1:26" ht="15" x14ac:dyDescent="0.25">
      <c r="A11124" s="4" t="s">
        <v>11121</v>
      </c>
      <c r="B11124" s="4" t="s">
        <v>9011</v>
      </c>
      <c r="C11124" s="2" t="str">
        <f ca="1">IFERROR(__xludf.DUMMYFUNCTION("GOOGLETRANSLATE(A11124,""bn"",""en"")"),"I will continue to learn dynamic programming")</f>
        <v>I will continue to learn dynamic programming</v>
      </c>
      <c r="D11124" s="5"/>
      <c r="E11124" s="5"/>
      <c r="F11124" s="5"/>
      <c r="G11124" s="5"/>
      <c r="H11124" s="5"/>
      <c r="I11124" s="5"/>
      <c r="J11124" s="5"/>
      <c r="K11124" s="5"/>
      <c r="L11124" s="5"/>
      <c r="M11124" s="5"/>
      <c r="N11124" s="5"/>
      <c r="O11124" s="5"/>
      <c r="P11124" s="5"/>
      <c r="Q11124" s="5"/>
      <c r="R11124" s="5"/>
      <c r="S11124" s="5"/>
      <c r="T11124" s="5"/>
      <c r="U11124" s="5"/>
      <c r="V11124" s="5"/>
      <c r="W11124" s="5"/>
      <c r="X11124" s="5"/>
      <c r="Y11124" s="5"/>
      <c r="Z11124" s="5"/>
    </row>
    <row r="11125" spans="1:26" ht="15" x14ac:dyDescent="0.25">
      <c r="A11125" s="4" t="s">
        <v>11122</v>
      </c>
      <c r="B11125" s="4" t="s">
        <v>9011</v>
      </c>
      <c r="C11125" s="2" t="str">
        <f ca="1">IFERROR(__xludf.DUMMYFUNCTION("GOOGLETRANSLATE(A11125,""bn"",""en"")"),"The leader will leave")</f>
        <v>The leader will leave</v>
      </c>
      <c r="D11125" s="5"/>
      <c r="E11125" s="5"/>
      <c r="F11125" s="5"/>
      <c r="G11125" s="5"/>
      <c r="H11125" s="5"/>
      <c r="I11125" s="5"/>
      <c r="J11125" s="5"/>
      <c r="K11125" s="5"/>
      <c r="L11125" s="5"/>
      <c r="M11125" s="5"/>
      <c r="N11125" s="5"/>
      <c r="O11125" s="5"/>
      <c r="P11125" s="5"/>
      <c r="Q11125" s="5"/>
      <c r="R11125" s="5"/>
      <c r="S11125" s="5"/>
      <c r="T11125" s="5"/>
      <c r="U11125" s="5"/>
      <c r="V11125" s="5"/>
      <c r="W11125" s="5"/>
      <c r="X11125" s="5"/>
      <c r="Y11125" s="5"/>
      <c r="Z11125" s="5"/>
    </row>
    <row r="11126" spans="1:26" ht="15" x14ac:dyDescent="0.25">
      <c r="A11126" s="4" t="s">
        <v>11123</v>
      </c>
      <c r="B11126" s="4" t="s">
        <v>9011</v>
      </c>
      <c r="C11126" s="2" t="str">
        <f ca="1">IFERROR(__xludf.DUMMYFUNCTION("GOOGLETRANSLATE(A11126,""bn"",""en"")"),"We will study science")</f>
        <v>We will study science</v>
      </c>
      <c r="D11126" s="5"/>
      <c r="E11126" s="5"/>
      <c r="F11126" s="5"/>
      <c r="G11126" s="5"/>
      <c r="H11126" s="5"/>
      <c r="I11126" s="5"/>
      <c r="J11126" s="5"/>
      <c r="K11126" s="5"/>
      <c r="L11126" s="5"/>
      <c r="M11126" s="5"/>
      <c r="N11126" s="5"/>
      <c r="O11126" s="5"/>
      <c r="P11126" s="5"/>
      <c r="Q11126" s="5"/>
      <c r="R11126" s="5"/>
      <c r="S11126" s="5"/>
      <c r="T11126" s="5"/>
      <c r="U11126" s="5"/>
      <c r="V11126" s="5"/>
      <c r="W11126" s="5"/>
      <c r="X11126" s="5"/>
      <c r="Y11126" s="5"/>
      <c r="Z11126" s="5"/>
    </row>
    <row r="11127" spans="1:26" ht="15" x14ac:dyDescent="0.25">
      <c r="A11127" s="4" t="s">
        <v>11124</v>
      </c>
      <c r="B11127" s="4" t="s">
        <v>9011</v>
      </c>
      <c r="C11127" s="2" t="str">
        <f ca="1">IFERROR(__xludf.DUMMYFUNCTION("GOOGLETRANSLATE(A11127,""bn"",""en"")"),"He will have dinner")</f>
        <v>He will have dinner</v>
      </c>
      <c r="D11127" s="5"/>
      <c r="E11127" s="5"/>
      <c r="F11127" s="5"/>
      <c r="G11127" s="5"/>
      <c r="H11127" s="5"/>
      <c r="I11127" s="5"/>
      <c r="J11127" s="5"/>
      <c r="K11127" s="5"/>
      <c r="L11127" s="5"/>
      <c r="M11127" s="5"/>
      <c r="N11127" s="5"/>
      <c r="O11127" s="5"/>
      <c r="P11127" s="5"/>
      <c r="Q11127" s="5"/>
      <c r="R11127" s="5"/>
      <c r="S11127" s="5"/>
      <c r="T11127" s="5"/>
      <c r="U11127" s="5"/>
      <c r="V11127" s="5"/>
      <c r="W11127" s="5"/>
      <c r="X11127" s="5"/>
      <c r="Y11127" s="5"/>
      <c r="Z11127" s="5"/>
    </row>
    <row r="11128" spans="1:26" ht="15" x14ac:dyDescent="0.25">
      <c r="A11128" s="4" t="s">
        <v>11125</v>
      </c>
      <c r="B11128" s="4" t="s">
        <v>9011</v>
      </c>
      <c r="C11128" s="2" t="str">
        <f ca="1">IFERROR(__xludf.DUMMYFUNCTION("GOOGLETRANSLATE(A11128,""bn"",""en"")"),"Input will be verified")</f>
        <v>Input will be verified</v>
      </c>
      <c r="D11128" s="5"/>
      <c r="E11128" s="5"/>
      <c r="F11128" s="5"/>
      <c r="G11128" s="5"/>
      <c r="H11128" s="5"/>
      <c r="I11128" s="5"/>
      <c r="J11128" s="5"/>
      <c r="K11128" s="5"/>
      <c r="L11128" s="5"/>
      <c r="M11128" s="5"/>
      <c r="N11128" s="5"/>
      <c r="O11128" s="5"/>
      <c r="P11128" s="5"/>
      <c r="Q11128" s="5"/>
      <c r="R11128" s="5"/>
      <c r="S11128" s="5"/>
      <c r="T11128" s="5"/>
      <c r="U11128" s="5"/>
      <c r="V11128" s="5"/>
      <c r="W11128" s="5"/>
      <c r="X11128" s="5"/>
      <c r="Y11128" s="5"/>
      <c r="Z11128" s="5"/>
    </row>
    <row r="11129" spans="1:26" ht="15" x14ac:dyDescent="0.25">
      <c r="A11129" s="4" t="s">
        <v>11126</v>
      </c>
      <c r="B11129" s="4" t="s">
        <v>9011</v>
      </c>
      <c r="C11129" s="2" t="str">
        <f ca="1">IFERROR(__xludf.DUMMYFUNCTION("GOOGLETRANSLATE(A11129,""bn"",""en"")"),"He will eat fast")</f>
        <v>He will eat fast</v>
      </c>
      <c r="D11129" s="5"/>
      <c r="E11129" s="5"/>
      <c r="F11129" s="5"/>
      <c r="G11129" s="5"/>
      <c r="H11129" s="5"/>
      <c r="I11129" s="5"/>
      <c r="J11129" s="5"/>
      <c r="K11129" s="5"/>
      <c r="L11129" s="5"/>
      <c r="M11129" s="5"/>
      <c r="N11129" s="5"/>
      <c r="O11129" s="5"/>
      <c r="P11129" s="5"/>
      <c r="Q11129" s="5"/>
      <c r="R11129" s="5"/>
      <c r="S11129" s="5"/>
      <c r="T11129" s="5"/>
      <c r="U11129" s="5"/>
      <c r="V11129" s="5"/>
      <c r="W11129" s="5"/>
      <c r="X11129" s="5"/>
      <c r="Y11129" s="5"/>
      <c r="Z11129" s="5"/>
    </row>
    <row r="11130" spans="1:26" ht="15" x14ac:dyDescent="0.25">
      <c r="A11130" s="4" t="s">
        <v>11127</v>
      </c>
      <c r="B11130" s="4" t="s">
        <v>9011</v>
      </c>
      <c r="C11130" s="2" t="str">
        <f ca="1">IFERROR(__xludf.DUMMYFUNCTION("GOOGLETRANSLATE(A11130,""bn"",""en"")"),"Buy professional online")</f>
        <v>Buy professional online</v>
      </c>
      <c r="D11130" s="5"/>
      <c r="E11130" s="5"/>
      <c r="F11130" s="5"/>
      <c r="G11130" s="5"/>
      <c r="H11130" s="5"/>
      <c r="I11130" s="5"/>
      <c r="J11130" s="5"/>
      <c r="K11130" s="5"/>
      <c r="L11130" s="5"/>
      <c r="M11130" s="5"/>
      <c r="N11130" s="5"/>
      <c r="O11130" s="5"/>
      <c r="P11130" s="5"/>
      <c r="Q11130" s="5"/>
      <c r="R11130" s="5"/>
      <c r="S11130" s="5"/>
      <c r="T11130" s="5"/>
      <c r="U11130" s="5"/>
      <c r="V11130" s="5"/>
      <c r="W11130" s="5"/>
      <c r="X11130" s="5"/>
      <c r="Y11130" s="5"/>
      <c r="Z11130" s="5"/>
    </row>
    <row r="11131" spans="1:26" ht="15" x14ac:dyDescent="0.25">
      <c r="A11131" s="4" t="s">
        <v>11128</v>
      </c>
      <c r="B11131" s="4" t="s">
        <v>9011</v>
      </c>
      <c r="C11131" s="2" t="str">
        <f ca="1">IFERROR(__xludf.DUMMYFUNCTION("GOOGLETRANSLATE(A11131,""bn"",""en"")"),"I will get peace of mind")</f>
        <v>I will get peace of mind</v>
      </c>
      <c r="D11131" s="5"/>
      <c r="E11131" s="5"/>
      <c r="F11131" s="5"/>
      <c r="G11131" s="5"/>
      <c r="H11131" s="5"/>
      <c r="I11131" s="5"/>
      <c r="J11131" s="5"/>
      <c r="K11131" s="5"/>
      <c r="L11131" s="5"/>
      <c r="M11131" s="5"/>
      <c r="N11131" s="5"/>
      <c r="O11131" s="5"/>
      <c r="P11131" s="5"/>
      <c r="Q11131" s="5"/>
      <c r="R11131" s="5"/>
      <c r="S11131" s="5"/>
      <c r="T11131" s="5"/>
      <c r="U11131" s="5"/>
      <c r="V11131" s="5"/>
      <c r="W11131" s="5"/>
      <c r="X11131" s="5"/>
      <c r="Y11131" s="5"/>
      <c r="Z11131" s="5"/>
    </row>
    <row r="11132" spans="1:26" ht="15" x14ac:dyDescent="0.25">
      <c r="A11132" s="4" t="s">
        <v>11129</v>
      </c>
      <c r="B11132" s="4" t="s">
        <v>9011</v>
      </c>
      <c r="C11132" s="2" t="str">
        <f ca="1">IFERROR(__xludf.DUMMYFUNCTION("GOOGLETRANSLATE(A11132,""bn"",""en"")"),"I will deploy the software")</f>
        <v>I will deploy the software</v>
      </c>
      <c r="D11132" s="5"/>
      <c r="E11132" s="5"/>
      <c r="F11132" s="5"/>
      <c r="G11132" s="5"/>
      <c r="H11132" s="5"/>
      <c r="I11132" s="5"/>
      <c r="J11132" s="5"/>
      <c r="K11132" s="5"/>
      <c r="L11132" s="5"/>
      <c r="M11132" s="5"/>
      <c r="N11132" s="5"/>
      <c r="O11132" s="5"/>
      <c r="P11132" s="5"/>
      <c r="Q11132" s="5"/>
      <c r="R11132" s="5"/>
      <c r="S11132" s="5"/>
      <c r="T11132" s="5"/>
      <c r="U11132" s="5"/>
      <c r="V11132" s="5"/>
      <c r="W11132" s="5"/>
      <c r="X11132" s="5"/>
      <c r="Y11132" s="5"/>
      <c r="Z11132" s="5"/>
    </row>
    <row r="11133" spans="1:26" ht="15" x14ac:dyDescent="0.25">
      <c r="A11133" s="4" t="s">
        <v>11130</v>
      </c>
      <c r="B11133" s="4" t="s">
        <v>9011</v>
      </c>
      <c r="C11133" s="2" t="str">
        <f ca="1">IFERROR(__xludf.DUMMYFUNCTION("GOOGLETRANSLATE(A11133,""bn"",""en"")"),"Travel will be released")</f>
        <v>Travel will be released</v>
      </c>
      <c r="D11133" s="5"/>
      <c r="E11133" s="5"/>
      <c r="F11133" s="5"/>
      <c r="G11133" s="5"/>
      <c r="H11133" s="5"/>
      <c r="I11133" s="5"/>
      <c r="J11133" s="5"/>
      <c r="K11133" s="5"/>
      <c r="L11133" s="5"/>
      <c r="M11133" s="5"/>
      <c r="N11133" s="5"/>
      <c r="O11133" s="5"/>
      <c r="P11133" s="5"/>
      <c r="Q11133" s="5"/>
      <c r="R11133" s="5"/>
      <c r="S11133" s="5"/>
      <c r="T11133" s="5"/>
      <c r="U11133" s="5"/>
      <c r="V11133" s="5"/>
      <c r="W11133" s="5"/>
      <c r="X11133" s="5"/>
      <c r="Y11133" s="5"/>
      <c r="Z11133" s="5"/>
    </row>
    <row r="11134" spans="1:26" ht="15" x14ac:dyDescent="0.25">
      <c r="A11134" s="4" t="s">
        <v>11131</v>
      </c>
      <c r="B11134" s="4" t="s">
        <v>9011</v>
      </c>
      <c r="C11134" s="2" t="str">
        <f ca="1">IFERROR(__xludf.DUMMYFUNCTION("GOOGLETRANSLATE(A11134,""bn"",""en"")"),"You will sing")</f>
        <v>You will sing</v>
      </c>
      <c r="D11134" s="5"/>
      <c r="E11134" s="5"/>
      <c r="F11134" s="5"/>
      <c r="G11134" s="5"/>
      <c r="H11134" s="5"/>
      <c r="I11134" s="5"/>
      <c r="J11134" s="5"/>
      <c r="K11134" s="5"/>
      <c r="L11134" s="5"/>
      <c r="M11134" s="5"/>
      <c r="N11134" s="5"/>
      <c r="O11134" s="5"/>
      <c r="P11134" s="5"/>
      <c r="Q11134" s="5"/>
      <c r="R11134" s="5"/>
      <c r="S11134" s="5"/>
      <c r="T11134" s="5"/>
      <c r="U11134" s="5"/>
      <c r="V11134" s="5"/>
      <c r="W11134" s="5"/>
      <c r="X11134" s="5"/>
      <c r="Y11134" s="5"/>
      <c r="Z11134" s="5"/>
    </row>
    <row r="11135" spans="1:26" ht="15" x14ac:dyDescent="0.25">
      <c r="A11135" s="4" t="s">
        <v>11132</v>
      </c>
      <c r="B11135" s="4" t="s">
        <v>9011</v>
      </c>
      <c r="C11135" s="2" t="str">
        <f ca="1">IFERROR(__xludf.DUMMYFUNCTION("GOOGLETRANSLATE(A11135,""bn"",""en"")"),"Morale will continue to decline")</f>
        <v>Morale will continue to decline</v>
      </c>
      <c r="D11135" s="5"/>
      <c r="E11135" s="5"/>
      <c r="F11135" s="5"/>
      <c r="G11135" s="5"/>
      <c r="H11135" s="5"/>
      <c r="I11135" s="5"/>
      <c r="J11135" s="5"/>
      <c r="K11135" s="5"/>
      <c r="L11135" s="5"/>
      <c r="M11135" s="5"/>
      <c r="N11135" s="5"/>
      <c r="O11135" s="5"/>
      <c r="P11135" s="5"/>
      <c r="Q11135" s="5"/>
      <c r="R11135" s="5"/>
      <c r="S11135" s="5"/>
      <c r="T11135" s="5"/>
      <c r="U11135" s="5"/>
      <c r="V11135" s="5"/>
      <c r="W11135" s="5"/>
      <c r="X11135" s="5"/>
      <c r="Y11135" s="5"/>
      <c r="Z11135" s="5"/>
    </row>
    <row r="11136" spans="1:26" ht="15" x14ac:dyDescent="0.25">
      <c r="A11136" s="4" t="s">
        <v>11133</v>
      </c>
      <c r="B11136" s="4" t="s">
        <v>9011</v>
      </c>
      <c r="C11136" s="2" t="str">
        <f ca="1">IFERROR(__xludf.DUMMYFUNCTION("GOOGLETRANSLATE(A11136,""bn"",""en"")"),"The quality of education will increase")</f>
        <v>The quality of education will increase</v>
      </c>
      <c r="D11136" s="5"/>
      <c r="E11136" s="5"/>
      <c r="F11136" s="5"/>
      <c r="G11136" s="5"/>
      <c r="H11136" s="5"/>
      <c r="I11136" s="5"/>
      <c r="J11136" s="5"/>
      <c r="K11136" s="5"/>
      <c r="L11136" s="5"/>
      <c r="M11136" s="5"/>
      <c r="N11136" s="5"/>
      <c r="O11136" s="5"/>
      <c r="P11136" s="5"/>
      <c r="Q11136" s="5"/>
      <c r="R11136" s="5"/>
      <c r="S11136" s="5"/>
      <c r="T11136" s="5"/>
      <c r="U11136" s="5"/>
      <c r="V11136" s="5"/>
      <c r="W11136" s="5"/>
      <c r="X11136" s="5"/>
      <c r="Y11136" s="5"/>
      <c r="Z11136" s="5"/>
    </row>
    <row r="11137" spans="1:26" ht="15" x14ac:dyDescent="0.25">
      <c r="A11137" s="4" t="s">
        <v>11134</v>
      </c>
      <c r="B11137" s="4" t="s">
        <v>9011</v>
      </c>
      <c r="C11137" s="2" t="str">
        <f ca="1">IFERROR(__xludf.DUMMYFUNCTION("GOOGLETRANSLATE(A11137,""bn"",""en"")"),"I will use wifi")</f>
        <v>I will use wifi</v>
      </c>
      <c r="D11137" s="5"/>
      <c r="E11137" s="5"/>
      <c r="F11137" s="5"/>
      <c r="G11137" s="5"/>
      <c r="H11137" s="5"/>
      <c r="I11137" s="5"/>
      <c r="J11137" s="5"/>
      <c r="K11137" s="5"/>
      <c r="L11137" s="5"/>
      <c r="M11137" s="5"/>
      <c r="N11137" s="5"/>
      <c r="O11137" s="5"/>
      <c r="P11137" s="5"/>
      <c r="Q11137" s="5"/>
      <c r="R11137" s="5"/>
      <c r="S11137" s="5"/>
      <c r="T11137" s="5"/>
      <c r="U11137" s="5"/>
      <c r="V11137" s="5"/>
      <c r="W11137" s="5"/>
      <c r="X11137" s="5"/>
      <c r="Y11137" s="5"/>
      <c r="Z11137" s="5"/>
    </row>
    <row r="11138" spans="1:26" ht="15" x14ac:dyDescent="0.25">
      <c r="A11138" s="4" t="s">
        <v>11135</v>
      </c>
      <c r="B11138" s="4" t="s">
        <v>9011</v>
      </c>
      <c r="C11138" s="2" t="str">
        <f ca="1">IFERROR(__xludf.DUMMYFUNCTION("GOOGLETRANSLATE(A11138,""bn"",""en"")"),"I will make an urgent call")</f>
        <v>I will make an urgent call</v>
      </c>
      <c r="D11138" s="5"/>
      <c r="E11138" s="5"/>
      <c r="F11138" s="5"/>
      <c r="G11138" s="5"/>
      <c r="H11138" s="5"/>
      <c r="I11138" s="5"/>
      <c r="J11138" s="5"/>
      <c r="K11138" s="5"/>
      <c r="L11138" s="5"/>
      <c r="M11138" s="5"/>
      <c r="N11138" s="5"/>
      <c r="O11138" s="5"/>
      <c r="P11138" s="5"/>
      <c r="Q11138" s="5"/>
      <c r="R11138" s="5"/>
      <c r="S11138" s="5"/>
      <c r="T11138" s="5"/>
      <c r="U11138" s="5"/>
      <c r="V11138" s="5"/>
      <c r="W11138" s="5"/>
      <c r="X11138" s="5"/>
      <c r="Y11138" s="5"/>
      <c r="Z11138" s="5"/>
    </row>
    <row r="11139" spans="1:26" ht="15" x14ac:dyDescent="0.25">
      <c r="A11139" s="4" t="s">
        <v>11136</v>
      </c>
      <c r="B11139" s="4" t="s">
        <v>9011</v>
      </c>
      <c r="C11139" s="2" t="str">
        <f ca="1">IFERROR(__xludf.DUMMYFUNCTION("GOOGLETRANSLATE(A11139,""bn"",""en"")"),"Report will be generated")</f>
        <v>Report will be generated</v>
      </c>
      <c r="D11139" s="5"/>
      <c r="E11139" s="5"/>
      <c r="F11139" s="5"/>
      <c r="G11139" s="5"/>
      <c r="H11139" s="5"/>
      <c r="I11139" s="5"/>
      <c r="J11139" s="5"/>
      <c r="K11139" s="5"/>
      <c r="L11139" s="5"/>
      <c r="M11139" s="5"/>
      <c r="N11139" s="5"/>
      <c r="O11139" s="5"/>
      <c r="P11139" s="5"/>
      <c r="Q11139" s="5"/>
      <c r="R11139" s="5"/>
      <c r="S11139" s="5"/>
      <c r="T11139" s="5"/>
      <c r="U11139" s="5"/>
      <c r="V11139" s="5"/>
      <c r="W11139" s="5"/>
      <c r="X11139" s="5"/>
      <c r="Y11139" s="5"/>
      <c r="Z11139" s="5"/>
    </row>
    <row r="11140" spans="1:26" ht="15" x14ac:dyDescent="0.25">
      <c r="A11140" s="4" t="s">
        <v>11137</v>
      </c>
      <c r="B11140" s="4" t="s">
        <v>9011</v>
      </c>
      <c r="C11140" s="2" t="str">
        <f ca="1">IFERROR(__xludf.DUMMYFUNCTION("GOOGLETRANSLATE(A11140,""bn"",""en"")"),"I will open a mobile account")</f>
        <v>I will open a mobile account</v>
      </c>
      <c r="D11140" s="5"/>
      <c r="E11140" s="5"/>
      <c r="F11140" s="5"/>
      <c r="G11140" s="5"/>
      <c r="H11140" s="5"/>
      <c r="I11140" s="5"/>
      <c r="J11140" s="5"/>
      <c r="K11140" s="5"/>
      <c r="L11140" s="5"/>
      <c r="M11140" s="5"/>
      <c r="N11140" s="5"/>
      <c r="O11140" s="5"/>
      <c r="P11140" s="5"/>
      <c r="Q11140" s="5"/>
      <c r="R11140" s="5"/>
      <c r="S11140" s="5"/>
      <c r="T11140" s="5"/>
      <c r="U11140" s="5"/>
      <c r="V11140" s="5"/>
      <c r="W11140" s="5"/>
      <c r="X11140" s="5"/>
      <c r="Y11140" s="5"/>
      <c r="Z11140" s="5"/>
    </row>
    <row r="11141" spans="1:26" ht="15" x14ac:dyDescent="0.25">
      <c r="A11141" s="4" t="s">
        <v>11138</v>
      </c>
      <c r="B11141" s="4" t="s">
        <v>9011</v>
      </c>
      <c r="C11141" s="2" t="str">
        <f ca="1">IFERROR(__xludf.DUMMYFUNCTION("GOOGLETRANSLATE(A11141,""bn"",""en"")"),"There will be tigers in the forest")</f>
        <v>There will be tigers in the forest</v>
      </c>
      <c r="D11141" s="5"/>
      <c r="E11141" s="5"/>
      <c r="F11141" s="5"/>
      <c r="G11141" s="5"/>
      <c r="H11141" s="5"/>
      <c r="I11141" s="5"/>
      <c r="J11141" s="5"/>
      <c r="K11141" s="5"/>
      <c r="L11141" s="5"/>
      <c r="M11141" s="5"/>
      <c r="N11141" s="5"/>
      <c r="O11141" s="5"/>
      <c r="P11141" s="5"/>
      <c r="Q11141" s="5"/>
      <c r="R11141" s="5"/>
      <c r="S11141" s="5"/>
      <c r="T11141" s="5"/>
      <c r="U11141" s="5"/>
      <c r="V11141" s="5"/>
      <c r="W11141" s="5"/>
      <c r="X11141" s="5"/>
      <c r="Y11141" s="5"/>
      <c r="Z11141" s="5"/>
    </row>
    <row r="11142" spans="1:26" ht="15" x14ac:dyDescent="0.25">
      <c r="A11142" s="4" t="s">
        <v>11139</v>
      </c>
      <c r="B11142" s="4" t="s">
        <v>9011</v>
      </c>
      <c r="C11142" s="2" t="str">
        <f ca="1">IFERROR(__xludf.DUMMYFUNCTION("GOOGLETRANSLATE(A11142,""bn"",""en"")"),"I will visit India")</f>
        <v>I will visit India</v>
      </c>
      <c r="D11142" s="5"/>
      <c r="E11142" s="5"/>
      <c r="F11142" s="5"/>
      <c r="G11142" s="5"/>
      <c r="H11142" s="5"/>
      <c r="I11142" s="5"/>
      <c r="J11142" s="5"/>
      <c r="K11142" s="5"/>
      <c r="L11142" s="5"/>
      <c r="M11142" s="5"/>
      <c r="N11142" s="5"/>
      <c r="O11142" s="5"/>
      <c r="P11142" s="5"/>
      <c r="Q11142" s="5"/>
      <c r="R11142" s="5"/>
      <c r="S11142" s="5"/>
      <c r="T11142" s="5"/>
      <c r="U11142" s="5"/>
      <c r="V11142" s="5"/>
      <c r="W11142" s="5"/>
      <c r="X11142" s="5"/>
      <c r="Y11142" s="5"/>
      <c r="Z11142" s="5"/>
    </row>
    <row r="11143" spans="1:26" ht="15" x14ac:dyDescent="0.25">
      <c r="A11143" s="4" t="s">
        <v>11140</v>
      </c>
      <c r="B11143" s="4" t="s">
        <v>9011</v>
      </c>
      <c r="C11143" s="2" t="str">
        <f ca="1">IFERROR(__xludf.DUMMYFUNCTION("GOOGLETRANSLATE(A11143,""bn"",""en"")"),"E-passport will be safe")</f>
        <v>E-passport will be safe</v>
      </c>
      <c r="D11143" s="5"/>
      <c r="E11143" s="5"/>
      <c r="F11143" s="5"/>
      <c r="G11143" s="5"/>
      <c r="H11143" s="5"/>
      <c r="I11143" s="5"/>
      <c r="J11143" s="5"/>
      <c r="K11143" s="5"/>
      <c r="L11143" s="5"/>
      <c r="M11143" s="5"/>
      <c r="N11143" s="5"/>
      <c r="O11143" s="5"/>
      <c r="P11143" s="5"/>
      <c r="Q11143" s="5"/>
      <c r="R11143" s="5"/>
      <c r="S11143" s="5"/>
      <c r="T11143" s="5"/>
      <c r="U11143" s="5"/>
      <c r="V11143" s="5"/>
      <c r="W11143" s="5"/>
      <c r="X11143" s="5"/>
      <c r="Y11143" s="5"/>
      <c r="Z11143" s="5"/>
    </row>
    <row r="11144" spans="1:26" ht="15" x14ac:dyDescent="0.25">
      <c r="A11144" s="4" t="s">
        <v>11141</v>
      </c>
      <c r="B11144" s="4" t="s">
        <v>9011</v>
      </c>
      <c r="C11144" s="2" t="str">
        <f ca="1">IFERROR(__xludf.DUMMYFUNCTION("GOOGLETRANSLATE(A11144,""bn"",""en"")"),"They will travel")</f>
        <v>They will travel</v>
      </c>
      <c r="D11144" s="5"/>
      <c r="E11144" s="5"/>
      <c r="F11144" s="5"/>
      <c r="G11144" s="5"/>
      <c r="H11144" s="5"/>
      <c r="I11144" s="5"/>
      <c r="J11144" s="5"/>
      <c r="K11144" s="5"/>
      <c r="L11144" s="5"/>
      <c r="M11144" s="5"/>
      <c r="N11144" s="5"/>
      <c r="O11144" s="5"/>
      <c r="P11144" s="5"/>
      <c r="Q11144" s="5"/>
      <c r="R11144" s="5"/>
      <c r="S11144" s="5"/>
      <c r="T11144" s="5"/>
      <c r="U11144" s="5"/>
      <c r="V11144" s="5"/>
      <c r="W11144" s="5"/>
      <c r="X11144" s="5"/>
      <c r="Y11144" s="5"/>
      <c r="Z11144" s="5"/>
    </row>
    <row r="11145" spans="1:26" ht="15" x14ac:dyDescent="0.25">
      <c r="A11145" s="4" t="s">
        <v>11142</v>
      </c>
      <c r="B11145" s="4" t="s">
        <v>9011</v>
      </c>
      <c r="C11145" s="2" t="str">
        <f ca="1">IFERROR(__xludf.DUMMYFUNCTION("GOOGLETRANSLATE(A11145,""bn"",""en"")"),"I will get the rhythm")</f>
        <v>I will get the rhythm</v>
      </c>
      <c r="D11145" s="5"/>
      <c r="E11145" s="5"/>
      <c r="F11145" s="5"/>
      <c r="G11145" s="5"/>
      <c r="H11145" s="5"/>
      <c r="I11145" s="5"/>
      <c r="J11145" s="5"/>
      <c r="K11145" s="5"/>
      <c r="L11145" s="5"/>
      <c r="M11145" s="5"/>
      <c r="N11145" s="5"/>
      <c r="O11145" s="5"/>
      <c r="P11145" s="5"/>
      <c r="Q11145" s="5"/>
      <c r="R11145" s="5"/>
      <c r="S11145" s="5"/>
      <c r="T11145" s="5"/>
      <c r="U11145" s="5"/>
      <c r="V11145" s="5"/>
      <c r="W11145" s="5"/>
      <c r="X11145" s="5"/>
      <c r="Y11145" s="5"/>
      <c r="Z11145" s="5"/>
    </row>
    <row r="11146" spans="1:26" ht="15" x14ac:dyDescent="0.25">
      <c r="A11146" s="4" t="s">
        <v>11143</v>
      </c>
      <c r="B11146" s="4" t="s">
        <v>9011</v>
      </c>
      <c r="C11146" s="2" t="str">
        <f ca="1">IFERROR(__xludf.DUMMYFUNCTION("GOOGLETRANSLATE(A11146,""bn"",""en"")"),"The code will be inspected")</f>
        <v>The code will be inspected</v>
      </c>
      <c r="D11146" s="5"/>
      <c r="E11146" s="5"/>
      <c r="F11146" s="5"/>
      <c r="G11146" s="5"/>
      <c r="H11146" s="5"/>
      <c r="I11146" s="5"/>
      <c r="J11146" s="5"/>
      <c r="K11146" s="5"/>
      <c r="L11146" s="5"/>
      <c r="M11146" s="5"/>
      <c r="N11146" s="5"/>
      <c r="O11146" s="5"/>
      <c r="P11146" s="5"/>
      <c r="Q11146" s="5"/>
      <c r="R11146" s="5"/>
      <c r="S11146" s="5"/>
      <c r="T11146" s="5"/>
      <c r="U11146" s="5"/>
      <c r="V11146" s="5"/>
      <c r="W11146" s="5"/>
      <c r="X11146" s="5"/>
      <c r="Y11146" s="5"/>
      <c r="Z11146" s="5"/>
    </row>
    <row r="11147" spans="1:26" ht="15" x14ac:dyDescent="0.25">
      <c r="A11147" s="4" t="s">
        <v>11144</v>
      </c>
      <c r="B11147" s="4" t="s">
        <v>9011</v>
      </c>
      <c r="C11147" s="2" t="str">
        <f ca="1">IFERROR(__xludf.DUMMYFUNCTION("GOOGLETRANSLATE(A11147,""bn"",""en"")"),"He will take a loan")</f>
        <v>He will take a loan</v>
      </c>
      <c r="D11147" s="5"/>
      <c r="E11147" s="5"/>
      <c r="F11147" s="5"/>
      <c r="G11147" s="5"/>
      <c r="H11147" s="5"/>
      <c r="I11147" s="5"/>
      <c r="J11147" s="5"/>
      <c r="K11147" s="5"/>
      <c r="L11147" s="5"/>
      <c r="M11147" s="5"/>
      <c r="N11147" s="5"/>
      <c r="O11147" s="5"/>
      <c r="P11147" s="5"/>
      <c r="Q11147" s="5"/>
      <c r="R11147" s="5"/>
      <c r="S11147" s="5"/>
      <c r="T11147" s="5"/>
      <c r="U11147" s="5"/>
      <c r="V11147" s="5"/>
      <c r="W11147" s="5"/>
      <c r="X11147" s="5"/>
      <c r="Y11147" s="5"/>
      <c r="Z11147" s="5"/>
    </row>
    <row r="11148" spans="1:26" ht="15" x14ac:dyDescent="0.25">
      <c r="A11148" s="4" t="s">
        <v>11145</v>
      </c>
      <c r="B11148" s="4" t="s">
        <v>9011</v>
      </c>
      <c r="C11148" s="2" t="str">
        <f ca="1">IFERROR(__xludf.DUMMYFUNCTION("GOOGLETRANSLATE(A11148,""bn"",""en"")"),"I will send the video")</f>
        <v>I will send the video</v>
      </c>
      <c r="D11148" s="5"/>
      <c r="E11148" s="5"/>
      <c r="F11148" s="5"/>
      <c r="G11148" s="5"/>
      <c r="H11148" s="5"/>
      <c r="I11148" s="5"/>
      <c r="J11148" s="5"/>
      <c r="K11148" s="5"/>
      <c r="L11148" s="5"/>
      <c r="M11148" s="5"/>
      <c r="N11148" s="5"/>
      <c r="O11148" s="5"/>
      <c r="P11148" s="5"/>
      <c r="Q11148" s="5"/>
      <c r="R11148" s="5"/>
      <c r="S11148" s="5"/>
      <c r="T11148" s="5"/>
      <c r="U11148" s="5"/>
      <c r="V11148" s="5"/>
      <c r="W11148" s="5"/>
      <c r="X11148" s="5"/>
      <c r="Y11148" s="5"/>
      <c r="Z11148" s="5"/>
    </row>
    <row r="11149" spans="1:26" ht="15" x14ac:dyDescent="0.25">
      <c r="A11149" s="4" t="s">
        <v>11146</v>
      </c>
      <c r="B11149" s="4" t="s">
        <v>9011</v>
      </c>
      <c r="C11149" s="2" t="str">
        <f ca="1">IFERROR(__xludf.DUMMYFUNCTION("GOOGLETRANSLATE(A11149,""bn"",""en"")"),"I will forget grief")</f>
        <v>I will forget grief</v>
      </c>
      <c r="D11149" s="5"/>
      <c r="E11149" s="5"/>
      <c r="F11149" s="5"/>
      <c r="G11149" s="5"/>
      <c r="H11149" s="5"/>
      <c r="I11149" s="5"/>
      <c r="J11149" s="5"/>
      <c r="K11149" s="5"/>
      <c r="L11149" s="5"/>
      <c r="M11149" s="5"/>
      <c r="N11149" s="5"/>
      <c r="O11149" s="5"/>
      <c r="P11149" s="5"/>
      <c r="Q11149" s="5"/>
      <c r="R11149" s="5"/>
      <c r="S11149" s="5"/>
      <c r="T11149" s="5"/>
      <c r="U11149" s="5"/>
      <c r="V11149" s="5"/>
      <c r="W11149" s="5"/>
      <c r="X11149" s="5"/>
      <c r="Y11149" s="5"/>
      <c r="Z11149" s="5"/>
    </row>
    <row r="11150" spans="1:26" ht="15" x14ac:dyDescent="0.25">
      <c r="A11150" s="4" t="s">
        <v>11147</v>
      </c>
      <c r="B11150" s="4" t="s">
        <v>9011</v>
      </c>
      <c r="C11150" s="2" t="str">
        <f ca="1">IFERROR(__xludf.DUMMYFUNCTION("GOOGLETRANSLATE(A11150,""bn"",""en"")"),"I will keep reading the hadith")</f>
        <v>I will keep reading the hadith</v>
      </c>
      <c r="D11150" s="5"/>
      <c r="E11150" s="5"/>
      <c r="F11150" s="5"/>
      <c r="G11150" s="5"/>
      <c r="H11150" s="5"/>
      <c r="I11150" s="5"/>
      <c r="J11150" s="5"/>
      <c r="K11150" s="5"/>
      <c r="L11150" s="5"/>
      <c r="M11150" s="5"/>
      <c r="N11150" s="5"/>
      <c r="O11150" s="5"/>
      <c r="P11150" s="5"/>
      <c r="Q11150" s="5"/>
      <c r="R11150" s="5"/>
      <c r="S11150" s="5"/>
      <c r="T11150" s="5"/>
      <c r="U11150" s="5"/>
      <c r="V11150" s="5"/>
      <c r="W11150" s="5"/>
      <c r="X11150" s="5"/>
      <c r="Y11150" s="5"/>
      <c r="Z11150" s="5"/>
    </row>
    <row r="11151" spans="1:26" ht="15" x14ac:dyDescent="0.25">
      <c r="A11151" s="4" t="s">
        <v>11148</v>
      </c>
      <c r="B11151" s="4" t="s">
        <v>9011</v>
      </c>
      <c r="C11151" s="2" t="str">
        <f ca="1">IFERROR(__xludf.DUMMYFUNCTION("GOOGLETRANSLATE(A11151,""bn"",""en"")"),"I will always read the news")</f>
        <v>I will always read the news</v>
      </c>
      <c r="D11151" s="5"/>
      <c r="E11151" s="5"/>
      <c r="F11151" s="5"/>
      <c r="G11151" s="5"/>
      <c r="H11151" s="5"/>
      <c r="I11151" s="5"/>
      <c r="J11151" s="5"/>
      <c r="K11151" s="5"/>
      <c r="L11151" s="5"/>
      <c r="M11151" s="5"/>
      <c r="N11151" s="5"/>
      <c r="O11151" s="5"/>
      <c r="P11151" s="5"/>
      <c r="Q11151" s="5"/>
      <c r="R11151" s="5"/>
      <c r="S11151" s="5"/>
      <c r="T11151" s="5"/>
      <c r="U11151" s="5"/>
      <c r="V11151" s="5"/>
      <c r="W11151" s="5"/>
      <c r="X11151" s="5"/>
      <c r="Y11151" s="5"/>
      <c r="Z11151" s="5"/>
    </row>
    <row r="11152" spans="1:26" ht="15" x14ac:dyDescent="0.25">
      <c r="A11152" s="4" t="s">
        <v>11149</v>
      </c>
      <c r="B11152" s="4" t="s">
        <v>9011</v>
      </c>
      <c r="C11152" s="2" t="str">
        <f ca="1">IFERROR(__xludf.DUMMYFUNCTION("GOOGLETRANSLATE(A11152,""bn"",""en"")"),"I will try to learn")</f>
        <v>I will try to learn</v>
      </c>
      <c r="D11152" s="5"/>
      <c r="E11152" s="5"/>
      <c r="F11152" s="5"/>
      <c r="G11152" s="5"/>
      <c r="H11152" s="5"/>
      <c r="I11152" s="5"/>
      <c r="J11152" s="5"/>
      <c r="K11152" s="5"/>
      <c r="L11152" s="5"/>
      <c r="M11152" s="5"/>
      <c r="N11152" s="5"/>
      <c r="O11152" s="5"/>
      <c r="P11152" s="5"/>
      <c r="Q11152" s="5"/>
      <c r="R11152" s="5"/>
      <c r="S11152" s="5"/>
      <c r="T11152" s="5"/>
      <c r="U11152" s="5"/>
      <c r="V11152" s="5"/>
      <c r="W11152" s="5"/>
      <c r="X11152" s="5"/>
      <c r="Y11152" s="5"/>
      <c r="Z11152" s="5"/>
    </row>
    <row r="11153" spans="1:26" ht="15" x14ac:dyDescent="0.25">
      <c r="A11153" s="4" t="s">
        <v>11150</v>
      </c>
      <c r="B11153" s="4" t="s">
        <v>9011</v>
      </c>
      <c r="C11153" s="2" t="str">
        <f ca="1">IFERROR(__xludf.DUMMYFUNCTION("GOOGLETRANSLATE(A11153,""bn"",""en"")"),"I will continue to send money")</f>
        <v>I will continue to send money</v>
      </c>
      <c r="D11153" s="5"/>
      <c r="E11153" s="5"/>
      <c r="F11153" s="5"/>
      <c r="G11153" s="5"/>
      <c r="H11153" s="5"/>
      <c r="I11153" s="5"/>
      <c r="J11153" s="5"/>
      <c r="K11153" s="5"/>
      <c r="L11153" s="5"/>
      <c r="M11153" s="5"/>
      <c r="N11153" s="5"/>
      <c r="O11153" s="5"/>
      <c r="P11153" s="5"/>
      <c r="Q11153" s="5"/>
      <c r="R11153" s="5"/>
      <c r="S11153" s="5"/>
      <c r="T11153" s="5"/>
      <c r="U11153" s="5"/>
      <c r="V11153" s="5"/>
      <c r="W11153" s="5"/>
      <c r="X11153" s="5"/>
      <c r="Y11153" s="5"/>
      <c r="Z11153" s="5"/>
    </row>
    <row r="11154" spans="1:26" ht="15" x14ac:dyDescent="0.25">
      <c r="A11154" s="4" t="s">
        <v>11151</v>
      </c>
      <c r="B11154" s="4" t="s">
        <v>9011</v>
      </c>
      <c r="C11154" s="2" t="str">
        <f ca="1">IFERROR(__xludf.DUMMYFUNCTION("GOOGLETRANSLATE(A11154,""bn"",""en"")"),"He will make coffee")</f>
        <v>He will make coffee</v>
      </c>
      <c r="D11154" s="5"/>
      <c r="E11154" s="5"/>
      <c r="F11154" s="5"/>
      <c r="G11154" s="5"/>
      <c r="H11154" s="5"/>
      <c r="I11154" s="5"/>
      <c r="J11154" s="5"/>
      <c r="K11154" s="5"/>
      <c r="L11154" s="5"/>
      <c r="M11154" s="5"/>
      <c r="N11154" s="5"/>
      <c r="O11154" s="5"/>
      <c r="P11154" s="5"/>
      <c r="Q11154" s="5"/>
      <c r="R11154" s="5"/>
      <c r="S11154" s="5"/>
      <c r="T11154" s="5"/>
      <c r="U11154" s="5"/>
      <c r="V11154" s="5"/>
      <c r="W11154" s="5"/>
      <c r="X11154" s="5"/>
      <c r="Y11154" s="5"/>
      <c r="Z11154" s="5"/>
    </row>
    <row r="11155" spans="1:26" ht="15" x14ac:dyDescent="0.25">
      <c r="A11155" s="4" t="s">
        <v>11152</v>
      </c>
      <c r="B11155" s="4" t="s">
        <v>9011</v>
      </c>
      <c r="C11155" s="2" t="str">
        <f ca="1">IFERROR(__xludf.DUMMYFUNCTION("GOOGLETRANSLATE(A11155,""bn"",""en"")"),"I will apply for a loan")</f>
        <v>I will apply for a loan</v>
      </c>
      <c r="D11155" s="5"/>
      <c r="E11155" s="5"/>
      <c r="F11155" s="5"/>
      <c r="G11155" s="5"/>
      <c r="H11155" s="5"/>
      <c r="I11155" s="5"/>
      <c r="J11155" s="5"/>
      <c r="K11155" s="5"/>
      <c r="L11155" s="5"/>
      <c r="M11155" s="5"/>
      <c r="N11155" s="5"/>
      <c r="O11155" s="5"/>
      <c r="P11155" s="5"/>
      <c r="Q11155" s="5"/>
      <c r="R11155" s="5"/>
      <c r="S11155" s="5"/>
      <c r="T11155" s="5"/>
      <c r="U11155" s="5"/>
      <c r="V11155" s="5"/>
      <c r="W11155" s="5"/>
      <c r="X11155" s="5"/>
      <c r="Y11155" s="5"/>
      <c r="Z11155" s="5"/>
    </row>
    <row r="11156" spans="1:26" ht="15" x14ac:dyDescent="0.25">
      <c r="A11156" s="4" t="s">
        <v>11153</v>
      </c>
      <c r="B11156" s="4" t="s">
        <v>9011</v>
      </c>
      <c r="C11156" s="2" t="str">
        <f ca="1">IFERROR(__xludf.DUMMYFUNCTION("GOOGLETRANSLATE(A11156,""bn"",""en"")"),"I will go to Kashmir")</f>
        <v>I will go to Kashmir</v>
      </c>
      <c r="D11156" s="5"/>
      <c r="E11156" s="5"/>
      <c r="F11156" s="5"/>
      <c r="G11156" s="5"/>
      <c r="H11156" s="5"/>
      <c r="I11156" s="5"/>
      <c r="J11156" s="5"/>
      <c r="K11156" s="5"/>
      <c r="L11156" s="5"/>
      <c r="M11156" s="5"/>
      <c r="N11156" s="5"/>
      <c r="O11156" s="5"/>
      <c r="P11156" s="5"/>
      <c r="Q11156" s="5"/>
      <c r="R11156" s="5"/>
      <c r="S11156" s="5"/>
      <c r="T11156" s="5"/>
      <c r="U11156" s="5"/>
      <c r="V11156" s="5"/>
      <c r="W11156" s="5"/>
      <c r="X11156" s="5"/>
      <c r="Y11156" s="5"/>
      <c r="Z11156" s="5"/>
    </row>
    <row r="11157" spans="1:26" ht="15" x14ac:dyDescent="0.25">
      <c r="A11157" s="4" t="s">
        <v>11154</v>
      </c>
      <c r="B11157" s="4" t="s">
        <v>9011</v>
      </c>
      <c r="C11157" s="2" t="str">
        <f ca="1">IFERROR(__xludf.DUMMYFUNCTION("GOOGLETRANSLATE(A11157,""bn"",""en"")"),"Development will begin")</f>
        <v>Development will begin</v>
      </c>
      <c r="D11157" s="5"/>
      <c r="E11157" s="5"/>
      <c r="F11157" s="5"/>
      <c r="G11157" s="5"/>
      <c r="H11157" s="5"/>
      <c r="I11157" s="5"/>
      <c r="J11157" s="5"/>
      <c r="K11157" s="5"/>
      <c r="L11157" s="5"/>
      <c r="M11157" s="5"/>
      <c r="N11157" s="5"/>
      <c r="O11157" s="5"/>
      <c r="P11157" s="5"/>
      <c r="Q11157" s="5"/>
      <c r="R11157" s="5"/>
      <c r="S11157" s="5"/>
      <c r="T11157" s="5"/>
      <c r="U11157" s="5"/>
      <c r="V11157" s="5"/>
      <c r="W11157" s="5"/>
      <c r="X11157" s="5"/>
      <c r="Y11157" s="5"/>
      <c r="Z11157" s="5"/>
    </row>
    <row r="11158" spans="1:26" ht="15" x14ac:dyDescent="0.25">
      <c r="A11158" s="4" t="s">
        <v>11155</v>
      </c>
      <c r="B11158" s="4" t="s">
        <v>9011</v>
      </c>
      <c r="C11158" s="2" t="str">
        <f ca="1">IFERROR(__xludf.DUMMYFUNCTION("GOOGLETRANSLATE(A11158,""bn"",""en"")"),"Work will continue to launch the development")</f>
        <v>Work will continue to launch the development</v>
      </c>
      <c r="D11158" s="5"/>
      <c r="E11158" s="5"/>
      <c r="F11158" s="5"/>
      <c r="G11158" s="5"/>
      <c r="H11158" s="5"/>
      <c r="I11158" s="5"/>
      <c r="J11158" s="5"/>
      <c r="K11158" s="5"/>
      <c r="L11158" s="5"/>
      <c r="M11158" s="5"/>
      <c r="N11158" s="5"/>
      <c r="O11158" s="5"/>
      <c r="P11158" s="5"/>
      <c r="Q11158" s="5"/>
      <c r="R11158" s="5"/>
      <c r="S11158" s="5"/>
      <c r="T11158" s="5"/>
      <c r="U11158" s="5"/>
      <c r="V11158" s="5"/>
      <c r="W11158" s="5"/>
      <c r="X11158" s="5"/>
      <c r="Y11158" s="5"/>
      <c r="Z11158" s="5"/>
    </row>
    <row r="11159" spans="1:26" ht="15" x14ac:dyDescent="0.25">
      <c r="A11159" s="4" t="s">
        <v>11156</v>
      </c>
      <c r="B11159" s="4" t="s">
        <v>9011</v>
      </c>
      <c r="C11159" s="2" t="str">
        <f ca="1">IFERROR(__xludf.DUMMYFUNCTION("GOOGLETRANSLATE(A11159,""bn"",""en"")"),"I will sing in anger")</f>
        <v>I will sing in anger</v>
      </c>
      <c r="D11159" s="5"/>
      <c r="E11159" s="5"/>
      <c r="F11159" s="5"/>
      <c r="G11159" s="5"/>
      <c r="H11159" s="5"/>
      <c r="I11159" s="5"/>
      <c r="J11159" s="5"/>
      <c r="K11159" s="5"/>
      <c r="L11159" s="5"/>
      <c r="M11159" s="5"/>
      <c r="N11159" s="5"/>
      <c r="O11159" s="5"/>
      <c r="P11159" s="5"/>
      <c r="Q11159" s="5"/>
      <c r="R11159" s="5"/>
      <c r="S11159" s="5"/>
      <c r="T11159" s="5"/>
      <c r="U11159" s="5"/>
      <c r="V11159" s="5"/>
      <c r="W11159" s="5"/>
      <c r="X11159" s="5"/>
      <c r="Y11159" s="5"/>
      <c r="Z11159" s="5"/>
    </row>
    <row r="11160" spans="1:26" ht="15" x14ac:dyDescent="0.25">
      <c r="A11160" s="4" t="s">
        <v>11157</v>
      </c>
      <c r="B11160" s="4" t="s">
        <v>9011</v>
      </c>
      <c r="C11160" s="2" t="str">
        <f ca="1">IFERROR(__xludf.DUMMYFUNCTION("GOOGLETRANSLATE(A11160,""bn"",""en"")"),"can share")</f>
        <v>can share</v>
      </c>
      <c r="D11160" s="5"/>
      <c r="E11160" s="5"/>
      <c r="F11160" s="5"/>
      <c r="G11160" s="5"/>
      <c r="H11160" s="5"/>
      <c r="I11160" s="5"/>
      <c r="J11160" s="5"/>
      <c r="K11160" s="5"/>
      <c r="L11160" s="5"/>
      <c r="M11160" s="5"/>
      <c r="N11160" s="5"/>
      <c r="O11160" s="5"/>
      <c r="P11160" s="5"/>
      <c r="Q11160" s="5"/>
      <c r="R11160" s="5"/>
      <c r="S11160" s="5"/>
      <c r="T11160" s="5"/>
      <c r="U11160" s="5"/>
      <c r="V11160" s="5"/>
      <c r="W11160" s="5"/>
      <c r="X11160" s="5"/>
      <c r="Y11160" s="5"/>
      <c r="Z11160" s="5"/>
    </row>
    <row r="11161" spans="1:26" ht="15" x14ac:dyDescent="0.25">
      <c r="A11161" s="4" t="s">
        <v>11158</v>
      </c>
      <c r="B11161" s="4" t="s">
        <v>9011</v>
      </c>
      <c r="C11161" s="2" t="str">
        <f ca="1">IFERROR(__xludf.DUMMYFUNCTION("GOOGLETRANSLATE(A11161,""bn"",""en"")"),"The player will try")</f>
        <v>The player will try</v>
      </c>
      <c r="D11161" s="5"/>
      <c r="E11161" s="5"/>
      <c r="F11161" s="5"/>
      <c r="G11161" s="5"/>
      <c r="H11161" s="5"/>
      <c r="I11161" s="5"/>
      <c r="J11161" s="5"/>
      <c r="K11161" s="5"/>
      <c r="L11161" s="5"/>
      <c r="M11161" s="5"/>
      <c r="N11161" s="5"/>
      <c r="O11161" s="5"/>
      <c r="P11161" s="5"/>
      <c r="Q11161" s="5"/>
      <c r="R11161" s="5"/>
      <c r="S11161" s="5"/>
      <c r="T11161" s="5"/>
      <c r="U11161" s="5"/>
      <c r="V11161" s="5"/>
      <c r="W11161" s="5"/>
      <c r="X11161" s="5"/>
      <c r="Y11161" s="5"/>
      <c r="Z11161" s="5"/>
    </row>
    <row r="11162" spans="1:26" ht="15" x14ac:dyDescent="0.25">
      <c r="A11162" s="4" t="s">
        <v>11159</v>
      </c>
      <c r="B11162" s="4" t="s">
        <v>9011</v>
      </c>
      <c r="C11162" s="2" t="str">
        <f ca="1">IFERROR(__xludf.DUMMYFUNCTION("GOOGLETRANSLATE(A11162,""bn"",""en"")"),"They will travel")</f>
        <v>They will travel</v>
      </c>
      <c r="D11162" s="5"/>
      <c r="E11162" s="5"/>
      <c r="F11162" s="5"/>
      <c r="G11162" s="5"/>
      <c r="H11162" s="5"/>
      <c r="I11162" s="5"/>
      <c r="J11162" s="5"/>
      <c r="K11162" s="5"/>
      <c r="L11162" s="5"/>
      <c r="M11162" s="5"/>
      <c r="N11162" s="5"/>
      <c r="O11162" s="5"/>
      <c r="P11162" s="5"/>
      <c r="Q11162" s="5"/>
      <c r="R11162" s="5"/>
      <c r="S11162" s="5"/>
      <c r="T11162" s="5"/>
      <c r="U11162" s="5"/>
      <c r="V11162" s="5"/>
      <c r="W11162" s="5"/>
      <c r="X11162" s="5"/>
      <c r="Y11162" s="5"/>
      <c r="Z11162" s="5"/>
    </row>
    <row r="11163" spans="1:26" ht="15" x14ac:dyDescent="0.25">
      <c r="A11163" s="4" t="s">
        <v>11160</v>
      </c>
      <c r="B11163" s="4" t="s">
        <v>9011</v>
      </c>
      <c r="C11163" s="2" t="str">
        <f ca="1">IFERROR(__xludf.DUMMYFUNCTION("GOOGLETRANSLATE(A11163,""bn"",""en"")"),"We will make cake")</f>
        <v>We will make cake</v>
      </c>
      <c r="D11163" s="5"/>
      <c r="E11163" s="5"/>
      <c r="F11163" s="5"/>
      <c r="G11163" s="5"/>
      <c r="H11163" s="5"/>
      <c r="I11163" s="5"/>
      <c r="J11163" s="5"/>
      <c r="K11163" s="5"/>
      <c r="L11163" s="5"/>
      <c r="M11163" s="5"/>
      <c r="N11163" s="5"/>
      <c r="O11163" s="5"/>
      <c r="P11163" s="5"/>
      <c r="Q11163" s="5"/>
      <c r="R11163" s="5"/>
      <c r="S11163" s="5"/>
      <c r="T11163" s="5"/>
      <c r="U11163" s="5"/>
      <c r="V11163" s="5"/>
      <c r="W11163" s="5"/>
      <c r="X11163" s="5"/>
      <c r="Y11163" s="5"/>
      <c r="Z11163" s="5"/>
    </row>
    <row r="11164" spans="1:26" ht="15" x14ac:dyDescent="0.25">
      <c r="A11164" s="4" t="s">
        <v>11161</v>
      </c>
      <c r="B11164" s="4" t="s">
        <v>9011</v>
      </c>
      <c r="C11164" s="2" t="str">
        <f ca="1">IFERROR(__xludf.DUMMYFUNCTION("GOOGLETRANSLATE(A11164,""bn"",""en"")"),"There will be shortage of food")</f>
        <v>There will be shortage of food</v>
      </c>
      <c r="D11164" s="5"/>
      <c r="E11164" s="5"/>
      <c r="F11164" s="5"/>
      <c r="G11164" s="5"/>
      <c r="H11164" s="5"/>
      <c r="I11164" s="5"/>
      <c r="J11164" s="5"/>
      <c r="K11164" s="5"/>
      <c r="L11164" s="5"/>
      <c r="M11164" s="5"/>
      <c r="N11164" s="5"/>
      <c r="O11164" s="5"/>
      <c r="P11164" s="5"/>
      <c r="Q11164" s="5"/>
      <c r="R11164" s="5"/>
      <c r="S11164" s="5"/>
      <c r="T11164" s="5"/>
      <c r="U11164" s="5"/>
      <c r="V11164" s="5"/>
      <c r="W11164" s="5"/>
      <c r="X11164" s="5"/>
      <c r="Y11164" s="5"/>
      <c r="Z11164" s="5"/>
    </row>
    <row r="11165" spans="1:26" ht="15" x14ac:dyDescent="0.25">
      <c r="A11165" s="4" t="s">
        <v>11162</v>
      </c>
      <c r="B11165" s="4" t="s">
        <v>9011</v>
      </c>
      <c r="C11165" s="2" t="str">
        <f ca="1">IFERROR(__xludf.DUMMYFUNCTION("GOOGLETRANSLATE(A11165,""bn"",""en"")"),"Famine will occur due to lack of food")</f>
        <v>Famine will occur due to lack of food</v>
      </c>
      <c r="D11165" s="5"/>
      <c r="E11165" s="5"/>
      <c r="F11165" s="5"/>
      <c r="G11165" s="5"/>
      <c r="H11165" s="5"/>
      <c r="I11165" s="5"/>
      <c r="J11165" s="5"/>
      <c r="K11165" s="5"/>
      <c r="L11165" s="5"/>
      <c r="M11165" s="5"/>
      <c r="N11165" s="5"/>
      <c r="O11165" s="5"/>
      <c r="P11165" s="5"/>
      <c r="Q11165" s="5"/>
      <c r="R11165" s="5"/>
      <c r="S11165" s="5"/>
      <c r="T11165" s="5"/>
      <c r="U11165" s="5"/>
      <c r="V11165" s="5"/>
      <c r="W11165" s="5"/>
      <c r="X11165" s="5"/>
      <c r="Y11165" s="5"/>
      <c r="Z11165" s="5"/>
    </row>
    <row r="11166" spans="1:26" ht="15" x14ac:dyDescent="0.25">
      <c r="A11166" s="4" t="s">
        <v>11163</v>
      </c>
      <c r="B11166" s="4" t="s">
        <v>9011</v>
      </c>
      <c r="C11166" s="2" t="str">
        <f ca="1">IFERROR(__xludf.DUMMYFUNCTION("GOOGLETRANSLATE(A11166,""bn"",""en"")"),"Stocks will increase in the market")</f>
        <v>Stocks will increase in the market</v>
      </c>
      <c r="D11166" s="5"/>
      <c r="E11166" s="5"/>
      <c r="F11166" s="5"/>
      <c r="G11166" s="5"/>
      <c r="H11166" s="5"/>
      <c r="I11166" s="5"/>
      <c r="J11166" s="5"/>
      <c r="K11166" s="5"/>
      <c r="L11166" s="5"/>
      <c r="M11166" s="5"/>
      <c r="N11166" s="5"/>
      <c r="O11166" s="5"/>
      <c r="P11166" s="5"/>
      <c r="Q11166" s="5"/>
      <c r="R11166" s="5"/>
      <c r="S11166" s="5"/>
      <c r="T11166" s="5"/>
      <c r="U11166" s="5"/>
      <c r="V11166" s="5"/>
      <c r="W11166" s="5"/>
      <c r="X11166" s="5"/>
      <c r="Y11166" s="5"/>
      <c r="Z11166" s="5"/>
    </row>
    <row r="11167" spans="1:26" ht="15" x14ac:dyDescent="0.25">
      <c r="A11167" s="4" t="s">
        <v>11164</v>
      </c>
      <c r="B11167" s="4" t="s">
        <v>9011</v>
      </c>
      <c r="C11167" s="2" t="str">
        <f ca="1">IFERROR(__xludf.DUMMYFUNCTION("GOOGLETRANSLATE(A11167,""bn"",""en"")"),"I will use the radio")</f>
        <v>I will use the radio</v>
      </c>
      <c r="D11167" s="5"/>
      <c r="E11167" s="5"/>
      <c r="F11167" s="5"/>
      <c r="G11167" s="5"/>
      <c r="H11167" s="5"/>
      <c r="I11167" s="5"/>
      <c r="J11167" s="5"/>
      <c r="K11167" s="5"/>
      <c r="L11167" s="5"/>
      <c r="M11167" s="5"/>
      <c r="N11167" s="5"/>
      <c r="O11167" s="5"/>
      <c r="P11167" s="5"/>
      <c r="Q11167" s="5"/>
      <c r="R11167" s="5"/>
      <c r="S11167" s="5"/>
      <c r="T11167" s="5"/>
      <c r="U11167" s="5"/>
      <c r="V11167" s="5"/>
      <c r="W11167" s="5"/>
      <c r="X11167" s="5"/>
      <c r="Y11167" s="5"/>
      <c r="Z11167" s="5"/>
    </row>
    <row r="11168" spans="1:26" ht="15" x14ac:dyDescent="0.25">
      <c r="A11168" s="4" t="s">
        <v>11165</v>
      </c>
      <c r="B11168" s="4" t="s">
        <v>9011</v>
      </c>
      <c r="C11168" s="2" t="str">
        <f ca="1">IFERROR(__xludf.DUMMYFUNCTION("GOOGLETRANSLATE(A11168,""bn"",""en"")"),"He will get sound")</f>
        <v>He will get sound</v>
      </c>
      <c r="D11168" s="5"/>
      <c r="E11168" s="5"/>
      <c r="F11168" s="5"/>
      <c r="G11168" s="5"/>
      <c r="H11168" s="5"/>
      <c r="I11168" s="5"/>
      <c r="J11168" s="5"/>
      <c r="K11168" s="5"/>
      <c r="L11168" s="5"/>
      <c r="M11168" s="5"/>
      <c r="N11168" s="5"/>
      <c r="O11168" s="5"/>
      <c r="P11168" s="5"/>
      <c r="Q11168" s="5"/>
      <c r="R11168" s="5"/>
      <c r="S11168" s="5"/>
      <c r="T11168" s="5"/>
      <c r="U11168" s="5"/>
      <c r="V11168" s="5"/>
      <c r="W11168" s="5"/>
      <c r="X11168" s="5"/>
      <c r="Y11168" s="5"/>
      <c r="Z11168" s="5"/>
    </row>
    <row r="11169" spans="1:26" ht="15" x14ac:dyDescent="0.25">
      <c r="A11169" s="4" t="s">
        <v>11166</v>
      </c>
      <c r="B11169" s="4" t="s">
        <v>9011</v>
      </c>
      <c r="C11169" s="2" t="str">
        <f ca="1">IFERROR(__xludf.DUMMYFUNCTION("GOOGLETRANSLATE(A11169,""bn"",""en"")"),"He will ride a bicycle")</f>
        <v>He will ride a bicycle</v>
      </c>
      <c r="D11169" s="5"/>
      <c r="E11169" s="5"/>
      <c r="F11169" s="5"/>
      <c r="G11169" s="5"/>
      <c r="H11169" s="5"/>
      <c r="I11169" s="5"/>
      <c r="J11169" s="5"/>
      <c r="K11169" s="5"/>
      <c r="L11169" s="5"/>
      <c r="M11169" s="5"/>
      <c r="N11169" s="5"/>
      <c r="O11169" s="5"/>
      <c r="P11169" s="5"/>
      <c r="Q11169" s="5"/>
      <c r="R11169" s="5"/>
      <c r="S11169" s="5"/>
      <c r="T11169" s="5"/>
      <c r="U11169" s="5"/>
      <c r="V11169" s="5"/>
      <c r="W11169" s="5"/>
      <c r="X11169" s="5"/>
      <c r="Y11169" s="5"/>
      <c r="Z11169" s="5"/>
    </row>
    <row r="11170" spans="1:26" ht="15" x14ac:dyDescent="0.25">
      <c r="A11170" s="4" t="s">
        <v>11167</v>
      </c>
      <c r="B11170" s="4" t="s">
        <v>9011</v>
      </c>
      <c r="C11170" s="2" t="str">
        <f ca="1">IFERROR(__xludf.DUMMYFUNCTION("GOOGLETRANSLATE(A11170,""bn"",""en"")"),"Software will be developed")</f>
        <v>Software will be developed</v>
      </c>
      <c r="D11170" s="5"/>
      <c r="E11170" s="5"/>
      <c r="F11170" s="5"/>
      <c r="G11170" s="5"/>
      <c r="H11170" s="5"/>
      <c r="I11170" s="5"/>
      <c r="J11170" s="5"/>
      <c r="K11170" s="5"/>
      <c r="L11170" s="5"/>
      <c r="M11170" s="5"/>
      <c r="N11170" s="5"/>
      <c r="O11170" s="5"/>
      <c r="P11170" s="5"/>
      <c r="Q11170" s="5"/>
      <c r="R11170" s="5"/>
      <c r="S11170" s="5"/>
      <c r="T11170" s="5"/>
      <c r="U11170" s="5"/>
      <c r="V11170" s="5"/>
      <c r="W11170" s="5"/>
      <c r="X11170" s="5"/>
      <c r="Y11170" s="5"/>
      <c r="Z11170" s="5"/>
    </row>
    <row r="11171" spans="1:26" ht="15" x14ac:dyDescent="0.25">
      <c r="A11171" s="4" t="s">
        <v>11168</v>
      </c>
      <c r="B11171" s="4" t="s">
        <v>9011</v>
      </c>
      <c r="C11171" s="2" t="str">
        <f ca="1">IFERROR(__xludf.DUMMYFUNCTION("GOOGLETRANSLATE(A11171,""bn"",""en"")"),"Now technology will increase")</f>
        <v>Now technology will increase</v>
      </c>
      <c r="D11171" s="5"/>
      <c r="E11171" s="5"/>
      <c r="F11171" s="5"/>
      <c r="G11171" s="5"/>
      <c r="H11171" s="5"/>
      <c r="I11171" s="5"/>
      <c r="J11171" s="5"/>
      <c r="K11171" s="5"/>
      <c r="L11171" s="5"/>
      <c r="M11171" s="5"/>
      <c r="N11171" s="5"/>
      <c r="O11171" s="5"/>
      <c r="P11171" s="5"/>
      <c r="Q11171" s="5"/>
      <c r="R11171" s="5"/>
      <c r="S11171" s="5"/>
      <c r="T11171" s="5"/>
      <c r="U11171" s="5"/>
      <c r="V11171" s="5"/>
      <c r="W11171" s="5"/>
      <c r="X11171" s="5"/>
      <c r="Y11171" s="5"/>
      <c r="Z11171" s="5"/>
    </row>
    <row r="11172" spans="1:26" ht="15" x14ac:dyDescent="0.25">
      <c r="A11172" s="4" t="s">
        <v>11169</v>
      </c>
      <c r="B11172" s="4" t="s">
        <v>9011</v>
      </c>
      <c r="C11172" s="2" t="str">
        <f ca="1">IFERROR(__xludf.DUMMYFUNCTION("GOOGLETRANSLATE(A11172,""bn"",""en"")"),"Ride a bicycle")</f>
        <v>Ride a bicycle</v>
      </c>
      <c r="D11172" s="5"/>
      <c r="E11172" s="5"/>
      <c r="F11172" s="5"/>
      <c r="G11172" s="5"/>
      <c r="H11172" s="5"/>
      <c r="I11172" s="5"/>
      <c r="J11172" s="5"/>
      <c r="K11172" s="5"/>
      <c r="L11172" s="5"/>
      <c r="M11172" s="5"/>
      <c r="N11172" s="5"/>
      <c r="O11172" s="5"/>
      <c r="P11172" s="5"/>
      <c r="Q11172" s="5"/>
      <c r="R11172" s="5"/>
      <c r="S11172" s="5"/>
      <c r="T11172" s="5"/>
      <c r="U11172" s="5"/>
      <c r="V11172" s="5"/>
      <c r="W11172" s="5"/>
      <c r="X11172" s="5"/>
      <c r="Y11172" s="5"/>
      <c r="Z11172" s="5"/>
    </row>
    <row r="11173" spans="1:26" ht="15" x14ac:dyDescent="0.25">
      <c r="A11173" s="4" t="s">
        <v>11170</v>
      </c>
      <c r="B11173" s="4" t="s">
        <v>9011</v>
      </c>
      <c r="C11173" s="2" t="str">
        <f ca="1">IFERROR(__xludf.DUMMYFUNCTION("GOOGLETRANSLATE(A11173,""bn"",""en"")"),"I will visit the college cafeteria")</f>
        <v>I will visit the college cafeteria</v>
      </c>
      <c r="D11173" s="5"/>
      <c r="E11173" s="5"/>
      <c r="F11173" s="5"/>
      <c r="G11173" s="5"/>
      <c r="H11173" s="5"/>
      <c r="I11173" s="5"/>
      <c r="J11173" s="5"/>
      <c r="K11173" s="5"/>
      <c r="L11173" s="5"/>
      <c r="M11173" s="5"/>
      <c r="N11173" s="5"/>
      <c r="O11173" s="5"/>
      <c r="P11173" s="5"/>
      <c r="Q11173" s="5"/>
      <c r="R11173" s="5"/>
      <c r="S11173" s="5"/>
      <c r="T11173" s="5"/>
      <c r="U11173" s="5"/>
      <c r="V11173" s="5"/>
      <c r="W11173" s="5"/>
      <c r="X11173" s="5"/>
      <c r="Y11173" s="5"/>
      <c r="Z11173" s="5"/>
    </row>
    <row r="11174" spans="1:26" ht="15" x14ac:dyDescent="0.25">
      <c r="A11174" s="4" t="s">
        <v>11171</v>
      </c>
      <c r="B11174" s="4" t="s">
        <v>9011</v>
      </c>
      <c r="C11174" s="2" t="str">
        <f ca="1">IFERROR(__xludf.DUMMYFUNCTION("GOOGLETRANSLATE(A11174,""bn"",""en"")"),"There will be a press conference")</f>
        <v>There will be a press conference</v>
      </c>
      <c r="D11174" s="5"/>
      <c r="E11174" s="5"/>
      <c r="F11174" s="5"/>
      <c r="G11174" s="5"/>
      <c r="H11174" s="5"/>
      <c r="I11174" s="5"/>
      <c r="J11174" s="5"/>
      <c r="K11174" s="5"/>
      <c r="L11174" s="5"/>
      <c r="M11174" s="5"/>
      <c r="N11174" s="5"/>
      <c r="O11174" s="5"/>
      <c r="P11174" s="5"/>
      <c r="Q11174" s="5"/>
      <c r="R11174" s="5"/>
      <c r="S11174" s="5"/>
      <c r="T11174" s="5"/>
      <c r="U11174" s="5"/>
      <c r="V11174" s="5"/>
      <c r="W11174" s="5"/>
      <c r="X11174" s="5"/>
      <c r="Y11174" s="5"/>
      <c r="Z11174" s="5"/>
    </row>
    <row r="11175" spans="1:26" ht="15" x14ac:dyDescent="0.25">
      <c r="A11175" s="4" t="s">
        <v>11172</v>
      </c>
      <c r="B11175" s="4" t="s">
        <v>9011</v>
      </c>
      <c r="C11175" s="2" t="str">
        <f ca="1">IFERROR(__xludf.DUMMYFUNCTION("GOOGLETRANSLATE(A11175,""bn"",""en"")"),"I love gadgets")</f>
        <v>I love gadgets</v>
      </c>
      <c r="D11175" s="5"/>
      <c r="E11175" s="5"/>
      <c r="F11175" s="5"/>
      <c r="G11175" s="5"/>
      <c r="H11175" s="5"/>
      <c r="I11175" s="5"/>
      <c r="J11175" s="5"/>
      <c r="K11175" s="5"/>
      <c r="L11175" s="5"/>
      <c r="M11175" s="5"/>
      <c r="N11175" s="5"/>
      <c r="O11175" s="5"/>
      <c r="P11175" s="5"/>
      <c r="Q11175" s="5"/>
      <c r="R11175" s="5"/>
      <c r="S11175" s="5"/>
      <c r="T11175" s="5"/>
      <c r="U11175" s="5"/>
      <c r="V11175" s="5"/>
      <c r="W11175" s="5"/>
      <c r="X11175" s="5"/>
      <c r="Y11175" s="5"/>
      <c r="Z11175" s="5"/>
    </row>
    <row r="11176" spans="1:26" ht="15" x14ac:dyDescent="0.25">
      <c r="A11176" s="4" t="s">
        <v>11173</v>
      </c>
      <c r="B11176" s="4" t="s">
        <v>9011</v>
      </c>
      <c r="C11176" s="2" t="str">
        <f ca="1">IFERROR(__xludf.DUMMYFUNCTION("GOOGLETRANSLATE(A11176,""bn"",""en"")"),"I will support")</f>
        <v>I will support</v>
      </c>
      <c r="D11176" s="5"/>
      <c r="E11176" s="5"/>
      <c r="F11176" s="5"/>
      <c r="G11176" s="5"/>
      <c r="H11176" s="5"/>
      <c r="I11176" s="5"/>
      <c r="J11176" s="5"/>
      <c r="K11176" s="5"/>
      <c r="L11176" s="5"/>
      <c r="M11176" s="5"/>
      <c r="N11176" s="5"/>
      <c r="O11176" s="5"/>
      <c r="P11176" s="5"/>
      <c r="Q11176" s="5"/>
      <c r="R11176" s="5"/>
      <c r="S11176" s="5"/>
      <c r="T11176" s="5"/>
      <c r="U11176" s="5"/>
      <c r="V11176" s="5"/>
      <c r="W11176" s="5"/>
      <c r="X11176" s="5"/>
      <c r="Y11176" s="5"/>
      <c r="Z11176" s="5"/>
    </row>
    <row r="11177" spans="1:26" ht="15" x14ac:dyDescent="0.25">
      <c r="A11177" s="4" t="s">
        <v>11174</v>
      </c>
      <c r="B11177" s="4" t="s">
        <v>9011</v>
      </c>
      <c r="C11177" s="2" t="str">
        <f ca="1">IFERROR(__xludf.DUMMYFUNCTION("GOOGLETRANSLATE(A11177,""bn"",""en"")"),"Money will be exchanged")</f>
        <v>Money will be exchanged</v>
      </c>
      <c r="D11177" s="5"/>
      <c r="E11177" s="5"/>
      <c r="F11177" s="5"/>
      <c r="G11177" s="5"/>
      <c r="H11177" s="5"/>
      <c r="I11177" s="5"/>
      <c r="J11177" s="5"/>
      <c r="K11177" s="5"/>
      <c r="L11177" s="5"/>
      <c r="M11177" s="5"/>
      <c r="N11177" s="5"/>
      <c r="O11177" s="5"/>
      <c r="P11177" s="5"/>
      <c r="Q11177" s="5"/>
      <c r="R11177" s="5"/>
      <c r="S11177" s="5"/>
      <c r="T11177" s="5"/>
      <c r="U11177" s="5"/>
      <c r="V11177" s="5"/>
      <c r="W11177" s="5"/>
      <c r="X11177" s="5"/>
      <c r="Y11177" s="5"/>
      <c r="Z11177" s="5"/>
    </row>
    <row r="11178" spans="1:26" ht="15" x14ac:dyDescent="0.25">
      <c r="A11178" s="4" t="s">
        <v>11175</v>
      </c>
      <c r="B11178" s="4" t="s">
        <v>9011</v>
      </c>
      <c r="C11178" s="2" t="str">
        <f ca="1">IFERROR(__xludf.DUMMYFUNCTION("GOOGLETRANSLATE(A11178,""bn"",""en"")"),"They will read books")</f>
        <v>They will read books</v>
      </c>
      <c r="D11178" s="5"/>
      <c r="E11178" s="5"/>
      <c r="F11178" s="5"/>
      <c r="G11178" s="5"/>
      <c r="H11178" s="5"/>
      <c r="I11178" s="5"/>
      <c r="J11178" s="5"/>
      <c r="K11178" s="5"/>
      <c r="L11178" s="5"/>
      <c r="M11178" s="5"/>
      <c r="N11178" s="5"/>
      <c r="O11178" s="5"/>
      <c r="P11178" s="5"/>
      <c r="Q11178" s="5"/>
      <c r="R11178" s="5"/>
      <c r="S11178" s="5"/>
      <c r="T11178" s="5"/>
      <c r="U11178" s="5"/>
      <c r="V11178" s="5"/>
      <c r="W11178" s="5"/>
      <c r="X11178" s="5"/>
      <c r="Y11178" s="5"/>
      <c r="Z11178" s="5"/>
    </row>
    <row r="11179" spans="1:26" ht="15" x14ac:dyDescent="0.25">
      <c r="A11179" s="4" t="s">
        <v>11176</v>
      </c>
      <c r="B11179" s="4" t="s">
        <v>9011</v>
      </c>
      <c r="C11179" s="2" t="str">
        <f ca="1">IFERROR(__xludf.DUMMYFUNCTION("GOOGLETRANSLATE(A11179,""bn"",""en"")"),"They will go to collect books")</f>
        <v>They will go to collect books</v>
      </c>
      <c r="D11179" s="5"/>
      <c r="E11179" s="5"/>
      <c r="F11179" s="5"/>
      <c r="G11179" s="5"/>
      <c r="H11179" s="5"/>
      <c r="I11179" s="5"/>
      <c r="J11179" s="5"/>
      <c r="K11179" s="5"/>
      <c r="L11179" s="5"/>
      <c r="M11179" s="5"/>
      <c r="N11179" s="5"/>
      <c r="O11179" s="5"/>
      <c r="P11179" s="5"/>
      <c r="Q11179" s="5"/>
      <c r="R11179" s="5"/>
      <c r="S11179" s="5"/>
      <c r="T11179" s="5"/>
      <c r="U11179" s="5"/>
      <c r="V11179" s="5"/>
      <c r="W11179" s="5"/>
      <c r="X11179" s="5"/>
      <c r="Y11179" s="5"/>
      <c r="Z11179" s="5"/>
    </row>
    <row r="11180" spans="1:26" ht="15" x14ac:dyDescent="0.25">
      <c r="A11180" s="4" t="s">
        <v>11177</v>
      </c>
      <c r="B11180" s="4" t="s">
        <v>9011</v>
      </c>
      <c r="C11180" s="2" t="str">
        <f ca="1">IFERROR(__xludf.DUMMYFUNCTION("GOOGLETRANSLATE(A11180,""bn"",""en"")"),"There will be a basketball match")</f>
        <v>There will be a basketball match</v>
      </c>
      <c r="D11180" s="5"/>
      <c r="E11180" s="5"/>
      <c r="F11180" s="5"/>
      <c r="G11180" s="5"/>
      <c r="H11180" s="5"/>
      <c r="I11180" s="5"/>
      <c r="J11180" s="5"/>
      <c r="K11180" s="5"/>
      <c r="L11180" s="5"/>
      <c r="M11180" s="5"/>
      <c r="N11180" s="5"/>
      <c r="O11180" s="5"/>
      <c r="P11180" s="5"/>
      <c r="Q11180" s="5"/>
      <c r="R11180" s="5"/>
      <c r="S11180" s="5"/>
      <c r="T11180" s="5"/>
      <c r="U11180" s="5"/>
      <c r="V11180" s="5"/>
      <c r="W11180" s="5"/>
      <c r="X11180" s="5"/>
      <c r="Y11180" s="5"/>
      <c r="Z11180" s="5"/>
    </row>
    <row r="11181" spans="1:26" ht="15" x14ac:dyDescent="0.25">
      <c r="A11181" s="4" t="s">
        <v>11178</v>
      </c>
      <c r="B11181" s="4" t="s">
        <v>9011</v>
      </c>
      <c r="C11181" s="2" t="str">
        <f ca="1">IFERROR(__xludf.DUMMYFUNCTION("GOOGLETRANSLATE(A11181,""bn"",""en"")"),"The sailors will be on the boat")</f>
        <v>The sailors will be on the boat</v>
      </c>
      <c r="D11181" s="5"/>
      <c r="E11181" s="5"/>
      <c r="F11181" s="5"/>
      <c r="G11181" s="5"/>
      <c r="H11181" s="5"/>
      <c r="I11181" s="5"/>
      <c r="J11181" s="5"/>
      <c r="K11181" s="5"/>
      <c r="L11181" s="5"/>
      <c r="M11181" s="5"/>
      <c r="N11181" s="5"/>
      <c r="O11181" s="5"/>
      <c r="P11181" s="5"/>
      <c r="Q11181" s="5"/>
      <c r="R11181" s="5"/>
      <c r="S11181" s="5"/>
      <c r="T11181" s="5"/>
      <c r="U11181" s="5"/>
      <c r="V11181" s="5"/>
      <c r="W11181" s="5"/>
      <c r="X11181" s="5"/>
      <c r="Y11181" s="5"/>
      <c r="Z11181" s="5"/>
    </row>
    <row r="11182" spans="1:26" ht="15" x14ac:dyDescent="0.25">
      <c r="A11182" s="4" t="s">
        <v>11179</v>
      </c>
      <c r="B11182" s="4" t="s">
        <v>9011</v>
      </c>
      <c r="C11182" s="2" t="str">
        <f ca="1">IFERROR(__xludf.DUMMYFUNCTION("GOOGLETRANSLATE(A11182,""bn"",""en"")"),"People will do politics")</f>
        <v>People will do politics</v>
      </c>
      <c r="D11182" s="5"/>
      <c r="E11182" s="5"/>
      <c r="F11182" s="5"/>
      <c r="G11182" s="5"/>
      <c r="H11182" s="5"/>
      <c r="I11182" s="5"/>
      <c r="J11182" s="5"/>
      <c r="K11182" s="5"/>
      <c r="L11182" s="5"/>
      <c r="M11182" s="5"/>
      <c r="N11182" s="5"/>
      <c r="O11182" s="5"/>
      <c r="P11182" s="5"/>
      <c r="Q11182" s="5"/>
      <c r="R11182" s="5"/>
      <c r="S11182" s="5"/>
      <c r="T11182" s="5"/>
      <c r="U11182" s="5"/>
      <c r="V11182" s="5"/>
      <c r="W11182" s="5"/>
      <c r="X11182" s="5"/>
      <c r="Y11182" s="5"/>
      <c r="Z11182" s="5"/>
    </row>
    <row r="11183" spans="1:26" ht="15" x14ac:dyDescent="0.25">
      <c r="A11183" s="4" t="s">
        <v>11180</v>
      </c>
      <c r="B11183" s="4" t="s">
        <v>9011</v>
      </c>
      <c r="C11183" s="2" t="str">
        <f ca="1">IFERROR(__xludf.DUMMYFUNCTION("GOOGLETRANSLATE(A11183,""bn"",""en"")"),"We will buy fruit")</f>
        <v>We will buy fruit</v>
      </c>
      <c r="D11183" s="5"/>
      <c r="E11183" s="5"/>
      <c r="F11183" s="5"/>
      <c r="G11183" s="5"/>
      <c r="H11183" s="5"/>
      <c r="I11183" s="5"/>
      <c r="J11183" s="5"/>
      <c r="K11183" s="5"/>
      <c r="L11183" s="5"/>
      <c r="M11183" s="5"/>
      <c r="N11183" s="5"/>
      <c r="O11183" s="5"/>
      <c r="P11183" s="5"/>
      <c r="Q11183" s="5"/>
      <c r="R11183" s="5"/>
      <c r="S11183" s="5"/>
      <c r="T11183" s="5"/>
      <c r="U11183" s="5"/>
      <c r="V11183" s="5"/>
      <c r="W11183" s="5"/>
      <c r="X11183" s="5"/>
      <c r="Y11183" s="5"/>
      <c r="Z11183" s="5"/>
    </row>
    <row r="11184" spans="1:26" ht="15" x14ac:dyDescent="0.25">
      <c r="A11184" s="4" t="s">
        <v>11181</v>
      </c>
      <c r="B11184" s="4" t="s">
        <v>9011</v>
      </c>
      <c r="C11184" s="2" t="str">
        <f ca="1">IFERROR(__xludf.DUMMYFUNCTION("GOOGLETRANSLATE(A11184,""bn"",""en"")"),"I will give food to the hungry")</f>
        <v>I will give food to the hungry</v>
      </c>
      <c r="D11184" s="5"/>
      <c r="E11184" s="5"/>
      <c r="F11184" s="5"/>
      <c r="G11184" s="5"/>
      <c r="H11184" s="5"/>
      <c r="I11184" s="5"/>
      <c r="J11184" s="5"/>
      <c r="K11184" s="5"/>
      <c r="L11184" s="5"/>
      <c r="M11184" s="5"/>
      <c r="N11184" s="5"/>
      <c r="O11184" s="5"/>
      <c r="P11184" s="5"/>
      <c r="Q11184" s="5"/>
      <c r="R11184" s="5"/>
      <c r="S11184" s="5"/>
      <c r="T11184" s="5"/>
      <c r="U11184" s="5"/>
      <c r="V11184" s="5"/>
      <c r="W11184" s="5"/>
      <c r="X11184" s="5"/>
      <c r="Y11184" s="5"/>
      <c r="Z11184" s="5"/>
    </row>
    <row r="11185" spans="1:26" ht="15" x14ac:dyDescent="0.25">
      <c r="A11185" s="4" t="s">
        <v>11182</v>
      </c>
      <c r="B11185" s="4" t="s">
        <v>9011</v>
      </c>
      <c r="C11185" s="2" t="str">
        <f ca="1">IFERROR(__xludf.DUMMYFUNCTION("GOOGLETRANSLATE(A11185,""bn"",""en"")"),"GPS will turn on")</f>
        <v>GPS will turn on</v>
      </c>
      <c r="D11185" s="5"/>
      <c r="E11185" s="5"/>
      <c r="F11185" s="5"/>
      <c r="G11185" s="5"/>
      <c r="H11185" s="5"/>
      <c r="I11185" s="5"/>
      <c r="J11185" s="5"/>
      <c r="K11185" s="5"/>
      <c r="L11185" s="5"/>
      <c r="M11185" s="5"/>
      <c r="N11185" s="5"/>
      <c r="O11185" s="5"/>
      <c r="P11185" s="5"/>
      <c r="Q11185" s="5"/>
      <c r="R11185" s="5"/>
      <c r="S11185" s="5"/>
      <c r="T11185" s="5"/>
      <c r="U11185" s="5"/>
      <c r="V11185" s="5"/>
      <c r="W11185" s="5"/>
      <c r="X11185" s="5"/>
      <c r="Y11185" s="5"/>
      <c r="Z11185" s="5"/>
    </row>
    <row r="11186" spans="1:26" ht="15" x14ac:dyDescent="0.25">
      <c r="A11186" s="4" t="s">
        <v>11183</v>
      </c>
      <c r="B11186" s="4" t="s">
        <v>9011</v>
      </c>
      <c r="C11186" s="2" t="str">
        <f ca="1">IFERROR(__xludf.DUMMYFUNCTION("GOOGLETRANSLATE(A11186,""bn"",""en"")"),"I will continue to read the story")</f>
        <v>I will continue to read the story</v>
      </c>
      <c r="D11186" s="5"/>
      <c r="E11186" s="5"/>
      <c r="F11186" s="5"/>
      <c r="G11186" s="5"/>
      <c r="H11186" s="5"/>
      <c r="I11186" s="5"/>
      <c r="J11186" s="5"/>
      <c r="K11186" s="5"/>
      <c r="L11186" s="5"/>
      <c r="M11186" s="5"/>
      <c r="N11186" s="5"/>
      <c r="O11186" s="5"/>
      <c r="P11186" s="5"/>
      <c r="Q11186" s="5"/>
      <c r="R11186" s="5"/>
      <c r="S11186" s="5"/>
      <c r="T11186" s="5"/>
      <c r="U11186" s="5"/>
      <c r="V11186" s="5"/>
      <c r="W11186" s="5"/>
      <c r="X11186" s="5"/>
      <c r="Y11186" s="5"/>
      <c r="Z11186" s="5"/>
    </row>
    <row r="11187" spans="1:26" ht="15" x14ac:dyDescent="0.25">
      <c r="A11187" s="4" t="s">
        <v>11184</v>
      </c>
      <c r="B11187" s="4" t="s">
        <v>9011</v>
      </c>
      <c r="C11187" s="2" t="str">
        <f ca="1">IFERROR(__xludf.DUMMYFUNCTION("GOOGLETRANSLATE(A11187,""bn"",""en"")"),"I will check the balance")</f>
        <v>I will check the balance</v>
      </c>
      <c r="D11187" s="5"/>
      <c r="E11187" s="5"/>
      <c r="F11187" s="5"/>
      <c r="G11187" s="5"/>
      <c r="H11187" s="5"/>
      <c r="I11187" s="5"/>
      <c r="J11187" s="5"/>
      <c r="K11187" s="5"/>
      <c r="L11187" s="5"/>
      <c r="M11187" s="5"/>
      <c r="N11187" s="5"/>
      <c r="O11187" s="5"/>
      <c r="P11187" s="5"/>
      <c r="Q11187" s="5"/>
      <c r="R11187" s="5"/>
      <c r="S11187" s="5"/>
      <c r="T11187" s="5"/>
      <c r="U11187" s="5"/>
      <c r="V11187" s="5"/>
      <c r="W11187" s="5"/>
      <c r="X11187" s="5"/>
      <c r="Y11187" s="5"/>
      <c r="Z11187" s="5"/>
    </row>
    <row r="11188" spans="1:26" ht="15" x14ac:dyDescent="0.25">
      <c r="A11188" s="4" t="s">
        <v>11185</v>
      </c>
      <c r="B11188" s="4" t="s">
        <v>9011</v>
      </c>
      <c r="C11188" s="2" t="str">
        <f ca="1">IFERROR(__xludf.DUMMYFUNCTION("GOOGLETRANSLATE(A11188,""bn"",""en"")"),"I will browse google")</f>
        <v>I will browse google</v>
      </c>
      <c r="D11188" s="5"/>
      <c r="E11188" s="5"/>
      <c r="F11188" s="5"/>
      <c r="G11188" s="5"/>
      <c r="H11188" s="5"/>
      <c r="I11188" s="5"/>
      <c r="J11188" s="5"/>
      <c r="K11188" s="5"/>
      <c r="L11188" s="5"/>
      <c r="M11188" s="5"/>
      <c r="N11188" s="5"/>
      <c r="O11188" s="5"/>
      <c r="P11188" s="5"/>
      <c r="Q11188" s="5"/>
      <c r="R11188" s="5"/>
      <c r="S11188" s="5"/>
      <c r="T11188" s="5"/>
      <c r="U11188" s="5"/>
      <c r="V11188" s="5"/>
      <c r="W11188" s="5"/>
      <c r="X11188" s="5"/>
      <c r="Y11188" s="5"/>
      <c r="Z11188" s="5"/>
    </row>
    <row r="11189" spans="1:26" ht="15" x14ac:dyDescent="0.25">
      <c r="A11189" s="4" t="s">
        <v>11186</v>
      </c>
      <c r="B11189" s="4" t="s">
        <v>9011</v>
      </c>
      <c r="C11189" s="2" t="str">
        <f ca="1">IFERROR(__xludf.DUMMYFUNCTION("GOOGLETRANSLATE(A11189,""bn"",""en"")"),"Determine strategy")</f>
        <v>Determine strategy</v>
      </c>
      <c r="D11189" s="5"/>
      <c r="E11189" s="5"/>
      <c r="F11189" s="5"/>
      <c r="G11189" s="5"/>
      <c r="H11189" s="5"/>
      <c r="I11189" s="5"/>
      <c r="J11189" s="5"/>
      <c r="K11189" s="5"/>
      <c r="L11189" s="5"/>
      <c r="M11189" s="5"/>
      <c r="N11189" s="5"/>
      <c r="O11189" s="5"/>
      <c r="P11189" s="5"/>
      <c r="Q11189" s="5"/>
      <c r="R11189" s="5"/>
      <c r="S11189" s="5"/>
      <c r="T11189" s="5"/>
      <c r="U11189" s="5"/>
      <c r="V11189" s="5"/>
      <c r="W11189" s="5"/>
      <c r="X11189" s="5"/>
      <c r="Y11189" s="5"/>
      <c r="Z11189" s="5"/>
    </row>
    <row r="11190" spans="1:26" ht="15" x14ac:dyDescent="0.25">
      <c r="A11190" s="4" t="s">
        <v>11187</v>
      </c>
      <c r="B11190" s="4" t="s">
        <v>9011</v>
      </c>
      <c r="C11190" s="2" t="str">
        <f ca="1">IFERROR(__xludf.DUMMYFUNCTION("GOOGLETRANSLATE(A11190,""bn"",""en"")"),"The router will be set")</f>
        <v>The router will be set</v>
      </c>
      <c r="D11190" s="5"/>
      <c r="E11190" s="5"/>
      <c r="F11190" s="5"/>
      <c r="G11190" s="5"/>
      <c r="H11190" s="5"/>
      <c r="I11190" s="5"/>
      <c r="J11190" s="5"/>
      <c r="K11190" s="5"/>
      <c r="L11190" s="5"/>
      <c r="M11190" s="5"/>
      <c r="N11190" s="5"/>
      <c r="O11190" s="5"/>
      <c r="P11190" s="5"/>
      <c r="Q11190" s="5"/>
      <c r="R11190" s="5"/>
      <c r="S11190" s="5"/>
      <c r="T11190" s="5"/>
      <c r="U11190" s="5"/>
      <c r="V11190" s="5"/>
      <c r="W11190" s="5"/>
      <c r="X11190" s="5"/>
      <c r="Y11190" s="5"/>
      <c r="Z11190" s="5"/>
    </row>
    <row r="11191" spans="1:26" ht="15" x14ac:dyDescent="0.25">
      <c r="A11191" s="4" t="s">
        <v>11188</v>
      </c>
      <c r="B11191" s="4" t="s">
        <v>9011</v>
      </c>
      <c r="C11191" s="2" t="str">
        <f ca="1">IFERROR(__xludf.DUMMYFUNCTION("GOOGLETRANSLATE(A11191,""bn"",""en"")"),"I will continue to watch cricket")</f>
        <v>I will continue to watch cricket</v>
      </c>
      <c r="D11191" s="5"/>
      <c r="E11191" s="5"/>
      <c r="F11191" s="5"/>
      <c r="G11191" s="5"/>
      <c r="H11191" s="5"/>
      <c r="I11191" s="5"/>
      <c r="J11191" s="5"/>
      <c r="K11191" s="5"/>
      <c r="L11191" s="5"/>
      <c r="M11191" s="5"/>
      <c r="N11191" s="5"/>
      <c r="O11191" s="5"/>
      <c r="P11191" s="5"/>
      <c r="Q11191" s="5"/>
      <c r="R11191" s="5"/>
      <c r="S11191" s="5"/>
      <c r="T11191" s="5"/>
      <c r="U11191" s="5"/>
      <c r="V11191" s="5"/>
      <c r="W11191" s="5"/>
      <c r="X11191" s="5"/>
      <c r="Y11191" s="5"/>
      <c r="Z11191" s="5"/>
    </row>
    <row r="11192" spans="1:26" ht="15" x14ac:dyDescent="0.25">
      <c r="A11192" s="4" t="s">
        <v>11189</v>
      </c>
      <c r="B11192" s="4" t="s">
        <v>9011</v>
      </c>
      <c r="C11192" s="2" t="str">
        <f ca="1">IFERROR(__xludf.DUMMYFUNCTION("GOOGLETRANSLATE(A11192,""bn"",""en"")"),"People will get help")</f>
        <v>People will get help</v>
      </c>
      <c r="D11192" s="5"/>
      <c r="E11192" s="5"/>
      <c r="F11192" s="5"/>
      <c r="G11192" s="5"/>
      <c r="H11192" s="5"/>
      <c r="I11192" s="5"/>
      <c r="J11192" s="5"/>
      <c r="K11192" s="5"/>
      <c r="L11192" s="5"/>
      <c r="M11192" s="5"/>
      <c r="N11192" s="5"/>
      <c r="O11192" s="5"/>
      <c r="P11192" s="5"/>
      <c r="Q11192" s="5"/>
      <c r="R11192" s="5"/>
      <c r="S11192" s="5"/>
      <c r="T11192" s="5"/>
      <c r="U11192" s="5"/>
      <c r="V11192" s="5"/>
      <c r="W11192" s="5"/>
      <c r="X11192" s="5"/>
      <c r="Y11192" s="5"/>
      <c r="Z11192" s="5"/>
    </row>
    <row r="11193" spans="1:26" ht="15" x14ac:dyDescent="0.25">
      <c r="A11193" s="4" t="s">
        <v>11190</v>
      </c>
      <c r="B11193" s="4" t="s">
        <v>9011</v>
      </c>
      <c r="C11193" s="2" t="str">
        <f ca="1">IFERROR(__xludf.DUMMYFUNCTION("GOOGLETRANSLATE(A11193,""bn"",""en"")"),"Teams will be meeting")</f>
        <v>Teams will be meeting</v>
      </c>
      <c r="D11193" s="5"/>
      <c r="E11193" s="5"/>
      <c r="F11193" s="5"/>
      <c r="G11193" s="5"/>
      <c r="H11193" s="5"/>
      <c r="I11193" s="5"/>
      <c r="J11193" s="5"/>
      <c r="K11193" s="5"/>
      <c r="L11193" s="5"/>
      <c r="M11193" s="5"/>
      <c r="N11193" s="5"/>
      <c r="O11193" s="5"/>
      <c r="P11193" s="5"/>
      <c r="Q11193" s="5"/>
      <c r="R11193" s="5"/>
      <c r="S11193" s="5"/>
      <c r="T11193" s="5"/>
      <c r="U11193" s="5"/>
      <c r="V11193" s="5"/>
      <c r="W11193" s="5"/>
      <c r="X11193" s="5"/>
      <c r="Y11193" s="5"/>
      <c r="Z11193" s="5"/>
    </row>
    <row r="11194" spans="1:26" ht="15" x14ac:dyDescent="0.25">
      <c r="A11194" s="4" t="s">
        <v>11191</v>
      </c>
      <c r="B11194" s="4" t="s">
        <v>9011</v>
      </c>
      <c r="C11194" s="2" t="str">
        <f ca="1">IFERROR(__xludf.DUMMYFUNCTION("GOOGLETRANSLATE(A11194,""bn"",""en"")"),"I will come to open the account")</f>
        <v>I will come to open the account</v>
      </c>
      <c r="D11194" s="5"/>
      <c r="E11194" s="5"/>
      <c r="F11194" s="5"/>
      <c r="G11194" s="5"/>
      <c r="H11194" s="5"/>
      <c r="I11194" s="5"/>
      <c r="J11194" s="5"/>
      <c r="K11194" s="5"/>
      <c r="L11194" s="5"/>
      <c r="M11194" s="5"/>
      <c r="N11194" s="5"/>
      <c r="O11194" s="5"/>
      <c r="P11194" s="5"/>
      <c r="Q11194" s="5"/>
      <c r="R11194" s="5"/>
      <c r="S11194" s="5"/>
      <c r="T11194" s="5"/>
      <c r="U11194" s="5"/>
      <c r="V11194" s="5"/>
      <c r="W11194" s="5"/>
      <c r="X11194" s="5"/>
      <c r="Y11194" s="5"/>
      <c r="Z11194" s="5"/>
    </row>
    <row r="11195" spans="1:26" ht="15" x14ac:dyDescent="0.25">
      <c r="A11195" s="4" t="s">
        <v>11192</v>
      </c>
      <c r="B11195" s="4" t="s">
        <v>9011</v>
      </c>
      <c r="C11195" s="2" t="str">
        <f ca="1">IFERROR(__xludf.DUMMYFUNCTION("GOOGLETRANSLATE(A11195,""bn"",""en"")"),"Data will be analyzed")</f>
        <v>Data will be analyzed</v>
      </c>
      <c r="D11195" s="5"/>
      <c r="E11195" s="5"/>
      <c r="F11195" s="5"/>
      <c r="G11195" s="5"/>
      <c r="H11195" s="5"/>
      <c r="I11195" s="5"/>
      <c r="J11195" s="5"/>
      <c r="K11195" s="5"/>
      <c r="L11195" s="5"/>
      <c r="M11195" s="5"/>
      <c r="N11195" s="5"/>
      <c r="O11195" s="5"/>
      <c r="P11195" s="5"/>
      <c r="Q11195" s="5"/>
      <c r="R11195" s="5"/>
      <c r="S11195" s="5"/>
      <c r="T11195" s="5"/>
      <c r="U11195" s="5"/>
      <c r="V11195" s="5"/>
      <c r="W11195" s="5"/>
      <c r="X11195" s="5"/>
      <c r="Y11195" s="5"/>
      <c r="Z11195" s="5"/>
    </row>
    <row r="11196" spans="1:26" ht="15" x14ac:dyDescent="0.25">
      <c r="A11196" s="4" t="s">
        <v>11193</v>
      </c>
      <c r="B11196" s="4" t="s">
        <v>9011</v>
      </c>
      <c r="C11196" s="2" t="str">
        <f ca="1">IFERROR(__xludf.DUMMYFUNCTION("GOOGLETRANSLATE(A11196,""bn"",""en"")"),"He will buy rice")</f>
        <v>He will buy rice</v>
      </c>
      <c r="D11196" s="5"/>
      <c r="E11196" s="5"/>
      <c r="F11196" s="5"/>
      <c r="G11196" s="5"/>
      <c r="H11196" s="5"/>
      <c r="I11196" s="5"/>
      <c r="J11196" s="5"/>
      <c r="K11196" s="5"/>
      <c r="L11196" s="5"/>
      <c r="M11196" s="5"/>
      <c r="N11196" s="5"/>
      <c r="O11196" s="5"/>
      <c r="P11196" s="5"/>
      <c r="Q11196" s="5"/>
      <c r="R11196" s="5"/>
      <c r="S11196" s="5"/>
      <c r="T11196" s="5"/>
      <c r="U11196" s="5"/>
      <c r="V11196" s="5"/>
      <c r="W11196" s="5"/>
      <c r="X11196" s="5"/>
      <c r="Y11196" s="5"/>
      <c r="Z11196" s="5"/>
    </row>
    <row r="11197" spans="1:26" ht="15" x14ac:dyDescent="0.25">
      <c r="A11197" s="4" t="s">
        <v>11194</v>
      </c>
      <c r="B11197" s="4" t="s">
        <v>9011</v>
      </c>
      <c r="C11197" s="2" t="str">
        <f ca="1">IFERROR(__xludf.DUMMYFUNCTION("GOOGLETRANSLATE(A11197,""bn"",""en"")"),"I will go to the bank")</f>
        <v>I will go to the bank</v>
      </c>
      <c r="D11197" s="5"/>
      <c r="E11197" s="5"/>
      <c r="F11197" s="5"/>
      <c r="G11197" s="5"/>
      <c r="H11197" s="5"/>
      <c r="I11197" s="5"/>
      <c r="J11197" s="5"/>
      <c r="K11197" s="5"/>
      <c r="L11197" s="5"/>
      <c r="M11197" s="5"/>
      <c r="N11197" s="5"/>
      <c r="O11197" s="5"/>
      <c r="P11197" s="5"/>
      <c r="Q11197" s="5"/>
      <c r="R11197" s="5"/>
      <c r="S11197" s="5"/>
      <c r="T11197" s="5"/>
      <c r="U11197" s="5"/>
      <c r="V11197" s="5"/>
      <c r="W11197" s="5"/>
      <c r="X11197" s="5"/>
      <c r="Y11197" s="5"/>
      <c r="Z11197" s="5"/>
    </row>
    <row r="11198" spans="1:26" ht="15" x14ac:dyDescent="0.25">
      <c r="A11198" s="4" t="s">
        <v>11195</v>
      </c>
      <c r="B11198" s="4" t="s">
        <v>9011</v>
      </c>
      <c r="C11198" s="2" t="str">
        <f ca="1">IFERROR(__xludf.DUMMYFUNCTION("GOOGLETRANSLATE(A11198,""bn"",""en"")"),"The film will be analyzed")</f>
        <v>The film will be analyzed</v>
      </c>
      <c r="D11198" s="5"/>
      <c r="E11198" s="5"/>
      <c r="F11198" s="5"/>
      <c r="G11198" s="5"/>
      <c r="H11198" s="5"/>
      <c r="I11198" s="5"/>
      <c r="J11198" s="5"/>
      <c r="K11198" s="5"/>
      <c r="L11198" s="5"/>
      <c r="M11198" s="5"/>
      <c r="N11198" s="5"/>
      <c r="O11198" s="5"/>
      <c r="P11198" s="5"/>
      <c r="Q11198" s="5"/>
      <c r="R11198" s="5"/>
      <c r="S11198" s="5"/>
      <c r="T11198" s="5"/>
      <c r="U11198" s="5"/>
      <c r="V11198" s="5"/>
      <c r="W11198" s="5"/>
      <c r="X11198" s="5"/>
      <c r="Y11198" s="5"/>
      <c r="Z11198" s="5"/>
    </row>
    <row r="11199" spans="1:26" ht="15" x14ac:dyDescent="0.25">
      <c r="A11199" s="4" t="s">
        <v>11196</v>
      </c>
      <c r="B11199" s="4" t="s">
        <v>9011</v>
      </c>
      <c r="C11199" s="2" t="str">
        <f ca="1">IFERROR(__xludf.DUMMYFUNCTION("GOOGLETRANSLATE(A11199,""bn"",""en"")"),"Linux will operate")</f>
        <v>Linux will operate</v>
      </c>
      <c r="D11199" s="5"/>
      <c r="E11199" s="5"/>
      <c r="F11199" s="5"/>
      <c r="G11199" s="5"/>
      <c r="H11199" s="5"/>
      <c r="I11199" s="5"/>
      <c r="J11199" s="5"/>
      <c r="K11199" s="5"/>
      <c r="L11199" s="5"/>
      <c r="M11199" s="5"/>
      <c r="N11199" s="5"/>
      <c r="O11199" s="5"/>
      <c r="P11199" s="5"/>
      <c r="Q11199" s="5"/>
      <c r="R11199" s="5"/>
      <c r="S11199" s="5"/>
      <c r="T11199" s="5"/>
      <c r="U11199" s="5"/>
      <c r="V11199" s="5"/>
      <c r="W11199" s="5"/>
      <c r="X11199" s="5"/>
      <c r="Y11199" s="5"/>
      <c r="Z11199" s="5"/>
    </row>
    <row r="11200" spans="1:26" ht="15" x14ac:dyDescent="0.25">
      <c r="A11200" s="4" t="s">
        <v>11197</v>
      </c>
      <c r="B11200" s="4" t="s">
        <v>9011</v>
      </c>
      <c r="C11200" s="2" t="str">
        <f ca="1">IFERROR(__xludf.DUMMYFUNCTION("GOOGLETRANSLATE(A11200,""bn"",""en"")"),"Sundarbans will have honey")</f>
        <v>Sundarbans will have honey</v>
      </c>
      <c r="D11200" s="5"/>
      <c r="E11200" s="5"/>
      <c r="F11200" s="5"/>
      <c r="G11200" s="5"/>
      <c r="H11200" s="5"/>
      <c r="I11200" s="5"/>
      <c r="J11200" s="5"/>
      <c r="K11200" s="5"/>
      <c r="L11200" s="5"/>
      <c r="M11200" s="5"/>
      <c r="N11200" s="5"/>
      <c r="O11200" s="5"/>
      <c r="P11200" s="5"/>
      <c r="Q11200" s="5"/>
      <c r="R11200" s="5"/>
      <c r="S11200" s="5"/>
      <c r="T11200" s="5"/>
      <c r="U11200" s="5"/>
      <c r="V11200" s="5"/>
      <c r="W11200" s="5"/>
      <c r="X11200" s="5"/>
      <c r="Y11200" s="5"/>
      <c r="Z11200" s="5"/>
    </row>
    <row r="11201" spans="1:26" ht="15" x14ac:dyDescent="0.25">
      <c r="A11201" s="4" t="s">
        <v>11198</v>
      </c>
      <c r="B11201" s="4" t="s">
        <v>9011</v>
      </c>
      <c r="C11201" s="2" t="str">
        <f ca="1">IFERROR(__xludf.DUMMYFUNCTION("GOOGLETRANSLATE(A11201,""bn"",""en"")"),"I will write poetry in my spare time")</f>
        <v>I will write poetry in my spare time</v>
      </c>
      <c r="D11201" s="5"/>
      <c r="E11201" s="5"/>
      <c r="F11201" s="5"/>
      <c r="G11201" s="5"/>
      <c r="H11201" s="5"/>
      <c r="I11201" s="5"/>
      <c r="J11201" s="5"/>
      <c r="K11201" s="5"/>
      <c r="L11201" s="5"/>
      <c r="M11201" s="5"/>
      <c r="N11201" s="5"/>
      <c r="O11201" s="5"/>
      <c r="P11201" s="5"/>
      <c r="Q11201" s="5"/>
      <c r="R11201" s="5"/>
      <c r="S11201" s="5"/>
      <c r="T11201" s="5"/>
      <c r="U11201" s="5"/>
      <c r="V11201" s="5"/>
      <c r="W11201" s="5"/>
      <c r="X11201" s="5"/>
      <c r="Y11201" s="5"/>
      <c r="Z11201" s="5"/>
    </row>
    <row r="11202" spans="1:26" ht="15" x14ac:dyDescent="0.25">
      <c r="A11202" s="4" t="s">
        <v>11199</v>
      </c>
      <c r="B11202" s="4" t="s">
        <v>9011</v>
      </c>
      <c r="C11202" s="2" t="str">
        <f ca="1">IFERROR(__xludf.DUMMYFUNCTION("GOOGLETRANSLATE(A11202,""bn"",""en"")"),"I will continue to go to the mosque")</f>
        <v>I will continue to go to the mosque</v>
      </c>
      <c r="D11202" s="5"/>
      <c r="E11202" s="5"/>
      <c r="F11202" s="5"/>
      <c r="G11202" s="5"/>
      <c r="H11202" s="5"/>
      <c r="I11202" s="5"/>
      <c r="J11202" s="5"/>
      <c r="K11202" s="5"/>
      <c r="L11202" s="5"/>
      <c r="M11202" s="5"/>
      <c r="N11202" s="5"/>
      <c r="O11202" s="5"/>
      <c r="P11202" s="5"/>
      <c r="Q11202" s="5"/>
      <c r="R11202" s="5"/>
      <c r="S11202" s="5"/>
      <c r="T11202" s="5"/>
      <c r="U11202" s="5"/>
      <c r="V11202" s="5"/>
      <c r="W11202" s="5"/>
      <c r="X11202" s="5"/>
      <c r="Y11202" s="5"/>
      <c r="Z11202" s="5"/>
    </row>
    <row r="11203" spans="1:26" ht="15" x14ac:dyDescent="0.25">
      <c r="A11203" s="4" t="s">
        <v>11200</v>
      </c>
      <c r="B11203" s="4" t="s">
        <v>9011</v>
      </c>
      <c r="C11203" s="2" t="str">
        <f ca="1">IFERROR(__xludf.DUMMYFUNCTION("GOOGLETRANSLATE(A11203,""bn"",""en"")"),"Everyone will go to school")</f>
        <v>Everyone will go to school</v>
      </c>
      <c r="D11203" s="5"/>
      <c r="E11203" s="5"/>
      <c r="F11203" s="5"/>
      <c r="G11203" s="5"/>
      <c r="H11203" s="5"/>
      <c r="I11203" s="5"/>
      <c r="J11203" s="5"/>
      <c r="K11203" s="5"/>
      <c r="L11203" s="5"/>
      <c r="M11203" s="5"/>
      <c r="N11203" s="5"/>
      <c r="O11203" s="5"/>
      <c r="P11203" s="5"/>
      <c r="Q11203" s="5"/>
      <c r="R11203" s="5"/>
      <c r="S11203" s="5"/>
      <c r="T11203" s="5"/>
      <c r="U11203" s="5"/>
      <c r="V11203" s="5"/>
      <c r="W11203" s="5"/>
      <c r="X11203" s="5"/>
      <c r="Y11203" s="5"/>
      <c r="Z11203" s="5"/>
    </row>
    <row r="11204" spans="1:26" ht="15" x14ac:dyDescent="0.25">
      <c r="A11204" s="4" t="s">
        <v>11201</v>
      </c>
      <c r="B11204" s="4" t="s">
        <v>9011</v>
      </c>
      <c r="C11204" s="2" t="str">
        <f ca="1">IFERROR(__xludf.DUMMYFUNCTION("GOOGLETRANSLATE(A11204,""bn"",""en"")"),"The story will continue to read")</f>
        <v>The story will continue to read</v>
      </c>
      <c r="D11204" s="5"/>
      <c r="E11204" s="5"/>
      <c r="F11204" s="5"/>
      <c r="G11204" s="5"/>
      <c r="H11204" s="5"/>
      <c r="I11204" s="5"/>
      <c r="J11204" s="5"/>
      <c r="K11204" s="5"/>
      <c r="L11204" s="5"/>
      <c r="M11204" s="5"/>
      <c r="N11204" s="5"/>
      <c r="O11204" s="5"/>
      <c r="P11204" s="5"/>
      <c r="Q11204" s="5"/>
      <c r="R11204" s="5"/>
      <c r="S11204" s="5"/>
      <c r="T11204" s="5"/>
      <c r="U11204" s="5"/>
      <c r="V11204" s="5"/>
      <c r="W11204" s="5"/>
      <c r="X11204" s="5"/>
      <c r="Y11204" s="5"/>
      <c r="Z11204" s="5"/>
    </row>
    <row r="11205" spans="1:26" ht="15" x14ac:dyDescent="0.25">
      <c r="A11205" s="4" t="s">
        <v>11202</v>
      </c>
      <c r="B11205" s="4" t="s">
        <v>9011</v>
      </c>
      <c r="C11205" s="2" t="str">
        <f ca="1">IFERROR(__xludf.DUMMYFUNCTION("GOOGLETRANSLATE(A11205,""bn"",""en"")"),"Students will play football")</f>
        <v>Students will play football</v>
      </c>
      <c r="D11205" s="5"/>
      <c r="E11205" s="5"/>
      <c r="F11205" s="5"/>
      <c r="G11205" s="5"/>
      <c r="H11205" s="5"/>
      <c r="I11205" s="5"/>
      <c r="J11205" s="5"/>
      <c r="K11205" s="5"/>
      <c r="L11205" s="5"/>
      <c r="M11205" s="5"/>
      <c r="N11205" s="5"/>
      <c r="O11205" s="5"/>
      <c r="P11205" s="5"/>
      <c r="Q11205" s="5"/>
      <c r="R11205" s="5"/>
      <c r="S11205" s="5"/>
      <c r="T11205" s="5"/>
      <c r="U11205" s="5"/>
      <c r="V11205" s="5"/>
      <c r="W11205" s="5"/>
      <c r="X11205" s="5"/>
      <c r="Y11205" s="5"/>
      <c r="Z11205" s="5"/>
    </row>
    <row r="11206" spans="1:26" ht="15" x14ac:dyDescent="0.25">
      <c r="A11206" s="4" t="s">
        <v>11203</v>
      </c>
      <c r="B11206" s="4" t="s">
        <v>9011</v>
      </c>
      <c r="C11206" s="2" t="str">
        <f ca="1">IFERROR(__xludf.DUMMYFUNCTION("GOOGLETRANSLATE(A11206,""bn"",""en"")"),"The tide will keep coming")</f>
        <v>The tide will keep coming</v>
      </c>
      <c r="D11206" s="5"/>
      <c r="E11206" s="5"/>
      <c r="F11206" s="5"/>
      <c r="G11206" s="5"/>
      <c r="H11206" s="5"/>
      <c r="I11206" s="5"/>
      <c r="J11206" s="5"/>
      <c r="K11206" s="5"/>
      <c r="L11206" s="5"/>
      <c r="M11206" s="5"/>
      <c r="N11206" s="5"/>
      <c r="O11206" s="5"/>
      <c r="P11206" s="5"/>
      <c r="Q11206" s="5"/>
      <c r="R11206" s="5"/>
      <c r="S11206" s="5"/>
      <c r="T11206" s="5"/>
      <c r="U11206" s="5"/>
      <c r="V11206" s="5"/>
      <c r="W11206" s="5"/>
      <c r="X11206" s="5"/>
      <c r="Y11206" s="5"/>
      <c r="Z11206" s="5"/>
    </row>
    <row r="11207" spans="1:26" ht="15" x14ac:dyDescent="0.25">
      <c r="A11207" s="4" t="s">
        <v>11204</v>
      </c>
      <c r="B11207" s="4" t="s">
        <v>9011</v>
      </c>
      <c r="C11207" s="2" t="str">
        <f ca="1">IFERROR(__xludf.DUMMYFUNCTION("GOOGLETRANSLATE(A11207,""bn"",""en"")"),"He will eat mango")</f>
        <v>He will eat mango</v>
      </c>
      <c r="D11207" s="5"/>
      <c r="E11207" s="5"/>
      <c r="F11207" s="5"/>
      <c r="G11207" s="5"/>
      <c r="H11207" s="5"/>
      <c r="I11207" s="5"/>
      <c r="J11207" s="5"/>
      <c r="K11207" s="5"/>
      <c r="L11207" s="5"/>
      <c r="M11207" s="5"/>
      <c r="N11207" s="5"/>
      <c r="O11207" s="5"/>
      <c r="P11207" s="5"/>
      <c r="Q11207" s="5"/>
      <c r="R11207" s="5"/>
      <c r="S11207" s="5"/>
      <c r="T11207" s="5"/>
      <c r="U11207" s="5"/>
      <c r="V11207" s="5"/>
      <c r="W11207" s="5"/>
      <c r="X11207" s="5"/>
      <c r="Y11207" s="5"/>
      <c r="Z11207" s="5"/>
    </row>
    <row r="11208" spans="1:26" ht="15" x14ac:dyDescent="0.25">
      <c r="A11208" s="4" t="s">
        <v>11205</v>
      </c>
      <c r="B11208" s="4" t="s">
        <v>9011</v>
      </c>
      <c r="C11208" s="2" t="str">
        <f ca="1">IFERROR(__xludf.DUMMYFUNCTION("GOOGLETRANSLATE(A11208,""bn"",""en"")"),"Write the test script")</f>
        <v>Write the test script</v>
      </c>
      <c r="D11208" s="5"/>
      <c r="E11208" s="5"/>
      <c r="F11208" s="5"/>
      <c r="G11208" s="5"/>
      <c r="H11208" s="5"/>
      <c r="I11208" s="5"/>
      <c r="J11208" s="5"/>
      <c r="K11208" s="5"/>
      <c r="L11208" s="5"/>
      <c r="M11208" s="5"/>
      <c r="N11208" s="5"/>
      <c r="O11208" s="5"/>
      <c r="P11208" s="5"/>
      <c r="Q11208" s="5"/>
      <c r="R11208" s="5"/>
      <c r="S11208" s="5"/>
      <c r="T11208" s="5"/>
      <c r="U11208" s="5"/>
      <c r="V11208" s="5"/>
      <c r="W11208" s="5"/>
      <c r="X11208" s="5"/>
      <c r="Y11208" s="5"/>
      <c r="Z11208" s="5"/>
    </row>
    <row r="11209" spans="1:26" ht="15" x14ac:dyDescent="0.25">
      <c r="A11209" s="4" t="s">
        <v>11206</v>
      </c>
      <c r="B11209" s="4" t="s">
        <v>9011</v>
      </c>
      <c r="C11209" s="2" t="str">
        <f ca="1">IFERROR(__xludf.DUMMYFUNCTION("GOOGLETRANSLATE(A11209,""bn"",""en"")"),"He will get the rhythm")</f>
        <v>He will get the rhythm</v>
      </c>
      <c r="D11209" s="5"/>
      <c r="E11209" s="5"/>
      <c r="F11209" s="5"/>
      <c r="G11209" s="5"/>
      <c r="H11209" s="5"/>
      <c r="I11209" s="5"/>
      <c r="J11209" s="5"/>
      <c r="K11209" s="5"/>
      <c r="L11209" s="5"/>
      <c r="M11209" s="5"/>
      <c r="N11209" s="5"/>
      <c r="O11209" s="5"/>
      <c r="P11209" s="5"/>
      <c r="Q11209" s="5"/>
      <c r="R11209" s="5"/>
      <c r="S11209" s="5"/>
      <c r="T11209" s="5"/>
      <c r="U11209" s="5"/>
      <c r="V11209" s="5"/>
      <c r="W11209" s="5"/>
      <c r="X11209" s="5"/>
      <c r="Y11209" s="5"/>
      <c r="Z11209" s="5"/>
    </row>
    <row r="11210" spans="1:26" ht="15" x14ac:dyDescent="0.25">
      <c r="A11210" s="4" t="s">
        <v>11207</v>
      </c>
      <c r="B11210" s="4" t="s">
        <v>9011</v>
      </c>
      <c r="C11210" s="2" t="str">
        <f ca="1">IFERROR(__xludf.DUMMYFUNCTION("GOOGLETRANSLATE(A11210,""bn"",""en"")"),"You will write the tune")</f>
        <v>You will write the tune</v>
      </c>
      <c r="D11210" s="5"/>
      <c r="E11210" s="5"/>
      <c r="F11210" s="5"/>
      <c r="G11210" s="5"/>
      <c r="H11210" s="5"/>
      <c r="I11210" s="5"/>
      <c r="J11210" s="5"/>
      <c r="K11210" s="5"/>
      <c r="L11210" s="5"/>
      <c r="M11210" s="5"/>
      <c r="N11210" s="5"/>
      <c r="O11210" s="5"/>
      <c r="P11210" s="5"/>
      <c r="Q11210" s="5"/>
      <c r="R11210" s="5"/>
      <c r="S11210" s="5"/>
      <c r="T11210" s="5"/>
      <c r="U11210" s="5"/>
      <c r="V11210" s="5"/>
      <c r="W11210" s="5"/>
      <c r="X11210" s="5"/>
      <c r="Y11210" s="5"/>
      <c r="Z11210" s="5"/>
    </row>
    <row r="11211" spans="1:26" ht="15" x14ac:dyDescent="0.25">
      <c r="A11211" s="4" t="s">
        <v>11208</v>
      </c>
      <c r="B11211" s="4" t="s">
        <v>9011</v>
      </c>
      <c r="C11211" s="2" t="str">
        <f ca="1">IFERROR(__xludf.DUMMYFUNCTION("GOOGLETRANSLATE(A11211,""bn"",""en"")"),"Will continue to blog")</f>
        <v>Will continue to blog</v>
      </c>
      <c r="D11211" s="5"/>
      <c r="E11211" s="5"/>
      <c r="F11211" s="5"/>
      <c r="G11211" s="5"/>
      <c r="H11211" s="5"/>
      <c r="I11211" s="5"/>
      <c r="J11211" s="5"/>
      <c r="K11211" s="5"/>
      <c r="L11211" s="5"/>
      <c r="M11211" s="5"/>
      <c r="N11211" s="5"/>
      <c r="O11211" s="5"/>
      <c r="P11211" s="5"/>
      <c r="Q11211" s="5"/>
      <c r="R11211" s="5"/>
      <c r="S11211" s="5"/>
      <c r="T11211" s="5"/>
      <c r="U11211" s="5"/>
      <c r="V11211" s="5"/>
      <c r="W11211" s="5"/>
      <c r="X11211" s="5"/>
      <c r="Y11211" s="5"/>
      <c r="Z11211" s="5"/>
    </row>
    <row r="11212" spans="1:26" ht="15" x14ac:dyDescent="0.25">
      <c r="A11212" s="4" t="s">
        <v>11209</v>
      </c>
      <c r="B11212" s="4" t="s">
        <v>9011</v>
      </c>
      <c r="C11212" s="2" t="str">
        <f ca="1">IFERROR(__xludf.DUMMYFUNCTION("GOOGLETRANSLATE(A11212,""bn"",""en"")"),"The political debate will continue")</f>
        <v>The political debate will continue</v>
      </c>
      <c r="D11212" s="5"/>
      <c r="E11212" s="5"/>
      <c r="F11212" s="5"/>
      <c r="G11212" s="5"/>
      <c r="H11212" s="5"/>
      <c r="I11212" s="5"/>
      <c r="J11212" s="5"/>
      <c r="K11212" s="5"/>
      <c r="L11212" s="5"/>
      <c r="M11212" s="5"/>
      <c r="N11212" s="5"/>
      <c r="O11212" s="5"/>
      <c r="P11212" s="5"/>
      <c r="Q11212" s="5"/>
      <c r="R11212" s="5"/>
      <c r="S11212" s="5"/>
      <c r="T11212" s="5"/>
      <c r="U11212" s="5"/>
      <c r="V11212" s="5"/>
      <c r="W11212" s="5"/>
      <c r="X11212" s="5"/>
      <c r="Y11212" s="5"/>
      <c r="Z11212" s="5"/>
    </row>
    <row r="11213" spans="1:26" ht="15" x14ac:dyDescent="0.25">
      <c r="A11213" s="4" t="s">
        <v>11210</v>
      </c>
      <c r="B11213" s="4" t="s">
        <v>9011</v>
      </c>
      <c r="C11213" s="2" t="str">
        <f ca="1">IFERROR(__xludf.DUMMYFUNCTION("GOOGLETRANSLATE(A11213,""bn"",""en"")"),"The program will be deployed")</f>
        <v>The program will be deployed</v>
      </c>
      <c r="D11213" s="5"/>
      <c r="E11213" s="5"/>
      <c r="F11213" s="5"/>
      <c r="G11213" s="5"/>
      <c r="H11213" s="5"/>
      <c r="I11213" s="5"/>
      <c r="J11213" s="5"/>
      <c r="K11213" s="5"/>
      <c r="L11213" s="5"/>
      <c r="M11213" s="5"/>
      <c r="N11213" s="5"/>
      <c r="O11213" s="5"/>
      <c r="P11213" s="5"/>
      <c r="Q11213" s="5"/>
      <c r="R11213" s="5"/>
      <c r="S11213" s="5"/>
      <c r="T11213" s="5"/>
      <c r="U11213" s="5"/>
      <c r="V11213" s="5"/>
      <c r="W11213" s="5"/>
      <c r="X11213" s="5"/>
      <c r="Y11213" s="5"/>
      <c r="Z11213" s="5"/>
    </row>
    <row r="11214" spans="1:26" ht="15" x14ac:dyDescent="0.25">
      <c r="A11214" s="4" t="s">
        <v>11211</v>
      </c>
      <c r="B11214" s="4" t="s">
        <v>9011</v>
      </c>
      <c r="C11214" s="2" t="str">
        <f ca="1">IFERROR(__xludf.DUMMYFUNCTION("GOOGLETRANSLATE(A11214,""bn"",""en"")"),"Technology will be analytical")</f>
        <v>Technology will be analytical</v>
      </c>
      <c r="D11214" s="5"/>
      <c r="E11214" s="5"/>
      <c r="F11214" s="5"/>
      <c r="G11214" s="5"/>
      <c r="H11214" s="5"/>
      <c r="I11214" s="5"/>
      <c r="J11214" s="5"/>
      <c r="K11214" s="5"/>
      <c r="L11214" s="5"/>
      <c r="M11214" s="5"/>
      <c r="N11214" s="5"/>
      <c r="O11214" s="5"/>
      <c r="P11214" s="5"/>
      <c r="Q11214" s="5"/>
      <c r="R11214" s="5"/>
      <c r="S11214" s="5"/>
      <c r="T11214" s="5"/>
      <c r="U11214" s="5"/>
      <c r="V11214" s="5"/>
      <c r="W11214" s="5"/>
      <c r="X11214" s="5"/>
      <c r="Y11214" s="5"/>
      <c r="Z11214" s="5"/>
    </row>
    <row r="11215" spans="1:26" ht="15" x14ac:dyDescent="0.25">
      <c r="A11215" s="4" t="s">
        <v>11212</v>
      </c>
      <c r="B11215" s="4" t="s">
        <v>9011</v>
      </c>
      <c r="C11215" s="2" t="str">
        <f ca="1">IFERROR(__xludf.DUMMYFUNCTION("GOOGLETRANSLATE(A11215,""bn"",""en"")"),"I will use the keyboard")</f>
        <v>I will use the keyboard</v>
      </c>
      <c r="D11215" s="5"/>
      <c r="E11215" s="5"/>
      <c r="F11215" s="5"/>
      <c r="G11215" s="5"/>
      <c r="H11215" s="5"/>
      <c r="I11215" s="5"/>
      <c r="J11215" s="5"/>
      <c r="K11215" s="5"/>
      <c r="L11215" s="5"/>
      <c r="M11215" s="5"/>
      <c r="N11215" s="5"/>
      <c r="O11215" s="5"/>
      <c r="P11215" s="5"/>
      <c r="Q11215" s="5"/>
      <c r="R11215" s="5"/>
      <c r="S11215" s="5"/>
      <c r="T11215" s="5"/>
      <c r="U11215" s="5"/>
      <c r="V11215" s="5"/>
      <c r="W11215" s="5"/>
      <c r="X11215" s="5"/>
      <c r="Y11215" s="5"/>
      <c r="Z11215" s="5"/>
    </row>
    <row r="11216" spans="1:26" ht="15" x14ac:dyDescent="0.25">
      <c r="A11216" s="4" t="s">
        <v>11213</v>
      </c>
      <c r="B11216" s="4" t="s">
        <v>9011</v>
      </c>
      <c r="C11216" s="2" t="str">
        <f ca="1">IFERROR(__xludf.DUMMYFUNCTION("GOOGLETRANSLATE(A11216,""bn"",""en"")"),"Going to buy a wireless keyboard")</f>
        <v>Going to buy a wireless keyboard</v>
      </c>
      <c r="D11216" s="5"/>
      <c r="E11216" s="5"/>
      <c r="F11216" s="5"/>
      <c r="G11216" s="5"/>
      <c r="H11216" s="5"/>
      <c r="I11216" s="5"/>
      <c r="J11216" s="5"/>
      <c r="K11216" s="5"/>
      <c r="L11216" s="5"/>
      <c r="M11216" s="5"/>
      <c r="N11216" s="5"/>
      <c r="O11216" s="5"/>
      <c r="P11216" s="5"/>
      <c r="Q11216" s="5"/>
      <c r="R11216" s="5"/>
      <c r="S11216" s="5"/>
      <c r="T11216" s="5"/>
      <c r="U11216" s="5"/>
      <c r="V11216" s="5"/>
      <c r="W11216" s="5"/>
      <c r="X11216" s="5"/>
      <c r="Y11216" s="5"/>
      <c r="Z11216" s="5"/>
    </row>
    <row r="11217" spans="1:26" ht="15" x14ac:dyDescent="0.25">
      <c r="A11217" s="4" t="s">
        <v>11214</v>
      </c>
      <c r="B11217" s="4" t="s">
        <v>9011</v>
      </c>
      <c r="C11217" s="2" t="str">
        <f ca="1">IFERROR(__xludf.DUMMYFUNCTION("GOOGLETRANSLATE(A11217,""bn"",""en"")"),"Can't work without keyboard")</f>
        <v>Can't work without keyboard</v>
      </c>
      <c r="D11217" s="5"/>
      <c r="E11217" s="5"/>
      <c r="F11217" s="5"/>
      <c r="G11217" s="5"/>
      <c r="H11217" s="5"/>
      <c r="I11217" s="5"/>
      <c r="J11217" s="5"/>
      <c r="K11217" s="5"/>
      <c r="L11217" s="5"/>
      <c r="M11217" s="5"/>
      <c r="N11217" s="5"/>
      <c r="O11217" s="5"/>
      <c r="P11217" s="5"/>
      <c r="Q11217" s="5"/>
      <c r="R11217" s="5"/>
      <c r="S11217" s="5"/>
      <c r="T11217" s="5"/>
      <c r="U11217" s="5"/>
      <c r="V11217" s="5"/>
      <c r="W11217" s="5"/>
      <c r="X11217" s="5"/>
      <c r="Y11217" s="5"/>
      <c r="Z11217" s="5"/>
    </row>
    <row r="11218" spans="1:26" ht="15" x14ac:dyDescent="0.25">
      <c r="A11218" s="4" t="s">
        <v>11215</v>
      </c>
      <c r="B11218" s="4" t="s">
        <v>9011</v>
      </c>
      <c r="C11218" s="2" t="str">
        <f ca="1">IFERROR(__xludf.DUMMYFUNCTION("GOOGLETRANSLATE(A11218,""bn"",""en"")"),"Learn to use the keyboard")</f>
        <v>Learn to use the keyboard</v>
      </c>
      <c r="D11218" s="5"/>
      <c r="E11218" s="5"/>
      <c r="F11218" s="5"/>
      <c r="G11218" s="5"/>
      <c r="H11218" s="5"/>
      <c r="I11218" s="5"/>
      <c r="J11218" s="5"/>
      <c r="K11218" s="5"/>
      <c r="L11218" s="5"/>
      <c r="M11218" s="5"/>
      <c r="N11218" s="5"/>
      <c r="O11218" s="5"/>
      <c r="P11218" s="5"/>
      <c r="Q11218" s="5"/>
      <c r="R11218" s="5"/>
      <c r="S11218" s="5"/>
      <c r="T11218" s="5"/>
      <c r="U11218" s="5"/>
      <c r="V11218" s="5"/>
      <c r="W11218" s="5"/>
      <c r="X11218" s="5"/>
      <c r="Y11218" s="5"/>
      <c r="Z11218" s="5"/>
    </row>
    <row r="11219" spans="1:26" ht="15" x14ac:dyDescent="0.25">
      <c r="A11219" s="4" t="s">
        <v>11216</v>
      </c>
      <c r="B11219" s="4" t="s">
        <v>9011</v>
      </c>
      <c r="C11219" s="2" t="str">
        <f ca="1">IFERROR(__xludf.DUMMYFUNCTION("GOOGLETRANSLATE(A11219,""bn"",""en"")"),"Using the keyboard will make the work easier")</f>
        <v>Using the keyboard will make the work easier</v>
      </c>
      <c r="D11219" s="5"/>
      <c r="E11219" s="5"/>
      <c r="F11219" s="5"/>
      <c r="G11219" s="5"/>
      <c r="H11219" s="5"/>
      <c r="I11219" s="5"/>
      <c r="J11219" s="5"/>
      <c r="K11219" s="5"/>
      <c r="L11219" s="5"/>
      <c r="M11219" s="5"/>
      <c r="N11219" s="5"/>
      <c r="O11219" s="5"/>
      <c r="P11219" s="5"/>
      <c r="Q11219" s="5"/>
      <c r="R11219" s="5"/>
      <c r="S11219" s="5"/>
      <c r="T11219" s="5"/>
      <c r="U11219" s="5"/>
      <c r="V11219" s="5"/>
      <c r="W11219" s="5"/>
      <c r="X11219" s="5"/>
      <c r="Y11219" s="5"/>
      <c r="Z11219" s="5"/>
    </row>
    <row r="11220" spans="1:26" ht="15" x14ac:dyDescent="0.25">
      <c r="A11220" s="4" t="s">
        <v>11217</v>
      </c>
      <c r="B11220" s="4" t="s">
        <v>9011</v>
      </c>
      <c r="C11220" s="2" t="str">
        <f ca="1">IFERROR(__xludf.DUMMYFUNCTION("GOOGLETRANSLATE(A11220,""bn"",""en"")"),"Investment will be safe")</f>
        <v>Investment will be safe</v>
      </c>
      <c r="D11220" s="5"/>
      <c r="E11220" s="5"/>
      <c r="F11220" s="5"/>
      <c r="G11220" s="5"/>
      <c r="H11220" s="5"/>
      <c r="I11220" s="5"/>
      <c r="J11220" s="5"/>
      <c r="K11220" s="5"/>
      <c r="L11220" s="5"/>
      <c r="M11220" s="5"/>
      <c r="N11220" s="5"/>
      <c r="O11220" s="5"/>
      <c r="P11220" s="5"/>
      <c r="Q11220" s="5"/>
      <c r="R11220" s="5"/>
      <c r="S11220" s="5"/>
      <c r="T11220" s="5"/>
      <c r="U11220" s="5"/>
      <c r="V11220" s="5"/>
      <c r="W11220" s="5"/>
      <c r="X11220" s="5"/>
      <c r="Y11220" s="5"/>
      <c r="Z11220" s="5"/>
    </row>
    <row r="11221" spans="1:26" ht="15" x14ac:dyDescent="0.25">
      <c r="A11221" s="4" t="s">
        <v>11218</v>
      </c>
      <c r="B11221" s="4" t="s">
        <v>9011</v>
      </c>
      <c r="C11221" s="2" t="str">
        <f ca="1">IFERROR(__xludf.DUMMYFUNCTION("GOOGLETRANSLATE(A11221,""bn"",""en"")"),"The market will see improvement")</f>
        <v>The market will see improvement</v>
      </c>
      <c r="D11221" s="5"/>
      <c r="E11221" s="5"/>
      <c r="F11221" s="5"/>
      <c r="G11221" s="5"/>
      <c r="H11221" s="5"/>
      <c r="I11221" s="5"/>
      <c r="J11221" s="5"/>
      <c r="K11221" s="5"/>
      <c r="L11221" s="5"/>
      <c r="M11221" s="5"/>
      <c r="N11221" s="5"/>
      <c r="O11221" s="5"/>
      <c r="P11221" s="5"/>
      <c r="Q11221" s="5"/>
      <c r="R11221" s="5"/>
      <c r="S11221" s="5"/>
      <c r="T11221" s="5"/>
      <c r="U11221" s="5"/>
      <c r="V11221" s="5"/>
      <c r="W11221" s="5"/>
      <c r="X11221" s="5"/>
      <c r="Y11221" s="5"/>
      <c r="Z11221" s="5"/>
    </row>
    <row r="11222" spans="1:26" ht="15" x14ac:dyDescent="0.25">
      <c r="A11222" s="4" t="s">
        <v>11219</v>
      </c>
      <c r="B11222" s="4" t="s">
        <v>9011</v>
      </c>
      <c r="C11222" s="2" t="str">
        <f ca="1">IFERROR(__xludf.DUMMYFUNCTION("GOOGLETRANSLATE(A11222,""bn"",""en"")"),"MAC address is required")</f>
        <v>MAC address is required</v>
      </c>
      <c r="D11222" s="5"/>
      <c r="E11222" s="5"/>
      <c r="F11222" s="5"/>
      <c r="G11222" s="5"/>
      <c r="H11222" s="5"/>
      <c r="I11222" s="5"/>
      <c r="J11222" s="5"/>
      <c r="K11222" s="5"/>
      <c r="L11222" s="5"/>
      <c r="M11222" s="5"/>
      <c r="N11222" s="5"/>
      <c r="O11222" s="5"/>
      <c r="P11222" s="5"/>
      <c r="Q11222" s="5"/>
      <c r="R11222" s="5"/>
      <c r="S11222" s="5"/>
      <c r="T11222" s="5"/>
      <c r="U11222" s="5"/>
      <c r="V11222" s="5"/>
      <c r="W11222" s="5"/>
      <c r="X11222" s="5"/>
      <c r="Y11222" s="5"/>
      <c r="Z11222" s="5"/>
    </row>
    <row r="11223" spans="1:26" ht="15" x14ac:dyDescent="0.25">
      <c r="A11223" s="4" t="s">
        <v>11220</v>
      </c>
      <c r="B11223" s="4" t="s">
        <v>9011</v>
      </c>
      <c r="C11223" s="2" t="str">
        <f ca="1">IFERROR(__xludf.DUMMYFUNCTION("GOOGLETRANSLATE(A11223,""bn"",""en"")"),"They will keep going")</f>
        <v>They will keep going</v>
      </c>
      <c r="D11223" s="5"/>
      <c r="E11223" s="5"/>
      <c r="F11223" s="5"/>
      <c r="G11223" s="5"/>
      <c r="H11223" s="5"/>
      <c r="I11223" s="5"/>
      <c r="J11223" s="5"/>
      <c r="K11223" s="5"/>
      <c r="L11223" s="5"/>
      <c r="M11223" s="5"/>
      <c r="N11223" s="5"/>
      <c r="O11223" s="5"/>
      <c r="P11223" s="5"/>
      <c r="Q11223" s="5"/>
      <c r="R11223" s="5"/>
      <c r="S11223" s="5"/>
      <c r="T11223" s="5"/>
      <c r="U11223" s="5"/>
      <c r="V11223" s="5"/>
      <c r="W11223" s="5"/>
      <c r="X11223" s="5"/>
      <c r="Y11223" s="5"/>
      <c r="Z11223" s="5"/>
    </row>
    <row r="11224" spans="1:26" ht="15" x14ac:dyDescent="0.25">
      <c r="A11224" s="4" t="s">
        <v>11221</v>
      </c>
      <c r="B11224" s="4" t="s">
        <v>9011</v>
      </c>
      <c r="C11224" s="2" t="str">
        <f ca="1">IFERROR(__xludf.DUMMYFUNCTION("GOOGLETRANSLATE(A11224,""bn"",""en"")"),"Will give money for development")</f>
        <v>Will give money for development</v>
      </c>
      <c r="D11224" s="5"/>
      <c r="E11224" s="5"/>
      <c r="F11224" s="5"/>
      <c r="G11224" s="5"/>
      <c r="H11224" s="5"/>
      <c r="I11224" s="5"/>
      <c r="J11224" s="5"/>
      <c r="K11224" s="5"/>
      <c r="L11224" s="5"/>
      <c r="M11224" s="5"/>
      <c r="N11224" s="5"/>
      <c r="O11224" s="5"/>
      <c r="P11224" s="5"/>
      <c r="Q11224" s="5"/>
      <c r="R11224" s="5"/>
      <c r="S11224" s="5"/>
      <c r="T11224" s="5"/>
      <c r="U11224" s="5"/>
      <c r="V11224" s="5"/>
      <c r="W11224" s="5"/>
      <c r="X11224" s="5"/>
      <c r="Y11224" s="5"/>
      <c r="Z11224" s="5"/>
    </row>
    <row r="11225" spans="1:26" ht="15" x14ac:dyDescent="0.25">
      <c r="A11225" s="4" t="s">
        <v>11222</v>
      </c>
      <c r="B11225" s="4" t="s">
        <v>9011</v>
      </c>
      <c r="C11225" s="2" t="str">
        <f ca="1">IFERROR(__xludf.DUMMYFUNCTION("GOOGLETRANSLATE(A11225,""bn"",""en"")"),"I will enjoy the media")</f>
        <v>I will enjoy the media</v>
      </c>
      <c r="D11225" s="5"/>
      <c r="E11225" s="5"/>
      <c r="F11225" s="5"/>
      <c r="G11225" s="5"/>
      <c r="H11225" s="5"/>
      <c r="I11225" s="5"/>
      <c r="J11225" s="5"/>
      <c r="K11225" s="5"/>
      <c r="L11225" s="5"/>
      <c r="M11225" s="5"/>
      <c r="N11225" s="5"/>
      <c r="O11225" s="5"/>
      <c r="P11225" s="5"/>
      <c r="Q11225" s="5"/>
      <c r="R11225" s="5"/>
      <c r="S11225" s="5"/>
      <c r="T11225" s="5"/>
      <c r="U11225" s="5"/>
      <c r="V11225" s="5"/>
      <c r="W11225" s="5"/>
      <c r="X11225" s="5"/>
      <c r="Y11225" s="5"/>
      <c r="Z11225" s="5"/>
    </row>
    <row r="11226" spans="1:26" ht="15" x14ac:dyDescent="0.25">
      <c r="A11226" s="4" t="s">
        <v>11223</v>
      </c>
      <c r="B11226" s="4" t="s">
        <v>9011</v>
      </c>
      <c r="C11226" s="2" t="str">
        <f ca="1">IFERROR(__xludf.DUMMYFUNCTION("GOOGLETRANSLATE(A11226,""bn"",""en"")"),"Sky will travel")</f>
        <v>Sky will travel</v>
      </c>
      <c r="D11226" s="5"/>
      <c r="E11226" s="5"/>
      <c r="F11226" s="5"/>
      <c r="G11226" s="5"/>
      <c r="H11226" s="5"/>
      <c r="I11226" s="5"/>
      <c r="J11226" s="5"/>
      <c r="K11226" s="5"/>
      <c r="L11226" s="5"/>
      <c r="M11226" s="5"/>
      <c r="N11226" s="5"/>
      <c r="O11226" s="5"/>
      <c r="P11226" s="5"/>
      <c r="Q11226" s="5"/>
      <c r="R11226" s="5"/>
      <c r="S11226" s="5"/>
      <c r="T11226" s="5"/>
      <c r="U11226" s="5"/>
      <c r="V11226" s="5"/>
      <c r="W11226" s="5"/>
      <c r="X11226" s="5"/>
      <c r="Y11226" s="5"/>
      <c r="Z11226" s="5"/>
    </row>
    <row r="11227" spans="1:26" ht="15" x14ac:dyDescent="0.25">
      <c r="A11227" s="4" t="s">
        <v>11224</v>
      </c>
      <c r="B11227" s="4" t="s">
        <v>9011</v>
      </c>
      <c r="C11227" s="2" t="str">
        <f ca="1">IFERROR(__xludf.DUMMYFUNCTION("GOOGLETRANSLATE(A11227,""bn"",""en"")"),"I will use the remote")</f>
        <v>I will use the remote</v>
      </c>
      <c r="D11227" s="5"/>
      <c r="E11227" s="5"/>
      <c r="F11227" s="5"/>
      <c r="G11227" s="5"/>
      <c r="H11227" s="5"/>
      <c r="I11227" s="5"/>
      <c r="J11227" s="5"/>
      <c r="K11227" s="5"/>
      <c r="L11227" s="5"/>
      <c r="M11227" s="5"/>
      <c r="N11227" s="5"/>
      <c r="O11227" s="5"/>
      <c r="P11227" s="5"/>
      <c r="Q11227" s="5"/>
      <c r="R11227" s="5"/>
      <c r="S11227" s="5"/>
      <c r="T11227" s="5"/>
      <c r="U11227" s="5"/>
      <c r="V11227" s="5"/>
      <c r="W11227" s="5"/>
      <c r="X11227" s="5"/>
      <c r="Y11227" s="5"/>
      <c r="Z11227" s="5"/>
    </row>
    <row r="11228" spans="1:26" ht="15" x14ac:dyDescent="0.25">
      <c r="A11228" s="4" t="s">
        <v>11225</v>
      </c>
      <c r="B11228" s="4" t="s">
        <v>9011</v>
      </c>
      <c r="C11228" s="2" t="str">
        <f ca="1">IFERROR(__xludf.DUMMYFUNCTION("GOOGLETRANSLATE(A11228,""bn"",""en"")"),"I will go out of the country")</f>
        <v>I will go out of the country</v>
      </c>
      <c r="D11228" s="5"/>
      <c r="E11228" s="5"/>
      <c r="F11228" s="5"/>
      <c r="G11228" s="5"/>
      <c r="H11228" s="5"/>
      <c r="I11228" s="5"/>
      <c r="J11228" s="5"/>
      <c r="K11228" s="5"/>
      <c r="L11228" s="5"/>
      <c r="M11228" s="5"/>
      <c r="N11228" s="5"/>
      <c r="O11228" s="5"/>
      <c r="P11228" s="5"/>
      <c r="Q11228" s="5"/>
      <c r="R11228" s="5"/>
      <c r="S11228" s="5"/>
      <c r="T11228" s="5"/>
      <c r="U11228" s="5"/>
      <c r="V11228" s="5"/>
      <c r="W11228" s="5"/>
      <c r="X11228" s="5"/>
      <c r="Y11228" s="5"/>
      <c r="Z11228" s="5"/>
    </row>
    <row r="11229" spans="1:26" ht="15" x14ac:dyDescent="0.25">
      <c r="A11229" s="4" t="s">
        <v>11226</v>
      </c>
      <c r="B11229" s="4" t="s">
        <v>9011</v>
      </c>
      <c r="C11229" s="2" t="str">
        <f ca="1">IFERROR(__xludf.DUMMYFUNCTION("GOOGLETRANSLATE(A11229,""bn"",""en"")"),"The product will be good")</f>
        <v>The product will be good</v>
      </c>
      <c r="D11229" s="5"/>
      <c r="E11229" s="5"/>
      <c r="F11229" s="5"/>
      <c r="G11229" s="5"/>
      <c r="H11229" s="5"/>
      <c r="I11229" s="5"/>
      <c r="J11229" s="5"/>
      <c r="K11229" s="5"/>
      <c r="L11229" s="5"/>
      <c r="M11229" s="5"/>
      <c r="N11229" s="5"/>
      <c r="O11229" s="5"/>
      <c r="P11229" s="5"/>
      <c r="Q11229" s="5"/>
      <c r="R11229" s="5"/>
      <c r="S11229" s="5"/>
      <c r="T11229" s="5"/>
      <c r="U11229" s="5"/>
      <c r="V11229" s="5"/>
      <c r="W11229" s="5"/>
      <c r="X11229" s="5"/>
      <c r="Y11229" s="5"/>
      <c r="Z11229" s="5"/>
    </row>
    <row r="11230" spans="1:26" ht="15" x14ac:dyDescent="0.25">
      <c r="A11230" s="4" t="s">
        <v>11227</v>
      </c>
      <c r="B11230" s="4" t="s">
        <v>9011</v>
      </c>
      <c r="C11230" s="2" t="str">
        <f ca="1">IFERROR(__xludf.DUMMYFUNCTION("GOOGLETRANSLATE(A11230,""bn"",""en"")"),"I will learn anger")</f>
        <v>I will learn anger</v>
      </c>
      <c r="D11230" s="5"/>
      <c r="E11230" s="5"/>
      <c r="F11230" s="5"/>
      <c r="G11230" s="5"/>
      <c r="H11230" s="5"/>
      <c r="I11230" s="5"/>
      <c r="J11230" s="5"/>
      <c r="K11230" s="5"/>
      <c r="L11230" s="5"/>
      <c r="M11230" s="5"/>
      <c r="N11230" s="5"/>
      <c r="O11230" s="5"/>
      <c r="P11230" s="5"/>
      <c r="Q11230" s="5"/>
      <c r="R11230" s="5"/>
      <c r="S11230" s="5"/>
      <c r="T11230" s="5"/>
      <c r="U11230" s="5"/>
      <c r="V11230" s="5"/>
      <c r="W11230" s="5"/>
      <c r="X11230" s="5"/>
      <c r="Y11230" s="5"/>
      <c r="Z11230" s="5"/>
    </row>
    <row r="11231" spans="1:26" ht="15" x14ac:dyDescent="0.25">
      <c r="A11231" s="4" t="s">
        <v>11228</v>
      </c>
      <c r="B11231" s="4" t="s">
        <v>9011</v>
      </c>
      <c r="C11231" s="2" t="str">
        <f ca="1">IFERROR(__xludf.DUMMYFUNCTION("GOOGLETRANSLATE(A11231,""bn"",""en"")"),"Money will be sent")</f>
        <v>Money will be sent</v>
      </c>
      <c r="D11231" s="5"/>
      <c r="E11231" s="5"/>
      <c r="F11231" s="5"/>
      <c r="G11231" s="5"/>
      <c r="H11231" s="5"/>
      <c r="I11231" s="5"/>
      <c r="J11231" s="5"/>
      <c r="K11231" s="5"/>
      <c r="L11231" s="5"/>
      <c r="M11231" s="5"/>
      <c r="N11231" s="5"/>
      <c r="O11231" s="5"/>
      <c r="P11231" s="5"/>
      <c r="Q11231" s="5"/>
      <c r="R11231" s="5"/>
      <c r="S11231" s="5"/>
      <c r="T11231" s="5"/>
      <c r="U11231" s="5"/>
      <c r="V11231" s="5"/>
      <c r="W11231" s="5"/>
      <c r="X11231" s="5"/>
      <c r="Y11231" s="5"/>
      <c r="Z11231" s="5"/>
    </row>
    <row r="11232" spans="1:26" ht="15" x14ac:dyDescent="0.25">
      <c r="A11232" s="4" t="s">
        <v>11229</v>
      </c>
      <c r="B11232" s="4" t="s">
        <v>9011</v>
      </c>
      <c r="C11232" s="2" t="str">
        <f ca="1">IFERROR(__xludf.DUMMYFUNCTION("GOOGLETRANSLATE(A11232,""bn"",""en"")"),"I will play sports in my spare time")</f>
        <v>I will play sports in my spare time</v>
      </c>
      <c r="D11232" s="5"/>
      <c r="E11232" s="5"/>
      <c r="F11232" s="5"/>
      <c r="G11232" s="5"/>
      <c r="H11232" s="5"/>
      <c r="I11232" s="5"/>
      <c r="J11232" s="5"/>
      <c r="K11232" s="5"/>
      <c r="L11232" s="5"/>
      <c r="M11232" s="5"/>
      <c r="N11232" s="5"/>
      <c r="O11232" s="5"/>
      <c r="P11232" s="5"/>
      <c r="Q11232" s="5"/>
      <c r="R11232" s="5"/>
      <c r="S11232" s="5"/>
      <c r="T11232" s="5"/>
      <c r="U11232" s="5"/>
      <c r="V11232" s="5"/>
      <c r="W11232" s="5"/>
      <c r="X11232" s="5"/>
      <c r="Y11232" s="5"/>
      <c r="Z11232" s="5"/>
    </row>
    <row r="11233" spans="1:26" ht="15" x14ac:dyDescent="0.25">
      <c r="A11233" s="4" t="s">
        <v>11230</v>
      </c>
      <c r="B11233" s="4" t="s">
        <v>9011</v>
      </c>
      <c r="C11233" s="2" t="str">
        <f ca="1">IFERROR(__xludf.DUMMYFUNCTION("GOOGLETRANSLATE(A11233,""bn"",""en"")"),"Appreciation should be received")</f>
        <v>Appreciation should be received</v>
      </c>
      <c r="D11233" s="5"/>
      <c r="E11233" s="5"/>
      <c r="F11233" s="5"/>
      <c r="G11233" s="5"/>
      <c r="H11233" s="5"/>
      <c r="I11233" s="5"/>
      <c r="J11233" s="5"/>
      <c r="K11233" s="5"/>
      <c r="L11233" s="5"/>
      <c r="M11233" s="5"/>
      <c r="N11233" s="5"/>
      <c r="O11233" s="5"/>
      <c r="P11233" s="5"/>
      <c r="Q11233" s="5"/>
      <c r="R11233" s="5"/>
      <c r="S11233" s="5"/>
      <c r="T11233" s="5"/>
      <c r="U11233" s="5"/>
      <c r="V11233" s="5"/>
      <c r="W11233" s="5"/>
      <c r="X11233" s="5"/>
      <c r="Y11233" s="5"/>
      <c r="Z11233" s="5"/>
    </row>
    <row r="11234" spans="1:26" ht="15" x14ac:dyDescent="0.25">
      <c r="A11234" s="4" t="s">
        <v>11231</v>
      </c>
      <c r="B11234" s="4" t="s">
        <v>9011</v>
      </c>
      <c r="C11234" s="2" t="str">
        <f ca="1">IFERROR(__xludf.DUMMYFUNCTION("GOOGLETRANSLATE(A11234,""bn"",""en"")"),"We will research")</f>
        <v>We will research</v>
      </c>
      <c r="D11234" s="5"/>
      <c r="E11234" s="5"/>
      <c r="F11234" s="5"/>
      <c r="G11234" s="5"/>
      <c r="H11234" s="5"/>
      <c r="I11234" s="5"/>
      <c r="J11234" s="5"/>
      <c r="K11234" s="5"/>
      <c r="L11234" s="5"/>
      <c r="M11234" s="5"/>
      <c r="N11234" s="5"/>
      <c r="O11234" s="5"/>
      <c r="P11234" s="5"/>
      <c r="Q11234" s="5"/>
      <c r="R11234" s="5"/>
      <c r="S11234" s="5"/>
      <c r="T11234" s="5"/>
      <c r="U11234" s="5"/>
      <c r="V11234" s="5"/>
      <c r="W11234" s="5"/>
      <c r="X11234" s="5"/>
      <c r="Y11234" s="5"/>
      <c r="Z11234" s="5"/>
    </row>
    <row r="11235" spans="1:26" ht="15" x14ac:dyDescent="0.25">
      <c r="A11235" s="4" t="s">
        <v>11232</v>
      </c>
      <c r="B11235" s="4" t="s">
        <v>9011</v>
      </c>
      <c r="C11235" s="2" t="str">
        <f ca="1">IFERROR(__xludf.DUMMYFUNCTION("GOOGLETRANSLATE(A11235,""bn"",""en"")"),"Download the game")</f>
        <v>Download the game</v>
      </c>
      <c r="D11235" s="5"/>
      <c r="E11235" s="5"/>
      <c r="F11235" s="5"/>
      <c r="G11235" s="5"/>
      <c r="H11235" s="5"/>
      <c r="I11235" s="5"/>
      <c r="J11235" s="5"/>
      <c r="K11235" s="5"/>
      <c r="L11235" s="5"/>
      <c r="M11235" s="5"/>
      <c r="N11235" s="5"/>
      <c r="O11235" s="5"/>
      <c r="P11235" s="5"/>
      <c r="Q11235" s="5"/>
      <c r="R11235" s="5"/>
      <c r="S11235" s="5"/>
      <c r="T11235" s="5"/>
      <c r="U11235" s="5"/>
      <c r="V11235" s="5"/>
      <c r="W11235" s="5"/>
      <c r="X11235" s="5"/>
      <c r="Y11235" s="5"/>
      <c r="Z11235" s="5"/>
    </row>
    <row r="11236" spans="1:26" ht="15" x14ac:dyDescent="0.25">
      <c r="A11236" s="4" t="s">
        <v>11233</v>
      </c>
      <c r="B11236" s="4" t="s">
        <v>9011</v>
      </c>
      <c r="C11236" s="2" t="str">
        <f ca="1">IFERROR(__xludf.DUMMYFUNCTION("GOOGLETRANSLATE(A11236,""bn"",""en"")"),"Prototype will be created")</f>
        <v>Prototype will be created</v>
      </c>
      <c r="D11236" s="5"/>
      <c r="E11236" s="5"/>
      <c r="F11236" s="5"/>
      <c r="G11236" s="5"/>
      <c r="H11236" s="5"/>
      <c r="I11236" s="5"/>
      <c r="J11236" s="5"/>
      <c r="K11236" s="5"/>
      <c r="L11236" s="5"/>
      <c r="M11236" s="5"/>
      <c r="N11236" s="5"/>
      <c r="O11236" s="5"/>
      <c r="P11236" s="5"/>
      <c r="Q11236" s="5"/>
      <c r="R11236" s="5"/>
      <c r="S11236" s="5"/>
      <c r="T11236" s="5"/>
      <c r="U11236" s="5"/>
      <c r="V11236" s="5"/>
      <c r="W11236" s="5"/>
      <c r="X11236" s="5"/>
      <c r="Y11236" s="5"/>
      <c r="Z11236" s="5"/>
    </row>
    <row r="11237" spans="1:26" ht="15" x14ac:dyDescent="0.25">
      <c r="A11237" s="4" t="s">
        <v>11234</v>
      </c>
      <c r="B11237" s="4" t="s">
        <v>9011</v>
      </c>
      <c r="C11237" s="2" t="str">
        <f ca="1">IFERROR(__xludf.DUMMYFUNCTION("GOOGLETRANSLATE(A11237,""bn"",""en"")"),"Taj Mahal will be seen")</f>
        <v>Taj Mahal will be seen</v>
      </c>
      <c r="D11237" s="5"/>
      <c r="E11237" s="5"/>
      <c r="F11237" s="5"/>
      <c r="G11237" s="5"/>
      <c r="H11237" s="5"/>
      <c r="I11237" s="5"/>
      <c r="J11237" s="5"/>
      <c r="K11237" s="5"/>
      <c r="L11237" s="5"/>
      <c r="M11237" s="5"/>
      <c r="N11237" s="5"/>
      <c r="O11237" s="5"/>
      <c r="P11237" s="5"/>
      <c r="Q11237" s="5"/>
      <c r="R11237" s="5"/>
      <c r="S11237" s="5"/>
      <c r="T11237" s="5"/>
      <c r="U11237" s="5"/>
      <c r="V11237" s="5"/>
      <c r="W11237" s="5"/>
      <c r="X11237" s="5"/>
      <c r="Y11237" s="5"/>
      <c r="Z11237" s="5"/>
    </row>
    <row r="11238" spans="1:26" ht="15" x14ac:dyDescent="0.25">
      <c r="A11238" s="4" t="s">
        <v>11235</v>
      </c>
      <c r="B11238" s="4" t="s">
        <v>9011</v>
      </c>
      <c r="C11238" s="2" t="str">
        <f ca="1">IFERROR(__xludf.DUMMYFUNCTION("GOOGLETRANSLATE(A11238,""bn"",""en"")"),"The game will continue to play")</f>
        <v>The game will continue to play</v>
      </c>
      <c r="D11238" s="5"/>
      <c r="E11238" s="5"/>
      <c r="F11238" s="5"/>
      <c r="G11238" s="5"/>
      <c r="H11238" s="5"/>
      <c r="I11238" s="5"/>
      <c r="J11238" s="5"/>
      <c r="K11238" s="5"/>
      <c r="L11238" s="5"/>
      <c r="M11238" s="5"/>
      <c r="N11238" s="5"/>
      <c r="O11238" s="5"/>
      <c r="P11238" s="5"/>
      <c r="Q11238" s="5"/>
      <c r="R11238" s="5"/>
      <c r="S11238" s="5"/>
      <c r="T11238" s="5"/>
      <c r="U11238" s="5"/>
      <c r="V11238" s="5"/>
      <c r="W11238" s="5"/>
      <c r="X11238" s="5"/>
      <c r="Y11238" s="5"/>
      <c r="Z11238" s="5"/>
    </row>
    <row r="11239" spans="1:26" ht="15" x14ac:dyDescent="0.25">
      <c r="A11239" s="4" t="s">
        <v>11236</v>
      </c>
      <c r="B11239" s="4" t="s">
        <v>9011</v>
      </c>
      <c r="C11239" s="2" t="str">
        <f ca="1">IFERROR(__xludf.DUMMYFUNCTION("GOOGLETRANSLATE(A11239,""bn"",""en"")"),"Students will read poems")</f>
        <v>Students will read poems</v>
      </c>
      <c r="D11239" s="5"/>
      <c r="E11239" s="5"/>
      <c r="F11239" s="5"/>
      <c r="G11239" s="5"/>
      <c r="H11239" s="5"/>
      <c r="I11239" s="5"/>
      <c r="J11239" s="5"/>
      <c r="K11239" s="5"/>
      <c r="L11239" s="5"/>
      <c r="M11239" s="5"/>
      <c r="N11239" s="5"/>
      <c r="O11239" s="5"/>
      <c r="P11239" s="5"/>
      <c r="Q11239" s="5"/>
      <c r="R11239" s="5"/>
      <c r="S11239" s="5"/>
      <c r="T11239" s="5"/>
      <c r="U11239" s="5"/>
      <c r="V11239" s="5"/>
      <c r="W11239" s="5"/>
      <c r="X11239" s="5"/>
      <c r="Y11239" s="5"/>
      <c r="Z11239" s="5"/>
    </row>
    <row r="11240" spans="1:26" ht="15" x14ac:dyDescent="0.25">
      <c r="A11240" s="4" t="s">
        <v>11237</v>
      </c>
      <c r="B11240" s="4" t="s">
        <v>9011</v>
      </c>
      <c r="C11240" s="2" t="str">
        <f ca="1">IFERROR(__xludf.DUMMYFUNCTION("GOOGLETRANSLATE(A11240,""bn"",""en"")"),"The diagnosis will be made")</f>
        <v>The diagnosis will be made</v>
      </c>
      <c r="D11240" s="5"/>
      <c r="E11240" s="5"/>
      <c r="F11240" s="5"/>
      <c r="G11240" s="5"/>
      <c r="H11240" s="5"/>
      <c r="I11240" s="5"/>
      <c r="J11240" s="5"/>
      <c r="K11240" s="5"/>
      <c r="L11240" s="5"/>
      <c r="M11240" s="5"/>
      <c r="N11240" s="5"/>
      <c r="O11240" s="5"/>
      <c r="P11240" s="5"/>
      <c r="Q11240" s="5"/>
      <c r="R11240" s="5"/>
      <c r="S11240" s="5"/>
      <c r="T11240" s="5"/>
      <c r="U11240" s="5"/>
      <c r="V11240" s="5"/>
      <c r="W11240" s="5"/>
      <c r="X11240" s="5"/>
      <c r="Y11240" s="5"/>
      <c r="Z11240" s="5"/>
    </row>
    <row r="11241" spans="1:26" ht="15" x14ac:dyDescent="0.25">
      <c r="A11241" s="4" t="s">
        <v>11238</v>
      </c>
      <c r="B11241" s="4" t="s">
        <v>9011</v>
      </c>
      <c r="C11241" s="2" t="str">
        <f ca="1">IFERROR(__xludf.DUMMYFUNCTION("GOOGLETRANSLATE(A11241,""bn"",""en"")"),"Will send rockets into space")</f>
        <v>Will send rockets into space</v>
      </c>
      <c r="D11241" s="5"/>
      <c r="E11241" s="5"/>
      <c r="F11241" s="5"/>
      <c r="G11241" s="5"/>
      <c r="H11241" s="5"/>
      <c r="I11241" s="5"/>
      <c r="J11241" s="5"/>
      <c r="K11241" s="5"/>
      <c r="L11241" s="5"/>
      <c r="M11241" s="5"/>
      <c r="N11241" s="5"/>
      <c r="O11241" s="5"/>
      <c r="P11241" s="5"/>
      <c r="Q11241" s="5"/>
      <c r="R11241" s="5"/>
      <c r="S11241" s="5"/>
      <c r="T11241" s="5"/>
      <c r="U11241" s="5"/>
      <c r="V11241" s="5"/>
      <c r="W11241" s="5"/>
      <c r="X11241" s="5"/>
      <c r="Y11241" s="5"/>
      <c r="Z11241" s="5"/>
    </row>
    <row r="11242" spans="1:26" ht="15" x14ac:dyDescent="0.25">
      <c r="A11242" s="4" t="s">
        <v>11239</v>
      </c>
      <c r="B11242" s="4" t="s">
        <v>9011</v>
      </c>
      <c r="C11242" s="2" t="str">
        <f ca="1">IFERROR(__xludf.DUMMYFUNCTION("GOOGLETRANSLATE(A11242,""bn"",""en"")"),"The trend will follow")</f>
        <v>The trend will follow</v>
      </c>
      <c r="D11242" s="5"/>
      <c r="E11242" s="5"/>
      <c r="F11242" s="5"/>
      <c r="G11242" s="5"/>
      <c r="H11242" s="5"/>
      <c r="I11242" s="5"/>
      <c r="J11242" s="5"/>
      <c r="K11242" s="5"/>
      <c r="L11242" s="5"/>
      <c r="M11242" s="5"/>
      <c r="N11242" s="5"/>
      <c r="O11242" s="5"/>
      <c r="P11242" s="5"/>
      <c r="Q11242" s="5"/>
      <c r="R11242" s="5"/>
      <c r="S11242" s="5"/>
      <c r="T11242" s="5"/>
      <c r="U11242" s="5"/>
      <c r="V11242" s="5"/>
      <c r="W11242" s="5"/>
      <c r="X11242" s="5"/>
      <c r="Y11242" s="5"/>
      <c r="Z11242" s="5"/>
    </row>
    <row r="11243" spans="1:26" ht="15" x14ac:dyDescent="0.25">
      <c r="A11243" s="4" t="s">
        <v>11240</v>
      </c>
      <c r="B11243" s="4" t="s">
        <v>9011</v>
      </c>
      <c r="C11243" s="2" t="str">
        <f ca="1">IFERROR(__xludf.DUMMYFUNCTION("GOOGLETRANSLATE(A11243,""bn"",""en"")"),"I will pay by PayPal")</f>
        <v>I will pay by PayPal</v>
      </c>
      <c r="D11243" s="5"/>
      <c r="E11243" s="5"/>
      <c r="F11243" s="5"/>
      <c r="G11243" s="5"/>
      <c r="H11243" s="5"/>
      <c r="I11243" s="5"/>
      <c r="J11243" s="5"/>
      <c r="K11243" s="5"/>
      <c r="L11243" s="5"/>
      <c r="M11243" s="5"/>
      <c r="N11243" s="5"/>
      <c r="O11243" s="5"/>
      <c r="P11243" s="5"/>
      <c r="Q11243" s="5"/>
      <c r="R11243" s="5"/>
      <c r="S11243" s="5"/>
      <c r="T11243" s="5"/>
      <c r="U11243" s="5"/>
      <c r="V11243" s="5"/>
      <c r="W11243" s="5"/>
      <c r="X11243" s="5"/>
      <c r="Y11243" s="5"/>
      <c r="Z11243" s="5"/>
    </row>
    <row r="11244" spans="1:26" ht="15" x14ac:dyDescent="0.25">
      <c r="A11244" s="4" t="s">
        <v>11241</v>
      </c>
      <c r="B11244" s="4" t="s">
        <v>9011</v>
      </c>
      <c r="C11244" s="2" t="str">
        <f ca="1">IFERROR(__xludf.DUMMYFUNCTION("GOOGLETRANSLATE(A11244,""bn"",""en"")"),"I will read poetry")</f>
        <v>I will read poetry</v>
      </c>
      <c r="D11244" s="5"/>
      <c r="E11244" s="5"/>
      <c r="F11244" s="5"/>
      <c r="G11244" s="5"/>
      <c r="H11244" s="5"/>
      <c r="I11244" s="5"/>
      <c r="J11244" s="5"/>
      <c r="K11244" s="5"/>
      <c r="L11244" s="5"/>
      <c r="M11244" s="5"/>
      <c r="N11244" s="5"/>
      <c r="O11244" s="5"/>
      <c r="P11244" s="5"/>
      <c r="Q11244" s="5"/>
      <c r="R11244" s="5"/>
      <c r="S11244" s="5"/>
      <c r="T11244" s="5"/>
      <c r="U11244" s="5"/>
      <c r="V11244" s="5"/>
      <c r="W11244" s="5"/>
      <c r="X11244" s="5"/>
      <c r="Y11244" s="5"/>
      <c r="Z11244" s="5"/>
    </row>
    <row r="11245" spans="1:26" ht="15" x14ac:dyDescent="0.25">
      <c r="A11245" s="4" t="s">
        <v>11242</v>
      </c>
      <c r="B11245" s="4" t="s">
        <v>9011</v>
      </c>
      <c r="C11245" s="2" t="str">
        <f ca="1">IFERROR(__xludf.DUMMYFUNCTION("GOOGLETRANSLATE(A11245,""bn"",""en"")"),"I will upgrade the hardware")</f>
        <v>I will upgrade the hardware</v>
      </c>
      <c r="D11245" s="5"/>
      <c r="E11245" s="5"/>
      <c r="F11245" s="5"/>
      <c r="G11245" s="5"/>
      <c r="H11245" s="5"/>
      <c r="I11245" s="5"/>
      <c r="J11245" s="5"/>
      <c r="K11245" s="5"/>
      <c r="L11245" s="5"/>
      <c r="M11245" s="5"/>
      <c r="N11245" s="5"/>
      <c r="O11245" s="5"/>
      <c r="P11245" s="5"/>
      <c r="Q11245" s="5"/>
      <c r="R11245" s="5"/>
      <c r="S11245" s="5"/>
      <c r="T11245" s="5"/>
      <c r="U11245" s="5"/>
      <c r="V11245" s="5"/>
      <c r="W11245" s="5"/>
      <c r="X11245" s="5"/>
      <c r="Y11245" s="5"/>
      <c r="Z11245" s="5"/>
    </row>
    <row r="11246" spans="1:26" ht="15" x14ac:dyDescent="0.25">
      <c r="A11246" s="4" t="s">
        <v>11243</v>
      </c>
      <c r="B11246" s="4" t="s">
        <v>9011</v>
      </c>
      <c r="C11246" s="2" t="str">
        <f ca="1">IFERROR(__xludf.DUMMYFUNCTION("GOOGLETRANSLATE(A11246,""bn"",""en"")"),"He will eat soup")</f>
        <v>He will eat soup</v>
      </c>
      <c r="D11246" s="5"/>
      <c r="E11246" s="5"/>
      <c r="F11246" s="5"/>
      <c r="G11246" s="5"/>
      <c r="H11246" s="5"/>
      <c r="I11246" s="5"/>
      <c r="J11246" s="5"/>
      <c r="K11246" s="5"/>
      <c r="L11246" s="5"/>
      <c r="M11246" s="5"/>
      <c r="N11246" s="5"/>
      <c r="O11246" s="5"/>
      <c r="P11246" s="5"/>
      <c r="Q11246" s="5"/>
      <c r="R11246" s="5"/>
      <c r="S11246" s="5"/>
      <c r="T11246" s="5"/>
      <c r="U11246" s="5"/>
      <c r="V11246" s="5"/>
      <c r="W11246" s="5"/>
      <c r="X11246" s="5"/>
      <c r="Y11246" s="5"/>
      <c r="Z11246" s="5"/>
    </row>
    <row r="11247" spans="1:26" ht="15" x14ac:dyDescent="0.25">
      <c r="A11247" s="4" t="s">
        <v>11244</v>
      </c>
      <c r="B11247" s="4" t="s">
        <v>9011</v>
      </c>
      <c r="C11247" s="2" t="str">
        <f ca="1">IFERROR(__xludf.DUMMYFUNCTION("GOOGLETRANSLATE(A11247,""bn"",""en"")"),"I will continue to write the file")</f>
        <v>I will continue to write the file</v>
      </c>
      <c r="D11247" s="5"/>
      <c r="E11247" s="5"/>
      <c r="F11247" s="5"/>
      <c r="G11247" s="5"/>
      <c r="H11247" s="5"/>
      <c r="I11247" s="5"/>
      <c r="J11247" s="5"/>
      <c r="K11247" s="5"/>
      <c r="L11247" s="5"/>
      <c r="M11247" s="5"/>
      <c r="N11247" s="5"/>
      <c r="O11247" s="5"/>
      <c r="P11247" s="5"/>
      <c r="Q11247" s="5"/>
      <c r="R11247" s="5"/>
      <c r="S11247" s="5"/>
      <c r="T11247" s="5"/>
      <c r="U11247" s="5"/>
      <c r="V11247" s="5"/>
      <c r="W11247" s="5"/>
      <c r="X11247" s="5"/>
      <c r="Y11247" s="5"/>
      <c r="Z11247" s="5"/>
    </row>
    <row r="11248" spans="1:26" ht="15" x14ac:dyDescent="0.25">
      <c r="A11248" s="4" t="s">
        <v>11245</v>
      </c>
      <c r="B11248" s="4" t="s">
        <v>9011</v>
      </c>
      <c r="C11248" s="2" t="str">
        <f ca="1">IFERROR(__xludf.DUMMYFUNCTION("GOOGLETRANSLATE(A11248,""bn"",""en"")"),"Sensor will be used")</f>
        <v>Sensor will be used</v>
      </c>
      <c r="D11248" s="5"/>
      <c r="E11248" s="5"/>
      <c r="F11248" s="5"/>
      <c r="G11248" s="5"/>
      <c r="H11248" s="5"/>
      <c r="I11248" s="5"/>
      <c r="J11248" s="5"/>
      <c r="K11248" s="5"/>
      <c r="L11248" s="5"/>
      <c r="M11248" s="5"/>
      <c r="N11248" s="5"/>
      <c r="O11248" s="5"/>
      <c r="P11248" s="5"/>
      <c r="Q11248" s="5"/>
      <c r="R11248" s="5"/>
      <c r="S11248" s="5"/>
      <c r="T11248" s="5"/>
      <c r="U11248" s="5"/>
      <c r="V11248" s="5"/>
      <c r="W11248" s="5"/>
      <c r="X11248" s="5"/>
      <c r="Y11248" s="5"/>
      <c r="Z11248" s="5"/>
    </row>
    <row r="11249" spans="1:26" ht="15" x14ac:dyDescent="0.25">
      <c r="A11249" s="4" t="s">
        <v>11246</v>
      </c>
      <c r="B11249" s="4" t="s">
        <v>9011</v>
      </c>
      <c r="C11249" s="2" t="str">
        <f ca="1">IFERROR(__xludf.DUMMYFUNCTION("GOOGLETRANSLATE(A11249,""bn"",""en"")"),"I will use pan")</f>
        <v>I will use pan</v>
      </c>
      <c r="D11249" s="5"/>
      <c r="E11249" s="5"/>
      <c r="F11249" s="5"/>
      <c r="G11249" s="5"/>
      <c r="H11249" s="5"/>
      <c r="I11249" s="5"/>
      <c r="J11249" s="5"/>
      <c r="K11249" s="5"/>
      <c r="L11249" s="5"/>
      <c r="M11249" s="5"/>
      <c r="N11249" s="5"/>
      <c r="O11249" s="5"/>
      <c r="P11249" s="5"/>
      <c r="Q11249" s="5"/>
      <c r="R11249" s="5"/>
      <c r="S11249" s="5"/>
      <c r="T11249" s="5"/>
      <c r="U11249" s="5"/>
      <c r="V11249" s="5"/>
      <c r="W11249" s="5"/>
      <c r="X11249" s="5"/>
      <c r="Y11249" s="5"/>
      <c r="Z11249" s="5"/>
    </row>
    <row r="11250" spans="1:26" ht="15" x14ac:dyDescent="0.25">
      <c r="A11250" s="4" t="s">
        <v>11247</v>
      </c>
      <c r="B11250" s="4" t="s">
        <v>9011</v>
      </c>
      <c r="C11250" s="2" t="str">
        <f ca="1">IFERROR(__xludf.DUMMYFUNCTION("GOOGLETRANSLATE(A11250,""bn"",""en"")"),"I will take online classes using PAN")</f>
        <v>I will take online classes using PAN</v>
      </c>
      <c r="D11250" s="5"/>
      <c r="E11250" s="5"/>
      <c r="F11250" s="5"/>
      <c r="G11250" s="5"/>
      <c r="H11250" s="5"/>
      <c r="I11250" s="5"/>
      <c r="J11250" s="5"/>
      <c r="K11250" s="5"/>
      <c r="L11250" s="5"/>
      <c r="M11250" s="5"/>
      <c r="N11250" s="5"/>
      <c r="O11250" s="5"/>
      <c r="P11250" s="5"/>
      <c r="Q11250" s="5"/>
      <c r="R11250" s="5"/>
      <c r="S11250" s="5"/>
      <c r="T11250" s="5"/>
      <c r="U11250" s="5"/>
      <c r="V11250" s="5"/>
      <c r="W11250" s="5"/>
      <c r="X11250" s="5"/>
      <c r="Y11250" s="5"/>
      <c r="Z11250" s="5"/>
    </row>
    <row r="11251" spans="1:26" ht="15" x14ac:dyDescent="0.25">
      <c r="A11251" s="4" t="s">
        <v>11248</v>
      </c>
      <c r="B11251" s="4" t="s">
        <v>9011</v>
      </c>
      <c r="C11251" s="2" t="str">
        <f ca="1">IFERROR(__xludf.DUMMYFUNCTION("GOOGLETRANSLATE(A11251,""bn"",""en"")"),"I will take the service of e-library")</f>
        <v>I will take the service of e-library</v>
      </c>
      <c r="D11251" s="5"/>
      <c r="E11251" s="5"/>
      <c r="F11251" s="5"/>
      <c r="G11251" s="5"/>
      <c r="H11251" s="5"/>
      <c r="I11251" s="5"/>
      <c r="J11251" s="5"/>
      <c r="K11251" s="5"/>
      <c r="L11251" s="5"/>
      <c r="M11251" s="5"/>
      <c r="N11251" s="5"/>
      <c r="O11251" s="5"/>
      <c r="P11251" s="5"/>
      <c r="Q11251" s="5"/>
      <c r="R11251" s="5"/>
      <c r="S11251" s="5"/>
      <c r="T11251" s="5"/>
      <c r="U11251" s="5"/>
      <c r="V11251" s="5"/>
      <c r="W11251" s="5"/>
      <c r="X11251" s="5"/>
      <c r="Y11251" s="5"/>
      <c r="Z11251" s="5"/>
    </row>
    <row r="11252" spans="1:26" ht="15" x14ac:dyDescent="0.25">
      <c r="A11252" s="4" t="s">
        <v>11249</v>
      </c>
      <c r="B11252" s="4" t="s">
        <v>9011</v>
      </c>
      <c r="C11252" s="2" t="str">
        <f ca="1">IFERROR(__xludf.DUMMYFUNCTION("GOOGLETRANSLATE(A11252,""bn"",""en"")"),"I will take medicine")</f>
        <v>I will take medicine</v>
      </c>
      <c r="D11252" s="5"/>
      <c r="E11252" s="5"/>
      <c r="F11252" s="5"/>
      <c r="G11252" s="5"/>
      <c r="H11252" s="5"/>
      <c r="I11252" s="5"/>
      <c r="J11252" s="5"/>
      <c r="K11252" s="5"/>
      <c r="L11252" s="5"/>
      <c r="M11252" s="5"/>
      <c r="N11252" s="5"/>
      <c r="O11252" s="5"/>
      <c r="P11252" s="5"/>
      <c r="Q11252" s="5"/>
      <c r="R11252" s="5"/>
      <c r="S11252" s="5"/>
      <c r="T11252" s="5"/>
      <c r="U11252" s="5"/>
      <c r="V11252" s="5"/>
      <c r="W11252" s="5"/>
      <c r="X11252" s="5"/>
      <c r="Y11252" s="5"/>
      <c r="Z11252" s="5"/>
    </row>
    <row r="11253" spans="1:26" ht="15" x14ac:dyDescent="0.25">
      <c r="A11253" s="4" t="s">
        <v>11250</v>
      </c>
      <c r="B11253" s="4" t="s">
        <v>9011</v>
      </c>
      <c r="C11253" s="2" t="str">
        <f ca="1">IFERROR(__xludf.DUMMYFUNCTION("GOOGLETRANSLATE(A11253,""bn"",""en"")"),"Research will be done by experts")</f>
        <v>Research will be done by experts</v>
      </c>
      <c r="D11253" s="5"/>
      <c r="E11253" s="5"/>
      <c r="F11253" s="5"/>
      <c r="G11253" s="5"/>
      <c r="H11253" s="5"/>
      <c r="I11253" s="5"/>
      <c r="J11253" s="5"/>
      <c r="K11253" s="5"/>
      <c r="L11253" s="5"/>
      <c r="M11253" s="5"/>
      <c r="N11253" s="5"/>
      <c r="O11253" s="5"/>
      <c r="P11253" s="5"/>
      <c r="Q11253" s="5"/>
      <c r="R11253" s="5"/>
      <c r="S11253" s="5"/>
      <c r="T11253" s="5"/>
      <c r="U11253" s="5"/>
      <c r="V11253" s="5"/>
      <c r="W11253" s="5"/>
      <c r="X11253" s="5"/>
      <c r="Y11253" s="5"/>
      <c r="Z11253" s="5"/>
    </row>
    <row r="11254" spans="1:26" ht="15" x14ac:dyDescent="0.25">
      <c r="A11254" s="4" t="s">
        <v>11251</v>
      </c>
      <c r="B11254" s="4" t="s">
        <v>9011</v>
      </c>
      <c r="C11254" s="2" t="str">
        <f ca="1">IFERROR(__xludf.DUMMYFUNCTION("GOOGLETRANSLATE(A11254,""bn"",""en"")"),"Will fix the bug")</f>
        <v>Will fix the bug</v>
      </c>
      <c r="D11254" s="5"/>
      <c r="E11254" s="5"/>
      <c r="F11254" s="5"/>
      <c r="G11254" s="5"/>
      <c r="H11254" s="5"/>
      <c r="I11254" s="5"/>
      <c r="J11254" s="5"/>
      <c r="K11254" s="5"/>
      <c r="L11254" s="5"/>
      <c r="M11254" s="5"/>
      <c r="N11254" s="5"/>
      <c r="O11254" s="5"/>
      <c r="P11254" s="5"/>
      <c r="Q11254" s="5"/>
      <c r="R11254" s="5"/>
      <c r="S11254" s="5"/>
      <c r="T11254" s="5"/>
      <c r="U11254" s="5"/>
      <c r="V11254" s="5"/>
      <c r="W11254" s="5"/>
      <c r="X11254" s="5"/>
      <c r="Y11254" s="5"/>
      <c r="Z11254" s="5"/>
    </row>
    <row r="11255" spans="1:26" ht="15" x14ac:dyDescent="0.25">
      <c r="A11255" s="4" t="s">
        <v>11252</v>
      </c>
      <c r="B11255" s="4" t="s">
        <v>9011</v>
      </c>
      <c r="C11255" s="2" t="str">
        <f ca="1">IFERROR(__xludf.DUMMYFUNCTION("GOOGLETRANSLATE(A11255,""bn"",""en"")"),"Will test run")</f>
        <v>Will test run</v>
      </c>
      <c r="D11255" s="5"/>
      <c r="E11255" s="5"/>
      <c r="F11255" s="5"/>
      <c r="G11255" s="5"/>
      <c r="H11255" s="5"/>
      <c r="I11255" s="5"/>
      <c r="J11255" s="5"/>
      <c r="K11255" s="5"/>
      <c r="L11255" s="5"/>
      <c r="M11255" s="5"/>
      <c r="N11255" s="5"/>
      <c r="O11255" s="5"/>
      <c r="P11255" s="5"/>
      <c r="Q11255" s="5"/>
      <c r="R11255" s="5"/>
      <c r="S11255" s="5"/>
      <c r="T11255" s="5"/>
      <c r="U11255" s="5"/>
      <c r="V11255" s="5"/>
      <c r="W11255" s="5"/>
      <c r="X11255" s="5"/>
      <c r="Y11255" s="5"/>
      <c r="Z11255" s="5"/>
    </row>
    <row r="11256" spans="1:26" ht="15" x14ac:dyDescent="0.25">
      <c r="A11256" s="4" t="s">
        <v>11253</v>
      </c>
      <c r="B11256" s="4" t="s">
        <v>9011</v>
      </c>
      <c r="C11256" s="2" t="str">
        <f ca="1">IFERROR(__xludf.DUMMYFUNCTION("GOOGLETRANSLATE(A11256,""bn"",""en"")"),"I will pay on the card")</f>
        <v>I will pay on the card</v>
      </c>
      <c r="D11256" s="5"/>
      <c r="E11256" s="5"/>
      <c r="F11256" s="5"/>
      <c r="G11256" s="5"/>
      <c r="H11256" s="5"/>
      <c r="I11256" s="5"/>
      <c r="J11256" s="5"/>
      <c r="K11256" s="5"/>
      <c r="L11256" s="5"/>
      <c r="M11256" s="5"/>
      <c r="N11256" s="5"/>
      <c r="O11256" s="5"/>
      <c r="P11256" s="5"/>
      <c r="Q11256" s="5"/>
      <c r="R11256" s="5"/>
      <c r="S11256" s="5"/>
      <c r="T11256" s="5"/>
      <c r="U11256" s="5"/>
      <c r="V11256" s="5"/>
      <c r="W11256" s="5"/>
      <c r="X11256" s="5"/>
      <c r="Y11256" s="5"/>
      <c r="Z11256" s="5"/>
    </row>
    <row r="11257" spans="1:26" ht="15" x14ac:dyDescent="0.25">
      <c r="A11257" s="4" t="s">
        <v>11254</v>
      </c>
      <c r="B11257" s="4" t="s">
        <v>9011</v>
      </c>
      <c r="C11257" s="2" t="str">
        <f ca="1">IFERROR(__xludf.DUMMYFUNCTION("GOOGLETRANSLATE(A11257,""bn"",""en"")"),"The score will be in cricket")</f>
        <v>The score will be in cricket</v>
      </c>
      <c r="D11257" s="5"/>
      <c r="E11257" s="5"/>
      <c r="F11257" s="5"/>
      <c r="G11257" s="5"/>
      <c r="H11257" s="5"/>
      <c r="I11257" s="5"/>
      <c r="J11257" s="5"/>
      <c r="K11257" s="5"/>
      <c r="L11257" s="5"/>
      <c r="M11257" s="5"/>
      <c r="N11257" s="5"/>
      <c r="O11257" s="5"/>
      <c r="P11257" s="5"/>
      <c r="Q11257" s="5"/>
      <c r="R11257" s="5"/>
      <c r="S11257" s="5"/>
      <c r="T11257" s="5"/>
      <c r="U11257" s="5"/>
      <c r="V11257" s="5"/>
      <c r="W11257" s="5"/>
      <c r="X11257" s="5"/>
      <c r="Y11257" s="5"/>
      <c r="Z11257" s="5"/>
    </row>
    <row r="11258" spans="1:26" ht="15" x14ac:dyDescent="0.25">
      <c r="A11258" s="4" t="s">
        <v>11255</v>
      </c>
      <c r="B11258" s="4" t="s">
        <v>9011</v>
      </c>
      <c r="C11258" s="2" t="str">
        <f ca="1">IFERROR(__xludf.DUMMYFUNCTION("GOOGLETRANSLATE(A11258,""bn"",""en"")"),"Will move around")</f>
        <v>Will move around</v>
      </c>
      <c r="D11258" s="5"/>
      <c r="E11258" s="5"/>
      <c r="F11258" s="5"/>
      <c r="G11258" s="5"/>
      <c r="H11258" s="5"/>
      <c r="I11258" s="5"/>
      <c r="J11258" s="5"/>
      <c r="K11258" s="5"/>
      <c r="L11258" s="5"/>
      <c r="M11258" s="5"/>
      <c r="N11258" s="5"/>
      <c r="O11258" s="5"/>
      <c r="P11258" s="5"/>
      <c r="Q11258" s="5"/>
      <c r="R11258" s="5"/>
      <c r="S11258" s="5"/>
      <c r="T11258" s="5"/>
      <c r="U11258" s="5"/>
      <c r="V11258" s="5"/>
      <c r="W11258" s="5"/>
      <c r="X11258" s="5"/>
      <c r="Y11258" s="5"/>
      <c r="Z11258" s="5"/>
    </row>
    <row r="11259" spans="1:26" ht="15" x14ac:dyDescent="0.25">
      <c r="A11259" s="4" t="s">
        <v>11256</v>
      </c>
      <c r="B11259" s="4" t="s">
        <v>9011</v>
      </c>
      <c r="C11259" s="2" t="str">
        <f ca="1">IFERROR(__xludf.DUMMYFUNCTION("GOOGLETRANSLATE(A11259,""bn"",""en"")"),"I will create a portfolio")</f>
        <v>I will create a portfolio</v>
      </c>
      <c r="D11259" s="5"/>
      <c r="E11259" s="5"/>
      <c r="F11259" s="5"/>
      <c r="G11259" s="5"/>
      <c r="H11259" s="5"/>
      <c r="I11259" s="5"/>
      <c r="J11259" s="5"/>
      <c r="K11259" s="5"/>
      <c r="L11259" s="5"/>
      <c r="M11259" s="5"/>
      <c r="N11259" s="5"/>
      <c r="O11259" s="5"/>
      <c r="P11259" s="5"/>
      <c r="Q11259" s="5"/>
      <c r="R11259" s="5"/>
      <c r="S11259" s="5"/>
      <c r="T11259" s="5"/>
      <c r="U11259" s="5"/>
      <c r="V11259" s="5"/>
      <c r="W11259" s="5"/>
      <c r="X11259" s="5"/>
      <c r="Y11259" s="5"/>
      <c r="Z11259" s="5"/>
    </row>
    <row r="11260" spans="1:26" ht="15" x14ac:dyDescent="0.25">
      <c r="A11260" s="4" t="s">
        <v>11257</v>
      </c>
      <c r="B11260" s="4" t="s">
        <v>9011</v>
      </c>
      <c r="C11260" s="2" t="str">
        <f ca="1">IFERROR(__xludf.DUMMYFUNCTION("GOOGLETRANSLATE(A11260,""bn"",""en"")"),"I will join the organization")</f>
        <v>I will join the organization</v>
      </c>
      <c r="D11260" s="5"/>
      <c r="E11260" s="5"/>
      <c r="F11260" s="5"/>
      <c r="G11260" s="5"/>
      <c r="H11260" s="5"/>
      <c r="I11260" s="5"/>
      <c r="J11260" s="5"/>
      <c r="K11260" s="5"/>
      <c r="L11260" s="5"/>
      <c r="M11260" s="5"/>
      <c r="N11260" s="5"/>
      <c r="O11260" s="5"/>
      <c r="P11260" s="5"/>
      <c r="Q11260" s="5"/>
      <c r="R11260" s="5"/>
      <c r="S11260" s="5"/>
      <c r="T11260" s="5"/>
      <c r="U11260" s="5"/>
      <c r="V11260" s="5"/>
      <c r="W11260" s="5"/>
      <c r="X11260" s="5"/>
      <c r="Y11260" s="5"/>
      <c r="Z11260" s="5"/>
    </row>
    <row r="11261" spans="1:26" ht="15" x14ac:dyDescent="0.25">
      <c r="A11261" s="4" t="s">
        <v>11258</v>
      </c>
      <c r="B11261" s="4" t="s">
        <v>9011</v>
      </c>
      <c r="C11261" s="2" t="str">
        <f ca="1">IFERROR(__xludf.DUMMYFUNCTION("GOOGLETRANSLATE(A11261,""bn"",""en"")"),"I will make a website")</f>
        <v>I will make a website</v>
      </c>
      <c r="D11261" s="5"/>
      <c r="E11261" s="5"/>
      <c r="F11261" s="5"/>
      <c r="G11261" s="5"/>
      <c r="H11261" s="5"/>
      <c r="I11261" s="5"/>
      <c r="J11261" s="5"/>
      <c r="K11261" s="5"/>
      <c r="L11261" s="5"/>
      <c r="M11261" s="5"/>
      <c r="N11261" s="5"/>
      <c r="O11261" s="5"/>
      <c r="P11261" s="5"/>
      <c r="Q11261" s="5"/>
      <c r="R11261" s="5"/>
      <c r="S11261" s="5"/>
      <c r="T11261" s="5"/>
      <c r="U11261" s="5"/>
      <c r="V11261" s="5"/>
      <c r="W11261" s="5"/>
      <c r="X11261" s="5"/>
      <c r="Y11261" s="5"/>
      <c r="Z11261" s="5"/>
    </row>
    <row r="11262" spans="1:26" ht="15" x14ac:dyDescent="0.25">
      <c r="A11262" s="4" t="s">
        <v>11259</v>
      </c>
      <c r="B11262" s="4" t="s">
        <v>9011</v>
      </c>
      <c r="C11262" s="2" t="str">
        <f ca="1">IFERROR(__xludf.DUMMYFUNCTION("GOOGLETRANSLATE(A11262,""bn"",""en"")"),"I will take bank service")</f>
        <v>I will take bank service</v>
      </c>
      <c r="D11262" s="5"/>
      <c r="E11262" s="5"/>
      <c r="F11262" s="5"/>
      <c r="G11262" s="5"/>
      <c r="H11262" s="5"/>
      <c r="I11262" s="5"/>
      <c r="J11262" s="5"/>
      <c r="K11262" s="5"/>
      <c r="L11262" s="5"/>
      <c r="M11262" s="5"/>
      <c r="N11262" s="5"/>
      <c r="O11262" s="5"/>
      <c r="P11262" s="5"/>
      <c r="Q11262" s="5"/>
      <c r="R11262" s="5"/>
      <c r="S11262" s="5"/>
      <c r="T11262" s="5"/>
      <c r="U11262" s="5"/>
      <c r="V11262" s="5"/>
      <c r="W11262" s="5"/>
      <c r="X11262" s="5"/>
      <c r="Y11262" s="5"/>
      <c r="Z11262" s="5"/>
    </row>
    <row r="11263" spans="1:26" ht="15" x14ac:dyDescent="0.25">
      <c r="A11263" s="4" t="s">
        <v>11260</v>
      </c>
      <c r="B11263" s="4" t="s">
        <v>9011</v>
      </c>
      <c r="C11263" s="2" t="str">
        <f ca="1">IFERROR(__xludf.DUMMYFUNCTION("GOOGLETRANSLATE(A11263,""bn"",""en"")"),"I will teach Arabic")</f>
        <v>I will teach Arabic</v>
      </c>
      <c r="D11263" s="5"/>
      <c r="E11263" s="5"/>
      <c r="F11263" s="5"/>
      <c r="G11263" s="5"/>
      <c r="H11263" s="5"/>
      <c r="I11263" s="5"/>
      <c r="J11263" s="5"/>
      <c r="K11263" s="5"/>
      <c r="L11263" s="5"/>
      <c r="M11263" s="5"/>
      <c r="N11263" s="5"/>
      <c r="O11263" s="5"/>
      <c r="P11263" s="5"/>
      <c r="Q11263" s="5"/>
      <c r="R11263" s="5"/>
      <c r="S11263" s="5"/>
      <c r="T11263" s="5"/>
      <c r="U11263" s="5"/>
      <c r="V11263" s="5"/>
      <c r="W11263" s="5"/>
      <c r="X11263" s="5"/>
      <c r="Y11263" s="5"/>
      <c r="Z11263" s="5"/>
    </row>
    <row r="11264" spans="1:26" ht="15" x14ac:dyDescent="0.25">
      <c r="A11264" s="4" t="s">
        <v>11261</v>
      </c>
      <c r="B11264" s="4" t="s">
        <v>9011</v>
      </c>
      <c r="C11264" s="2" t="str">
        <f ca="1">IFERROR(__xludf.DUMMYFUNCTION("GOOGLETRANSLATE(A11264,""bn"",""en"")"),"I will use apple phone")</f>
        <v>I will use apple phone</v>
      </c>
      <c r="D11264" s="5"/>
      <c r="E11264" s="5"/>
      <c r="F11264" s="5"/>
      <c r="G11264" s="5"/>
      <c r="H11264" s="5"/>
      <c r="I11264" s="5"/>
      <c r="J11264" s="5"/>
      <c r="K11264" s="5"/>
      <c r="L11264" s="5"/>
      <c r="M11264" s="5"/>
      <c r="N11264" s="5"/>
      <c r="O11264" s="5"/>
      <c r="P11264" s="5"/>
      <c r="Q11264" s="5"/>
      <c r="R11264" s="5"/>
      <c r="S11264" s="5"/>
      <c r="T11264" s="5"/>
      <c r="U11264" s="5"/>
      <c r="V11264" s="5"/>
      <c r="W11264" s="5"/>
      <c r="X11264" s="5"/>
      <c r="Y11264" s="5"/>
      <c r="Z11264" s="5"/>
    </row>
    <row r="11265" spans="1:26" ht="15" x14ac:dyDescent="0.25">
      <c r="A11265" s="4" t="s">
        <v>11262</v>
      </c>
      <c r="B11265" s="4" t="s">
        <v>9011</v>
      </c>
      <c r="C11265" s="2" t="str">
        <f ca="1">IFERROR(__xludf.DUMMYFUNCTION("GOOGLETRANSLATE(A11265,""bn"",""en"")"),"Will continue to play tennis")</f>
        <v>Will continue to play tennis</v>
      </c>
      <c r="D11265" s="5"/>
      <c r="E11265" s="5"/>
      <c r="F11265" s="5"/>
      <c r="G11265" s="5"/>
      <c r="H11265" s="5"/>
      <c r="I11265" s="5"/>
      <c r="J11265" s="5"/>
      <c r="K11265" s="5"/>
      <c r="L11265" s="5"/>
      <c r="M11265" s="5"/>
      <c r="N11265" s="5"/>
      <c r="O11265" s="5"/>
      <c r="P11265" s="5"/>
      <c r="Q11265" s="5"/>
      <c r="R11265" s="5"/>
      <c r="S11265" s="5"/>
      <c r="T11265" s="5"/>
      <c r="U11265" s="5"/>
      <c r="V11265" s="5"/>
      <c r="W11265" s="5"/>
      <c r="X11265" s="5"/>
      <c r="Y11265" s="5"/>
      <c r="Z11265" s="5"/>
    </row>
    <row r="11266" spans="1:26" ht="15" x14ac:dyDescent="0.25">
      <c r="A11266" s="4" t="s">
        <v>11263</v>
      </c>
      <c r="B11266" s="4" t="s">
        <v>9011</v>
      </c>
      <c r="C11266" s="2" t="str">
        <f ca="1">IFERROR(__xludf.DUMMYFUNCTION("GOOGLETRANSLATE(A11266,""bn"",""en"")"),"I will walk in a row")</f>
        <v>I will walk in a row</v>
      </c>
      <c r="D11266" s="5"/>
      <c r="E11266" s="5"/>
      <c r="F11266" s="5"/>
      <c r="G11266" s="5"/>
      <c r="H11266" s="5"/>
      <c r="I11266" s="5"/>
      <c r="J11266" s="5"/>
      <c r="K11266" s="5"/>
      <c r="L11266" s="5"/>
      <c r="M11266" s="5"/>
      <c r="N11266" s="5"/>
      <c r="O11266" s="5"/>
      <c r="P11266" s="5"/>
      <c r="Q11266" s="5"/>
      <c r="R11266" s="5"/>
      <c r="S11266" s="5"/>
      <c r="T11266" s="5"/>
      <c r="U11266" s="5"/>
      <c r="V11266" s="5"/>
      <c r="W11266" s="5"/>
      <c r="X11266" s="5"/>
      <c r="Y11266" s="5"/>
      <c r="Z11266" s="5"/>
    </row>
    <row r="11267" spans="1:26" ht="15" x14ac:dyDescent="0.25">
      <c r="A11267" s="4" t="s">
        <v>11264</v>
      </c>
      <c r="B11267" s="4" t="s">
        <v>9011</v>
      </c>
      <c r="C11267" s="2" t="str">
        <f ca="1">IFERROR(__xludf.DUMMYFUNCTION("GOOGLETRANSLATE(A11267,""bn"",""en"")"),"I will take IT training")</f>
        <v>I will take IT training</v>
      </c>
      <c r="D11267" s="5"/>
      <c r="E11267" s="5"/>
      <c r="F11267" s="5"/>
      <c r="G11267" s="5"/>
      <c r="H11267" s="5"/>
      <c r="I11267" s="5"/>
      <c r="J11267" s="5"/>
      <c r="K11267" s="5"/>
      <c r="L11267" s="5"/>
      <c r="M11267" s="5"/>
      <c r="N11267" s="5"/>
      <c r="O11267" s="5"/>
      <c r="P11267" s="5"/>
      <c r="Q11267" s="5"/>
      <c r="R11267" s="5"/>
      <c r="S11267" s="5"/>
      <c r="T11267" s="5"/>
      <c r="U11267" s="5"/>
      <c r="V11267" s="5"/>
      <c r="W11267" s="5"/>
      <c r="X11267" s="5"/>
      <c r="Y11267" s="5"/>
      <c r="Z11267" s="5"/>
    </row>
    <row r="11268" spans="1:26" ht="15" x14ac:dyDescent="0.25">
      <c r="A11268" s="4" t="s">
        <v>11265</v>
      </c>
      <c r="B11268" s="4" t="s">
        <v>9011</v>
      </c>
      <c r="C11268" s="2" t="str">
        <f ca="1">IFERROR(__xludf.DUMMYFUNCTION("GOOGLETRANSLATE(A11268,""bn"",""en"")"),"The code will refresh")</f>
        <v>The code will refresh</v>
      </c>
      <c r="D11268" s="5"/>
      <c r="E11268" s="5"/>
      <c r="F11268" s="5"/>
      <c r="G11268" s="5"/>
      <c r="H11268" s="5"/>
      <c r="I11268" s="5"/>
      <c r="J11268" s="5"/>
      <c r="K11268" s="5"/>
      <c r="L11268" s="5"/>
      <c r="M11268" s="5"/>
      <c r="N11268" s="5"/>
      <c r="O11268" s="5"/>
      <c r="P11268" s="5"/>
      <c r="Q11268" s="5"/>
      <c r="R11268" s="5"/>
      <c r="S11268" s="5"/>
      <c r="T11268" s="5"/>
      <c r="U11268" s="5"/>
      <c r="V11268" s="5"/>
      <c r="W11268" s="5"/>
      <c r="X11268" s="5"/>
      <c r="Y11268" s="5"/>
      <c r="Z11268" s="5"/>
    </row>
    <row r="11269" spans="1:26" ht="15" x14ac:dyDescent="0.25">
      <c r="A11269" s="4" t="s">
        <v>11266</v>
      </c>
      <c r="B11269" s="4" t="s">
        <v>9011</v>
      </c>
      <c r="C11269" s="2" t="str">
        <f ca="1">IFERROR(__xludf.DUMMYFUNCTION("GOOGLETRANSLATE(A11269,""bn"",""en"")"),"The programmer will make the system")</f>
        <v>The programmer will make the system</v>
      </c>
      <c r="D11269" s="5"/>
      <c r="E11269" s="5"/>
      <c r="F11269" s="5"/>
      <c r="G11269" s="5"/>
      <c r="H11269" s="5"/>
      <c r="I11269" s="5"/>
      <c r="J11269" s="5"/>
      <c r="K11269" s="5"/>
      <c r="L11269" s="5"/>
      <c r="M11269" s="5"/>
      <c r="N11269" s="5"/>
      <c r="O11269" s="5"/>
      <c r="P11269" s="5"/>
      <c r="Q11269" s="5"/>
      <c r="R11269" s="5"/>
      <c r="S11269" s="5"/>
      <c r="T11269" s="5"/>
      <c r="U11269" s="5"/>
      <c r="V11269" s="5"/>
      <c r="W11269" s="5"/>
      <c r="X11269" s="5"/>
      <c r="Y11269" s="5"/>
      <c r="Z11269" s="5"/>
    </row>
    <row r="11270" spans="1:26" ht="15" x14ac:dyDescent="0.25">
      <c r="A11270" s="4" t="s">
        <v>11267</v>
      </c>
      <c r="B11270" s="4" t="s">
        <v>9011</v>
      </c>
      <c r="C11270" s="2" t="str">
        <f ca="1">IFERROR(__xludf.DUMMYFUNCTION("GOOGLETRANSLATE(A11270,""bn"",""en"")"),"I will use the television")</f>
        <v>I will use the television</v>
      </c>
      <c r="D11270" s="5"/>
      <c r="E11270" s="5"/>
      <c r="F11270" s="5"/>
      <c r="G11270" s="5"/>
      <c r="H11270" s="5"/>
      <c r="I11270" s="5"/>
      <c r="J11270" s="5"/>
      <c r="K11270" s="5"/>
      <c r="L11270" s="5"/>
      <c r="M11270" s="5"/>
      <c r="N11270" s="5"/>
      <c r="O11270" s="5"/>
      <c r="P11270" s="5"/>
      <c r="Q11270" s="5"/>
      <c r="R11270" s="5"/>
      <c r="S11270" s="5"/>
      <c r="T11270" s="5"/>
      <c r="U11270" s="5"/>
      <c r="V11270" s="5"/>
      <c r="W11270" s="5"/>
      <c r="X11270" s="5"/>
      <c r="Y11270" s="5"/>
      <c r="Z11270" s="5"/>
    </row>
    <row r="11271" spans="1:26" ht="15" x14ac:dyDescent="0.25">
      <c r="A11271" s="4" t="s">
        <v>11268</v>
      </c>
      <c r="B11271" s="4" t="s">
        <v>9011</v>
      </c>
      <c r="C11271" s="2" t="str">
        <f ca="1">IFERROR(__xludf.DUMMYFUNCTION("GOOGLETRANSLATE(A11271,""bn"",""en"")"),"Life will be fulfilled")</f>
        <v>Life will be fulfilled</v>
      </c>
      <c r="D11271" s="5"/>
      <c r="E11271" s="5"/>
      <c r="F11271" s="5"/>
      <c r="G11271" s="5"/>
      <c r="H11271" s="5"/>
      <c r="I11271" s="5"/>
      <c r="J11271" s="5"/>
      <c r="K11271" s="5"/>
      <c r="L11271" s="5"/>
      <c r="M11271" s="5"/>
      <c r="N11271" s="5"/>
      <c r="O11271" s="5"/>
      <c r="P11271" s="5"/>
      <c r="Q11271" s="5"/>
      <c r="R11271" s="5"/>
      <c r="S11271" s="5"/>
      <c r="T11271" s="5"/>
      <c r="U11271" s="5"/>
      <c r="V11271" s="5"/>
      <c r="W11271" s="5"/>
      <c r="X11271" s="5"/>
      <c r="Y11271" s="5"/>
      <c r="Z11271" s="5"/>
    </row>
    <row r="11272" spans="1:26" ht="15" x14ac:dyDescent="0.25">
      <c r="A11272" s="4" t="s">
        <v>11269</v>
      </c>
      <c r="B11272" s="4" t="s">
        <v>9011</v>
      </c>
      <c r="C11272" s="2" t="str">
        <f ca="1">IFERROR(__xludf.DUMMYFUNCTION("GOOGLETRANSLATE(A11272,""bn"",""en"")"),"He will write music")</f>
        <v>He will write music</v>
      </c>
      <c r="D11272" s="5"/>
      <c r="E11272" s="5"/>
      <c r="F11272" s="5"/>
      <c r="G11272" s="5"/>
      <c r="H11272" s="5"/>
      <c r="I11272" s="5"/>
      <c r="J11272" s="5"/>
      <c r="K11272" s="5"/>
      <c r="L11272" s="5"/>
      <c r="M11272" s="5"/>
      <c r="N11272" s="5"/>
      <c r="O11272" s="5"/>
      <c r="P11272" s="5"/>
      <c r="Q11272" s="5"/>
      <c r="R11272" s="5"/>
      <c r="S11272" s="5"/>
      <c r="T11272" s="5"/>
      <c r="U11272" s="5"/>
      <c r="V11272" s="5"/>
      <c r="W11272" s="5"/>
      <c r="X11272" s="5"/>
      <c r="Y11272" s="5"/>
      <c r="Z11272" s="5"/>
    </row>
    <row r="11273" spans="1:26" ht="15" x14ac:dyDescent="0.25">
      <c r="A11273" s="4" t="s">
        <v>11270</v>
      </c>
      <c r="B11273" s="4" t="s">
        <v>9011</v>
      </c>
      <c r="C11273" s="2" t="str">
        <f ca="1">IFERROR(__xludf.DUMMYFUNCTION("GOOGLETRANSLATE(A11273,""bn"",""en"")"),"The target will be the score")</f>
        <v>The target will be the score</v>
      </c>
      <c r="D11273" s="5"/>
      <c r="E11273" s="5"/>
      <c r="F11273" s="5"/>
      <c r="G11273" s="5"/>
      <c r="H11273" s="5"/>
      <c r="I11273" s="5"/>
      <c r="J11273" s="5"/>
      <c r="K11273" s="5"/>
      <c r="L11273" s="5"/>
      <c r="M11273" s="5"/>
      <c r="N11273" s="5"/>
      <c r="O11273" s="5"/>
      <c r="P11273" s="5"/>
      <c r="Q11273" s="5"/>
      <c r="R11273" s="5"/>
      <c r="S11273" s="5"/>
      <c r="T11273" s="5"/>
      <c r="U11273" s="5"/>
      <c r="V11273" s="5"/>
      <c r="W11273" s="5"/>
      <c r="X11273" s="5"/>
      <c r="Y11273" s="5"/>
      <c r="Z11273" s="5"/>
    </row>
    <row r="11274" spans="1:26" ht="15" x14ac:dyDescent="0.25">
      <c r="A11274" s="4" t="s">
        <v>11271</v>
      </c>
      <c r="B11274" s="4" t="s">
        <v>9011</v>
      </c>
      <c r="C11274" s="2" t="str">
        <f ca="1">IFERROR(__xludf.DUMMYFUNCTION("GOOGLETRANSLATE(A11274,""bn"",""en"")"),"Reset the PC")</f>
        <v>Reset the PC</v>
      </c>
      <c r="D11274" s="5"/>
      <c r="E11274" s="5"/>
      <c r="F11274" s="5"/>
      <c r="G11274" s="5"/>
      <c r="H11274" s="5"/>
      <c r="I11274" s="5"/>
      <c r="J11274" s="5"/>
      <c r="K11274" s="5"/>
      <c r="L11274" s="5"/>
      <c r="M11274" s="5"/>
      <c r="N11274" s="5"/>
      <c r="O11274" s="5"/>
      <c r="P11274" s="5"/>
      <c r="Q11274" s="5"/>
      <c r="R11274" s="5"/>
      <c r="S11274" s="5"/>
      <c r="T11274" s="5"/>
      <c r="U11274" s="5"/>
      <c r="V11274" s="5"/>
      <c r="W11274" s="5"/>
      <c r="X11274" s="5"/>
      <c r="Y11274" s="5"/>
      <c r="Z11274" s="5"/>
    </row>
    <row r="11275" spans="1:26" ht="15" x14ac:dyDescent="0.25">
      <c r="A11275" s="4" t="s">
        <v>11272</v>
      </c>
      <c r="B11275" s="4" t="s">
        <v>9011</v>
      </c>
      <c r="C11275" s="2" t="str">
        <f ca="1">IFERROR(__xludf.DUMMYFUNCTION("GOOGLETRANSLATE(A11275,""bn"",""en"")"),"I will earn money")</f>
        <v>I will earn money</v>
      </c>
      <c r="D11275" s="5"/>
      <c r="E11275" s="5"/>
      <c r="F11275" s="5"/>
      <c r="G11275" s="5"/>
      <c r="H11275" s="5"/>
      <c r="I11275" s="5"/>
      <c r="J11275" s="5"/>
      <c r="K11275" s="5"/>
      <c r="L11275" s="5"/>
      <c r="M11275" s="5"/>
      <c r="N11275" s="5"/>
      <c r="O11275" s="5"/>
      <c r="P11275" s="5"/>
      <c r="Q11275" s="5"/>
      <c r="R11275" s="5"/>
      <c r="S11275" s="5"/>
      <c r="T11275" s="5"/>
      <c r="U11275" s="5"/>
      <c r="V11275" s="5"/>
      <c r="W11275" s="5"/>
      <c r="X11275" s="5"/>
      <c r="Y11275" s="5"/>
      <c r="Z11275" s="5"/>
    </row>
    <row r="11276" spans="1:26" ht="15" x14ac:dyDescent="0.25">
      <c r="A11276" s="4" t="s">
        <v>11273</v>
      </c>
      <c r="B11276" s="4" t="s">
        <v>9011</v>
      </c>
      <c r="C11276" s="2" t="str">
        <f ca="1">IFERROR(__xludf.DUMMYFUNCTION("GOOGLETRANSLATE(A11276,""bn"",""en"")"),"I will give priority to mother")</f>
        <v>I will give priority to mother</v>
      </c>
      <c r="D11276" s="5"/>
      <c r="E11276" s="5"/>
      <c r="F11276" s="5"/>
      <c r="G11276" s="5"/>
      <c r="H11276" s="5"/>
      <c r="I11276" s="5"/>
      <c r="J11276" s="5"/>
      <c r="K11276" s="5"/>
      <c r="L11276" s="5"/>
      <c r="M11276" s="5"/>
      <c r="N11276" s="5"/>
      <c r="O11276" s="5"/>
      <c r="P11276" s="5"/>
      <c r="Q11276" s="5"/>
      <c r="R11276" s="5"/>
      <c r="S11276" s="5"/>
      <c r="T11276" s="5"/>
      <c r="U11276" s="5"/>
      <c r="V11276" s="5"/>
      <c r="W11276" s="5"/>
      <c r="X11276" s="5"/>
      <c r="Y11276" s="5"/>
      <c r="Z11276" s="5"/>
    </row>
    <row r="11277" spans="1:26" ht="15" x14ac:dyDescent="0.25">
      <c r="A11277" s="4" t="s">
        <v>11274</v>
      </c>
      <c r="B11277" s="4" t="s">
        <v>9011</v>
      </c>
      <c r="C11277" s="2" t="str">
        <f ca="1">IFERROR(__xludf.DUMMYFUNCTION("GOOGLETRANSLATE(A11277,""bn"",""en"")"),"I will visit the Himalayas")</f>
        <v>I will visit the Himalayas</v>
      </c>
      <c r="D11277" s="5"/>
      <c r="E11277" s="5"/>
      <c r="F11277" s="5"/>
      <c r="G11277" s="5"/>
      <c r="H11277" s="5"/>
      <c r="I11277" s="5"/>
      <c r="J11277" s="5"/>
      <c r="K11277" s="5"/>
      <c r="L11277" s="5"/>
      <c r="M11277" s="5"/>
      <c r="N11277" s="5"/>
      <c r="O11277" s="5"/>
      <c r="P11277" s="5"/>
      <c r="Q11277" s="5"/>
      <c r="R11277" s="5"/>
      <c r="S11277" s="5"/>
      <c r="T11277" s="5"/>
      <c r="U11277" s="5"/>
      <c r="V11277" s="5"/>
      <c r="W11277" s="5"/>
      <c r="X11277" s="5"/>
      <c r="Y11277" s="5"/>
      <c r="Z11277" s="5"/>
    </row>
    <row r="11278" spans="1:26" ht="15" x14ac:dyDescent="0.25">
      <c r="A11278" s="4" t="s">
        <v>11275</v>
      </c>
      <c r="B11278" s="4" t="s">
        <v>9011</v>
      </c>
      <c r="C11278" s="2" t="str">
        <f ca="1">IFERROR(__xludf.DUMMYFUNCTION("GOOGLETRANSLATE(A11278,""bn"",""en"")"),"Political discussions will continue")</f>
        <v>Political discussions will continue</v>
      </c>
      <c r="D11278" s="5"/>
      <c r="E11278" s="5"/>
      <c r="F11278" s="5"/>
      <c r="G11278" s="5"/>
      <c r="H11278" s="5"/>
      <c r="I11278" s="5"/>
      <c r="J11278" s="5"/>
      <c r="K11278" s="5"/>
      <c r="L11278" s="5"/>
      <c r="M11278" s="5"/>
      <c r="N11278" s="5"/>
      <c r="O11278" s="5"/>
      <c r="P11278" s="5"/>
      <c r="Q11278" s="5"/>
      <c r="R11278" s="5"/>
      <c r="S11278" s="5"/>
      <c r="T11278" s="5"/>
      <c r="U11278" s="5"/>
      <c r="V11278" s="5"/>
      <c r="W11278" s="5"/>
      <c r="X11278" s="5"/>
      <c r="Y11278" s="5"/>
      <c r="Z11278" s="5"/>
    </row>
    <row r="11279" spans="1:26" ht="15" x14ac:dyDescent="0.25">
      <c r="A11279" s="4" t="s">
        <v>11276</v>
      </c>
      <c r="B11279" s="4" t="s">
        <v>9011</v>
      </c>
      <c r="C11279" s="2" t="str">
        <f ca="1">IFERROR(__xludf.DUMMYFUNCTION("GOOGLETRANSLATE(A11279,""bn"",""en"")"),"I will accept development")</f>
        <v>I will accept development</v>
      </c>
      <c r="D11279" s="5"/>
      <c r="E11279" s="5"/>
      <c r="F11279" s="5"/>
      <c r="G11279" s="5"/>
      <c r="H11279" s="5"/>
      <c r="I11279" s="5"/>
      <c r="J11279" s="5"/>
      <c r="K11279" s="5"/>
      <c r="L11279" s="5"/>
      <c r="M11279" s="5"/>
      <c r="N11279" s="5"/>
      <c r="O11279" s="5"/>
      <c r="P11279" s="5"/>
      <c r="Q11279" s="5"/>
      <c r="R11279" s="5"/>
      <c r="S11279" s="5"/>
      <c r="T11279" s="5"/>
      <c r="U11279" s="5"/>
      <c r="V11279" s="5"/>
      <c r="W11279" s="5"/>
      <c r="X11279" s="5"/>
      <c r="Y11279" s="5"/>
      <c r="Z11279" s="5"/>
    </row>
    <row r="11280" spans="1:26" ht="15" x14ac:dyDescent="0.25">
      <c r="A11280" s="4" t="s">
        <v>11277</v>
      </c>
      <c r="B11280" s="4" t="s">
        <v>9011</v>
      </c>
      <c r="C11280" s="2" t="str">
        <f ca="1">IFERROR(__xludf.DUMMYFUNCTION("GOOGLETRANSLATE(A11280,""bn"",""en"")"),"I will send information to the Internet")</f>
        <v>I will send information to the Internet</v>
      </c>
      <c r="D11280" s="5"/>
      <c r="E11280" s="5"/>
      <c r="F11280" s="5"/>
      <c r="G11280" s="5"/>
      <c r="H11280" s="5"/>
      <c r="I11280" s="5"/>
      <c r="J11280" s="5"/>
      <c r="K11280" s="5"/>
      <c r="L11280" s="5"/>
      <c r="M11280" s="5"/>
      <c r="N11280" s="5"/>
      <c r="O11280" s="5"/>
      <c r="P11280" s="5"/>
      <c r="Q11280" s="5"/>
      <c r="R11280" s="5"/>
      <c r="S11280" s="5"/>
      <c r="T11280" s="5"/>
      <c r="U11280" s="5"/>
      <c r="V11280" s="5"/>
      <c r="W11280" s="5"/>
      <c r="X11280" s="5"/>
      <c r="Y11280" s="5"/>
      <c r="Z11280" s="5"/>
    </row>
    <row r="11281" spans="1:26" ht="15" x14ac:dyDescent="0.25">
      <c r="A11281" s="4" t="s">
        <v>11278</v>
      </c>
      <c r="B11281" s="4" t="s">
        <v>9011</v>
      </c>
      <c r="C11281" s="2" t="str">
        <f ca="1">IFERROR(__xludf.DUMMYFUNCTION("GOOGLETRANSLATE(A11281,""bn"",""en"")"),"I will withdraw the money")</f>
        <v>I will withdraw the money</v>
      </c>
      <c r="D11281" s="5"/>
      <c r="E11281" s="5"/>
      <c r="F11281" s="5"/>
      <c r="G11281" s="5"/>
      <c r="H11281" s="5"/>
      <c r="I11281" s="5"/>
      <c r="J11281" s="5"/>
      <c r="K11281" s="5"/>
      <c r="L11281" s="5"/>
      <c r="M11281" s="5"/>
      <c r="N11281" s="5"/>
      <c r="O11281" s="5"/>
      <c r="P11281" s="5"/>
      <c r="Q11281" s="5"/>
      <c r="R11281" s="5"/>
      <c r="S11281" s="5"/>
      <c r="T11281" s="5"/>
      <c r="U11281" s="5"/>
      <c r="V11281" s="5"/>
      <c r="W11281" s="5"/>
      <c r="X11281" s="5"/>
      <c r="Y11281" s="5"/>
      <c r="Z11281" s="5"/>
    </row>
    <row r="11282" spans="1:26" ht="15" x14ac:dyDescent="0.25">
      <c r="A11282" s="4" t="s">
        <v>11279</v>
      </c>
      <c r="B11282" s="4" t="s">
        <v>9011</v>
      </c>
      <c r="C11282" s="2" t="str">
        <f ca="1">IFERROR(__xludf.DUMMYFUNCTION("GOOGLETRANSLATE(A11282,""bn"",""en"")"),"I will continue to audit")</f>
        <v>I will continue to audit</v>
      </c>
      <c r="D11282" s="5"/>
      <c r="E11282" s="5"/>
      <c r="F11282" s="5"/>
      <c r="G11282" s="5"/>
      <c r="H11282" s="5"/>
      <c r="I11282" s="5"/>
      <c r="J11282" s="5"/>
      <c r="K11282" s="5"/>
      <c r="L11282" s="5"/>
      <c r="M11282" s="5"/>
      <c r="N11282" s="5"/>
      <c r="O11282" s="5"/>
      <c r="P11282" s="5"/>
      <c r="Q11282" s="5"/>
      <c r="R11282" s="5"/>
      <c r="S11282" s="5"/>
      <c r="T11282" s="5"/>
      <c r="U11282" s="5"/>
      <c r="V11282" s="5"/>
      <c r="W11282" s="5"/>
      <c r="X11282" s="5"/>
      <c r="Y11282" s="5"/>
      <c r="Z11282" s="5"/>
    </row>
    <row r="11283" spans="1:26" ht="15" x14ac:dyDescent="0.25">
      <c r="A11283" s="4" t="s">
        <v>11280</v>
      </c>
      <c r="B11283" s="4" t="s">
        <v>9011</v>
      </c>
      <c r="C11283" s="2" t="str">
        <f ca="1">IFERROR(__xludf.DUMMYFUNCTION("GOOGLETRANSLATE(A11283,""bn"",""en"")"),"The circus will continue in politics")</f>
        <v>The circus will continue in politics</v>
      </c>
      <c r="D11283" s="5"/>
      <c r="E11283" s="5"/>
      <c r="F11283" s="5"/>
      <c r="G11283" s="5"/>
      <c r="H11283" s="5"/>
      <c r="I11283" s="5"/>
      <c r="J11283" s="5"/>
      <c r="K11283" s="5"/>
      <c r="L11283" s="5"/>
      <c r="M11283" s="5"/>
      <c r="N11283" s="5"/>
      <c r="O11283" s="5"/>
      <c r="P11283" s="5"/>
      <c r="Q11283" s="5"/>
      <c r="R11283" s="5"/>
      <c r="S11283" s="5"/>
      <c r="T11283" s="5"/>
      <c r="U11283" s="5"/>
      <c r="V11283" s="5"/>
      <c r="W11283" s="5"/>
      <c r="X11283" s="5"/>
      <c r="Y11283" s="5"/>
      <c r="Z11283" s="5"/>
    </row>
    <row r="11284" spans="1:26" ht="15" x14ac:dyDescent="0.25">
      <c r="A11284" s="4" t="s">
        <v>11281</v>
      </c>
      <c r="B11284" s="4" t="s">
        <v>9011</v>
      </c>
      <c r="C11284" s="2" t="str">
        <f ca="1">IFERROR(__xludf.DUMMYFUNCTION("GOOGLETRANSLATE(A11284,""bn"",""en"")"),"I will see it in the library")</f>
        <v>I will see it in the library</v>
      </c>
      <c r="D11284" s="5"/>
      <c r="E11284" s="5"/>
      <c r="F11284" s="5"/>
      <c r="G11284" s="5"/>
      <c r="H11284" s="5"/>
      <c r="I11284" s="5"/>
      <c r="J11284" s="5"/>
      <c r="K11284" s="5"/>
      <c r="L11284" s="5"/>
      <c r="M11284" s="5"/>
      <c r="N11284" s="5"/>
      <c r="O11284" s="5"/>
      <c r="P11284" s="5"/>
      <c r="Q11284" s="5"/>
      <c r="R11284" s="5"/>
      <c r="S11284" s="5"/>
      <c r="T11284" s="5"/>
      <c r="U11284" s="5"/>
      <c r="V11284" s="5"/>
      <c r="W11284" s="5"/>
      <c r="X11284" s="5"/>
      <c r="Y11284" s="5"/>
      <c r="Z11284" s="5"/>
    </row>
    <row r="11285" spans="1:26" ht="15" x14ac:dyDescent="0.25">
      <c r="A11285" s="4" t="s">
        <v>11282</v>
      </c>
      <c r="B11285" s="4" t="s">
        <v>9011</v>
      </c>
      <c r="C11285" s="2" t="str">
        <f ca="1">IFERROR(__xludf.DUMMYFUNCTION("GOOGLETRANSLATE(A11285,""bn"",""en"")"),"will design the program")</f>
        <v>will design the program</v>
      </c>
      <c r="D11285" s="5"/>
      <c r="E11285" s="5"/>
      <c r="F11285" s="5"/>
      <c r="G11285" s="5"/>
      <c r="H11285" s="5"/>
      <c r="I11285" s="5"/>
      <c r="J11285" s="5"/>
      <c r="K11285" s="5"/>
      <c r="L11285" s="5"/>
      <c r="M11285" s="5"/>
      <c r="N11285" s="5"/>
      <c r="O11285" s="5"/>
      <c r="P11285" s="5"/>
      <c r="Q11285" s="5"/>
      <c r="R11285" s="5"/>
      <c r="S11285" s="5"/>
      <c r="T11285" s="5"/>
      <c r="U11285" s="5"/>
      <c r="V11285" s="5"/>
      <c r="W11285" s="5"/>
      <c r="X11285" s="5"/>
      <c r="Y11285" s="5"/>
      <c r="Z11285" s="5"/>
    </row>
    <row r="11286" spans="1:26" ht="15" x14ac:dyDescent="0.25">
      <c r="A11286" s="4" t="s">
        <v>11283</v>
      </c>
      <c r="B11286" s="4" t="s">
        <v>9011</v>
      </c>
      <c r="C11286" s="2" t="str">
        <f ca="1">IFERROR(__xludf.DUMMYFUNCTION("GOOGLETRANSLATE(A11286,""bn"",""en"")"),"I will buy necessary food")</f>
        <v>I will buy necessary food</v>
      </c>
      <c r="D11286" s="5"/>
      <c r="E11286" s="5"/>
      <c r="F11286" s="5"/>
      <c r="G11286" s="5"/>
      <c r="H11286" s="5"/>
      <c r="I11286" s="5"/>
      <c r="J11286" s="5"/>
      <c r="K11286" s="5"/>
      <c r="L11286" s="5"/>
      <c r="M11286" s="5"/>
      <c r="N11286" s="5"/>
      <c r="O11286" s="5"/>
      <c r="P11286" s="5"/>
      <c r="Q11286" s="5"/>
      <c r="R11286" s="5"/>
      <c r="S11286" s="5"/>
      <c r="T11286" s="5"/>
      <c r="U11286" s="5"/>
      <c r="V11286" s="5"/>
      <c r="W11286" s="5"/>
      <c r="X11286" s="5"/>
      <c r="Y11286" s="5"/>
      <c r="Z11286" s="5"/>
    </row>
    <row r="11287" spans="1:26" ht="15" x14ac:dyDescent="0.25">
      <c r="A11287" s="4" t="s">
        <v>11284</v>
      </c>
      <c r="B11287" s="4" t="s">
        <v>9011</v>
      </c>
      <c r="C11287" s="2" t="str">
        <f ca="1">IFERROR(__xludf.DUMMYFUNCTION("GOOGLETRANSLATE(A11287,""bn"",""en"")"),"Everyone will watch the game")</f>
        <v>Everyone will watch the game</v>
      </c>
      <c r="D11287" s="5"/>
      <c r="E11287" s="5"/>
      <c r="F11287" s="5"/>
      <c r="G11287" s="5"/>
      <c r="H11287" s="5"/>
      <c r="I11287" s="5"/>
      <c r="J11287" s="5"/>
      <c r="K11287" s="5"/>
      <c r="L11287" s="5"/>
      <c r="M11287" s="5"/>
      <c r="N11287" s="5"/>
      <c r="O11287" s="5"/>
      <c r="P11287" s="5"/>
      <c r="Q11287" s="5"/>
      <c r="R11287" s="5"/>
      <c r="S11287" s="5"/>
      <c r="T11287" s="5"/>
      <c r="U11287" s="5"/>
      <c r="V11287" s="5"/>
      <c r="W11287" s="5"/>
      <c r="X11287" s="5"/>
      <c r="Y11287" s="5"/>
      <c r="Z11287" s="5"/>
    </row>
    <row r="11288" spans="1:26" ht="15" x14ac:dyDescent="0.25">
      <c r="A11288" s="4" t="s">
        <v>11285</v>
      </c>
      <c r="B11288" s="4" t="s">
        <v>9011</v>
      </c>
      <c r="C11288" s="2" t="str">
        <f ca="1">IFERROR(__xludf.DUMMYFUNCTION("GOOGLETRANSLATE(A11288,""bn"",""en"")"),"I will keep posting")</f>
        <v>I will keep posting</v>
      </c>
      <c r="D11288" s="5"/>
      <c r="E11288" s="5"/>
      <c r="F11288" s="5"/>
      <c r="G11288" s="5"/>
      <c r="H11288" s="5"/>
      <c r="I11288" s="5"/>
      <c r="J11288" s="5"/>
      <c r="K11288" s="5"/>
      <c r="L11288" s="5"/>
      <c r="M11288" s="5"/>
      <c r="N11288" s="5"/>
      <c r="O11288" s="5"/>
      <c r="P11288" s="5"/>
      <c r="Q11288" s="5"/>
      <c r="R11288" s="5"/>
      <c r="S11288" s="5"/>
      <c r="T11288" s="5"/>
      <c r="U11288" s="5"/>
      <c r="V11288" s="5"/>
      <c r="W11288" s="5"/>
      <c r="X11288" s="5"/>
      <c r="Y11288" s="5"/>
      <c r="Z11288" s="5"/>
    </row>
    <row r="11289" spans="1:26" ht="15" x14ac:dyDescent="0.25">
      <c r="A11289" s="4" t="s">
        <v>11286</v>
      </c>
      <c r="B11289" s="4" t="s">
        <v>9011</v>
      </c>
      <c r="C11289" s="2" t="str">
        <f ca="1">IFERROR(__xludf.DUMMYFUNCTION("GOOGLETRANSLATE(A11289,""bn"",""en"")"),"China will be historic")</f>
        <v>China will be historic</v>
      </c>
      <c r="D11289" s="5"/>
      <c r="E11289" s="5"/>
      <c r="F11289" s="5"/>
      <c r="G11289" s="5"/>
      <c r="H11289" s="5"/>
      <c r="I11289" s="5"/>
      <c r="J11289" s="5"/>
      <c r="K11289" s="5"/>
      <c r="L11289" s="5"/>
      <c r="M11289" s="5"/>
      <c r="N11289" s="5"/>
      <c r="O11289" s="5"/>
      <c r="P11289" s="5"/>
      <c r="Q11289" s="5"/>
      <c r="R11289" s="5"/>
      <c r="S11289" s="5"/>
      <c r="T11289" s="5"/>
      <c r="U11289" s="5"/>
      <c r="V11289" s="5"/>
      <c r="W11289" s="5"/>
      <c r="X11289" s="5"/>
      <c r="Y11289" s="5"/>
      <c r="Z11289" s="5"/>
    </row>
    <row r="11290" spans="1:26" ht="15" x14ac:dyDescent="0.25">
      <c r="A11290" s="4" t="s">
        <v>11287</v>
      </c>
      <c r="B11290" s="4" t="s">
        <v>9011</v>
      </c>
      <c r="C11290" s="2" t="str">
        <f ca="1">IFERROR(__xludf.DUMMYFUNCTION("GOOGLETRANSLATE(A11290,""bn"",""en"")"),"I will walk to the mosque")</f>
        <v>I will walk to the mosque</v>
      </c>
      <c r="D11290" s="5"/>
      <c r="E11290" s="5"/>
      <c r="F11290" s="5"/>
      <c r="G11290" s="5"/>
      <c r="H11290" s="5"/>
      <c r="I11290" s="5"/>
      <c r="J11290" s="5"/>
      <c r="K11290" s="5"/>
      <c r="L11290" s="5"/>
      <c r="M11290" s="5"/>
      <c r="N11290" s="5"/>
      <c r="O11290" s="5"/>
      <c r="P11290" s="5"/>
      <c r="Q11290" s="5"/>
      <c r="R11290" s="5"/>
      <c r="S11290" s="5"/>
      <c r="T11290" s="5"/>
      <c r="U11290" s="5"/>
      <c r="V11290" s="5"/>
      <c r="W11290" s="5"/>
      <c r="X11290" s="5"/>
      <c r="Y11290" s="5"/>
      <c r="Z11290" s="5"/>
    </row>
    <row r="11291" spans="1:26" ht="15" x14ac:dyDescent="0.25">
      <c r="A11291" s="4" t="s">
        <v>11288</v>
      </c>
      <c r="B11291" s="4" t="s">
        <v>9011</v>
      </c>
      <c r="C11291" s="2" t="str">
        <f ca="1">IFERROR(__xludf.DUMMYFUNCTION("GOOGLETRANSLATE(A11291,""bn"",""en"")"),"The system will reboot")</f>
        <v>The system will reboot</v>
      </c>
      <c r="D11291" s="5"/>
      <c r="E11291" s="5"/>
      <c r="F11291" s="5"/>
      <c r="G11291" s="5"/>
      <c r="H11291" s="5"/>
      <c r="I11291" s="5"/>
      <c r="J11291" s="5"/>
      <c r="K11291" s="5"/>
      <c r="L11291" s="5"/>
      <c r="M11291" s="5"/>
      <c r="N11291" s="5"/>
      <c r="O11291" s="5"/>
      <c r="P11291" s="5"/>
      <c r="Q11291" s="5"/>
      <c r="R11291" s="5"/>
      <c r="S11291" s="5"/>
      <c r="T11291" s="5"/>
      <c r="U11291" s="5"/>
      <c r="V11291" s="5"/>
      <c r="W11291" s="5"/>
      <c r="X11291" s="5"/>
      <c r="Y11291" s="5"/>
      <c r="Z11291" s="5"/>
    </row>
    <row r="11292" spans="1:26" ht="15" x14ac:dyDescent="0.25">
      <c r="A11292" s="4" t="s">
        <v>11289</v>
      </c>
      <c r="B11292" s="4" t="s">
        <v>9011</v>
      </c>
      <c r="C11292" s="2" t="str">
        <f ca="1">IFERROR(__xludf.DUMMYFUNCTION("GOOGLETRANSLATE(A11292,""bn"",""en"")"),"Eat protective foods")</f>
        <v>Eat protective foods</v>
      </c>
      <c r="D11292" s="5"/>
      <c r="E11292" s="5"/>
      <c r="F11292" s="5"/>
      <c r="G11292" s="5"/>
      <c r="H11292" s="5"/>
      <c r="I11292" s="5"/>
      <c r="J11292" s="5"/>
      <c r="K11292" s="5"/>
      <c r="L11292" s="5"/>
      <c r="M11292" s="5"/>
      <c r="N11292" s="5"/>
      <c r="O11292" s="5"/>
      <c r="P11292" s="5"/>
      <c r="Q11292" s="5"/>
      <c r="R11292" s="5"/>
      <c r="S11292" s="5"/>
      <c r="T11292" s="5"/>
      <c r="U11292" s="5"/>
      <c r="V11292" s="5"/>
      <c r="W11292" s="5"/>
      <c r="X11292" s="5"/>
      <c r="Y11292" s="5"/>
      <c r="Z11292" s="5"/>
    </row>
    <row r="11293" spans="1:26" ht="15" x14ac:dyDescent="0.25">
      <c r="A11293" s="4" t="s">
        <v>11290</v>
      </c>
      <c r="B11293" s="4" t="s">
        <v>9011</v>
      </c>
      <c r="C11293" s="2" t="str">
        <f ca="1">IFERROR(__xludf.DUMMYFUNCTION("GOOGLETRANSLATE(A11293,""bn"",""en"")"),"Stay healthy for a long time by eating protective food")</f>
        <v>Stay healthy for a long time by eating protective food</v>
      </c>
      <c r="D11293" s="5"/>
      <c r="E11293" s="5"/>
      <c r="F11293" s="5"/>
      <c r="G11293" s="5"/>
      <c r="H11293" s="5"/>
      <c r="I11293" s="5"/>
      <c r="J11293" s="5"/>
      <c r="K11293" s="5"/>
      <c r="L11293" s="5"/>
      <c r="M11293" s="5"/>
      <c r="N11293" s="5"/>
      <c r="O11293" s="5"/>
      <c r="P11293" s="5"/>
      <c r="Q11293" s="5"/>
      <c r="R11293" s="5"/>
      <c r="S11293" s="5"/>
      <c r="T11293" s="5"/>
      <c r="U11293" s="5"/>
      <c r="V11293" s="5"/>
      <c r="W11293" s="5"/>
      <c r="X11293" s="5"/>
      <c r="Y11293" s="5"/>
      <c r="Z11293" s="5"/>
    </row>
    <row r="11294" spans="1:26" ht="15" x14ac:dyDescent="0.25">
      <c r="A11294" s="4" t="s">
        <v>11291</v>
      </c>
      <c r="B11294" s="4" t="s">
        <v>9011</v>
      </c>
      <c r="C11294" s="2" t="str">
        <f ca="1">IFERROR(__xludf.DUMMYFUNCTION("GOOGLETRANSLATE(A11294,""bn"",""en"")"),"Code bugs will be fixed")</f>
        <v>Code bugs will be fixed</v>
      </c>
      <c r="D11294" s="5"/>
      <c r="E11294" s="5"/>
      <c r="F11294" s="5"/>
      <c r="G11294" s="5"/>
      <c r="H11294" s="5"/>
      <c r="I11294" s="5"/>
      <c r="J11294" s="5"/>
      <c r="K11294" s="5"/>
      <c r="L11294" s="5"/>
      <c r="M11294" s="5"/>
      <c r="N11294" s="5"/>
      <c r="O11294" s="5"/>
      <c r="P11294" s="5"/>
      <c r="Q11294" s="5"/>
      <c r="R11294" s="5"/>
      <c r="S11294" s="5"/>
      <c r="T11294" s="5"/>
      <c r="U11294" s="5"/>
      <c r="V11294" s="5"/>
      <c r="W11294" s="5"/>
      <c r="X11294" s="5"/>
      <c r="Y11294" s="5"/>
      <c r="Z11294" s="5"/>
    </row>
    <row r="11295" spans="1:26" ht="15" x14ac:dyDescent="0.25">
      <c r="A11295" s="4" t="s">
        <v>11292</v>
      </c>
      <c r="B11295" s="4" t="s">
        <v>9011</v>
      </c>
      <c r="C11295" s="2" t="str">
        <f ca="1">IFERROR(__xludf.DUMMYFUNCTION("GOOGLETRANSLATE(A11295,""bn"",""en"")"),"He will listen to the Qur'an")</f>
        <v>He will listen to the Qur'an</v>
      </c>
      <c r="D11295" s="5"/>
      <c r="E11295" s="5"/>
      <c r="F11295" s="5"/>
      <c r="G11295" s="5"/>
      <c r="H11295" s="5"/>
      <c r="I11295" s="5"/>
      <c r="J11295" s="5"/>
      <c r="K11295" s="5"/>
      <c r="L11295" s="5"/>
      <c r="M11295" s="5"/>
      <c r="N11295" s="5"/>
      <c r="O11295" s="5"/>
      <c r="P11295" s="5"/>
      <c r="Q11295" s="5"/>
      <c r="R11295" s="5"/>
      <c r="S11295" s="5"/>
      <c r="T11295" s="5"/>
      <c r="U11295" s="5"/>
      <c r="V11295" s="5"/>
      <c r="W11295" s="5"/>
      <c r="X11295" s="5"/>
      <c r="Y11295" s="5"/>
      <c r="Z11295" s="5"/>
    </row>
    <row r="11296" spans="1:26" ht="15" x14ac:dyDescent="0.25">
      <c r="A11296" s="4" t="s">
        <v>11293</v>
      </c>
      <c r="B11296" s="4" t="s">
        <v>9011</v>
      </c>
      <c r="C11296" s="2" t="str">
        <f ca="1">IFERROR(__xludf.DUMMYFUNCTION("GOOGLETRANSLATE(A11296,""bn"",""en"")"),"I will spend time in the media")</f>
        <v>I will spend time in the media</v>
      </c>
      <c r="D11296" s="5"/>
      <c r="E11296" s="5"/>
      <c r="F11296" s="5"/>
      <c r="G11296" s="5"/>
      <c r="H11296" s="5"/>
      <c r="I11296" s="5"/>
      <c r="J11296" s="5"/>
      <c r="K11296" s="5"/>
      <c r="L11296" s="5"/>
      <c r="M11296" s="5"/>
      <c r="N11296" s="5"/>
      <c r="O11296" s="5"/>
      <c r="P11296" s="5"/>
      <c r="Q11296" s="5"/>
      <c r="R11296" s="5"/>
      <c r="S11296" s="5"/>
      <c r="T11296" s="5"/>
      <c r="U11296" s="5"/>
      <c r="V11296" s="5"/>
      <c r="W11296" s="5"/>
      <c r="X11296" s="5"/>
      <c r="Y11296" s="5"/>
      <c r="Z11296" s="5"/>
    </row>
    <row r="11297" spans="1:26" ht="15" x14ac:dyDescent="0.25">
      <c r="A11297" s="4" t="s">
        <v>11294</v>
      </c>
      <c r="B11297" s="4" t="s">
        <v>9011</v>
      </c>
      <c r="C11297" s="2" t="str">
        <f ca="1">IFERROR(__xludf.DUMMYFUNCTION("GOOGLETRANSLATE(A11297,""bn"",""en"")"),"Linux would be easier")</f>
        <v>Linux would be easier</v>
      </c>
      <c r="D11297" s="5"/>
      <c r="E11297" s="5"/>
      <c r="F11297" s="5"/>
      <c r="G11297" s="5"/>
      <c r="H11297" s="5"/>
      <c r="I11297" s="5"/>
      <c r="J11297" s="5"/>
      <c r="K11297" s="5"/>
      <c r="L11297" s="5"/>
      <c r="M11297" s="5"/>
      <c r="N11297" s="5"/>
      <c r="O11297" s="5"/>
      <c r="P11297" s="5"/>
      <c r="Q11297" s="5"/>
      <c r="R11297" s="5"/>
      <c r="S11297" s="5"/>
      <c r="T11297" s="5"/>
      <c r="U11297" s="5"/>
      <c r="V11297" s="5"/>
      <c r="W11297" s="5"/>
      <c r="X11297" s="5"/>
      <c r="Y11297" s="5"/>
      <c r="Z11297" s="5"/>
    </row>
    <row r="11298" spans="1:26" ht="15" x14ac:dyDescent="0.25">
      <c r="A11298" s="4" t="s">
        <v>11295</v>
      </c>
      <c r="B11298" s="4" t="s">
        <v>9011</v>
      </c>
      <c r="C11298" s="2" t="str">
        <f ca="1">IFERROR(__xludf.DUMMYFUNCTION("GOOGLETRANSLATE(A11298,""bn"",""en"")"),"I will continue to stay")</f>
        <v>I will continue to stay</v>
      </c>
      <c r="D11298" s="5"/>
      <c r="E11298" s="5"/>
      <c r="F11298" s="5"/>
      <c r="G11298" s="5"/>
      <c r="H11298" s="5"/>
      <c r="I11298" s="5"/>
      <c r="J11298" s="5"/>
      <c r="K11298" s="5"/>
      <c r="L11298" s="5"/>
      <c r="M11298" s="5"/>
      <c r="N11298" s="5"/>
      <c r="O11298" s="5"/>
      <c r="P11298" s="5"/>
      <c r="Q11298" s="5"/>
      <c r="R11298" s="5"/>
      <c r="S11298" s="5"/>
      <c r="T11298" s="5"/>
      <c r="U11298" s="5"/>
      <c r="V11298" s="5"/>
      <c r="W11298" s="5"/>
      <c r="X11298" s="5"/>
      <c r="Y11298" s="5"/>
      <c r="Z11298" s="5"/>
    </row>
    <row r="11299" spans="1:26" ht="15" x14ac:dyDescent="0.25">
      <c r="A11299" s="4" t="s">
        <v>11296</v>
      </c>
      <c r="B11299" s="4" t="s">
        <v>9011</v>
      </c>
      <c r="C11299" s="2" t="str">
        <f ca="1">IFERROR(__xludf.DUMMYFUNCTION("GOOGLETRANSLATE(A11299,""bn"",""en"")"),"Parliament will continue")</f>
        <v>Parliament will continue</v>
      </c>
      <c r="D11299" s="5"/>
      <c r="E11299" s="5"/>
      <c r="F11299" s="5"/>
      <c r="G11299" s="5"/>
      <c r="H11299" s="5"/>
      <c r="I11299" s="5"/>
      <c r="J11299" s="5"/>
      <c r="K11299" s="5"/>
      <c r="L11299" s="5"/>
      <c r="M11299" s="5"/>
      <c r="N11299" s="5"/>
      <c r="O11299" s="5"/>
      <c r="P11299" s="5"/>
      <c r="Q11299" s="5"/>
      <c r="R11299" s="5"/>
      <c r="S11299" s="5"/>
      <c r="T11299" s="5"/>
      <c r="U11299" s="5"/>
      <c r="V11299" s="5"/>
      <c r="W11299" s="5"/>
      <c r="X11299" s="5"/>
      <c r="Y11299" s="5"/>
      <c r="Z11299" s="5"/>
    </row>
    <row r="11300" spans="1:26" ht="15" x14ac:dyDescent="0.25">
      <c r="A11300" s="4" t="s">
        <v>11297</v>
      </c>
      <c r="B11300" s="4" t="s">
        <v>9011</v>
      </c>
      <c r="C11300" s="2" t="str">
        <f ca="1">IFERROR(__xludf.DUMMYFUNCTION("GOOGLETRANSLATE(A11300,""bn"",""en"")"),"Player will play badminton")</f>
        <v>Player will play badminton</v>
      </c>
      <c r="D11300" s="5"/>
      <c r="E11300" s="5"/>
      <c r="F11300" s="5"/>
      <c r="G11300" s="5"/>
      <c r="H11300" s="5"/>
      <c r="I11300" s="5"/>
      <c r="J11300" s="5"/>
      <c r="K11300" s="5"/>
      <c r="L11300" s="5"/>
      <c r="M11300" s="5"/>
      <c r="N11300" s="5"/>
      <c r="O11300" s="5"/>
      <c r="P11300" s="5"/>
      <c r="Q11300" s="5"/>
      <c r="R11300" s="5"/>
      <c r="S11300" s="5"/>
      <c r="T11300" s="5"/>
      <c r="U11300" s="5"/>
      <c r="V11300" s="5"/>
      <c r="W11300" s="5"/>
      <c r="X11300" s="5"/>
      <c r="Y11300" s="5"/>
      <c r="Z11300" s="5"/>
    </row>
    <row r="11301" spans="1:26" ht="15" x14ac:dyDescent="0.25">
      <c r="A11301" s="4" t="s">
        <v>11298</v>
      </c>
      <c r="B11301" s="4" t="s">
        <v>9011</v>
      </c>
      <c r="C11301" s="2" t="str">
        <f ca="1">IFERROR(__xludf.DUMMYFUNCTION("GOOGLETRANSLATE(A11301,""bn"",""en"")"),"Size will be small")</f>
        <v>Size will be small</v>
      </c>
      <c r="D11301" s="5"/>
      <c r="E11301" s="5"/>
      <c r="F11301" s="5"/>
      <c r="G11301" s="5"/>
      <c r="H11301" s="5"/>
      <c r="I11301" s="5"/>
      <c r="J11301" s="5"/>
      <c r="K11301" s="5"/>
      <c r="L11301" s="5"/>
      <c r="M11301" s="5"/>
      <c r="N11301" s="5"/>
      <c r="O11301" s="5"/>
      <c r="P11301" s="5"/>
      <c r="Q11301" s="5"/>
      <c r="R11301" s="5"/>
      <c r="S11301" s="5"/>
      <c r="T11301" s="5"/>
      <c r="U11301" s="5"/>
      <c r="V11301" s="5"/>
      <c r="W11301" s="5"/>
      <c r="X11301" s="5"/>
      <c r="Y11301" s="5"/>
      <c r="Z11301" s="5"/>
    </row>
    <row r="11302" spans="1:26" ht="15" x14ac:dyDescent="0.25">
      <c r="A11302" s="4" t="s">
        <v>11299</v>
      </c>
      <c r="B11302" s="4" t="s">
        <v>9011</v>
      </c>
      <c r="C11302" s="2" t="str">
        <f ca="1">IFERROR(__xludf.DUMMYFUNCTION("GOOGLETRANSLATE(A11302,""bn"",""en"")"),"I will be proficient in technology")</f>
        <v>I will be proficient in technology</v>
      </c>
      <c r="D11302" s="5"/>
      <c r="E11302" s="5"/>
      <c r="F11302" s="5"/>
      <c r="G11302" s="5"/>
      <c r="H11302" s="5"/>
      <c r="I11302" s="5"/>
      <c r="J11302" s="5"/>
      <c r="K11302" s="5"/>
      <c r="L11302" s="5"/>
      <c r="M11302" s="5"/>
      <c r="N11302" s="5"/>
      <c r="O11302" s="5"/>
      <c r="P11302" s="5"/>
      <c r="Q11302" s="5"/>
      <c r="R11302" s="5"/>
      <c r="S11302" s="5"/>
      <c r="T11302" s="5"/>
      <c r="U11302" s="5"/>
      <c r="V11302" s="5"/>
      <c r="W11302" s="5"/>
      <c r="X11302" s="5"/>
      <c r="Y11302" s="5"/>
      <c r="Z11302" s="5"/>
    </row>
    <row r="11303" spans="1:26" ht="15" x14ac:dyDescent="0.25">
      <c r="A11303" s="4" t="s">
        <v>11300</v>
      </c>
      <c r="B11303" s="4" t="s">
        <v>9011</v>
      </c>
      <c r="C11303" s="2" t="str">
        <f ca="1">IFERROR(__xludf.DUMMYFUNCTION("GOOGLETRANSLATE(A11303,""bn"",""en"")"),"The library will be removed")</f>
        <v>The library will be removed</v>
      </c>
      <c r="D11303" s="5"/>
      <c r="E11303" s="5"/>
      <c r="F11303" s="5"/>
      <c r="G11303" s="5"/>
      <c r="H11303" s="5"/>
      <c r="I11303" s="5"/>
      <c r="J11303" s="5"/>
      <c r="K11303" s="5"/>
      <c r="L11303" s="5"/>
      <c r="M11303" s="5"/>
      <c r="N11303" s="5"/>
      <c r="O11303" s="5"/>
      <c r="P11303" s="5"/>
      <c r="Q11303" s="5"/>
      <c r="R11303" s="5"/>
      <c r="S11303" s="5"/>
      <c r="T11303" s="5"/>
      <c r="U11303" s="5"/>
      <c r="V11303" s="5"/>
      <c r="W11303" s="5"/>
      <c r="X11303" s="5"/>
      <c r="Y11303" s="5"/>
      <c r="Z11303" s="5"/>
    </row>
    <row r="11304" spans="1:26" ht="15" x14ac:dyDescent="0.25">
      <c r="A11304" s="4" t="s">
        <v>11301</v>
      </c>
      <c r="B11304" s="4" t="s">
        <v>9011</v>
      </c>
      <c r="C11304" s="2" t="str">
        <f ca="1">IFERROR(__xludf.DUMMYFUNCTION("GOOGLETRANSLATE(A11304,""bn"",""en"")"),"Support will be revealed")</f>
        <v>Support will be revealed</v>
      </c>
      <c r="D11304" s="5"/>
      <c r="E11304" s="5"/>
      <c r="F11304" s="5"/>
      <c r="G11304" s="5"/>
      <c r="H11304" s="5"/>
      <c r="I11304" s="5"/>
      <c r="J11304" s="5"/>
      <c r="K11304" s="5"/>
      <c r="L11304" s="5"/>
      <c r="M11304" s="5"/>
      <c r="N11304" s="5"/>
      <c r="O11304" s="5"/>
      <c r="P11304" s="5"/>
      <c r="Q11304" s="5"/>
      <c r="R11304" s="5"/>
      <c r="S11304" s="5"/>
      <c r="T11304" s="5"/>
      <c r="U11304" s="5"/>
      <c r="V11304" s="5"/>
      <c r="W11304" s="5"/>
      <c r="X11304" s="5"/>
      <c r="Y11304" s="5"/>
      <c r="Z11304" s="5"/>
    </row>
    <row r="11305" spans="1:26" ht="15" x14ac:dyDescent="0.25">
      <c r="A11305" s="4" t="s">
        <v>11302</v>
      </c>
      <c r="B11305" s="4" t="s">
        <v>9011</v>
      </c>
      <c r="C11305" s="2" t="str">
        <f ca="1">IFERROR(__xludf.DUMMYFUNCTION("GOOGLETRANSLATE(A11305,""bn"",""en"")"),"Prose will be read")</f>
        <v>Prose will be read</v>
      </c>
      <c r="D11305" s="5"/>
      <c r="E11305" s="5"/>
      <c r="F11305" s="5"/>
      <c r="G11305" s="5"/>
      <c r="H11305" s="5"/>
      <c r="I11305" s="5"/>
      <c r="J11305" s="5"/>
      <c r="K11305" s="5"/>
      <c r="L11305" s="5"/>
      <c r="M11305" s="5"/>
      <c r="N11305" s="5"/>
      <c r="O11305" s="5"/>
      <c r="P11305" s="5"/>
      <c r="Q11305" s="5"/>
      <c r="R11305" s="5"/>
      <c r="S11305" s="5"/>
      <c r="T11305" s="5"/>
      <c r="U11305" s="5"/>
      <c r="V11305" s="5"/>
      <c r="W11305" s="5"/>
      <c r="X11305" s="5"/>
      <c r="Y11305" s="5"/>
      <c r="Z11305" s="5"/>
    </row>
    <row r="11306" spans="1:26" ht="15" x14ac:dyDescent="0.25">
      <c r="A11306" s="4" t="s">
        <v>11303</v>
      </c>
      <c r="B11306" s="4" t="s">
        <v>9011</v>
      </c>
      <c r="C11306" s="2" t="str">
        <f ca="1">IFERROR(__xludf.DUMMYFUNCTION("GOOGLETRANSLATE(A11306,""bn"",""en"")"),"I will be enlightened with knowledge")</f>
        <v>I will be enlightened with knowledge</v>
      </c>
      <c r="D11306" s="5"/>
      <c r="E11306" s="5"/>
      <c r="F11306" s="5"/>
      <c r="G11306" s="5"/>
      <c r="H11306" s="5"/>
      <c r="I11306" s="5"/>
      <c r="J11306" s="5"/>
      <c r="K11306" s="5"/>
      <c r="L11306" s="5"/>
      <c r="M11306" s="5"/>
      <c r="N11306" s="5"/>
      <c r="O11306" s="5"/>
      <c r="P11306" s="5"/>
      <c r="Q11306" s="5"/>
      <c r="R11306" s="5"/>
      <c r="S11306" s="5"/>
      <c r="T11306" s="5"/>
      <c r="U11306" s="5"/>
      <c r="V11306" s="5"/>
      <c r="W11306" s="5"/>
      <c r="X11306" s="5"/>
      <c r="Y11306" s="5"/>
      <c r="Z11306" s="5"/>
    </row>
    <row r="11307" spans="1:26" ht="15" x14ac:dyDescent="0.25">
      <c r="A11307" s="4" t="s">
        <v>11304</v>
      </c>
      <c r="B11307" s="4" t="s">
        <v>9011</v>
      </c>
      <c r="C11307" s="2" t="str">
        <f ca="1">IFERROR(__xludf.DUMMYFUNCTION("GOOGLETRANSLATE(A11307,""bn"",""en"")"),"Kashmir will continue to go")</f>
        <v>Kashmir will continue to go</v>
      </c>
      <c r="D11307" s="5"/>
      <c r="E11307" s="5"/>
      <c r="F11307" s="5"/>
      <c r="G11307" s="5"/>
      <c r="H11307" s="5"/>
      <c r="I11307" s="5"/>
      <c r="J11307" s="5"/>
      <c r="K11307" s="5"/>
      <c r="L11307" s="5"/>
      <c r="M11307" s="5"/>
      <c r="N11307" s="5"/>
      <c r="O11307" s="5"/>
      <c r="P11307" s="5"/>
      <c r="Q11307" s="5"/>
      <c r="R11307" s="5"/>
      <c r="S11307" s="5"/>
      <c r="T11307" s="5"/>
      <c r="U11307" s="5"/>
      <c r="V11307" s="5"/>
      <c r="W11307" s="5"/>
      <c r="X11307" s="5"/>
      <c r="Y11307" s="5"/>
      <c r="Z11307" s="5"/>
    </row>
    <row r="11308" spans="1:26" ht="15" x14ac:dyDescent="0.25">
      <c r="A11308" s="4" t="s">
        <v>11305</v>
      </c>
      <c r="B11308" s="4" t="s">
        <v>9011</v>
      </c>
      <c r="C11308" s="2" t="str">
        <f ca="1">IFERROR(__xludf.DUMMYFUNCTION("GOOGLETRANSLATE(A11308,""bn"",""en"")"),"There will be overall development")</f>
        <v>There will be overall development</v>
      </c>
      <c r="D11308" s="5"/>
      <c r="E11308" s="5"/>
      <c r="F11308" s="5"/>
      <c r="G11308" s="5"/>
      <c r="H11308" s="5"/>
      <c r="I11308" s="5"/>
      <c r="J11308" s="5"/>
      <c r="K11308" s="5"/>
      <c r="L11308" s="5"/>
      <c r="M11308" s="5"/>
      <c r="N11308" s="5"/>
      <c r="O11308" s="5"/>
      <c r="P11308" s="5"/>
      <c r="Q11308" s="5"/>
      <c r="R11308" s="5"/>
      <c r="S11308" s="5"/>
      <c r="T11308" s="5"/>
      <c r="U11308" s="5"/>
      <c r="V11308" s="5"/>
      <c r="W11308" s="5"/>
      <c r="X11308" s="5"/>
      <c r="Y11308" s="5"/>
      <c r="Z11308" s="5"/>
    </row>
    <row r="11309" spans="1:26" ht="15" x14ac:dyDescent="0.25">
      <c r="A11309" s="4" t="s">
        <v>11306</v>
      </c>
      <c r="B11309" s="4" t="s">
        <v>9011</v>
      </c>
      <c r="C11309" s="2" t="str">
        <f ca="1">IFERROR(__xludf.DUMMYFUNCTION("GOOGLETRANSLATE(A11309,""bn"",""en"")"),"Education will bring prosperity")</f>
        <v>Education will bring prosperity</v>
      </c>
      <c r="D11309" s="5"/>
      <c r="E11309" s="5"/>
      <c r="F11309" s="5"/>
      <c r="G11309" s="5"/>
      <c r="H11309" s="5"/>
      <c r="I11309" s="5"/>
      <c r="J11309" s="5"/>
      <c r="K11309" s="5"/>
      <c r="L11309" s="5"/>
      <c r="M11309" s="5"/>
      <c r="N11309" s="5"/>
      <c r="O11309" s="5"/>
      <c r="P11309" s="5"/>
      <c r="Q11309" s="5"/>
      <c r="R11309" s="5"/>
      <c r="S11309" s="5"/>
      <c r="T11309" s="5"/>
      <c r="U11309" s="5"/>
      <c r="V11309" s="5"/>
      <c r="W11309" s="5"/>
      <c r="X11309" s="5"/>
      <c r="Y11309" s="5"/>
      <c r="Z11309" s="5"/>
    </row>
    <row r="11310" spans="1:26" ht="15" x14ac:dyDescent="0.25">
      <c r="A11310" s="4" t="s">
        <v>11307</v>
      </c>
      <c r="B11310" s="4" t="s">
        <v>9011</v>
      </c>
      <c r="C11310" s="2" t="str">
        <f ca="1">IFERROR(__xludf.DUMMYFUNCTION("GOOGLETRANSLATE(A11310,""bn"",""en"")"),"Audiences will love it")</f>
        <v>Audiences will love it</v>
      </c>
      <c r="D11310" s="5"/>
      <c r="E11310" s="5"/>
      <c r="F11310" s="5"/>
      <c r="G11310" s="5"/>
      <c r="H11310" s="5"/>
      <c r="I11310" s="5"/>
      <c r="J11310" s="5"/>
      <c r="K11310" s="5"/>
      <c r="L11310" s="5"/>
      <c r="M11310" s="5"/>
      <c r="N11310" s="5"/>
      <c r="O11310" s="5"/>
      <c r="P11310" s="5"/>
      <c r="Q11310" s="5"/>
      <c r="R11310" s="5"/>
      <c r="S11310" s="5"/>
      <c r="T11310" s="5"/>
      <c r="U11310" s="5"/>
      <c r="V11310" s="5"/>
      <c r="W11310" s="5"/>
      <c r="X11310" s="5"/>
      <c r="Y11310" s="5"/>
      <c r="Z11310" s="5"/>
    </row>
    <row r="11311" spans="1:26" ht="15" x14ac:dyDescent="0.25">
      <c r="A11311" s="4" t="s">
        <v>11308</v>
      </c>
      <c r="B11311" s="4" t="s">
        <v>9011</v>
      </c>
      <c r="C11311" s="2" t="str">
        <f ca="1">IFERROR(__xludf.DUMMYFUNCTION("GOOGLETRANSLATE(A11311,""bn"",""en"")"),"The sonnet will be difficult")</f>
        <v>The sonnet will be difficult</v>
      </c>
      <c r="D11311" s="5"/>
      <c r="E11311" s="5"/>
      <c r="F11311" s="5"/>
      <c r="G11311" s="5"/>
      <c r="H11311" s="5"/>
      <c r="I11311" s="5"/>
      <c r="J11311" s="5"/>
      <c r="K11311" s="5"/>
      <c r="L11311" s="5"/>
      <c r="M11311" s="5"/>
      <c r="N11311" s="5"/>
      <c r="O11311" s="5"/>
      <c r="P11311" s="5"/>
      <c r="Q11311" s="5"/>
      <c r="R11311" s="5"/>
      <c r="S11311" s="5"/>
      <c r="T11311" s="5"/>
      <c r="U11311" s="5"/>
      <c r="V11311" s="5"/>
      <c r="W11311" s="5"/>
      <c r="X11311" s="5"/>
      <c r="Y11311" s="5"/>
      <c r="Z11311" s="5"/>
    </row>
    <row r="11312" spans="1:26" ht="15" x14ac:dyDescent="0.25">
      <c r="A11312" s="4" t="s">
        <v>11309</v>
      </c>
      <c r="B11312" s="4" t="s">
        <v>9011</v>
      </c>
      <c r="C11312" s="2" t="str">
        <f ca="1">IFERROR(__xludf.DUMMYFUNCTION("GOOGLETRANSLATE(A11312,""bn"",""en"")"),"Apps will be updated")</f>
        <v>Apps will be updated</v>
      </c>
      <c r="D11312" s="5"/>
      <c r="E11312" s="5"/>
      <c r="F11312" s="5"/>
      <c r="G11312" s="5"/>
      <c r="H11312" s="5"/>
      <c r="I11312" s="5"/>
      <c r="J11312" s="5"/>
      <c r="K11312" s="5"/>
      <c r="L11312" s="5"/>
      <c r="M11312" s="5"/>
      <c r="N11312" s="5"/>
      <c r="O11312" s="5"/>
      <c r="P11312" s="5"/>
      <c r="Q11312" s="5"/>
      <c r="R11312" s="5"/>
      <c r="S11312" s="5"/>
      <c r="T11312" s="5"/>
      <c r="U11312" s="5"/>
      <c r="V11312" s="5"/>
      <c r="W11312" s="5"/>
      <c r="X11312" s="5"/>
      <c r="Y11312" s="5"/>
      <c r="Z11312" s="5"/>
    </row>
    <row r="11313" spans="1:26" ht="15" x14ac:dyDescent="0.25">
      <c r="A11313" s="4" t="s">
        <v>11310</v>
      </c>
      <c r="B11313" s="4" t="s">
        <v>9011</v>
      </c>
      <c r="C11313" s="2" t="str">
        <f ca="1">IFERROR(__xludf.DUMMYFUNCTION("GOOGLETRANSLATE(A11313,""bn"",""en"")"),"The code will build")</f>
        <v>The code will build</v>
      </c>
      <c r="D11313" s="5"/>
      <c r="E11313" s="5"/>
      <c r="F11313" s="5"/>
      <c r="G11313" s="5"/>
      <c r="H11313" s="5"/>
      <c r="I11313" s="5"/>
      <c r="J11313" s="5"/>
      <c r="K11313" s="5"/>
      <c r="L11313" s="5"/>
      <c r="M11313" s="5"/>
      <c r="N11313" s="5"/>
      <c r="O11313" s="5"/>
      <c r="P11313" s="5"/>
      <c r="Q11313" s="5"/>
      <c r="R11313" s="5"/>
      <c r="S11313" s="5"/>
      <c r="T11313" s="5"/>
      <c r="U11313" s="5"/>
      <c r="V11313" s="5"/>
      <c r="W11313" s="5"/>
      <c r="X11313" s="5"/>
      <c r="Y11313" s="5"/>
      <c r="Z11313" s="5"/>
    </row>
    <row r="11314" spans="1:26" ht="15" x14ac:dyDescent="0.25">
      <c r="A11314" s="4" t="s">
        <v>11311</v>
      </c>
      <c r="B11314" s="4" t="s">
        <v>9011</v>
      </c>
      <c r="C11314" s="2" t="str">
        <f ca="1">IFERROR(__xludf.DUMMYFUNCTION("GOOGLETRANSLATE(A11314,""bn"",""en"")"),"Data will be backed up")</f>
        <v>Data will be backed up</v>
      </c>
      <c r="D11314" s="5"/>
      <c r="E11314" s="5"/>
      <c r="F11314" s="5"/>
      <c r="G11314" s="5"/>
      <c r="H11314" s="5"/>
      <c r="I11314" s="5"/>
      <c r="J11314" s="5"/>
      <c r="K11314" s="5"/>
      <c r="L11314" s="5"/>
      <c r="M11314" s="5"/>
      <c r="N11314" s="5"/>
      <c r="O11314" s="5"/>
      <c r="P11314" s="5"/>
      <c r="Q11314" s="5"/>
      <c r="R11314" s="5"/>
      <c r="S11314" s="5"/>
      <c r="T11314" s="5"/>
      <c r="U11314" s="5"/>
      <c r="V11314" s="5"/>
      <c r="W11314" s="5"/>
      <c r="X11314" s="5"/>
      <c r="Y11314" s="5"/>
      <c r="Z11314" s="5"/>
    </row>
    <row r="11315" spans="1:26" ht="15" x14ac:dyDescent="0.25">
      <c r="A11315" s="4" t="s">
        <v>11312</v>
      </c>
      <c r="B11315" s="4" t="s">
        <v>9011</v>
      </c>
      <c r="C11315" s="2" t="str">
        <f ca="1">IFERROR(__xludf.DUMMYFUNCTION("GOOGLETRANSLATE(A11315,""bn"",""en"")"),"Your voice will play")</f>
        <v>Your voice will play</v>
      </c>
      <c r="D11315" s="5"/>
      <c r="E11315" s="5"/>
      <c r="F11315" s="5"/>
      <c r="G11315" s="5"/>
      <c r="H11315" s="5"/>
      <c r="I11315" s="5"/>
      <c r="J11315" s="5"/>
      <c r="K11315" s="5"/>
      <c r="L11315" s="5"/>
      <c r="M11315" s="5"/>
      <c r="N11315" s="5"/>
      <c r="O11315" s="5"/>
      <c r="P11315" s="5"/>
      <c r="Q11315" s="5"/>
      <c r="R11315" s="5"/>
      <c r="S11315" s="5"/>
      <c r="T11315" s="5"/>
      <c r="U11315" s="5"/>
      <c r="V11315" s="5"/>
      <c r="W11315" s="5"/>
      <c r="X11315" s="5"/>
      <c r="Y11315" s="5"/>
      <c r="Z11315" s="5"/>
    </row>
    <row r="11316" spans="1:26" ht="15" x14ac:dyDescent="0.25">
      <c r="A11316" s="4" t="s">
        <v>11313</v>
      </c>
      <c r="B11316" s="4" t="s">
        <v>9011</v>
      </c>
      <c r="C11316" s="2" t="str">
        <f ca="1">IFERROR(__xludf.DUMMYFUNCTION("GOOGLETRANSLATE(A11316,""bn"",""en"")"),"The movie will continue to be released")</f>
        <v>The movie will continue to be released</v>
      </c>
      <c r="D11316" s="5"/>
      <c r="E11316" s="5"/>
      <c r="F11316" s="5"/>
      <c r="G11316" s="5"/>
      <c r="H11316" s="5"/>
      <c r="I11316" s="5"/>
      <c r="J11316" s="5"/>
      <c r="K11316" s="5"/>
      <c r="L11316" s="5"/>
      <c r="M11316" s="5"/>
      <c r="N11316" s="5"/>
      <c r="O11316" s="5"/>
      <c r="P11316" s="5"/>
      <c r="Q11316" s="5"/>
      <c r="R11316" s="5"/>
      <c r="S11316" s="5"/>
      <c r="T11316" s="5"/>
      <c r="U11316" s="5"/>
      <c r="V11316" s="5"/>
      <c r="W11316" s="5"/>
      <c r="X11316" s="5"/>
      <c r="Y11316" s="5"/>
      <c r="Z11316" s="5"/>
    </row>
    <row r="11317" spans="1:26" ht="15" x14ac:dyDescent="0.25">
      <c r="A11317" s="4" t="s">
        <v>11314</v>
      </c>
      <c r="B11317" s="4" t="s">
        <v>9011</v>
      </c>
      <c r="C11317" s="2" t="str">
        <f ca="1">IFERROR(__xludf.DUMMYFUNCTION("GOOGLETRANSLATE(A11317,""bn"",""en"")"),"The sea will be huge")</f>
        <v>The sea will be huge</v>
      </c>
      <c r="D11317" s="5"/>
      <c r="E11317" s="5"/>
      <c r="F11317" s="5"/>
      <c r="G11317" s="5"/>
      <c r="H11317" s="5"/>
      <c r="I11317" s="5"/>
      <c r="J11317" s="5"/>
      <c r="K11317" s="5"/>
      <c r="L11317" s="5"/>
      <c r="M11317" s="5"/>
      <c r="N11317" s="5"/>
      <c r="O11317" s="5"/>
      <c r="P11317" s="5"/>
      <c r="Q11317" s="5"/>
      <c r="R11317" s="5"/>
      <c r="S11317" s="5"/>
      <c r="T11317" s="5"/>
      <c r="U11317" s="5"/>
      <c r="V11317" s="5"/>
      <c r="W11317" s="5"/>
      <c r="X11317" s="5"/>
      <c r="Y11317" s="5"/>
      <c r="Z11317" s="5"/>
    </row>
    <row r="11318" spans="1:26" ht="15" x14ac:dyDescent="0.25">
      <c r="A11318" s="4" t="s">
        <v>11315</v>
      </c>
      <c r="B11318" s="4" t="s">
        <v>9011</v>
      </c>
      <c r="C11318" s="2" t="str">
        <f ca="1">IFERROR(__xludf.DUMMYFUNCTION("GOOGLETRANSLATE(A11318,""bn"",""en"")"),"I will see Chabagan in Sylhet")</f>
        <v>I will see Chabagan in Sylhet</v>
      </c>
      <c r="D11318" s="5"/>
      <c r="E11318" s="5"/>
      <c r="F11318" s="5"/>
      <c r="G11318" s="5"/>
      <c r="H11318" s="5"/>
      <c r="I11318" s="5"/>
      <c r="J11318" s="5"/>
      <c r="K11318" s="5"/>
      <c r="L11318" s="5"/>
      <c r="M11318" s="5"/>
      <c r="N11318" s="5"/>
      <c r="O11318" s="5"/>
      <c r="P11318" s="5"/>
      <c r="Q11318" s="5"/>
      <c r="R11318" s="5"/>
      <c r="S11318" s="5"/>
      <c r="T11318" s="5"/>
      <c r="U11318" s="5"/>
      <c r="V11318" s="5"/>
      <c r="W11318" s="5"/>
      <c r="X11318" s="5"/>
      <c r="Y11318" s="5"/>
      <c r="Z11318" s="5"/>
    </row>
    <row r="11319" spans="1:26" ht="15" x14ac:dyDescent="0.25">
      <c r="A11319" s="4" t="s">
        <v>11316</v>
      </c>
      <c r="B11319" s="4" t="s">
        <v>9011</v>
      </c>
      <c r="C11319" s="2" t="str">
        <f ca="1">IFERROR(__xludf.DUMMYFUNCTION("GOOGLETRANSLATE(A11319,""bn"",""en"")"),"The team will run the coding")</f>
        <v>The team will run the coding</v>
      </c>
      <c r="D11319" s="5"/>
      <c r="E11319" s="5"/>
      <c r="F11319" s="5"/>
      <c r="G11319" s="5"/>
      <c r="H11319" s="5"/>
      <c r="I11319" s="5"/>
      <c r="J11319" s="5"/>
      <c r="K11319" s="5"/>
      <c r="L11319" s="5"/>
      <c r="M11319" s="5"/>
      <c r="N11319" s="5"/>
      <c r="O11319" s="5"/>
      <c r="P11319" s="5"/>
      <c r="Q11319" s="5"/>
      <c r="R11319" s="5"/>
      <c r="S11319" s="5"/>
      <c r="T11319" s="5"/>
      <c r="U11319" s="5"/>
      <c r="V11319" s="5"/>
      <c r="W11319" s="5"/>
      <c r="X11319" s="5"/>
      <c r="Y11319" s="5"/>
      <c r="Z11319" s="5"/>
    </row>
    <row r="11320" spans="1:26" ht="15" x14ac:dyDescent="0.25">
      <c r="A11320" s="4" t="s">
        <v>11317</v>
      </c>
      <c r="B11320" s="4" t="s">
        <v>9011</v>
      </c>
      <c r="C11320" s="2" t="str">
        <f ca="1">IFERROR(__xludf.DUMMYFUNCTION("GOOGLETRANSLATE(A11320,""bn"",""en"")"),"Composition will be script")</f>
        <v>Composition will be script</v>
      </c>
      <c r="D11320" s="5"/>
      <c r="E11320" s="5"/>
      <c r="F11320" s="5"/>
      <c r="G11320" s="5"/>
      <c r="H11320" s="5"/>
      <c r="I11320" s="5"/>
      <c r="J11320" s="5"/>
      <c r="K11320" s="5"/>
      <c r="L11320" s="5"/>
      <c r="M11320" s="5"/>
      <c r="N11320" s="5"/>
      <c r="O11320" s="5"/>
      <c r="P11320" s="5"/>
      <c r="Q11320" s="5"/>
      <c r="R11320" s="5"/>
      <c r="S11320" s="5"/>
      <c r="T11320" s="5"/>
      <c r="U11320" s="5"/>
      <c r="V11320" s="5"/>
      <c r="W11320" s="5"/>
      <c r="X11320" s="5"/>
      <c r="Y11320" s="5"/>
      <c r="Z11320" s="5"/>
    </row>
    <row r="11321" spans="1:26" ht="15" x14ac:dyDescent="0.25">
      <c r="A11321" s="4" t="s">
        <v>11318</v>
      </c>
      <c r="B11321" s="4" t="s">
        <v>9011</v>
      </c>
      <c r="C11321" s="2" t="str">
        <f ca="1">IFERROR(__xludf.DUMMYFUNCTION("GOOGLETRANSLATE(A11321,""bn"",""en"")"),"He will buy fish")</f>
        <v>He will buy fish</v>
      </c>
      <c r="D11321" s="5"/>
      <c r="E11321" s="5"/>
      <c r="F11321" s="5"/>
      <c r="G11321" s="5"/>
      <c r="H11321" s="5"/>
      <c r="I11321" s="5"/>
      <c r="J11321" s="5"/>
      <c r="K11321" s="5"/>
      <c r="L11321" s="5"/>
      <c r="M11321" s="5"/>
      <c r="N11321" s="5"/>
      <c r="O11321" s="5"/>
      <c r="P11321" s="5"/>
      <c r="Q11321" s="5"/>
      <c r="R11321" s="5"/>
      <c r="S11321" s="5"/>
      <c r="T11321" s="5"/>
      <c r="U11321" s="5"/>
      <c r="V11321" s="5"/>
      <c r="W11321" s="5"/>
      <c r="X11321" s="5"/>
      <c r="Y11321" s="5"/>
      <c r="Z11321" s="5"/>
    </row>
    <row r="11322" spans="1:26" ht="15" x14ac:dyDescent="0.25">
      <c r="A11322" s="4" t="s">
        <v>11319</v>
      </c>
      <c r="B11322" s="4" t="s">
        <v>9011</v>
      </c>
      <c r="C11322" s="2" t="str">
        <f ca="1">IFERROR(__xludf.DUMMYFUNCTION("GOOGLETRANSLATE(A11322,""bn"",""en"")"),"Will discuss politics")</f>
        <v>Will discuss politics</v>
      </c>
      <c r="D11322" s="5"/>
      <c r="E11322" s="5"/>
      <c r="F11322" s="5"/>
      <c r="G11322" s="5"/>
      <c r="H11322" s="5"/>
      <c r="I11322" s="5"/>
      <c r="J11322" s="5"/>
      <c r="K11322" s="5"/>
      <c r="L11322" s="5"/>
      <c r="M11322" s="5"/>
      <c r="N11322" s="5"/>
      <c r="O11322" s="5"/>
      <c r="P11322" s="5"/>
      <c r="Q11322" s="5"/>
      <c r="R11322" s="5"/>
      <c r="S11322" s="5"/>
      <c r="T11322" s="5"/>
      <c r="U11322" s="5"/>
      <c r="V11322" s="5"/>
      <c r="W11322" s="5"/>
      <c r="X11322" s="5"/>
      <c r="Y11322" s="5"/>
      <c r="Z11322" s="5"/>
    </row>
    <row r="11323" spans="1:26" ht="15" x14ac:dyDescent="0.25">
      <c r="A11323" s="4" t="s">
        <v>11320</v>
      </c>
      <c r="B11323" s="4" t="s">
        <v>9011</v>
      </c>
      <c r="C11323" s="2" t="str">
        <f ca="1">IFERROR(__xludf.DUMMYFUNCTION("GOOGLETRANSLATE(A11323,""bn"",""en"")"),"Increase the quality of education")</f>
        <v>Increase the quality of education</v>
      </c>
      <c r="D11323" s="5"/>
      <c r="E11323" s="5"/>
      <c r="F11323" s="5"/>
      <c r="G11323" s="5"/>
      <c r="H11323" s="5"/>
      <c r="I11323" s="5"/>
      <c r="J11323" s="5"/>
      <c r="K11323" s="5"/>
      <c r="L11323" s="5"/>
      <c r="M11323" s="5"/>
      <c r="N11323" s="5"/>
      <c r="O11323" s="5"/>
      <c r="P11323" s="5"/>
      <c r="Q11323" s="5"/>
      <c r="R11323" s="5"/>
      <c r="S11323" s="5"/>
      <c r="T11323" s="5"/>
      <c r="U11323" s="5"/>
      <c r="V11323" s="5"/>
      <c r="W11323" s="5"/>
      <c r="X11323" s="5"/>
      <c r="Y11323" s="5"/>
      <c r="Z11323" s="5"/>
    </row>
    <row r="11324" spans="1:26" ht="15" x14ac:dyDescent="0.25">
      <c r="A11324" s="4" t="s">
        <v>11321</v>
      </c>
      <c r="B11324" s="4" t="s">
        <v>9011</v>
      </c>
      <c r="C11324" s="2" t="str">
        <f ca="1">IFERROR(__xludf.DUMMYFUNCTION("GOOGLETRANSLATE(A11324,""bn"",""en"")"),"Cash will be reliable")</f>
        <v>Cash will be reliable</v>
      </c>
      <c r="D11324" s="5"/>
      <c r="E11324" s="5"/>
      <c r="F11324" s="5"/>
      <c r="G11324" s="5"/>
      <c r="H11324" s="5"/>
      <c r="I11324" s="5"/>
      <c r="J11324" s="5"/>
      <c r="K11324" s="5"/>
      <c r="L11324" s="5"/>
      <c r="M11324" s="5"/>
      <c r="N11324" s="5"/>
      <c r="O11324" s="5"/>
      <c r="P11324" s="5"/>
      <c r="Q11324" s="5"/>
      <c r="R11324" s="5"/>
      <c r="S11324" s="5"/>
      <c r="T11324" s="5"/>
      <c r="U11324" s="5"/>
      <c r="V11324" s="5"/>
      <c r="W11324" s="5"/>
      <c r="X11324" s="5"/>
      <c r="Y11324" s="5"/>
      <c r="Z11324" s="5"/>
    </row>
    <row r="11325" spans="1:26" ht="15" x14ac:dyDescent="0.25">
      <c r="A11325" s="4" t="s">
        <v>11322</v>
      </c>
      <c r="B11325" s="4" t="s">
        <v>9011</v>
      </c>
      <c r="C11325" s="2" t="str">
        <f ca="1">IFERROR(__xludf.DUMMYFUNCTION("GOOGLETRANSLATE(A11325,""bn"",""en"")"),"There will be a tennis match")</f>
        <v>There will be a tennis match</v>
      </c>
      <c r="D11325" s="5"/>
      <c r="E11325" s="5"/>
      <c r="F11325" s="5"/>
      <c r="G11325" s="5"/>
      <c r="H11325" s="5"/>
      <c r="I11325" s="5"/>
      <c r="J11325" s="5"/>
      <c r="K11325" s="5"/>
      <c r="L11325" s="5"/>
      <c r="M11325" s="5"/>
      <c r="N11325" s="5"/>
      <c r="O11325" s="5"/>
      <c r="P11325" s="5"/>
      <c r="Q11325" s="5"/>
      <c r="R11325" s="5"/>
      <c r="S11325" s="5"/>
      <c r="T11325" s="5"/>
      <c r="U11325" s="5"/>
      <c r="V11325" s="5"/>
      <c r="W11325" s="5"/>
      <c r="X11325" s="5"/>
      <c r="Y11325" s="5"/>
      <c r="Z11325" s="5"/>
    </row>
    <row r="11326" spans="1:26" ht="15" x14ac:dyDescent="0.25">
      <c r="A11326" s="4" t="s">
        <v>11323</v>
      </c>
      <c r="B11326" s="4" t="s">
        <v>9011</v>
      </c>
      <c r="C11326" s="2" t="str">
        <f ca="1">IFERROR(__xludf.DUMMYFUNCTION("GOOGLETRANSLATE(A11326,""bn"",""en"")"),"I have to go to London to play a tennis match")</f>
        <v>I have to go to London to play a tennis match</v>
      </c>
      <c r="D11326" s="5"/>
      <c r="E11326" s="5"/>
      <c r="F11326" s="5"/>
      <c r="G11326" s="5"/>
      <c r="H11326" s="5"/>
      <c r="I11326" s="5"/>
      <c r="J11326" s="5"/>
      <c r="K11326" s="5"/>
      <c r="L11326" s="5"/>
      <c r="M11326" s="5"/>
      <c r="N11326" s="5"/>
      <c r="O11326" s="5"/>
      <c r="P11326" s="5"/>
      <c r="Q11326" s="5"/>
      <c r="R11326" s="5"/>
      <c r="S11326" s="5"/>
      <c r="T11326" s="5"/>
      <c r="U11326" s="5"/>
      <c r="V11326" s="5"/>
      <c r="W11326" s="5"/>
      <c r="X11326" s="5"/>
      <c r="Y11326" s="5"/>
      <c r="Z11326" s="5"/>
    </row>
    <row r="11327" spans="1:26" ht="15" x14ac:dyDescent="0.25">
      <c r="A11327" s="4" t="s">
        <v>11324</v>
      </c>
      <c r="B11327" s="4" t="s">
        <v>9011</v>
      </c>
      <c r="C11327" s="2" t="str">
        <f ca="1">IFERROR(__xludf.DUMMYFUNCTION("GOOGLETRANSLATE(A11327,""bn"",""en"")"),"I will play cricket every day")</f>
        <v>I will play cricket every day</v>
      </c>
      <c r="D11327" s="5"/>
      <c r="E11327" s="5"/>
      <c r="F11327" s="5"/>
      <c r="G11327" s="5"/>
      <c r="H11327" s="5"/>
      <c r="I11327" s="5"/>
      <c r="J11327" s="5"/>
      <c r="K11327" s="5"/>
      <c r="L11327" s="5"/>
      <c r="M11327" s="5"/>
      <c r="N11327" s="5"/>
      <c r="O11327" s="5"/>
      <c r="P11327" s="5"/>
      <c r="Q11327" s="5"/>
      <c r="R11327" s="5"/>
      <c r="S11327" s="5"/>
      <c r="T11327" s="5"/>
      <c r="U11327" s="5"/>
      <c r="V11327" s="5"/>
      <c r="W11327" s="5"/>
      <c r="X11327" s="5"/>
      <c r="Y11327" s="5"/>
      <c r="Z11327" s="5"/>
    </row>
    <row r="11328" spans="1:26" ht="15" x14ac:dyDescent="0.25">
      <c r="A11328" s="4" t="s">
        <v>11325</v>
      </c>
      <c r="B11328" s="4" t="s">
        <v>9011</v>
      </c>
      <c r="C11328" s="2" t="str">
        <f ca="1">IFERROR(__xludf.DUMMYFUNCTION("GOOGLETRANSLATE(A11328,""bn"",""en"")"),"I will continue to enjoy")</f>
        <v>I will continue to enjoy</v>
      </c>
      <c r="D11328" s="5"/>
      <c r="E11328" s="5"/>
      <c r="F11328" s="5"/>
      <c r="G11328" s="5"/>
      <c r="H11328" s="5"/>
      <c r="I11328" s="5"/>
      <c r="J11328" s="5"/>
      <c r="K11328" s="5"/>
      <c r="L11328" s="5"/>
      <c r="M11328" s="5"/>
      <c r="N11328" s="5"/>
      <c r="O11328" s="5"/>
      <c r="P11328" s="5"/>
      <c r="Q11328" s="5"/>
      <c r="R11328" s="5"/>
      <c r="S11328" s="5"/>
      <c r="T11328" s="5"/>
      <c r="U11328" s="5"/>
      <c r="V11328" s="5"/>
      <c r="W11328" s="5"/>
      <c r="X11328" s="5"/>
      <c r="Y11328" s="5"/>
      <c r="Z11328" s="5"/>
    </row>
    <row r="11329" spans="1:26" ht="15" x14ac:dyDescent="0.25">
      <c r="A11329" s="4" t="s">
        <v>11326</v>
      </c>
      <c r="B11329" s="4" t="s">
        <v>9011</v>
      </c>
      <c r="C11329" s="2" t="str">
        <f ca="1">IFERROR(__xludf.DUMMYFUNCTION("GOOGLETRANSLATE(A11329,""bn"",""en"")"),"I will suffer in winter")</f>
        <v>I will suffer in winter</v>
      </c>
      <c r="D11329" s="5"/>
      <c r="E11329" s="5"/>
      <c r="F11329" s="5"/>
      <c r="G11329" s="5"/>
      <c r="H11329" s="5"/>
      <c r="I11329" s="5"/>
      <c r="J11329" s="5"/>
      <c r="K11329" s="5"/>
      <c r="L11329" s="5"/>
      <c r="M11329" s="5"/>
      <c r="N11329" s="5"/>
      <c r="O11329" s="5"/>
      <c r="P11329" s="5"/>
      <c r="Q11329" s="5"/>
      <c r="R11329" s="5"/>
      <c r="S11329" s="5"/>
      <c r="T11329" s="5"/>
      <c r="U11329" s="5"/>
      <c r="V11329" s="5"/>
      <c r="W11329" s="5"/>
      <c r="X11329" s="5"/>
      <c r="Y11329" s="5"/>
      <c r="Z11329" s="5"/>
    </row>
    <row r="11330" spans="1:26" ht="15" x14ac:dyDescent="0.25">
      <c r="A11330" s="4" t="s">
        <v>11327</v>
      </c>
      <c r="B11330" s="4" t="s">
        <v>9011</v>
      </c>
      <c r="C11330" s="2" t="str">
        <f ca="1">IFERROR(__xludf.DUMMYFUNCTION("GOOGLETRANSLATE(A11330,""bn"",""en"")"),"I will pray")</f>
        <v>I will pray</v>
      </c>
      <c r="D11330" s="5"/>
      <c r="E11330" s="5"/>
      <c r="F11330" s="5"/>
      <c r="G11330" s="5"/>
      <c r="H11330" s="5"/>
      <c r="I11330" s="5"/>
      <c r="J11330" s="5"/>
      <c r="K11330" s="5"/>
      <c r="L11330" s="5"/>
      <c r="M11330" s="5"/>
      <c r="N11330" s="5"/>
      <c r="O11330" s="5"/>
      <c r="P11330" s="5"/>
      <c r="Q11330" s="5"/>
      <c r="R11330" s="5"/>
      <c r="S11330" s="5"/>
      <c r="T11330" s="5"/>
      <c r="U11330" s="5"/>
      <c r="V11330" s="5"/>
      <c r="W11330" s="5"/>
      <c r="X11330" s="5"/>
      <c r="Y11330" s="5"/>
      <c r="Z11330" s="5"/>
    </row>
    <row r="11331" spans="1:26" ht="15" x14ac:dyDescent="0.25">
      <c r="A11331" s="4" t="s">
        <v>11328</v>
      </c>
      <c r="B11331" s="4" t="s">
        <v>9011</v>
      </c>
      <c r="C11331" s="2" t="str">
        <f ca="1">IFERROR(__xludf.DUMMYFUNCTION("GOOGLETRANSLATE(A11331,""bn"",""en"")"),"Will continue to like")</f>
        <v>Will continue to like</v>
      </c>
      <c r="D11331" s="5"/>
      <c r="E11331" s="5"/>
      <c r="F11331" s="5"/>
      <c r="G11331" s="5"/>
      <c r="H11331" s="5"/>
      <c r="I11331" s="5"/>
      <c r="J11331" s="5"/>
      <c r="K11331" s="5"/>
      <c r="L11331" s="5"/>
      <c r="M11331" s="5"/>
      <c r="N11331" s="5"/>
      <c r="O11331" s="5"/>
      <c r="P11331" s="5"/>
      <c r="Q11331" s="5"/>
      <c r="R11331" s="5"/>
      <c r="S11331" s="5"/>
      <c r="T11331" s="5"/>
      <c r="U11331" s="5"/>
      <c r="V11331" s="5"/>
      <c r="W11331" s="5"/>
      <c r="X11331" s="5"/>
      <c r="Y11331" s="5"/>
      <c r="Z11331" s="5"/>
    </row>
    <row r="11332" spans="1:26" ht="15" x14ac:dyDescent="0.25">
      <c r="A11332" s="4" t="s">
        <v>11329</v>
      </c>
      <c r="B11332" s="4" t="s">
        <v>9011</v>
      </c>
      <c r="C11332" s="2" t="str">
        <f ca="1">IFERROR(__xludf.DUMMYFUNCTION("GOOGLETRANSLATE(A11332,""bn"",""en"")"),"A security scan will take place")</f>
        <v>A security scan will take place</v>
      </c>
      <c r="D11332" s="5"/>
      <c r="E11332" s="5"/>
      <c r="F11332" s="5"/>
      <c r="G11332" s="5"/>
      <c r="H11332" s="5"/>
      <c r="I11332" s="5"/>
      <c r="J11332" s="5"/>
      <c r="K11332" s="5"/>
      <c r="L11332" s="5"/>
      <c r="M11332" s="5"/>
      <c r="N11332" s="5"/>
      <c r="O11332" s="5"/>
      <c r="P11332" s="5"/>
      <c r="Q11332" s="5"/>
      <c r="R11332" s="5"/>
      <c r="S11332" s="5"/>
      <c r="T11332" s="5"/>
      <c r="U11332" s="5"/>
      <c r="V11332" s="5"/>
      <c r="W11332" s="5"/>
      <c r="X11332" s="5"/>
      <c r="Y11332" s="5"/>
      <c r="Z11332" s="5"/>
    </row>
    <row r="11333" spans="1:26" ht="15" x14ac:dyDescent="0.25">
      <c r="A11333" s="4" t="s">
        <v>11330</v>
      </c>
      <c r="B11333" s="4" t="s">
        <v>9011</v>
      </c>
      <c r="C11333" s="2" t="str">
        <f ca="1">IFERROR(__xludf.DUMMYFUNCTION("GOOGLETRANSLATE(A11333,""bn"",""en"")"),"Will continue to do in sports")</f>
        <v>Will continue to do in sports</v>
      </c>
      <c r="D11333" s="5"/>
      <c r="E11333" s="5"/>
      <c r="F11333" s="5"/>
      <c r="G11333" s="5"/>
      <c r="H11333" s="5"/>
      <c r="I11333" s="5"/>
      <c r="J11333" s="5"/>
      <c r="K11333" s="5"/>
      <c r="L11333" s="5"/>
      <c r="M11333" s="5"/>
      <c r="N11333" s="5"/>
      <c r="O11333" s="5"/>
      <c r="P11333" s="5"/>
      <c r="Q11333" s="5"/>
      <c r="R11333" s="5"/>
      <c r="S11333" s="5"/>
      <c r="T11333" s="5"/>
      <c r="U11333" s="5"/>
      <c r="V11333" s="5"/>
      <c r="W11333" s="5"/>
      <c r="X11333" s="5"/>
      <c r="Y11333" s="5"/>
      <c r="Z11333" s="5"/>
    </row>
    <row r="11334" spans="1:26" ht="15" x14ac:dyDescent="0.25">
      <c r="A11334" s="4" t="s">
        <v>11331</v>
      </c>
      <c r="B11334" s="4" t="s">
        <v>9011</v>
      </c>
      <c r="C11334" s="2" t="str">
        <f ca="1">IFERROR(__xludf.DUMMYFUNCTION("GOOGLETRANSLATE(A11334,""bn"",""en"")"),"The runner will start")</f>
        <v>The runner will start</v>
      </c>
      <c r="D11334" s="5"/>
      <c r="E11334" s="5"/>
      <c r="F11334" s="5"/>
      <c r="G11334" s="5"/>
      <c r="H11334" s="5"/>
      <c r="I11334" s="5"/>
      <c r="J11334" s="5"/>
      <c r="K11334" s="5"/>
      <c r="L11334" s="5"/>
      <c r="M11334" s="5"/>
      <c r="N11334" s="5"/>
      <c r="O11334" s="5"/>
      <c r="P11334" s="5"/>
      <c r="Q11334" s="5"/>
      <c r="R11334" s="5"/>
      <c r="S11334" s="5"/>
      <c r="T11334" s="5"/>
      <c r="U11334" s="5"/>
      <c r="V11334" s="5"/>
      <c r="W11334" s="5"/>
      <c r="X11334" s="5"/>
      <c r="Y11334" s="5"/>
      <c r="Z11334" s="5"/>
    </row>
    <row r="11335" spans="1:26" ht="15" x14ac:dyDescent="0.25">
      <c r="A11335" s="4" t="s">
        <v>11332</v>
      </c>
      <c r="B11335" s="4" t="s">
        <v>9011</v>
      </c>
      <c r="C11335" s="2" t="str">
        <f ca="1">IFERROR(__xludf.DUMMYFUNCTION("GOOGLETRANSLATE(A11335,""bn"",""en"")"),"He will play the sound")</f>
        <v>He will play the sound</v>
      </c>
      <c r="D11335" s="5"/>
      <c r="E11335" s="5"/>
      <c r="F11335" s="5"/>
      <c r="G11335" s="5"/>
      <c r="H11335" s="5"/>
      <c r="I11335" s="5"/>
      <c r="J11335" s="5"/>
      <c r="K11335" s="5"/>
      <c r="L11335" s="5"/>
      <c r="M11335" s="5"/>
      <c r="N11335" s="5"/>
      <c r="O11335" s="5"/>
      <c r="P11335" s="5"/>
      <c r="Q11335" s="5"/>
      <c r="R11335" s="5"/>
      <c r="S11335" s="5"/>
      <c r="T11335" s="5"/>
      <c r="U11335" s="5"/>
      <c r="V11335" s="5"/>
      <c r="W11335" s="5"/>
      <c r="X11335" s="5"/>
      <c r="Y11335" s="5"/>
      <c r="Z11335" s="5"/>
    </row>
    <row r="11336" spans="1:26" ht="15" x14ac:dyDescent="0.25">
      <c r="A11336" s="4" t="s">
        <v>11333</v>
      </c>
      <c r="B11336" s="4" t="s">
        <v>9011</v>
      </c>
      <c r="C11336" s="2" t="str">
        <f ca="1">IFERROR(__xludf.DUMMYFUNCTION("GOOGLETRANSLATE(A11336,""bn"",""en"")"),"Will keep thinking about the afterlife")</f>
        <v>Will keep thinking about the afterlife</v>
      </c>
      <c r="D11336" s="5"/>
      <c r="E11336" s="5"/>
      <c r="F11336" s="5"/>
      <c r="G11336" s="5"/>
      <c r="H11336" s="5"/>
      <c r="I11336" s="5"/>
      <c r="J11336" s="5"/>
      <c r="K11336" s="5"/>
      <c r="L11336" s="5"/>
      <c r="M11336" s="5"/>
      <c r="N11336" s="5"/>
      <c r="O11336" s="5"/>
      <c r="P11336" s="5"/>
      <c r="Q11336" s="5"/>
      <c r="R11336" s="5"/>
      <c r="S11336" s="5"/>
      <c r="T11336" s="5"/>
      <c r="U11336" s="5"/>
      <c r="V11336" s="5"/>
      <c r="W11336" s="5"/>
      <c r="X11336" s="5"/>
      <c r="Y11336" s="5"/>
      <c r="Z11336" s="5"/>
    </row>
    <row r="11337" spans="1:26" ht="15" x14ac:dyDescent="0.25">
      <c r="A11337" s="4" t="s">
        <v>11334</v>
      </c>
      <c r="B11337" s="4" t="s">
        <v>9011</v>
      </c>
      <c r="C11337" s="2" t="str">
        <f ca="1">IFERROR(__xludf.DUMMYFUNCTION("GOOGLETRANSLATE(A11337,""bn"",""en"")"),"I will play sports")</f>
        <v>I will play sports</v>
      </c>
      <c r="D11337" s="5"/>
      <c r="E11337" s="5"/>
      <c r="F11337" s="5"/>
      <c r="G11337" s="5"/>
      <c r="H11337" s="5"/>
      <c r="I11337" s="5"/>
      <c r="J11337" s="5"/>
      <c r="K11337" s="5"/>
      <c r="L11337" s="5"/>
      <c r="M11337" s="5"/>
      <c r="N11337" s="5"/>
      <c r="O11337" s="5"/>
      <c r="P11337" s="5"/>
      <c r="Q11337" s="5"/>
      <c r="R11337" s="5"/>
      <c r="S11337" s="5"/>
      <c r="T11337" s="5"/>
      <c r="U11337" s="5"/>
      <c r="V11337" s="5"/>
      <c r="W11337" s="5"/>
      <c r="X11337" s="5"/>
      <c r="Y11337" s="5"/>
      <c r="Z11337" s="5"/>
    </row>
    <row r="11338" spans="1:26" ht="15" x14ac:dyDescent="0.25">
      <c r="A11338" s="4" t="s">
        <v>11335</v>
      </c>
      <c r="B11338" s="4" t="s">
        <v>9011</v>
      </c>
      <c r="C11338" s="2" t="str">
        <f ca="1">IFERROR(__xludf.DUMMYFUNCTION("GOOGLETRANSLATE(A11338,""bn"",""en"")"),"I will take doctor's advice")</f>
        <v>I will take doctor's advice</v>
      </c>
      <c r="D11338" s="5"/>
      <c r="E11338" s="5"/>
      <c r="F11338" s="5"/>
      <c r="G11338" s="5"/>
      <c r="H11338" s="5"/>
      <c r="I11338" s="5"/>
      <c r="J11338" s="5"/>
      <c r="K11338" s="5"/>
      <c r="L11338" s="5"/>
      <c r="M11338" s="5"/>
      <c r="N11338" s="5"/>
      <c r="O11338" s="5"/>
      <c r="P11338" s="5"/>
      <c r="Q11338" s="5"/>
      <c r="R11338" s="5"/>
      <c r="S11338" s="5"/>
      <c r="T11338" s="5"/>
      <c r="U11338" s="5"/>
      <c r="V11338" s="5"/>
      <c r="W11338" s="5"/>
      <c r="X11338" s="5"/>
      <c r="Y11338" s="5"/>
      <c r="Z11338" s="5"/>
    </row>
    <row r="11339" spans="1:26" ht="15" x14ac:dyDescent="0.25">
      <c r="A11339" s="4" t="s">
        <v>11336</v>
      </c>
      <c r="B11339" s="4" t="s">
        <v>9011</v>
      </c>
      <c r="C11339" s="2" t="str">
        <f ca="1">IFERROR(__xludf.DUMMYFUNCTION("GOOGLETRANSLATE(A11339,""bn"",""en"")"),"Will continue to read prose")</f>
        <v>Will continue to read prose</v>
      </c>
      <c r="D11339" s="5"/>
      <c r="E11339" s="5"/>
      <c r="F11339" s="5"/>
      <c r="G11339" s="5"/>
      <c r="H11339" s="5"/>
      <c r="I11339" s="5"/>
      <c r="J11339" s="5"/>
      <c r="K11339" s="5"/>
      <c r="L11339" s="5"/>
      <c r="M11339" s="5"/>
      <c r="N11339" s="5"/>
      <c r="O11339" s="5"/>
      <c r="P11339" s="5"/>
      <c r="Q11339" s="5"/>
      <c r="R11339" s="5"/>
      <c r="S11339" s="5"/>
      <c r="T11339" s="5"/>
      <c r="U11339" s="5"/>
      <c r="V11339" s="5"/>
      <c r="W11339" s="5"/>
      <c r="X11339" s="5"/>
      <c r="Y11339" s="5"/>
      <c r="Z11339" s="5"/>
    </row>
    <row r="11340" spans="1:26" ht="15" x14ac:dyDescent="0.25">
      <c r="A11340" s="4" t="s">
        <v>11337</v>
      </c>
      <c r="B11340" s="4" t="s">
        <v>9011</v>
      </c>
      <c r="C11340" s="2" t="str">
        <f ca="1">IFERROR(__xludf.DUMMYFUNCTION("GOOGLETRANSLATE(A11340,""bn"",""en"")"),"I will stay in college")</f>
        <v>I will stay in college</v>
      </c>
      <c r="D11340" s="5"/>
      <c r="E11340" s="5"/>
      <c r="F11340" s="5"/>
      <c r="G11340" s="5"/>
      <c r="H11340" s="5"/>
      <c r="I11340" s="5"/>
      <c r="J11340" s="5"/>
      <c r="K11340" s="5"/>
      <c r="L11340" s="5"/>
      <c r="M11340" s="5"/>
      <c r="N11340" s="5"/>
      <c r="O11340" s="5"/>
      <c r="P11340" s="5"/>
      <c r="Q11340" s="5"/>
      <c r="R11340" s="5"/>
      <c r="S11340" s="5"/>
      <c r="T11340" s="5"/>
      <c r="U11340" s="5"/>
      <c r="V11340" s="5"/>
      <c r="W11340" s="5"/>
      <c r="X11340" s="5"/>
      <c r="Y11340" s="5"/>
      <c r="Z11340" s="5"/>
    </row>
    <row r="11341" spans="1:26" ht="15" x14ac:dyDescent="0.25">
      <c r="A11341" s="4" t="s">
        <v>11338</v>
      </c>
      <c r="B11341" s="4" t="s">
        <v>9011</v>
      </c>
      <c r="C11341" s="2" t="str">
        <f ca="1">IFERROR(__xludf.DUMMYFUNCTION("GOOGLETRANSLATE(A11341,""bn"",""en"")"),"I will keep walking")</f>
        <v>I will keep walking</v>
      </c>
      <c r="D11341" s="5"/>
      <c r="E11341" s="5"/>
      <c r="F11341" s="5"/>
      <c r="G11341" s="5"/>
      <c r="H11341" s="5"/>
      <c r="I11341" s="5"/>
      <c r="J11341" s="5"/>
      <c r="K11341" s="5"/>
      <c r="L11341" s="5"/>
      <c r="M11341" s="5"/>
      <c r="N11341" s="5"/>
      <c r="O11341" s="5"/>
      <c r="P11341" s="5"/>
      <c r="Q11341" s="5"/>
      <c r="R11341" s="5"/>
      <c r="S11341" s="5"/>
      <c r="T11341" s="5"/>
      <c r="U11341" s="5"/>
      <c r="V11341" s="5"/>
      <c r="W11341" s="5"/>
      <c r="X11341" s="5"/>
      <c r="Y11341" s="5"/>
      <c r="Z11341" s="5"/>
    </row>
    <row r="11342" spans="1:26" ht="15" x14ac:dyDescent="0.25">
      <c r="A11342" s="4" t="s">
        <v>11339</v>
      </c>
      <c r="B11342" s="4" t="s">
        <v>9011</v>
      </c>
      <c r="C11342" s="2" t="str">
        <f ca="1">IFERROR(__xludf.DUMMYFUNCTION("GOOGLETRANSLATE(A11342,""bn"",""en"")"),"I will add myself")</f>
        <v>I will add myself</v>
      </c>
      <c r="D11342" s="5"/>
      <c r="E11342" s="5"/>
      <c r="F11342" s="5"/>
      <c r="G11342" s="5"/>
      <c r="H11342" s="5"/>
      <c r="I11342" s="5"/>
      <c r="J11342" s="5"/>
      <c r="K11342" s="5"/>
      <c r="L11342" s="5"/>
      <c r="M11342" s="5"/>
      <c r="N11342" s="5"/>
      <c r="O11342" s="5"/>
      <c r="P11342" s="5"/>
      <c r="Q11342" s="5"/>
      <c r="R11342" s="5"/>
      <c r="S11342" s="5"/>
      <c r="T11342" s="5"/>
      <c r="U11342" s="5"/>
      <c r="V11342" s="5"/>
      <c r="W11342" s="5"/>
      <c r="X11342" s="5"/>
      <c r="Y11342" s="5"/>
      <c r="Z11342" s="5"/>
    </row>
    <row r="11343" spans="1:26" ht="15" x14ac:dyDescent="0.25">
      <c r="A11343" s="4" t="s">
        <v>11340</v>
      </c>
      <c r="B11343" s="4" t="s">
        <v>9011</v>
      </c>
      <c r="C11343" s="2" t="str">
        <f ca="1">IFERROR(__xludf.DUMMYFUNCTION("GOOGLETRANSLATE(A11343,""bn"",""en"")"),"Eat fresh vegetables")</f>
        <v>Eat fresh vegetables</v>
      </c>
      <c r="D11343" s="5"/>
      <c r="E11343" s="5"/>
      <c r="F11343" s="5"/>
      <c r="G11343" s="5"/>
      <c r="H11343" s="5"/>
      <c r="I11343" s="5"/>
      <c r="J11343" s="5"/>
      <c r="K11343" s="5"/>
      <c r="L11343" s="5"/>
      <c r="M11343" s="5"/>
      <c r="N11343" s="5"/>
      <c r="O11343" s="5"/>
      <c r="P11343" s="5"/>
      <c r="Q11343" s="5"/>
      <c r="R11343" s="5"/>
      <c r="S11343" s="5"/>
      <c r="T11343" s="5"/>
      <c r="U11343" s="5"/>
      <c r="V11343" s="5"/>
      <c r="W11343" s="5"/>
      <c r="X11343" s="5"/>
      <c r="Y11343" s="5"/>
      <c r="Z11343" s="5"/>
    </row>
    <row r="11344" spans="1:26" ht="15" x14ac:dyDescent="0.25">
      <c r="A11344" s="4" t="s">
        <v>11341</v>
      </c>
      <c r="B11344" s="4" t="s">
        <v>9011</v>
      </c>
      <c r="C11344" s="2" t="str">
        <f ca="1">IFERROR(__xludf.DUMMYFUNCTION("GOOGLETRANSLATE(A11344,""bn"",""en"")"),"Cricket will start")</f>
        <v>Cricket will start</v>
      </c>
      <c r="D11344" s="5"/>
      <c r="E11344" s="5"/>
      <c r="F11344" s="5"/>
      <c r="G11344" s="5"/>
      <c r="H11344" s="5"/>
      <c r="I11344" s="5"/>
      <c r="J11344" s="5"/>
      <c r="K11344" s="5"/>
      <c r="L11344" s="5"/>
      <c r="M11344" s="5"/>
      <c r="N11344" s="5"/>
      <c r="O11344" s="5"/>
      <c r="P11344" s="5"/>
      <c r="Q11344" s="5"/>
      <c r="R11344" s="5"/>
      <c r="S11344" s="5"/>
      <c r="T11344" s="5"/>
      <c r="U11344" s="5"/>
      <c r="V11344" s="5"/>
      <c r="W11344" s="5"/>
      <c r="X11344" s="5"/>
      <c r="Y11344" s="5"/>
      <c r="Z11344" s="5"/>
    </row>
    <row r="11345" spans="1:26" ht="15" x14ac:dyDescent="0.25">
      <c r="A11345" s="4" t="s">
        <v>11342</v>
      </c>
      <c r="B11345" s="4" t="s">
        <v>9011</v>
      </c>
      <c r="C11345" s="2" t="str">
        <f ca="1">IFERROR(__xludf.DUMMYFUNCTION("GOOGLETRANSLATE(A11345,""bn"",""en"")"),"There will be love in the cinema")</f>
        <v>There will be love in the cinema</v>
      </c>
      <c r="D11345" s="5"/>
      <c r="E11345" s="5"/>
      <c r="F11345" s="5"/>
      <c r="G11345" s="5"/>
      <c r="H11345" s="5"/>
      <c r="I11345" s="5"/>
      <c r="J11345" s="5"/>
      <c r="K11345" s="5"/>
      <c r="L11345" s="5"/>
      <c r="M11345" s="5"/>
      <c r="N11345" s="5"/>
      <c r="O11345" s="5"/>
      <c r="P11345" s="5"/>
      <c r="Q11345" s="5"/>
      <c r="R11345" s="5"/>
      <c r="S11345" s="5"/>
      <c r="T11345" s="5"/>
      <c r="U11345" s="5"/>
      <c r="V11345" s="5"/>
      <c r="W11345" s="5"/>
      <c r="X11345" s="5"/>
      <c r="Y11345" s="5"/>
      <c r="Z11345" s="5"/>
    </row>
    <row r="11346" spans="1:26" ht="15" x14ac:dyDescent="0.25">
      <c r="A11346" s="4" t="s">
        <v>11343</v>
      </c>
      <c r="B11346" s="4" t="s">
        <v>9011</v>
      </c>
      <c r="C11346" s="2" t="str">
        <f ca="1">IFERROR(__xludf.DUMMYFUNCTION("GOOGLETRANSLATE(A11346,""bn"",""en"")"),"The product will be launched")</f>
        <v>The product will be launched</v>
      </c>
      <c r="D11346" s="5"/>
      <c r="E11346" s="5"/>
      <c r="F11346" s="5"/>
      <c r="G11346" s="5"/>
      <c r="H11346" s="5"/>
      <c r="I11346" s="5"/>
      <c r="J11346" s="5"/>
      <c r="K11346" s="5"/>
      <c r="L11346" s="5"/>
      <c r="M11346" s="5"/>
      <c r="N11346" s="5"/>
      <c r="O11346" s="5"/>
      <c r="P11346" s="5"/>
      <c r="Q11346" s="5"/>
      <c r="R11346" s="5"/>
      <c r="S11346" s="5"/>
      <c r="T11346" s="5"/>
      <c r="U11346" s="5"/>
      <c r="V11346" s="5"/>
      <c r="W11346" s="5"/>
      <c r="X11346" s="5"/>
      <c r="Y11346" s="5"/>
      <c r="Z11346" s="5"/>
    </row>
    <row r="11347" spans="1:26" ht="15" x14ac:dyDescent="0.25">
      <c r="A11347" s="4" t="s">
        <v>11344</v>
      </c>
      <c r="B11347" s="4" t="s">
        <v>9011</v>
      </c>
      <c r="C11347" s="2" t="str">
        <f ca="1">IFERROR(__xludf.DUMMYFUNCTION("GOOGLETRANSLATE(A11347,""bn"",""en"")"),"Children will be playing")</f>
        <v>Children will be playing</v>
      </c>
      <c r="D11347" s="5"/>
      <c r="E11347" s="5"/>
      <c r="F11347" s="5"/>
      <c r="G11347" s="5"/>
      <c r="H11347" s="5"/>
      <c r="I11347" s="5"/>
      <c r="J11347" s="5"/>
      <c r="K11347" s="5"/>
      <c r="L11347" s="5"/>
      <c r="M11347" s="5"/>
      <c r="N11347" s="5"/>
      <c r="O11347" s="5"/>
      <c r="P11347" s="5"/>
      <c r="Q11347" s="5"/>
      <c r="R11347" s="5"/>
      <c r="S11347" s="5"/>
      <c r="T11347" s="5"/>
      <c r="U11347" s="5"/>
      <c r="V11347" s="5"/>
      <c r="W11347" s="5"/>
      <c r="X11347" s="5"/>
      <c r="Y11347" s="5"/>
      <c r="Z11347" s="5"/>
    </row>
    <row r="11348" spans="1:26" ht="15" x14ac:dyDescent="0.25">
      <c r="A11348" s="4" t="s">
        <v>11345</v>
      </c>
      <c r="B11348" s="4" t="s">
        <v>9011</v>
      </c>
      <c r="C11348" s="2" t="str">
        <f ca="1">IFERROR(__xludf.DUMMYFUNCTION("GOOGLETRANSLATE(A11348,""bn"",""en"")"),"The program will be refactored")</f>
        <v>The program will be refactored</v>
      </c>
      <c r="D11348" s="5"/>
      <c r="E11348" s="5"/>
      <c r="F11348" s="5"/>
      <c r="G11348" s="5"/>
      <c r="H11348" s="5"/>
      <c r="I11348" s="5"/>
      <c r="J11348" s="5"/>
      <c r="K11348" s="5"/>
      <c r="L11348" s="5"/>
      <c r="M11348" s="5"/>
      <c r="N11348" s="5"/>
      <c r="O11348" s="5"/>
      <c r="P11348" s="5"/>
      <c r="Q11348" s="5"/>
      <c r="R11348" s="5"/>
      <c r="S11348" s="5"/>
      <c r="T11348" s="5"/>
      <c r="U11348" s="5"/>
      <c r="V11348" s="5"/>
      <c r="W11348" s="5"/>
      <c r="X11348" s="5"/>
      <c r="Y11348" s="5"/>
      <c r="Z11348" s="5"/>
    </row>
    <row r="11349" spans="1:26" ht="15" x14ac:dyDescent="0.25">
      <c r="A11349" s="4" t="s">
        <v>11346</v>
      </c>
      <c r="B11349" s="4" t="s">
        <v>9011</v>
      </c>
      <c r="C11349" s="2" t="str">
        <f ca="1">IFERROR(__xludf.DUMMYFUNCTION("GOOGLETRANSLATE(A11349,""bn"",""en"")"),"I will play the tune")</f>
        <v>I will play the tune</v>
      </c>
      <c r="D11349" s="5"/>
      <c r="E11349" s="5"/>
      <c r="F11349" s="5"/>
      <c r="G11349" s="5"/>
      <c r="H11349" s="5"/>
      <c r="I11349" s="5"/>
      <c r="J11349" s="5"/>
      <c r="K11349" s="5"/>
      <c r="L11349" s="5"/>
      <c r="M11349" s="5"/>
      <c r="N11349" s="5"/>
      <c r="O11349" s="5"/>
      <c r="P11349" s="5"/>
      <c r="Q11349" s="5"/>
      <c r="R11349" s="5"/>
      <c r="S11349" s="5"/>
      <c r="T11349" s="5"/>
      <c r="U11349" s="5"/>
      <c r="V11349" s="5"/>
      <c r="W11349" s="5"/>
      <c r="X11349" s="5"/>
      <c r="Y11349" s="5"/>
      <c r="Z11349" s="5"/>
    </row>
    <row r="11350" spans="1:26" ht="15" x14ac:dyDescent="0.25">
      <c r="A11350" s="4" t="s">
        <v>11347</v>
      </c>
      <c r="B11350" s="4" t="s">
        <v>9011</v>
      </c>
      <c r="C11350" s="2" t="str">
        <f ca="1">IFERROR(__xludf.DUMMYFUNCTION("GOOGLETRANSLATE(A11350,""bn"",""en"")"),"I will be looking for friends")</f>
        <v>I will be looking for friends</v>
      </c>
      <c r="D11350" s="5"/>
      <c r="E11350" s="5"/>
      <c r="F11350" s="5"/>
      <c r="G11350" s="5"/>
      <c r="H11350" s="5"/>
      <c r="I11350" s="5"/>
      <c r="J11350" s="5"/>
      <c r="K11350" s="5"/>
      <c r="L11350" s="5"/>
      <c r="M11350" s="5"/>
      <c r="N11350" s="5"/>
      <c r="O11350" s="5"/>
      <c r="P11350" s="5"/>
      <c r="Q11350" s="5"/>
      <c r="R11350" s="5"/>
      <c r="S11350" s="5"/>
      <c r="T11350" s="5"/>
      <c r="U11350" s="5"/>
      <c r="V11350" s="5"/>
      <c r="W11350" s="5"/>
      <c r="X11350" s="5"/>
      <c r="Y11350" s="5"/>
      <c r="Z11350" s="5"/>
    </row>
    <row r="11351" spans="1:26" ht="15" x14ac:dyDescent="0.25">
      <c r="A11351" s="4" t="s">
        <v>11348</v>
      </c>
      <c r="B11351" s="4" t="s">
        <v>9011</v>
      </c>
      <c r="C11351" s="2" t="str">
        <f ca="1">IFERROR(__xludf.DUMMYFUNCTION("GOOGLETRANSLATE(A11351,""bn"",""en"")"),"Write Python code")</f>
        <v>Write Python code</v>
      </c>
      <c r="D11351" s="5"/>
      <c r="E11351" s="5"/>
      <c r="F11351" s="5"/>
      <c r="G11351" s="5"/>
      <c r="H11351" s="5"/>
      <c r="I11351" s="5"/>
      <c r="J11351" s="5"/>
      <c r="K11351" s="5"/>
      <c r="L11351" s="5"/>
      <c r="M11351" s="5"/>
      <c r="N11351" s="5"/>
      <c r="O11351" s="5"/>
      <c r="P11351" s="5"/>
      <c r="Q11351" s="5"/>
      <c r="R11351" s="5"/>
      <c r="S11351" s="5"/>
      <c r="T11351" s="5"/>
      <c r="U11351" s="5"/>
      <c r="V11351" s="5"/>
      <c r="W11351" s="5"/>
      <c r="X11351" s="5"/>
      <c r="Y11351" s="5"/>
      <c r="Z11351" s="5"/>
    </row>
    <row r="11352" spans="1:26" ht="15" x14ac:dyDescent="0.25">
      <c r="A11352" s="4" t="s">
        <v>11349</v>
      </c>
      <c r="B11352" s="4" t="s">
        <v>9011</v>
      </c>
      <c r="C11352" s="2" t="str">
        <f ca="1">IFERROR(__xludf.DUMMYFUNCTION("GOOGLETRANSLATE(A11352,""bn"",""en"")"),"I play football at school")</f>
        <v>I play football at school</v>
      </c>
      <c r="D11352" s="5"/>
      <c r="E11352" s="5"/>
      <c r="F11352" s="5"/>
      <c r="G11352" s="5"/>
      <c r="H11352" s="5"/>
      <c r="I11352" s="5"/>
      <c r="J11352" s="5"/>
      <c r="K11352" s="5"/>
      <c r="L11352" s="5"/>
      <c r="M11352" s="5"/>
      <c r="N11352" s="5"/>
      <c r="O11352" s="5"/>
      <c r="P11352" s="5"/>
      <c r="Q11352" s="5"/>
      <c r="R11352" s="5"/>
      <c r="S11352" s="5"/>
      <c r="T11352" s="5"/>
      <c r="U11352" s="5"/>
      <c r="V11352" s="5"/>
      <c r="W11352" s="5"/>
      <c r="X11352" s="5"/>
      <c r="Y11352" s="5"/>
      <c r="Z11352" s="5"/>
    </row>
    <row r="11353" spans="1:26" ht="15" x14ac:dyDescent="0.25">
      <c r="A11353" s="4" t="s">
        <v>11350</v>
      </c>
      <c r="B11353" s="4" t="s">
        <v>9011</v>
      </c>
      <c r="C11353" s="2" t="str">
        <f ca="1">IFERROR(__xludf.DUMMYFUNCTION("GOOGLETRANSLATE(A11353,""bn"",""en"")"),"I will teach something new")</f>
        <v>I will teach something new</v>
      </c>
      <c r="D11353" s="5"/>
      <c r="E11353" s="5"/>
      <c r="F11353" s="5"/>
      <c r="G11353" s="5"/>
      <c r="H11353" s="5"/>
      <c r="I11353" s="5"/>
      <c r="J11353" s="5"/>
      <c r="K11353" s="5"/>
      <c r="L11353" s="5"/>
      <c r="M11353" s="5"/>
      <c r="N11353" s="5"/>
      <c r="O11353" s="5"/>
      <c r="P11353" s="5"/>
      <c r="Q11353" s="5"/>
      <c r="R11353" s="5"/>
      <c r="S11353" s="5"/>
      <c r="T11353" s="5"/>
      <c r="U11353" s="5"/>
      <c r="V11353" s="5"/>
      <c r="W11353" s="5"/>
      <c r="X11353" s="5"/>
      <c r="Y11353" s="5"/>
      <c r="Z11353" s="5"/>
    </row>
    <row r="11354" spans="1:26" ht="15" x14ac:dyDescent="0.25">
      <c r="A11354" s="4" t="s">
        <v>11351</v>
      </c>
      <c r="B11354" s="4" t="s">
        <v>9011</v>
      </c>
      <c r="C11354" s="2" t="str">
        <f ca="1">IFERROR(__xludf.DUMMYFUNCTION("GOOGLETRANSLATE(A11354,""bn"",""en"")"),"I can learn new things")</f>
        <v>I can learn new things</v>
      </c>
      <c r="D11354" s="5"/>
      <c r="E11354" s="5"/>
      <c r="F11354" s="5"/>
      <c r="G11354" s="5"/>
      <c r="H11354" s="5"/>
      <c r="I11354" s="5"/>
      <c r="J11354" s="5"/>
      <c r="K11354" s="5"/>
      <c r="L11354" s="5"/>
      <c r="M11354" s="5"/>
      <c r="N11354" s="5"/>
      <c r="O11354" s="5"/>
      <c r="P11354" s="5"/>
      <c r="Q11354" s="5"/>
      <c r="R11354" s="5"/>
      <c r="S11354" s="5"/>
      <c r="T11354" s="5"/>
      <c r="U11354" s="5"/>
      <c r="V11354" s="5"/>
      <c r="W11354" s="5"/>
      <c r="X11354" s="5"/>
      <c r="Y11354" s="5"/>
      <c r="Z11354" s="5"/>
    </row>
    <row r="11355" spans="1:26" ht="15" x14ac:dyDescent="0.25">
      <c r="A11355" s="4" t="s">
        <v>11352</v>
      </c>
      <c r="B11355" s="4" t="s">
        <v>9011</v>
      </c>
      <c r="C11355" s="2" t="str">
        <f ca="1">IFERROR(__xludf.DUMMYFUNCTION("GOOGLETRANSLATE(A11355,""bn"",""en"")"),"Switch will be used")</f>
        <v>Switch will be used</v>
      </c>
      <c r="D11355" s="5"/>
      <c r="E11355" s="5"/>
      <c r="F11355" s="5"/>
      <c r="G11355" s="5"/>
      <c r="H11355" s="5"/>
      <c r="I11355" s="5"/>
      <c r="J11355" s="5"/>
      <c r="K11355" s="5"/>
      <c r="L11355" s="5"/>
      <c r="M11355" s="5"/>
      <c r="N11355" s="5"/>
      <c r="O11355" s="5"/>
      <c r="P11355" s="5"/>
      <c r="Q11355" s="5"/>
      <c r="R11355" s="5"/>
      <c r="S11355" s="5"/>
      <c r="T11355" s="5"/>
      <c r="U11355" s="5"/>
      <c r="V11355" s="5"/>
      <c r="W11355" s="5"/>
      <c r="X11355" s="5"/>
      <c r="Y11355" s="5"/>
      <c r="Z11355" s="5"/>
    </row>
    <row r="11356" spans="1:26" ht="15" x14ac:dyDescent="0.25">
      <c r="A11356" s="4" t="s">
        <v>11353</v>
      </c>
      <c r="B11356" s="4" t="s">
        <v>9011</v>
      </c>
      <c r="C11356" s="2" t="str">
        <f ca="1">IFERROR(__xludf.DUMMYFUNCTION("GOOGLETRANSLATE(A11356,""bn"",""en"")"),"Connect the router")</f>
        <v>Connect the router</v>
      </c>
      <c r="D11356" s="5"/>
      <c r="E11356" s="5"/>
      <c r="F11356" s="5"/>
      <c r="G11356" s="5"/>
      <c r="H11356" s="5"/>
      <c r="I11356" s="5"/>
      <c r="J11356" s="5"/>
      <c r="K11356" s="5"/>
      <c r="L11356" s="5"/>
      <c r="M11356" s="5"/>
      <c r="N11356" s="5"/>
      <c r="O11356" s="5"/>
      <c r="P11356" s="5"/>
      <c r="Q11356" s="5"/>
      <c r="R11356" s="5"/>
      <c r="S11356" s="5"/>
      <c r="T11356" s="5"/>
      <c r="U11356" s="5"/>
      <c r="V11356" s="5"/>
      <c r="W11356" s="5"/>
      <c r="X11356" s="5"/>
      <c r="Y11356" s="5"/>
      <c r="Z11356" s="5"/>
    </row>
    <row r="11357" spans="1:26" ht="15" x14ac:dyDescent="0.25">
      <c r="A11357" s="4" t="s">
        <v>11354</v>
      </c>
      <c r="B11357" s="4" t="s">
        <v>9011</v>
      </c>
      <c r="C11357" s="2" t="str">
        <f ca="1">IFERROR(__xludf.DUMMYFUNCTION("GOOGLETRANSLATE(A11357,""bn"",""en"")"),"I will stay in the hostel")</f>
        <v>I will stay in the hostel</v>
      </c>
      <c r="D11357" s="5"/>
      <c r="E11357" s="5"/>
      <c r="F11357" s="5"/>
      <c r="G11357" s="5"/>
      <c r="H11357" s="5"/>
      <c r="I11357" s="5"/>
      <c r="J11357" s="5"/>
      <c r="K11357" s="5"/>
      <c r="L11357" s="5"/>
      <c r="M11357" s="5"/>
      <c r="N11357" s="5"/>
      <c r="O11357" s="5"/>
      <c r="P11357" s="5"/>
      <c r="Q11357" s="5"/>
      <c r="R11357" s="5"/>
      <c r="S11357" s="5"/>
      <c r="T11357" s="5"/>
      <c r="U11357" s="5"/>
      <c r="V11357" s="5"/>
      <c r="W11357" s="5"/>
      <c r="X11357" s="5"/>
      <c r="Y11357" s="5"/>
      <c r="Z11357" s="5"/>
    </row>
    <row r="11358" spans="1:26" ht="15" x14ac:dyDescent="0.25">
      <c r="A11358" s="4" t="s">
        <v>11355</v>
      </c>
      <c r="B11358" s="4" t="s">
        <v>9011</v>
      </c>
      <c r="C11358" s="2" t="str">
        <f ca="1">IFERROR(__xludf.DUMMYFUNCTION("GOOGLETRANSLATE(A11358,""bn"",""en"")"),"Will play in college")</f>
        <v>Will play in college</v>
      </c>
      <c r="D11358" s="5"/>
      <c r="E11358" s="5"/>
      <c r="F11358" s="5"/>
      <c r="G11358" s="5"/>
      <c r="H11358" s="5"/>
      <c r="I11358" s="5"/>
      <c r="J11358" s="5"/>
      <c r="K11358" s="5"/>
      <c r="L11358" s="5"/>
      <c r="M11358" s="5"/>
      <c r="N11358" s="5"/>
      <c r="O11358" s="5"/>
      <c r="P11358" s="5"/>
      <c r="Q11358" s="5"/>
      <c r="R11358" s="5"/>
      <c r="S11358" s="5"/>
      <c r="T11358" s="5"/>
      <c r="U11358" s="5"/>
      <c r="V11358" s="5"/>
      <c r="W11358" s="5"/>
      <c r="X11358" s="5"/>
      <c r="Y11358" s="5"/>
      <c r="Z11358" s="5"/>
    </row>
    <row r="11359" spans="1:26" ht="15" x14ac:dyDescent="0.25">
      <c r="A11359" s="4" t="s">
        <v>11356</v>
      </c>
      <c r="B11359" s="4" t="s">
        <v>9011</v>
      </c>
      <c r="C11359" s="2" t="str">
        <f ca="1">IFERROR(__xludf.DUMMYFUNCTION("GOOGLETRANSLATE(A11359,""bn"",""en"")"),"You will hear anger")</f>
        <v>You will hear anger</v>
      </c>
      <c r="D11359" s="5"/>
      <c r="E11359" s="5"/>
      <c r="F11359" s="5"/>
      <c r="G11359" s="5"/>
      <c r="H11359" s="5"/>
      <c r="I11359" s="5"/>
      <c r="J11359" s="5"/>
      <c r="K11359" s="5"/>
      <c r="L11359" s="5"/>
      <c r="M11359" s="5"/>
      <c r="N11359" s="5"/>
      <c r="O11359" s="5"/>
      <c r="P11359" s="5"/>
      <c r="Q11359" s="5"/>
      <c r="R11359" s="5"/>
      <c r="S11359" s="5"/>
      <c r="T11359" s="5"/>
      <c r="U11359" s="5"/>
      <c r="V11359" s="5"/>
      <c r="W11359" s="5"/>
      <c r="X11359" s="5"/>
      <c r="Y11359" s="5"/>
      <c r="Z11359" s="5"/>
    </row>
    <row r="11360" spans="1:26" ht="15" x14ac:dyDescent="0.25">
      <c r="A11360" s="4" t="s">
        <v>11357</v>
      </c>
      <c r="B11360" s="4" t="s">
        <v>9011</v>
      </c>
      <c r="C11360" s="2" t="str">
        <f ca="1">IFERROR(__xludf.DUMMYFUNCTION("GOOGLETRANSLATE(A11360,""bn"",""en"")"),"I will start the journey")</f>
        <v>I will start the journey</v>
      </c>
      <c r="D11360" s="5"/>
      <c r="E11360" s="5"/>
      <c r="F11360" s="5"/>
      <c r="G11360" s="5"/>
      <c r="H11360" s="5"/>
      <c r="I11360" s="5"/>
      <c r="J11360" s="5"/>
      <c r="K11360" s="5"/>
      <c r="L11360" s="5"/>
      <c r="M11360" s="5"/>
      <c r="N11360" s="5"/>
      <c r="O11360" s="5"/>
      <c r="P11360" s="5"/>
      <c r="Q11360" s="5"/>
      <c r="R11360" s="5"/>
      <c r="S11360" s="5"/>
      <c r="T11360" s="5"/>
      <c r="U11360" s="5"/>
      <c r="V11360" s="5"/>
      <c r="W11360" s="5"/>
      <c r="X11360" s="5"/>
      <c r="Y11360" s="5"/>
      <c r="Z11360" s="5"/>
    </row>
    <row r="11361" spans="1:26" ht="15" x14ac:dyDescent="0.25">
      <c r="A11361" s="4" t="s">
        <v>11358</v>
      </c>
      <c r="B11361" s="4" t="s">
        <v>9011</v>
      </c>
      <c r="C11361" s="2" t="str">
        <f ca="1">IFERROR(__xludf.DUMMYFUNCTION("GOOGLETRANSLATE(A11361,""bn"",""en"")"),"The game will begin")</f>
        <v>The game will begin</v>
      </c>
      <c r="D11361" s="5"/>
      <c r="E11361" s="5"/>
      <c r="F11361" s="5"/>
      <c r="G11361" s="5"/>
      <c r="H11361" s="5"/>
      <c r="I11361" s="5"/>
      <c r="J11361" s="5"/>
      <c r="K11361" s="5"/>
      <c r="L11361" s="5"/>
      <c r="M11361" s="5"/>
      <c r="N11361" s="5"/>
      <c r="O11361" s="5"/>
      <c r="P11361" s="5"/>
      <c r="Q11361" s="5"/>
      <c r="R11361" s="5"/>
      <c r="S11361" s="5"/>
      <c r="T11361" s="5"/>
      <c r="U11361" s="5"/>
      <c r="V11361" s="5"/>
      <c r="W11361" s="5"/>
      <c r="X11361" s="5"/>
      <c r="Y11361" s="5"/>
      <c r="Z11361" s="5"/>
    </row>
    <row r="11362" spans="1:26" ht="15" x14ac:dyDescent="0.25">
      <c r="A11362" s="4" t="s">
        <v>11359</v>
      </c>
      <c r="B11362" s="4" t="s">
        <v>9011</v>
      </c>
      <c r="C11362" s="2" t="str">
        <f ca="1">IFERROR(__xludf.DUMMYFUNCTION("GOOGLETRANSLATE(A11362,""bn"",""en"")"),"College students will play")</f>
        <v>College students will play</v>
      </c>
      <c r="D11362" s="5"/>
      <c r="E11362" s="5"/>
      <c r="F11362" s="5"/>
      <c r="G11362" s="5"/>
      <c r="H11362" s="5"/>
      <c r="I11362" s="5"/>
      <c r="J11362" s="5"/>
      <c r="K11362" s="5"/>
      <c r="L11362" s="5"/>
      <c r="M11362" s="5"/>
      <c r="N11362" s="5"/>
      <c r="O11362" s="5"/>
      <c r="P11362" s="5"/>
      <c r="Q11362" s="5"/>
      <c r="R11362" s="5"/>
      <c r="S11362" s="5"/>
      <c r="T11362" s="5"/>
      <c r="U11362" s="5"/>
      <c r="V11362" s="5"/>
      <c r="W11362" s="5"/>
      <c r="X11362" s="5"/>
      <c r="Y11362" s="5"/>
      <c r="Z11362" s="5"/>
    </row>
    <row r="11363" spans="1:26" ht="15" x14ac:dyDescent="0.25">
      <c r="A11363" s="4" t="s">
        <v>11360</v>
      </c>
      <c r="B11363" s="4" t="s">
        <v>9011</v>
      </c>
      <c r="C11363" s="2" t="str">
        <f ca="1">IFERROR(__xludf.DUMMYFUNCTION("GOOGLETRANSLATE(A11363,""bn"",""en"")"),"The football match will continue")</f>
        <v>The football match will continue</v>
      </c>
      <c r="D11363" s="5"/>
      <c r="E11363" s="5"/>
      <c r="F11363" s="5"/>
      <c r="G11363" s="5"/>
      <c r="H11363" s="5"/>
      <c r="I11363" s="5"/>
      <c r="J11363" s="5"/>
      <c r="K11363" s="5"/>
      <c r="L11363" s="5"/>
      <c r="M11363" s="5"/>
      <c r="N11363" s="5"/>
      <c r="O11363" s="5"/>
      <c r="P11363" s="5"/>
      <c r="Q11363" s="5"/>
      <c r="R11363" s="5"/>
      <c r="S11363" s="5"/>
      <c r="T11363" s="5"/>
      <c r="U11363" s="5"/>
      <c r="V11363" s="5"/>
      <c r="W11363" s="5"/>
      <c r="X11363" s="5"/>
      <c r="Y11363" s="5"/>
      <c r="Z11363" s="5"/>
    </row>
    <row r="11364" spans="1:26" ht="15" x14ac:dyDescent="0.25">
      <c r="A11364" s="4" t="s">
        <v>11361</v>
      </c>
      <c r="B11364" s="4" t="s">
        <v>9011</v>
      </c>
      <c r="C11364" s="2" t="str">
        <f ca="1">IFERROR(__xludf.DUMMYFUNCTION("GOOGLETRANSLATE(A11364,""bn"",""en"")"),"The code will be deployed")</f>
        <v>The code will be deployed</v>
      </c>
      <c r="D11364" s="5"/>
      <c r="E11364" s="5"/>
      <c r="F11364" s="5"/>
      <c r="G11364" s="5"/>
      <c r="H11364" s="5"/>
      <c r="I11364" s="5"/>
      <c r="J11364" s="5"/>
      <c r="K11364" s="5"/>
      <c r="L11364" s="5"/>
      <c r="M11364" s="5"/>
      <c r="N11364" s="5"/>
      <c r="O11364" s="5"/>
      <c r="P11364" s="5"/>
      <c r="Q11364" s="5"/>
      <c r="R11364" s="5"/>
      <c r="S11364" s="5"/>
      <c r="T11364" s="5"/>
      <c r="U11364" s="5"/>
      <c r="V11364" s="5"/>
      <c r="W11364" s="5"/>
      <c r="X11364" s="5"/>
      <c r="Y11364" s="5"/>
      <c r="Z11364" s="5"/>
    </row>
    <row r="11365" spans="1:26" ht="15" x14ac:dyDescent="0.25">
      <c r="A11365" s="4" t="s">
        <v>11362</v>
      </c>
      <c r="B11365" s="4" t="s">
        <v>9011</v>
      </c>
      <c r="C11365" s="2" t="str">
        <f ca="1">IFERROR(__xludf.DUMMYFUNCTION("GOOGLETRANSLATE(A11365,""bn"",""en"")"),"I will configure the laptop")</f>
        <v>I will configure the laptop</v>
      </c>
      <c r="D11365" s="5"/>
      <c r="E11365" s="5"/>
      <c r="F11365" s="5"/>
      <c r="G11365" s="5"/>
      <c r="H11365" s="5"/>
      <c r="I11365" s="5"/>
      <c r="J11365" s="5"/>
      <c r="K11365" s="5"/>
      <c r="L11365" s="5"/>
      <c r="M11365" s="5"/>
      <c r="N11365" s="5"/>
      <c r="O11365" s="5"/>
      <c r="P11365" s="5"/>
      <c r="Q11365" s="5"/>
      <c r="R11365" s="5"/>
      <c r="S11365" s="5"/>
      <c r="T11365" s="5"/>
      <c r="U11365" s="5"/>
      <c r="V11365" s="5"/>
      <c r="W11365" s="5"/>
      <c r="X11365" s="5"/>
      <c r="Y11365" s="5"/>
      <c r="Z11365" s="5"/>
    </row>
    <row r="11366" spans="1:26" ht="15" x14ac:dyDescent="0.25">
      <c r="A11366" s="4" t="s">
        <v>11363</v>
      </c>
      <c r="B11366" s="4" t="s">
        <v>9011</v>
      </c>
      <c r="C11366" s="2" t="str">
        <f ca="1">IFERROR(__xludf.DUMMYFUNCTION("GOOGLETRANSLATE(A11366,""bn"",""en"")"),"Promotion will begin")</f>
        <v>Promotion will begin</v>
      </c>
      <c r="D11366" s="5"/>
      <c r="E11366" s="5"/>
      <c r="F11366" s="5"/>
      <c r="G11366" s="5"/>
      <c r="H11366" s="5"/>
      <c r="I11366" s="5"/>
      <c r="J11366" s="5"/>
      <c r="K11366" s="5"/>
      <c r="L11366" s="5"/>
      <c r="M11366" s="5"/>
      <c r="N11366" s="5"/>
      <c r="O11366" s="5"/>
      <c r="P11366" s="5"/>
      <c r="Q11366" s="5"/>
      <c r="R11366" s="5"/>
      <c r="S11366" s="5"/>
      <c r="T11366" s="5"/>
      <c r="U11366" s="5"/>
      <c r="V11366" s="5"/>
      <c r="W11366" s="5"/>
      <c r="X11366" s="5"/>
      <c r="Y11366" s="5"/>
      <c r="Z11366" s="5"/>
    </row>
    <row r="11367" spans="1:26" ht="15" x14ac:dyDescent="0.25">
      <c r="A11367" s="4" t="s">
        <v>11364</v>
      </c>
      <c r="B11367" s="4" t="s">
        <v>9011</v>
      </c>
      <c r="C11367" s="2" t="str">
        <f ca="1">IFERROR(__xludf.DUMMYFUNCTION("GOOGLETRANSLATE(A11367,""bn"",""en"")"),"The movie will be released")</f>
        <v>The movie will be released</v>
      </c>
      <c r="D11367" s="5"/>
      <c r="E11367" s="5"/>
      <c r="F11367" s="5"/>
      <c r="G11367" s="5"/>
      <c r="H11367" s="5"/>
      <c r="I11367" s="5"/>
      <c r="J11367" s="5"/>
      <c r="K11367" s="5"/>
      <c r="L11367" s="5"/>
      <c r="M11367" s="5"/>
      <c r="N11367" s="5"/>
      <c r="O11367" s="5"/>
      <c r="P11367" s="5"/>
      <c r="Q11367" s="5"/>
      <c r="R11367" s="5"/>
      <c r="S11367" s="5"/>
      <c r="T11367" s="5"/>
      <c r="U11367" s="5"/>
      <c r="V11367" s="5"/>
      <c r="W11367" s="5"/>
      <c r="X11367" s="5"/>
      <c r="Y11367" s="5"/>
      <c r="Z11367" s="5"/>
    </row>
    <row r="11368" spans="1:26" ht="15" x14ac:dyDescent="0.25">
      <c r="A11368" s="4" t="s">
        <v>11365</v>
      </c>
      <c r="B11368" s="4" t="s">
        <v>9011</v>
      </c>
      <c r="C11368" s="2" t="str">
        <f ca="1">IFERROR(__xludf.DUMMYFUNCTION("GOOGLETRANSLATE(A11368,""bn"",""en"")"),"There will be an acting competition")</f>
        <v>There will be an acting competition</v>
      </c>
      <c r="D11368" s="5"/>
      <c r="E11368" s="5"/>
      <c r="F11368" s="5"/>
      <c r="G11368" s="5"/>
      <c r="H11368" s="5"/>
      <c r="I11368" s="5"/>
      <c r="J11368" s="5"/>
      <c r="K11368" s="5"/>
      <c r="L11368" s="5"/>
      <c r="M11368" s="5"/>
      <c r="N11368" s="5"/>
      <c r="O11368" s="5"/>
      <c r="P11368" s="5"/>
      <c r="Q11368" s="5"/>
      <c r="R11368" s="5"/>
      <c r="S11368" s="5"/>
      <c r="T11368" s="5"/>
      <c r="U11368" s="5"/>
      <c r="V11368" s="5"/>
      <c r="W11368" s="5"/>
      <c r="X11368" s="5"/>
      <c r="Y11368" s="5"/>
      <c r="Z11368" s="5"/>
    </row>
    <row r="11369" spans="1:26" ht="15" x14ac:dyDescent="0.25">
      <c r="A11369" s="4" t="s">
        <v>11366</v>
      </c>
      <c r="B11369" s="4" t="s">
        <v>9011</v>
      </c>
      <c r="C11369" s="2" t="str">
        <f ca="1">IFERROR(__xludf.DUMMYFUNCTION("GOOGLETRANSLATE(A11369,""bn"",""en"")"),"I will use smartphone")</f>
        <v>I will use smartphone</v>
      </c>
      <c r="D11369" s="5"/>
      <c r="E11369" s="5"/>
      <c r="F11369" s="5"/>
      <c r="G11369" s="5"/>
      <c r="H11369" s="5"/>
      <c r="I11369" s="5"/>
      <c r="J11369" s="5"/>
      <c r="K11369" s="5"/>
      <c r="L11369" s="5"/>
      <c r="M11369" s="5"/>
      <c r="N11369" s="5"/>
      <c r="O11369" s="5"/>
      <c r="P11369" s="5"/>
      <c r="Q11369" s="5"/>
      <c r="R11369" s="5"/>
      <c r="S11369" s="5"/>
      <c r="T11369" s="5"/>
      <c r="U11369" s="5"/>
      <c r="V11369" s="5"/>
      <c r="W11369" s="5"/>
      <c r="X11369" s="5"/>
      <c r="Y11369" s="5"/>
      <c r="Z11369" s="5"/>
    </row>
    <row r="11370" spans="1:26" ht="15" x14ac:dyDescent="0.25">
      <c r="A11370" s="4" t="s">
        <v>11367</v>
      </c>
      <c r="B11370" s="4" t="s">
        <v>9011</v>
      </c>
      <c r="C11370" s="2" t="str">
        <f ca="1">IFERROR(__xludf.DUMMYFUNCTION("GOOGLETRANSLATE(A11370,""bn"",""en"")"),"Must know how to use smartphone")</f>
        <v>Must know how to use smartphone</v>
      </c>
      <c r="D11370" s="5"/>
      <c r="E11370" s="5"/>
      <c r="F11370" s="5"/>
      <c r="G11370" s="5"/>
      <c r="H11370" s="5"/>
      <c r="I11370" s="5"/>
      <c r="J11370" s="5"/>
      <c r="K11370" s="5"/>
      <c r="L11370" s="5"/>
      <c r="M11370" s="5"/>
      <c r="N11370" s="5"/>
      <c r="O11370" s="5"/>
      <c r="P11370" s="5"/>
      <c r="Q11370" s="5"/>
      <c r="R11370" s="5"/>
      <c r="S11370" s="5"/>
      <c r="T11370" s="5"/>
      <c r="U11370" s="5"/>
      <c r="V11370" s="5"/>
      <c r="W11370" s="5"/>
      <c r="X11370" s="5"/>
      <c r="Y11370" s="5"/>
      <c r="Z11370" s="5"/>
    </row>
    <row r="11371" spans="1:26" ht="15" x14ac:dyDescent="0.25">
      <c r="A11371" s="4" t="s">
        <v>11368</v>
      </c>
      <c r="B11371" s="4" t="s">
        <v>9011</v>
      </c>
      <c r="C11371" s="2" t="str">
        <f ca="1">IFERROR(__xludf.DUMMYFUNCTION("GOOGLETRANSLATE(A11371,""bn"",""en"")"),"He will eat salad")</f>
        <v>He will eat salad</v>
      </c>
      <c r="D11371" s="5"/>
      <c r="E11371" s="5"/>
      <c r="F11371" s="5"/>
      <c r="G11371" s="5"/>
      <c r="H11371" s="5"/>
      <c r="I11371" s="5"/>
      <c r="J11371" s="5"/>
      <c r="K11371" s="5"/>
      <c r="L11371" s="5"/>
      <c r="M11371" s="5"/>
      <c r="N11371" s="5"/>
      <c r="O11371" s="5"/>
      <c r="P11371" s="5"/>
      <c r="Q11371" s="5"/>
      <c r="R11371" s="5"/>
      <c r="S11371" s="5"/>
      <c r="T11371" s="5"/>
      <c r="U11371" s="5"/>
      <c r="V11371" s="5"/>
      <c r="W11371" s="5"/>
      <c r="X11371" s="5"/>
      <c r="Y11371" s="5"/>
      <c r="Z11371" s="5"/>
    </row>
    <row r="11372" spans="1:26" ht="15" x14ac:dyDescent="0.25">
      <c r="A11372" s="4" t="s">
        <v>11369</v>
      </c>
      <c r="B11372" s="4" t="s">
        <v>9011</v>
      </c>
      <c r="C11372" s="2" t="str">
        <f ca="1">IFERROR(__xludf.DUMMYFUNCTION("GOOGLETRANSLATE(A11372,""bn"",""en"")"),"I will send messages every day")</f>
        <v>I will send messages every day</v>
      </c>
      <c r="D11372" s="5"/>
      <c r="E11372" s="5"/>
      <c r="F11372" s="5"/>
      <c r="G11372" s="5"/>
      <c r="H11372" s="5"/>
      <c r="I11372" s="5"/>
      <c r="J11372" s="5"/>
      <c r="K11372" s="5"/>
      <c r="L11372" s="5"/>
      <c r="M11372" s="5"/>
      <c r="N11372" s="5"/>
      <c r="O11372" s="5"/>
      <c r="P11372" s="5"/>
      <c r="Q11372" s="5"/>
      <c r="R11372" s="5"/>
      <c r="S11372" s="5"/>
      <c r="T11372" s="5"/>
      <c r="U11372" s="5"/>
      <c r="V11372" s="5"/>
      <c r="W11372" s="5"/>
      <c r="X11372" s="5"/>
      <c r="Y11372" s="5"/>
      <c r="Z11372" s="5"/>
    </row>
    <row r="11373" spans="1:26" ht="15" x14ac:dyDescent="0.25">
      <c r="A11373" s="4" t="s">
        <v>11370</v>
      </c>
      <c r="B11373" s="4" t="s">
        <v>9011</v>
      </c>
      <c r="C11373" s="2" t="str">
        <f ca="1">IFERROR(__xludf.DUMMYFUNCTION("GOOGLETRANSLATE(A11373,""bn"",""en"")"),"Market research will be done")</f>
        <v>Market research will be done</v>
      </c>
      <c r="D11373" s="5"/>
      <c r="E11373" s="5"/>
      <c r="F11373" s="5"/>
      <c r="G11373" s="5"/>
      <c r="H11373" s="5"/>
      <c r="I11373" s="5"/>
      <c r="J11373" s="5"/>
      <c r="K11373" s="5"/>
      <c r="L11373" s="5"/>
      <c r="M11373" s="5"/>
      <c r="N11373" s="5"/>
      <c r="O11373" s="5"/>
      <c r="P11373" s="5"/>
      <c r="Q11373" s="5"/>
      <c r="R11373" s="5"/>
      <c r="S11373" s="5"/>
      <c r="T11373" s="5"/>
      <c r="U11373" s="5"/>
      <c r="V11373" s="5"/>
      <c r="W11373" s="5"/>
      <c r="X11373" s="5"/>
      <c r="Y11373" s="5"/>
      <c r="Z11373" s="5"/>
    </row>
    <row r="11374" spans="1:26" ht="15" x14ac:dyDescent="0.25">
      <c r="A11374" s="4" t="s">
        <v>11371</v>
      </c>
      <c r="B11374" s="4" t="s">
        <v>9011</v>
      </c>
      <c r="C11374" s="2" t="str">
        <f ca="1">IFERROR(__xludf.DUMMYFUNCTION("GOOGLETRANSLATE(A11374,""bn"",""en"")"),"Customer will receive")</f>
        <v>Customer will receive</v>
      </c>
      <c r="D11374" s="5"/>
      <c r="E11374" s="5"/>
      <c r="F11374" s="5"/>
      <c r="G11374" s="5"/>
      <c r="H11374" s="5"/>
      <c r="I11374" s="5"/>
      <c r="J11374" s="5"/>
      <c r="K11374" s="5"/>
      <c r="L11374" s="5"/>
      <c r="M11374" s="5"/>
      <c r="N11374" s="5"/>
      <c r="O11374" s="5"/>
      <c r="P11374" s="5"/>
      <c r="Q11374" s="5"/>
      <c r="R11374" s="5"/>
      <c r="S11374" s="5"/>
      <c r="T11374" s="5"/>
      <c r="U11374" s="5"/>
      <c r="V11374" s="5"/>
      <c r="W11374" s="5"/>
      <c r="X11374" s="5"/>
      <c r="Y11374" s="5"/>
      <c r="Z11374" s="5"/>
    </row>
    <row r="11375" spans="1:26" ht="15" x14ac:dyDescent="0.25">
      <c r="A11375" s="4" t="s">
        <v>11372</v>
      </c>
      <c r="B11375" s="4" t="s">
        <v>9011</v>
      </c>
      <c r="C11375" s="2" t="str">
        <f ca="1">IFERROR(__xludf.DUMMYFUNCTION("GOOGLETRANSLATE(A11375,""bn"",""en"")"),"I will learn something new")</f>
        <v>I will learn something new</v>
      </c>
      <c r="D11375" s="5"/>
      <c r="E11375" s="5"/>
      <c r="F11375" s="5"/>
      <c r="G11375" s="5"/>
      <c r="H11375" s="5"/>
      <c r="I11375" s="5"/>
      <c r="J11375" s="5"/>
      <c r="K11375" s="5"/>
      <c r="L11375" s="5"/>
      <c r="M11375" s="5"/>
      <c r="N11375" s="5"/>
      <c r="O11375" s="5"/>
      <c r="P11375" s="5"/>
      <c r="Q11375" s="5"/>
      <c r="R11375" s="5"/>
      <c r="S11375" s="5"/>
      <c r="T11375" s="5"/>
      <c r="U11375" s="5"/>
      <c r="V11375" s="5"/>
      <c r="W11375" s="5"/>
      <c r="X11375" s="5"/>
      <c r="Y11375" s="5"/>
      <c r="Z11375" s="5"/>
    </row>
    <row r="11376" spans="1:26" ht="15" x14ac:dyDescent="0.25">
      <c r="A11376" s="4" t="s">
        <v>11373</v>
      </c>
      <c r="B11376" s="4" t="s">
        <v>9011</v>
      </c>
      <c r="C11376" s="2" t="str">
        <f ca="1">IFERROR(__xludf.DUMMYFUNCTION("GOOGLETRANSLATE(A11376,""bn"",""en"")"),"Don't give bank service")</f>
        <v>Don't give bank service</v>
      </c>
      <c r="D11376" s="5"/>
      <c r="E11376" s="5"/>
      <c r="F11376" s="5"/>
      <c r="G11376" s="5"/>
      <c r="H11376" s="5"/>
      <c r="I11376" s="5"/>
      <c r="J11376" s="5"/>
      <c r="K11376" s="5"/>
      <c r="L11376" s="5"/>
      <c r="M11376" s="5"/>
      <c r="N11376" s="5"/>
      <c r="O11376" s="5"/>
      <c r="P11376" s="5"/>
      <c r="Q11376" s="5"/>
      <c r="R11376" s="5"/>
      <c r="S11376" s="5"/>
      <c r="T11376" s="5"/>
      <c r="U11376" s="5"/>
      <c r="V11376" s="5"/>
      <c r="W11376" s="5"/>
      <c r="X11376" s="5"/>
      <c r="Y11376" s="5"/>
      <c r="Z11376" s="5"/>
    </row>
    <row r="11377" spans="1:26" ht="15" x14ac:dyDescent="0.25">
      <c r="A11377" s="4" t="s">
        <v>11374</v>
      </c>
      <c r="B11377" s="4" t="s">
        <v>9011</v>
      </c>
      <c r="C11377" s="2" t="str">
        <f ca="1">IFERROR(__xludf.DUMMYFUNCTION("GOOGLETRANSLATE(A11377,""bn"",""en"")"),"Will continue to observe")</f>
        <v>Will continue to observe</v>
      </c>
      <c r="D11377" s="5"/>
      <c r="E11377" s="5"/>
      <c r="F11377" s="5"/>
      <c r="G11377" s="5"/>
      <c r="H11377" s="5"/>
      <c r="I11377" s="5"/>
      <c r="J11377" s="5"/>
      <c r="K11377" s="5"/>
      <c r="L11377" s="5"/>
      <c r="M11377" s="5"/>
      <c r="N11377" s="5"/>
      <c r="O11377" s="5"/>
      <c r="P11377" s="5"/>
      <c r="Q11377" s="5"/>
      <c r="R11377" s="5"/>
      <c r="S11377" s="5"/>
      <c r="T11377" s="5"/>
      <c r="U11377" s="5"/>
      <c r="V11377" s="5"/>
      <c r="W11377" s="5"/>
      <c r="X11377" s="5"/>
      <c r="Y11377" s="5"/>
      <c r="Z11377" s="5"/>
    </row>
    <row r="11378" spans="1:26" ht="15" x14ac:dyDescent="0.25">
      <c r="A11378" s="4" t="s">
        <v>11375</v>
      </c>
      <c r="B11378" s="4" t="s">
        <v>9011</v>
      </c>
      <c r="C11378" s="2" t="str">
        <f ca="1">IFERROR(__xludf.DUMMYFUNCTION("GOOGLETRANSLATE(A11378,""bn"",""en"")"),"I will continue to play sports")</f>
        <v>I will continue to play sports</v>
      </c>
      <c r="D11378" s="5"/>
      <c r="E11378" s="5"/>
      <c r="F11378" s="5"/>
      <c r="G11378" s="5"/>
      <c r="H11378" s="5"/>
      <c r="I11378" s="5"/>
      <c r="J11378" s="5"/>
      <c r="K11378" s="5"/>
      <c r="L11378" s="5"/>
      <c r="M11378" s="5"/>
      <c r="N11378" s="5"/>
      <c r="O11378" s="5"/>
      <c r="P11378" s="5"/>
      <c r="Q11378" s="5"/>
      <c r="R11378" s="5"/>
      <c r="S11378" s="5"/>
      <c r="T11378" s="5"/>
      <c r="U11378" s="5"/>
      <c r="V11378" s="5"/>
      <c r="W11378" s="5"/>
      <c r="X11378" s="5"/>
      <c r="Y11378" s="5"/>
      <c r="Z11378" s="5"/>
    </row>
    <row r="11379" spans="1:26" ht="15" x14ac:dyDescent="0.25">
      <c r="A11379" s="4" t="s">
        <v>11376</v>
      </c>
      <c r="B11379" s="4" t="s">
        <v>9011</v>
      </c>
      <c r="C11379" s="2" t="str">
        <f ca="1">IFERROR(__xludf.DUMMYFUNCTION("GOOGLETRANSLATE(A11379,""bn"",""en"")"),"The cloud service will start")</f>
        <v>The cloud service will start</v>
      </c>
      <c r="D11379" s="5"/>
      <c r="E11379" s="5"/>
      <c r="F11379" s="5"/>
      <c r="G11379" s="5"/>
      <c r="H11379" s="5"/>
      <c r="I11379" s="5"/>
      <c r="J11379" s="5"/>
      <c r="K11379" s="5"/>
      <c r="L11379" s="5"/>
      <c r="M11379" s="5"/>
      <c r="N11379" s="5"/>
      <c r="O11379" s="5"/>
      <c r="P11379" s="5"/>
      <c r="Q11379" s="5"/>
      <c r="R11379" s="5"/>
      <c r="S11379" s="5"/>
      <c r="T11379" s="5"/>
      <c r="U11379" s="5"/>
      <c r="V11379" s="5"/>
      <c r="W11379" s="5"/>
      <c r="X11379" s="5"/>
      <c r="Y11379" s="5"/>
      <c r="Z11379" s="5"/>
    </row>
    <row r="11380" spans="1:26" ht="15" x14ac:dyDescent="0.25">
      <c r="A11380" s="4" t="s">
        <v>11377</v>
      </c>
      <c r="B11380" s="4" t="s">
        <v>9011</v>
      </c>
      <c r="C11380" s="2" t="str">
        <f ca="1">IFERROR(__xludf.DUMMYFUNCTION("GOOGLETRANSLATE(A11380,""bn"",""en"")"),"I will see the face of light")</f>
        <v>I will see the face of light</v>
      </c>
      <c r="D11380" s="5"/>
      <c r="E11380" s="5"/>
      <c r="F11380" s="5"/>
      <c r="G11380" s="5"/>
      <c r="H11380" s="5"/>
      <c r="I11380" s="5"/>
      <c r="J11380" s="5"/>
      <c r="K11380" s="5"/>
      <c r="L11380" s="5"/>
      <c r="M11380" s="5"/>
      <c r="N11380" s="5"/>
      <c r="O11380" s="5"/>
      <c r="P11380" s="5"/>
      <c r="Q11380" s="5"/>
      <c r="R11380" s="5"/>
      <c r="S11380" s="5"/>
      <c r="T11380" s="5"/>
      <c r="U11380" s="5"/>
      <c r="V11380" s="5"/>
      <c r="W11380" s="5"/>
      <c r="X11380" s="5"/>
      <c r="Y11380" s="5"/>
      <c r="Z11380" s="5"/>
    </row>
    <row r="11381" spans="1:26" ht="15" x14ac:dyDescent="0.25">
      <c r="A11381" s="4" t="s">
        <v>11378</v>
      </c>
      <c r="B11381" s="4" t="s">
        <v>9011</v>
      </c>
      <c r="C11381" s="2" t="str">
        <f ca="1">IFERROR(__xludf.DUMMYFUNCTION("GOOGLETRANSLATE(A11381,""bn"",""en"")"),"I will use the computer")</f>
        <v>I will use the computer</v>
      </c>
      <c r="D11381" s="5"/>
      <c r="E11381" s="5"/>
      <c r="F11381" s="5"/>
      <c r="G11381" s="5"/>
      <c r="H11381" s="5"/>
      <c r="I11381" s="5"/>
      <c r="J11381" s="5"/>
      <c r="K11381" s="5"/>
      <c r="L11381" s="5"/>
      <c r="M11381" s="5"/>
      <c r="N11381" s="5"/>
      <c r="O11381" s="5"/>
      <c r="P11381" s="5"/>
      <c r="Q11381" s="5"/>
      <c r="R11381" s="5"/>
      <c r="S11381" s="5"/>
      <c r="T11381" s="5"/>
      <c r="U11381" s="5"/>
      <c r="V11381" s="5"/>
      <c r="W11381" s="5"/>
      <c r="X11381" s="5"/>
      <c r="Y11381" s="5"/>
      <c r="Z11381" s="5"/>
    </row>
    <row r="11382" spans="1:26" ht="15" x14ac:dyDescent="0.25">
      <c r="A11382" s="4" t="s">
        <v>11379</v>
      </c>
      <c r="B11382" s="4" t="s">
        <v>9011</v>
      </c>
      <c r="C11382" s="2" t="str">
        <f ca="1">IFERROR(__xludf.DUMMYFUNCTION("GOOGLETRANSLATE(A11382,""bn"",""en"")"),"Work should be done quickly using computer")</f>
        <v>Work should be done quickly using computer</v>
      </c>
      <c r="D11382" s="5"/>
      <c r="E11382" s="5"/>
      <c r="F11382" s="5"/>
      <c r="G11382" s="5"/>
      <c r="H11382" s="5"/>
      <c r="I11382" s="5"/>
      <c r="J11382" s="5"/>
      <c r="K11382" s="5"/>
      <c r="L11382" s="5"/>
      <c r="M11382" s="5"/>
      <c r="N11382" s="5"/>
      <c r="O11382" s="5"/>
      <c r="P11382" s="5"/>
      <c r="Q11382" s="5"/>
      <c r="R11382" s="5"/>
      <c r="S11382" s="5"/>
      <c r="T11382" s="5"/>
      <c r="U11382" s="5"/>
      <c r="V11382" s="5"/>
      <c r="W11382" s="5"/>
      <c r="X11382" s="5"/>
      <c r="Y11382" s="5"/>
      <c r="Z11382" s="5"/>
    </row>
    <row r="11383" spans="1:26" ht="15" x14ac:dyDescent="0.25">
      <c r="A11383" s="4" t="s">
        <v>11380</v>
      </c>
      <c r="B11383" s="4" t="s">
        <v>9011</v>
      </c>
      <c r="C11383" s="2" t="str">
        <f ca="1">IFERROR(__xludf.DUMMYFUNCTION("GOOGLETRANSLATE(A11383,""bn"",""en"")"),"Basketball will be played")</f>
        <v>Basketball will be played</v>
      </c>
      <c r="D11383" s="5"/>
      <c r="E11383" s="5"/>
      <c r="F11383" s="5"/>
      <c r="G11383" s="5"/>
      <c r="H11383" s="5"/>
      <c r="I11383" s="5"/>
      <c r="J11383" s="5"/>
      <c r="K11383" s="5"/>
      <c r="L11383" s="5"/>
      <c r="M11383" s="5"/>
      <c r="N11383" s="5"/>
      <c r="O11383" s="5"/>
      <c r="P11383" s="5"/>
      <c r="Q11383" s="5"/>
      <c r="R11383" s="5"/>
      <c r="S11383" s="5"/>
      <c r="T11383" s="5"/>
      <c r="U11383" s="5"/>
      <c r="V11383" s="5"/>
      <c r="W11383" s="5"/>
      <c r="X11383" s="5"/>
      <c r="Y11383" s="5"/>
      <c r="Z11383" s="5"/>
    </row>
    <row r="11384" spans="1:26" ht="15" x14ac:dyDescent="0.25">
      <c r="A11384" s="4" t="s">
        <v>11381</v>
      </c>
      <c r="B11384" s="4" t="s">
        <v>9011</v>
      </c>
      <c r="C11384" s="2" t="str">
        <f ca="1">IFERROR(__xludf.DUMMYFUNCTION("GOOGLETRANSLATE(A11384,""bn"",""en"")"),"Looking for entertainment")</f>
        <v>Looking for entertainment</v>
      </c>
      <c r="D11384" s="5"/>
      <c r="E11384" s="5"/>
      <c r="F11384" s="5"/>
      <c r="G11384" s="5"/>
      <c r="H11384" s="5"/>
      <c r="I11384" s="5"/>
      <c r="J11384" s="5"/>
      <c r="K11384" s="5"/>
      <c r="L11384" s="5"/>
      <c r="M11384" s="5"/>
      <c r="N11384" s="5"/>
      <c r="O11384" s="5"/>
      <c r="P11384" s="5"/>
      <c r="Q11384" s="5"/>
      <c r="R11384" s="5"/>
      <c r="S11384" s="5"/>
      <c r="T11384" s="5"/>
      <c r="U11384" s="5"/>
      <c r="V11384" s="5"/>
      <c r="W11384" s="5"/>
      <c r="X11384" s="5"/>
      <c r="Y11384" s="5"/>
      <c r="Z11384" s="5"/>
    </row>
    <row r="11385" spans="1:26" ht="15" x14ac:dyDescent="0.25">
      <c r="A11385" s="4" t="s">
        <v>11382</v>
      </c>
      <c r="B11385" s="4" t="s">
        <v>9011</v>
      </c>
      <c r="C11385" s="2" t="str">
        <f ca="1">IFERROR(__xludf.DUMMYFUNCTION("GOOGLETRANSLATE(A11385,""bn"",""en"")"),"The performance will be shown")</f>
        <v>The performance will be shown</v>
      </c>
      <c r="D11385" s="5"/>
      <c r="E11385" s="5"/>
      <c r="F11385" s="5"/>
      <c r="G11385" s="5"/>
      <c r="H11385" s="5"/>
      <c r="I11385" s="5"/>
      <c r="J11385" s="5"/>
      <c r="K11385" s="5"/>
      <c r="L11385" s="5"/>
      <c r="M11385" s="5"/>
      <c r="N11385" s="5"/>
      <c r="O11385" s="5"/>
      <c r="P11385" s="5"/>
      <c r="Q11385" s="5"/>
      <c r="R11385" s="5"/>
      <c r="S11385" s="5"/>
      <c r="T11385" s="5"/>
      <c r="U11385" s="5"/>
      <c r="V11385" s="5"/>
      <c r="W11385" s="5"/>
      <c r="X11385" s="5"/>
      <c r="Y11385" s="5"/>
      <c r="Z11385" s="5"/>
    </row>
    <row r="11386" spans="1:26" ht="15" x14ac:dyDescent="0.25">
      <c r="A11386" s="4" t="s">
        <v>11383</v>
      </c>
      <c r="B11386" s="4" t="s">
        <v>9011</v>
      </c>
      <c r="C11386" s="2" t="str">
        <f ca="1">IFERROR(__xludf.DUMMYFUNCTION("GOOGLETRANSLATE(A11386,""bn"",""en"")"),"speak against")</f>
        <v>speak against</v>
      </c>
      <c r="D11386" s="5"/>
      <c r="E11386" s="5"/>
      <c r="F11386" s="5"/>
      <c r="G11386" s="5"/>
      <c r="H11386" s="5"/>
      <c r="I11386" s="5"/>
      <c r="J11386" s="5"/>
      <c r="K11386" s="5"/>
      <c r="L11386" s="5"/>
      <c r="M11386" s="5"/>
      <c r="N11386" s="5"/>
      <c r="O11386" s="5"/>
      <c r="P11386" s="5"/>
      <c r="Q11386" s="5"/>
      <c r="R11386" s="5"/>
      <c r="S11386" s="5"/>
      <c r="T11386" s="5"/>
      <c r="U11386" s="5"/>
      <c r="V11386" s="5"/>
      <c r="W11386" s="5"/>
      <c r="X11386" s="5"/>
      <c r="Y11386" s="5"/>
      <c r="Z11386" s="5"/>
    </row>
    <row r="11387" spans="1:26" ht="15" x14ac:dyDescent="0.25">
      <c r="A11387" s="4" t="s">
        <v>11384</v>
      </c>
      <c r="B11387" s="4" t="s">
        <v>9011</v>
      </c>
      <c r="C11387" s="2" t="str">
        <f ca="1">IFERROR(__xludf.DUMMYFUNCTION("GOOGLETRANSLATE(A11387,""bn"",""en"")"),"If you speak against it, you will go to jail")</f>
        <v>If you speak against it, you will go to jail</v>
      </c>
      <c r="D11387" s="5"/>
      <c r="E11387" s="5"/>
      <c r="F11387" s="5"/>
      <c r="G11387" s="5"/>
      <c r="H11387" s="5"/>
      <c r="I11387" s="5"/>
      <c r="J11387" s="5"/>
      <c r="K11387" s="5"/>
      <c r="L11387" s="5"/>
      <c r="M11387" s="5"/>
      <c r="N11387" s="5"/>
      <c r="O11387" s="5"/>
      <c r="P11387" s="5"/>
      <c r="Q11387" s="5"/>
      <c r="R11387" s="5"/>
      <c r="S11387" s="5"/>
      <c r="T11387" s="5"/>
      <c r="U11387" s="5"/>
      <c r="V11387" s="5"/>
      <c r="W11387" s="5"/>
      <c r="X11387" s="5"/>
      <c r="Y11387" s="5"/>
      <c r="Z11387" s="5"/>
    </row>
    <row r="11388" spans="1:26" ht="15" x14ac:dyDescent="0.25">
      <c r="A11388" s="4" t="s">
        <v>11385</v>
      </c>
      <c r="B11388" s="4" t="s">
        <v>9011</v>
      </c>
      <c r="C11388" s="2" t="str">
        <f ca="1">IFERROR(__xludf.DUMMYFUNCTION("GOOGLETRANSLATE(A11388,""bn"",""en"")"),"Quran will be read")</f>
        <v>Quran will be read</v>
      </c>
      <c r="D11388" s="5"/>
      <c r="E11388" s="5"/>
      <c r="F11388" s="5"/>
      <c r="G11388" s="5"/>
      <c r="H11388" s="5"/>
      <c r="I11388" s="5"/>
      <c r="J11388" s="5"/>
      <c r="K11388" s="5"/>
      <c r="L11388" s="5"/>
      <c r="M11388" s="5"/>
      <c r="N11388" s="5"/>
      <c r="O11388" s="5"/>
      <c r="P11388" s="5"/>
      <c r="Q11388" s="5"/>
      <c r="R11388" s="5"/>
      <c r="S11388" s="5"/>
      <c r="T11388" s="5"/>
      <c r="U11388" s="5"/>
      <c r="V11388" s="5"/>
      <c r="W11388" s="5"/>
      <c r="X11388" s="5"/>
      <c r="Y11388" s="5"/>
      <c r="Z11388" s="5"/>
    </row>
    <row r="11389" spans="1:26" ht="15" x14ac:dyDescent="0.25">
      <c r="A11389" s="4" t="s">
        <v>11386</v>
      </c>
      <c r="B11389" s="4" t="s">
        <v>9011</v>
      </c>
      <c r="C11389" s="2" t="str">
        <f ca="1">IFERROR(__xludf.DUMMYFUNCTION("GOOGLETRANSLATE(A11389,""bn"",""en"")"),"Code will be researched")</f>
        <v>Code will be researched</v>
      </c>
      <c r="D11389" s="5"/>
      <c r="E11389" s="5"/>
      <c r="F11389" s="5"/>
      <c r="G11389" s="5"/>
      <c r="H11389" s="5"/>
      <c r="I11389" s="5"/>
      <c r="J11389" s="5"/>
      <c r="K11389" s="5"/>
      <c r="L11389" s="5"/>
      <c r="M11389" s="5"/>
      <c r="N11389" s="5"/>
      <c r="O11389" s="5"/>
      <c r="P11389" s="5"/>
      <c r="Q11389" s="5"/>
      <c r="R11389" s="5"/>
      <c r="S11389" s="5"/>
      <c r="T11389" s="5"/>
      <c r="U11389" s="5"/>
      <c r="V11389" s="5"/>
      <c r="W11389" s="5"/>
      <c r="X11389" s="5"/>
      <c r="Y11389" s="5"/>
      <c r="Z11389" s="5"/>
    </row>
    <row r="11390" spans="1:26" ht="15" x14ac:dyDescent="0.25">
      <c r="A11390" s="4" t="s">
        <v>11387</v>
      </c>
      <c r="B11390" s="4" t="s">
        <v>9011</v>
      </c>
      <c r="C11390" s="2" t="str">
        <f ca="1">IFERROR(__xludf.DUMMYFUNCTION("GOOGLETRANSLATE(A11390,""bn"",""en"")"),"Technology will vary")</f>
        <v>Technology will vary</v>
      </c>
      <c r="D11390" s="5"/>
      <c r="E11390" s="5"/>
      <c r="F11390" s="5"/>
      <c r="G11390" s="5"/>
      <c r="H11390" s="5"/>
      <c r="I11390" s="5"/>
      <c r="J11390" s="5"/>
      <c r="K11390" s="5"/>
      <c r="L11390" s="5"/>
      <c r="M11390" s="5"/>
      <c r="N11390" s="5"/>
      <c r="O11390" s="5"/>
      <c r="P11390" s="5"/>
      <c r="Q11390" s="5"/>
      <c r="R11390" s="5"/>
      <c r="S11390" s="5"/>
      <c r="T11390" s="5"/>
      <c r="U11390" s="5"/>
      <c r="V11390" s="5"/>
      <c r="W11390" s="5"/>
      <c r="X11390" s="5"/>
      <c r="Y11390" s="5"/>
      <c r="Z11390" s="5"/>
    </row>
    <row r="11391" spans="1:26" ht="15" x14ac:dyDescent="0.25">
      <c r="A11391" s="4" t="s">
        <v>11388</v>
      </c>
      <c r="B11391" s="4" t="s">
        <v>9011</v>
      </c>
      <c r="C11391" s="2" t="str">
        <f ca="1">IFERROR(__xludf.DUMMYFUNCTION("GOOGLETRANSLATE(A11391,""bn"",""en"")"),"I will continue to learn the database")</f>
        <v>I will continue to learn the database</v>
      </c>
      <c r="D11391" s="5"/>
      <c r="E11391" s="5"/>
      <c r="F11391" s="5"/>
      <c r="G11391" s="5"/>
      <c r="H11391" s="5"/>
      <c r="I11391" s="5"/>
      <c r="J11391" s="5"/>
      <c r="K11391" s="5"/>
      <c r="L11391" s="5"/>
      <c r="M11391" s="5"/>
      <c r="N11391" s="5"/>
      <c r="O11391" s="5"/>
      <c r="P11391" s="5"/>
      <c r="Q11391" s="5"/>
      <c r="R11391" s="5"/>
      <c r="S11391" s="5"/>
      <c r="T11391" s="5"/>
      <c r="U11391" s="5"/>
      <c r="V11391" s="5"/>
      <c r="W11391" s="5"/>
      <c r="X11391" s="5"/>
      <c r="Y11391" s="5"/>
      <c r="Z11391" s="5"/>
    </row>
    <row r="11392" spans="1:26" ht="15" x14ac:dyDescent="0.25">
      <c r="A11392" s="4" t="s">
        <v>11389</v>
      </c>
      <c r="B11392" s="4" t="s">
        <v>9011</v>
      </c>
      <c r="C11392" s="2" t="str">
        <f ca="1">IFERROR(__xludf.DUMMYFUNCTION("GOOGLETRANSLATE(A11392,""bn"",""en"")"),"I will make a milkshake")</f>
        <v>I will make a milkshake</v>
      </c>
      <c r="D11392" s="5"/>
      <c r="E11392" s="5"/>
      <c r="F11392" s="5"/>
      <c r="G11392" s="5"/>
      <c r="H11392" s="5"/>
      <c r="I11392" s="5"/>
      <c r="J11392" s="5"/>
      <c r="K11392" s="5"/>
      <c r="L11392" s="5"/>
      <c r="M11392" s="5"/>
      <c r="N11392" s="5"/>
      <c r="O11392" s="5"/>
      <c r="P11392" s="5"/>
      <c r="Q11392" s="5"/>
      <c r="R11392" s="5"/>
      <c r="S11392" s="5"/>
      <c r="T11392" s="5"/>
      <c r="U11392" s="5"/>
      <c r="V11392" s="5"/>
      <c r="W11392" s="5"/>
      <c r="X11392" s="5"/>
      <c r="Y11392" s="5"/>
      <c r="Z11392" s="5"/>
    </row>
    <row r="11393" spans="1:26" ht="15" x14ac:dyDescent="0.25">
      <c r="A11393" s="4" t="s">
        <v>11390</v>
      </c>
      <c r="B11393" s="4" t="s">
        <v>9011</v>
      </c>
      <c r="C11393" s="2" t="str">
        <f ca="1">IFERROR(__xludf.DUMMYFUNCTION("GOOGLETRANSLATE(A11393,""bn"",""en"")"),"Sania will play badminton")</f>
        <v>Sania will play badminton</v>
      </c>
      <c r="D11393" s="5"/>
      <c r="E11393" s="5"/>
      <c r="F11393" s="5"/>
      <c r="G11393" s="5"/>
      <c r="H11393" s="5"/>
      <c r="I11393" s="5"/>
      <c r="J11393" s="5"/>
      <c r="K11393" s="5"/>
      <c r="L11393" s="5"/>
      <c r="M11393" s="5"/>
      <c r="N11393" s="5"/>
      <c r="O11393" s="5"/>
      <c r="P11393" s="5"/>
      <c r="Q11393" s="5"/>
      <c r="R11393" s="5"/>
      <c r="S11393" s="5"/>
      <c r="T11393" s="5"/>
      <c r="U11393" s="5"/>
      <c r="V11393" s="5"/>
      <c r="W11393" s="5"/>
      <c r="X11393" s="5"/>
      <c r="Y11393" s="5"/>
      <c r="Z11393" s="5"/>
    </row>
    <row r="11394" spans="1:26" ht="15" x14ac:dyDescent="0.25">
      <c r="A11394" s="4" t="s">
        <v>11391</v>
      </c>
      <c r="B11394" s="4" t="s">
        <v>9011</v>
      </c>
      <c r="C11394" s="2" t="str">
        <f ca="1">IFERROR(__xludf.DUMMYFUNCTION("GOOGLETRANSLATE(A11394,""bn"",""en"")"),"The competition will begin")</f>
        <v>The competition will begin</v>
      </c>
      <c r="D11394" s="5"/>
      <c r="E11394" s="5"/>
      <c r="F11394" s="5"/>
      <c r="G11394" s="5"/>
      <c r="H11394" s="5"/>
      <c r="I11394" s="5"/>
      <c r="J11394" s="5"/>
      <c r="K11394" s="5"/>
      <c r="L11394" s="5"/>
      <c r="M11394" s="5"/>
      <c r="N11394" s="5"/>
      <c r="O11394" s="5"/>
      <c r="P11394" s="5"/>
      <c r="Q11394" s="5"/>
      <c r="R11394" s="5"/>
      <c r="S11394" s="5"/>
      <c r="T11394" s="5"/>
      <c r="U11394" s="5"/>
      <c r="V11394" s="5"/>
      <c r="W11394" s="5"/>
      <c r="X11394" s="5"/>
      <c r="Y11394" s="5"/>
      <c r="Z11394" s="5"/>
    </row>
    <row r="11395" spans="1:26" ht="15" x14ac:dyDescent="0.25">
      <c r="A11395" s="4" t="s">
        <v>11392</v>
      </c>
      <c r="B11395" s="4" t="s">
        <v>9011</v>
      </c>
      <c r="C11395" s="2" t="str">
        <f ca="1">IFERROR(__xludf.DUMMYFUNCTION("GOOGLETRANSLATE(A11395,""bn"",""en"")"),"You will make kebabs")</f>
        <v>You will make kebabs</v>
      </c>
      <c r="D11395" s="5"/>
      <c r="E11395" s="5"/>
      <c r="F11395" s="5"/>
      <c r="G11395" s="5"/>
      <c r="H11395" s="5"/>
      <c r="I11395" s="5"/>
      <c r="J11395" s="5"/>
      <c r="K11395" s="5"/>
      <c r="L11395" s="5"/>
      <c r="M11395" s="5"/>
      <c r="N11395" s="5"/>
      <c r="O11395" s="5"/>
      <c r="P11395" s="5"/>
      <c r="Q11395" s="5"/>
      <c r="R11395" s="5"/>
      <c r="S11395" s="5"/>
      <c r="T11395" s="5"/>
      <c r="U11395" s="5"/>
      <c r="V11395" s="5"/>
      <c r="W11395" s="5"/>
      <c r="X11395" s="5"/>
      <c r="Y11395" s="5"/>
      <c r="Z11395" s="5"/>
    </row>
    <row r="11396" spans="1:26" ht="15" x14ac:dyDescent="0.25">
      <c r="A11396" s="4" t="s">
        <v>11393</v>
      </c>
      <c r="B11396" s="4" t="s">
        <v>9011</v>
      </c>
      <c r="C11396" s="2" t="str">
        <f ca="1">IFERROR(__xludf.DUMMYFUNCTION("GOOGLETRANSLATE(A11396,""bn"",""en"")"),"Bank will facilitate")</f>
        <v>Bank will facilitate</v>
      </c>
      <c r="D11396" s="5"/>
      <c r="E11396" s="5"/>
      <c r="F11396" s="5"/>
      <c r="G11396" s="5"/>
      <c r="H11396" s="5"/>
      <c r="I11396" s="5"/>
      <c r="J11396" s="5"/>
      <c r="K11396" s="5"/>
      <c r="L11396" s="5"/>
      <c r="M11396" s="5"/>
      <c r="N11396" s="5"/>
      <c r="O11396" s="5"/>
      <c r="P11396" s="5"/>
      <c r="Q11396" s="5"/>
      <c r="R11396" s="5"/>
      <c r="S11396" s="5"/>
      <c r="T11396" s="5"/>
      <c r="U11396" s="5"/>
      <c r="V11396" s="5"/>
      <c r="W11396" s="5"/>
      <c r="X11396" s="5"/>
      <c r="Y11396" s="5"/>
      <c r="Z11396" s="5"/>
    </row>
    <row r="11397" spans="1:26" ht="15" x14ac:dyDescent="0.25">
      <c r="A11397" s="4" t="s">
        <v>11394</v>
      </c>
      <c r="B11397" s="4" t="s">
        <v>9011</v>
      </c>
      <c r="C11397" s="2" t="str">
        <f ca="1">IFERROR(__xludf.DUMMYFUNCTION("GOOGLETRANSLATE(A11397,""bn"",""en"")"),"The athlete will run")</f>
        <v>The athlete will run</v>
      </c>
      <c r="D11397" s="5"/>
      <c r="E11397" s="5"/>
      <c r="F11397" s="5"/>
      <c r="G11397" s="5"/>
      <c r="H11397" s="5"/>
      <c r="I11397" s="5"/>
      <c r="J11397" s="5"/>
      <c r="K11397" s="5"/>
      <c r="L11397" s="5"/>
      <c r="M11397" s="5"/>
      <c r="N11397" s="5"/>
      <c r="O11397" s="5"/>
      <c r="P11397" s="5"/>
      <c r="Q11397" s="5"/>
      <c r="R11397" s="5"/>
      <c r="S11397" s="5"/>
      <c r="T11397" s="5"/>
      <c r="U11397" s="5"/>
      <c r="V11397" s="5"/>
      <c r="W11397" s="5"/>
      <c r="X11397" s="5"/>
      <c r="Y11397" s="5"/>
      <c r="Z11397" s="5"/>
    </row>
    <row r="11398" spans="1:26" ht="15" x14ac:dyDescent="0.25">
      <c r="A11398" s="4" t="s">
        <v>11395</v>
      </c>
      <c r="B11398" s="4" t="s">
        <v>9011</v>
      </c>
      <c r="C11398" s="2" t="str">
        <f ca="1">IFERROR(__xludf.DUMMYFUNCTION("GOOGLETRANSLATE(A11398,""bn"",""en"")"),"You will hear the sound")</f>
        <v>You will hear the sound</v>
      </c>
      <c r="D11398" s="5"/>
      <c r="E11398" s="5"/>
      <c r="F11398" s="5"/>
      <c r="G11398" s="5"/>
      <c r="H11398" s="5"/>
      <c r="I11398" s="5"/>
      <c r="J11398" s="5"/>
      <c r="K11398" s="5"/>
      <c r="L11398" s="5"/>
      <c r="M11398" s="5"/>
      <c r="N11398" s="5"/>
      <c r="O11398" s="5"/>
      <c r="P11398" s="5"/>
      <c r="Q11398" s="5"/>
      <c r="R11398" s="5"/>
      <c r="S11398" s="5"/>
      <c r="T11398" s="5"/>
      <c r="U11398" s="5"/>
      <c r="V11398" s="5"/>
      <c r="W11398" s="5"/>
      <c r="X11398" s="5"/>
      <c r="Y11398" s="5"/>
      <c r="Z11398" s="5"/>
    </row>
    <row r="11399" spans="1:26" ht="15" x14ac:dyDescent="0.25">
      <c r="A11399" s="4" t="s">
        <v>11396</v>
      </c>
      <c r="B11399" s="4" t="s">
        <v>9011</v>
      </c>
      <c r="C11399" s="2" t="str">
        <f ca="1">IFERROR(__xludf.DUMMYFUNCTION("GOOGLETRANSLATE(A11399,""bn"",""en"")"),"I will correct the account")</f>
        <v>I will correct the account</v>
      </c>
      <c r="D11399" s="5"/>
      <c r="E11399" s="5"/>
      <c r="F11399" s="5"/>
      <c r="G11399" s="5"/>
      <c r="H11399" s="5"/>
      <c r="I11399" s="5"/>
      <c r="J11399" s="5"/>
      <c r="K11399" s="5"/>
      <c r="L11399" s="5"/>
      <c r="M11399" s="5"/>
      <c r="N11399" s="5"/>
      <c r="O11399" s="5"/>
      <c r="P11399" s="5"/>
      <c r="Q11399" s="5"/>
      <c r="R11399" s="5"/>
      <c r="S11399" s="5"/>
      <c r="T11399" s="5"/>
      <c r="U11399" s="5"/>
      <c r="V11399" s="5"/>
      <c r="W11399" s="5"/>
      <c r="X11399" s="5"/>
      <c r="Y11399" s="5"/>
      <c r="Z11399" s="5"/>
    </row>
    <row r="11400" spans="1:26" ht="15" x14ac:dyDescent="0.25">
      <c r="A11400" s="4" t="s">
        <v>11397</v>
      </c>
      <c r="B11400" s="4" t="s">
        <v>9011</v>
      </c>
      <c r="C11400" s="2" t="str">
        <f ca="1">IFERROR(__xludf.DUMMYFUNCTION("GOOGLETRANSLATE(A11400,""bn"",""en"")"),"I want effective votes")</f>
        <v>I want effective votes</v>
      </c>
      <c r="D11400" s="5"/>
      <c r="E11400" s="5"/>
      <c r="F11400" s="5"/>
      <c r="G11400" s="5"/>
      <c r="H11400" s="5"/>
      <c r="I11400" s="5"/>
      <c r="J11400" s="5"/>
      <c r="K11400" s="5"/>
      <c r="L11400" s="5"/>
      <c r="M11400" s="5"/>
      <c r="N11400" s="5"/>
      <c r="O11400" s="5"/>
      <c r="P11400" s="5"/>
      <c r="Q11400" s="5"/>
      <c r="R11400" s="5"/>
      <c r="S11400" s="5"/>
      <c r="T11400" s="5"/>
      <c r="U11400" s="5"/>
      <c r="V11400" s="5"/>
      <c r="W11400" s="5"/>
      <c r="X11400" s="5"/>
      <c r="Y11400" s="5"/>
      <c r="Z11400" s="5"/>
    </row>
    <row r="11401" spans="1:26" ht="15" x14ac:dyDescent="0.25">
      <c r="A11401" s="4" t="s">
        <v>11398</v>
      </c>
      <c r="B11401" s="4" t="s">
        <v>9011</v>
      </c>
      <c r="C11401" s="2" t="str">
        <f ca="1">IFERROR(__xludf.DUMMYFUNCTION("GOOGLETRANSLATE(A11401,""bn"",""en"")"),"You eat soup")</f>
        <v>You eat soup</v>
      </c>
      <c r="D11401" s="5"/>
      <c r="E11401" s="5"/>
      <c r="F11401" s="5"/>
      <c r="G11401" s="5"/>
      <c r="H11401" s="5"/>
      <c r="I11401" s="5"/>
      <c r="J11401" s="5"/>
      <c r="K11401" s="5"/>
      <c r="L11401" s="5"/>
      <c r="M11401" s="5"/>
      <c r="N11401" s="5"/>
      <c r="O11401" s="5"/>
      <c r="P11401" s="5"/>
      <c r="Q11401" s="5"/>
      <c r="R11401" s="5"/>
      <c r="S11401" s="5"/>
      <c r="T11401" s="5"/>
      <c r="U11401" s="5"/>
      <c r="V11401" s="5"/>
      <c r="W11401" s="5"/>
      <c r="X11401" s="5"/>
      <c r="Y11401" s="5"/>
      <c r="Z11401" s="5"/>
    </row>
    <row r="11402" spans="1:26" ht="15" x14ac:dyDescent="0.25">
      <c r="A11402" s="4" t="s">
        <v>11399</v>
      </c>
      <c r="B11402" s="4" t="s">
        <v>9011</v>
      </c>
      <c r="C11402" s="2" t="str">
        <f ca="1">IFERROR(__xludf.DUMMYFUNCTION("GOOGLETRANSLATE(A11402,""bn"",""en"")"),"Get information on satellite")</f>
        <v>Get information on satellite</v>
      </c>
      <c r="D11402" s="5"/>
      <c r="E11402" s="5"/>
      <c r="F11402" s="5"/>
      <c r="G11402" s="5"/>
      <c r="H11402" s="5"/>
      <c r="I11402" s="5"/>
      <c r="J11402" s="5"/>
      <c r="K11402" s="5"/>
      <c r="L11402" s="5"/>
      <c r="M11402" s="5"/>
      <c r="N11402" s="5"/>
      <c r="O11402" s="5"/>
      <c r="P11402" s="5"/>
      <c r="Q11402" s="5"/>
      <c r="R11402" s="5"/>
      <c r="S11402" s="5"/>
      <c r="T11402" s="5"/>
      <c r="U11402" s="5"/>
      <c r="V11402" s="5"/>
      <c r="W11402" s="5"/>
      <c r="X11402" s="5"/>
      <c r="Y11402" s="5"/>
      <c r="Z11402" s="5"/>
    </row>
    <row r="11403" spans="1:26" ht="15" x14ac:dyDescent="0.25">
      <c r="A11403" s="4" t="s">
        <v>11400</v>
      </c>
      <c r="B11403" s="4" t="s">
        <v>9011</v>
      </c>
      <c r="C11403" s="2" t="str">
        <f ca="1">IFERROR(__xludf.DUMMYFUNCTION("GOOGLETRANSLATE(A11403,""bn"",""en"")"),"The quality of employees will increase")</f>
        <v>The quality of employees will increase</v>
      </c>
      <c r="D11403" s="5"/>
      <c r="E11403" s="5"/>
      <c r="F11403" s="5"/>
      <c r="G11403" s="5"/>
      <c r="H11403" s="5"/>
      <c r="I11403" s="5"/>
      <c r="J11403" s="5"/>
      <c r="K11403" s="5"/>
      <c r="L11403" s="5"/>
      <c r="M11403" s="5"/>
      <c r="N11403" s="5"/>
      <c r="O11403" s="5"/>
      <c r="P11403" s="5"/>
      <c r="Q11403" s="5"/>
      <c r="R11403" s="5"/>
      <c r="S11403" s="5"/>
      <c r="T11403" s="5"/>
      <c r="U11403" s="5"/>
      <c r="V11403" s="5"/>
      <c r="W11403" s="5"/>
      <c r="X11403" s="5"/>
      <c r="Y11403" s="5"/>
      <c r="Z11403" s="5"/>
    </row>
    <row r="11404" spans="1:26" ht="15" x14ac:dyDescent="0.25">
      <c r="A11404" s="4" t="s">
        <v>11401</v>
      </c>
      <c r="B11404" s="4" t="s">
        <v>9011</v>
      </c>
      <c r="C11404" s="2" t="str">
        <f ca="1">IFERROR(__xludf.DUMMYFUNCTION("GOOGLETRANSLATE(A11404,""bn"",""en"")"),"I will publish the research")</f>
        <v>I will publish the research</v>
      </c>
      <c r="D11404" s="5"/>
      <c r="E11404" s="5"/>
      <c r="F11404" s="5"/>
      <c r="G11404" s="5"/>
      <c r="H11404" s="5"/>
      <c r="I11404" s="5"/>
      <c r="J11404" s="5"/>
      <c r="K11404" s="5"/>
      <c r="L11404" s="5"/>
      <c r="M11404" s="5"/>
      <c r="N11404" s="5"/>
      <c r="O11404" s="5"/>
      <c r="P11404" s="5"/>
      <c r="Q11404" s="5"/>
      <c r="R11404" s="5"/>
      <c r="S11404" s="5"/>
      <c r="T11404" s="5"/>
      <c r="U11404" s="5"/>
      <c r="V11404" s="5"/>
      <c r="W11404" s="5"/>
      <c r="X11404" s="5"/>
      <c r="Y11404" s="5"/>
      <c r="Z11404" s="5"/>
    </row>
    <row r="11405" spans="1:26" ht="15" x14ac:dyDescent="0.25">
      <c r="A11405" s="4" t="s">
        <v>11402</v>
      </c>
      <c r="B11405" s="4" t="s">
        <v>9011</v>
      </c>
      <c r="C11405" s="2" t="str">
        <f ca="1">IFERROR(__xludf.DUMMYFUNCTION("GOOGLETRANSLATE(A11405,""bn"",""en"")"),"I will buy a new camera")</f>
        <v>I will buy a new camera</v>
      </c>
      <c r="D11405" s="5"/>
      <c r="E11405" s="5"/>
      <c r="F11405" s="5"/>
      <c r="G11405" s="5"/>
      <c r="H11405" s="5"/>
      <c r="I11405" s="5"/>
      <c r="J11405" s="5"/>
      <c r="K11405" s="5"/>
      <c r="L11405" s="5"/>
      <c r="M11405" s="5"/>
      <c r="N11405" s="5"/>
      <c r="O11405" s="5"/>
      <c r="P11405" s="5"/>
      <c r="Q11405" s="5"/>
      <c r="R11405" s="5"/>
      <c r="S11405" s="5"/>
      <c r="T11405" s="5"/>
      <c r="U11405" s="5"/>
      <c r="V11405" s="5"/>
      <c r="W11405" s="5"/>
      <c r="X11405" s="5"/>
      <c r="Y11405" s="5"/>
      <c r="Z11405" s="5"/>
    </row>
    <row r="11406" spans="1:26" ht="15" x14ac:dyDescent="0.25">
      <c r="A11406" s="4" t="s">
        <v>11403</v>
      </c>
      <c r="B11406" s="4" t="s">
        <v>9011</v>
      </c>
      <c r="C11406" s="2" t="str">
        <f ca="1">IFERROR(__xludf.DUMMYFUNCTION("GOOGLETRANSLATE(A11406,""bn"",""en"")"),"Badminton will be played")</f>
        <v>Badminton will be played</v>
      </c>
      <c r="D11406" s="5"/>
      <c r="E11406" s="5"/>
      <c r="F11406" s="5"/>
      <c r="G11406" s="5"/>
      <c r="H11406" s="5"/>
      <c r="I11406" s="5"/>
      <c r="J11406" s="5"/>
      <c r="K11406" s="5"/>
      <c r="L11406" s="5"/>
      <c r="M11406" s="5"/>
      <c r="N11406" s="5"/>
      <c r="O11406" s="5"/>
      <c r="P11406" s="5"/>
      <c r="Q11406" s="5"/>
      <c r="R11406" s="5"/>
      <c r="S11406" s="5"/>
      <c r="T11406" s="5"/>
      <c r="U11406" s="5"/>
      <c r="V11406" s="5"/>
      <c r="W11406" s="5"/>
      <c r="X11406" s="5"/>
      <c r="Y11406" s="5"/>
      <c r="Z11406" s="5"/>
    </row>
    <row r="11407" spans="1:26" ht="15" x14ac:dyDescent="0.25">
      <c r="A11407" s="4" t="s">
        <v>11404</v>
      </c>
      <c r="B11407" s="4" t="s">
        <v>9011</v>
      </c>
      <c r="C11407" s="2" t="str">
        <f ca="1">IFERROR(__xludf.DUMMYFUNCTION("GOOGLETRANSLATE(A11407,""bn"",""en"")"),"I will create an account")</f>
        <v>I will create an account</v>
      </c>
      <c r="D11407" s="5"/>
      <c r="E11407" s="5"/>
      <c r="F11407" s="5"/>
      <c r="G11407" s="5"/>
      <c r="H11407" s="5"/>
      <c r="I11407" s="5"/>
      <c r="J11407" s="5"/>
      <c r="K11407" s="5"/>
      <c r="L11407" s="5"/>
      <c r="M11407" s="5"/>
      <c r="N11407" s="5"/>
      <c r="O11407" s="5"/>
      <c r="P11407" s="5"/>
      <c r="Q11407" s="5"/>
      <c r="R11407" s="5"/>
      <c r="S11407" s="5"/>
      <c r="T11407" s="5"/>
      <c r="U11407" s="5"/>
      <c r="V11407" s="5"/>
      <c r="W11407" s="5"/>
      <c r="X11407" s="5"/>
      <c r="Y11407" s="5"/>
      <c r="Z11407" s="5"/>
    </row>
    <row r="11408" spans="1:26" ht="15" x14ac:dyDescent="0.25">
      <c r="A11408" s="4" t="s">
        <v>11405</v>
      </c>
      <c r="B11408" s="4" t="s">
        <v>9011</v>
      </c>
      <c r="C11408" s="2" t="str">
        <f ca="1">IFERROR(__xludf.DUMMYFUNCTION("GOOGLETRANSLATE(A11408,""bn"",""en"")"),"Will play field hockey")</f>
        <v>Will play field hockey</v>
      </c>
      <c r="D11408" s="5"/>
      <c r="E11408" s="5"/>
      <c r="F11408" s="5"/>
      <c r="G11408" s="5"/>
      <c r="H11408" s="5"/>
      <c r="I11408" s="5"/>
      <c r="J11408" s="5"/>
      <c r="K11408" s="5"/>
      <c r="L11408" s="5"/>
      <c r="M11408" s="5"/>
      <c r="N11408" s="5"/>
      <c r="O11408" s="5"/>
      <c r="P11408" s="5"/>
      <c r="Q11408" s="5"/>
      <c r="R11408" s="5"/>
      <c r="S11408" s="5"/>
      <c r="T11408" s="5"/>
      <c r="U11408" s="5"/>
      <c r="V11408" s="5"/>
      <c r="W11408" s="5"/>
      <c r="X11408" s="5"/>
      <c r="Y11408" s="5"/>
      <c r="Z11408" s="5"/>
    </row>
    <row r="11409" spans="1:26" ht="15" x14ac:dyDescent="0.25">
      <c r="A11409" s="4" t="s">
        <v>11406</v>
      </c>
      <c r="B11409" s="4" t="s">
        <v>9011</v>
      </c>
      <c r="C11409" s="2" t="str">
        <f ca="1">IFERROR(__xludf.DUMMYFUNCTION("GOOGLETRANSLATE(A11409,""bn"",""en"")"),"Government will be formed")</f>
        <v>Government will be formed</v>
      </c>
      <c r="D11409" s="5"/>
      <c r="E11409" s="5"/>
      <c r="F11409" s="5"/>
      <c r="G11409" s="5"/>
      <c r="H11409" s="5"/>
      <c r="I11409" s="5"/>
      <c r="J11409" s="5"/>
      <c r="K11409" s="5"/>
      <c r="L11409" s="5"/>
      <c r="M11409" s="5"/>
      <c r="N11409" s="5"/>
      <c r="O11409" s="5"/>
      <c r="P11409" s="5"/>
      <c r="Q11409" s="5"/>
      <c r="R11409" s="5"/>
      <c r="S11409" s="5"/>
      <c r="T11409" s="5"/>
      <c r="U11409" s="5"/>
      <c r="V11409" s="5"/>
      <c r="W11409" s="5"/>
      <c r="X11409" s="5"/>
      <c r="Y11409" s="5"/>
      <c r="Z11409" s="5"/>
    </row>
    <row r="11410" spans="1:26" ht="15" x14ac:dyDescent="0.25">
      <c r="A11410" s="4" t="s">
        <v>11407</v>
      </c>
      <c r="B11410" s="4" t="s">
        <v>9011</v>
      </c>
      <c r="C11410" s="2" t="str">
        <f ca="1">IFERROR(__xludf.DUMMYFUNCTION("GOOGLETRANSLATE(A11410,""bn"",""en"")"),"The movie will go well")</f>
        <v>The movie will go well</v>
      </c>
      <c r="D11410" s="5"/>
      <c r="E11410" s="5"/>
      <c r="F11410" s="5"/>
      <c r="G11410" s="5"/>
      <c r="H11410" s="5"/>
      <c r="I11410" s="5"/>
      <c r="J11410" s="5"/>
      <c r="K11410" s="5"/>
      <c r="L11410" s="5"/>
      <c r="M11410" s="5"/>
      <c r="N11410" s="5"/>
      <c r="O11410" s="5"/>
      <c r="P11410" s="5"/>
      <c r="Q11410" s="5"/>
      <c r="R11410" s="5"/>
      <c r="S11410" s="5"/>
      <c r="T11410" s="5"/>
      <c r="U11410" s="5"/>
      <c r="V11410" s="5"/>
      <c r="W11410" s="5"/>
      <c r="X11410" s="5"/>
      <c r="Y11410" s="5"/>
      <c r="Z11410" s="5"/>
    </row>
    <row r="11411" spans="1:26" ht="15" x14ac:dyDescent="0.25">
      <c r="A11411" s="4" t="s">
        <v>11408</v>
      </c>
      <c r="B11411" s="4" t="s">
        <v>9011</v>
      </c>
      <c r="C11411" s="2" t="str">
        <f ca="1">IFERROR(__xludf.DUMMYFUNCTION("GOOGLETRANSLATE(A11411,""bn"",""en"")"),"There will be a cricket strike")</f>
        <v>There will be a cricket strike</v>
      </c>
      <c r="D11411" s="5"/>
      <c r="E11411" s="5"/>
      <c r="F11411" s="5"/>
      <c r="G11411" s="5"/>
      <c r="H11411" s="5"/>
      <c r="I11411" s="5"/>
      <c r="J11411" s="5"/>
      <c r="K11411" s="5"/>
      <c r="L11411" s="5"/>
      <c r="M11411" s="5"/>
      <c r="N11411" s="5"/>
      <c r="O11411" s="5"/>
      <c r="P11411" s="5"/>
      <c r="Q11411" s="5"/>
      <c r="R11411" s="5"/>
      <c r="S11411" s="5"/>
      <c r="T11411" s="5"/>
      <c r="U11411" s="5"/>
      <c r="V11411" s="5"/>
      <c r="W11411" s="5"/>
      <c r="X11411" s="5"/>
      <c r="Y11411" s="5"/>
      <c r="Z11411" s="5"/>
    </row>
    <row r="11412" spans="1:26" ht="15" x14ac:dyDescent="0.25">
      <c r="A11412" s="4" t="s">
        <v>11409</v>
      </c>
      <c r="B11412" s="4" t="s">
        <v>9011</v>
      </c>
      <c r="C11412" s="2" t="str">
        <f ca="1">IFERROR(__xludf.DUMMYFUNCTION("GOOGLETRANSLATE(A11412,""bn"",""en"")"),"I will express interest")</f>
        <v>I will express interest</v>
      </c>
      <c r="D11412" s="5"/>
      <c r="E11412" s="5"/>
      <c r="F11412" s="5"/>
      <c r="G11412" s="5"/>
      <c r="H11412" s="5"/>
      <c r="I11412" s="5"/>
      <c r="J11412" s="5"/>
      <c r="K11412" s="5"/>
      <c r="L11412" s="5"/>
      <c r="M11412" s="5"/>
      <c r="N11412" s="5"/>
      <c r="O11412" s="5"/>
      <c r="P11412" s="5"/>
      <c r="Q11412" s="5"/>
      <c r="R11412" s="5"/>
      <c r="S11412" s="5"/>
      <c r="T11412" s="5"/>
      <c r="U11412" s="5"/>
      <c r="V11412" s="5"/>
      <c r="W11412" s="5"/>
      <c r="X11412" s="5"/>
      <c r="Y11412" s="5"/>
      <c r="Z11412" s="5"/>
    </row>
    <row r="11413" spans="1:26" ht="15" x14ac:dyDescent="0.25">
      <c r="A11413" s="4" t="s">
        <v>11410</v>
      </c>
      <c r="B11413" s="4" t="s">
        <v>9011</v>
      </c>
      <c r="C11413" s="2" t="str">
        <f ca="1">IFERROR(__xludf.DUMMYFUNCTION("GOOGLETRANSLATE(A11413,""bn"",""en"")"),"I will use apple phone")</f>
        <v>I will use apple phone</v>
      </c>
      <c r="D11413" s="5"/>
      <c r="E11413" s="5"/>
      <c r="F11413" s="5"/>
      <c r="G11413" s="5"/>
      <c r="H11413" s="5"/>
      <c r="I11413" s="5"/>
      <c r="J11413" s="5"/>
      <c r="K11413" s="5"/>
      <c r="L11413" s="5"/>
      <c r="M11413" s="5"/>
      <c r="N11413" s="5"/>
      <c r="O11413" s="5"/>
      <c r="P11413" s="5"/>
      <c r="Q11413" s="5"/>
      <c r="R11413" s="5"/>
      <c r="S11413" s="5"/>
      <c r="T11413" s="5"/>
      <c r="U11413" s="5"/>
      <c r="V11413" s="5"/>
      <c r="W11413" s="5"/>
      <c r="X11413" s="5"/>
      <c r="Y11413" s="5"/>
      <c r="Z11413" s="5"/>
    </row>
    <row r="11414" spans="1:26" ht="15" x14ac:dyDescent="0.25">
      <c r="A11414" s="4" t="s">
        <v>11411</v>
      </c>
      <c r="B11414" s="4" t="s">
        <v>9011</v>
      </c>
      <c r="C11414" s="2" t="str">
        <f ca="1">IFERROR(__xludf.DUMMYFUNCTION("GOOGLETRANSLATE(A11414,""bn"",""en"")"),"Travel will be happy")</f>
        <v>Travel will be happy</v>
      </c>
      <c r="D11414" s="5"/>
      <c r="E11414" s="5"/>
      <c r="F11414" s="5"/>
      <c r="G11414" s="5"/>
      <c r="H11414" s="5"/>
      <c r="I11414" s="5"/>
      <c r="J11414" s="5"/>
      <c r="K11414" s="5"/>
      <c r="L11414" s="5"/>
      <c r="M11414" s="5"/>
      <c r="N11414" s="5"/>
      <c r="O11414" s="5"/>
      <c r="P11414" s="5"/>
      <c r="Q11414" s="5"/>
      <c r="R11414" s="5"/>
      <c r="S11414" s="5"/>
      <c r="T11414" s="5"/>
      <c r="U11414" s="5"/>
      <c r="V11414" s="5"/>
      <c r="W11414" s="5"/>
      <c r="X11414" s="5"/>
      <c r="Y11414" s="5"/>
      <c r="Z11414" s="5"/>
    </row>
    <row r="11415" spans="1:26" ht="15" x14ac:dyDescent="0.25">
      <c r="A11415" s="4" t="s">
        <v>11412</v>
      </c>
      <c r="B11415" s="4" t="s">
        <v>9011</v>
      </c>
      <c r="C11415" s="2" t="str">
        <f ca="1">IFERROR(__xludf.DUMMYFUNCTION("GOOGLETRANSLATE(A11415,""bn"",""en"")"),"The function will be implemented")</f>
        <v>The function will be implemented</v>
      </c>
      <c r="D11415" s="5"/>
      <c r="E11415" s="5"/>
      <c r="F11415" s="5"/>
      <c r="G11415" s="5"/>
      <c r="H11415" s="5"/>
      <c r="I11415" s="5"/>
      <c r="J11415" s="5"/>
      <c r="K11415" s="5"/>
      <c r="L11415" s="5"/>
      <c r="M11415" s="5"/>
      <c r="N11415" s="5"/>
      <c r="O11415" s="5"/>
      <c r="P11415" s="5"/>
      <c r="Q11415" s="5"/>
      <c r="R11415" s="5"/>
      <c r="S11415" s="5"/>
      <c r="T11415" s="5"/>
      <c r="U11415" s="5"/>
      <c r="V11415" s="5"/>
      <c r="W11415" s="5"/>
      <c r="X11415" s="5"/>
      <c r="Y11415" s="5"/>
      <c r="Z11415" s="5"/>
    </row>
    <row r="11416" spans="1:26" ht="15" x14ac:dyDescent="0.25">
      <c r="A11416" s="4" t="s">
        <v>11413</v>
      </c>
      <c r="B11416" s="4" t="s">
        <v>9011</v>
      </c>
      <c r="C11416" s="2" t="str">
        <f ca="1">IFERROR(__xludf.DUMMYFUNCTION("GOOGLETRANSLATE(A11416,""bn"",""en"")"),"Hackers will continue to grow")</f>
        <v>Hackers will continue to grow</v>
      </c>
      <c r="D11416" s="5"/>
      <c r="E11416" s="5"/>
      <c r="F11416" s="5"/>
      <c r="G11416" s="5"/>
      <c r="H11416" s="5"/>
      <c r="I11416" s="5"/>
      <c r="J11416" s="5"/>
      <c r="K11416" s="5"/>
      <c r="L11416" s="5"/>
      <c r="M11416" s="5"/>
      <c r="N11416" s="5"/>
      <c r="O11416" s="5"/>
      <c r="P11416" s="5"/>
      <c r="Q11416" s="5"/>
      <c r="R11416" s="5"/>
      <c r="S11416" s="5"/>
      <c r="T11416" s="5"/>
      <c r="U11416" s="5"/>
      <c r="V11416" s="5"/>
      <c r="W11416" s="5"/>
      <c r="X11416" s="5"/>
      <c r="Y11416" s="5"/>
      <c r="Z11416" s="5"/>
    </row>
    <row r="11417" spans="1:26" ht="15" x14ac:dyDescent="0.25">
      <c r="A11417" s="4" t="s">
        <v>11414</v>
      </c>
      <c r="B11417" s="4" t="s">
        <v>9011</v>
      </c>
      <c r="C11417" s="2" t="str">
        <f ca="1">IFERROR(__xludf.DUMMYFUNCTION("GOOGLETRANSLATE(A11417,""bn"",""en"")"),"I will continue to have meetings")</f>
        <v>I will continue to have meetings</v>
      </c>
      <c r="D11417" s="5"/>
      <c r="E11417" s="5"/>
      <c r="F11417" s="5"/>
      <c r="G11417" s="5"/>
      <c r="H11417" s="5"/>
      <c r="I11417" s="5"/>
      <c r="J11417" s="5"/>
      <c r="K11417" s="5"/>
      <c r="L11417" s="5"/>
      <c r="M11417" s="5"/>
      <c r="N11417" s="5"/>
      <c r="O11417" s="5"/>
      <c r="P11417" s="5"/>
      <c r="Q11417" s="5"/>
      <c r="R11417" s="5"/>
      <c r="S11417" s="5"/>
      <c r="T11417" s="5"/>
      <c r="U11417" s="5"/>
      <c r="V11417" s="5"/>
      <c r="W11417" s="5"/>
      <c r="X11417" s="5"/>
      <c r="Y11417" s="5"/>
      <c r="Z11417" s="5"/>
    </row>
    <row r="11418" spans="1:26" ht="15" x14ac:dyDescent="0.25">
      <c r="A11418" s="4" t="s">
        <v>11415</v>
      </c>
      <c r="B11418" s="4" t="s">
        <v>9011</v>
      </c>
      <c r="C11418" s="2" t="str">
        <f ca="1">IFERROR(__xludf.DUMMYFUNCTION("GOOGLETRANSLATE(A11418,""bn"",""en"")"),"I will do well in my career")</f>
        <v>I will do well in my career</v>
      </c>
      <c r="D11418" s="5"/>
      <c r="E11418" s="5"/>
      <c r="F11418" s="5"/>
      <c r="G11418" s="5"/>
      <c r="H11418" s="5"/>
      <c r="I11418" s="5"/>
      <c r="J11418" s="5"/>
      <c r="K11418" s="5"/>
      <c r="L11418" s="5"/>
      <c r="M11418" s="5"/>
      <c r="N11418" s="5"/>
      <c r="O11418" s="5"/>
      <c r="P11418" s="5"/>
      <c r="Q11418" s="5"/>
      <c r="R11418" s="5"/>
      <c r="S11418" s="5"/>
      <c r="T11418" s="5"/>
      <c r="U11418" s="5"/>
      <c r="V11418" s="5"/>
      <c r="W11418" s="5"/>
      <c r="X11418" s="5"/>
      <c r="Y11418" s="5"/>
      <c r="Z11418" s="5"/>
    </row>
    <row r="11419" spans="1:26" ht="15" x14ac:dyDescent="0.25">
      <c r="A11419" s="4" t="s">
        <v>11416</v>
      </c>
      <c r="B11419" s="4" t="s">
        <v>9011</v>
      </c>
      <c r="C11419" s="2" t="str">
        <f ca="1">IFERROR(__xludf.DUMMYFUNCTION("GOOGLETRANSLATE(A11419,""bn"",""en"")"),"Students will play Hadudu")</f>
        <v>Students will play Hadudu</v>
      </c>
      <c r="D11419" s="5"/>
      <c r="E11419" s="5"/>
      <c r="F11419" s="5"/>
      <c r="G11419" s="5"/>
      <c r="H11419" s="5"/>
      <c r="I11419" s="5"/>
      <c r="J11419" s="5"/>
      <c r="K11419" s="5"/>
      <c r="L11419" s="5"/>
      <c r="M11419" s="5"/>
      <c r="N11419" s="5"/>
      <c r="O11419" s="5"/>
      <c r="P11419" s="5"/>
      <c r="Q11419" s="5"/>
      <c r="R11419" s="5"/>
      <c r="S11419" s="5"/>
      <c r="T11419" s="5"/>
      <c r="U11419" s="5"/>
      <c r="V11419" s="5"/>
      <c r="W11419" s="5"/>
      <c r="X11419" s="5"/>
      <c r="Y11419" s="5"/>
      <c r="Z11419" s="5"/>
    </row>
    <row r="11420" spans="1:26" ht="15" x14ac:dyDescent="0.25">
      <c r="A11420" s="4" t="s">
        <v>11417</v>
      </c>
      <c r="B11420" s="4" t="s">
        <v>9011</v>
      </c>
      <c r="C11420" s="2" t="str">
        <f ca="1">IFERROR(__xludf.DUMMYFUNCTION("GOOGLETRANSLATE(A11420,""bn"",""en"")"),"Financial wealth will increase")</f>
        <v>Financial wealth will increase</v>
      </c>
      <c r="D11420" s="5"/>
      <c r="E11420" s="5"/>
      <c r="F11420" s="5"/>
      <c r="G11420" s="5"/>
      <c r="H11420" s="5"/>
      <c r="I11420" s="5"/>
      <c r="J11420" s="5"/>
      <c r="K11420" s="5"/>
      <c r="L11420" s="5"/>
      <c r="M11420" s="5"/>
      <c r="N11420" s="5"/>
      <c r="O11420" s="5"/>
      <c r="P11420" s="5"/>
      <c r="Q11420" s="5"/>
      <c r="R11420" s="5"/>
      <c r="S11420" s="5"/>
      <c r="T11420" s="5"/>
      <c r="U11420" s="5"/>
      <c r="V11420" s="5"/>
      <c r="W11420" s="5"/>
      <c r="X11420" s="5"/>
      <c r="Y11420" s="5"/>
      <c r="Z11420" s="5"/>
    </row>
    <row r="11421" spans="1:26" ht="15" x14ac:dyDescent="0.25">
      <c r="A11421" s="4" t="s">
        <v>11418</v>
      </c>
      <c r="B11421" s="4" t="s">
        <v>9011</v>
      </c>
      <c r="C11421" s="2" t="str">
        <f ca="1">IFERROR(__xludf.DUMMYFUNCTION("GOOGLETRANSLATE(A11421,""bn"",""en"")"),"Travel will increase morale")</f>
        <v>Travel will increase morale</v>
      </c>
      <c r="D11421" s="5"/>
      <c r="E11421" s="5"/>
      <c r="F11421" s="5"/>
      <c r="G11421" s="5"/>
      <c r="H11421" s="5"/>
      <c r="I11421" s="5"/>
      <c r="J11421" s="5"/>
      <c r="K11421" s="5"/>
      <c r="L11421" s="5"/>
      <c r="M11421" s="5"/>
      <c r="N11421" s="5"/>
      <c r="O11421" s="5"/>
      <c r="P11421" s="5"/>
      <c r="Q11421" s="5"/>
      <c r="R11421" s="5"/>
      <c r="S11421" s="5"/>
      <c r="T11421" s="5"/>
      <c r="U11421" s="5"/>
      <c r="V11421" s="5"/>
      <c r="W11421" s="5"/>
      <c r="X11421" s="5"/>
      <c r="Y11421" s="5"/>
      <c r="Z11421" s="5"/>
    </row>
    <row r="11422" spans="1:26" ht="15" x14ac:dyDescent="0.25">
      <c r="A11422" s="4" t="s">
        <v>11419</v>
      </c>
      <c r="B11422" s="4" t="s">
        <v>9011</v>
      </c>
      <c r="C11422" s="2" t="str">
        <f ca="1">IFERROR(__xludf.DUMMYFUNCTION("GOOGLETRANSLATE(A11422,""bn"",""en"")"),"I will do online course")</f>
        <v>I will do online course</v>
      </c>
      <c r="D11422" s="5"/>
      <c r="E11422" s="5"/>
      <c r="F11422" s="5"/>
      <c r="G11422" s="5"/>
      <c r="H11422" s="5"/>
      <c r="I11422" s="5"/>
      <c r="J11422" s="5"/>
      <c r="K11422" s="5"/>
      <c r="L11422" s="5"/>
      <c r="M11422" s="5"/>
      <c r="N11422" s="5"/>
      <c r="O11422" s="5"/>
      <c r="P11422" s="5"/>
      <c r="Q11422" s="5"/>
      <c r="R11422" s="5"/>
      <c r="S11422" s="5"/>
      <c r="T11422" s="5"/>
      <c r="U11422" s="5"/>
      <c r="V11422" s="5"/>
      <c r="W11422" s="5"/>
      <c r="X11422" s="5"/>
      <c r="Y11422" s="5"/>
      <c r="Z11422" s="5"/>
    </row>
    <row r="11423" spans="1:26" ht="15" x14ac:dyDescent="0.25">
      <c r="A11423" s="4" t="s">
        <v>11420</v>
      </c>
      <c r="B11423" s="4" t="s">
        <v>9011</v>
      </c>
      <c r="C11423" s="2" t="str">
        <f ca="1">IFERROR(__xludf.DUMMYFUNCTION("GOOGLETRANSLATE(A11423,""bn"",""en"")"),"I will sing the rhythm")</f>
        <v>I will sing the rhythm</v>
      </c>
      <c r="D11423" s="5"/>
      <c r="E11423" s="5"/>
      <c r="F11423" s="5"/>
      <c r="G11423" s="5"/>
      <c r="H11423" s="5"/>
      <c r="I11423" s="5"/>
      <c r="J11423" s="5"/>
      <c r="K11423" s="5"/>
      <c r="L11423" s="5"/>
      <c r="M11423" s="5"/>
      <c r="N11423" s="5"/>
      <c r="O11423" s="5"/>
      <c r="P11423" s="5"/>
      <c r="Q11423" s="5"/>
      <c r="R11423" s="5"/>
      <c r="S11423" s="5"/>
      <c r="T11423" s="5"/>
      <c r="U11423" s="5"/>
      <c r="V11423" s="5"/>
      <c r="W11423" s="5"/>
      <c r="X11423" s="5"/>
      <c r="Y11423" s="5"/>
      <c r="Z11423" s="5"/>
    </row>
    <row r="11424" spans="1:26" ht="15" x14ac:dyDescent="0.25">
      <c r="A11424" s="4" t="s">
        <v>11421</v>
      </c>
      <c r="B11424" s="4" t="s">
        <v>9011</v>
      </c>
      <c r="C11424" s="2" t="str">
        <f ca="1">IFERROR(__xludf.DUMMYFUNCTION("GOOGLETRANSLATE(A11424,""bn"",""en"")"),"The product will be bad")</f>
        <v>The product will be bad</v>
      </c>
      <c r="D11424" s="5"/>
      <c r="E11424" s="5"/>
      <c r="F11424" s="5"/>
      <c r="G11424" s="5"/>
      <c r="H11424" s="5"/>
      <c r="I11424" s="5"/>
      <c r="J11424" s="5"/>
      <c r="K11424" s="5"/>
      <c r="L11424" s="5"/>
      <c r="M11424" s="5"/>
      <c r="N11424" s="5"/>
      <c r="O11424" s="5"/>
      <c r="P11424" s="5"/>
      <c r="Q11424" s="5"/>
      <c r="R11424" s="5"/>
      <c r="S11424" s="5"/>
      <c r="T11424" s="5"/>
      <c r="U11424" s="5"/>
      <c r="V11424" s="5"/>
      <c r="W11424" s="5"/>
      <c r="X11424" s="5"/>
      <c r="Y11424" s="5"/>
      <c r="Z11424" s="5"/>
    </row>
    <row r="11425" spans="1:26" ht="15" x14ac:dyDescent="0.25">
      <c r="A11425" s="4" t="s">
        <v>11422</v>
      </c>
      <c r="B11425" s="4" t="s">
        <v>9011</v>
      </c>
      <c r="C11425" s="2" t="str">
        <f ca="1">IFERROR(__xludf.DUMMYFUNCTION("GOOGLETRANSLATE(A11425,""bn"",""en"")"),"I will go on an educational trip")</f>
        <v>I will go on an educational trip</v>
      </c>
      <c r="D11425" s="5"/>
      <c r="E11425" s="5"/>
      <c r="F11425" s="5"/>
      <c r="G11425" s="5"/>
      <c r="H11425" s="5"/>
      <c r="I11425" s="5"/>
      <c r="J11425" s="5"/>
      <c r="K11425" s="5"/>
      <c r="L11425" s="5"/>
      <c r="M11425" s="5"/>
      <c r="N11425" s="5"/>
      <c r="O11425" s="5"/>
      <c r="P11425" s="5"/>
      <c r="Q11425" s="5"/>
      <c r="R11425" s="5"/>
      <c r="S11425" s="5"/>
      <c r="T11425" s="5"/>
      <c r="U11425" s="5"/>
      <c r="V11425" s="5"/>
      <c r="W11425" s="5"/>
      <c r="X11425" s="5"/>
      <c r="Y11425" s="5"/>
      <c r="Z11425" s="5"/>
    </row>
    <row r="11426" spans="1:26" ht="15" x14ac:dyDescent="0.25">
      <c r="A11426" s="4" t="s">
        <v>11423</v>
      </c>
      <c r="B11426" s="4" t="s">
        <v>9011</v>
      </c>
      <c r="C11426" s="2" t="str">
        <f ca="1">IFERROR(__xludf.DUMMYFUNCTION("GOOGLETRANSLATE(A11426,""bn"",""en"")"),"I will take GPS service")</f>
        <v>I will take GPS service</v>
      </c>
      <c r="D11426" s="5"/>
      <c r="E11426" s="5"/>
      <c r="F11426" s="5"/>
      <c r="G11426" s="5"/>
      <c r="H11426" s="5"/>
      <c r="I11426" s="5"/>
      <c r="J11426" s="5"/>
      <c r="K11426" s="5"/>
      <c r="L11426" s="5"/>
      <c r="M11426" s="5"/>
      <c r="N11426" s="5"/>
      <c r="O11426" s="5"/>
      <c r="P11426" s="5"/>
      <c r="Q11426" s="5"/>
      <c r="R11426" s="5"/>
      <c r="S11426" s="5"/>
      <c r="T11426" s="5"/>
      <c r="U11426" s="5"/>
      <c r="V11426" s="5"/>
      <c r="W11426" s="5"/>
      <c r="X11426" s="5"/>
      <c r="Y11426" s="5"/>
      <c r="Z11426" s="5"/>
    </row>
    <row r="11427" spans="1:26" ht="15" x14ac:dyDescent="0.25">
      <c r="A11427" s="4" t="s">
        <v>11424</v>
      </c>
      <c r="B11427" s="4" t="s">
        <v>9011</v>
      </c>
      <c r="C11427" s="2" t="str">
        <f ca="1">IFERROR(__xludf.DUMMYFUNCTION("GOOGLETRANSLATE(A11427,""bn"",""en"")"),"I'll keep counting")</f>
        <v>I'll keep counting</v>
      </c>
      <c r="D11427" s="5"/>
      <c r="E11427" s="5"/>
      <c r="F11427" s="5"/>
      <c r="G11427" s="5"/>
      <c r="H11427" s="5"/>
      <c r="I11427" s="5"/>
      <c r="J11427" s="5"/>
      <c r="K11427" s="5"/>
      <c r="L11427" s="5"/>
      <c r="M11427" s="5"/>
      <c r="N11427" s="5"/>
      <c r="O11427" s="5"/>
      <c r="P11427" s="5"/>
      <c r="Q11427" s="5"/>
      <c r="R11427" s="5"/>
      <c r="S11427" s="5"/>
      <c r="T11427" s="5"/>
      <c r="U11427" s="5"/>
      <c r="V11427" s="5"/>
      <c r="W11427" s="5"/>
      <c r="X11427" s="5"/>
      <c r="Y11427" s="5"/>
      <c r="Z11427" s="5"/>
    </row>
    <row r="11428" spans="1:26" ht="15" x14ac:dyDescent="0.25">
      <c r="A11428" s="4" t="s">
        <v>11425</v>
      </c>
      <c r="B11428" s="4" t="s">
        <v>9011</v>
      </c>
      <c r="C11428" s="2" t="str">
        <f ca="1">IFERROR(__xludf.DUMMYFUNCTION("GOOGLETRANSLATE(A11428,""bn"",""en"")"),"The template will change")</f>
        <v>The template will change</v>
      </c>
      <c r="D11428" s="5"/>
      <c r="E11428" s="5"/>
      <c r="F11428" s="5"/>
      <c r="G11428" s="5"/>
      <c r="H11428" s="5"/>
      <c r="I11428" s="5"/>
      <c r="J11428" s="5"/>
      <c r="K11428" s="5"/>
      <c r="L11428" s="5"/>
      <c r="M11428" s="5"/>
      <c r="N11428" s="5"/>
      <c r="O11428" s="5"/>
      <c r="P11428" s="5"/>
      <c r="Q11428" s="5"/>
      <c r="R11428" s="5"/>
      <c r="S11428" s="5"/>
      <c r="T11428" s="5"/>
      <c r="U11428" s="5"/>
      <c r="V11428" s="5"/>
      <c r="W11428" s="5"/>
      <c r="X11428" s="5"/>
      <c r="Y11428" s="5"/>
      <c r="Z11428" s="5"/>
    </row>
    <row r="11429" spans="1:26" ht="15" x14ac:dyDescent="0.25">
      <c r="A11429" s="4" t="s">
        <v>11426</v>
      </c>
      <c r="B11429" s="4" t="s">
        <v>9011</v>
      </c>
      <c r="C11429" s="2" t="str">
        <f ca="1">IFERROR(__xludf.DUMMYFUNCTION("GOOGLETRANSLATE(A11429,""bn"",""en"")"),"I will continue to go to Hajj")</f>
        <v>I will continue to go to Hajj</v>
      </c>
      <c r="D11429" s="5"/>
      <c r="E11429" s="5"/>
      <c r="F11429" s="5"/>
      <c r="G11429" s="5"/>
      <c r="H11429" s="5"/>
      <c r="I11429" s="5"/>
      <c r="J11429" s="5"/>
      <c r="K11429" s="5"/>
      <c r="L11429" s="5"/>
      <c r="M11429" s="5"/>
      <c r="N11429" s="5"/>
      <c r="O11429" s="5"/>
      <c r="P11429" s="5"/>
      <c r="Q11429" s="5"/>
      <c r="R11429" s="5"/>
      <c r="S11429" s="5"/>
      <c r="T11429" s="5"/>
      <c r="U11429" s="5"/>
      <c r="V11429" s="5"/>
      <c r="W11429" s="5"/>
      <c r="X11429" s="5"/>
      <c r="Y11429" s="5"/>
      <c r="Z11429" s="5"/>
    </row>
    <row r="11430" spans="1:26" ht="15" x14ac:dyDescent="0.25">
      <c r="A11430" s="4" t="s">
        <v>11427</v>
      </c>
      <c r="B11430" s="4" t="s">
        <v>9011</v>
      </c>
      <c r="C11430" s="2" t="str">
        <f ca="1">IFERROR(__xludf.DUMMYFUNCTION("GOOGLETRANSLATE(A11430,""bn"",""en"")"),"The group discussion will continue")</f>
        <v>The group discussion will continue</v>
      </c>
      <c r="D11430" s="5"/>
      <c r="E11430" s="5"/>
      <c r="F11430" s="5"/>
      <c r="G11430" s="5"/>
      <c r="H11430" s="5"/>
      <c r="I11430" s="5"/>
      <c r="J11430" s="5"/>
      <c r="K11430" s="5"/>
      <c r="L11430" s="5"/>
      <c r="M11430" s="5"/>
      <c r="N11430" s="5"/>
      <c r="O11430" s="5"/>
      <c r="P11430" s="5"/>
      <c r="Q11430" s="5"/>
      <c r="R11430" s="5"/>
      <c r="S11430" s="5"/>
      <c r="T11430" s="5"/>
      <c r="U11430" s="5"/>
      <c r="V11430" s="5"/>
      <c r="W11430" s="5"/>
      <c r="X11430" s="5"/>
      <c r="Y11430" s="5"/>
      <c r="Z11430" s="5"/>
    </row>
    <row r="11431" spans="1:26" ht="15" x14ac:dyDescent="0.25">
      <c r="A11431" s="4" t="s">
        <v>11428</v>
      </c>
      <c r="B11431" s="4" t="s">
        <v>9011</v>
      </c>
      <c r="C11431" s="2" t="str">
        <f ca="1">IFERROR(__xludf.DUMMYFUNCTION("GOOGLETRANSLATE(A11431,""bn"",""en"")"),"Outsourcing sector will grow")</f>
        <v>Outsourcing sector will grow</v>
      </c>
      <c r="D11431" s="5"/>
      <c r="E11431" s="5"/>
      <c r="F11431" s="5"/>
      <c r="G11431" s="5"/>
      <c r="H11431" s="5"/>
      <c r="I11431" s="5"/>
      <c r="J11431" s="5"/>
      <c r="K11431" s="5"/>
      <c r="L11431" s="5"/>
      <c r="M11431" s="5"/>
      <c r="N11431" s="5"/>
      <c r="O11431" s="5"/>
      <c r="P11431" s="5"/>
      <c r="Q11431" s="5"/>
      <c r="R11431" s="5"/>
      <c r="S11431" s="5"/>
      <c r="T11431" s="5"/>
      <c r="U11431" s="5"/>
      <c r="V11431" s="5"/>
      <c r="W11431" s="5"/>
      <c r="X11431" s="5"/>
      <c r="Y11431" s="5"/>
      <c r="Z11431" s="5"/>
    </row>
    <row r="11432" spans="1:26" ht="15" x14ac:dyDescent="0.25">
      <c r="A11432" s="4" t="s">
        <v>11429</v>
      </c>
      <c r="B11432" s="4" t="s">
        <v>9011</v>
      </c>
      <c r="C11432" s="2" t="str">
        <f ca="1">IFERROR(__xludf.DUMMYFUNCTION("GOOGLETRANSLATE(A11432,""bn"",""en"")"),"There will be cooperatives in the market")</f>
        <v>There will be cooperatives in the market</v>
      </c>
      <c r="D11432" s="5"/>
      <c r="E11432" s="5"/>
      <c r="F11432" s="5"/>
      <c r="G11432" s="5"/>
      <c r="H11432" s="5"/>
      <c r="I11432" s="5"/>
      <c r="J11432" s="5"/>
      <c r="K11432" s="5"/>
      <c r="L11432" s="5"/>
      <c r="M11432" s="5"/>
      <c r="N11432" s="5"/>
      <c r="O11432" s="5"/>
      <c r="P11432" s="5"/>
      <c r="Q11432" s="5"/>
      <c r="R11432" s="5"/>
      <c r="S11432" s="5"/>
      <c r="T11432" s="5"/>
      <c r="U11432" s="5"/>
      <c r="V11432" s="5"/>
      <c r="W11432" s="5"/>
      <c r="X11432" s="5"/>
      <c r="Y11432" s="5"/>
      <c r="Z11432" s="5"/>
    </row>
    <row r="11433" spans="1:26" ht="15" x14ac:dyDescent="0.25">
      <c r="A11433" s="4" t="s">
        <v>11430</v>
      </c>
      <c r="B11433" s="4" t="s">
        <v>9011</v>
      </c>
      <c r="C11433" s="2" t="str">
        <f ca="1">IFERROR(__xludf.DUMMYFUNCTION("GOOGLETRANSLATE(A11433,""bn"",""en"")"),"Confidence will continue to grow")</f>
        <v>Confidence will continue to grow</v>
      </c>
      <c r="D11433" s="5"/>
      <c r="E11433" s="5"/>
      <c r="F11433" s="5"/>
      <c r="G11433" s="5"/>
      <c r="H11433" s="5"/>
      <c r="I11433" s="5"/>
      <c r="J11433" s="5"/>
      <c r="K11433" s="5"/>
      <c r="L11433" s="5"/>
      <c r="M11433" s="5"/>
      <c r="N11433" s="5"/>
      <c r="O11433" s="5"/>
      <c r="P11433" s="5"/>
      <c r="Q11433" s="5"/>
      <c r="R11433" s="5"/>
      <c r="S11433" s="5"/>
      <c r="T11433" s="5"/>
      <c r="U11433" s="5"/>
      <c r="V11433" s="5"/>
      <c r="W11433" s="5"/>
      <c r="X11433" s="5"/>
      <c r="Y11433" s="5"/>
      <c r="Z11433" s="5"/>
    </row>
    <row r="11434" spans="1:26" ht="15" x14ac:dyDescent="0.25">
      <c r="A11434" s="4" t="s">
        <v>11431</v>
      </c>
      <c r="B11434" s="4" t="s">
        <v>9011</v>
      </c>
      <c r="C11434" s="2" t="str">
        <f ca="1">IFERROR(__xludf.DUMMYFUNCTION("GOOGLETRANSLATE(A11434,""bn"",""en"")"),"Morale will continue to rise")</f>
        <v>Morale will continue to rise</v>
      </c>
      <c r="D11434" s="5"/>
      <c r="E11434" s="5"/>
      <c r="F11434" s="5"/>
      <c r="G11434" s="5"/>
      <c r="H11434" s="5"/>
      <c r="I11434" s="5"/>
      <c r="J11434" s="5"/>
      <c r="K11434" s="5"/>
      <c r="L11434" s="5"/>
      <c r="M11434" s="5"/>
      <c r="N11434" s="5"/>
      <c r="O11434" s="5"/>
      <c r="P11434" s="5"/>
      <c r="Q11434" s="5"/>
      <c r="R11434" s="5"/>
      <c r="S11434" s="5"/>
      <c r="T11434" s="5"/>
      <c r="U11434" s="5"/>
      <c r="V11434" s="5"/>
      <c r="W11434" s="5"/>
      <c r="X11434" s="5"/>
      <c r="Y11434" s="5"/>
      <c r="Z11434" s="5"/>
    </row>
    <row r="11435" spans="1:26" ht="15" x14ac:dyDescent="0.25">
      <c r="A11435" s="4" t="s">
        <v>11432</v>
      </c>
      <c r="B11435" s="4" t="s">
        <v>9011</v>
      </c>
      <c r="C11435" s="2" t="str">
        <f ca="1">IFERROR(__xludf.DUMMYFUNCTION("GOOGLETRANSLATE(A11435,""bn"",""en"")"),"Mobile marketing will do")</f>
        <v>Mobile marketing will do</v>
      </c>
      <c r="D11435" s="5"/>
      <c r="E11435" s="5"/>
      <c r="F11435" s="5"/>
      <c r="G11435" s="5"/>
      <c r="H11435" s="5"/>
      <c r="I11435" s="5"/>
      <c r="J11435" s="5"/>
      <c r="K11435" s="5"/>
      <c r="L11435" s="5"/>
      <c r="M11435" s="5"/>
      <c r="N11435" s="5"/>
      <c r="O11435" s="5"/>
      <c r="P11435" s="5"/>
      <c r="Q11435" s="5"/>
      <c r="R11435" s="5"/>
      <c r="S11435" s="5"/>
      <c r="T11435" s="5"/>
      <c r="U11435" s="5"/>
      <c r="V11435" s="5"/>
      <c r="W11435" s="5"/>
      <c r="X11435" s="5"/>
      <c r="Y11435" s="5"/>
      <c r="Z11435" s="5"/>
    </row>
    <row r="11436" spans="1:26" ht="15" x14ac:dyDescent="0.25">
      <c r="A11436" s="4" t="s">
        <v>11433</v>
      </c>
      <c r="B11436" s="4" t="s">
        <v>9011</v>
      </c>
      <c r="C11436" s="2" t="str">
        <f ca="1">IFERROR(__xludf.DUMMYFUNCTION("GOOGLETRANSLATE(A11436,""bn"",""en"")"),"They will be happy")</f>
        <v>They will be happy</v>
      </c>
      <c r="D11436" s="5"/>
      <c r="E11436" s="5"/>
      <c r="F11436" s="5"/>
      <c r="G11436" s="5"/>
      <c r="H11436" s="5"/>
      <c r="I11436" s="5"/>
      <c r="J11436" s="5"/>
      <c r="K11436" s="5"/>
      <c r="L11436" s="5"/>
      <c r="M11436" s="5"/>
      <c r="N11436" s="5"/>
      <c r="O11436" s="5"/>
      <c r="P11436" s="5"/>
      <c r="Q11436" s="5"/>
      <c r="R11436" s="5"/>
      <c r="S11436" s="5"/>
      <c r="T11436" s="5"/>
      <c r="U11436" s="5"/>
      <c r="V11436" s="5"/>
      <c r="W11436" s="5"/>
      <c r="X11436" s="5"/>
      <c r="Y11436" s="5"/>
      <c r="Z11436" s="5"/>
    </row>
    <row r="11437" spans="1:26" ht="15" x14ac:dyDescent="0.25">
      <c r="A11437" s="4" t="s">
        <v>11434</v>
      </c>
      <c r="B11437" s="4" t="s">
        <v>9011</v>
      </c>
      <c r="C11437" s="2" t="str">
        <f ca="1">IFERROR(__xludf.DUMMYFUNCTION("GOOGLETRANSLATE(A11437,""bn"",""en"")"),"He will buy a burger")</f>
        <v>He will buy a burger</v>
      </c>
      <c r="D11437" s="5"/>
      <c r="E11437" s="5"/>
      <c r="F11437" s="5"/>
      <c r="G11437" s="5"/>
      <c r="H11437" s="5"/>
      <c r="I11437" s="5"/>
      <c r="J11437" s="5"/>
      <c r="K11437" s="5"/>
      <c r="L11437" s="5"/>
      <c r="M11437" s="5"/>
      <c r="N11437" s="5"/>
      <c r="O11437" s="5"/>
      <c r="P11437" s="5"/>
      <c r="Q11437" s="5"/>
      <c r="R11437" s="5"/>
      <c r="S11437" s="5"/>
      <c r="T11437" s="5"/>
      <c r="U11437" s="5"/>
      <c r="V11437" s="5"/>
      <c r="W11437" s="5"/>
      <c r="X11437" s="5"/>
      <c r="Y11437" s="5"/>
      <c r="Z11437" s="5"/>
    </row>
    <row r="11438" spans="1:26" ht="15" x14ac:dyDescent="0.25">
      <c r="A11438" s="4" t="s">
        <v>11435</v>
      </c>
      <c r="B11438" s="4" t="s">
        <v>9011</v>
      </c>
      <c r="C11438" s="2" t="str">
        <f ca="1">IFERROR(__xludf.DUMMYFUNCTION("GOOGLETRANSLATE(A11438,""bn"",""en"")"),"He will buy burgers and enjoy eating them")</f>
        <v>He will buy burgers and enjoy eating them</v>
      </c>
      <c r="D11438" s="5"/>
      <c r="E11438" s="5"/>
      <c r="F11438" s="5"/>
      <c r="G11438" s="5"/>
      <c r="H11438" s="5"/>
      <c r="I11438" s="5"/>
      <c r="J11438" s="5"/>
      <c r="K11438" s="5"/>
      <c r="L11438" s="5"/>
      <c r="M11438" s="5"/>
      <c r="N11438" s="5"/>
      <c r="O11438" s="5"/>
      <c r="P11438" s="5"/>
      <c r="Q11438" s="5"/>
      <c r="R11438" s="5"/>
      <c r="S11438" s="5"/>
      <c r="T11438" s="5"/>
      <c r="U11438" s="5"/>
      <c r="V11438" s="5"/>
      <c r="W11438" s="5"/>
      <c r="X11438" s="5"/>
      <c r="Y11438" s="5"/>
      <c r="Z11438" s="5"/>
    </row>
    <row r="11439" spans="1:26" ht="15" x14ac:dyDescent="0.25">
      <c r="A11439" s="4" t="s">
        <v>11436</v>
      </c>
      <c r="B11439" s="4" t="s">
        <v>9011</v>
      </c>
      <c r="C11439" s="2" t="str">
        <f ca="1">IFERROR(__xludf.DUMMYFUNCTION("GOOGLETRANSLATE(A11439,""bn"",""en"")"),"Hook will show")</f>
        <v>Hook will show</v>
      </c>
      <c r="D11439" s="5"/>
      <c r="E11439" s="5"/>
      <c r="F11439" s="5"/>
      <c r="G11439" s="5"/>
      <c r="H11439" s="5"/>
      <c r="I11439" s="5"/>
      <c r="J11439" s="5"/>
      <c r="K11439" s="5"/>
      <c r="L11439" s="5"/>
      <c r="M11439" s="5"/>
      <c r="N11439" s="5"/>
      <c r="O11439" s="5"/>
      <c r="P11439" s="5"/>
      <c r="Q11439" s="5"/>
      <c r="R11439" s="5"/>
      <c r="S11439" s="5"/>
      <c r="T11439" s="5"/>
      <c r="U11439" s="5"/>
      <c r="V11439" s="5"/>
      <c r="W11439" s="5"/>
      <c r="X11439" s="5"/>
      <c r="Y11439" s="5"/>
      <c r="Z11439" s="5"/>
    </row>
    <row r="11440" spans="1:26" ht="15" x14ac:dyDescent="0.25">
      <c r="A11440" s="4" t="s">
        <v>11437</v>
      </c>
      <c r="B11440" s="4" t="s">
        <v>9011</v>
      </c>
      <c r="C11440" s="2" t="str">
        <f ca="1">IFERROR(__xludf.DUMMYFUNCTION("GOOGLETRANSLATE(A11440,""bn"",""en"")"),"He will go to sea")</f>
        <v>He will go to sea</v>
      </c>
      <c r="D11440" s="5"/>
      <c r="E11440" s="5"/>
      <c r="F11440" s="5"/>
      <c r="G11440" s="5"/>
      <c r="H11440" s="5"/>
      <c r="I11440" s="5"/>
      <c r="J11440" s="5"/>
      <c r="K11440" s="5"/>
      <c r="L11440" s="5"/>
      <c r="M11440" s="5"/>
      <c r="N11440" s="5"/>
      <c r="O11440" s="5"/>
      <c r="P11440" s="5"/>
      <c r="Q11440" s="5"/>
      <c r="R11440" s="5"/>
      <c r="S11440" s="5"/>
      <c r="T11440" s="5"/>
      <c r="U11440" s="5"/>
      <c r="V11440" s="5"/>
      <c r="W11440" s="5"/>
      <c r="X11440" s="5"/>
      <c r="Y11440" s="5"/>
      <c r="Z11440" s="5"/>
    </row>
    <row r="11441" spans="1:26" ht="15" x14ac:dyDescent="0.25">
      <c r="A11441" s="4" t="s">
        <v>11438</v>
      </c>
      <c r="B11441" s="4" t="s">
        <v>9011</v>
      </c>
      <c r="C11441" s="2" t="str">
        <f ca="1">IFERROR(__xludf.DUMMYFUNCTION("GOOGLETRANSLATE(A11441,""bn"",""en"")"),"I will give education")</f>
        <v>I will give education</v>
      </c>
      <c r="D11441" s="5"/>
      <c r="E11441" s="5"/>
      <c r="F11441" s="5"/>
      <c r="G11441" s="5"/>
      <c r="H11441" s="5"/>
      <c r="I11441" s="5"/>
      <c r="J11441" s="5"/>
      <c r="K11441" s="5"/>
      <c r="L11441" s="5"/>
      <c r="M11441" s="5"/>
      <c r="N11441" s="5"/>
      <c r="O11441" s="5"/>
      <c r="P11441" s="5"/>
      <c r="Q11441" s="5"/>
      <c r="R11441" s="5"/>
      <c r="S11441" s="5"/>
      <c r="T11441" s="5"/>
      <c r="U11441" s="5"/>
      <c r="V11441" s="5"/>
      <c r="W11441" s="5"/>
      <c r="X11441" s="5"/>
      <c r="Y11441" s="5"/>
      <c r="Z11441" s="5"/>
    </row>
    <row r="11442" spans="1:26" ht="15" x14ac:dyDescent="0.25">
      <c r="A11442" s="4" t="s">
        <v>11439</v>
      </c>
      <c r="B11442" s="4" t="s">
        <v>9011</v>
      </c>
      <c r="C11442" s="2" t="str">
        <f ca="1">IFERROR(__xludf.DUMMYFUNCTION("GOOGLETRANSLATE(A11442,""bn"",""en"")"),"I will travel")</f>
        <v>I will travel</v>
      </c>
      <c r="D11442" s="5"/>
      <c r="E11442" s="5"/>
      <c r="F11442" s="5"/>
      <c r="G11442" s="5"/>
      <c r="H11442" s="5"/>
      <c r="I11442" s="5"/>
      <c r="J11442" s="5"/>
      <c r="K11442" s="5"/>
      <c r="L11442" s="5"/>
      <c r="M11442" s="5"/>
      <c r="N11442" s="5"/>
      <c r="O11442" s="5"/>
      <c r="P11442" s="5"/>
      <c r="Q11442" s="5"/>
      <c r="R11442" s="5"/>
      <c r="S11442" s="5"/>
      <c r="T11442" s="5"/>
      <c r="U11442" s="5"/>
      <c r="V11442" s="5"/>
      <c r="W11442" s="5"/>
      <c r="X11442" s="5"/>
      <c r="Y11442" s="5"/>
      <c r="Z11442" s="5"/>
    </row>
    <row r="11443" spans="1:26" ht="15" x14ac:dyDescent="0.25">
      <c r="A11443" s="4" t="s">
        <v>11440</v>
      </c>
      <c r="B11443" s="4" t="s">
        <v>9011</v>
      </c>
      <c r="C11443" s="2" t="str">
        <f ca="1">IFERROR(__xludf.DUMMYFUNCTION("GOOGLETRANSLATE(A11443,""bn"",""en"")"),"He will write songs")</f>
        <v>He will write songs</v>
      </c>
      <c r="D11443" s="5"/>
      <c r="E11443" s="5"/>
      <c r="F11443" s="5"/>
      <c r="G11443" s="5"/>
      <c r="H11443" s="5"/>
      <c r="I11443" s="5"/>
      <c r="J11443" s="5"/>
      <c r="K11443" s="5"/>
      <c r="L11443" s="5"/>
      <c r="M11443" s="5"/>
      <c r="N11443" s="5"/>
      <c r="O11443" s="5"/>
      <c r="P11443" s="5"/>
      <c r="Q11443" s="5"/>
      <c r="R11443" s="5"/>
      <c r="S11443" s="5"/>
      <c r="T11443" s="5"/>
      <c r="U11443" s="5"/>
      <c r="V11443" s="5"/>
      <c r="W11443" s="5"/>
      <c r="X11443" s="5"/>
      <c r="Y11443" s="5"/>
      <c r="Z11443" s="5"/>
    </row>
    <row r="11444" spans="1:26" ht="15" x14ac:dyDescent="0.25">
      <c r="A11444" s="4" t="s">
        <v>11441</v>
      </c>
      <c r="B11444" s="4" t="s">
        <v>9011</v>
      </c>
      <c r="C11444" s="2" t="str">
        <f ca="1">IFERROR(__xludf.DUMMYFUNCTION("GOOGLETRANSLATE(A11444,""bn"",""en"")"),"I will print the statement")</f>
        <v>I will print the statement</v>
      </c>
      <c r="D11444" s="5"/>
      <c r="E11444" s="5"/>
      <c r="F11444" s="5"/>
      <c r="G11444" s="5"/>
      <c r="H11444" s="5"/>
      <c r="I11444" s="5"/>
      <c r="J11444" s="5"/>
      <c r="K11444" s="5"/>
      <c r="L11444" s="5"/>
      <c r="M11444" s="5"/>
      <c r="N11444" s="5"/>
      <c r="O11444" s="5"/>
      <c r="P11444" s="5"/>
      <c r="Q11444" s="5"/>
      <c r="R11444" s="5"/>
      <c r="S11444" s="5"/>
      <c r="T11444" s="5"/>
      <c r="U11444" s="5"/>
      <c r="V11444" s="5"/>
      <c r="W11444" s="5"/>
      <c r="X11444" s="5"/>
      <c r="Y11444" s="5"/>
      <c r="Z11444" s="5"/>
    </row>
    <row r="11445" spans="1:26" ht="15" x14ac:dyDescent="0.25">
      <c r="A11445" s="4" t="s">
        <v>11442</v>
      </c>
      <c r="B11445" s="4" t="s">
        <v>9011</v>
      </c>
      <c r="C11445" s="2" t="str">
        <f ca="1">IFERROR(__xludf.DUMMYFUNCTION("GOOGLETRANSLATE(A11445,""bn"",""en"")"),"The iPhone will be expensive")</f>
        <v>The iPhone will be expensive</v>
      </c>
      <c r="D11445" s="5"/>
      <c r="E11445" s="5"/>
      <c r="F11445" s="5"/>
      <c r="G11445" s="5"/>
      <c r="H11445" s="5"/>
      <c r="I11445" s="5"/>
      <c r="J11445" s="5"/>
      <c r="K11445" s="5"/>
      <c r="L11445" s="5"/>
      <c r="M11445" s="5"/>
      <c r="N11445" s="5"/>
      <c r="O11445" s="5"/>
      <c r="P11445" s="5"/>
      <c r="Q11445" s="5"/>
      <c r="R11445" s="5"/>
      <c r="S11445" s="5"/>
      <c r="T11445" s="5"/>
      <c r="U11445" s="5"/>
      <c r="V11445" s="5"/>
      <c r="W11445" s="5"/>
      <c r="X11445" s="5"/>
      <c r="Y11445" s="5"/>
      <c r="Z11445" s="5"/>
    </row>
    <row r="11446" spans="1:26" ht="15" x14ac:dyDescent="0.25">
      <c r="A11446" s="4" t="s">
        <v>11443</v>
      </c>
      <c r="B11446" s="4" t="s">
        <v>9011</v>
      </c>
      <c r="C11446" s="2" t="str">
        <f ca="1">IFERROR(__xludf.DUMMYFUNCTION("GOOGLETRANSLATE(A11446,""bn"",""en"")"),"The device will connect")</f>
        <v>The device will connect</v>
      </c>
      <c r="D11446" s="5"/>
      <c r="E11446" s="5"/>
      <c r="F11446" s="5"/>
      <c r="G11446" s="5"/>
      <c r="H11446" s="5"/>
      <c r="I11446" s="5"/>
      <c r="J11446" s="5"/>
      <c r="K11446" s="5"/>
      <c r="L11446" s="5"/>
      <c r="M11446" s="5"/>
      <c r="N11446" s="5"/>
      <c r="O11446" s="5"/>
      <c r="P11446" s="5"/>
      <c r="Q11446" s="5"/>
      <c r="R11446" s="5"/>
      <c r="S11446" s="5"/>
      <c r="T11446" s="5"/>
      <c r="U11446" s="5"/>
      <c r="V11446" s="5"/>
      <c r="W11446" s="5"/>
      <c r="X11446" s="5"/>
      <c r="Y11446" s="5"/>
      <c r="Z11446" s="5"/>
    </row>
    <row r="11447" spans="1:26" ht="15" x14ac:dyDescent="0.25">
      <c r="A11447" s="4" t="s">
        <v>11444</v>
      </c>
      <c r="B11447" s="4" t="s">
        <v>9011</v>
      </c>
      <c r="C11447" s="2" t="str">
        <f ca="1">IFERROR(__xludf.DUMMYFUNCTION("GOOGLETRANSLATE(A11447,""bn"",""en"")"),"Iodine deficiency")</f>
        <v>Iodine deficiency</v>
      </c>
      <c r="D11447" s="5"/>
      <c r="E11447" s="5"/>
      <c r="F11447" s="5"/>
      <c r="G11447" s="5"/>
      <c r="H11447" s="5"/>
      <c r="I11447" s="5"/>
      <c r="J11447" s="5"/>
      <c r="K11447" s="5"/>
      <c r="L11447" s="5"/>
      <c r="M11447" s="5"/>
      <c r="N11447" s="5"/>
      <c r="O11447" s="5"/>
      <c r="P11447" s="5"/>
      <c r="Q11447" s="5"/>
      <c r="R11447" s="5"/>
      <c r="S11447" s="5"/>
      <c r="T11447" s="5"/>
      <c r="U11447" s="5"/>
      <c r="V11447" s="5"/>
      <c r="W11447" s="5"/>
      <c r="X11447" s="5"/>
      <c r="Y11447" s="5"/>
      <c r="Z11447" s="5"/>
    </row>
    <row r="11448" spans="1:26" ht="15" x14ac:dyDescent="0.25">
      <c r="A11448" s="4" t="s">
        <v>11445</v>
      </c>
      <c r="B11448" s="4" t="s">
        <v>9011</v>
      </c>
      <c r="C11448" s="2" t="str">
        <f ca="1">IFERROR(__xludf.DUMMYFUNCTION("GOOGLETRANSLATE(A11448,""bn"",""en"")"),"The tournament will be held")</f>
        <v>The tournament will be held</v>
      </c>
      <c r="D11448" s="5"/>
      <c r="E11448" s="5"/>
      <c r="F11448" s="5"/>
      <c r="G11448" s="5"/>
      <c r="H11448" s="5"/>
      <c r="I11448" s="5"/>
      <c r="J11448" s="5"/>
      <c r="K11448" s="5"/>
      <c r="L11448" s="5"/>
      <c r="M11448" s="5"/>
      <c r="N11448" s="5"/>
      <c r="O11448" s="5"/>
      <c r="P11448" s="5"/>
      <c r="Q11448" s="5"/>
      <c r="R11448" s="5"/>
      <c r="S11448" s="5"/>
      <c r="T11448" s="5"/>
      <c r="U11448" s="5"/>
      <c r="V11448" s="5"/>
      <c r="W11448" s="5"/>
      <c r="X11448" s="5"/>
      <c r="Y11448" s="5"/>
      <c r="Z11448" s="5"/>
    </row>
    <row r="11449" spans="1:26" ht="15" x14ac:dyDescent="0.25">
      <c r="A11449" s="4" t="s">
        <v>11446</v>
      </c>
      <c r="B11449" s="4" t="s">
        <v>9011</v>
      </c>
      <c r="C11449" s="2" t="str">
        <f ca="1">IFERROR(__xludf.DUMMYFUNCTION("GOOGLETRANSLATE(A11449,""bn"",""en"")"),"We will pay the fee")</f>
        <v>We will pay the fee</v>
      </c>
      <c r="D11449" s="5"/>
      <c r="E11449" s="5"/>
      <c r="F11449" s="5"/>
      <c r="G11449" s="5"/>
      <c r="H11449" s="5"/>
      <c r="I11449" s="5"/>
      <c r="J11449" s="5"/>
      <c r="K11449" s="5"/>
      <c r="L11449" s="5"/>
      <c r="M11449" s="5"/>
      <c r="N11449" s="5"/>
      <c r="O11449" s="5"/>
      <c r="P11449" s="5"/>
      <c r="Q11449" s="5"/>
      <c r="R11449" s="5"/>
      <c r="S11449" s="5"/>
      <c r="T11449" s="5"/>
      <c r="U11449" s="5"/>
      <c r="V11449" s="5"/>
      <c r="W11449" s="5"/>
      <c r="X11449" s="5"/>
      <c r="Y11449" s="5"/>
      <c r="Z11449" s="5"/>
    </row>
    <row r="11450" spans="1:26" ht="15" x14ac:dyDescent="0.25">
      <c r="A11450" s="4" t="s">
        <v>11447</v>
      </c>
      <c r="B11450" s="4" t="s">
        <v>9011</v>
      </c>
      <c r="C11450" s="2" t="str">
        <f ca="1">IFERROR(__xludf.DUMMYFUNCTION("GOOGLETRANSLATE(A11450,""bn"",""en"")"),"Eat bread with fun")</f>
        <v>Eat bread with fun</v>
      </c>
      <c r="D11450" s="5"/>
      <c r="E11450" s="5"/>
      <c r="F11450" s="5"/>
      <c r="G11450" s="5"/>
      <c r="H11450" s="5"/>
      <c r="I11450" s="5"/>
      <c r="J11450" s="5"/>
      <c r="K11450" s="5"/>
      <c r="L11450" s="5"/>
      <c r="M11450" s="5"/>
      <c r="N11450" s="5"/>
      <c r="O11450" s="5"/>
      <c r="P11450" s="5"/>
      <c r="Q11450" s="5"/>
      <c r="R11450" s="5"/>
      <c r="S11450" s="5"/>
      <c r="T11450" s="5"/>
      <c r="U11450" s="5"/>
      <c r="V11450" s="5"/>
      <c r="W11450" s="5"/>
      <c r="X11450" s="5"/>
      <c r="Y11450" s="5"/>
      <c r="Z11450" s="5"/>
    </row>
    <row r="11451" spans="1:26" ht="15" x14ac:dyDescent="0.25">
      <c r="A11451" s="4" t="s">
        <v>11448</v>
      </c>
      <c r="B11451" s="4" t="s">
        <v>9011</v>
      </c>
      <c r="C11451" s="2" t="str">
        <f ca="1">IFERROR(__xludf.DUMMYFUNCTION("GOOGLETRANSLATE(A11451,""bn"",""en"")"),"Food will be served")</f>
        <v>Food will be served</v>
      </c>
      <c r="D11451" s="5"/>
      <c r="E11451" s="5"/>
      <c r="F11451" s="5"/>
      <c r="G11451" s="5"/>
      <c r="H11451" s="5"/>
      <c r="I11451" s="5"/>
      <c r="J11451" s="5"/>
      <c r="K11451" s="5"/>
      <c r="L11451" s="5"/>
      <c r="M11451" s="5"/>
      <c r="N11451" s="5"/>
      <c r="O11451" s="5"/>
      <c r="P11451" s="5"/>
      <c r="Q11451" s="5"/>
      <c r="R11451" s="5"/>
      <c r="S11451" s="5"/>
      <c r="T11451" s="5"/>
      <c r="U11451" s="5"/>
      <c r="V11451" s="5"/>
      <c r="W11451" s="5"/>
      <c r="X11451" s="5"/>
      <c r="Y11451" s="5"/>
      <c r="Z11451" s="5"/>
    </row>
    <row r="11452" spans="1:26" ht="15" x14ac:dyDescent="0.25">
      <c r="A11452" s="4" t="s">
        <v>11449</v>
      </c>
      <c r="B11452" s="4" t="s">
        <v>9011</v>
      </c>
      <c r="C11452" s="2" t="str">
        <f ca="1">IFERROR(__xludf.DUMMYFUNCTION("GOOGLETRANSLATE(A11452,""bn"",""en"")"),"The number of hackers will increase")</f>
        <v>The number of hackers will increase</v>
      </c>
      <c r="D11452" s="5"/>
      <c r="E11452" s="5"/>
      <c r="F11452" s="5"/>
      <c r="G11452" s="5"/>
      <c r="H11452" s="5"/>
      <c r="I11452" s="5"/>
      <c r="J11452" s="5"/>
      <c r="K11452" s="5"/>
      <c r="L11452" s="5"/>
      <c r="M11452" s="5"/>
      <c r="N11452" s="5"/>
      <c r="O11452" s="5"/>
      <c r="P11452" s="5"/>
      <c r="Q11452" s="5"/>
      <c r="R11452" s="5"/>
      <c r="S11452" s="5"/>
      <c r="T11452" s="5"/>
      <c r="U11452" s="5"/>
      <c r="V11452" s="5"/>
      <c r="W11452" s="5"/>
      <c r="X11452" s="5"/>
      <c r="Y11452" s="5"/>
      <c r="Z11452" s="5"/>
    </row>
    <row r="11453" spans="1:26" ht="15" x14ac:dyDescent="0.25">
      <c r="A11453" s="4" t="s">
        <v>11450</v>
      </c>
      <c r="B11453" s="4" t="s">
        <v>9011</v>
      </c>
      <c r="C11453" s="2" t="str">
        <f ca="1">IFERROR(__xludf.DUMMYFUNCTION("GOOGLETRANSLATE(A11453,""bn"",""en"")"),"Will keep in touch")</f>
        <v>Will keep in touch</v>
      </c>
      <c r="D11453" s="5"/>
      <c r="E11453" s="5"/>
      <c r="F11453" s="5"/>
      <c r="G11453" s="5"/>
      <c r="H11453" s="5"/>
      <c r="I11453" s="5"/>
      <c r="J11453" s="5"/>
      <c r="K11453" s="5"/>
      <c r="L11453" s="5"/>
      <c r="M11453" s="5"/>
      <c r="N11453" s="5"/>
      <c r="O11453" s="5"/>
      <c r="P11453" s="5"/>
      <c r="Q11453" s="5"/>
      <c r="R11453" s="5"/>
      <c r="S11453" s="5"/>
      <c r="T11453" s="5"/>
      <c r="U11453" s="5"/>
      <c r="V11453" s="5"/>
      <c r="W11453" s="5"/>
      <c r="X11453" s="5"/>
      <c r="Y11453" s="5"/>
      <c r="Z11453" s="5"/>
    </row>
    <row r="11454" spans="1:26" ht="15" x14ac:dyDescent="0.25">
      <c r="A11454" s="4" t="s">
        <v>11451</v>
      </c>
      <c r="B11454" s="4" t="s">
        <v>9011</v>
      </c>
      <c r="C11454" s="2" t="str">
        <f ca="1">IFERROR(__xludf.DUMMYFUNCTION("GOOGLETRANSLATE(A11454,""bn"",""en"")"),"I will buy fruit")</f>
        <v>I will buy fruit</v>
      </c>
      <c r="D11454" s="5"/>
      <c r="E11454" s="5"/>
      <c r="F11454" s="5"/>
      <c r="G11454" s="5"/>
      <c r="H11454" s="5"/>
      <c r="I11454" s="5"/>
      <c r="J11454" s="5"/>
      <c r="K11454" s="5"/>
      <c r="L11454" s="5"/>
      <c r="M11454" s="5"/>
      <c r="N11454" s="5"/>
      <c r="O11454" s="5"/>
      <c r="P11454" s="5"/>
      <c r="Q11454" s="5"/>
      <c r="R11454" s="5"/>
      <c r="S11454" s="5"/>
      <c r="T11454" s="5"/>
      <c r="U11454" s="5"/>
      <c r="V11454" s="5"/>
      <c r="W11454" s="5"/>
      <c r="X11454" s="5"/>
      <c r="Y11454" s="5"/>
      <c r="Z11454" s="5"/>
    </row>
    <row r="11455" spans="1:26" ht="15" x14ac:dyDescent="0.25">
      <c r="A11455" s="4" t="s">
        <v>11452</v>
      </c>
      <c r="B11455" s="4" t="s">
        <v>9011</v>
      </c>
      <c r="C11455" s="2" t="str">
        <f ca="1">IFERROR(__xludf.DUMMYFUNCTION("GOOGLETRANSLATE(A11455,""bn"",""en"")"),"I would like support")</f>
        <v>I would like support</v>
      </c>
      <c r="D11455" s="5"/>
      <c r="E11455" s="5"/>
      <c r="F11455" s="5"/>
      <c r="G11455" s="5"/>
      <c r="H11455" s="5"/>
      <c r="I11455" s="5"/>
      <c r="J11455" s="5"/>
      <c r="K11455" s="5"/>
      <c r="L11455" s="5"/>
      <c r="M11455" s="5"/>
      <c r="N11455" s="5"/>
      <c r="O11455" s="5"/>
      <c r="P11455" s="5"/>
      <c r="Q11455" s="5"/>
      <c r="R11455" s="5"/>
      <c r="S11455" s="5"/>
      <c r="T11455" s="5"/>
      <c r="U11455" s="5"/>
      <c r="V11455" s="5"/>
      <c r="W11455" s="5"/>
      <c r="X11455" s="5"/>
      <c r="Y11455" s="5"/>
      <c r="Z11455" s="5"/>
    </row>
    <row r="11456" spans="1:26" ht="15" x14ac:dyDescent="0.25">
      <c r="A11456" s="4" t="s">
        <v>11453</v>
      </c>
      <c r="B11456" s="4" t="s">
        <v>9011</v>
      </c>
      <c r="C11456" s="2" t="str">
        <f ca="1">IFERROR(__xludf.DUMMYFUNCTION("GOOGLETRANSLATE(A11456,""bn"",""en"")"),"I will read the story")</f>
        <v>I will read the story</v>
      </c>
      <c r="D11456" s="5"/>
      <c r="E11456" s="5"/>
      <c r="F11456" s="5"/>
      <c r="G11456" s="5"/>
      <c r="H11456" s="5"/>
      <c r="I11456" s="5"/>
      <c r="J11456" s="5"/>
      <c r="K11456" s="5"/>
      <c r="L11456" s="5"/>
      <c r="M11456" s="5"/>
      <c r="N11456" s="5"/>
      <c r="O11456" s="5"/>
      <c r="P11456" s="5"/>
      <c r="Q11456" s="5"/>
      <c r="R11456" s="5"/>
      <c r="S11456" s="5"/>
      <c r="T11456" s="5"/>
      <c r="U11456" s="5"/>
      <c r="V11456" s="5"/>
      <c r="W11456" s="5"/>
      <c r="X11456" s="5"/>
      <c r="Y11456" s="5"/>
      <c r="Z11456" s="5"/>
    </row>
    <row r="11457" spans="1:26" ht="15" x14ac:dyDescent="0.25">
      <c r="A11457" s="4" t="s">
        <v>11454</v>
      </c>
      <c r="B11457" s="4" t="s">
        <v>9011</v>
      </c>
      <c r="C11457" s="2" t="str">
        <f ca="1">IFERROR(__xludf.DUMMYFUNCTION("GOOGLETRANSLATE(A11457,""bn"",""en"")"),"I will save the money")</f>
        <v>I will save the money</v>
      </c>
      <c r="D11457" s="5"/>
      <c r="E11457" s="5"/>
      <c r="F11457" s="5"/>
      <c r="G11457" s="5"/>
      <c r="H11457" s="5"/>
      <c r="I11457" s="5"/>
      <c r="J11457" s="5"/>
      <c r="K11457" s="5"/>
      <c r="L11457" s="5"/>
      <c r="M11457" s="5"/>
      <c r="N11457" s="5"/>
      <c r="O11457" s="5"/>
      <c r="P11457" s="5"/>
      <c r="Q11457" s="5"/>
      <c r="R11457" s="5"/>
      <c r="S11457" s="5"/>
      <c r="T11457" s="5"/>
      <c r="U11457" s="5"/>
      <c r="V11457" s="5"/>
      <c r="W11457" s="5"/>
      <c r="X11457" s="5"/>
      <c r="Y11457" s="5"/>
      <c r="Z11457" s="5"/>
    </row>
    <row r="11458" spans="1:26" ht="15" x14ac:dyDescent="0.25">
      <c r="A11458" s="4" t="s">
        <v>11455</v>
      </c>
      <c r="B11458" s="4" t="s">
        <v>9011</v>
      </c>
      <c r="C11458" s="2" t="str">
        <f ca="1">IFERROR(__xludf.DUMMYFUNCTION("GOOGLETRANSLATE(A11458,""bn"",""en"")"),"I will listen to the story on the mobile phone")</f>
        <v>I will listen to the story on the mobile phone</v>
      </c>
      <c r="D11458" s="5"/>
      <c r="E11458" s="5"/>
      <c r="F11458" s="5"/>
      <c r="G11458" s="5"/>
      <c r="H11458" s="5"/>
      <c r="I11458" s="5"/>
      <c r="J11458" s="5"/>
      <c r="K11458" s="5"/>
      <c r="L11458" s="5"/>
      <c r="M11458" s="5"/>
      <c r="N11458" s="5"/>
      <c r="O11458" s="5"/>
      <c r="P11458" s="5"/>
      <c r="Q11458" s="5"/>
      <c r="R11458" s="5"/>
      <c r="S11458" s="5"/>
      <c r="T11458" s="5"/>
      <c r="U11458" s="5"/>
      <c r="V11458" s="5"/>
      <c r="W11458" s="5"/>
      <c r="X11458" s="5"/>
      <c r="Y11458" s="5"/>
      <c r="Z11458" s="5"/>
    </row>
    <row r="11459" spans="1:26" ht="15" x14ac:dyDescent="0.25">
      <c r="A11459" s="4" t="s">
        <v>11456</v>
      </c>
      <c r="B11459" s="4" t="s">
        <v>9011</v>
      </c>
      <c r="C11459" s="2" t="str">
        <f ca="1">IFERROR(__xludf.DUMMYFUNCTION("GOOGLETRANSLATE(A11459,""bn"",""en"")"),"News will be broadcast")</f>
        <v>News will be broadcast</v>
      </c>
      <c r="D11459" s="5"/>
      <c r="E11459" s="5"/>
      <c r="F11459" s="5"/>
      <c r="G11459" s="5"/>
      <c r="H11459" s="5"/>
      <c r="I11459" s="5"/>
      <c r="J11459" s="5"/>
      <c r="K11459" s="5"/>
      <c r="L11459" s="5"/>
      <c r="M11459" s="5"/>
      <c r="N11459" s="5"/>
      <c r="O11459" s="5"/>
      <c r="P11459" s="5"/>
      <c r="Q11459" s="5"/>
      <c r="R11459" s="5"/>
      <c r="S11459" s="5"/>
      <c r="T11459" s="5"/>
      <c r="U11459" s="5"/>
      <c r="V11459" s="5"/>
      <c r="W11459" s="5"/>
      <c r="X11459" s="5"/>
      <c r="Y11459" s="5"/>
      <c r="Z11459" s="5"/>
    </row>
    <row r="11460" spans="1:26" ht="15" x14ac:dyDescent="0.25">
      <c r="A11460" s="4" t="s">
        <v>11457</v>
      </c>
      <c r="B11460" s="4" t="s">
        <v>9011</v>
      </c>
      <c r="C11460" s="2" t="str">
        <f ca="1">IFERROR(__xludf.DUMMYFUNCTION("GOOGLETRANSLATE(A11460,""bn"",""en"")"),"I will have a meeting at the bank")</f>
        <v>I will have a meeting at the bank</v>
      </c>
      <c r="D11460" s="5"/>
      <c r="E11460" s="5"/>
      <c r="F11460" s="5"/>
      <c r="G11460" s="5"/>
      <c r="H11460" s="5"/>
      <c r="I11460" s="5"/>
      <c r="J11460" s="5"/>
      <c r="K11460" s="5"/>
      <c r="L11460" s="5"/>
      <c r="M11460" s="5"/>
      <c r="N11460" s="5"/>
      <c r="O11460" s="5"/>
      <c r="P11460" s="5"/>
      <c r="Q11460" s="5"/>
      <c r="R11460" s="5"/>
      <c r="S11460" s="5"/>
      <c r="T11460" s="5"/>
      <c r="U11460" s="5"/>
      <c r="V11460" s="5"/>
      <c r="W11460" s="5"/>
      <c r="X11460" s="5"/>
      <c r="Y11460" s="5"/>
      <c r="Z11460" s="5"/>
    </row>
    <row r="11461" spans="1:26" ht="15" x14ac:dyDescent="0.25">
      <c r="A11461" s="4" t="s">
        <v>11458</v>
      </c>
      <c r="B11461" s="4" t="s">
        <v>9011</v>
      </c>
      <c r="C11461" s="2" t="str">
        <f ca="1">IFERROR(__xludf.DUMMYFUNCTION("GOOGLETRANSLATE(A11461,""bn"",""en"")"),"I will keep telling stories")</f>
        <v>I will keep telling stories</v>
      </c>
      <c r="D11461" s="5"/>
      <c r="E11461" s="5"/>
      <c r="F11461" s="5"/>
      <c r="G11461" s="5"/>
      <c r="H11461" s="5"/>
      <c r="I11461" s="5"/>
      <c r="J11461" s="5"/>
      <c r="K11461" s="5"/>
      <c r="L11461" s="5"/>
      <c r="M11461" s="5"/>
      <c r="N11461" s="5"/>
      <c r="O11461" s="5"/>
      <c r="P11461" s="5"/>
      <c r="Q11461" s="5"/>
      <c r="R11461" s="5"/>
      <c r="S11461" s="5"/>
      <c r="T11461" s="5"/>
      <c r="U11461" s="5"/>
      <c r="V11461" s="5"/>
      <c r="W11461" s="5"/>
      <c r="X11461" s="5"/>
      <c r="Y11461" s="5"/>
      <c r="Z11461" s="5"/>
    </row>
    <row r="11462" spans="1:26" ht="15" x14ac:dyDescent="0.25">
      <c r="A11462" s="4" t="s">
        <v>11459</v>
      </c>
      <c r="B11462" s="4" t="s">
        <v>9011</v>
      </c>
      <c r="C11462" s="2" t="str">
        <f ca="1">IFERROR(__xludf.DUMMYFUNCTION("GOOGLETRANSLATE(A11462,""bn"",""en"")"),"I will continue to read the hadith")</f>
        <v>I will continue to read the hadith</v>
      </c>
      <c r="D11462" s="5"/>
      <c r="E11462" s="5"/>
      <c r="F11462" s="5"/>
      <c r="G11462" s="5"/>
      <c r="H11462" s="5"/>
      <c r="I11462" s="5"/>
      <c r="J11462" s="5"/>
      <c r="K11462" s="5"/>
      <c r="L11462" s="5"/>
      <c r="M11462" s="5"/>
      <c r="N11462" s="5"/>
      <c r="O11462" s="5"/>
      <c r="P11462" s="5"/>
      <c r="Q11462" s="5"/>
      <c r="R11462" s="5"/>
      <c r="S11462" s="5"/>
      <c r="T11462" s="5"/>
      <c r="U11462" s="5"/>
      <c r="V11462" s="5"/>
      <c r="W11462" s="5"/>
      <c r="X11462" s="5"/>
      <c r="Y11462" s="5"/>
      <c r="Z11462" s="5"/>
    </row>
    <row r="11463" spans="1:26" ht="15" x14ac:dyDescent="0.25">
      <c r="A11463" s="4" t="s">
        <v>11460</v>
      </c>
      <c r="B11463" s="4" t="s">
        <v>9011</v>
      </c>
      <c r="C11463" s="2" t="str">
        <f ca="1">IFERROR(__xludf.DUMMYFUNCTION("GOOGLETRANSLATE(A11463,""bn"",""en"")"),"The movie will be successful")</f>
        <v>The movie will be successful</v>
      </c>
      <c r="D11463" s="5"/>
      <c r="E11463" s="5"/>
      <c r="F11463" s="5"/>
      <c r="G11463" s="5"/>
      <c r="H11463" s="5"/>
      <c r="I11463" s="5"/>
      <c r="J11463" s="5"/>
      <c r="K11463" s="5"/>
      <c r="L11463" s="5"/>
      <c r="M11463" s="5"/>
      <c r="N11463" s="5"/>
      <c r="O11463" s="5"/>
      <c r="P11463" s="5"/>
      <c r="Q11463" s="5"/>
      <c r="R11463" s="5"/>
      <c r="S11463" s="5"/>
      <c r="T11463" s="5"/>
      <c r="U11463" s="5"/>
      <c r="V11463" s="5"/>
      <c r="W11463" s="5"/>
      <c r="X11463" s="5"/>
      <c r="Y11463" s="5"/>
      <c r="Z11463" s="5"/>
    </row>
    <row r="11464" spans="1:26" ht="15" x14ac:dyDescent="0.25">
      <c r="A11464" s="4" t="s">
        <v>11461</v>
      </c>
      <c r="B11464" s="4" t="s">
        <v>9011</v>
      </c>
      <c r="C11464" s="2" t="str">
        <f ca="1">IFERROR(__xludf.DUMMYFUNCTION("GOOGLETRANSLATE(A11464,""bn"",""en"")"),"I will attend the meeting")</f>
        <v>I will attend the meeting</v>
      </c>
      <c r="D11464" s="5"/>
      <c r="E11464" s="5"/>
      <c r="F11464" s="5"/>
      <c r="G11464" s="5"/>
      <c r="H11464" s="5"/>
      <c r="I11464" s="5"/>
      <c r="J11464" s="5"/>
      <c r="K11464" s="5"/>
      <c r="L11464" s="5"/>
      <c r="M11464" s="5"/>
      <c r="N11464" s="5"/>
      <c r="O11464" s="5"/>
      <c r="P11464" s="5"/>
      <c r="Q11464" s="5"/>
      <c r="R11464" s="5"/>
      <c r="S11464" s="5"/>
      <c r="T11464" s="5"/>
      <c r="U11464" s="5"/>
      <c r="V11464" s="5"/>
      <c r="W11464" s="5"/>
      <c r="X11464" s="5"/>
      <c r="Y11464" s="5"/>
      <c r="Z11464" s="5"/>
    </row>
    <row r="11465" spans="1:26" ht="15" x14ac:dyDescent="0.25">
      <c r="A11465" s="4" t="s">
        <v>11462</v>
      </c>
      <c r="B11465" s="4" t="s">
        <v>9011</v>
      </c>
      <c r="C11465" s="2" t="str">
        <f ca="1">IFERROR(__xludf.DUMMYFUNCTION("GOOGLETRANSLATE(A11465,""bn"",""en"")"),"I will read books in this book")</f>
        <v>I will read books in this book</v>
      </c>
      <c r="D11465" s="5"/>
      <c r="E11465" s="5"/>
      <c r="F11465" s="5"/>
      <c r="G11465" s="5"/>
      <c r="H11465" s="5"/>
      <c r="I11465" s="5"/>
      <c r="J11465" s="5"/>
      <c r="K11465" s="5"/>
      <c r="L11465" s="5"/>
      <c r="M11465" s="5"/>
      <c r="N11465" s="5"/>
      <c r="O11465" s="5"/>
      <c r="P11465" s="5"/>
      <c r="Q11465" s="5"/>
      <c r="R11465" s="5"/>
      <c r="S11465" s="5"/>
      <c r="T11465" s="5"/>
      <c r="U11465" s="5"/>
      <c r="V11465" s="5"/>
      <c r="W11465" s="5"/>
      <c r="X11465" s="5"/>
      <c r="Y11465" s="5"/>
      <c r="Z11465" s="5"/>
    </row>
    <row r="11466" spans="1:26" ht="15" x14ac:dyDescent="0.25">
      <c r="A11466" s="4" t="s">
        <v>11463</v>
      </c>
      <c r="B11466" s="4" t="s">
        <v>9011</v>
      </c>
      <c r="C11466" s="2" t="str">
        <f ca="1">IFERROR(__xludf.DUMMYFUNCTION("GOOGLETRANSLATE(A11466,""bn"",""en"")"),"Travel memory will increase")</f>
        <v>Travel memory will increase</v>
      </c>
      <c r="D11466" s="5"/>
      <c r="E11466" s="5"/>
      <c r="F11466" s="5"/>
      <c r="G11466" s="5"/>
      <c r="H11466" s="5"/>
      <c r="I11466" s="5"/>
      <c r="J11466" s="5"/>
      <c r="K11466" s="5"/>
      <c r="L11466" s="5"/>
      <c r="M11466" s="5"/>
      <c r="N11466" s="5"/>
      <c r="O11466" s="5"/>
      <c r="P11466" s="5"/>
      <c r="Q11466" s="5"/>
      <c r="R11466" s="5"/>
      <c r="S11466" s="5"/>
      <c r="T11466" s="5"/>
      <c r="U11466" s="5"/>
      <c r="V11466" s="5"/>
      <c r="W11466" s="5"/>
      <c r="X11466" s="5"/>
      <c r="Y11466" s="5"/>
      <c r="Z11466" s="5"/>
    </row>
    <row r="11467" spans="1:26" ht="15" x14ac:dyDescent="0.25">
      <c r="A11467" s="4" t="s">
        <v>11464</v>
      </c>
      <c r="B11467" s="4" t="s">
        <v>9011</v>
      </c>
      <c r="C11467" s="2" t="str">
        <f ca="1">IFERROR(__xludf.DUMMYFUNCTION("GOOGLETRANSLATE(A11467,""bn"",""en"")"),"The library will be installed")</f>
        <v>The library will be installed</v>
      </c>
      <c r="D11467" s="5"/>
      <c r="E11467" s="5"/>
      <c r="F11467" s="5"/>
      <c r="G11467" s="5"/>
      <c r="H11467" s="5"/>
      <c r="I11467" s="5"/>
      <c r="J11467" s="5"/>
      <c r="K11467" s="5"/>
      <c r="L11467" s="5"/>
      <c r="M11467" s="5"/>
      <c r="N11467" s="5"/>
      <c r="O11467" s="5"/>
      <c r="P11467" s="5"/>
      <c r="Q11467" s="5"/>
      <c r="R11467" s="5"/>
      <c r="S11467" s="5"/>
      <c r="T11467" s="5"/>
      <c r="U11467" s="5"/>
      <c r="V11467" s="5"/>
      <c r="W11467" s="5"/>
      <c r="X11467" s="5"/>
      <c r="Y11467" s="5"/>
      <c r="Z11467" s="5"/>
    </row>
    <row r="11468" spans="1:26" ht="15" x14ac:dyDescent="0.25">
      <c r="A11468" s="4" t="s">
        <v>11465</v>
      </c>
      <c r="B11468" s="4" t="s">
        <v>9011</v>
      </c>
      <c r="C11468" s="2" t="str">
        <f ca="1">IFERROR(__xludf.DUMMYFUNCTION("GOOGLETRANSLATE(A11468,""bn"",""en"")"),"Let's start by installing the library")</f>
        <v>Let's start by installing the library</v>
      </c>
      <c r="D11468" s="5"/>
      <c r="E11468" s="5"/>
      <c r="F11468" s="5"/>
      <c r="G11468" s="5"/>
      <c r="H11468" s="5"/>
      <c r="I11468" s="5"/>
      <c r="J11468" s="5"/>
      <c r="K11468" s="5"/>
      <c r="L11468" s="5"/>
      <c r="M11468" s="5"/>
      <c r="N11468" s="5"/>
      <c r="O11468" s="5"/>
      <c r="P11468" s="5"/>
      <c r="Q11468" s="5"/>
      <c r="R11468" s="5"/>
      <c r="S11468" s="5"/>
      <c r="T11468" s="5"/>
      <c r="U11468" s="5"/>
      <c r="V11468" s="5"/>
      <c r="W11468" s="5"/>
      <c r="X11468" s="5"/>
      <c r="Y11468" s="5"/>
      <c r="Z11468" s="5"/>
    </row>
    <row r="11469" spans="1:26" ht="15" x14ac:dyDescent="0.25">
      <c r="A11469" s="4" t="s">
        <v>11466</v>
      </c>
      <c r="B11469" s="4" t="s">
        <v>9011</v>
      </c>
      <c r="C11469" s="2" t="str">
        <f ca="1">IFERROR(__xludf.DUMMYFUNCTION("GOOGLETRANSLATE(A11469,""bn"",""en"")"),"I will write the bank account")</f>
        <v>I will write the bank account</v>
      </c>
      <c r="D11469" s="5"/>
      <c r="E11469" s="5"/>
      <c r="F11469" s="5"/>
      <c r="G11469" s="5"/>
      <c r="H11469" s="5"/>
      <c r="I11469" s="5"/>
      <c r="J11469" s="5"/>
      <c r="K11469" s="5"/>
      <c r="L11469" s="5"/>
      <c r="M11469" s="5"/>
      <c r="N11469" s="5"/>
      <c r="O11469" s="5"/>
      <c r="P11469" s="5"/>
      <c r="Q11469" s="5"/>
      <c r="R11469" s="5"/>
      <c r="S11469" s="5"/>
      <c r="T11469" s="5"/>
      <c r="U11469" s="5"/>
      <c r="V11469" s="5"/>
      <c r="W11469" s="5"/>
      <c r="X11469" s="5"/>
      <c r="Y11469" s="5"/>
      <c r="Z11469" s="5"/>
    </row>
    <row r="11470" spans="1:26" ht="15" x14ac:dyDescent="0.25">
      <c r="A11470" s="4" t="s">
        <v>11467</v>
      </c>
      <c r="B11470" s="4" t="s">
        <v>9011</v>
      </c>
      <c r="C11470" s="2" t="str">
        <f ca="1">IFERROR(__xludf.DUMMYFUNCTION("GOOGLETRANSLATE(A11470,""bn"",""en"")"),"I will be in peace")</f>
        <v>I will be in peace</v>
      </c>
      <c r="D11470" s="5"/>
      <c r="E11470" s="5"/>
      <c r="F11470" s="5"/>
      <c r="G11470" s="5"/>
      <c r="H11470" s="5"/>
      <c r="I11470" s="5"/>
      <c r="J11470" s="5"/>
      <c r="K11470" s="5"/>
      <c r="L11470" s="5"/>
      <c r="M11470" s="5"/>
      <c r="N11470" s="5"/>
      <c r="O11470" s="5"/>
      <c r="P11470" s="5"/>
      <c r="Q11470" s="5"/>
      <c r="R11470" s="5"/>
      <c r="S11470" s="5"/>
      <c r="T11470" s="5"/>
      <c r="U11470" s="5"/>
      <c r="V11470" s="5"/>
      <c r="W11470" s="5"/>
      <c r="X11470" s="5"/>
      <c r="Y11470" s="5"/>
      <c r="Z11470" s="5"/>
    </row>
    <row r="11471" spans="1:26" ht="15" x14ac:dyDescent="0.25">
      <c r="A11471" s="4" t="s">
        <v>11468</v>
      </c>
      <c r="B11471" s="4" t="s">
        <v>9011</v>
      </c>
      <c r="C11471" s="2" t="str">
        <f ca="1">IFERROR(__xludf.DUMMYFUNCTION("GOOGLETRANSLATE(A11471,""bn"",""en"")"),"You will have juice")</f>
        <v>You will have juice</v>
      </c>
      <c r="D11471" s="5"/>
      <c r="E11471" s="5"/>
      <c r="F11471" s="5"/>
      <c r="G11471" s="5"/>
      <c r="H11471" s="5"/>
      <c r="I11471" s="5"/>
      <c r="J11471" s="5"/>
      <c r="K11471" s="5"/>
      <c r="L11471" s="5"/>
      <c r="M11471" s="5"/>
      <c r="N11471" s="5"/>
      <c r="O11471" s="5"/>
      <c r="P11471" s="5"/>
      <c r="Q11471" s="5"/>
      <c r="R11471" s="5"/>
      <c r="S11471" s="5"/>
      <c r="T11471" s="5"/>
      <c r="U11471" s="5"/>
      <c r="V11471" s="5"/>
      <c r="W11471" s="5"/>
      <c r="X11471" s="5"/>
      <c r="Y11471" s="5"/>
      <c r="Z11471" s="5"/>
    </row>
    <row r="11472" spans="1:26" ht="15" x14ac:dyDescent="0.25">
      <c r="A11472" s="4" t="s">
        <v>11469</v>
      </c>
      <c r="B11472" s="4" t="s">
        <v>9011</v>
      </c>
      <c r="C11472" s="2" t="str">
        <f ca="1">IFERROR(__xludf.DUMMYFUNCTION("GOOGLETRANSLATE(A11472,""bn"",""en"")"),"save")</f>
        <v>save</v>
      </c>
      <c r="D11472" s="5"/>
      <c r="E11472" s="5"/>
      <c r="F11472" s="5"/>
      <c r="G11472" s="5"/>
      <c r="H11472" s="5"/>
      <c r="I11472" s="5"/>
      <c r="J11472" s="5"/>
      <c r="K11472" s="5"/>
      <c r="L11472" s="5"/>
      <c r="M11472" s="5"/>
      <c r="N11472" s="5"/>
      <c r="O11472" s="5"/>
      <c r="P11472" s="5"/>
      <c r="Q11472" s="5"/>
      <c r="R11472" s="5"/>
      <c r="S11472" s="5"/>
      <c r="T11472" s="5"/>
      <c r="U11472" s="5"/>
      <c r="V11472" s="5"/>
      <c r="W11472" s="5"/>
      <c r="X11472" s="5"/>
      <c r="Y11472" s="5"/>
      <c r="Z11472" s="5"/>
    </row>
    <row r="11473" spans="1:26" ht="15" x14ac:dyDescent="0.25">
      <c r="A11473" s="4" t="s">
        <v>11470</v>
      </c>
      <c r="B11473" s="4" t="s">
        <v>9011</v>
      </c>
      <c r="C11473" s="2" t="str">
        <f ca="1">IFERROR(__xludf.DUMMYFUNCTION("GOOGLETRANSLATE(A11473,""bn"",""en"")"),"Tools will be used")</f>
        <v>Tools will be used</v>
      </c>
      <c r="D11473" s="5"/>
      <c r="E11473" s="5"/>
      <c r="F11473" s="5"/>
      <c r="G11473" s="5"/>
      <c r="H11473" s="5"/>
      <c r="I11473" s="5"/>
      <c r="J11473" s="5"/>
      <c r="K11473" s="5"/>
      <c r="L11473" s="5"/>
      <c r="M11473" s="5"/>
      <c r="N11473" s="5"/>
      <c r="O11473" s="5"/>
      <c r="P11473" s="5"/>
      <c r="Q11473" s="5"/>
      <c r="R11473" s="5"/>
      <c r="S11473" s="5"/>
      <c r="T11473" s="5"/>
      <c r="U11473" s="5"/>
      <c r="V11473" s="5"/>
      <c r="W11473" s="5"/>
      <c r="X11473" s="5"/>
      <c r="Y11473" s="5"/>
      <c r="Z11473" s="5"/>
    </row>
    <row r="11474" spans="1:26" ht="15" x14ac:dyDescent="0.25">
      <c r="A11474" s="4" t="s">
        <v>11471</v>
      </c>
      <c r="B11474" s="4" t="s">
        <v>9011</v>
      </c>
      <c r="C11474" s="2" t="str">
        <f ca="1">IFERROR(__xludf.DUMMYFUNCTION("GOOGLETRANSLATE(A11474,""bn"",""en"")"),"The package will be installed")</f>
        <v>The package will be installed</v>
      </c>
      <c r="D11474" s="5"/>
      <c r="E11474" s="5"/>
      <c r="F11474" s="5"/>
      <c r="G11474" s="5"/>
      <c r="H11474" s="5"/>
      <c r="I11474" s="5"/>
      <c r="J11474" s="5"/>
      <c r="K11474" s="5"/>
      <c r="L11474" s="5"/>
      <c r="M11474" s="5"/>
      <c r="N11474" s="5"/>
      <c r="O11474" s="5"/>
      <c r="P11474" s="5"/>
      <c r="Q11474" s="5"/>
      <c r="R11474" s="5"/>
      <c r="S11474" s="5"/>
      <c r="T11474" s="5"/>
      <c r="U11474" s="5"/>
      <c r="V11474" s="5"/>
      <c r="W11474" s="5"/>
      <c r="X11474" s="5"/>
      <c r="Y11474" s="5"/>
      <c r="Z11474" s="5"/>
    </row>
    <row r="11475" spans="1:26" ht="15" x14ac:dyDescent="0.25">
      <c r="A11475" s="4" t="s">
        <v>11472</v>
      </c>
      <c r="B11475" s="4" t="s">
        <v>9011</v>
      </c>
      <c r="C11475" s="2" t="str">
        <f ca="1">IFERROR(__xludf.DUMMYFUNCTION("GOOGLETRANSLATE(A11475,""bn"",""en"")"),"Install the package and let me know")</f>
        <v>Install the package and let me know</v>
      </c>
      <c r="D11475" s="5"/>
      <c r="E11475" s="5"/>
      <c r="F11475" s="5"/>
      <c r="G11475" s="5"/>
      <c r="H11475" s="5"/>
      <c r="I11475" s="5"/>
      <c r="J11475" s="5"/>
      <c r="K11475" s="5"/>
      <c r="L11475" s="5"/>
      <c r="M11475" s="5"/>
      <c r="N11475" s="5"/>
      <c r="O11475" s="5"/>
      <c r="P11475" s="5"/>
      <c r="Q11475" s="5"/>
      <c r="R11475" s="5"/>
      <c r="S11475" s="5"/>
      <c r="T11475" s="5"/>
      <c r="U11475" s="5"/>
      <c r="V11475" s="5"/>
      <c r="W11475" s="5"/>
      <c r="X11475" s="5"/>
      <c r="Y11475" s="5"/>
      <c r="Z11475" s="5"/>
    </row>
    <row r="11476" spans="1:26" ht="15" x14ac:dyDescent="0.25">
      <c r="A11476" s="4" t="s">
        <v>11473</v>
      </c>
      <c r="B11476" s="4" t="s">
        <v>9011</v>
      </c>
      <c r="C11476" s="2" t="str">
        <f ca="1">IFERROR(__xludf.DUMMYFUNCTION("GOOGLETRANSLATE(A11476,""bn"",""en"")"),"I will see improvement")</f>
        <v>I will see improvement</v>
      </c>
      <c r="D11476" s="5"/>
      <c r="E11476" s="5"/>
      <c r="F11476" s="5"/>
      <c r="G11476" s="5"/>
      <c r="H11476" s="5"/>
      <c r="I11476" s="5"/>
      <c r="J11476" s="5"/>
      <c r="K11476" s="5"/>
      <c r="L11476" s="5"/>
      <c r="M11476" s="5"/>
      <c r="N11476" s="5"/>
      <c r="O11476" s="5"/>
      <c r="P11476" s="5"/>
      <c r="Q11476" s="5"/>
      <c r="R11476" s="5"/>
      <c r="S11476" s="5"/>
      <c r="T11476" s="5"/>
      <c r="U11476" s="5"/>
      <c r="V11476" s="5"/>
      <c r="W11476" s="5"/>
      <c r="X11476" s="5"/>
      <c r="Y11476" s="5"/>
      <c r="Z11476" s="5"/>
    </row>
    <row r="11477" spans="1:26" ht="15" x14ac:dyDescent="0.25">
      <c r="A11477" s="4" t="s">
        <v>11474</v>
      </c>
      <c r="B11477" s="4" t="s">
        <v>9011</v>
      </c>
      <c r="C11477" s="2" t="str">
        <f ca="1">IFERROR(__xludf.DUMMYFUNCTION("GOOGLETRANSLATE(A11477,""bn"",""en"")"),"Will continue to exchange")</f>
        <v>Will continue to exchange</v>
      </c>
      <c r="D11477" s="5"/>
      <c r="E11477" s="5"/>
      <c r="F11477" s="5"/>
      <c r="G11477" s="5"/>
      <c r="H11477" s="5"/>
      <c r="I11477" s="5"/>
      <c r="J11477" s="5"/>
      <c r="K11477" s="5"/>
      <c r="L11477" s="5"/>
      <c r="M11477" s="5"/>
      <c r="N11477" s="5"/>
      <c r="O11477" s="5"/>
      <c r="P11477" s="5"/>
      <c r="Q11477" s="5"/>
      <c r="R11477" s="5"/>
      <c r="S11477" s="5"/>
      <c r="T11477" s="5"/>
      <c r="U11477" s="5"/>
      <c r="V11477" s="5"/>
      <c r="W11477" s="5"/>
      <c r="X11477" s="5"/>
      <c r="Y11477" s="5"/>
      <c r="Z11477" s="5"/>
    </row>
    <row r="11478" spans="1:26" ht="15" x14ac:dyDescent="0.25">
      <c r="A11478" s="4" t="s">
        <v>11475</v>
      </c>
      <c r="B11478" s="4" t="s">
        <v>9011</v>
      </c>
      <c r="C11478" s="2" t="str">
        <f ca="1">IFERROR(__xludf.DUMMYFUNCTION("GOOGLETRANSLATE(A11478,""bn"",""en"")"),"Music will be released")</f>
        <v>Music will be released</v>
      </c>
      <c r="D11478" s="5"/>
      <c r="E11478" s="5"/>
      <c r="F11478" s="5"/>
      <c r="G11478" s="5"/>
      <c r="H11478" s="5"/>
      <c r="I11478" s="5"/>
      <c r="J11478" s="5"/>
      <c r="K11478" s="5"/>
      <c r="L11478" s="5"/>
      <c r="M11478" s="5"/>
      <c r="N11478" s="5"/>
      <c r="O11478" s="5"/>
      <c r="P11478" s="5"/>
      <c r="Q11478" s="5"/>
      <c r="R11478" s="5"/>
      <c r="S11478" s="5"/>
      <c r="T11478" s="5"/>
      <c r="U11478" s="5"/>
      <c r="V11478" s="5"/>
      <c r="W11478" s="5"/>
      <c r="X11478" s="5"/>
      <c r="Y11478" s="5"/>
      <c r="Z11478" s="5"/>
    </row>
    <row r="11479" spans="1:26" ht="15" x14ac:dyDescent="0.25">
      <c r="A11479" s="4" t="s">
        <v>11476</v>
      </c>
      <c r="B11479" s="4" t="s">
        <v>9011</v>
      </c>
      <c r="C11479" s="2" t="str">
        <f ca="1">IFERROR(__xludf.DUMMYFUNCTION("GOOGLETRANSLATE(A11479,""bn"",""en"")"),"I will take refuge in education")</f>
        <v>I will take refuge in education</v>
      </c>
      <c r="D11479" s="5"/>
      <c r="E11479" s="5"/>
      <c r="F11479" s="5"/>
      <c r="G11479" s="5"/>
      <c r="H11479" s="5"/>
      <c r="I11479" s="5"/>
      <c r="J11479" s="5"/>
      <c r="K11479" s="5"/>
      <c r="L11479" s="5"/>
      <c r="M11479" s="5"/>
      <c r="N11479" s="5"/>
      <c r="O11479" s="5"/>
      <c r="P11479" s="5"/>
      <c r="Q11479" s="5"/>
      <c r="R11479" s="5"/>
      <c r="S11479" s="5"/>
      <c r="T11479" s="5"/>
      <c r="U11479" s="5"/>
      <c r="V11479" s="5"/>
      <c r="W11479" s="5"/>
      <c r="X11479" s="5"/>
      <c r="Y11479" s="5"/>
      <c r="Z11479" s="5"/>
    </row>
    <row r="11480" spans="1:26" ht="15" x14ac:dyDescent="0.25">
      <c r="A11480" s="4" t="s">
        <v>11477</v>
      </c>
      <c r="B11480" s="4" t="s">
        <v>9011</v>
      </c>
      <c r="C11480" s="2" t="str">
        <f ca="1">IFERROR(__xludf.DUMMYFUNCTION("GOOGLETRANSLATE(A11480,""bn"",""en"")"),"Will watch the game")</f>
        <v>Will watch the game</v>
      </c>
      <c r="D11480" s="5"/>
      <c r="E11480" s="5"/>
      <c r="F11480" s="5"/>
      <c r="G11480" s="5"/>
      <c r="H11480" s="5"/>
      <c r="I11480" s="5"/>
      <c r="J11480" s="5"/>
      <c r="K11480" s="5"/>
      <c r="L11480" s="5"/>
      <c r="M11480" s="5"/>
      <c r="N11480" s="5"/>
      <c r="O11480" s="5"/>
      <c r="P11480" s="5"/>
      <c r="Q11480" s="5"/>
      <c r="R11480" s="5"/>
      <c r="S11480" s="5"/>
      <c r="T11480" s="5"/>
      <c r="U11480" s="5"/>
      <c r="V11480" s="5"/>
      <c r="W11480" s="5"/>
      <c r="X11480" s="5"/>
      <c r="Y11480" s="5"/>
      <c r="Z11480" s="5"/>
    </row>
    <row r="11481" spans="1:26" ht="15" x14ac:dyDescent="0.25">
      <c r="A11481" s="4" t="s">
        <v>11478</v>
      </c>
      <c r="B11481" s="4" t="s">
        <v>9011</v>
      </c>
      <c r="C11481" s="2" t="str">
        <f ca="1">IFERROR(__xludf.DUMMYFUNCTION("GOOGLETRANSLATE(A11481,""bn"",""en"")"),"You will get the tune")</f>
        <v>You will get the tune</v>
      </c>
      <c r="D11481" s="5"/>
      <c r="E11481" s="5"/>
      <c r="F11481" s="5"/>
      <c r="G11481" s="5"/>
      <c r="H11481" s="5"/>
      <c r="I11481" s="5"/>
      <c r="J11481" s="5"/>
      <c r="K11481" s="5"/>
      <c r="L11481" s="5"/>
      <c r="M11481" s="5"/>
      <c r="N11481" s="5"/>
      <c r="O11481" s="5"/>
      <c r="P11481" s="5"/>
      <c r="Q11481" s="5"/>
      <c r="R11481" s="5"/>
      <c r="S11481" s="5"/>
      <c r="T11481" s="5"/>
      <c r="U11481" s="5"/>
      <c r="V11481" s="5"/>
      <c r="W11481" s="5"/>
      <c r="X11481" s="5"/>
      <c r="Y11481" s="5"/>
      <c r="Z11481" s="5"/>
    </row>
    <row r="11482" spans="1:26" ht="15" x14ac:dyDescent="0.25">
      <c r="A11482" s="4" t="s">
        <v>11479</v>
      </c>
      <c r="B11482" s="4" t="s">
        <v>9011</v>
      </c>
      <c r="C11482" s="2" t="str">
        <f ca="1">IFERROR(__xludf.DUMMYFUNCTION("GOOGLETRANSLATE(A11482,""bn"",""en"")"),"I will eat sweet milk")</f>
        <v>I will eat sweet milk</v>
      </c>
      <c r="D11482" s="5"/>
      <c r="E11482" s="5"/>
      <c r="F11482" s="5"/>
      <c r="G11482" s="5"/>
      <c r="H11482" s="5"/>
      <c r="I11482" s="5"/>
      <c r="J11482" s="5"/>
      <c r="K11482" s="5"/>
      <c r="L11482" s="5"/>
      <c r="M11482" s="5"/>
      <c r="N11482" s="5"/>
      <c r="O11482" s="5"/>
      <c r="P11482" s="5"/>
      <c r="Q11482" s="5"/>
      <c r="R11482" s="5"/>
      <c r="S11482" s="5"/>
      <c r="T11482" s="5"/>
      <c r="U11482" s="5"/>
      <c r="V11482" s="5"/>
      <c r="W11482" s="5"/>
      <c r="X11482" s="5"/>
      <c r="Y11482" s="5"/>
      <c r="Z11482" s="5"/>
    </row>
    <row r="11483" spans="1:26" ht="15" x14ac:dyDescent="0.25">
      <c r="A11483" s="4" t="s">
        <v>11480</v>
      </c>
      <c r="B11483" s="4" t="s">
        <v>9011</v>
      </c>
      <c r="C11483" s="2" t="str">
        <f ca="1">IFERROR(__xludf.DUMMYFUNCTION("GOOGLETRANSLATE(A11483,""bn"",""en"")"),"Rocket will be sent")</f>
        <v>Rocket will be sent</v>
      </c>
      <c r="D11483" s="5"/>
      <c r="E11483" s="5"/>
      <c r="F11483" s="5"/>
      <c r="G11483" s="5"/>
      <c r="H11483" s="5"/>
      <c r="I11483" s="5"/>
      <c r="J11483" s="5"/>
      <c r="K11483" s="5"/>
      <c r="L11483" s="5"/>
      <c r="M11483" s="5"/>
      <c r="N11483" s="5"/>
      <c r="O11483" s="5"/>
      <c r="P11483" s="5"/>
      <c r="Q11483" s="5"/>
      <c r="R11483" s="5"/>
      <c r="S11483" s="5"/>
      <c r="T11483" s="5"/>
      <c r="U11483" s="5"/>
      <c r="V11483" s="5"/>
      <c r="W11483" s="5"/>
      <c r="X11483" s="5"/>
      <c r="Y11483" s="5"/>
      <c r="Z11483" s="5"/>
    </row>
    <row r="11484" spans="1:26" ht="15" x14ac:dyDescent="0.25">
      <c r="A11484" s="4" t="s">
        <v>11481</v>
      </c>
      <c r="B11484" s="4" t="s">
        <v>9011</v>
      </c>
      <c r="C11484" s="2" t="str">
        <f ca="1">IFERROR(__xludf.DUMMYFUNCTION("GOOGLETRANSLATE(A11484,""bn"",""en"")"),"The song will be sung in a sweet voice")</f>
        <v>The song will be sung in a sweet voice</v>
      </c>
      <c r="D11484" s="5"/>
      <c r="E11484" s="5"/>
      <c r="F11484" s="5"/>
      <c r="G11484" s="5"/>
      <c r="H11484" s="5"/>
      <c r="I11484" s="5"/>
      <c r="J11484" s="5"/>
      <c r="K11484" s="5"/>
      <c r="L11484" s="5"/>
      <c r="M11484" s="5"/>
      <c r="N11484" s="5"/>
      <c r="O11484" s="5"/>
      <c r="P11484" s="5"/>
      <c r="Q11484" s="5"/>
      <c r="R11484" s="5"/>
      <c r="S11484" s="5"/>
      <c r="T11484" s="5"/>
      <c r="U11484" s="5"/>
      <c r="V11484" s="5"/>
      <c r="W11484" s="5"/>
      <c r="X11484" s="5"/>
      <c r="Y11484" s="5"/>
      <c r="Z11484" s="5"/>
    </row>
    <row r="11485" spans="1:26" ht="15" x14ac:dyDescent="0.25">
      <c r="A11485" s="4" t="s">
        <v>11482</v>
      </c>
      <c r="B11485" s="4" t="s">
        <v>9011</v>
      </c>
      <c r="C11485" s="2" t="str">
        <f ca="1">IFERROR(__xludf.DUMMYFUNCTION("GOOGLETRANSLATE(A11485,""bn"",""en"")"),"The server will connect")</f>
        <v>The server will connect</v>
      </c>
      <c r="D11485" s="5"/>
      <c r="E11485" s="5"/>
      <c r="F11485" s="5"/>
      <c r="G11485" s="5"/>
      <c r="H11485" s="5"/>
      <c r="I11485" s="5"/>
      <c r="J11485" s="5"/>
      <c r="K11485" s="5"/>
      <c r="L11485" s="5"/>
      <c r="M11485" s="5"/>
      <c r="N11485" s="5"/>
      <c r="O11485" s="5"/>
      <c r="P11485" s="5"/>
      <c r="Q11485" s="5"/>
      <c r="R11485" s="5"/>
      <c r="S11485" s="5"/>
      <c r="T11485" s="5"/>
      <c r="U11485" s="5"/>
      <c r="V11485" s="5"/>
      <c r="W11485" s="5"/>
      <c r="X11485" s="5"/>
      <c r="Y11485" s="5"/>
      <c r="Z11485" s="5"/>
    </row>
    <row r="11486" spans="1:26" ht="15" x14ac:dyDescent="0.25">
      <c r="A11486" s="4" t="s">
        <v>11483</v>
      </c>
      <c r="B11486" s="4" t="s">
        <v>9011</v>
      </c>
      <c r="C11486" s="2" t="str">
        <f ca="1">IFERROR(__xludf.DUMMYFUNCTION("GOOGLETRANSLATE(A11486,""bn"",""en"")"),"I will enjoy the trip")</f>
        <v>I will enjoy the trip</v>
      </c>
      <c r="D11486" s="5"/>
      <c r="E11486" s="5"/>
      <c r="F11486" s="5"/>
      <c r="G11486" s="5"/>
      <c r="H11486" s="5"/>
      <c r="I11486" s="5"/>
      <c r="J11486" s="5"/>
      <c r="K11486" s="5"/>
      <c r="L11486" s="5"/>
      <c r="M11486" s="5"/>
      <c r="N11486" s="5"/>
      <c r="O11486" s="5"/>
      <c r="P11486" s="5"/>
      <c r="Q11486" s="5"/>
      <c r="R11486" s="5"/>
      <c r="S11486" s="5"/>
      <c r="T11486" s="5"/>
      <c r="U11486" s="5"/>
      <c r="V11486" s="5"/>
      <c r="W11486" s="5"/>
      <c r="X11486" s="5"/>
      <c r="Y11486" s="5"/>
      <c r="Z11486" s="5"/>
    </row>
    <row r="11487" spans="1:26" ht="15" x14ac:dyDescent="0.25">
      <c r="A11487" s="4" t="s">
        <v>11484</v>
      </c>
      <c r="B11487" s="4" t="s">
        <v>9011</v>
      </c>
      <c r="C11487" s="2" t="str">
        <f ca="1">IFERROR(__xludf.DUMMYFUNCTION("GOOGLETRANSLATE(A11487,""bn"",""en"")"),"I will install topology in the office")</f>
        <v>I will install topology in the office</v>
      </c>
      <c r="D11487" s="5"/>
      <c r="E11487" s="5"/>
      <c r="F11487" s="5"/>
      <c r="G11487" s="5"/>
      <c r="H11487" s="5"/>
      <c r="I11487" s="5"/>
      <c r="J11487" s="5"/>
      <c r="K11487" s="5"/>
      <c r="L11487" s="5"/>
      <c r="M11487" s="5"/>
      <c r="N11487" s="5"/>
      <c r="O11487" s="5"/>
      <c r="P11487" s="5"/>
      <c r="Q11487" s="5"/>
      <c r="R11487" s="5"/>
      <c r="S11487" s="5"/>
      <c r="T11487" s="5"/>
      <c r="U11487" s="5"/>
      <c r="V11487" s="5"/>
      <c r="W11487" s="5"/>
      <c r="X11487" s="5"/>
      <c r="Y11487" s="5"/>
      <c r="Z11487" s="5"/>
    </row>
    <row r="11488" spans="1:26" ht="15" x14ac:dyDescent="0.25">
      <c r="A11488" s="4" t="s">
        <v>11485</v>
      </c>
      <c r="B11488" s="4" t="s">
        <v>9011</v>
      </c>
      <c r="C11488" s="2" t="str">
        <f ca="1">IFERROR(__xludf.DUMMYFUNCTION("GOOGLETRANSLATE(A11488,""bn"",""en"")"),"Exercise will be done")</f>
        <v>Exercise will be done</v>
      </c>
      <c r="D11488" s="5"/>
      <c r="E11488" s="5"/>
      <c r="F11488" s="5"/>
      <c r="G11488" s="5"/>
      <c r="H11488" s="5"/>
      <c r="I11488" s="5"/>
      <c r="J11488" s="5"/>
      <c r="K11488" s="5"/>
      <c r="L11488" s="5"/>
      <c r="M11488" s="5"/>
      <c r="N11488" s="5"/>
      <c r="O11488" s="5"/>
      <c r="P11488" s="5"/>
      <c r="Q11488" s="5"/>
      <c r="R11488" s="5"/>
      <c r="S11488" s="5"/>
      <c r="T11488" s="5"/>
      <c r="U11488" s="5"/>
      <c r="V11488" s="5"/>
      <c r="W11488" s="5"/>
      <c r="X11488" s="5"/>
      <c r="Y11488" s="5"/>
      <c r="Z11488" s="5"/>
    </row>
    <row r="11489" spans="1:26" ht="15" x14ac:dyDescent="0.25">
      <c r="A11489" s="4" t="s">
        <v>11486</v>
      </c>
      <c r="B11489" s="4" t="s">
        <v>9011</v>
      </c>
      <c r="C11489" s="2" t="str">
        <f ca="1">IFERROR(__xludf.DUMMYFUNCTION("GOOGLETRANSLATE(A11489,""bn"",""en"")"),"It will be good practice")</f>
        <v>It will be good practice</v>
      </c>
      <c r="D11489" s="5"/>
      <c r="E11489" s="5"/>
      <c r="F11489" s="5"/>
      <c r="G11489" s="5"/>
      <c r="H11489" s="5"/>
      <c r="I11489" s="5"/>
      <c r="J11489" s="5"/>
      <c r="K11489" s="5"/>
      <c r="L11489" s="5"/>
      <c r="M11489" s="5"/>
      <c r="N11489" s="5"/>
      <c r="O11489" s="5"/>
      <c r="P11489" s="5"/>
      <c r="Q11489" s="5"/>
      <c r="R11489" s="5"/>
      <c r="S11489" s="5"/>
      <c r="T11489" s="5"/>
      <c r="U11489" s="5"/>
      <c r="V11489" s="5"/>
      <c r="W11489" s="5"/>
      <c r="X11489" s="5"/>
      <c r="Y11489" s="5"/>
      <c r="Z11489" s="5"/>
    </row>
    <row r="11490" spans="1:26" ht="15" x14ac:dyDescent="0.25">
      <c r="A11490" s="4" t="s">
        <v>11487</v>
      </c>
      <c r="B11490" s="4" t="s">
        <v>9011</v>
      </c>
      <c r="C11490" s="2" t="str">
        <f ca="1">IFERROR(__xludf.DUMMYFUNCTION("GOOGLETRANSLATE(A11490,""bn"",""en"")"),"I will continue to pass")</f>
        <v>I will continue to pass</v>
      </c>
      <c r="D11490" s="5"/>
      <c r="E11490" s="5"/>
      <c r="F11490" s="5"/>
      <c r="G11490" s="5"/>
      <c r="H11490" s="5"/>
      <c r="I11490" s="5"/>
      <c r="J11490" s="5"/>
      <c r="K11490" s="5"/>
      <c r="L11490" s="5"/>
      <c r="M11490" s="5"/>
      <c r="N11490" s="5"/>
      <c r="O11490" s="5"/>
      <c r="P11490" s="5"/>
      <c r="Q11490" s="5"/>
      <c r="R11490" s="5"/>
      <c r="S11490" s="5"/>
      <c r="T11490" s="5"/>
      <c r="U11490" s="5"/>
      <c r="V11490" s="5"/>
      <c r="W11490" s="5"/>
      <c r="X11490" s="5"/>
      <c r="Y11490" s="5"/>
      <c r="Z11490" s="5"/>
    </row>
    <row r="11491" spans="1:26" ht="15" x14ac:dyDescent="0.25">
      <c r="A11491" s="4" t="s">
        <v>11488</v>
      </c>
      <c r="B11491" s="4" t="s">
        <v>9011</v>
      </c>
      <c r="C11491" s="2" t="str">
        <f ca="1">IFERROR(__xludf.DUMMYFUNCTION("GOOGLETRANSLATE(A11491,""bn"",""en"")"),"wikipedia info pub")</f>
        <v>wikipedia info pub</v>
      </c>
      <c r="D11491" s="5"/>
      <c r="E11491" s="5"/>
      <c r="F11491" s="5"/>
      <c r="G11491" s="5"/>
      <c r="H11491" s="5"/>
      <c r="I11491" s="5"/>
      <c r="J11491" s="5"/>
      <c r="K11491" s="5"/>
      <c r="L11491" s="5"/>
      <c r="M11491" s="5"/>
      <c r="N11491" s="5"/>
      <c r="O11491" s="5"/>
      <c r="P11491" s="5"/>
      <c r="Q11491" s="5"/>
      <c r="R11491" s="5"/>
      <c r="S11491" s="5"/>
      <c r="T11491" s="5"/>
      <c r="U11491" s="5"/>
      <c r="V11491" s="5"/>
      <c r="W11491" s="5"/>
      <c r="X11491" s="5"/>
      <c r="Y11491" s="5"/>
      <c r="Z11491" s="5"/>
    </row>
    <row r="11492" spans="1:26" ht="15" x14ac:dyDescent="0.25">
      <c r="A11492" s="4" t="s">
        <v>11489</v>
      </c>
      <c r="B11492" s="4" t="s">
        <v>9011</v>
      </c>
      <c r="C11492" s="2" t="str">
        <f ca="1">IFERROR(__xludf.DUMMYFUNCTION("GOOGLETRANSLATE(A11492,""bn"",""en"")"),"I will pledge humanity")</f>
        <v>I will pledge humanity</v>
      </c>
      <c r="D11492" s="5"/>
      <c r="E11492" s="5"/>
      <c r="F11492" s="5"/>
      <c r="G11492" s="5"/>
      <c r="H11492" s="5"/>
      <c r="I11492" s="5"/>
      <c r="J11492" s="5"/>
      <c r="K11492" s="5"/>
      <c r="L11492" s="5"/>
      <c r="M11492" s="5"/>
      <c r="N11492" s="5"/>
      <c r="O11492" s="5"/>
      <c r="P11492" s="5"/>
      <c r="Q11492" s="5"/>
      <c r="R11492" s="5"/>
      <c r="S11492" s="5"/>
      <c r="T11492" s="5"/>
      <c r="U11492" s="5"/>
      <c r="V11492" s="5"/>
      <c r="W11492" s="5"/>
      <c r="X11492" s="5"/>
      <c r="Y11492" s="5"/>
      <c r="Z11492" s="5"/>
    </row>
    <row r="11493" spans="1:26" ht="15" x14ac:dyDescent="0.25">
      <c r="A11493" s="4" t="s">
        <v>11490</v>
      </c>
      <c r="B11493" s="4" t="s">
        <v>9011</v>
      </c>
      <c r="C11493" s="2" t="str">
        <f ca="1">IFERROR(__xludf.DUMMYFUNCTION("GOOGLETRANSLATE(A11493,""bn"",""en"")"),"I will continue to read poetry")</f>
        <v>I will continue to read poetry</v>
      </c>
      <c r="D11493" s="5"/>
      <c r="E11493" s="5"/>
      <c r="F11493" s="5"/>
      <c r="G11493" s="5"/>
      <c r="H11493" s="5"/>
      <c r="I11493" s="5"/>
      <c r="J11493" s="5"/>
      <c r="K11493" s="5"/>
      <c r="L11493" s="5"/>
      <c r="M11493" s="5"/>
      <c r="N11493" s="5"/>
      <c r="O11493" s="5"/>
      <c r="P11493" s="5"/>
      <c r="Q11493" s="5"/>
      <c r="R11493" s="5"/>
      <c r="S11493" s="5"/>
      <c r="T11493" s="5"/>
      <c r="U11493" s="5"/>
      <c r="V11493" s="5"/>
      <c r="W11493" s="5"/>
      <c r="X11493" s="5"/>
      <c r="Y11493" s="5"/>
      <c r="Z11493" s="5"/>
    </row>
    <row r="11494" spans="1:26" ht="15" x14ac:dyDescent="0.25">
      <c r="A11494" s="4" t="s">
        <v>11491</v>
      </c>
      <c r="B11494" s="4" t="s">
        <v>9011</v>
      </c>
      <c r="C11494" s="2" t="str">
        <f ca="1">IFERROR(__xludf.DUMMYFUNCTION("GOOGLETRANSLATE(A11494,""bn"",""en"")"),"The library will be updated")</f>
        <v>The library will be updated</v>
      </c>
      <c r="D11494" s="5"/>
      <c r="E11494" s="5"/>
      <c r="F11494" s="5"/>
      <c r="G11494" s="5"/>
      <c r="H11494" s="5"/>
      <c r="I11494" s="5"/>
      <c r="J11494" s="5"/>
      <c r="K11494" s="5"/>
      <c r="L11494" s="5"/>
      <c r="M11494" s="5"/>
      <c r="N11494" s="5"/>
      <c r="O11494" s="5"/>
      <c r="P11494" s="5"/>
      <c r="Q11494" s="5"/>
      <c r="R11494" s="5"/>
      <c r="S11494" s="5"/>
      <c r="T11494" s="5"/>
      <c r="U11494" s="5"/>
      <c r="V11494" s="5"/>
      <c r="W11494" s="5"/>
      <c r="X11494" s="5"/>
      <c r="Y11494" s="5"/>
      <c r="Z11494" s="5"/>
    </row>
    <row r="11495" spans="1:26" ht="15" x14ac:dyDescent="0.25">
      <c r="A11495" s="4" t="s">
        <v>11492</v>
      </c>
      <c r="B11495" s="4" t="s">
        <v>9011</v>
      </c>
      <c r="C11495" s="2" t="str">
        <f ca="1">IFERROR(__xludf.DUMMYFUNCTION("GOOGLETRANSLATE(A11495,""bn"",""en"")"),"Must buy food")</f>
        <v>Must buy food</v>
      </c>
      <c r="D11495" s="5"/>
      <c r="E11495" s="5"/>
      <c r="F11495" s="5"/>
      <c r="G11495" s="5"/>
      <c r="H11495" s="5"/>
      <c r="I11495" s="5"/>
      <c r="J11495" s="5"/>
      <c r="K11495" s="5"/>
      <c r="L11495" s="5"/>
      <c r="M11495" s="5"/>
      <c r="N11495" s="5"/>
      <c r="O11495" s="5"/>
      <c r="P11495" s="5"/>
      <c r="Q11495" s="5"/>
      <c r="R11495" s="5"/>
      <c r="S11495" s="5"/>
      <c r="T11495" s="5"/>
      <c r="U11495" s="5"/>
      <c r="V11495" s="5"/>
      <c r="W11495" s="5"/>
      <c r="X11495" s="5"/>
      <c r="Y11495" s="5"/>
      <c r="Z11495" s="5"/>
    </row>
    <row r="11496" spans="1:26" ht="15" x14ac:dyDescent="0.25">
      <c r="A11496" s="4" t="s">
        <v>11493</v>
      </c>
      <c r="B11496" s="4" t="s">
        <v>9011</v>
      </c>
      <c r="C11496" s="2" t="str">
        <f ca="1">IFERROR(__xludf.DUMMYFUNCTION("GOOGLETRANSLATE(A11496,""bn"",""en"")"),"Order pizza")</f>
        <v>Order pizza</v>
      </c>
      <c r="D11496" s="5"/>
      <c r="E11496" s="5"/>
      <c r="F11496" s="5"/>
      <c r="G11496" s="5"/>
      <c r="H11496" s="5"/>
      <c r="I11496" s="5"/>
      <c r="J11496" s="5"/>
      <c r="K11496" s="5"/>
      <c r="L11496" s="5"/>
      <c r="M11496" s="5"/>
      <c r="N11496" s="5"/>
      <c r="O11496" s="5"/>
      <c r="P11496" s="5"/>
      <c r="Q11496" s="5"/>
      <c r="R11496" s="5"/>
      <c r="S11496" s="5"/>
      <c r="T11496" s="5"/>
      <c r="U11496" s="5"/>
      <c r="V11496" s="5"/>
      <c r="W11496" s="5"/>
      <c r="X11496" s="5"/>
      <c r="Y11496" s="5"/>
      <c r="Z11496" s="5"/>
    </row>
    <row r="11497" spans="1:26" ht="15" x14ac:dyDescent="0.25">
      <c r="A11497" s="4" t="s">
        <v>11494</v>
      </c>
      <c r="B11497" s="4" t="s">
        <v>9011</v>
      </c>
      <c r="C11497" s="2" t="str">
        <f ca="1">IFERROR(__xludf.DUMMYFUNCTION("GOOGLETRANSLATE(A11497,""bn"",""en"")"),"I would like honest advice")</f>
        <v>I would like honest advice</v>
      </c>
      <c r="D11497" s="5"/>
      <c r="E11497" s="5"/>
      <c r="F11497" s="5"/>
      <c r="G11497" s="5"/>
      <c r="H11497" s="5"/>
      <c r="I11497" s="5"/>
      <c r="J11497" s="5"/>
      <c r="K11497" s="5"/>
      <c r="L11497" s="5"/>
      <c r="M11497" s="5"/>
      <c r="N11497" s="5"/>
      <c r="O11497" s="5"/>
      <c r="P11497" s="5"/>
      <c r="Q11497" s="5"/>
      <c r="R11497" s="5"/>
      <c r="S11497" s="5"/>
      <c r="T11497" s="5"/>
      <c r="U11497" s="5"/>
      <c r="V11497" s="5"/>
      <c r="W11497" s="5"/>
      <c r="X11497" s="5"/>
      <c r="Y11497" s="5"/>
      <c r="Z11497" s="5"/>
    </row>
    <row r="11498" spans="1:26" ht="15" x14ac:dyDescent="0.25">
      <c r="A11498" s="4" t="s">
        <v>11495</v>
      </c>
      <c r="B11498" s="4" t="s">
        <v>9011</v>
      </c>
      <c r="C11498" s="2" t="str">
        <f ca="1">IFERROR(__xludf.DUMMYFUNCTION("GOOGLETRANSLATE(A11498,""bn"",""en"")"),"The movie will stop")</f>
        <v>The movie will stop</v>
      </c>
      <c r="D11498" s="5"/>
      <c r="E11498" s="5"/>
      <c r="F11498" s="5"/>
      <c r="G11498" s="5"/>
      <c r="H11498" s="5"/>
      <c r="I11498" s="5"/>
      <c r="J11498" s="5"/>
      <c r="K11498" s="5"/>
      <c r="L11498" s="5"/>
      <c r="M11498" s="5"/>
      <c r="N11498" s="5"/>
      <c r="O11498" s="5"/>
      <c r="P11498" s="5"/>
      <c r="Q11498" s="5"/>
      <c r="R11498" s="5"/>
      <c r="S11498" s="5"/>
      <c r="T11498" s="5"/>
      <c r="U11498" s="5"/>
      <c r="V11498" s="5"/>
      <c r="W11498" s="5"/>
      <c r="X11498" s="5"/>
      <c r="Y11498" s="5"/>
      <c r="Z11498" s="5"/>
    </row>
    <row r="11499" spans="1:26" ht="15" x14ac:dyDescent="0.25">
      <c r="A11499" s="4" t="s">
        <v>11496</v>
      </c>
      <c r="B11499" s="4" t="s">
        <v>9011</v>
      </c>
      <c r="C11499" s="2" t="str">
        <f ca="1">IFERROR(__xludf.DUMMYFUNCTION("GOOGLETRANSLATE(A11499,""bn"",""en"")"),"Life will last")</f>
        <v>Life will last</v>
      </c>
      <c r="D11499" s="5"/>
      <c r="E11499" s="5"/>
      <c r="F11499" s="5"/>
      <c r="G11499" s="5"/>
      <c r="H11499" s="5"/>
      <c r="I11499" s="5"/>
      <c r="J11499" s="5"/>
      <c r="K11499" s="5"/>
      <c r="L11499" s="5"/>
      <c r="M11499" s="5"/>
      <c r="N11499" s="5"/>
      <c r="O11499" s="5"/>
      <c r="P11499" s="5"/>
      <c r="Q11499" s="5"/>
      <c r="R11499" s="5"/>
      <c r="S11499" s="5"/>
      <c r="T11499" s="5"/>
      <c r="U11499" s="5"/>
      <c r="V11499" s="5"/>
      <c r="W11499" s="5"/>
      <c r="X11499" s="5"/>
      <c r="Y11499" s="5"/>
      <c r="Z11499" s="5"/>
    </row>
    <row r="11500" spans="1:26" ht="15" x14ac:dyDescent="0.25">
      <c r="A11500" s="4" t="s">
        <v>11497</v>
      </c>
      <c r="B11500" s="4" t="s">
        <v>9011</v>
      </c>
      <c r="C11500" s="2" t="str">
        <f ca="1">IFERROR(__xludf.DUMMYFUNCTION("GOOGLETRANSLATE(A11500,""bn"",""en"")"),"He will learn the melody")</f>
        <v>He will learn the melody</v>
      </c>
      <c r="D11500" s="5"/>
      <c r="E11500" s="5"/>
      <c r="F11500" s="5"/>
      <c r="G11500" s="5"/>
      <c r="H11500" s="5"/>
      <c r="I11500" s="5"/>
      <c r="J11500" s="5"/>
      <c r="K11500" s="5"/>
      <c r="L11500" s="5"/>
      <c r="M11500" s="5"/>
      <c r="N11500" s="5"/>
      <c r="O11500" s="5"/>
      <c r="P11500" s="5"/>
      <c r="Q11500" s="5"/>
      <c r="R11500" s="5"/>
      <c r="S11500" s="5"/>
      <c r="T11500" s="5"/>
      <c r="U11500" s="5"/>
      <c r="V11500" s="5"/>
      <c r="W11500" s="5"/>
      <c r="X11500" s="5"/>
      <c r="Y11500" s="5"/>
      <c r="Z11500" s="5"/>
    </row>
    <row r="11501" spans="1:26" ht="15" x14ac:dyDescent="0.25">
      <c r="A11501" s="4" t="s">
        <v>11498</v>
      </c>
      <c r="B11501" s="4" t="s">
        <v>9011</v>
      </c>
      <c r="C11501" s="2" t="str">
        <f ca="1">IFERROR(__xludf.DUMMYFUNCTION("GOOGLETRANSLATE(A11501,""bn"",""en"")"),"The Prime Minister's meeting will continue")</f>
        <v>The Prime Minister's meeting will continue</v>
      </c>
      <c r="D11501" s="5"/>
      <c r="E11501" s="5"/>
      <c r="F11501" s="5"/>
      <c r="G11501" s="5"/>
      <c r="H11501" s="5"/>
      <c r="I11501" s="5"/>
      <c r="J11501" s="5"/>
      <c r="K11501" s="5"/>
      <c r="L11501" s="5"/>
      <c r="M11501" s="5"/>
      <c r="N11501" s="5"/>
      <c r="O11501" s="5"/>
      <c r="P11501" s="5"/>
      <c r="Q11501" s="5"/>
      <c r="R11501" s="5"/>
      <c r="S11501" s="5"/>
      <c r="T11501" s="5"/>
      <c r="U11501" s="5"/>
      <c r="V11501" s="5"/>
      <c r="W11501" s="5"/>
      <c r="X11501" s="5"/>
      <c r="Y11501" s="5"/>
      <c r="Z11501" s="5"/>
    </row>
    <row r="11502" spans="1:26" ht="15" x14ac:dyDescent="0.25">
      <c r="A11502" s="4" t="s">
        <v>11499</v>
      </c>
      <c r="B11502" s="4" t="s">
        <v>9011</v>
      </c>
      <c r="C11502" s="2" t="str">
        <f ca="1">IFERROR(__xludf.DUMMYFUNCTION("GOOGLETRANSLATE(A11502,""bn"",""en"")"),"I will sing in leisure")</f>
        <v>I will sing in leisure</v>
      </c>
      <c r="D11502" s="5"/>
      <c r="E11502" s="5"/>
      <c r="F11502" s="5"/>
      <c r="G11502" s="5"/>
      <c r="H11502" s="5"/>
      <c r="I11502" s="5"/>
      <c r="J11502" s="5"/>
      <c r="K11502" s="5"/>
      <c r="L11502" s="5"/>
      <c r="M11502" s="5"/>
      <c r="N11502" s="5"/>
      <c r="O11502" s="5"/>
      <c r="P11502" s="5"/>
      <c r="Q11502" s="5"/>
      <c r="R11502" s="5"/>
      <c r="S11502" s="5"/>
      <c r="T11502" s="5"/>
      <c r="U11502" s="5"/>
      <c r="V11502" s="5"/>
      <c r="W11502" s="5"/>
      <c r="X11502" s="5"/>
      <c r="Y11502" s="5"/>
      <c r="Z11502" s="5"/>
    </row>
    <row r="11503" spans="1:26" ht="15" x14ac:dyDescent="0.25">
      <c r="A11503" s="4" t="s">
        <v>11500</v>
      </c>
      <c r="B11503" s="4" t="s">
        <v>9011</v>
      </c>
      <c r="C11503" s="2" t="str">
        <f ca="1">IFERROR(__xludf.DUMMYFUNCTION("GOOGLETRANSLATE(A11503,""bn"",""en"")"),"The Prime Minister will advise")</f>
        <v>The Prime Minister will advise</v>
      </c>
      <c r="D11503" s="5"/>
      <c r="E11503" s="5"/>
      <c r="F11503" s="5"/>
      <c r="G11503" s="5"/>
      <c r="H11503" s="5"/>
      <c r="I11503" s="5"/>
      <c r="J11503" s="5"/>
      <c r="K11503" s="5"/>
      <c r="L11503" s="5"/>
      <c r="M11503" s="5"/>
      <c r="N11503" s="5"/>
      <c r="O11503" s="5"/>
      <c r="P11503" s="5"/>
      <c r="Q11503" s="5"/>
      <c r="R11503" s="5"/>
      <c r="S11503" s="5"/>
      <c r="T11503" s="5"/>
      <c r="U11503" s="5"/>
      <c r="V11503" s="5"/>
      <c r="W11503" s="5"/>
      <c r="X11503" s="5"/>
      <c r="Y11503" s="5"/>
      <c r="Z11503" s="5"/>
    </row>
    <row r="11504" spans="1:26" ht="15" x14ac:dyDescent="0.25">
      <c r="A11504" s="4" t="s">
        <v>11501</v>
      </c>
      <c r="B11504" s="4" t="s">
        <v>9011</v>
      </c>
      <c r="C11504" s="2" t="str">
        <f ca="1">IFERROR(__xludf.DUMMYFUNCTION("GOOGLETRANSLATE(A11504,""bn"",""en"")"),"I will donate")</f>
        <v>I will donate</v>
      </c>
      <c r="D11504" s="5"/>
      <c r="E11504" s="5"/>
      <c r="F11504" s="5"/>
      <c r="G11504" s="5"/>
      <c r="H11504" s="5"/>
      <c r="I11504" s="5"/>
      <c r="J11504" s="5"/>
      <c r="K11504" s="5"/>
      <c r="L11504" s="5"/>
      <c r="M11504" s="5"/>
      <c r="N11504" s="5"/>
      <c r="O11504" s="5"/>
      <c r="P11504" s="5"/>
      <c r="Q11504" s="5"/>
      <c r="R11504" s="5"/>
      <c r="S11504" s="5"/>
      <c r="T11504" s="5"/>
      <c r="U11504" s="5"/>
      <c r="V11504" s="5"/>
      <c r="W11504" s="5"/>
      <c r="X11504" s="5"/>
      <c r="Y11504" s="5"/>
      <c r="Z11504" s="5"/>
    </row>
    <row r="11505" spans="1:26" ht="15" x14ac:dyDescent="0.25">
      <c r="A11505" s="4" t="s">
        <v>11502</v>
      </c>
      <c r="B11505" s="4" t="s">
        <v>9011</v>
      </c>
      <c r="C11505" s="2" t="str">
        <f ca="1">IFERROR(__xludf.DUMMYFUNCTION("GOOGLETRANSLATE(A11505,""bn"",""en"")"),"Makkah will prosper")</f>
        <v>Makkah will prosper</v>
      </c>
      <c r="D11505" s="5"/>
      <c r="E11505" s="5"/>
      <c r="F11505" s="5"/>
      <c r="G11505" s="5"/>
      <c r="H11505" s="5"/>
      <c r="I11505" s="5"/>
      <c r="J11505" s="5"/>
      <c r="K11505" s="5"/>
      <c r="L11505" s="5"/>
      <c r="M11505" s="5"/>
      <c r="N11505" s="5"/>
      <c r="O11505" s="5"/>
      <c r="P11505" s="5"/>
      <c r="Q11505" s="5"/>
      <c r="R11505" s="5"/>
      <c r="S11505" s="5"/>
      <c r="T11505" s="5"/>
      <c r="U11505" s="5"/>
      <c r="V11505" s="5"/>
      <c r="W11505" s="5"/>
      <c r="X11505" s="5"/>
      <c r="Y11505" s="5"/>
      <c r="Z11505" s="5"/>
    </row>
    <row r="11506" spans="1:26" ht="15" x14ac:dyDescent="0.25">
      <c r="A11506" s="4" t="s">
        <v>11503</v>
      </c>
      <c r="B11506" s="4" t="s">
        <v>9011</v>
      </c>
      <c r="C11506" s="2" t="str">
        <f ca="1">IFERROR(__xludf.DUMMYFUNCTION("GOOGLETRANSLATE(A11506,""bn"",""en"")"),"Government will provide benefits")</f>
        <v>Government will provide benefits</v>
      </c>
      <c r="D11506" s="5"/>
      <c r="E11506" s="5"/>
      <c r="F11506" s="5"/>
      <c r="G11506" s="5"/>
      <c r="H11506" s="5"/>
      <c r="I11506" s="5"/>
      <c r="J11506" s="5"/>
      <c r="K11506" s="5"/>
      <c r="L11506" s="5"/>
      <c r="M11506" s="5"/>
      <c r="N11506" s="5"/>
      <c r="O11506" s="5"/>
      <c r="P11506" s="5"/>
      <c r="Q11506" s="5"/>
      <c r="R11506" s="5"/>
      <c r="S11506" s="5"/>
      <c r="T11506" s="5"/>
      <c r="U11506" s="5"/>
      <c r="V11506" s="5"/>
      <c r="W11506" s="5"/>
      <c r="X11506" s="5"/>
      <c r="Y11506" s="5"/>
      <c r="Z11506" s="5"/>
    </row>
    <row r="11507" spans="1:26" ht="15" x14ac:dyDescent="0.25">
      <c r="A11507" s="4" t="s">
        <v>11504</v>
      </c>
      <c r="B11507" s="4" t="s">
        <v>9011</v>
      </c>
      <c r="C11507" s="2" t="str">
        <f ca="1">IFERROR(__xludf.DUMMYFUNCTION("GOOGLETRANSLATE(A11507,""bn"",""en"")"),"I want to improve")</f>
        <v>I want to improve</v>
      </c>
      <c r="D11507" s="5"/>
      <c r="E11507" s="5"/>
      <c r="F11507" s="5"/>
      <c r="G11507" s="5"/>
      <c r="H11507" s="5"/>
      <c r="I11507" s="5"/>
      <c r="J11507" s="5"/>
      <c r="K11507" s="5"/>
      <c r="L11507" s="5"/>
      <c r="M11507" s="5"/>
      <c r="N11507" s="5"/>
      <c r="O11507" s="5"/>
      <c r="P11507" s="5"/>
      <c r="Q11507" s="5"/>
      <c r="R11507" s="5"/>
      <c r="S11507" s="5"/>
      <c r="T11507" s="5"/>
      <c r="U11507" s="5"/>
      <c r="V11507" s="5"/>
      <c r="W11507" s="5"/>
      <c r="X11507" s="5"/>
      <c r="Y11507" s="5"/>
      <c r="Z11507" s="5"/>
    </row>
    <row r="11508" spans="1:26" ht="15" x14ac:dyDescent="0.25">
      <c r="A11508" s="4" t="s">
        <v>11505</v>
      </c>
      <c r="B11508" s="4" t="s">
        <v>9011</v>
      </c>
      <c r="C11508" s="2" t="str">
        <f ca="1">IFERROR(__xludf.DUMMYFUNCTION("GOOGLETRANSLATE(A11508,""bn"",""en"")"),"Will be thinking about the future")</f>
        <v>Will be thinking about the future</v>
      </c>
      <c r="D11508" s="5"/>
      <c r="E11508" s="5"/>
      <c r="F11508" s="5"/>
      <c r="G11508" s="5"/>
      <c r="H11508" s="5"/>
      <c r="I11508" s="5"/>
      <c r="J11508" s="5"/>
      <c r="K11508" s="5"/>
      <c r="L11508" s="5"/>
      <c r="M11508" s="5"/>
      <c r="N11508" s="5"/>
      <c r="O11508" s="5"/>
      <c r="P11508" s="5"/>
      <c r="Q11508" s="5"/>
      <c r="R11508" s="5"/>
      <c r="S11508" s="5"/>
      <c r="T11508" s="5"/>
      <c r="U11508" s="5"/>
      <c r="V11508" s="5"/>
      <c r="W11508" s="5"/>
      <c r="X11508" s="5"/>
      <c r="Y11508" s="5"/>
      <c r="Z11508" s="5"/>
    </row>
    <row r="11509" spans="1:26" ht="15" x14ac:dyDescent="0.25">
      <c r="A11509" s="4" t="s">
        <v>11506</v>
      </c>
      <c r="B11509" s="4" t="s">
        <v>9011</v>
      </c>
      <c r="C11509" s="2" t="str">
        <f ca="1">IFERROR(__xludf.DUMMYFUNCTION("GOOGLETRANSLATE(A11509,""bn"",""en"")"),"Load the memory")</f>
        <v>Load the memory</v>
      </c>
      <c r="D11509" s="5"/>
      <c r="E11509" s="5"/>
      <c r="F11509" s="5"/>
      <c r="G11509" s="5"/>
      <c r="H11509" s="5"/>
      <c r="I11509" s="5"/>
      <c r="J11509" s="5"/>
      <c r="K11509" s="5"/>
      <c r="L11509" s="5"/>
      <c r="M11509" s="5"/>
      <c r="N11509" s="5"/>
      <c r="O11509" s="5"/>
      <c r="P11509" s="5"/>
      <c r="Q11509" s="5"/>
      <c r="R11509" s="5"/>
      <c r="S11509" s="5"/>
      <c r="T11509" s="5"/>
      <c r="U11509" s="5"/>
      <c r="V11509" s="5"/>
      <c r="W11509" s="5"/>
      <c r="X11509" s="5"/>
      <c r="Y11509" s="5"/>
      <c r="Z11509" s="5"/>
    </row>
    <row r="11510" spans="1:26" ht="15" x14ac:dyDescent="0.25">
      <c r="A11510" s="4" t="s">
        <v>11507</v>
      </c>
      <c r="B11510" s="4" t="s">
        <v>9011</v>
      </c>
      <c r="C11510" s="2" t="str">
        <f ca="1">IFERROR(__xludf.DUMMYFUNCTION("GOOGLETRANSLATE(A11510,""bn"",""en"")"),"Programming style will change")</f>
        <v>Programming style will change</v>
      </c>
      <c r="D11510" s="5"/>
      <c r="E11510" s="5"/>
      <c r="F11510" s="5"/>
      <c r="G11510" s="5"/>
      <c r="H11510" s="5"/>
      <c r="I11510" s="5"/>
      <c r="J11510" s="5"/>
      <c r="K11510" s="5"/>
      <c r="L11510" s="5"/>
      <c r="M11510" s="5"/>
      <c r="N11510" s="5"/>
      <c r="O11510" s="5"/>
      <c r="P11510" s="5"/>
      <c r="Q11510" s="5"/>
      <c r="R11510" s="5"/>
      <c r="S11510" s="5"/>
      <c r="T11510" s="5"/>
      <c r="U11510" s="5"/>
      <c r="V11510" s="5"/>
      <c r="W11510" s="5"/>
      <c r="X11510" s="5"/>
      <c r="Y11510" s="5"/>
      <c r="Z11510" s="5"/>
    </row>
    <row r="11511" spans="1:26" ht="15" x14ac:dyDescent="0.25">
      <c r="A11511" s="4" t="s">
        <v>11508</v>
      </c>
      <c r="B11511" s="4" t="s">
        <v>9011</v>
      </c>
      <c r="C11511" s="2" t="str">
        <f ca="1">IFERROR(__xludf.DUMMYFUNCTION("GOOGLETRANSLATE(A11511,""bn"",""en"")"),"I will learn Excel well")</f>
        <v>I will learn Excel well</v>
      </c>
      <c r="D11511" s="5"/>
      <c r="E11511" s="5"/>
      <c r="F11511" s="5"/>
      <c r="G11511" s="5"/>
      <c r="H11511" s="5"/>
      <c r="I11511" s="5"/>
      <c r="J11511" s="5"/>
      <c r="K11511" s="5"/>
      <c r="L11511" s="5"/>
      <c r="M11511" s="5"/>
      <c r="N11511" s="5"/>
      <c r="O11511" s="5"/>
      <c r="P11511" s="5"/>
      <c r="Q11511" s="5"/>
      <c r="R11511" s="5"/>
      <c r="S11511" s="5"/>
      <c r="T11511" s="5"/>
      <c r="U11511" s="5"/>
      <c r="V11511" s="5"/>
      <c r="W11511" s="5"/>
      <c r="X11511" s="5"/>
      <c r="Y11511" s="5"/>
      <c r="Z11511" s="5"/>
    </row>
    <row r="11512" spans="1:26" ht="15" x14ac:dyDescent="0.25">
      <c r="A11512" s="4" t="s">
        <v>11509</v>
      </c>
      <c r="B11512" s="4" t="s">
        <v>9011</v>
      </c>
      <c r="C11512" s="2" t="str">
        <f ca="1">IFERROR(__xludf.DUMMYFUNCTION("GOOGLETRANSLATE(A11512,""bn"",""en"")"),"Sales in the market will increase")</f>
        <v>Sales in the market will increase</v>
      </c>
      <c r="D11512" s="5"/>
      <c r="E11512" s="5"/>
      <c r="F11512" s="5"/>
      <c r="G11512" s="5"/>
      <c r="H11512" s="5"/>
      <c r="I11512" s="5"/>
      <c r="J11512" s="5"/>
      <c r="K11512" s="5"/>
      <c r="L11512" s="5"/>
      <c r="M11512" s="5"/>
      <c r="N11512" s="5"/>
      <c r="O11512" s="5"/>
      <c r="P11512" s="5"/>
      <c r="Q11512" s="5"/>
      <c r="R11512" s="5"/>
      <c r="S11512" s="5"/>
      <c r="T11512" s="5"/>
      <c r="U11512" s="5"/>
      <c r="V11512" s="5"/>
      <c r="W11512" s="5"/>
      <c r="X11512" s="5"/>
      <c r="Y11512" s="5"/>
      <c r="Z11512" s="5"/>
    </row>
    <row r="11513" spans="1:26" ht="15" x14ac:dyDescent="0.25">
      <c r="A11513" s="4" t="s">
        <v>11510</v>
      </c>
      <c r="B11513" s="4" t="s">
        <v>9011</v>
      </c>
      <c r="C11513" s="2" t="str">
        <f ca="1">IFERROR(__xludf.DUMMYFUNCTION("GOOGLETRANSLATE(A11513,""bn"",""en"")"),"You will get music")</f>
        <v>You will get music</v>
      </c>
      <c r="D11513" s="5"/>
      <c r="E11513" s="5"/>
      <c r="F11513" s="5"/>
      <c r="G11513" s="5"/>
      <c r="H11513" s="5"/>
      <c r="I11513" s="5"/>
      <c r="J11513" s="5"/>
      <c r="K11513" s="5"/>
      <c r="L11513" s="5"/>
      <c r="M11513" s="5"/>
      <c r="N11513" s="5"/>
      <c r="O11513" s="5"/>
      <c r="P11513" s="5"/>
      <c r="Q11513" s="5"/>
      <c r="R11513" s="5"/>
      <c r="S11513" s="5"/>
      <c r="T11513" s="5"/>
      <c r="U11513" s="5"/>
      <c r="V11513" s="5"/>
      <c r="W11513" s="5"/>
      <c r="X11513" s="5"/>
      <c r="Y11513" s="5"/>
      <c r="Z11513" s="5"/>
    </row>
    <row r="11514" spans="1:26" ht="15" x14ac:dyDescent="0.25">
      <c r="A11514" s="4" t="s">
        <v>11511</v>
      </c>
      <c r="B11514" s="4" t="s">
        <v>9011</v>
      </c>
      <c r="C11514" s="2" t="str">
        <f ca="1">IFERROR(__xludf.DUMMYFUNCTION("GOOGLETRANSLATE(A11514,""bn"",""en"")"),"will manage the market")</f>
        <v>will manage the market</v>
      </c>
      <c r="D11514" s="5"/>
      <c r="E11514" s="5"/>
      <c r="F11514" s="5"/>
      <c r="G11514" s="5"/>
      <c r="H11514" s="5"/>
      <c r="I11514" s="5"/>
      <c r="J11514" s="5"/>
      <c r="K11514" s="5"/>
      <c r="L11514" s="5"/>
      <c r="M11514" s="5"/>
      <c r="N11514" s="5"/>
      <c r="O11514" s="5"/>
      <c r="P11514" s="5"/>
      <c r="Q11514" s="5"/>
      <c r="R11514" s="5"/>
      <c r="S11514" s="5"/>
      <c r="T11514" s="5"/>
      <c r="U11514" s="5"/>
      <c r="V11514" s="5"/>
      <c r="W11514" s="5"/>
      <c r="X11514" s="5"/>
      <c r="Y11514" s="5"/>
      <c r="Z11514" s="5"/>
    </row>
    <row r="11515" spans="1:26" ht="15" x14ac:dyDescent="0.25">
      <c r="A11515" s="4" t="s">
        <v>11512</v>
      </c>
      <c r="B11515" s="4" t="s">
        <v>9011</v>
      </c>
      <c r="C11515" s="2" t="str">
        <f ca="1">IFERROR(__xludf.DUMMYFUNCTION("GOOGLETRANSLATE(A11515,""bn"",""en"")"),"He will learn anger")</f>
        <v>He will learn anger</v>
      </c>
      <c r="D11515" s="5"/>
      <c r="E11515" s="5"/>
      <c r="F11515" s="5"/>
      <c r="G11515" s="5"/>
      <c r="H11515" s="5"/>
      <c r="I11515" s="5"/>
      <c r="J11515" s="5"/>
      <c r="K11515" s="5"/>
      <c r="L11515" s="5"/>
      <c r="M11515" s="5"/>
      <c r="N11515" s="5"/>
      <c r="O11515" s="5"/>
      <c r="P11515" s="5"/>
      <c r="Q11515" s="5"/>
      <c r="R11515" s="5"/>
      <c r="S11515" s="5"/>
      <c r="T11515" s="5"/>
      <c r="U11515" s="5"/>
      <c r="V11515" s="5"/>
      <c r="W11515" s="5"/>
      <c r="X11515" s="5"/>
      <c r="Y11515" s="5"/>
      <c r="Z11515" s="5"/>
    </row>
    <row r="11516" spans="1:26" ht="15" x14ac:dyDescent="0.25">
      <c r="A11516" s="4" t="s">
        <v>11513</v>
      </c>
      <c r="B11516" s="4" t="s">
        <v>9011</v>
      </c>
      <c r="C11516" s="2" t="str">
        <f ca="1">IFERROR(__xludf.DUMMYFUNCTION("GOOGLETRANSLATE(A11516,""bn"",""en"")"),"He will play music")</f>
        <v>He will play music</v>
      </c>
      <c r="D11516" s="5"/>
      <c r="E11516" s="5"/>
      <c r="F11516" s="5"/>
      <c r="G11516" s="5"/>
      <c r="H11516" s="5"/>
      <c r="I11516" s="5"/>
      <c r="J11516" s="5"/>
      <c r="K11516" s="5"/>
      <c r="L11516" s="5"/>
      <c r="M11516" s="5"/>
      <c r="N11516" s="5"/>
      <c r="O11516" s="5"/>
      <c r="P11516" s="5"/>
      <c r="Q11516" s="5"/>
      <c r="R11516" s="5"/>
      <c r="S11516" s="5"/>
      <c r="T11516" s="5"/>
      <c r="U11516" s="5"/>
      <c r="V11516" s="5"/>
      <c r="W11516" s="5"/>
      <c r="X11516" s="5"/>
      <c r="Y11516" s="5"/>
      <c r="Z11516" s="5"/>
    </row>
    <row r="11517" spans="1:26" ht="15" x14ac:dyDescent="0.25">
      <c r="A11517" s="4" t="s">
        <v>11514</v>
      </c>
      <c r="B11517" s="4" t="s">
        <v>9011</v>
      </c>
      <c r="C11517" s="2" t="str">
        <f ca="1">IFERROR(__xludf.DUMMYFUNCTION("GOOGLETRANSLATE(A11517,""bn"",""en"")"),"There will be tigers in the Sundarbans")</f>
        <v>There will be tigers in the Sundarbans</v>
      </c>
      <c r="D11517" s="5"/>
      <c r="E11517" s="5"/>
      <c r="F11517" s="5"/>
      <c r="G11517" s="5"/>
      <c r="H11517" s="5"/>
      <c r="I11517" s="5"/>
      <c r="J11517" s="5"/>
      <c r="K11517" s="5"/>
      <c r="L11517" s="5"/>
      <c r="M11517" s="5"/>
      <c r="N11517" s="5"/>
      <c r="O11517" s="5"/>
      <c r="P11517" s="5"/>
      <c r="Q11517" s="5"/>
      <c r="R11517" s="5"/>
      <c r="S11517" s="5"/>
      <c r="T11517" s="5"/>
      <c r="U11517" s="5"/>
      <c r="V11517" s="5"/>
      <c r="W11517" s="5"/>
      <c r="X11517" s="5"/>
      <c r="Y11517" s="5"/>
      <c r="Z11517" s="5"/>
    </row>
    <row r="11518" spans="1:26" ht="15" x14ac:dyDescent="0.25">
      <c r="A11518" s="4" t="s">
        <v>11515</v>
      </c>
      <c r="B11518" s="4" t="s">
        <v>9011</v>
      </c>
      <c r="C11518" s="2" t="str">
        <f ca="1">IFERROR(__xludf.DUMMYFUNCTION("GOOGLETRANSLATE(A11518,""bn"",""en"")"),"I will enjoy the music")</f>
        <v>I will enjoy the music</v>
      </c>
      <c r="D11518" s="5"/>
      <c r="E11518" s="5"/>
      <c r="F11518" s="5"/>
      <c r="G11518" s="5"/>
      <c r="H11518" s="5"/>
      <c r="I11518" s="5"/>
      <c r="J11518" s="5"/>
      <c r="K11518" s="5"/>
      <c r="L11518" s="5"/>
      <c r="M11518" s="5"/>
      <c r="N11518" s="5"/>
      <c r="O11518" s="5"/>
      <c r="P11518" s="5"/>
      <c r="Q11518" s="5"/>
      <c r="R11518" s="5"/>
      <c r="S11518" s="5"/>
      <c r="T11518" s="5"/>
      <c r="U11518" s="5"/>
      <c r="V11518" s="5"/>
      <c r="W11518" s="5"/>
      <c r="X11518" s="5"/>
      <c r="Y11518" s="5"/>
      <c r="Z11518" s="5"/>
    </row>
    <row r="11519" spans="1:26" ht="15" x14ac:dyDescent="0.25">
      <c r="A11519" s="4" t="s">
        <v>11516</v>
      </c>
      <c r="B11519" s="4" t="s">
        <v>9011</v>
      </c>
      <c r="C11519" s="2" t="str">
        <f ca="1">IFERROR(__xludf.DUMMYFUNCTION("GOOGLETRANSLATE(A11519,""bn"",""en"")"),"I will be angry")</f>
        <v>I will be angry</v>
      </c>
      <c r="D11519" s="5"/>
      <c r="E11519" s="5"/>
      <c r="F11519" s="5"/>
      <c r="G11519" s="5"/>
      <c r="H11519" s="5"/>
      <c r="I11519" s="5"/>
      <c r="J11519" s="5"/>
      <c r="K11519" s="5"/>
      <c r="L11519" s="5"/>
      <c r="M11519" s="5"/>
      <c r="N11519" s="5"/>
      <c r="O11519" s="5"/>
      <c r="P11519" s="5"/>
      <c r="Q11519" s="5"/>
      <c r="R11519" s="5"/>
      <c r="S11519" s="5"/>
      <c r="T11519" s="5"/>
      <c r="U11519" s="5"/>
      <c r="V11519" s="5"/>
      <c r="W11519" s="5"/>
      <c r="X11519" s="5"/>
      <c r="Y11519" s="5"/>
      <c r="Z11519" s="5"/>
    </row>
    <row r="11520" spans="1:26" ht="15" x14ac:dyDescent="0.25">
      <c r="A11520" s="4" t="s">
        <v>11517</v>
      </c>
      <c r="B11520" s="4" t="s">
        <v>9011</v>
      </c>
      <c r="C11520" s="2" t="str">
        <f ca="1">IFERROR(__xludf.DUMMYFUNCTION("GOOGLETRANSLATE(A11520,""bn"",""en"")"),"You will sing music")</f>
        <v>You will sing music</v>
      </c>
      <c r="D11520" s="5"/>
      <c r="E11520" s="5"/>
      <c r="F11520" s="5"/>
      <c r="G11520" s="5"/>
      <c r="H11520" s="5"/>
      <c r="I11520" s="5"/>
      <c r="J11520" s="5"/>
      <c r="K11520" s="5"/>
      <c r="L11520" s="5"/>
      <c r="M11520" s="5"/>
      <c r="N11520" s="5"/>
      <c r="O11520" s="5"/>
      <c r="P11520" s="5"/>
      <c r="Q11520" s="5"/>
      <c r="R11520" s="5"/>
      <c r="S11520" s="5"/>
      <c r="T11520" s="5"/>
      <c r="U11520" s="5"/>
      <c r="V11520" s="5"/>
      <c r="W11520" s="5"/>
      <c r="X11520" s="5"/>
      <c r="Y11520" s="5"/>
      <c r="Z11520" s="5"/>
    </row>
    <row r="11521" spans="1:26" ht="15" x14ac:dyDescent="0.25">
      <c r="A11521" s="4" t="s">
        <v>11518</v>
      </c>
      <c r="B11521" s="4" t="s">
        <v>9011</v>
      </c>
      <c r="C11521" s="2" t="str">
        <f ca="1">IFERROR(__xludf.DUMMYFUNCTION("GOOGLETRANSLATE(A11521,""bn"",""en"")"),"I will provide account proof")</f>
        <v>I will provide account proof</v>
      </c>
      <c r="D11521" s="5"/>
      <c r="E11521" s="5"/>
      <c r="F11521" s="5"/>
      <c r="G11521" s="5"/>
      <c r="H11521" s="5"/>
      <c r="I11521" s="5"/>
      <c r="J11521" s="5"/>
      <c r="K11521" s="5"/>
      <c r="L11521" s="5"/>
      <c r="M11521" s="5"/>
      <c r="N11521" s="5"/>
      <c r="O11521" s="5"/>
      <c r="P11521" s="5"/>
      <c r="Q11521" s="5"/>
      <c r="R11521" s="5"/>
      <c r="S11521" s="5"/>
      <c r="T11521" s="5"/>
      <c r="U11521" s="5"/>
      <c r="V11521" s="5"/>
      <c r="W11521" s="5"/>
      <c r="X11521" s="5"/>
      <c r="Y11521" s="5"/>
      <c r="Z11521" s="5"/>
    </row>
    <row r="11522" spans="1:26" ht="15" x14ac:dyDescent="0.25">
      <c r="A11522" s="4" t="s">
        <v>11519</v>
      </c>
      <c r="B11522" s="4" t="s">
        <v>9011</v>
      </c>
      <c r="C11522" s="2" t="str">
        <f ca="1">IFERROR(__xludf.DUMMYFUNCTION("GOOGLETRANSLATE(A11522,""bn"",""en"")"),"The parties will continue to discuss")</f>
        <v>The parties will continue to discuss</v>
      </c>
      <c r="D11522" s="5"/>
      <c r="E11522" s="5"/>
      <c r="F11522" s="5"/>
      <c r="G11522" s="5"/>
      <c r="H11522" s="5"/>
      <c r="I11522" s="5"/>
      <c r="J11522" s="5"/>
      <c r="K11522" s="5"/>
      <c r="L11522" s="5"/>
      <c r="M11522" s="5"/>
      <c r="N11522" s="5"/>
      <c r="O11522" s="5"/>
      <c r="P11522" s="5"/>
      <c r="Q11522" s="5"/>
      <c r="R11522" s="5"/>
      <c r="S11522" s="5"/>
      <c r="T11522" s="5"/>
      <c r="U11522" s="5"/>
      <c r="V11522" s="5"/>
      <c r="W11522" s="5"/>
      <c r="X11522" s="5"/>
      <c r="Y11522" s="5"/>
      <c r="Z11522" s="5"/>
    </row>
    <row r="11523" spans="1:26" ht="15" x14ac:dyDescent="0.25">
      <c r="A11523" s="4" t="s">
        <v>11520</v>
      </c>
      <c r="B11523" s="4" t="s">
        <v>9011</v>
      </c>
      <c r="C11523" s="2" t="str">
        <f ca="1">IFERROR(__xludf.DUMMYFUNCTION("GOOGLETRANSLATE(A11523,""bn"",""en"")"),"I will open a savings account")</f>
        <v>I will open a savings account</v>
      </c>
      <c r="D11523" s="5"/>
      <c r="E11523" s="5"/>
      <c r="F11523" s="5"/>
      <c r="G11523" s="5"/>
      <c r="H11523" s="5"/>
      <c r="I11523" s="5"/>
      <c r="J11523" s="5"/>
      <c r="K11523" s="5"/>
      <c r="L11523" s="5"/>
      <c r="M11523" s="5"/>
      <c r="N11523" s="5"/>
      <c r="O11523" s="5"/>
      <c r="P11523" s="5"/>
      <c r="Q11523" s="5"/>
      <c r="R11523" s="5"/>
      <c r="S11523" s="5"/>
      <c r="T11523" s="5"/>
      <c r="U11523" s="5"/>
      <c r="V11523" s="5"/>
      <c r="W11523" s="5"/>
      <c r="X11523" s="5"/>
      <c r="Y11523" s="5"/>
      <c r="Z11523" s="5"/>
    </row>
    <row r="11524" spans="1:26" ht="15" x14ac:dyDescent="0.25">
      <c r="A11524" s="4" t="s">
        <v>11521</v>
      </c>
      <c r="B11524" s="4" t="s">
        <v>9011</v>
      </c>
      <c r="C11524" s="2" t="str">
        <f ca="1">IFERROR(__xludf.DUMMYFUNCTION("GOOGLETRANSLATE(A11524,""bn"",""en"")"),"Zakat will be given")</f>
        <v>Zakat will be given</v>
      </c>
      <c r="D11524" s="5"/>
      <c r="E11524" s="5"/>
      <c r="F11524" s="5"/>
      <c r="G11524" s="5"/>
      <c r="H11524" s="5"/>
      <c r="I11524" s="5"/>
      <c r="J11524" s="5"/>
      <c r="K11524" s="5"/>
      <c r="L11524" s="5"/>
      <c r="M11524" s="5"/>
      <c r="N11524" s="5"/>
      <c r="O11524" s="5"/>
      <c r="P11524" s="5"/>
      <c r="Q11524" s="5"/>
      <c r="R11524" s="5"/>
      <c r="S11524" s="5"/>
      <c r="T11524" s="5"/>
      <c r="U11524" s="5"/>
      <c r="V11524" s="5"/>
      <c r="W11524" s="5"/>
      <c r="X11524" s="5"/>
      <c r="Y11524" s="5"/>
      <c r="Z11524" s="5"/>
    </row>
    <row r="11525" spans="1:26" ht="15" x14ac:dyDescent="0.25">
      <c r="A11525" s="4" t="s">
        <v>11522</v>
      </c>
      <c r="B11525" s="4" t="s">
        <v>9011</v>
      </c>
      <c r="C11525" s="2" t="str">
        <f ca="1">IFERROR(__xludf.DUMMYFUNCTION("GOOGLETRANSLATE(A11525,""bn"",""en"")"),"I will skyride")</f>
        <v>I will skyride</v>
      </c>
      <c r="D11525" s="5"/>
      <c r="E11525" s="5"/>
      <c r="F11525" s="5"/>
      <c r="G11525" s="5"/>
      <c r="H11525" s="5"/>
      <c r="I11525" s="5"/>
      <c r="J11525" s="5"/>
      <c r="K11525" s="5"/>
      <c r="L11525" s="5"/>
      <c r="M11525" s="5"/>
      <c r="N11525" s="5"/>
      <c r="O11525" s="5"/>
      <c r="P11525" s="5"/>
      <c r="Q11525" s="5"/>
      <c r="R11525" s="5"/>
      <c r="S11525" s="5"/>
      <c r="T11525" s="5"/>
      <c r="U11525" s="5"/>
      <c r="V11525" s="5"/>
      <c r="W11525" s="5"/>
      <c r="X11525" s="5"/>
      <c r="Y11525" s="5"/>
      <c r="Z11525" s="5"/>
    </row>
    <row r="11526" spans="1:26" ht="15" x14ac:dyDescent="0.25">
      <c r="A11526" s="4" t="s">
        <v>11523</v>
      </c>
      <c r="B11526" s="4" t="s">
        <v>9011</v>
      </c>
      <c r="C11526" s="2" t="str">
        <f ca="1">IFERROR(__xludf.DUMMYFUNCTION("GOOGLETRANSLATE(A11526,""bn"",""en"")"),"Will continue to learn business")</f>
        <v>Will continue to learn business</v>
      </c>
      <c r="D11526" s="5"/>
      <c r="E11526" s="5"/>
      <c r="F11526" s="5"/>
      <c r="G11526" s="5"/>
      <c r="H11526" s="5"/>
      <c r="I11526" s="5"/>
      <c r="J11526" s="5"/>
      <c r="K11526" s="5"/>
      <c r="L11526" s="5"/>
      <c r="M11526" s="5"/>
      <c r="N11526" s="5"/>
      <c r="O11526" s="5"/>
      <c r="P11526" s="5"/>
      <c r="Q11526" s="5"/>
      <c r="R11526" s="5"/>
      <c r="S11526" s="5"/>
      <c r="T11526" s="5"/>
      <c r="U11526" s="5"/>
      <c r="V11526" s="5"/>
      <c r="W11526" s="5"/>
      <c r="X11526" s="5"/>
      <c r="Y11526" s="5"/>
      <c r="Z11526" s="5"/>
    </row>
    <row r="11527" spans="1:26" ht="15" x14ac:dyDescent="0.25">
      <c r="A11527" s="4" t="s">
        <v>11524</v>
      </c>
      <c r="B11527" s="4" t="s">
        <v>9011</v>
      </c>
      <c r="C11527" s="2" t="str">
        <f ca="1">IFERROR(__xludf.DUMMYFUNCTION("GOOGLETRANSLATE(A11527,""bn"",""en"")"),"I will continue to love football")</f>
        <v>I will continue to love football</v>
      </c>
      <c r="D11527" s="5"/>
      <c r="E11527" s="5"/>
      <c r="F11527" s="5"/>
      <c r="G11527" s="5"/>
      <c r="H11527" s="5"/>
      <c r="I11527" s="5"/>
      <c r="J11527" s="5"/>
      <c r="K11527" s="5"/>
      <c r="L11527" s="5"/>
      <c r="M11527" s="5"/>
      <c r="N11527" s="5"/>
      <c r="O11527" s="5"/>
      <c r="P11527" s="5"/>
      <c r="Q11527" s="5"/>
      <c r="R11527" s="5"/>
      <c r="S11527" s="5"/>
      <c r="T11527" s="5"/>
      <c r="U11527" s="5"/>
      <c r="V11527" s="5"/>
      <c r="W11527" s="5"/>
      <c r="X11527" s="5"/>
      <c r="Y11527" s="5"/>
      <c r="Z11527" s="5"/>
    </row>
    <row r="11528" spans="1:26" ht="15" x14ac:dyDescent="0.25">
      <c r="A11528" s="4" t="s">
        <v>11525</v>
      </c>
      <c r="B11528" s="4" t="s">
        <v>9011</v>
      </c>
      <c r="C11528" s="2" t="str">
        <f ca="1">IFERROR(__xludf.DUMMYFUNCTION("GOOGLETRANSLATE(A11528,""bn"",""en"")"),"Institutions will be formed")</f>
        <v>Institutions will be formed</v>
      </c>
      <c r="D11528" s="5"/>
      <c r="E11528" s="5"/>
      <c r="F11528" s="5"/>
      <c r="G11528" s="5"/>
      <c r="H11528" s="5"/>
      <c r="I11528" s="5"/>
      <c r="J11528" s="5"/>
      <c r="K11528" s="5"/>
      <c r="L11528" s="5"/>
      <c r="M11528" s="5"/>
      <c r="N11528" s="5"/>
      <c r="O11528" s="5"/>
      <c r="P11528" s="5"/>
      <c r="Q11528" s="5"/>
      <c r="R11528" s="5"/>
      <c r="S11528" s="5"/>
      <c r="T11528" s="5"/>
      <c r="U11528" s="5"/>
      <c r="V11528" s="5"/>
      <c r="W11528" s="5"/>
      <c r="X11528" s="5"/>
      <c r="Y11528" s="5"/>
      <c r="Z11528" s="5"/>
    </row>
    <row r="11529" spans="1:26" ht="15" x14ac:dyDescent="0.25">
      <c r="A11529" s="4" t="s">
        <v>11526</v>
      </c>
      <c r="B11529" s="4" t="s">
        <v>9011</v>
      </c>
      <c r="C11529" s="2" t="str">
        <f ca="1">IFERROR(__xludf.DUMMYFUNCTION("GOOGLETRANSLATE(A11529,""bn"",""en"")"),"I will teach street children")</f>
        <v>I will teach street children</v>
      </c>
      <c r="D11529" s="5"/>
      <c r="E11529" s="5"/>
      <c r="F11529" s="5"/>
      <c r="G11529" s="5"/>
      <c r="H11529" s="5"/>
      <c r="I11529" s="5"/>
      <c r="J11529" s="5"/>
      <c r="K11529" s="5"/>
      <c r="L11529" s="5"/>
      <c r="M11529" s="5"/>
      <c r="N11529" s="5"/>
      <c r="O11529" s="5"/>
      <c r="P11529" s="5"/>
      <c r="Q11529" s="5"/>
      <c r="R11529" s="5"/>
      <c r="S11529" s="5"/>
      <c r="T11529" s="5"/>
      <c r="U11529" s="5"/>
      <c r="V11529" s="5"/>
      <c r="W11529" s="5"/>
      <c r="X11529" s="5"/>
      <c r="Y11529" s="5"/>
      <c r="Z11529" s="5"/>
    </row>
    <row r="11530" spans="1:26" ht="15" x14ac:dyDescent="0.25">
      <c r="A11530" s="4" t="s">
        <v>11527</v>
      </c>
      <c r="B11530" s="4" t="s">
        <v>9011</v>
      </c>
      <c r="C11530" s="2" t="str">
        <f ca="1">IFERROR(__xludf.DUMMYFUNCTION("GOOGLETRANSLATE(A11530,""bn"",""en"")"),"People will discuss")</f>
        <v>People will discuss</v>
      </c>
      <c r="D11530" s="5"/>
      <c r="E11530" s="5"/>
      <c r="F11530" s="5"/>
      <c r="G11530" s="5"/>
      <c r="H11530" s="5"/>
      <c r="I11530" s="5"/>
      <c r="J11530" s="5"/>
      <c r="K11530" s="5"/>
      <c r="L11530" s="5"/>
      <c r="M11530" s="5"/>
      <c r="N11530" s="5"/>
      <c r="O11530" s="5"/>
      <c r="P11530" s="5"/>
      <c r="Q11530" s="5"/>
      <c r="R11530" s="5"/>
      <c r="S11530" s="5"/>
      <c r="T11530" s="5"/>
      <c r="U11530" s="5"/>
      <c r="V11530" s="5"/>
      <c r="W11530" s="5"/>
      <c r="X11530" s="5"/>
      <c r="Y11530" s="5"/>
      <c r="Z11530" s="5"/>
    </row>
    <row r="11531" spans="1:26" ht="15" x14ac:dyDescent="0.25">
      <c r="A11531" s="4" t="s">
        <v>11528</v>
      </c>
      <c r="B11531" s="4" t="s">
        <v>9011</v>
      </c>
      <c r="C11531" s="2" t="str">
        <f ca="1">IFERROR(__xludf.DUMMYFUNCTION("GOOGLETRANSLATE(A11531,""bn"",""en"")"),"Intelligence will increase")</f>
        <v>Intelligence will increase</v>
      </c>
      <c r="D11531" s="5"/>
      <c r="E11531" s="5"/>
      <c r="F11531" s="5"/>
      <c r="G11531" s="5"/>
      <c r="H11531" s="5"/>
      <c r="I11531" s="5"/>
      <c r="J11531" s="5"/>
      <c r="K11531" s="5"/>
      <c r="L11531" s="5"/>
      <c r="M11531" s="5"/>
      <c r="N11531" s="5"/>
      <c r="O11531" s="5"/>
      <c r="P11531" s="5"/>
      <c r="Q11531" s="5"/>
      <c r="R11531" s="5"/>
      <c r="S11531" s="5"/>
      <c r="T11531" s="5"/>
      <c r="U11531" s="5"/>
      <c r="V11531" s="5"/>
      <c r="W11531" s="5"/>
      <c r="X11531" s="5"/>
      <c r="Y11531" s="5"/>
      <c r="Z11531" s="5"/>
    </row>
    <row r="11532" spans="1:26" ht="15" x14ac:dyDescent="0.25">
      <c r="A11532" s="4" t="s">
        <v>11529</v>
      </c>
      <c r="B11532" s="4" t="s">
        <v>9011</v>
      </c>
      <c r="C11532" s="2" t="str">
        <f ca="1">IFERROR(__xludf.DUMMYFUNCTION("GOOGLETRANSLATE(A11532,""bn"",""en"")"),"I will watch the sky")</f>
        <v>I will watch the sky</v>
      </c>
      <c r="D11532" s="5"/>
      <c r="E11532" s="5"/>
      <c r="F11532" s="5"/>
      <c r="G11532" s="5"/>
      <c r="H11532" s="5"/>
      <c r="I11532" s="5"/>
      <c r="J11532" s="5"/>
      <c r="K11532" s="5"/>
      <c r="L11532" s="5"/>
      <c r="M11532" s="5"/>
      <c r="N11532" s="5"/>
      <c r="O11532" s="5"/>
      <c r="P11532" s="5"/>
      <c r="Q11532" s="5"/>
      <c r="R11532" s="5"/>
      <c r="S11532" s="5"/>
      <c r="T11532" s="5"/>
      <c r="U11532" s="5"/>
      <c r="V11532" s="5"/>
      <c r="W11532" s="5"/>
      <c r="X11532" s="5"/>
      <c r="Y11532" s="5"/>
      <c r="Z11532" s="5"/>
    </row>
    <row r="11533" spans="1:26" ht="15" x14ac:dyDescent="0.25">
      <c r="A11533" s="4" t="s">
        <v>11530</v>
      </c>
      <c r="B11533" s="4" t="s">
        <v>9011</v>
      </c>
      <c r="C11533" s="2" t="str">
        <f ca="1">IFERROR(__xludf.DUMMYFUNCTION("GOOGLETRANSLATE(A11533,""bn"",""en"")"),"Project will be delivered")</f>
        <v>Project will be delivered</v>
      </c>
      <c r="D11533" s="5"/>
      <c r="E11533" s="5"/>
      <c r="F11533" s="5"/>
      <c r="G11533" s="5"/>
      <c r="H11533" s="5"/>
      <c r="I11533" s="5"/>
      <c r="J11533" s="5"/>
      <c r="K11533" s="5"/>
      <c r="L11533" s="5"/>
      <c r="M11533" s="5"/>
      <c r="N11533" s="5"/>
      <c r="O11533" s="5"/>
      <c r="P11533" s="5"/>
      <c r="Q11533" s="5"/>
      <c r="R11533" s="5"/>
      <c r="S11533" s="5"/>
      <c r="T11533" s="5"/>
      <c r="U11533" s="5"/>
      <c r="V11533" s="5"/>
      <c r="W11533" s="5"/>
      <c r="X11533" s="5"/>
      <c r="Y11533" s="5"/>
      <c r="Z11533" s="5"/>
    </row>
    <row r="11534" spans="1:26" ht="15" x14ac:dyDescent="0.25">
      <c r="A11534" s="4" t="s">
        <v>11531</v>
      </c>
      <c r="B11534" s="4" t="s">
        <v>9011</v>
      </c>
      <c r="C11534" s="2" t="str">
        <f ca="1">IFERROR(__xludf.DUMMYFUNCTION("GOOGLETRANSLATE(A11534,""bn"",""en"")"),"I will use the app")</f>
        <v>I will use the app</v>
      </c>
      <c r="D11534" s="5"/>
      <c r="E11534" s="5"/>
      <c r="F11534" s="5"/>
      <c r="G11534" s="5"/>
      <c r="H11534" s="5"/>
      <c r="I11534" s="5"/>
      <c r="J11534" s="5"/>
      <c r="K11534" s="5"/>
      <c r="L11534" s="5"/>
      <c r="M11534" s="5"/>
      <c r="N11534" s="5"/>
      <c r="O11534" s="5"/>
      <c r="P11534" s="5"/>
      <c r="Q11534" s="5"/>
      <c r="R11534" s="5"/>
      <c r="S11534" s="5"/>
      <c r="T11534" s="5"/>
      <c r="U11534" s="5"/>
      <c r="V11534" s="5"/>
      <c r="W11534" s="5"/>
      <c r="X11534" s="5"/>
      <c r="Y11534" s="5"/>
      <c r="Z11534" s="5"/>
    </row>
    <row r="11535" spans="1:26" ht="15" x14ac:dyDescent="0.25">
      <c r="A11535" s="4" t="s">
        <v>11532</v>
      </c>
      <c r="B11535" s="4" t="s">
        <v>9011</v>
      </c>
      <c r="C11535" s="2" t="str">
        <f ca="1">IFERROR(__xludf.DUMMYFUNCTION("GOOGLETRANSLATE(A11535,""bn"",""en"")"),"I will continue to read the news")</f>
        <v>I will continue to read the news</v>
      </c>
      <c r="D11535" s="5"/>
      <c r="E11535" s="5"/>
      <c r="F11535" s="5"/>
      <c r="G11535" s="5"/>
      <c r="H11535" s="5"/>
      <c r="I11535" s="5"/>
      <c r="J11535" s="5"/>
      <c r="K11535" s="5"/>
      <c r="L11535" s="5"/>
      <c r="M11535" s="5"/>
      <c r="N11535" s="5"/>
      <c r="O11535" s="5"/>
      <c r="P11535" s="5"/>
      <c r="Q11535" s="5"/>
      <c r="R11535" s="5"/>
      <c r="S11535" s="5"/>
      <c r="T11535" s="5"/>
      <c r="U11535" s="5"/>
      <c r="V11535" s="5"/>
      <c r="W11535" s="5"/>
      <c r="X11535" s="5"/>
      <c r="Y11535" s="5"/>
      <c r="Z11535" s="5"/>
    </row>
    <row r="11536" spans="1:26" ht="15" x14ac:dyDescent="0.25">
      <c r="A11536" s="4" t="s">
        <v>11533</v>
      </c>
      <c r="B11536" s="4" t="s">
        <v>9011</v>
      </c>
      <c r="C11536" s="2" t="str">
        <f ca="1">IFERROR(__xludf.DUMMYFUNCTION("GOOGLETRANSLATE(A11536,""bn"",""en"")"),"Cardamom will reduce weight")</f>
        <v>Cardamom will reduce weight</v>
      </c>
      <c r="D11536" s="5"/>
      <c r="E11536" s="5"/>
      <c r="F11536" s="5"/>
      <c r="G11536" s="5"/>
      <c r="H11536" s="5"/>
      <c r="I11536" s="5"/>
      <c r="J11536" s="5"/>
      <c r="K11536" s="5"/>
      <c r="L11536" s="5"/>
      <c r="M11536" s="5"/>
      <c r="N11536" s="5"/>
      <c r="O11536" s="5"/>
      <c r="P11536" s="5"/>
      <c r="Q11536" s="5"/>
      <c r="R11536" s="5"/>
      <c r="S11536" s="5"/>
      <c r="T11536" s="5"/>
      <c r="U11536" s="5"/>
      <c r="V11536" s="5"/>
      <c r="W11536" s="5"/>
      <c r="X11536" s="5"/>
      <c r="Y11536" s="5"/>
      <c r="Z11536" s="5"/>
    </row>
    <row r="11537" spans="1:26" ht="15" x14ac:dyDescent="0.25">
      <c r="A11537" s="4" t="s">
        <v>11534</v>
      </c>
      <c r="B11537" s="4" t="s">
        <v>9011</v>
      </c>
      <c r="C11537" s="2" t="str">
        <f ca="1">IFERROR(__xludf.DUMMYFUNCTION("GOOGLETRANSLATE(A11537,""bn"",""en"")"),"Technology will be used")</f>
        <v>Technology will be used</v>
      </c>
      <c r="D11537" s="5"/>
      <c r="E11537" s="5"/>
      <c r="F11537" s="5"/>
      <c r="G11537" s="5"/>
      <c r="H11537" s="5"/>
      <c r="I11537" s="5"/>
      <c r="J11537" s="5"/>
      <c r="K11537" s="5"/>
      <c r="L11537" s="5"/>
      <c r="M11537" s="5"/>
      <c r="N11537" s="5"/>
      <c r="O11537" s="5"/>
      <c r="P11537" s="5"/>
      <c r="Q11537" s="5"/>
      <c r="R11537" s="5"/>
      <c r="S11537" s="5"/>
      <c r="T11537" s="5"/>
      <c r="U11537" s="5"/>
      <c r="V11537" s="5"/>
      <c r="W11537" s="5"/>
      <c r="X11537" s="5"/>
      <c r="Y11537" s="5"/>
      <c r="Z11537" s="5"/>
    </row>
    <row r="11538" spans="1:26" ht="15" x14ac:dyDescent="0.25">
      <c r="A11538" s="4" t="s">
        <v>11535</v>
      </c>
      <c r="B11538" s="4" t="s">
        <v>9011</v>
      </c>
      <c r="C11538" s="2" t="str">
        <f ca="1">IFERROR(__xludf.DUMMYFUNCTION("GOOGLETRANSLATE(A11538,""bn"",""en"")"),"The website will be created")</f>
        <v>The website will be created</v>
      </c>
      <c r="D11538" s="5"/>
      <c r="E11538" s="5"/>
      <c r="F11538" s="5"/>
      <c r="G11538" s="5"/>
      <c r="H11538" s="5"/>
      <c r="I11538" s="5"/>
      <c r="J11538" s="5"/>
      <c r="K11538" s="5"/>
      <c r="L11538" s="5"/>
      <c r="M11538" s="5"/>
      <c r="N11538" s="5"/>
      <c r="O11538" s="5"/>
      <c r="P11538" s="5"/>
      <c r="Q11538" s="5"/>
      <c r="R11538" s="5"/>
      <c r="S11538" s="5"/>
      <c r="T11538" s="5"/>
      <c r="U11538" s="5"/>
      <c r="V11538" s="5"/>
      <c r="W11538" s="5"/>
      <c r="X11538" s="5"/>
      <c r="Y11538" s="5"/>
      <c r="Z11538" s="5"/>
    </row>
    <row r="11539" spans="1:26" ht="15" x14ac:dyDescent="0.25">
      <c r="A11539" s="4" t="s">
        <v>11536</v>
      </c>
      <c r="B11539" s="4" t="s">
        <v>9011</v>
      </c>
      <c r="C11539" s="2" t="str">
        <f ca="1">IFERROR(__xludf.DUMMYFUNCTION("GOOGLETRANSLATE(A11539,""bn"",""en"")"),"There will be mountains")</f>
        <v>There will be mountains</v>
      </c>
      <c r="D11539" s="5"/>
      <c r="E11539" s="5"/>
      <c r="F11539" s="5"/>
      <c r="G11539" s="5"/>
      <c r="H11539" s="5"/>
      <c r="I11539" s="5"/>
      <c r="J11539" s="5"/>
      <c r="K11539" s="5"/>
      <c r="L11539" s="5"/>
      <c r="M11539" s="5"/>
      <c r="N11539" s="5"/>
      <c r="O11539" s="5"/>
      <c r="P11539" s="5"/>
      <c r="Q11539" s="5"/>
      <c r="R11539" s="5"/>
      <c r="S11539" s="5"/>
      <c r="T11539" s="5"/>
      <c r="U11539" s="5"/>
      <c r="V11539" s="5"/>
      <c r="W11539" s="5"/>
      <c r="X11539" s="5"/>
      <c r="Y11539" s="5"/>
      <c r="Z11539" s="5"/>
    </row>
    <row r="11540" spans="1:26" ht="15" x14ac:dyDescent="0.25">
      <c r="A11540" s="4" t="s">
        <v>11537</v>
      </c>
      <c r="B11540" s="4" t="s">
        <v>9011</v>
      </c>
      <c r="C11540" s="2" t="str">
        <f ca="1">IFERROR(__xludf.DUMMYFUNCTION("GOOGLETRANSLATE(A11540,""bn"",""en"")"),"I will use the iPad")</f>
        <v>I will use the iPad</v>
      </c>
      <c r="D11540" s="5"/>
      <c r="E11540" s="5"/>
      <c r="F11540" s="5"/>
      <c r="G11540" s="5"/>
      <c r="H11540" s="5"/>
      <c r="I11540" s="5"/>
      <c r="J11540" s="5"/>
      <c r="K11540" s="5"/>
      <c r="L11540" s="5"/>
      <c r="M11540" s="5"/>
      <c r="N11540" s="5"/>
      <c r="O11540" s="5"/>
      <c r="P11540" s="5"/>
      <c r="Q11540" s="5"/>
      <c r="R11540" s="5"/>
      <c r="S11540" s="5"/>
      <c r="T11540" s="5"/>
      <c r="U11540" s="5"/>
      <c r="V11540" s="5"/>
      <c r="W11540" s="5"/>
      <c r="X11540" s="5"/>
      <c r="Y11540" s="5"/>
      <c r="Z11540" s="5"/>
    </row>
    <row r="11541" spans="1:26" ht="15" x14ac:dyDescent="0.25">
      <c r="A11541" s="4" t="s">
        <v>11538</v>
      </c>
      <c r="B11541" s="4" t="s">
        <v>9011</v>
      </c>
      <c r="C11541" s="2" t="str">
        <f ca="1">IFERROR(__xludf.DUMMYFUNCTION("GOOGLETRANSLATE(A11541,""bn"",""en"")"),"Development will be checked")</f>
        <v>Development will be checked</v>
      </c>
      <c r="D11541" s="5"/>
      <c r="E11541" s="5"/>
      <c r="F11541" s="5"/>
      <c r="G11541" s="5"/>
      <c r="H11541" s="5"/>
      <c r="I11541" s="5"/>
      <c r="J11541" s="5"/>
      <c r="K11541" s="5"/>
      <c r="L11541" s="5"/>
      <c r="M11541" s="5"/>
      <c r="N11541" s="5"/>
      <c r="O11541" s="5"/>
      <c r="P11541" s="5"/>
      <c r="Q11541" s="5"/>
      <c r="R11541" s="5"/>
      <c r="S11541" s="5"/>
      <c r="T11541" s="5"/>
      <c r="U11541" s="5"/>
      <c r="V11541" s="5"/>
      <c r="W11541" s="5"/>
      <c r="X11541" s="5"/>
      <c r="Y11541" s="5"/>
      <c r="Z11541" s="5"/>
    </row>
    <row r="11542" spans="1:26" ht="15" x14ac:dyDescent="0.25">
      <c r="A11542" s="4" t="s">
        <v>11539</v>
      </c>
      <c r="B11542" s="4" t="s">
        <v>9011</v>
      </c>
      <c r="C11542" s="2" t="str">
        <f ca="1">IFERROR(__xludf.DUMMYFUNCTION("GOOGLETRANSLATE(A11542,""bn"",""en"")"),"Banking facilities will be provided")</f>
        <v>Banking facilities will be provided</v>
      </c>
      <c r="D11542" s="5"/>
      <c r="E11542" s="5"/>
      <c r="F11542" s="5"/>
      <c r="G11542" s="5"/>
      <c r="H11542" s="5"/>
      <c r="I11542" s="5"/>
      <c r="J11542" s="5"/>
      <c r="K11542" s="5"/>
      <c r="L11542" s="5"/>
      <c r="M11542" s="5"/>
      <c r="N11542" s="5"/>
      <c r="O11542" s="5"/>
      <c r="P11542" s="5"/>
      <c r="Q11542" s="5"/>
      <c r="R11542" s="5"/>
      <c r="S11542" s="5"/>
      <c r="T11542" s="5"/>
      <c r="U11542" s="5"/>
      <c r="V11542" s="5"/>
      <c r="W11542" s="5"/>
      <c r="X11542" s="5"/>
      <c r="Y11542" s="5"/>
      <c r="Z11542" s="5"/>
    </row>
    <row r="11543" spans="1:26" ht="15" x14ac:dyDescent="0.25">
      <c r="A11543" s="4" t="s">
        <v>11540</v>
      </c>
      <c r="B11543" s="4" t="s">
        <v>9011</v>
      </c>
      <c r="C11543" s="2" t="str">
        <f ca="1">IFERROR(__xludf.DUMMYFUNCTION("GOOGLETRANSLATE(A11543,""bn"",""en"")"),"There will be a security test")</f>
        <v>There will be a security test</v>
      </c>
      <c r="D11543" s="5"/>
      <c r="E11543" s="5"/>
      <c r="F11543" s="5"/>
      <c r="G11543" s="5"/>
      <c r="H11543" s="5"/>
      <c r="I11543" s="5"/>
      <c r="J11543" s="5"/>
      <c r="K11543" s="5"/>
      <c r="L11543" s="5"/>
      <c r="M11543" s="5"/>
      <c r="N11543" s="5"/>
      <c r="O11543" s="5"/>
      <c r="P11543" s="5"/>
      <c r="Q11543" s="5"/>
      <c r="R11543" s="5"/>
      <c r="S11543" s="5"/>
      <c r="T11543" s="5"/>
      <c r="U11543" s="5"/>
      <c r="V11543" s="5"/>
      <c r="W11543" s="5"/>
      <c r="X11543" s="5"/>
      <c r="Y11543" s="5"/>
      <c r="Z11543" s="5"/>
    </row>
    <row r="11544" spans="1:26" ht="15" x14ac:dyDescent="0.25">
      <c r="A11544" s="4" t="s">
        <v>11541</v>
      </c>
      <c r="B11544" s="4" t="s">
        <v>9011</v>
      </c>
      <c r="C11544" s="2" t="str">
        <f ca="1">IFERROR(__xludf.DUMMYFUNCTION("GOOGLETRANSLATE(A11544,""bn"",""en"")"),"Banking will be convenient")</f>
        <v>Banking will be convenient</v>
      </c>
      <c r="D11544" s="5"/>
      <c r="E11544" s="5"/>
      <c r="F11544" s="5"/>
      <c r="G11544" s="5"/>
      <c r="H11544" s="5"/>
      <c r="I11544" s="5"/>
      <c r="J11544" s="5"/>
      <c r="K11544" s="5"/>
      <c r="L11544" s="5"/>
      <c r="M11544" s="5"/>
      <c r="N11544" s="5"/>
      <c r="O11544" s="5"/>
      <c r="P11544" s="5"/>
      <c r="Q11544" s="5"/>
      <c r="R11544" s="5"/>
      <c r="S11544" s="5"/>
      <c r="T11544" s="5"/>
      <c r="U11544" s="5"/>
      <c r="V11544" s="5"/>
      <c r="W11544" s="5"/>
      <c r="X11544" s="5"/>
      <c r="Y11544" s="5"/>
      <c r="Z11544" s="5"/>
    </row>
    <row r="11545" spans="1:26" ht="15" x14ac:dyDescent="0.25">
      <c r="A11545" s="4" t="s">
        <v>11542</v>
      </c>
      <c r="B11545" s="4" t="s">
        <v>9011</v>
      </c>
      <c r="C11545" s="2" t="str">
        <f ca="1">IFERROR(__xludf.DUMMYFUNCTION("GOOGLETRANSLATE(A11545,""bn"",""en"")"),"I will invest in banks")</f>
        <v>I will invest in banks</v>
      </c>
      <c r="D11545" s="5"/>
      <c r="E11545" s="5"/>
      <c r="F11545" s="5"/>
      <c r="G11545" s="5"/>
      <c r="H11545" s="5"/>
      <c r="I11545" s="5"/>
      <c r="J11545" s="5"/>
      <c r="K11545" s="5"/>
      <c r="L11545" s="5"/>
      <c r="M11545" s="5"/>
      <c r="N11545" s="5"/>
      <c r="O11545" s="5"/>
      <c r="P11545" s="5"/>
      <c r="Q11545" s="5"/>
      <c r="R11545" s="5"/>
      <c r="S11545" s="5"/>
      <c r="T11545" s="5"/>
      <c r="U11545" s="5"/>
      <c r="V11545" s="5"/>
      <c r="W11545" s="5"/>
      <c r="X11545" s="5"/>
      <c r="Y11545" s="5"/>
      <c r="Z11545" s="5"/>
    </row>
    <row r="11546" spans="1:26" ht="15" x14ac:dyDescent="0.25">
      <c r="A11546" s="4" t="s">
        <v>11543</v>
      </c>
      <c r="B11546" s="4" t="s">
        <v>9011</v>
      </c>
      <c r="C11546" s="2" t="str">
        <f ca="1">IFERROR(__xludf.DUMMYFUNCTION("GOOGLETRANSLATE(A11546,""bn"",""en"")"),"I will send the money")</f>
        <v>I will send the money</v>
      </c>
      <c r="D11546" s="5"/>
      <c r="E11546" s="5"/>
      <c r="F11546" s="5"/>
      <c r="G11546" s="5"/>
      <c r="H11546" s="5"/>
      <c r="I11546" s="5"/>
      <c r="J11546" s="5"/>
      <c r="K11546" s="5"/>
      <c r="L11546" s="5"/>
      <c r="M11546" s="5"/>
      <c r="N11546" s="5"/>
      <c r="O11546" s="5"/>
      <c r="P11546" s="5"/>
      <c r="Q11546" s="5"/>
      <c r="R11546" s="5"/>
      <c r="S11546" s="5"/>
      <c r="T11546" s="5"/>
      <c r="U11546" s="5"/>
      <c r="V11546" s="5"/>
      <c r="W11546" s="5"/>
      <c r="X11546" s="5"/>
      <c r="Y11546" s="5"/>
      <c r="Z11546" s="5"/>
    </row>
    <row r="11547" spans="1:26" ht="15" x14ac:dyDescent="0.25">
      <c r="A11547" s="4" t="s">
        <v>11544</v>
      </c>
      <c r="B11547" s="4" t="s">
        <v>9011</v>
      </c>
      <c r="C11547" s="2" t="str">
        <f ca="1">IFERROR(__xludf.DUMMYFUNCTION("GOOGLETRANSLATE(A11547,""bn"",""en"")"),"He will build the website")</f>
        <v>He will build the website</v>
      </c>
      <c r="D11547" s="5"/>
      <c r="E11547" s="5"/>
      <c r="F11547" s="5"/>
      <c r="G11547" s="5"/>
      <c r="H11547" s="5"/>
      <c r="I11547" s="5"/>
      <c r="J11547" s="5"/>
      <c r="K11547" s="5"/>
      <c r="L11547" s="5"/>
      <c r="M11547" s="5"/>
      <c r="N11547" s="5"/>
      <c r="O11547" s="5"/>
      <c r="P11547" s="5"/>
      <c r="Q11547" s="5"/>
      <c r="R11547" s="5"/>
      <c r="S11547" s="5"/>
      <c r="T11547" s="5"/>
      <c r="U11547" s="5"/>
      <c r="V11547" s="5"/>
      <c r="W11547" s="5"/>
      <c r="X11547" s="5"/>
      <c r="Y11547" s="5"/>
      <c r="Z11547" s="5"/>
    </row>
    <row r="11548" spans="1:26" ht="15" x14ac:dyDescent="0.25">
      <c r="A11548" s="4" t="s">
        <v>11545</v>
      </c>
      <c r="B11548" s="4" t="s">
        <v>9011</v>
      </c>
      <c r="C11548" s="2" t="str">
        <f ca="1">IFERROR(__xludf.DUMMYFUNCTION("GOOGLETRANSLATE(A11548,""bn"",""en"")"),"The tide will come to the sea")</f>
        <v>The tide will come to the sea</v>
      </c>
      <c r="D11548" s="5"/>
      <c r="E11548" s="5"/>
      <c r="F11548" s="5"/>
      <c r="G11548" s="5"/>
      <c r="H11548" s="5"/>
      <c r="I11548" s="5"/>
      <c r="J11548" s="5"/>
      <c r="K11548" s="5"/>
      <c r="L11548" s="5"/>
      <c r="M11548" s="5"/>
      <c r="N11548" s="5"/>
      <c r="O11548" s="5"/>
      <c r="P11548" s="5"/>
      <c r="Q11548" s="5"/>
      <c r="R11548" s="5"/>
      <c r="S11548" s="5"/>
      <c r="T11548" s="5"/>
      <c r="U11548" s="5"/>
      <c r="V11548" s="5"/>
      <c r="W11548" s="5"/>
      <c r="X11548" s="5"/>
      <c r="Y11548" s="5"/>
      <c r="Z11548" s="5"/>
    </row>
    <row r="11549" spans="1:26" ht="15" x14ac:dyDescent="0.25">
      <c r="A11549" s="4" t="s">
        <v>11546</v>
      </c>
      <c r="B11549" s="4" t="s">
        <v>9011</v>
      </c>
      <c r="C11549" s="2" t="str">
        <f ca="1">IFERROR(__xludf.DUMMYFUNCTION("GOOGLETRANSLATE(A11549,""bn"",""en"")"),"I will keep reading the jokes")</f>
        <v>I will keep reading the jokes</v>
      </c>
      <c r="D11549" s="5"/>
      <c r="E11549" s="5"/>
      <c r="F11549" s="5"/>
      <c r="G11549" s="5"/>
      <c r="H11549" s="5"/>
      <c r="I11549" s="5"/>
      <c r="J11549" s="5"/>
      <c r="K11549" s="5"/>
      <c r="L11549" s="5"/>
      <c r="M11549" s="5"/>
      <c r="N11549" s="5"/>
      <c r="O11549" s="5"/>
      <c r="P11549" s="5"/>
      <c r="Q11549" s="5"/>
      <c r="R11549" s="5"/>
      <c r="S11549" s="5"/>
      <c r="T11549" s="5"/>
      <c r="U11549" s="5"/>
      <c r="V11549" s="5"/>
      <c r="W11549" s="5"/>
      <c r="X11549" s="5"/>
      <c r="Y11549" s="5"/>
      <c r="Z11549" s="5"/>
    </row>
    <row r="11550" spans="1:26" ht="15" x14ac:dyDescent="0.25">
      <c r="A11550" s="4" t="s">
        <v>11547</v>
      </c>
      <c r="B11550" s="4" t="s">
        <v>9011</v>
      </c>
      <c r="C11550" s="2" t="str">
        <f ca="1">IFERROR(__xludf.DUMMYFUNCTION("GOOGLETRANSLATE(A11550,""bn"",""en"")"),"I will read different blogs")</f>
        <v>I will read different blogs</v>
      </c>
      <c r="D11550" s="5"/>
      <c r="E11550" s="5"/>
      <c r="F11550" s="5"/>
      <c r="G11550" s="5"/>
      <c r="H11550" s="5"/>
      <c r="I11550" s="5"/>
      <c r="J11550" s="5"/>
      <c r="K11550" s="5"/>
      <c r="L11550" s="5"/>
      <c r="M11550" s="5"/>
      <c r="N11550" s="5"/>
      <c r="O11550" s="5"/>
      <c r="P11550" s="5"/>
      <c r="Q11550" s="5"/>
      <c r="R11550" s="5"/>
      <c r="S11550" s="5"/>
      <c r="T11550" s="5"/>
      <c r="U11550" s="5"/>
      <c r="V11550" s="5"/>
      <c r="W11550" s="5"/>
      <c r="X11550" s="5"/>
      <c r="Y11550" s="5"/>
      <c r="Z11550" s="5"/>
    </row>
    <row r="11551" spans="1:26" ht="15" x14ac:dyDescent="0.25">
      <c r="A11551" s="4" t="s">
        <v>11548</v>
      </c>
      <c r="B11551" s="4" t="s">
        <v>9011</v>
      </c>
      <c r="C11551" s="2" t="str">
        <f ca="1">IFERROR(__xludf.DUMMYFUNCTION("GOOGLETRANSLATE(A11551,""bn"",""en"")"),"The movie will be directed")</f>
        <v>The movie will be directed</v>
      </c>
      <c r="D11551" s="5"/>
      <c r="E11551" s="5"/>
      <c r="F11551" s="5"/>
      <c r="G11551" s="5"/>
      <c r="H11551" s="5"/>
      <c r="I11551" s="5"/>
      <c r="J11551" s="5"/>
      <c r="K11551" s="5"/>
      <c r="L11551" s="5"/>
      <c r="M11551" s="5"/>
      <c r="N11551" s="5"/>
      <c r="O11551" s="5"/>
      <c r="P11551" s="5"/>
      <c r="Q11551" s="5"/>
      <c r="R11551" s="5"/>
      <c r="S11551" s="5"/>
      <c r="T11551" s="5"/>
      <c r="U11551" s="5"/>
      <c r="V11551" s="5"/>
      <c r="W11551" s="5"/>
      <c r="X11551" s="5"/>
      <c r="Y11551" s="5"/>
      <c r="Z11551" s="5"/>
    </row>
    <row r="11552" spans="1:26" ht="15" x14ac:dyDescent="0.25">
      <c r="A11552" s="4" t="s">
        <v>11549</v>
      </c>
      <c r="B11552" s="4" t="s">
        <v>9011</v>
      </c>
      <c r="C11552" s="2" t="str">
        <f ca="1">IFERROR(__xludf.DUMMYFUNCTION("GOOGLETRANSLATE(A11552,""bn"",""en"")"),"There will be a football tournament")</f>
        <v>There will be a football tournament</v>
      </c>
      <c r="D11552" s="5"/>
      <c r="E11552" s="5"/>
      <c r="F11552" s="5"/>
      <c r="G11552" s="5"/>
      <c r="H11552" s="5"/>
      <c r="I11552" s="5"/>
      <c r="J11552" s="5"/>
      <c r="K11552" s="5"/>
      <c r="L11552" s="5"/>
      <c r="M11552" s="5"/>
      <c r="N11552" s="5"/>
      <c r="O11552" s="5"/>
      <c r="P11552" s="5"/>
      <c r="Q11552" s="5"/>
      <c r="R11552" s="5"/>
      <c r="S11552" s="5"/>
      <c r="T11552" s="5"/>
      <c r="U11552" s="5"/>
      <c r="V11552" s="5"/>
      <c r="W11552" s="5"/>
      <c r="X11552" s="5"/>
      <c r="Y11552" s="5"/>
      <c r="Z11552" s="5"/>
    </row>
    <row r="11553" spans="1:26" ht="15" x14ac:dyDescent="0.25">
      <c r="A11553" s="4" t="s">
        <v>11550</v>
      </c>
      <c r="B11553" s="4" t="s">
        <v>9011</v>
      </c>
      <c r="C11553" s="2" t="str">
        <f ca="1">IFERROR(__xludf.DUMMYFUNCTION("GOOGLETRANSLATE(A11553,""bn"",""en"")"),"Network will be managed")</f>
        <v>Network will be managed</v>
      </c>
      <c r="D11553" s="5"/>
      <c r="E11553" s="5"/>
      <c r="F11553" s="5"/>
      <c r="G11553" s="5"/>
      <c r="H11553" s="5"/>
      <c r="I11553" s="5"/>
      <c r="J11553" s="5"/>
      <c r="K11553" s="5"/>
      <c r="L11553" s="5"/>
      <c r="M11553" s="5"/>
      <c r="N11553" s="5"/>
      <c r="O11553" s="5"/>
      <c r="P11553" s="5"/>
      <c r="Q11553" s="5"/>
      <c r="R11553" s="5"/>
      <c r="S11553" s="5"/>
      <c r="T11553" s="5"/>
      <c r="U11553" s="5"/>
      <c r="V11553" s="5"/>
      <c r="W11553" s="5"/>
      <c r="X11553" s="5"/>
      <c r="Y11553" s="5"/>
      <c r="Z11553" s="5"/>
    </row>
    <row r="11554" spans="1:26" ht="15" x14ac:dyDescent="0.25">
      <c r="A11554" s="4" t="s">
        <v>11551</v>
      </c>
      <c r="B11554" s="4" t="s">
        <v>9011</v>
      </c>
      <c r="C11554" s="2" t="str">
        <f ca="1">IFERROR(__xludf.DUMMYFUNCTION("GOOGLETRANSLATE(A11554,""bn"",""en"")"),"Find joy in travel")</f>
        <v>Find joy in travel</v>
      </c>
      <c r="D11554" s="5"/>
      <c r="E11554" s="5"/>
      <c r="F11554" s="5"/>
      <c r="G11554" s="5"/>
      <c r="H11554" s="5"/>
      <c r="I11554" s="5"/>
      <c r="J11554" s="5"/>
      <c r="K11554" s="5"/>
      <c r="L11554" s="5"/>
      <c r="M11554" s="5"/>
      <c r="N11554" s="5"/>
      <c r="O11554" s="5"/>
      <c r="P11554" s="5"/>
      <c r="Q11554" s="5"/>
      <c r="R11554" s="5"/>
      <c r="S11554" s="5"/>
      <c r="T11554" s="5"/>
      <c r="U11554" s="5"/>
      <c r="V11554" s="5"/>
      <c r="W11554" s="5"/>
      <c r="X11554" s="5"/>
      <c r="Y11554" s="5"/>
      <c r="Z11554" s="5"/>
    </row>
    <row r="11555" spans="1:26" ht="15" x14ac:dyDescent="0.25">
      <c r="A11555" s="4" t="s">
        <v>11552</v>
      </c>
      <c r="B11555" s="4" t="s">
        <v>9011</v>
      </c>
      <c r="C11555" s="2" t="str">
        <f ca="1">IFERROR(__xludf.DUMMYFUNCTION("GOOGLETRANSLATE(A11555,""bn"",""en"")"),"I will take the loan")</f>
        <v>I will take the loan</v>
      </c>
      <c r="D11555" s="5"/>
      <c r="E11555" s="5"/>
      <c r="F11555" s="5"/>
      <c r="G11555" s="5"/>
      <c r="H11555" s="5"/>
      <c r="I11555" s="5"/>
      <c r="J11555" s="5"/>
      <c r="K11555" s="5"/>
      <c r="L11555" s="5"/>
      <c r="M11555" s="5"/>
      <c r="N11555" s="5"/>
      <c r="O11555" s="5"/>
      <c r="P11555" s="5"/>
      <c r="Q11555" s="5"/>
      <c r="R11555" s="5"/>
      <c r="S11555" s="5"/>
      <c r="T11555" s="5"/>
      <c r="U11555" s="5"/>
      <c r="V11555" s="5"/>
      <c r="W11555" s="5"/>
      <c r="X11555" s="5"/>
      <c r="Y11555" s="5"/>
      <c r="Z11555" s="5"/>
    </row>
    <row r="11556" spans="1:26" ht="15" x14ac:dyDescent="0.25">
      <c r="A11556" s="4" t="s">
        <v>11553</v>
      </c>
      <c r="B11556" s="4" t="s">
        <v>9011</v>
      </c>
      <c r="C11556" s="2" t="str">
        <f ca="1">IFERROR(__xludf.DUMMYFUNCTION("GOOGLETRANSLATE(A11556,""bn"",""en"")"),"I will take a credit card")</f>
        <v>I will take a credit card</v>
      </c>
      <c r="D11556" s="5"/>
      <c r="E11556" s="5"/>
      <c r="F11556" s="5"/>
      <c r="G11556" s="5"/>
      <c r="H11556" s="5"/>
      <c r="I11556" s="5"/>
      <c r="J11556" s="5"/>
      <c r="K11556" s="5"/>
      <c r="L11556" s="5"/>
      <c r="M11556" s="5"/>
      <c r="N11556" s="5"/>
      <c r="O11556" s="5"/>
      <c r="P11556" s="5"/>
      <c r="Q11556" s="5"/>
      <c r="R11556" s="5"/>
      <c r="S11556" s="5"/>
      <c r="T11556" s="5"/>
      <c r="U11556" s="5"/>
      <c r="V11556" s="5"/>
      <c r="W11556" s="5"/>
      <c r="X11556" s="5"/>
      <c r="Y11556" s="5"/>
      <c r="Z11556" s="5"/>
    </row>
    <row r="11557" spans="1:26" ht="15" x14ac:dyDescent="0.25">
      <c r="A11557" s="4" t="s">
        <v>11554</v>
      </c>
      <c r="B11557" s="4" t="s">
        <v>9011</v>
      </c>
      <c r="C11557" s="2" t="str">
        <f ca="1">IFERROR(__xludf.DUMMYFUNCTION("GOOGLETRANSLATE(A11557,""bn"",""en"")"),"you go to the bank")</f>
        <v>you go to the bank</v>
      </c>
      <c r="D11557" s="5"/>
      <c r="E11557" s="5"/>
      <c r="F11557" s="5"/>
      <c r="G11557" s="5"/>
      <c r="H11557" s="5"/>
      <c r="I11557" s="5"/>
      <c r="J11557" s="5"/>
      <c r="K11557" s="5"/>
      <c r="L11557" s="5"/>
      <c r="M11557" s="5"/>
      <c r="N11557" s="5"/>
      <c r="O11557" s="5"/>
      <c r="P11557" s="5"/>
      <c r="Q11557" s="5"/>
      <c r="R11557" s="5"/>
      <c r="S11557" s="5"/>
      <c r="T11557" s="5"/>
      <c r="U11557" s="5"/>
      <c r="V11557" s="5"/>
      <c r="W11557" s="5"/>
      <c r="X11557" s="5"/>
      <c r="Y11557" s="5"/>
      <c r="Z11557" s="5"/>
    </row>
    <row r="11558" spans="1:26" ht="15" x14ac:dyDescent="0.25">
      <c r="A11558" s="4" t="s">
        <v>11555</v>
      </c>
      <c r="B11558" s="4" t="s">
        <v>9011</v>
      </c>
      <c r="C11558" s="2" t="str">
        <f ca="1">IFERROR(__xludf.DUMMYFUNCTION("GOOGLETRANSLATE(A11558,""bn"",""en"")"),"You will have tea")</f>
        <v>You will have tea</v>
      </c>
      <c r="D11558" s="5"/>
      <c r="E11558" s="5"/>
      <c r="F11558" s="5"/>
      <c r="G11558" s="5"/>
      <c r="H11558" s="5"/>
      <c r="I11558" s="5"/>
      <c r="J11558" s="5"/>
      <c r="K11558" s="5"/>
      <c r="L11558" s="5"/>
      <c r="M11558" s="5"/>
      <c r="N11558" s="5"/>
      <c r="O11558" s="5"/>
      <c r="P11558" s="5"/>
      <c r="Q11558" s="5"/>
      <c r="R11558" s="5"/>
      <c r="S11558" s="5"/>
      <c r="T11558" s="5"/>
      <c r="U11558" s="5"/>
      <c r="V11558" s="5"/>
      <c r="W11558" s="5"/>
      <c r="X11558" s="5"/>
      <c r="Y11558" s="5"/>
      <c r="Z11558" s="5"/>
    </row>
    <row r="11559" spans="1:26" ht="15" x14ac:dyDescent="0.25">
      <c r="A11559" s="4" t="s">
        <v>11556</v>
      </c>
      <c r="B11559" s="4" t="s">
        <v>9011</v>
      </c>
      <c r="C11559" s="2" t="str">
        <f ca="1">IFERROR(__xludf.DUMMYFUNCTION("GOOGLETRANSLATE(A11559,""bn"",""en"")"),"I will play the song")</f>
        <v>I will play the song</v>
      </c>
      <c r="D11559" s="5"/>
      <c r="E11559" s="5"/>
      <c r="F11559" s="5"/>
      <c r="G11559" s="5"/>
      <c r="H11559" s="5"/>
      <c r="I11559" s="5"/>
      <c r="J11559" s="5"/>
      <c r="K11559" s="5"/>
      <c r="L11559" s="5"/>
      <c r="M11559" s="5"/>
      <c r="N11559" s="5"/>
      <c r="O11559" s="5"/>
      <c r="P11559" s="5"/>
      <c r="Q11559" s="5"/>
      <c r="R11559" s="5"/>
      <c r="S11559" s="5"/>
      <c r="T11559" s="5"/>
      <c r="U11559" s="5"/>
      <c r="V11559" s="5"/>
      <c r="W11559" s="5"/>
      <c r="X11559" s="5"/>
      <c r="Y11559" s="5"/>
      <c r="Z11559" s="5"/>
    </row>
    <row r="11560" spans="1:26" ht="15" x14ac:dyDescent="0.25">
      <c r="A11560" s="4" t="s">
        <v>11557</v>
      </c>
      <c r="B11560" s="4" t="s">
        <v>9011</v>
      </c>
      <c r="C11560" s="2" t="str">
        <f ca="1">IFERROR(__xludf.DUMMYFUNCTION("GOOGLETRANSLATE(A11560,""bn"",""en"")"),"Love to travel by sea")</f>
        <v>Love to travel by sea</v>
      </c>
      <c r="D11560" s="5"/>
      <c r="E11560" s="5"/>
      <c r="F11560" s="5"/>
      <c r="G11560" s="5"/>
      <c r="H11560" s="5"/>
      <c r="I11560" s="5"/>
      <c r="J11560" s="5"/>
      <c r="K11560" s="5"/>
      <c r="L11560" s="5"/>
      <c r="M11560" s="5"/>
      <c r="N11560" s="5"/>
      <c r="O11560" s="5"/>
      <c r="P11560" s="5"/>
      <c r="Q11560" s="5"/>
      <c r="R11560" s="5"/>
      <c r="S11560" s="5"/>
      <c r="T11560" s="5"/>
      <c r="U11560" s="5"/>
      <c r="V11560" s="5"/>
      <c r="W11560" s="5"/>
      <c r="X11560" s="5"/>
      <c r="Y11560" s="5"/>
      <c r="Z11560" s="5"/>
    </row>
    <row r="11561" spans="1:26" ht="15" x14ac:dyDescent="0.25">
      <c r="A11561" s="4" t="s">
        <v>11558</v>
      </c>
      <c r="B11561" s="4" t="s">
        <v>9011</v>
      </c>
      <c r="C11561" s="2" t="str">
        <f ca="1">IFERROR(__xludf.DUMMYFUNCTION("GOOGLETRANSLATE(A11561,""bn"",""en"")"),"The Prime Minister will advise")</f>
        <v>The Prime Minister will advise</v>
      </c>
      <c r="D11561" s="5"/>
      <c r="E11561" s="5"/>
      <c r="F11561" s="5"/>
      <c r="G11561" s="5"/>
      <c r="H11561" s="5"/>
      <c r="I11561" s="5"/>
      <c r="J11561" s="5"/>
      <c r="K11561" s="5"/>
      <c r="L11561" s="5"/>
      <c r="M11561" s="5"/>
      <c r="N11561" s="5"/>
      <c r="O11561" s="5"/>
      <c r="P11561" s="5"/>
      <c r="Q11561" s="5"/>
      <c r="R11561" s="5"/>
      <c r="S11561" s="5"/>
      <c r="T11561" s="5"/>
      <c r="U11561" s="5"/>
      <c r="V11561" s="5"/>
      <c r="W11561" s="5"/>
      <c r="X11561" s="5"/>
      <c r="Y11561" s="5"/>
      <c r="Z11561" s="5"/>
    </row>
    <row r="11562" spans="1:26" ht="15" x14ac:dyDescent="0.25">
      <c r="A11562" s="4" t="s">
        <v>11559</v>
      </c>
      <c r="B11562" s="4" t="s">
        <v>9011</v>
      </c>
      <c r="C11562" s="2" t="str">
        <f ca="1">IFERROR(__xludf.DUMMYFUNCTION("GOOGLETRANSLATE(A11562,""bn"",""en"")"),"I will get support")</f>
        <v>I will get support</v>
      </c>
      <c r="D11562" s="5"/>
      <c r="E11562" s="5"/>
      <c r="F11562" s="5"/>
      <c r="G11562" s="5"/>
      <c r="H11562" s="5"/>
      <c r="I11562" s="5"/>
      <c r="J11562" s="5"/>
      <c r="K11562" s="5"/>
      <c r="L11562" s="5"/>
      <c r="M11562" s="5"/>
      <c r="N11562" s="5"/>
      <c r="O11562" s="5"/>
      <c r="P11562" s="5"/>
      <c r="Q11562" s="5"/>
      <c r="R11562" s="5"/>
      <c r="S11562" s="5"/>
      <c r="T11562" s="5"/>
      <c r="U11562" s="5"/>
      <c r="V11562" s="5"/>
      <c r="W11562" s="5"/>
      <c r="X11562" s="5"/>
      <c r="Y11562" s="5"/>
      <c r="Z11562" s="5"/>
    </row>
    <row r="11563" spans="1:26" ht="15" x14ac:dyDescent="0.25">
      <c r="A11563" s="4" t="s">
        <v>11560</v>
      </c>
      <c r="B11563" s="4" t="s">
        <v>9011</v>
      </c>
      <c r="C11563" s="2" t="str">
        <f ca="1">IFERROR(__xludf.DUMMYFUNCTION("GOOGLETRANSLATE(A11563,""bn"",""en"")"),"The setting will change")</f>
        <v>The setting will change</v>
      </c>
      <c r="D11563" s="5"/>
      <c r="E11563" s="5"/>
      <c r="F11563" s="5"/>
      <c r="G11563" s="5"/>
      <c r="H11563" s="5"/>
      <c r="I11563" s="5"/>
      <c r="J11563" s="5"/>
      <c r="K11563" s="5"/>
      <c r="L11563" s="5"/>
      <c r="M11563" s="5"/>
      <c r="N11563" s="5"/>
      <c r="O11563" s="5"/>
      <c r="P11563" s="5"/>
      <c r="Q11563" s="5"/>
      <c r="R11563" s="5"/>
      <c r="S11563" s="5"/>
      <c r="T11563" s="5"/>
      <c r="U11563" s="5"/>
      <c r="V11563" s="5"/>
      <c r="W11563" s="5"/>
      <c r="X11563" s="5"/>
      <c r="Y11563" s="5"/>
      <c r="Z11563" s="5"/>
    </row>
    <row r="11564" spans="1:26" ht="15" x14ac:dyDescent="0.25">
      <c r="A11564" s="4" t="s">
        <v>11561</v>
      </c>
      <c r="B11564" s="4" t="s">
        <v>9011</v>
      </c>
      <c r="C11564" s="2" t="str">
        <f ca="1">IFERROR(__xludf.DUMMYFUNCTION("GOOGLETRANSLATE(A11564,""bn"",""en"")"),"Will check the development")</f>
        <v>Will check the development</v>
      </c>
      <c r="D11564" s="5"/>
      <c r="E11564" s="5"/>
      <c r="F11564" s="5"/>
      <c r="G11564" s="5"/>
      <c r="H11564" s="5"/>
      <c r="I11564" s="5"/>
      <c r="J11564" s="5"/>
      <c r="K11564" s="5"/>
      <c r="L11564" s="5"/>
      <c r="M11564" s="5"/>
      <c r="N11564" s="5"/>
      <c r="O11564" s="5"/>
      <c r="P11564" s="5"/>
      <c r="Q11564" s="5"/>
      <c r="R11564" s="5"/>
      <c r="S11564" s="5"/>
      <c r="T11564" s="5"/>
      <c r="U11564" s="5"/>
      <c r="V11564" s="5"/>
      <c r="W11564" s="5"/>
      <c r="X11564" s="5"/>
      <c r="Y11564" s="5"/>
      <c r="Z11564" s="5"/>
    </row>
    <row r="11565" spans="1:26" ht="15" x14ac:dyDescent="0.25">
      <c r="A11565" s="4" t="s">
        <v>11562</v>
      </c>
      <c r="B11565" s="4" t="s">
        <v>9011</v>
      </c>
      <c r="C11565" s="2" t="str">
        <f ca="1">IFERROR(__xludf.DUMMYFUNCTION("GOOGLETRANSLATE(A11565,""bn"",""en"")"),"Rockets will be expensive")</f>
        <v>Rockets will be expensive</v>
      </c>
      <c r="D11565" s="5"/>
      <c r="E11565" s="5"/>
      <c r="F11565" s="5"/>
      <c r="G11565" s="5"/>
      <c r="H11565" s="5"/>
      <c r="I11565" s="5"/>
      <c r="J11565" s="5"/>
      <c r="K11565" s="5"/>
      <c r="L11565" s="5"/>
      <c r="M11565" s="5"/>
      <c r="N11565" s="5"/>
      <c r="O11565" s="5"/>
      <c r="P11565" s="5"/>
      <c r="Q11565" s="5"/>
      <c r="R11565" s="5"/>
      <c r="S11565" s="5"/>
      <c r="T11565" s="5"/>
      <c r="U11565" s="5"/>
      <c r="V11565" s="5"/>
      <c r="W11565" s="5"/>
      <c r="X11565" s="5"/>
      <c r="Y11565" s="5"/>
      <c r="Z11565" s="5"/>
    </row>
    <row r="11566" spans="1:26" ht="15" x14ac:dyDescent="0.25">
      <c r="A11566" s="4" t="s">
        <v>11563</v>
      </c>
      <c r="B11566" s="4" t="s">
        <v>9011</v>
      </c>
      <c r="C11566" s="2" t="str">
        <f ca="1">IFERROR(__xludf.DUMMYFUNCTION("GOOGLETRANSLATE(A11566,""bn"",""en"")"),"I will go for leisure")</f>
        <v>I will go for leisure</v>
      </c>
      <c r="D11566" s="5"/>
      <c r="E11566" s="5"/>
      <c r="F11566" s="5"/>
      <c r="G11566" s="5"/>
      <c r="H11566" s="5"/>
      <c r="I11566" s="5"/>
      <c r="J11566" s="5"/>
      <c r="K11566" s="5"/>
      <c r="L11566" s="5"/>
      <c r="M11566" s="5"/>
      <c r="N11566" s="5"/>
      <c r="O11566" s="5"/>
      <c r="P11566" s="5"/>
      <c r="Q11566" s="5"/>
      <c r="R11566" s="5"/>
      <c r="S11566" s="5"/>
      <c r="T11566" s="5"/>
      <c r="U11566" s="5"/>
      <c r="V11566" s="5"/>
      <c r="W11566" s="5"/>
      <c r="X11566" s="5"/>
      <c r="Y11566" s="5"/>
      <c r="Z11566" s="5"/>
    </row>
    <row r="11567" spans="1:26" ht="15" x14ac:dyDescent="0.25">
      <c r="A11567" s="4" t="s">
        <v>11564</v>
      </c>
      <c r="B11567" s="4" t="s">
        <v>9011</v>
      </c>
      <c r="C11567" s="2" t="str">
        <f ca="1">IFERROR(__xludf.DUMMYFUNCTION("GOOGLETRANSLATE(A11567,""bn"",""en"")"),"The router will connect")</f>
        <v>The router will connect</v>
      </c>
      <c r="D11567" s="5"/>
      <c r="E11567" s="5"/>
      <c r="F11567" s="5"/>
      <c r="G11567" s="5"/>
      <c r="H11567" s="5"/>
      <c r="I11567" s="5"/>
      <c r="J11567" s="5"/>
      <c r="K11567" s="5"/>
      <c r="L11567" s="5"/>
      <c r="M11567" s="5"/>
      <c r="N11567" s="5"/>
      <c r="O11567" s="5"/>
      <c r="P11567" s="5"/>
      <c r="Q11567" s="5"/>
      <c r="R11567" s="5"/>
      <c r="S11567" s="5"/>
      <c r="T11567" s="5"/>
      <c r="U11567" s="5"/>
      <c r="V11567" s="5"/>
      <c r="W11567" s="5"/>
      <c r="X11567" s="5"/>
      <c r="Y11567" s="5"/>
      <c r="Z11567" s="5"/>
    </row>
    <row r="11568" spans="1:26" ht="15" x14ac:dyDescent="0.25">
      <c r="A11568" s="4" t="s">
        <v>11565</v>
      </c>
      <c r="B11568" s="4" t="s">
        <v>9011</v>
      </c>
      <c r="C11568" s="2" t="str">
        <f ca="1">IFERROR(__xludf.DUMMYFUNCTION("GOOGLETRANSLATE(A11568,""bn"",""en"")"),"I will take loan approval")</f>
        <v>I will take loan approval</v>
      </c>
      <c r="D11568" s="5"/>
      <c r="E11568" s="5"/>
      <c r="F11568" s="5"/>
      <c r="G11568" s="5"/>
      <c r="H11568" s="5"/>
      <c r="I11568" s="5"/>
      <c r="J11568" s="5"/>
      <c r="K11568" s="5"/>
      <c r="L11568" s="5"/>
      <c r="M11568" s="5"/>
      <c r="N11568" s="5"/>
      <c r="O11568" s="5"/>
      <c r="P11568" s="5"/>
      <c r="Q11568" s="5"/>
      <c r="R11568" s="5"/>
      <c r="S11568" s="5"/>
      <c r="T11568" s="5"/>
      <c r="U11568" s="5"/>
      <c r="V11568" s="5"/>
      <c r="W11568" s="5"/>
      <c r="X11568" s="5"/>
      <c r="Y11568" s="5"/>
      <c r="Z11568" s="5"/>
    </row>
    <row r="11569" spans="1:26" ht="15" x14ac:dyDescent="0.25">
      <c r="A11569" s="4" t="s">
        <v>11566</v>
      </c>
      <c r="B11569" s="4" t="s">
        <v>9011</v>
      </c>
      <c r="C11569" s="2" t="str">
        <f ca="1">IFERROR(__xludf.DUMMYFUNCTION("GOOGLETRANSLATE(A11569,""bn"",""en"")"),"will be collected")</f>
        <v>will be collected</v>
      </c>
      <c r="D11569" s="5"/>
      <c r="E11569" s="5"/>
      <c r="F11569" s="5"/>
      <c r="G11569" s="5"/>
      <c r="H11569" s="5"/>
      <c r="I11569" s="5"/>
      <c r="J11569" s="5"/>
      <c r="K11569" s="5"/>
      <c r="L11569" s="5"/>
      <c r="M11569" s="5"/>
      <c r="N11569" s="5"/>
      <c r="O11569" s="5"/>
      <c r="P11569" s="5"/>
      <c r="Q11569" s="5"/>
      <c r="R11569" s="5"/>
      <c r="S11569" s="5"/>
      <c r="T11569" s="5"/>
      <c r="U11569" s="5"/>
      <c r="V11569" s="5"/>
      <c r="W11569" s="5"/>
      <c r="X11569" s="5"/>
      <c r="Y11569" s="5"/>
      <c r="Z11569" s="5"/>
    </row>
    <row r="11570" spans="1:26" ht="15" x14ac:dyDescent="0.25">
      <c r="A11570" s="4" t="s">
        <v>11567</v>
      </c>
      <c r="B11570" s="4" t="s">
        <v>9011</v>
      </c>
      <c r="C11570" s="2" t="str">
        <f ca="1">IFERROR(__xludf.DUMMYFUNCTION("GOOGLETRANSLATE(A11570,""bn"",""en"")"),"I will check the score")</f>
        <v>I will check the score</v>
      </c>
      <c r="D11570" s="5"/>
      <c r="E11570" s="5"/>
      <c r="F11570" s="5"/>
      <c r="G11570" s="5"/>
      <c r="H11570" s="5"/>
      <c r="I11570" s="5"/>
      <c r="J11570" s="5"/>
      <c r="K11570" s="5"/>
      <c r="L11570" s="5"/>
      <c r="M11570" s="5"/>
      <c r="N11570" s="5"/>
      <c r="O11570" s="5"/>
      <c r="P11570" s="5"/>
      <c r="Q11570" s="5"/>
      <c r="R11570" s="5"/>
      <c r="S11570" s="5"/>
      <c r="T11570" s="5"/>
      <c r="U11570" s="5"/>
      <c r="V11570" s="5"/>
      <c r="W11570" s="5"/>
      <c r="X11570" s="5"/>
      <c r="Y11570" s="5"/>
      <c r="Z11570" s="5"/>
    </row>
    <row r="11571" spans="1:26" ht="15" x14ac:dyDescent="0.25">
      <c r="A11571" s="4" t="s">
        <v>11568</v>
      </c>
      <c r="B11571" s="4" t="s">
        <v>9011</v>
      </c>
      <c r="C11571" s="2" t="str">
        <f ca="1">IFERROR(__xludf.DUMMYFUNCTION("GOOGLETRANSLATE(A11571,""bn"",""en"")"),"Partner will be selected")</f>
        <v>Partner will be selected</v>
      </c>
      <c r="D11571" s="5"/>
      <c r="E11571" s="5"/>
      <c r="F11571" s="5"/>
      <c r="G11571" s="5"/>
      <c r="H11571" s="5"/>
      <c r="I11571" s="5"/>
      <c r="J11571" s="5"/>
      <c r="K11571" s="5"/>
      <c r="L11571" s="5"/>
      <c r="M11571" s="5"/>
      <c r="N11571" s="5"/>
      <c r="O11571" s="5"/>
      <c r="P11571" s="5"/>
      <c r="Q11571" s="5"/>
      <c r="R11571" s="5"/>
      <c r="S11571" s="5"/>
      <c r="T11571" s="5"/>
      <c r="U11571" s="5"/>
      <c r="V11571" s="5"/>
      <c r="W11571" s="5"/>
      <c r="X11571" s="5"/>
      <c r="Y11571" s="5"/>
      <c r="Z11571" s="5"/>
    </row>
    <row r="11572" spans="1:26" ht="15" x14ac:dyDescent="0.25">
      <c r="A11572" s="4" t="s">
        <v>11569</v>
      </c>
      <c r="B11572" s="4" t="s">
        <v>9011</v>
      </c>
      <c r="C11572" s="2" t="str">
        <f ca="1">IFERROR(__xludf.DUMMYFUNCTION("GOOGLETRANSLATE(A11572,""bn"",""en"")"),"I will continue to donate")</f>
        <v>I will continue to donate</v>
      </c>
      <c r="D11572" s="5"/>
      <c r="E11572" s="5"/>
      <c r="F11572" s="5"/>
      <c r="G11572" s="5"/>
      <c r="H11572" s="5"/>
      <c r="I11572" s="5"/>
      <c r="J11572" s="5"/>
      <c r="K11572" s="5"/>
      <c r="L11572" s="5"/>
      <c r="M11572" s="5"/>
      <c r="N11572" s="5"/>
      <c r="O11572" s="5"/>
      <c r="P11572" s="5"/>
      <c r="Q11572" s="5"/>
      <c r="R11572" s="5"/>
      <c r="S11572" s="5"/>
      <c r="T11572" s="5"/>
      <c r="U11572" s="5"/>
      <c r="V11572" s="5"/>
      <c r="W11572" s="5"/>
      <c r="X11572" s="5"/>
      <c r="Y11572" s="5"/>
      <c r="Z11572" s="5"/>
    </row>
    <row r="11573" spans="1:26" ht="15" x14ac:dyDescent="0.25">
      <c r="A11573" s="4" t="s">
        <v>11570</v>
      </c>
      <c r="B11573" s="4" t="s">
        <v>9011</v>
      </c>
      <c r="C11573" s="2" t="str">
        <f ca="1">IFERROR(__xludf.DUMMYFUNCTION("GOOGLETRANSLATE(A11573,""bn"",""en"")"),"Food will compensate")</f>
        <v>Food will compensate</v>
      </c>
      <c r="D11573" s="5"/>
      <c r="E11573" s="5"/>
      <c r="F11573" s="5"/>
      <c r="G11573" s="5"/>
      <c r="H11573" s="5"/>
      <c r="I11573" s="5"/>
      <c r="J11573" s="5"/>
      <c r="K11573" s="5"/>
      <c r="L11573" s="5"/>
      <c r="M11573" s="5"/>
      <c r="N11573" s="5"/>
      <c r="O11573" s="5"/>
      <c r="P11573" s="5"/>
      <c r="Q11573" s="5"/>
      <c r="R11573" s="5"/>
      <c r="S11573" s="5"/>
      <c r="T11573" s="5"/>
      <c r="U11573" s="5"/>
      <c r="V11573" s="5"/>
      <c r="W11573" s="5"/>
      <c r="X11573" s="5"/>
      <c r="Y11573" s="5"/>
      <c r="Z11573" s="5"/>
    </row>
    <row r="11574" spans="1:26" ht="15" x14ac:dyDescent="0.25">
      <c r="A11574" s="4" t="s">
        <v>11571</v>
      </c>
      <c r="B11574" s="4" t="s">
        <v>9011</v>
      </c>
      <c r="C11574" s="2" t="str">
        <f ca="1">IFERROR(__xludf.DUMMYFUNCTION("GOOGLETRANSLATE(A11574,""bn"",""en"")"),"I will use e-book")</f>
        <v>I will use e-book</v>
      </c>
      <c r="D11574" s="5"/>
      <c r="E11574" s="5"/>
      <c r="F11574" s="5"/>
      <c r="G11574" s="5"/>
      <c r="H11574" s="5"/>
      <c r="I11574" s="5"/>
      <c r="J11574" s="5"/>
      <c r="K11574" s="5"/>
      <c r="L11574" s="5"/>
      <c r="M11574" s="5"/>
      <c r="N11574" s="5"/>
      <c r="O11574" s="5"/>
      <c r="P11574" s="5"/>
      <c r="Q11574" s="5"/>
      <c r="R11574" s="5"/>
      <c r="S11574" s="5"/>
      <c r="T11574" s="5"/>
      <c r="U11574" s="5"/>
      <c r="V11574" s="5"/>
      <c r="W11574" s="5"/>
      <c r="X11574" s="5"/>
      <c r="Y11574" s="5"/>
      <c r="Z11574" s="5"/>
    </row>
    <row r="11575" spans="1:26" ht="15" x14ac:dyDescent="0.25">
      <c r="A11575" s="4" t="s">
        <v>11572</v>
      </c>
      <c r="B11575" s="4" t="s">
        <v>9011</v>
      </c>
      <c r="C11575" s="2" t="str">
        <f ca="1">IFERROR(__xludf.DUMMYFUNCTION("GOOGLETRANSLATE(A11575,""bn"",""en"")"),"Experience will be")</f>
        <v>Experience will be</v>
      </c>
      <c r="D11575" s="5"/>
      <c r="E11575" s="5"/>
      <c r="F11575" s="5"/>
      <c r="G11575" s="5"/>
      <c r="H11575" s="5"/>
      <c r="I11575" s="5"/>
      <c r="J11575" s="5"/>
      <c r="K11575" s="5"/>
      <c r="L11575" s="5"/>
      <c r="M11575" s="5"/>
      <c r="N11575" s="5"/>
      <c r="O11575" s="5"/>
      <c r="P11575" s="5"/>
      <c r="Q11575" s="5"/>
      <c r="R11575" s="5"/>
      <c r="S11575" s="5"/>
      <c r="T11575" s="5"/>
      <c r="U11575" s="5"/>
      <c r="V11575" s="5"/>
      <c r="W11575" s="5"/>
      <c r="X11575" s="5"/>
      <c r="Y11575" s="5"/>
      <c r="Z11575" s="5"/>
    </row>
    <row r="11576" spans="1:26" ht="15" x14ac:dyDescent="0.25">
      <c r="A11576" s="4" t="s">
        <v>11573</v>
      </c>
      <c r="B11576" s="4" t="s">
        <v>9011</v>
      </c>
      <c r="C11576" s="2" t="str">
        <f ca="1">IFERROR(__xludf.DUMMYFUNCTION("GOOGLETRANSLATE(A11576,""bn"",""en"")"),"The organization of the party will continue")</f>
        <v>The organization of the party will continue</v>
      </c>
      <c r="D11576" s="5"/>
      <c r="E11576" s="5"/>
      <c r="F11576" s="5"/>
      <c r="G11576" s="5"/>
      <c r="H11576" s="5"/>
      <c r="I11576" s="5"/>
      <c r="J11576" s="5"/>
      <c r="K11576" s="5"/>
      <c r="L11576" s="5"/>
      <c r="M11576" s="5"/>
      <c r="N11576" s="5"/>
      <c r="O11576" s="5"/>
      <c r="P11576" s="5"/>
      <c r="Q11576" s="5"/>
      <c r="R11576" s="5"/>
      <c r="S11576" s="5"/>
      <c r="T11576" s="5"/>
      <c r="U11576" s="5"/>
      <c r="V11576" s="5"/>
      <c r="W11576" s="5"/>
      <c r="X11576" s="5"/>
      <c r="Y11576" s="5"/>
      <c r="Z11576" s="5"/>
    </row>
    <row r="11577" spans="1:26" ht="15" x14ac:dyDescent="0.25">
      <c r="A11577" s="4" t="s">
        <v>11574</v>
      </c>
      <c r="B11577" s="4" t="s">
        <v>9011</v>
      </c>
      <c r="C11577" s="2" t="str">
        <f ca="1">IFERROR(__xludf.DUMMYFUNCTION("GOOGLETRANSLATE(A11577,""bn"",""en"")"),"I will vote effectively")</f>
        <v>I will vote effectively</v>
      </c>
      <c r="D11577" s="5"/>
      <c r="E11577" s="5"/>
      <c r="F11577" s="5"/>
      <c r="G11577" s="5"/>
      <c r="H11577" s="5"/>
      <c r="I11577" s="5"/>
      <c r="J11577" s="5"/>
      <c r="K11577" s="5"/>
      <c r="L11577" s="5"/>
      <c r="M11577" s="5"/>
      <c r="N11577" s="5"/>
      <c r="O11577" s="5"/>
      <c r="P11577" s="5"/>
      <c r="Q11577" s="5"/>
      <c r="R11577" s="5"/>
      <c r="S11577" s="5"/>
      <c r="T11577" s="5"/>
      <c r="U11577" s="5"/>
      <c r="V11577" s="5"/>
      <c r="W11577" s="5"/>
      <c r="X11577" s="5"/>
      <c r="Y11577" s="5"/>
      <c r="Z11577" s="5"/>
    </row>
    <row r="11578" spans="1:26" ht="15" x14ac:dyDescent="0.25">
      <c r="A11578" s="4" t="s">
        <v>11575</v>
      </c>
      <c r="B11578" s="4" t="s">
        <v>9011</v>
      </c>
      <c r="C11578" s="2" t="str">
        <f ca="1">IFERROR(__xludf.DUMMYFUNCTION("GOOGLETRANSLATE(A11578,""bn"",""en"")"),"Kyokradang will be beautiful")</f>
        <v>Kyokradang will be beautiful</v>
      </c>
      <c r="D11578" s="5"/>
      <c r="E11578" s="5"/>
      <c r="F11578" s="5"/>
      <c r="G11578" s="5"/>
      <c r="H11578" s="5"/>
      <c r="I11578" s="5"/>
      <c r="J11578" s="5"/>
      <c r="K11578" s="5"/>
      <c r="L11578" s="5"/>
      <c r="M11578" s="5"/>
      <c r="N11578" s="5"/>
      <c r="O11578" s="5"/>
      <c r="P11578" s="5"/>
      <c r="Q11578" s="5"/>
      <c r="R11578" s="5"/>
      <c r="S11578" s="5"/>
      <c r="T11578" s="5"/>
      <c r="U11578" s="5"/>
      <c r="V11578" s="5"/>
      <c r="W11578" s="5"/>
      <c r="X11578" s="5"/>
      <c r="Y11578" s="5"/>
      <c r="Z11578" s="5"/>
    </row>
    <row r="11579" spans="1:26" ht="15" x14ac:dyDescent="0.25">
      <c r="A11579" s="4" t="s">
        <v>11576</v>
      </c>
      <c r="B11579" s="4" t="s">
        <v>9011</v>
      </c>
      <c r="C11579" s="2" t="str">
        <f ca="1">IFERROR(__xludf.DUMMYFUNCTION("GOOGLETRANSLATE(A11579,""bn"",""en"")"),"Everyone will go to the bank")</f>
        <v>Everyone will go to the bank</v>
      </c>
      <c r="D11579" s="5"/>
      <c r="E11579" s="5"/>
      <c r="F11579" s="5"/>
      <c r="G11579" s="5"/>
      <c r="H11579" s="5"/>
      <c r="I11579" s="5"/>
      <c r="J11579" s="5"/>
      <c r="K11579" s="5"/>
      <c r="L11579" s="5"/>
      <c r="M11579" s="5"/>
      <c r="N11579" s="5"/>
      <c r="O11579" s="5"/>
      <c r="P11579" s="5"/>
      <c r="Q11579" s="5"/>
      <c r="R11579" s="5"/>
      <c r="S11579" s="5"/>
      <c r="T11579" s="5"/>
      <c r="U11579" s="5"/>
      <c r="V11579" s="5"/>
      <c r="W11579" s="5"/>
      <c r="X11579" s="5"/>
      <c r="Y11579" s="5"/>
      <c r="Z11579" s="5"/>
    </row>
    <row r="11580" spans="1:26" ht="15" x14ac:dyDescent="0.25">
      <c r="A11580" s="4" t="s">
        <v>11577</v>
      </c>
      <c r="B11580" s="4" t="s">
        <v>9011</v>
      </c>
      <c r="C11580" s="2" t="str">
        <f ca="1">IFERROR(__xludf.DUMMYFUNCTION("GOOGLETRANSLATE(A11580,""bn"",""en"")"),"He will be a technician")</f>
        <v>He will be a technician</v>
      </c>
      <c r="D11580" s="5"/>
      <c r="E11580" s="5"/>
      <c r="F11580" s="5"/>
      <c r="G11580" s="5"/>
      <c r="H11580" s="5"/>
      <c r="I11580" s="5"/>
      <c r="J11580" s="5"/>
      <c r="K11580" s="5"/>
      <c r="L11580" s="5"/>
      <c r="M11580" s="5"/>
      <c r="N11580" s="5"/>
      <c r="O11580" s="5"/>
      <c r="P11580" s="5"/>
      <c r="Q11580" s="5"/>
      <c r="R11580" s="5"/>
      <c r="S11580" s="5"/>
      <c r="T11580" s="5"/>
      <c r="U11580" s="5"/>
      <c r="V11580" s="5"/>
      <c r="W11580" s="5"/>
      <c r="X11580" s="5"/>
      <c r="Y11580" s="5"/>
      <c r="Z11580" s="5"/>
    </row>
    <row r="11581" spans="1:26" ht="15" x14ac:dyDescent="0.25">
      <c r="A11581" s="4" t="s">
        <v>11578</v>
      </c>
      <c r="B11581" s="4" t="s">
        <v>9011</v>
      </c>
      <c r="C11581" s="2" t="str">
        <f ca="1">IFERROR(__xludf.DUMMYFUNCTION("GOOGLETRANSLATE(A11581,""bn"",""en"")"),"I will buy books")</f>
        <v>I will buy books</v>
      </c>
      <c r="D11581" s="5"/>
      <c r="E11581" s="5"/>
      <c r="F11581" s="5"/>
      <c r="G11581" s="5"/>
      <c r="H11581" s="5"/>
      <c r="I11581" s="5"/>
      <c r="J11581" s="5"/>
      <c r="K11581" s="5"/>
      <c r="L11581" s="5"/>
      <c r="M11581" s="5"/>
      <c r="N11581" s="5"/>
      <c r="O11581" s="5"/>
      <c r="P11581" s="5"/>
      <c r="Q11581" s="5"/>
      <c r="R11581" s="5"/>
      <c r="S11581" s="5"/>
      <c r="T11581" s="5"/>
      <c r="U11581" s="5"/>
      <c r="V11581" s="5"/>
      <c r="W11581" s="5"/>
      <c r="X11581" s="5"/>
      <c r="Y11581" s="5"/>
      <c r="Z11581" s="5"/>
    </row>
    <row r="11582" spans="1:26" ht="15" x14ac:dyDescent="0.25">
      <c r="A11582" s="4" t="s">
        <v>11579</v>
      </c>
      <c r="B11582" s="4" t="s">
        <v>9011</v>
      </c>
      <c r="C11582" s="2" t="str">
        <f ca="1">IFERROR(__xludf.DUMMYFUNCTION("GOOGLETRANSLATE(A11582,""bn"",""en"")"),"Will continue to ski")</f>
        <v>Will continue to ski</v>
      </c>
      <c r="D11582" s="5"/>
      <c r="E11582" s="5"/>
      <c r="F11582" s="5"/>
      <c r="G11582" s="5"/>
      <c r="H11582" s="5"/>
      <c r="I11582" s="5"/>
      <c r="J11582" s="5"/>
      <c r="K11582" s="5"/>
      <c r="L11582" s="5"/>
      <c r="M11582" s="5"/>
      <c r="N11582" s="5"/>
      <c r="O11582" s="5"/>
      <c r="P11582" s="5"/>
      <c r="Q11582" s="5"/>
      <c r="R11582" s="5"/>
      <c r="S11582" s="5"/>
      <c r="T11582" s="5"/>
      <c r="U11582" s="5"/>
      <c r="V11582" s="5"/>
      <c r="W11582" s="5"/>
      <c r="X11582" s="5"/>
      <c r="Y11582" s="5"/>
      <c r="Z11582" s="5"/>
    </row>
    <row r="11583" spans="1:26" ht="15" x14ac:dyDescent="0.25">
      <c r="A11583" s="4" t="s">
        <v>11580</v>
      </c>
      <c r="B11583" s="4" t="s">
        <v>9011</v>
      </c>
      <c r="C11583" s="2" t="str">
        <f ca="1">IFERROR(__xludf.DUMMYFUNCTION("GOOGLETRANSLATE(A11583,""bn"",""en"")"),"The film will be titled")</f>
        <v>The film will be titled</v>
      </c>
      <c r="D11583" s="5"/>
      <c r="E11583" s="5"/>
      <c r="F11583" s="5"/>
      <c r="G11583" s="5"/>
      <c r="H11583" s="5"/>
      <c r="I11583" s="5"/>
      <c r="J11583" s="5"/>
      <c r="K11583" s="5"/>
      <c r="L11583" s="5"/>
      <c r="M11583" s="5"/>
      <c r="N11583" s="5"/>
      <c r="O11583" s="5"/>
      <c r="P11583" s="5"/>
      <c r="Q11583" s="5"/>
      <c r="R11583" s="5"/>
      <c r="S11583" s="5"/>
      <c r="T11583" s="5"/>
      <c r="U11583" s="5"/>
      <c r="V11583" s="5"/>
      <c r="W11583" s="5"/>
      <c r="X11583" s="5"/>
      <c r="Y11583" s="5"/>
      <c r="Z11583" s="5"/>
    </row>
    <row r="11584" spans="1:26" ht="15" x14ac:dyDescent="0.25">
      <c r="A11584" s="4" t="s">
        <v>11581</v>
      </c>
      <c r="B11584" s="4" t="s">
        <v>9011</v>
      </c>
      <c r="C11584" s="2" t="str">
        <f ca="1">IFERROR(__xludf.DUMMYFUNCTION("GOOGLETRANSLATE(A11584,""bn"",""en"")"),"I will be working")</f>
        <v>I will be working</v>
      </c>
      <c r="D11584" s="5"/>
      <c r="E11584" s="5"/>
      <c r="F11584" s="5"/>
      <c r="G11584" s="5"/>
      <c r="H11584" s="5"/>
      <c r="I11584" s="5"/>
      <c r="J11584" s="5"/>
      <c r="K11584" s="5"/>
      <c r="L11584" s="5"/>
      <c r="M11584" s="5"/>
      <c r="N11584" s="5"/>
      <c r="O11584" s="5"/>
      <c r="P11584" s="5"/>
      <c r="Q11584" s="5"/>
      <c r="R11584" s="5"/>
      <c r="S11584" s="5"/>
      <c r="T11584" s="5"/>
      <c r="U11584" s="5"/>
      <c r="V11584" s="5"/>
      <c r="W11584" s="5"/>
      <c r="X11584" s="5"/>
      <c r="Y11584" s="5"/>
      <c r="Z11584" s="5"/>
    </row>
    <row r="11585" spans="1:26" ht="15" x14ac:dyDescent="0.25">
      <c r="A11585" s="4" t="s">
        <v>11582</v>
      </c>
      <c r="B11585" s="4" t="s">
        <v>9011</v>
      </c>
      <c r="C11585" s="2" t="str">
        <f ca="1">IFERROR(__xludf.DUMMYFUNCTION("GOOGLETRANSLATE(A11585,""bn"",""en"")"),"Programming will be popular")</f>
        <v>Programming will be popular</v>
      </c>
      <c r="D11585" s="5"/>
      <c r="E11585" s="5"/>
      <c r="F11585" s="5"/>
      <c r="G11585" s="5"/>
      <c r="H11585" s="5"/>
      <c r="I11585" s="5"/>
      <c r="J11585" s="5"/>
      <c r="K11585" s="5"/>
      <c r="L11585" s="5"/>
      <c r="M11585" s="5"/>
      <c r="N11585" s="5"/>
      <c r="O11585" s="5"/>
      <c r="P11585" s="5"/>
      <c r="Q11585" s="5"/>
      <c r="R11585" s="5"/>
      <c r="S11585" s="5"/>
      <c r="T11585" s="5"/>
      <c r="U11585" s="5"/>
      <c r="V11585" s="5"/>
      <c r="W11585" s="5"/>
      <c r="X11585" s="5"/>
      <c r="Y11585" s="5"/>
      <c r="Z11585" s="5"/>
    </row>
    <row r="11586" spans="1:26" ht="15" x14ac:dyDescent="0.25">
      <c r="A11586" s="4" t="s">
        <v>11583</v>
      </c>
      <c r="B11586" s="4" t="s">
        <v>9011</v>
      </c>
      <c r="C11586" s="2" t="str">
        <f ca="1">IFERROR(__xludf.DUMMYFUNCTION("GOOGLETRANSLATE(A11586,""bn"",""en"")"),"Create a marketing plan")</f>
        <v>Create a marketing plan</v>
      </c>
      <c r="D11586" s="5"/>
      <c r="E11586" s="5"/>
      <c r="F11586" s="5"/>
      <c r="G11586" s="5"/>
      <c r="H11586" s="5"/>
      <c r="I11586" s="5"/>
      <c r="J11586" s="5"/>
      <c r="K11586" s="5"/>
      <c r="L11586" s="5"/>
      <c r="M11586" s="5"/>
      <c r="N11586" s="5"/>
      <c r="O11586" s="5"/>
      <c r="P11586" s="5"/>
      <c r="Q11586" s="5"/>
      <c r="R11586" s="5"/>
      <c r="S11586" s="5"/>
      <c r="T11586" s="5"/>
      <c r="U11586" s="5"/>
      <c r="V11586" s="5"/>
      <c r="W11586" s="5"/>
      <c r="X11586" s="5"/>
      <c r="Y11586" s="5"/>
      <c r="Z11586" s="5"/>
    </row>
    <row r="11587" spans="1:26" ht="15" x14ac:dyDescent="0.25">
      <c r="A11587" s="4" t="s">
        <v>11584</v>
      </c>
      <c r="B11587" s="4" t="s">
        <v>9011</v>
      </c>
      <c r="C11587" s="2" t="str">
        <f ca="1">IFERROR(__xludf.DUMMYFUNCTION("GOOGLETRANSLATE(A11587,""bn"",""en"")"),"I will read poetry")</f>
        <v>I will read poetry</v>
      </c>
      <c r="D11587" s="5"/>
      <c r="E11587" s="5"/>
      <c r="F11587" s="5"/>
      <c r="G11587" s="5"/>
      <c r="H11587" s="5"/>
      <c r="I11587" s="5"/>
      <c r="J11587" s="5"/>
      <c r="K11587" s="5"/>
      <c r="L11587" s="5"/>
      <c r="M11587" s="5"/>
      <c r="N11587" s="5"/>
      <c r="O11587" s="5"/>
      <c r="P11587" s="5"/>
      <c r="Q11587" s="5"/>
      <c r="R11587" s="5"/>
      <c r="S11587" s="5"/>
      <c r="T11587" s="5"/>
      <c r="U11587" s="5"/>
      <c r="V11587" s="5"/>
      <c r="W11587" s="5"/>
      <c r="X11587" s="5"/>
      <c r="Y11587" s="5"/>
      <c r="Z11587" s="5"/>
    </row>
    <row r="11588" spans="1:26" ht="15" x14ac:dyDescent="0.25">
      <c r="A11588" s="4" t="s">
        <v>11585</v>
      </c>
      <c r="B11588" s="4" t="s">
        <v>9011</v>
      </c>
      <c r="C11588" s="2" t="str">
        <f ca="1">IFERROR(__xludf.DUMMYFUNCTION("GOOGLETRANSLATE(A11588,""bn"",""en"")"),"I will send the money")</f>
        <v>I will send the money</v>
      </c>
      <c r="D11588" s="5"/>
      <c r="E11588" s="5"/>
      <c r="F11588" s="5"/>
      <c r="G11588" s="5"/>
      <c r="H11588" s="5"/>
      <c r="I11588" s="5"/>
      <c r="J11588" s="5"/>
      <c r="K11588" s="5"/>
      <c r="L11588" s="5"/>
      <c r="M11588" s="5"/>
      <c r="N11588" s="5"/>
      <c r="O11588" s="5"/>
      <c r="P11588" s="5"/>
      <c r="Q11588" s="5"/>
      <c r="R11588" s="5"/>
      <c r="S11588" s="5"/>
      <c r="T11588" s="5"/>
      <c r="U11588" s="5"/>
      <c r="V11588" s="5"/>
      <c r="W11588" s="5"/>
      <c r="X11588" s="5"/>
      <c r="Y11588" s="5"/>
      <c r="Z11588" s="5"/>
    </row>
    <row r="11589" spans="1:26" ht="15" x14ac:dyDescent="0.25">
      <c r="A11589" s="4" t="s">
        <v>11586</v>
      </c>
      <c r="B11589" s="4" t="s">
        <v>9011</v>
      </c>
      <c r="C11589" s="2" t="str">
        <f ca="1">IFERROR(__xludf.DUMMYFUNCTION("GOOGLETRANSLATE(A11589,""bn"",""en"")"),"I will be a nature lover")</f>
        <v>I will be a nature lover</v>
      </c>
      <c r="D11589" s="5"/>
      <c r="E11589" s="5"/>
      <c r="F11589" s="5"/>
      <c r="G11589" s="5"/>
      <c r="H11589" s="5"/>
      <c r="I11589" s="5"/>
      <c r="J11589" s="5"/>
      <c r="K11589" s="5"/>
      <c r="L11589" s="5"/>
      <c r="M11589" s="5"/>
      <c r="N11589" s="5"/>
      <c r="O11589" s="5"/>
      <c r="P11589" s="5"/>
      <c r="Q11589" s="5"/>
      <c r="R11589" s="5"/>
      <c r="S11589" s="5"/>
      <c r="T11589" s="5"/>
      <c r="U11589" s="5"/>
      <c r="V11589" s="5"/>
      <c r="W11589" s="5"/>
      <c r="X11589" s="5"/>
      <c r="Y11589" s="5"/>
      <c r="Z11589" s="5"/>
    </row>
    <row r="11590" spans="1:26" ht="15" x14ac:dyDescent="0.25">
      <c r="A11590" s="4" t="s">
        <v>11587</v>
      </c>
      <c r="B11590" s="4" t="s">
        <v>9011</v>
      </c>
      <c r="C11590" s="2" t="str">
        <f ca="1">IFERROR(__xludf.DUMMYFUNCTION("GOOGLETRANSLATE(A11590,""bn"",""en"")"),"We will eat pasta")</f>
        <v>We will eat pasta</v>
      </c>
      <c r="D11590" s="5"/>
      <c r="E11590" s="5"/>
      <c r="F11590" s="5"/>
      <c r="G11590" s="5"/>
      <c r="H11590" s="5"/>
      <c r="I11590" s="5"/>
      <c r="J11590" s="5"/>
      <c r="K11590" s="5"/>
      <c r="L11590" s="5"/>
      <c r="M11590" s="5"/>
      <c r="N11590" s="5"/>
      <c r="O11590" s="5"/>
      <c r="P11590" s="5"/>
      <c r="Q11590" s="5"/>
      <c r="R11590" s="5"/>
      <c r="S11590" s="5"/>
      <c r="T11590" s="5"/>
      <c r="U11590" s="5"/>
      <c r="V11590" s="5"/>
      <c r="W11590" s="5"/>
      <c r="X11590" s="5"/>
      <c r="Y11590" s="5"/>
      <c r="Z11590" s="5"/>
    </row>
    <row r="11591" spans="1:26" ht="15" x14ac:dyDescent="0.25">
      <c r="A11591" s="4" t="s">
        <v>11588</v>
      </c>
      <c r="B11591" s="4" t="s">
        <v>9011</v>
      </c>
      <c r="C11591" s="2" t="str">
        <f ca="1">IFERROR(__xludf.DUMMYFUNCTION("GOOGLETRANSLATE(A11591,""bn"",""en"")"),"Engineer will be prepared")</f>
        <v>Engineer will be prepared</v>
      </c>
      <c r="D11591" s="5"/>
      <c r="E11591" s="5"/>
      <c r="F11591" s="5"/>
      <c r="G11591" s="5"/>
      <c r="H11591" s="5"/>
      <c r="I11591" s="5"/>
      <c r="J11591" s="5"/>
      <c r="K11591" s="5"/>
      <c r="L11591" s="5"/>
      <c r="M11591" s="5"/>
      <c r="N11591" s="5"/>
      <c r="O11591" s="5"/>
      <c r="P11591" s="5"/>
      <c r="Q11591" s="5"/>
      <c r="R11591" s="5"/>
      <c r="S11591" s="5"/>
      <c r="T11591" s="5"/>
      <c r="U11591" s="5"/>
      <c r="V11591" s="5"/>
      <c r="W11591" s="5"/>
      <c r="X11591" s="5"/>
      <c r="Y11591" s="5"/>
      <c r="Z11591" s="5"/>
    </row>
    <row r="11592" spans="1:26" ht="15" x14ac:dyDescent="0.25">
      <c r="A11592" s="4" t="s">
        <v>11589</v>
      </c>
      <c r="B11592" s="4" t="s">
        <v>9011</v>
      </c>
      <c r="C11592" s="2" t="str">
        <f ca="1">IFERROR(__xludf.DUMMYFUNCTION("GOOGLETRANSLATE(A11592,""bn"",""en"")"),"You will hear the song")</f>
        <v>You will hear the song</v>
      </c>
      <c r="D11592" s="5"/>
      <c r="E11592" s="5"/>
      <c r="F11592" s="5"/>
      <c r="G11592" s="5"/>
      <c r="H11592" s="5"/>
      <c r="I11592" s="5"/>
      <c r="J11592" s="5"/>
      <c r="K11592" s="5"/>
      <c r="L11592" s="5"/>
      <c r="M11592" s="5"/>
      <c r="N11592" s="5"/>
      <c r="O11592" s="5"/>
      <c r="P11592" s="5"/>
      <c r="Q11592" s="5"/>
      <c r="R11592" s="5"/>
      <c r="S11592" s="5"/>
      <c r="T11592" s="5"/>
      <c r="U11592" s="5"/>
      <c r="V11592" s="5"/>
      <c r="W11592" s="5"/>
      <c r="X11592" s="5"/>
      <c r="Y11592" s="5"/>
      <c r="Z11592" s="5"/>
    </row>
    <row r="11593" spans="1:26" ht="15" x14ac:dyDescent="0.25">
      <c r="A11593" s="4" t="s">
        <v>11590</v>
      </c>
      <c r="B11593" s="4" t="s">
        <v>9011</v>
      </c>
      <c r="C11593" s="2" t="str">
        <f ca="1">IFERROR(__xludf.DUMMYFUNCTION("GOOGLETRANSLATE(A11593,""bn"",""en"")"),"I will continue to be inspired")</f>
        <v>I will continue to be inspired</v>
      </c>
      <c r="D11593" s="5"/>
      <c r="E11593" s="5"/>
      <c r="F11593" s="5"/>
      <c r="G11593" s="5"/>
      <c r="H11593" s="5"/>
      <c r="I11593" s="5"/>
      <c r="J11593" s="5"/>
      <c r="K11593" s="5"/>
      <c r="L11593" s="5"/>
      <c r="M11593" s="5"/>
      <c r="N11593" s="5"/>
      <c r="O11593" s="5"/>
      <c r="P11593" s="5"/>
      <c r="Q11593" s="5"/>
      <c r="R11593" s="5"/>
      <c r="S11593" s="5"/>
      <c r="T11593" s="5"/>
      <c r="U11593" s="5"/>
      <c r="V11593" s="5"/>
      <c r="W11593" s="5"/>
      <c r="X11593" s="5"/>
      <c r="Y11593" s="5"/>
      <c r="Z11593" s="5"/>
    </row>
    <row r="11594" spans="1:26" ht="15" x14ac:dyDescent="0.25">
      <c r="A11594" s="4" t="s">
        <v>11591</v>
      </c>
      <c r="B11594" s="4" t="s">
        <v>9011</v>
      </c>
      <c r="C11594" s="2" t="str">
        <f ca="1">IFERROR(__xludf.DUMMYFUNCTION("GOOGLETRANSLATE(A11594,""bn"",""en"")"),"Travel will be expensive")</f>
        <v>Travel will be expensive</v>
      </c>
      <c r="D11594" s="5"/>
      <c r="E11594" s="5"/>
      <c r="F11594" s="5"/>
      <c r="G11594" s="5"/>
      <c r="H11594" s="5"/>
      <c r="I11594" s="5"/>
      <c r="J11594" s="5"/>
      <c r="K11594" s="5"/>
      <c r="L11594" s="5"/>
      <c r="M11594" s="5"/>
      <c r="N11594" s="5"/>
      <c r="O11594" s="5"/>
      <c r="P11594" s="5"/>
      <c r="Q11594" s="5"/>
      <c r="R11594" s="5"/>
      <c r="S11594" s="5"/>
      <c r="T11594" s="5"/>
      <c r="U11594" s="5"/>
      <c r="V11594" s="5"/>
      <c r="W11594" s="5"/>
      <c r="X11594" s="5"/>
      <c r="Y11594" s="5"/>
      <c r="Z11594" s="5"/>
    </row>
    <row r="11595" spans="1:26" ht="15" x14ac:dyDescent="0.25">
      <c r="A11595" s="4" t="s">
        <v>11592</v>
      </c>
      <c r="B11595" s="4" t="s">
        <v>9011</v>
      </c>
      <c r="C11595" s="2" t="str">
        <f ca="1">IFERROR(__xludf.DUMMYFUNCTION("GOOGLETRANSLATE(A11595,""bn"",""en"")"),"I will continue to test")</f>
        <v>I will continue to test</v>
      </c>
      <c r="D11595" s="5"/>
      <c r="E11595" s="5"/>
      <c r="F11595" s="5"/>
      <c r="G11595" s="5"/>
      <c r="H11595" s="5"/>
      <c r="I11595" s="5"/>
      <c r="J11595" s="5"/>
      <c r="K11595" s="5"/>
      <c r="L11595" s="5"/>
      <c r="M11595" s="5"/>
      <c r="N11595" s="5"/>
      <c r="O11595" s="5"/>
      <c r="P11595" s="5"/>
      <c r="Q11595" s="5"/>
      <c r="R11595" s="5"/>
      <c r="S11595" s="5"/>
      <c r="T11595" s="5"/>
      <c r="U11595" s="5"/>
      <c r="V11595" s="5"/>
      <c r="W11595" s="5"/>
      <c r="X11595" s="5"/>
      <c r="Y11595" s="5"/>
      <c r="Z11595" s="5"/>
    </row>
    <row r="11596" spans="1:26" ht="15" x14ac:dyDescent="0.25">
      <c r="A11596" s="4" t="s">
        <v>11593</v>
      </c>
      <c r="B11596" s="4" t="s">
        <v>9011</v>
      </c>
      <c r="C11596" s="2" t="str">
        <f ca="1">IFERROR(__xludf.DUMMYFUNCTION("GOOGLETRANSLATE(A11596,""bn"",""en"")"),"The team will win the match")</f>
        <v>The team will win the match</v>
      </c>
      <c r="D11596" s="5"/>
      <c r="E11596" s="5"/>
      <c r="F11596" s="5"/>
      <c r="G11596" s="5"/>
      <c r="H11596" s="5"/>
      <c r="I11596" s="5"/>
      <c r="J11596" s="5"/>
      <c r="K11596" s="5"/>
      <c r="L11596" s="5"/>
      <c r="M11596" s="5"/>
      <c r="N11596" s="5"/>
      <c r="O11596" s="5"/>
      <c r="P11596" s="5"/>
      <c r="Q11596" s="5"/>
      <c r="R11596" s="5"/>
      <c r="S11596" s="5"/>
      <c r="T11596" s="5"/>
      <c r="U11596" s="5"/>
      <c r="V11596" s="5"/>
      <c r="W11596" s="5"/>
      <c r="X11596" s="5"/>
      <c r="Y11596" s="5"/>
      <c r="Z11596" s="5"/>
    </row>
    <row r="11597" spans="1:26" ht="15" x14ac:dyDescent="0.25">
      <c r="A11597" s="4" t="s">
        <v>11594</v>
      </c>
      <c r="B11597" s="4" t="s">
        <v>9011</v>
      </c>
      <c r="C11597" s="2" t="str">
        <f ca="1">IFERROR(__xludf.DUMMYFUNCTION("GOOGLETRANSLATE(A11597,""bn"",""en"")"),"Entertainment will be technology")</f>
        <v>Entertainment will be technology</v>
      </c>
      <c r="D11597" s="5"/>
      <c r="E11597" s="5"/>
      <c r="F11597" s="5"/>
      <c r="G11597" s="5"/>
      <c r="H11597" s="5"/>
      <c r="I11597" s="5"/>
      <c r="J11597" s="5"/>
      <c r="K11597" s="5"/>
      <c r="L11597" s="5"/>
      <c r="M11597" s="5"/>
      <c r="N11597" s="5"/>
      <c r="O11597" s="5"/>
      <c r="P11597" s="5"/>
      <c r="Q11597" s="5"/>
      <c r="R11597" s="5"/>
      <c r="S11597" s="5"/>
      <c r="T11597" s="5"/>
      <c r="U11597" s="5"/>
      <c r="V11597" s="5"/>
      <c r="W11597" s="5"/>
      <c r="X11597" s="5"/>
      <c r="Y11597" s="5"/>
      <c r="Z11597" s="5"/>
    </row>
    <row r="11598" spans="1:26" ht="15" x14ac:dyDescent="0.25">
      <c r="A11598" s="4" t="s">
        <v>11595</v>
      </c>
      <c r="B11598" s="4" t="s">
        <v>9011</v>
      </c>
      <c r="C11598" s="2" t="str">
        <f ca="1">IFERROR(__xludf.DUMMYFUNCTION("GOOGLETRANSLATE(A11598,""bn"",""en"")"),"I will go to Darjeeling")</f>
        <v>I will go to Darjeeling</v>
      </c>
      <c r="D11598" s="5"/>
      <c r="E11598" s="5"/>
      <c r="F11598" s="5"/>
      <c r="G11598" s="5"/>
      <c r="H11598" s="5"/>
      <c r="I11598" s="5"/>
      <c r="J11598" s="5"/>
      <c r="K11598" s="5"/>
      <c r="L11598" s="5"/>
      <c r="M11598" s="5"/>
      <c r="N11598" s="5"/>
      <c r="O11598" s="5"/>
      <c r="P11598" s="5"/>
      <c r="Q11598" s="5"/>
      <c r="R11598" s="5"/>
      <c r="S11598" s="5"/>
      <c r="T11598" s="5"/>
      <c r="U11598" s="5"/>
      <c r="V11598" s="5"/>
      <c r="W11598" s="5"/>
      <c r="X11598" s="5"/>
      <c r="Y11598" s="5"/>
      <c r="Z11598" s="5"/>
    </row>
    <row r="11599" spans="1:26" ht="15" x14ac:dyDescent="0.25">
      <c r="A11599" s="4" t="s">
        <v>11596</v>
      </c>
      <c r="B11599" s="4" t="s">
        <v>9011</v>
      </c>
      <c r="C11599" s="2" t="str">
        <f ca="1">IFERROR(__xludf.DUMMYFUNCTION("GOOGLETRANSLATE(A11599,""bn"",""en"")"),"I can read email")</f>
        <v>I can read email</v>
      </c>
      <c r="D11599" s="5"/>
      <c r="E11599" s="5"/>
      <c r="F11599" s="5"/>
      <c r="G11599" s="5"/>
      <c r="H11599" s="5"/>
      <c r="I11599" s="5"/>
      <c r="J11599" s="5"/>
      <c r="K11599" s="5"/>
      <c r="L11599" s="5"/>
      <c r="M11599" s="5"/>
      <c r="N11599" s="5"/>
      <c r="O11599" s="5"/>
      <c r="P11599" s="5"/>
      <c r="Q11599" s="5"/>
      <c r="R11599" s="5"/>
      <c r="S11599" s="5"/>
      <c r="T11599" s="5"/>
      <c r="U11599" s="5"/>
      <c r="V11599" s="5"/>
      <c r="W11599" s="5"/>
      <c r="X11599" s="5"/>
      <c r="Y11599" s="5"/>
      <c r="Z11599" s="5"/>
    </row>
    <row r="11600" spans="1:26" ht="15" x14ac:dyDescent="0.25">
      <c r="A11600" s="4" t="s">
        <v>11597</v>
      </c>
      <c r="B11600" s="4" t="s">
        <v>9011</v>
      </c>
      <c r="C11600" s="2" t="str">
        <f ca="1">IFERROR(__xludf.DUMMYFUNCTION("GOOGLETRANSLATE(A11600,""bn"",""en"")"),"Government will support")</f>
        <v>Government will support</v>
      </c>
      <c r="D11600" s="5"/>
      <c r="E11600" s="5"/>
      <c r="F11600" s="5"/>
      <c r="G11600" s="5"/>
      <c r="H11600" s="5"/>
      <c r="I11600" s="5"/>
      <c r="J11600" s="5"/>
      <c r="K11600" s="5"/>
      <c r="L11600" s="5"/>
      <c r="M11600" s="5"/>
      <c r="N11600" s="5"/>
      <c r="O11600" s="5"/>
      <c r="P11600" s="5"/>
      <c r="Q11600" s="5"/>
      <c r="R11600" s="5"/>
      <c r="S11600" s="5"/>
      <c r="T11600" s="5"/>
      <c r="U11600" s="5"/>
      <c r="V11600" s="5"/>
      <c r="W11600" s="5"/>
      <c r="X11600" s="5"/>
      <c r="Y11600" s="5"/>
      <c r="Z11600" s="5"/>
    </row>
    <row r="11601" spans="1:26" ht="15" x14ac:dyDescent="0.25">
      <c r="A11601" s="4" t="s">
        <v>11598</v>
      </c>
      <c r="B11601" s="4" t="s">
        <v>9011</v>
      </c>
      <c r="C11601" s="2" t="str">
        <f ca="1">IFERROR(__xludf.DUMMYFUNCTION("GOOGLETRANSLATE(A11601,""bn"",""en"")"),"There will be a new project")</f>
        <v>There will be a new project</v>
      </c>
      <c r="D11601" s="5"/>
      <c r="E11601" s="5"/>
      <c r="F11601" s="5"/>
      <c r="G11601" s="5"/>
      <c r="H11601" s="5"/>
      <c r="I11601" s="5"/>
      <c r="J11601" s="5"/>
      <c r="K11601" s="5"/>
      <c r="L11601" s="5"/>
      <c r="M11601" s="5"/>
      <c r="N11601" s="5"/>
      <c r="O11601" s="5"/>
      <c r="P11601" s="5"/>
      <c r="Q11601" s="5"/>
      <c r="R11601" s="5"/>
      <c r="S11601" s="5"/>
      <c r="T11601" s="5"/>
      <c r="U11601" s="5"/>
      <c r="V11601" s="5"/>
      <c r="W11601" s="5"/>
      <c r="X11601" s="5"/>
      <c r="Y11601" s="5"/>
      <c r="Z11601" s="5"/>
    </row>
    <row r="11602" spans="1:26" ht="15" x14ac:dyDescent="0.25">
      <c r="A11602" s="4" t="s">
        <v>11599</v>
      </c>
      <c r="B11602" s="4" t="s">
        <v>9011</v>
      </c>
      <c r="C11602" s="2" t="str">
        <f ca="1">IFERROR(__xludf.DUMMYFUNCTION("GOOGLETRANSLATE(A11602,""bn"",""en"")"),"Development will be cheating")</f>
        <v>Development will be cheating</v>
      </c>
      <c r="D11602" s="5"/>
      <c r="E11602" s="5"/>
      <c r="F11602" s="5"/>
      <c r="G11602" s="5"/>
      <c r="H11602" s="5"/>
      <c r="I11602" s="5"/>
      <c r="J11602" s="5"/>
      <c r="K11602" s="5"/>
      <c r="L11602" s="5"/>
      <c r="M11602" s="5"/>
      <c r="N11602" s="5"/>
      <c r="O11602" s="5"/>
      <c r="P11602" s="5"/>
      <c r="Q11602" s="5"/>
      <c r="R11602" s="5"/>
      <c r="S11602" s="5"/>
      <c r="T11602" s="5"/>
      <c r="U11602" s="5"/>
      <c r="V11602" s="5"/>
      <c r="W11602" s="5"/>
      <c r="X11602" s="5"/>
      <c r="Y11602" s="5"/>
      <c r="Z11602" s="5"/>
    </row>
    <row r="11603" spans="1:26" ht="15" x14ac:dyDescent="0.25">
      <c r="A11603" s="4" t="s">
        <v>11600</v>
      </c>
      <c r="B11603" s="4" t="s">
        <v>9011</v>
      </c>
      <c r="C11603" s="2" t="str">
        <f ca="1">IFERROR(__xludf.DUMMYFUNCTION("GOOGLETRANSLATE(A11603,""bn"",""en"")"),"I will use wifi")</f>
        <v>I will use wifi</v>
      </c>
      <c r="D11603" s="5"/>
      <c r="E11603" s="5"/>
      <c r="F11603" s="5"/>
      <c r="G11603" s="5"/>
      <c r="H11603" s="5"/>
      <c r="I11603" s="5"/>
      <c r="J11603" s="5"/>
      <c r="K11603" s="5"/>
      <c r="L11603" s="5"/>
      <c r="M11603" s="5"/>
      <c r="N11603" s="5"/>
      <c r="O11603" s="5"/>
      <c r="P11603" s="5"/>
      <c r="Q11603" s="5"/>
      <c r="R11603" s="5"/>
      <c r="S11603" s="5"/>
      <c r="T11603" s="5"/>
      <c r="U11603" s="5"/>
      <c r="V11603" s="5"/>
      <c r="W11603" s="5"/>
      <c r="X11603" s="5"/>
      <c r="Y11603" s="5"/>
      <c r="Z11603" s="5"/>
    </row>
    <row r="11604" spans="1:26" ht="15" x14ac:dyDescent="0.25">
      <c r="A11604" s="4" t="s">
        <v>11601</v>
      </c>
      <c r="B11604" s="4" t="s">
        <v>9011</v>
      </c>
      <c r="C11604" s="2" t="str">
        <f ca="1">IFERROR(__xludf.DUMMYFUNCTION("GOOGLETRANSLATE(A11604,""bn"",""en"")"),"I will introduce the initiative")</f>
        <v>I will introduce the initiative</v>
      </c>
      <c r="D11604" s="5"/>
      <c r="E11604" s="5"/>
      <c r="F11604" s="5"/>
      <c r="G11604" s="5"/>
      <c r="H11604" s="5"/>
      <c r="I11604" s="5"/>
      <c r="J11604" s="5"/>
      <c r="K11604" s="5"/>
      <c r="L11604" s="5"/>
      <c r="M11604" s="5"/>
      <c r="N11604" s="5"/>
      <c r="O11604" s="5"/>
      <c r="P11604" s="5"/>
      <c r="Q11604" s="5"/>
      <c r="R11604" s="5"/>
      <c r="S11604" s="5"/>
      <c r="T11604" s="5"/>
      <c r="U11604" s="5"/>
      <c r="V11604" s="5"/>
      <c r="W11604" s="5"/>
      <c r="X11604" s="5"/>
      <c r="Y11604" s="5"/>
      <c r="Z11604" s="5"/>
    </row>
    <row r="11605" spans="1:26" ht="15" x14ac:dyDescent="0.25">
      <c r="A11605" s="4" t="s">
        <v>11602</v>
      </c>
      <c r="B11605" s="4" t="s">
        <v>9011</v>
      </c>
      <c r="C11605" s="2" t="str">
        <f ca="1">IFERROR(__xludf.DUMMYFUNCTION("GOOGLETRANSLATE(A11605,""bn"",""en"")"),"Internet will be disconnected")</f>
        <v>Internet will be disconnected</v>
      </c>
      <c r="D11605" s="5"/>
      <c r="E11605" s="5"/>
      <c r="F11605" s="5"/>
      <c r="G11605" s="5"/>
      <c r="H11605" s="5"/>
      <c r="I11605" s="5"/>
      <c r="J11605" s="5"/>
      <c r="K11605" s="5"/>
      <c r="L11605" s="5"/>
      <c r="M11605" s="5"/>
      <c r="N11605" s="5"/>
      <c r="O11605" s="5"/>
      <c r="P11605" s="5"/>
      <c r="Q11605" s="5"/>
      <c r="R11605" s="5"/>
      <c r="S11605" s="5"/>
      <c r="T11605" s="5"/>
      <c r="U11605" s="5"/>
      <c r="V11605" s="5"/>
      <c r="W11605" s="5"/>
      <c r="X11605" s="5"/>
      <c r="Y11605" s="5"/>
      <c r="Z11605" s="5"/>
    </row>
    <row r="11606" spans="1:26" ht="15" x14ac:dyDescent="0.25">
      <c r="A11606" s="4" t="s">
        <v>11603</v>
      </c>
      <c r="B11606" s="4" t="s">
        <v>9011</v>
      </c>
      <c r="C11606" s="2" t="str">
        <f ca="1">IFERROR(__xludf.DUMMYFUNCTION("GOOGLETRANSLATE(A11606,""bn"",""en"")"),"Loans will decrease")</f>
        <v>Loans will decrease</v>
      </c>
      <c r="D11606" s="5"/>
      <c r="E11606" s="5"/>
      <c r="F11606" s="5"/>
      <c r="G11606" s="5"/>
      <c r="H11606" s="5"/>
      <c r="I11606" s="5"/>
      <c r="J11606" s="5"/>
      <c r="K11606" s="5"/>
      <c r="L11606" s="5"/>
      <c r="M11606" s="5"/>
      <c r="N11606" s="5"/>
      <c r="O11606" s="5"/>
      <c r="P11606" s="5"/>
      <c r="Q11606" s="5"/>
      <c r="R11606" s="5"/>
      <c r="S11606" s="5"/>
      <c r="T11606" s="5"/>
      <c r="U11606" s="5"/>
      <c r="V11606" s="5"/>
      <c r="W11606" s="5"/>
      <c r="X11606" s="5"/>
      <c r="Y11606" s="5"/>
      <c r="Z11606" s="5"/>
    </row>
    <row r="11607" spans="1:26" ht="15" x14ac:dyDescent="0.25">
      <c r="A11607" s="4" t="s">
        <v>11604</v>
      </c>
      <c r="B11607" s="4" t="s">
        <v>9011</v>
      </c>
      <c r="C11607" s="2" t="str">
        <f ca="1">IFERROR(__xludf.DUMMYFUNCTION("GOOGLETRANSLATE(A11607,""bn"",""en"")"),"I will continue to do business")</f>
        <v>I will continue to do business</v>
      </c>
      <c r="D11607" s="5"/>
      <c r="E11607" s="5"/>
      <c r="F11607" s="5"/>
      <c r="G11607" s="5"/>
      <c r="H11607" s="5"/>
      <c r="I11607" s="5"/>
      <c r="J11607" s="5"/>
      <c r="K11607" s="5"/>
      <c r="L11607" s="5"/>
      <c r="M11607" s="5"/>
      <c r="N11607" s="5"/>
      <c r="O11607" s="5"/>
      <c r="P11607" s="5"/>
      <c r="Q11607" s="5"/>
      <c r="R11607" s="5"/>
      <c r="S11607" s="5"/>
      <c r="T11607" s="5"/>
      <c r="U11607" s="5"/>
      <c r="V11607" s="5"/>
      <c r="W11607" s="5"/>
      <c r="X11607" s="5"/>
      <c r="Y11607" s="5"/>
      <c r="Z11607" s="5"/>
    </row>
    <row r="11608" spans="1:26" ht="15" x14ac:dyDescent="0.25">
      <c r="A11608" s="4" t="s">
        <v>11605</v>
      </c>
      <c r="B11608" s="4" t="s">
        <v>9011</v>
      </c>
      <c r="C11608" s="2" t="str">
        <f ca="1">IFERROR(__xludf.DUMMYFUNCTION("GOOGLETRANSLATE(A11608,""bn"",""en"")"),"You buy pasta")</f>
        <v>You buy pasta</v>
      </c>
      <c r="D11608" s="5"/>
      <c r="E11608" s="5"/>
      <c r="F11608" s="5"/>
      <c r="G11608" s="5"/>
      <c r="H11608" s="5"/>
      <c r="I11608" s="5"/>
      <c r="J11608" s="5"/>
      <c r="K11608" s="5"/>
      <c r="L11608" s="5"/>
      <c r="M11608" s="5"/>
      <c r="N11608" s="5"/>
      <c r="O11608" s="5"/>
      <c r="P11608" s="5"/>
      <c r="Q11608" s="5"/>
      <c r="R11608" s="5"/>
      <c r="S11608" s="5"/>
      <c r="T11608" s="5"/>
      <c r="U11608" s="5"/>
      <c r="V11608" s="5"/>
      <c r="W11608" s="5"/>
      <c r="X11608" s="5"/>
      <c r="Y11608" s="5"/>
      <c r="Z11608" s="5"/>
    </row>
    <row r="11609" spans="1:26" ht="15" x14ac:dyDescent="0.25">
      <c r="A11609" s="4" t="s">
        <v>11606</v>
      </c>
      <c r="B11609" s="4" t="s">
        <v>9011</v>
      </c>
      <c r="C11609" s="2" t="str">
        <f ca="1">IFERROR(__xludf.DUMMYFUNCTION("GOOGLETRANSLATE(A11609,""bn"",""en"")"),"Will continue to recite")</f>
        <v>Will continue to recite</v>
      </c>
      <c r="D11609" s="5"/>
      <c r="E11609" s="5"/>
      <c r="F11609" s="5"/>
      <c r="G11609" s="5"/>
      <c r="H11609" s="5"/>
      <c r="I11609" s="5"/>
      <c r="J11609" s="5"/>
      <c r="K11609" s="5"/>
      <c r="L11609" s="5"/>
      <c r="M11609" s="5"/>
      <c r="N11609" s="5"/>
      <c r="O11609" s="5"/>
      <c r="P11609" s="5"/>
      <c r="Q11609" s="5"/>
      <c r="R11609" s="5"/>
      <c r="S11609" s="5"/>
      <c r="T11609" s="5"/>
      <c r="U11609" s="5"/>
      <c r="V11609" s="5"/>
      <c r="W11609" s="5"/>
      <c r="X11609" s="5"/>
      <c r="Y11609" s="5"/>
      <c r="Z11609" s="5"/>
    </row>
    <row r="11610" spans="1:26" ht="15" x14ac:dyDescent="0.25">
      <c r="A11610" s="4" t="s">
        <v>11607</v>
      </c>
      <c r="B11610" s="4" t="s">
        <v>9011</v>
      </c>
      <c r="C11610" s="2" t="str">
        <f ca="1">IFERROR(__xludf.DUMMYFUNCTION("GOOGLETRANSLATE(A11610,""bn"",""en"")"),"I will provide feedback")</f>
        <v>I will provide feedback</v>
      </c>
      <c r="D11610" s="5"/>
      <c r="E11610" s="5"/>
      <c r="F11610" s="5"/>
      <c r="G11610" s="5"/>
      <c r="H11610" s="5"/>
      <c r="I11610" s="5"/>
      <c r="J11610" s="5"/>
      <c r="K11610" s="5"/>
      <c r="L11610" s="5"/>
      <c r="M11610" s="5"/>
      <c r="N11610" s="5"/>
      <c r="O11610" s="5"/>
      <c r="P11610" s="5"/>
      <c r="Q11610" s="5"/>
      <c r="R11610" s="5"/>
      <c r="S11610" s="5"/>
      <c r="T11610" s="5"/>
      <c r="U11610" s="5"/>
      <c r="V11610" s="5"/>
      <c r="W11610" s="5"/>
      <c r="X11610" s="5"/>
      <c r="Y11610" s="5"/>
      <c r="Z11610" s="5"/>
    </row>
    <row r="11611" spans="1:26" ht="15" x14ac:dyDescent="0.25">
      <c r="A11611" s="4" t="s">
        <v>11608</v>
      </c>
      <c r="B11611" s="4" t="s">
        <v>9011</v>
      </c>
      <c r="C11611" s="2" t="str">
        <f ca="1">IFERROR(__xludf.DUMMYFUNCTION("GOOGLETRANSLATE(A11611,""bn"",""en"")"),"Will continue to provide service")</f>
        <v>Will continue to provide service</v>
      </c>
      <c r="D11611" s="5"/>
      <c r="E11611" s="5"/>
      <c r="F11611" s="5"/>
      <c r="G11611" s="5"/>
      <c r="H11611" s="5"/>
      <c r="I11611" s="5"/>
      <c r="J11611" s="5"/>
      <c r="K11611" s="5"/>
      <c r="L11611" s="5"/>
      <c r="M11611" s="5"/>
      <c r="N11611" s="5"/>
      <c r="O11611" s="5"/>
      <c r="P11611" s="5"/>
      <c r="Q11611" s="5"/>
      <c r="R11611" s="5"/>
      <c r="S11611" s="5"/>
      <c r="T11611" s="5"/>
      <c r="U11611" s="5"/>
      <c r="V11611" s="5"/>
      <c r="W11611" s="5"/>
      <c r="X11611" s="5"/>
      <c r="Y11611" s="5"/>
      <c r="Z11611" s="5"/>
    </row>
    <row r="11612" spans="1:26" ht="15" x14ac:dyDescent="0.25">
      <c r="A11612" s="4" t="s">
        <v>11609</v>
      </c>
      <c r="B11612" s="4" t="s">
        <v>9011</v>
      </c>
      <c r="C11612" s="2" t="str">
        <f ca="1">IFERROR(__xludf.DUMMYFUNCTION("GOOGLETRANSLATE(A11612,""bn"",""en"")"),"Bank will not support")</f>
        <v>Bank will not support</v>
      </c>
      <c r="D11612" s="5"/>
      <c r="E11612" s="5"/>
      <c r="F11612" s="5"/>
      <c r="G11612" s="5"/>
      <c r="H11612" s="5"/>
      <c r="I11612" s="5"/>
      <c r="J11612" s="5"/>
      <c r="K11612" s="5"/>
      <c r="L11612" s="5"/>
      <c r="M11612" s="5"/>
      <c r="N11612" s="5"/>
      <c r="O11612" s="5"/>
      <c r="P11612" s="5"/>
      <c r="Q11612" s="5"/>
      <c r="R11612" s="5"/>
      <c r="S11612" s="5"/>
      <c r="T11612" s="5"/>
      <c r="U11612" s="5"/>
      <c r="V11612" s="5"/>
      <c r="W11612" s="5"/>
      <c r="X11612" s="5"/>
      <c r="Y11612" s="5"/>
      <c r="Z11612" s="5"/>
    </row>
    <row r="11613" spans="1:26" ht="15" x14ac:dyDescent="0.25">
      <c r="A11613" s="4" t="s">
        <v>11610</v>
      </c>
      <c r="B11613" s="4" t="s">
        <v>9011</v>
      </c>
      <c r="C11613" s="2" t="str">
        <f ca="1">IFERROR(__xludf.DUMMYFUNCTION("GOOGLETRANSLATE(A11613,""bn"",""en"")"),"The code will merge")</f>
        <v>The code will merge</v>
      </c>
      <c r="D11613" s="5"/>
      <c r="E11613" s="5"/>
      <c r="F11613" s="5"/>
      <c r="G11613" s="5"/>
      <c r="H11613" s="5"/>
      <c r="I11613" s="5"/>
      <c r="J11613" s="5"/>
      <c r="K11613" s="5"/>
      <c r="L11613" s="5"/>
      <c r="M11613" s="5"/>
      <c r="N11613" s="5"/>
      <c r="O11613" s="5"/>
      <c r="P11613" s="5"/>
      <c r="Q11613" s="5"/>
      <c r="R11613" s="5"/>
      <c r="S11613" s="5"/>
      <c r="T11613" s="5"/>
      <c r="U11613" s="5"/>
      <c r="V11613" s="5"/>
      <c r="W11613" s="5"/>
      <c r="X11613" s="5"/>
      <c r="Y11613" s="5"/>
      <c r="Z11613" s="5"/>
    </row>
    <row r="11614" spans="1:26" ht="15" x14ac:dyDescent="0.25">
      <c r="A11614" s="4" t="s">
        <v>11611</v>
      </c>
      <c r="B11614" s="4" t="s">
        <v>9011</v>
      </c>
      <c r="C11614" s="2" t="str">
        <f ca="1">IFERROR(__xludf.DUMMYFUNCTION("GOOGLETRANSLATE(A11614,""bn"",""en"")"),"Service will be provided")</f>
        <v>Service will be provided</v>
      </c>
      <c r="D11614" s="5"/>
      <c r="E11614" s="5"/>
      <c r="F11614" s="5"/>
      <c r="G11614" s="5"/>
      <c r="H11614" s="5"/>
      <c r="I11614" s="5"/>
      <c r="J11614" s="5"/>
      <c r="K11614" s="5"/>
      <c r="L11614" s="5"/>
      <c r="M11614" s="5"/>
      <c r="N11614" s="5"/>
      <c r="O11614" s="5"/>
      <c r="P11614" s="5"/>
      <c r="Q11614" s="5"/>
      <c r="R11614" s="5"/>
      <c r="S11614" s="5"/>
      <c r="T11614" s="5"/>
      <c r="U11614" s="5"/>
      <c r="V11614" s="5"/>
      <c r="W11614" s="5"/>
      <c r="X11614" s="5"/>
      <c r="Y11614" s="5"/>
      <c r="Z11614" s="5"/>
    </row>
    <row r="11615" spans="1:26" ht="15" x14ac:dyDescent="0.25">
      <c r="A11615" s="4" t="s">
        <v>11612</v>
      </c>
      <c r="B11615" s="4" t="s">
        <v>9011</v>
      </c>
      <c r="C11615" s="2" t="str">
        <f ca="1">IFERROR(__xludf.DUMMYFUNCTION("GOOGLETRANSLATE(A11615,""bn"",""en"")"),"I will continue to study")</f>
        <v>I will continue to study</v>
      </c>
      <c r="D11615" s="5"/>
      <c r="E11615" s="5"/>
      <c r="F11615" s="5"/>
      <c r="G11615" s="5"/>
      <c r="H11615" s="5"/>
      <c r="I11615" s="5"/>
      <c r="J11615" s="5"/>
      <c r="K11615" s="5"/>
      <c r="L11615" s="5"/>
      <c r="M11615" s="5"/>
      <c r="N11615" s="5"/>
      <c r="O11615" s="5"/>
      <c r="P11615" s="5"/>
      <c r="Q11615" s="5"/>
      <c r="R11615" s="5"/>
      <c r="S11615" s="5"/>
      <c r="T11615" s="5"/>
      <c r="U11615" s="5"/>
      <c r="V11615" s="5"/>
      <c r="W11615" s="5"/>
      <c r="X11615" s="5"/>
      <c r="Y11615" s="5"/>
      <c r="Z11615" s="5"/>
    </row>
    <row r="11616" spans="1:26" ht="15" x14ac:dyDescent="0.25">
      <c r="A11616" s="4" t="s">
        <v>11613</v>
      </c>
      <c r="B11616" s="4" t="s">
        <v>9011</v>
      </c>
      <c r="C11616" s="2" t="str">
        <f ca="1">IFERROR(__xludf.DUMMYFUNCTION("GOOGLETRANSLATE(A11616,""bn"",""en"")"),"He will listen to music")</f>
        <v>He will listen to music</v>
      </c>
      <c r="D11616" s="5"/>
      <c r="E11616" s="5"/>
      <c r="F11616" s="5"/>
      <c r="G11616" s="5"/>
      <c r="H11616" s="5"/>
      <c r="I11616" s="5"/>
      <c r="J11616" s="5"/>
      <c r="K11616" s="5"/>
      <c r="L11616" s="5"/>
      <c r="M11616" s="5"/>
      <c r="N11616" s="5"/>
      <c r="O11616" s="5"/>
      <c r="P11616" s="5"/>
      <c r="Q11616" s="5"/>
      <c r="R11616" s="5"/>
      <c r="S11616" s="5"/>
      <c r="T11616" s="5"/>
      <c r="U11616" s="5"/>
      <c r="V11616" s="5"/>
      <c r="W11616" s="5"/>
      <c r="X11616" s="5"/>
      <c r="Y11616" s="5"/>
      <c r="Z11616" s="5"/>
    </row>
    <row r="11617" spans="1:26" ht="15" x14ac:dyDescent="0.25">
      <c r="A11617" s="4" t="s">
        <v>11614</v>
      </c>
      <c r="B11617" s="4" t="s">
        <v>9011</v>
      </c>
      <c r="C11617" s="2" t="str">
        <f ca="1">IFERROR(__xludf.DUMMYFUNCTION("GOOGLETRANSLATE(A11617,""bn"",""en"")"),"The structure will change")</f>
        <v>The structure will change</v>
      </c>
      <c r="D11617" s="5"/>
      <c r="E11617" s="5"/>
      <c r="F11617" s="5"/>
      <c r="G11617" s="5"/>
      <c r="H11617" s="5"/>
      <c r="I11617" s="5"/>
      <c r="J11617" s="5"/>
      <c r="K11617" s="5"/>
      <c r="L11617" s="5"/>
      <c r="M11617" s="5"/>
      <c r="N11617" s="5"/>
      <c r="O11617" s="5"/>
      <c r="P11617" s="5"/>
      <c r="Q11617" s="5"/>
      <c r="R11617" s="5"/>
      <c r="S11617" s="5"/>
      <c r="T11617" s="5"/>
      <c r="U11617" s="5"/>
      <c r="V11617" s="5"/>
      <c r="W11617" s="5"/>
      <c r="X11617" s="5"/>
      <c r="Y11617" s="5"/>
      <c r="Z11617" s="5"/>
    </row>
    <row r="11618" spans="1:26" ht="15" x14ac:dyDescent="0.25">
      <c r="A11618" s="4" t="s">
        <v>11615</v>
      </c>
      <c r="B11618" s="4" t="s">
        <v>9011</v>
      </c>
      <c r="C11618" s="2" t="str">
        <f ca="1">IFERROR(__xludf.DUMMYFUNCTION("GOOGLETRANSLATE(A11618,""bn"",""en"")"),"I will go to Tibet")</f>
        <v>I will go to Tibet</v>
      </c>
      <c r="D11618" s="5"/>
      <c r="E11618" s="5"/>
      <c r="F11618" s="5"/>
      <c r="G11618" s="5"/>
      <c r="H11618" s="5"/>
      <c r="I11618" s="5"/>
      <c r="J11618" s="5"/>
      <c r="K11618" s="5"/>
      <c r="L11618" s="5"/>
      <c r="M11618" s="5"/>
      <c r="N11618" s="5"/>
      <c r="O11618" s="5"/>
      <c r="P11618" s="5"/>
      <c r="Q11618" s="5"/>
      <c r="R11618" s="5"/>
      <c r="S11618" s="5"/>
      <c r="T11618" s="5"/>
      <c r="U11618" s="5"/>
      <c r="V11618" s="5"/>
      <c r="W11618" s="5"/>
      <c r="X11618" s="5"/>
      <c r="Y11618" s="5"/>
      <c r="Z11618" s="5"/>
    </row>
    <row r="11619" spans="1:26" ht="15" x14ac:dyDescent="0.25">
      <c r="A11619" s="4" t="s">
        <v>11616</v>
      </c>
      <c r="B11619" s="4" t="s">
        <v>9011</v>
      </c>
      <c r="C11619" s="2" t="str">
        <f ca="1">IFERROR(__xludf.DUMMYFUNCTION("GOOGLETRANSLATE(A11619,""bn"",""en"")"),"Logic will develop")</f>
        <v>Logic will develop</v>
      </c>
      <c r="D11619" s="5"/>
      <c r="E11619" s="5"/>
      <c r="F11619" s="5"/>
      <c r="G11619" s="5"/>
      <c r="H11619" s="5"/>
      <c r="I11619" s="5"/>
      <c r="J11619" s="5"/>
      <c r="K11619" s="5"/>
      <c r="L11619" s="5"/>
      <c r="M11619" s="5"/>
      <c r="N11619" s="5"/>
      <c r="O11619" s="5"/>
      <c r="P11619" s="5"/>
      <c r="Q11619" s="5"/>
      <c r="R11619" s="5"/>
      <c r="S11619" s="5"/>
      <c r="T11619" s="5"/>
      <c r="U11619" s="5"/>
      <c r="V11619" s="5"/>
      <c r="W11619" s="5"/>
      <c r="X11619" s="5"/>
      <c r="Y11619" s="5"/>
      <c r="Z11619" s="5"/>
    </row>
    <row r="11620" spans="1:26" ht="15" x14ac:dyDescent="0.25">
      <c r="A11620" s="4" t="s">
        <v>11617</v>
      </c>
      <c r="B11620" s="4" t="s">
        <v>9011</v>
      </c>
      <c r="C11620" s="2" t="str">
        <f ca="1">IFERROR(__xludf.DUMMYFUNCTION("GOOGLETRANSLATE(A11620,""bn"",""en"")"),"You will get the sound")</f>
        <v>You will get the sound</v>
      </c>
      <c r="D11620" s="5"/>
      <c r="E11620" s="5"/>
      <c r="F11620" s="5"/>
      <c r="G11620" s="5"/>
      <c r="H11620" s="5"/>
      <c r="I11620" s="5"/>
      <c r="J11620" s="5"/>
      <c r="K11620" s="5"/>
      <c r="L11620" s="5"/>
      <c r="M11620" s="5"/>
      <c r="N11620" s="5"/>
      <c r="O11620" s="5"/>
      <c r="P11620" s="5"/>
      <c r="Q11620" s="5"/>
      <c r="R11620" s="5"/>
      <c r="S11620" s="5"/>
      <c r="T11620" s="5"/>
      <c r="U11620" s="5"/>
      <c r="V11620" s="5"/>
      <c r="W11620" s="5"/>
      <c r="X11620" s="5"/>
      <c r="Y11620" s="5"/>
      <c r="Z11620" s="5"/>
    </row>
    <row r="11621" spans="1:26" ht="15" x14ac:dyDescent="0.25">
      <c r="A11621" s="4" t="s">
        <v>11618</v>
      </c>
      <c r="B11621" s="4" t="s">
        <v>9011</v>
      </c>
      <c r="C11621" s="2" t="str">
        <f ca="1">IFERROR(__xludf.DUMMYFUNCTION("GOOGLETRANSLATE(A11621,""bn"",""en"")"),"Eat baked potatoes")</f>
        <v>Eat baked potatoes</v>
      </c>
      <c r="D11621" s="5"/>
      <c r="E11621" s="5"/>
      <c r="F11621" s="5"/>
      <c r="G11621" s="5"/>
      <c r="H11621" s="5"/>
      <c r="I11621" s="5"/>
      <c r="J11621" s="5"/>
      <c r="K11621" s="5"/>
      <c r="L11621" s="5"/>
      <c r="M11621" s="5"/>
      <c r="N11621" s="5"/>
      <c r="O11621" s="5"/>
      <c r="P11621" s="5"/>
      <c r="Q11621" s="5"/>
      <c r="R11621" s="5"/>
      <c r="S11621" s="5"/>
      <c r="T11621" s="5"/>
      <c r="U11621" s="5"/>
      <c r="V11621" s="5"/>
      <c r="W11621" s="5"/>
      <c r="X11621" s="5"/>
      <c r="Y11621" s="5"/>
      <c r="Z11621" s="5"/>
    </row>
    <row r="11622" spans="1:26" ht="15" x14ac:dyDescent="0.25">
      <c r="A11622" s="4" t="s">
        <v>11619</v>
      </c>
      <c r="B11622" s="4" t="s">
        <v>9011</v>
      </c>
      <c r="C11622" s="2" t="str">
        <f ca="1">IFERROR(__xludf.DUMMYFUNCTION("GOOGLETRANSLATE(A11622,""bn"",""en"")"),"I will be doing banking")</f>
        <v>I will be doing banking</v>
      </c>
      <c r="D11622" s="5"/>
      <c r="E11622" s="5"/>
      <c r="F11622" s="5"/>
      <c r="G11622" s="5"/>
      <c r="H11622" s="5"/>
      <c r="I11622" s="5"/>
      <c r="J11622" s="5"/>
      <c r="K11622" s="5"/>
      <c r="L11622" s="5"/>
      <c r="M11622" s="5"/>
      <c r="N11622" s="5"/>
      <c r="O11622" s="5"/>
      <c r="P11622" s="5"/>
      <c r="Q11622" s="5"/>
      <c r="R11622" s="5"/>
      <c r="S11622" s="5"/>
      <c r="T11622" s="5"/>
      <c r="U11622" s="5"/>
      <c r="V11622" s="5"/>
      <c r="W11622" s="5"/>
      <c r="X11622" s="5"/>
      <c r="Y11622" s="5"/>
      <c r="Z11622" s="5"/>
    </row>
    <row r="11623" spans="1:26" ht="15" x14ac:dyDescent="0.25">
      <c r="A11623" s="4" t="s">
        <v>11620</v>
      </c>
      <c r="B11623" s="4" t="s">
        <v>9011</v>
      </c>
      <c r="C11623" s="2" t="str">
        <f ca="1">IFERROR(__xludf.DUMMYFUNCTION("GOOGLETRANSLATE(A11623,""bn"",""en"")"),"The database will contain information")</f>
        <v>The database will contain information</v>
      </c>
      <c r="D11623" s="5"/>
      <c r="E11623" s="5"/>
      <c r="F11623" s="5"/>
      <c r="G11623" s="5"/>
      <c r="H11623" s="5"/>
      <c r="I11623" s="5"/>
      <c r="J11623" s="5"/>
      <c r="K11623" s="5"/>
      <c r="L11623" s="5"/>
      <c r="M11623" s="5"/>
      <c r="N11623" s="5"/>
      <c r="O11623" s="5"/>
      <c r="P11623" s="5"/>
      <c r="Q11623" s="5"/>
      <c r="R11623" s="5"/>
      <c r="S11623" s="5"/>
      <c r="T11623" s="5"/>
      <c r="U11623" s="5"/>
      <c r="V11623" s="5"/>
      <c r="W11623" s="5"/>
      <c r="X11623" s="5"/>
      <c r="Y11623" s="5"/>
      <c r="Z11623" s="5"/>
    </row>
    <row r="11624" spans="1:26" ht="15" x14ac:dyDescent="0.25">
      <c r="A11624" s="4" t="s">
        <v>11621</v>
      </c>
      <c r="B11624" s="4" t="s">
        <v>9011</v>
      </c>
      <c r="C11624" s="2" t="str">
        <f ca="1">IFERROR(__xludf.DUMMYFUNCTION("GOOGLETRANSLATE(A11624,""bn"",""en"")"),"I will order ice cream")</f>
        <v>I will order ice cream</v>
      </c>
      <c r="D11624" s="5"/>
      <c r="E11624" s="5"/>
      <c r="F11624" s="5"/>
      <c r="G11624" s="5"/>
      <c r="H11624" s="5"/>
      <c r="I11624" s="5"/>
      <c r="J11624" s="5"/>
      <c r="K11624" s="5"/>
      <c r="L11624" s="5"/>
      <c r="M11624" s="5"/>
      <c r="N11624" s="5"/>
      <c r="O11624" s="5"/>
      <c r="P11624" s="5"/>
      <c r="Q11624" s="5"/>
      <c r="R11624" s="5"/>
      <c r="S11624" s="5"/>
      <c r="T11624" s="5"/>
      <c r="U11624" s="5"/>
      <c r="V11624" s="5"/>
      <c r="W11624" s="5"/>
      <c r="X11624" s="5"/>
      <c r="Y11624" s="5"/>
      <c r="Z11624" s="5"/>
    </row>
    <row r="11625" spans="1:26" ht="15" x14ac:dyDescent="0.25">
      <c r="A11625" s="4" t="s">
        <v>11622</v>
      </c>
      <c r="B11625" s="4" t="s">
        <v>9011</v>
      </c>
      <c r="C11625" s="2" t="str">
        <f ca="1">IFERROR(__xludf.DUMMYFUNCTION("GOOGLETRANSLATE(A11625,""bn"",""en"")"),"Goal will be in football")</f>
        <v>Goal will be in football</v>
      </c>
      <c r="D11625" s="5"/>
      <c r="E11625" s="5"/>
      <c r="F11625" s="5"/>
      <c r="G11625" s="5"/>
      <c r="H11625" s="5"/>
      <c r="I11625" s="5"/>
      <c r="J11625" s="5"/>
      <c r="K11625" s="5"/>
      <c r="L11625" s="5"/>
      <c r="M11625" s="5"/>
      <c r="N11625" s="5"/>
      <c r="O11625" s="5"/>
      <c r="P11625" s="5"/>
      <c r="Q11625" s="5"/>
      <c r="R11625" s="5"/>
      <c r="S11625" s="5"/>
      <c r="T11625" s="5"/>
      <c r="U11625" s="5"/>
      <c r="V11625" s="5"/>
      <c r="W11625" s="5"/>
      <c r="X11625" s="5"/>
      <c r="Y11625" s="5"/>
      <c r="Z11625" s="5"/>
    </row>
    <row r="11626" spans="1:26" ht="15" x14ac:dyDescent="0.25">
      <c r="A11626" s="4" t="s">
        <v>11623</v>
      </c>
      <c r="B11626" s="4" t="s">
        <v>9011</v>
      </c>
      <c r="C11626" s="2" t="str">
        <f ca="1">IFERROR(__xludf.DUMMYFUNCTION("GOOGLETRANSLATE(A11626,""bn"",""en"")"),"Zakat will continue to be paid")</f>
        <v>Zakat will continue to be paid</v>
      </c>
      <c r="D11626" s="5"/>
      <c r="E11626" s="5"/>
      <c r="F11626" s="5"/>
      <c r="G11626" s="5"/>
      <c r="H11626" s="5"/>
      <c r="I11626" s="5"/>
      <c r="J11626" s="5"/>
      <c r="K11626" s="5"/>
      <c r="L11626" s="5"/>
      <c r="M11626" s="5"/>
      <c r="N11626" s="5"/>
      <c r="O11626" s="5"/>
      <c r="P11626" s="5"/>
      <c r="Q11626" s="5"/>
      <c r="R11626" s="5"/>
      <c r="S11626" s="5"/>
      <c r="T11626" s="5"/>
      <c r="U11626" s="5"/>
      <c r="V11626" s="5"/>
      <c r="W11626" s="5"/>
      <c r="X11626" s="5"/>
      <c r="Y11626" s="5"/>
      <c r="Z11626" s="5"/>
    </row>
    <row r="11627" spans="1:26" ht="15" x14ac:dyDescent="0.25">
      <c r="A11627" s="4" t="s">
        <v>11624</v>
      </c>
      <c r="B11627" s="4" t="s">
        <v>9011</v>
      </c>
      <c r="C11627" s="2" t="str">
        <f ca="1">IFERROR(__xludf.DUMMYFUNCTION("GOOGLETRANSLATE(A11627,""bn"",""en"")"),"I will use IoT")</f>
        <v>I will use IoT</v>
      </c>
      <c r="D11627" s="5"/>
      <c r="E11627" s="5"/>
      <c r="F11627" s="5"/>
      <c r="G11627" s="5"/>
      <c r="H11627" s="5"/>
      <c r="I11627" s="5"/>
      <c r="J11627" s="5"/>
      <c r="K11627" s="5"/>
      <c r="L11627" s="5"/>
      <c r="M11627" s="5"/>
      <c r="N11627" s="5"/>
      <c r="O11627" s="5"/>
      <c r="P11627" s="5"/>
      <c r="Q11627" s="5"/>
      <c r="R11627" s="5"/>
      <c r="S11627" s="5"/>
      <c r="T11627" s="5"/>
      <c r="U11627" s="5"/>
      <c r="V11627" s="5"/>
      <c r="W11627" s="5"/>
      <c r="X11627" s="5"/>
      <c r="Y11627" s="5"/>
      <c r="Z11627" s="5"/>
    </row>
    <row r="11628" spans="1:26" ht="15" x14ac:dyDescent="0.25">
      <c r="A11628" s="4" t="s">
        <v>11625</v>
      </c>
      <c r="B11628" s="4" t="s">
        <v>9011</v>
      </c>
      <c r="C11628" s="2" t="str">
        <f ca="1">IFERROR(__xludf.DUMMYFUNCTION("GOOGLETRANSLATE(A11628,""bn"",""en"")"),"I will go to the desert")</f>
        <v>I will go to the desert</v>
      </c>
      <c r="D11628" s="5"/>
      <c r="E11628" s="5"/>
      <c r="F11628" s="5"/>
      <c r="G11628" s="5"/>
      <c r="H11628" s="5"/>
      <c r="I11628" s="5"/>
      <c r="J11628" s="5"/>
      <c r="K11628" s="5"/>
      <c r="L11628" s="5"/>
      <c r="M11628" s="5"/>
      <c r="N11628" s="5"/>
      <c r="O11628" s="5"/>
      <c r="P11628" s="5"/>
      <c r="Q11628" s="5"/>
      <c r="R11628" s="5"/>
      <c r="S11628" s="5"/>
      <c r="T11628" s="5"/>
      <c r="U11628" s="5"/>
      <c r="V11628" s="5"/>
      <c r="W11628" s="5"/>
      <c r="X11628" s="5"/>
      <c r="Y11628" s="5"/>
      <c r="Z11628" s="5"/>
    </row>
    <row r="11629" spans="1:26" ht="15" x14ac:dyDescent="0.25">
      <c r="A11629" s="4" t="s">
        <v>11626</v>
      </c>
      <c r="B11629" s="4" t="s">
        <v>9011</v>
      </c>
      <c r="C11629" s="2" t="str">
        <f ca="1">IFERROR(__xludf.DUMMYFUNCTION("GOOGLETRANSLATE(A11629,""bn"",""en"")"),"You will sing")</f>
        <v>You will sing</v>
      </c>
      <c r="D11629" s="5"/>
      <c r="E11629" s="5"/>
      <c r="F11629" s="5"/>
      <c r="G11629" s="5"/>
      <c r="H11629" s="5"/>
      <c r="I11629" s="5"/>
      <c r="J11629" s="5"/>
      <c r="K11629" s="5"/>
      <c r="L11629" s="5"/>
      <c r="M11629" s="5"/>
      <c r="N11629" s="5"/>
      <c r="O11629" s="5"/>
      <c r="P11629" s="5"/>
      <c r="Q11629" s="5"/>
      <c r="R11629" s="5"/>
      <c r="S11629" s="5"/>
      <c r="T11629" s="5"/>
      <c r="U11629" s="5"/>
      <c r="V11629" s="5"/>
      <c r="W11629" s="5"/>
      <c r="X11629" s="5"/>
      <c r="Y11629" s="5"/>
      <c r="Z11629" s="5"/>
    </row>
    <row r="11630" spans="1:26" ht="15" x14ac:dyDescent="0.25">
      <c r="A11630" s="4" t="s">
        <v>11627</v>
      </c>
      <c r="B11630" s="4" t="s">
        <v>9011</v>
      </c>
      <c r="C11630" s="2" t="str">
        <f ca="1">IFERROR(__xludf.DUMMYFUNCTION("GOOGLETRANSLATE(A11630,""bn"",""en"")"),"I will use Nexus")</f>
        <v>I will use Nexus</v>
      </c>
      <c r="D11630" s="5"/>
      <c r="E11630" s="5"/>
      <c r="F11630" s="5"/>
      <c r="G11630" s="5"/>
      <c r="H11630" s="5"/>
      <c r="I11630" s="5"/>
      <c r="J11630" s="5"/>
      <c r="K11630" s="5"/>
      <c r="L11630" s="5"/>
      <c r="M11630" s="5"/>
      <c r="N11630" s="5"/>
      <c r="O11630" s="5"/>
      <c r="P11630" s="5"/>
      <c r="Q11630" s="5"/>
      <c r="R11630" s="5"/>
      <c r="S11630" s="5"/>
      <c r="T11630" s="5"/>
      <c r="U11630" s="5"/>
      <c r="V11630" s="5"/>
      <c r="W11630" s="5"/>
      <c r="X11630" s="5"/>
      <c r="Y11630" s="5"/>
      <c r="Z11630" s="5"/>
    </row>
    <row r="11631" spans="1:26" ht="15" x14ac:dyDescent="0.25">
      <c r="A11631" s="4" t="s">
        <v>11628</v>
      </c>
      <c r="B11631" s="4" t="s">
        <v>9011</v>
      </c>
      <c r="C11631" s="2" t="str">
        <f ca="1">IFERROR(__xludf.DUMMYFUNCTION("GOOGLETRANSLATE(A11631,""bn"",""en"")"),"Learn how to use a laptop")</f>
        <v>Learn how to use a laptop</v>
      </c>
      <c r="D11631" s="5"/>
      <c r="E11631" s="5"/>
      <c r="F11631" s="5"/>
      <c r="G11631" s="5"/>
      <c r="H11631" s="5"/>
      <c r="I11631" s="5"/>
      <c r="J11631" s="5"/>
      <c r="K11631" s="5"/>
      <c r="L11631" s="5"/>
      <c r="M11631" s="5"/>
      <c r="N11631" s="5"/>
      <c r="O11631" s="5"/>
      <c r="P11631" s="5"/>
      <c r="Q11631" s="5"/>
      <c r="R11631" s="5"/>
      <c r="S11631" s="5"/>
      <c r="T11631" s="5"/>
      <c r="U11631" s="5"/>
      <c r="V11631" s="5"/>
      <c r="W11631" s="5"/>
      <c r="X11631" s="5"/>
      <c r="Y11631" s="5"/>
      <c r="Z11631" s="5"/>
    </row>
    <row r="11632" spans="1:26" ht="15" x14ac:dyDescent="0.25">
      <c r="A11632" s="4" t="s">
        <v>11629</v>
      </c>
      <c r="B11632" s="4" t="s">
        <v>9011</v>
      </c>
      <c r="C11632" s="2" t="str">
        <f ca="1">IFERROR(__xludf.DUMMYFUNCTION("GOOGLETRANSLATE(A11632,""bn"",""en"")"),"I will use laptop")</f>
        <v>I will use laptop</v>
      </c>
      <c r="D11632" s="5"/>
      <c r="E11632" s="5"/>
      <c r="F11632" s="5"/>
      <c r="G11632" s="5"/>
      <c r="H11632" s="5"/>
      <c r="I11632" s="5"/>
      <c r="J11632" s="5"/>
      <c r="K11632" s="5"/>
      <c r="L11632" s="5"/>
      <c r="M11632" s="5"/>
      <c r="N11632" s="5"/>
      <c r="O11632" s="5"/>
      <c r="P11632" s="5"/>
      <c r="Q11632" s="5"/>
      <c r="R11632" s="5"/>
      <c r="S11632" s="5"/>
      <c r="T11632" s="5"/>
      <c r="U11632" s="5"/>
      <c r="V11632" s="5"/>
      <c r="W11632" s="5"/>
      <c r="X11632" s="5"/>
      <c r="Y11632" s="5"/>
      <c r="Z11632" s="5"/>
    </row>
    <row r="11633" spans="1:26" ht="15" x14ac:dyDescent="0.25">
      <c r="A11633" s="4" t="s">
        <v>11630</v>
      </c>
      <c r="B11633" s="4" t="s">
        <v>9011</v>
      </c>
      <c r="C11633" s="2" t="str">
        <f ca="1">IFERROR(__xludf.DUMMYFUNCTION("GOOGLETRANSLATE(A11633,""bn"",""en"")"),"There will be exercise")</f>
        <v>There will be exercise</v>
      </c>
      <c r="D11633" s="5"/>
      <c r="E11633" s="5"/>
      <c r="F11633" s="5"/>
      <c r="G11633" s="5"/>
      <c r="H11633" s="5"/>
      <c r="I11633" s="5"/>
      <c r="J11633" s="5"/>
      <c r="K11633" s="5"/>
      <c r="L11633" s="5"/>
      <c r="M11633" s="5"/>
      <c r="N11633" s="5"/>
      <c r="O11633" s="5"/>
      <c r="P11633" s="5"/>
      <c r="Q11633" s="5"/>
      <c r="R11633" s="5"/>
      <c r="S11633" s="5"/>
      <c r="T11633" s="5"/>
      <c r="U11633" s="5"/>
      <c r="V11633" s="5"/>
      <c r="W11633" s="5"/>
      <c r="X11633" s="5"/>
      <c r="Y11633" s="5"/>
      <c r="Z11633" s="5"/>
    </row>
    <row r="11634" spans="1:26" ht="15" x14ac:dyDescent="0.25">
      <c r="A11634" s="4" t="s">
        <v>11631</v>
      </c>
      <c r="B11634" s="4" t="s">
        <v>9011</v>
      </c>
      <c r="C11634" s="2" t="str">
        <f ca="1">IFERROR(__xludf.DUMMYFUNCTION("GOOGLETRANSLATE(A11634,""bn"",""en"")"),"I will do a course")</f>
        <v>I will do a course</v>
      </c>
      <c r="D11634" s="5"/>
      <c r="E11634" s="5"/>
      <c r="F11634" s="5"/>
      <c r="G11634" s="5"/>
      <c r="H11634" s="5"/>
      <c r="I11634" s="5"/>
      <c r="J11634" s="5"/>
      <c r="K11634" s="5"/>
      <c r="L11634" s="5"/>
      <c r="M11634" s="5"/>
      <c r="N11634" s="5"/>
      <c r="O11634" s="5"/>
      <c r="P11634" s="5"/>
      <c r="Q11634" s="5"/>
      <c r="R11634" s="5"/>
      <c r="S11634" s="5"/>
      <c r="T11634" s="5"/>
      <c r="U11634" s="5"/>
      <c r="V11634" s="5"/>
      <c r="W11634" s="5"/>
      <c r="X11634" s="5"/>
      <c r="Y11634" s="5"/>
      <c r="Z11634" s="5"/>
    </row>
    <row r="11635" spans="1:26" ht="15" x14ac:dyDescent="0.25">
      <c r="A11635" s="4" t="s">
        <v>11632</v>
      </c>
      <c r="B11635" s="4" t="s">
        <v>9011</v>
      </c>
      <c r="C11635" s="2" t="str">
        <f ca="1">IFERROR(__xludf.DUMMYFUNCTION("GOOGLETRANSLATE(A11635,""bn"",""en"")"),"Security will check")</f>
        <v>Security will check</v>
      </c>
      <c r="D11635" s="5"/>
      <c r="E11635" s="5"/>
      <c r="F11635" s="5"/>
      <c r="G11635" s="5"/>
      <c r="H11635" s="5"/>
      <c r="I11635" s="5"/>
      <c r="J11635" s="5"/>
      <c r="K11635" s="5"/>
      <c r="L11635" s="5"/>
      <c r="M11635" s="5"/>
      <c r="N11635" s="5"/>
      <c r="O11635" s="5"/>
      <c r="P11635" s="5"/>
      <c r="Q11635" s="5"/>
      <c r="R11635" s="5"/>
      <c r="S11635" s="5"/>
      <c r="T11635" s="5"/>
      <c r="U11635" s="5"/>
      <c r="V11635" s="5"/>
      <c r="W11635" s="5"/>
      <c r="X11635" s="5"/>
      <c r="Y11635" s="5"/>
      <c r="Z11635" s="5"/>
    </row>
    <row r="11636" spans="1:26" ht="15" x14ac:dyDescent="0.25">
      <c r="A11636" s="4" t="s">
        <v>11633</v>
      </c>
      <c r="B11636" s="4" t="s">
        <v>9011</v>
      </c>
      <c r="C11636" s="2" t="str">
        <f ca="1">IFERROR(__xludf.DUMMYFUNCTION("GOOGLETRANSLATE(A11636,""bn"",""en"")"),"There will be bank services")</f>
        <v>There will be bank services</v>
      </c>
      <c r="D11636" s="5"/>
      <c r="E11636" s="5"/>
      <c r="F11636" s="5"/>
      <c r="G11636" s="5"/>
      <c r="H11636" s="5"/>
      <c r="I11636" s="5"/>
      <c r="J11636" s="5"/>
      <c r="K11636" s="5"/>
      <c r="L11636" s="5"/>
      <c r="M11636" s="5"/>
      <c r="N11636" s="5"/>
      <c r="O11636" s="5"/>
      <c r="P11636" s="5"/>
      <c r="Q11636" s="5"/>
      <c r="R11636" s="5"/>
      <c r="S11636" s="5"/>
      <c r="T11636" s="5"/>
      <c r="U11636" s="5"/>
      <c r="V11636" s="5"/>
      <c r="W11636" s="5"/>
      <c r="X11636" s="5"/>
      <c r="Y11636" s="5"/>
      <c r="Z11636" s="5"/>
    </row>
    <row r="11637" spans="1:26" ht="15" x14ac:dyDescent="0.25">
      <c r="A11637" s="4" t="s">
        <v>11634</v>
      </c>
      <c r="B11637" s="4" t="s">
        <v>9011</v>
      </c>
      <c r="C11637" s="2" t="str">
        <f ca="1">IFERROR(__xludf.DUMMYFUNCTION("GOOGLETRANSLATE(A11637,""bn"",""en"")"),"I will enjoy the music")</f>
        <v>I will enjoy the music</v>
      </c>
      <c r="D11637" s="5"/>
      <c r="E11637" s="5"/>
      <c r="F11637" s="5"/>
      <c r="G11637" s="5"/>
      <c r="H11637" s="5"/>
      <c r="I11637" s="5"/>
      <c r="J11637" s="5"/>
      <c r="K11637" s="5"/>
      <c r="L11637" s="5"/>
      <c r="M11637" s="5"/>
      <c r="N11637" s="5"/>
      <c r="O11637" s="5"/>
      <c r="P11637" s="5"/>
      <c r="Q11637" s="5"/>
      <c r="R11637" s="5"/>
      <c r="S11637" s="5"/>
      <c r="T11637" s="5"/>
      <c r="U11637" s="5"/>
      <c r="V11637" s="5"/>
      <c r="W11637" s="5"/>
      <c r="X11637" s="5"/>
      <c r="Y11637" s="5"/>
      <c r="Z11637" s="5"/>
    </row>
    <row r="11638" spans="1:26" ht="15" x14ac:dyDescent="0.25">
      <c r="A11638" s="4" t="s">
        <v>11635</v>
      </c>
      <c r="B11638" s="4" t="s">
        <v>9011</v>
      </c>
      <c r="C11638" s="2" t="str">
        <f ca="1">IFERROR(__xludf.DUMMYFUNCTION("GOOGLETRANSLATE(A11638,""bn"",""en"")"),"The debate will continue in the meeting")</f>
        <v>The debate will continue in the meeting</v>
      </c>
      <c r="D11638" s="5"/>
      <c r="E11638" s="5"/>
      <c r="F11638" s="5"/>
      <c r="G11638" s="5"/>
      <c r="H11638" s="5"/>
      <c r="I11638" s="5"/>
      <c r="J11638" s="5"/>
      <c r="K11638" s="5"/>
      <c r="L11638" s="5"/>
      <c r="M11638" s="5"/>
      <c r="N11638" s="5"/>
      <c r="O11638" s="5"/>
      <c r="P11638" s="5"/>
      <c r="Q11638" s="5"/>
      <c r="R11638" s="5"/>
      <c r="S11638" s="5"/>
      <c r="T11638" s="5"/>
      <c r="U11638" s="5"/>
      <c r="V11638" s="5"/>
      <c r="W11638" s="5"/>
      <c r="X11638" s="5"/>
      <c r="Y11638" s="5"/>
      <c r="Z11638" s="5"/>
    </row>
    <row r="11639" spans="1:26" ht="15" x14ac:dyDescent="0.25">
      <c r="A11639" s="4" t="s">
        <v>11636</v>
      </c>
      <c r="B11639" s="4" t="s">
        <v>9011</v>
      </c>
      <c r="C11639" s="2" t="str">
        <f ca="1">IFERROR(__xludf.DUMMYFUNCTION("GOOGLETRANSLATE(A11639,""bn"",""en"")"),"Various news will spread")</f>
        <v>Various news will spread</v>
      </c>
      <c r="D11639" s="5"/>
      <c r="E11639" s="5"/>
      <c r="F11639" s="5"/>
      <c r="G11639" s="5"/>
      <c r="H11639" s="5"/>
      <c r="I11639" s="5"/>
      <c r="J11639" s="5"/>
      <c r="K11639" s="5"/>
      <c r="L11639" s="5"/>
      <c r="M11639" s="5"/>
      <c r="N11639" s="5"/>
      <c r="O11639" s="5"/>
      <c r="P11639" s="5"/>
      <c r="Q11639" s="5"/>
      <c r="R11639" s="5"/>
      <c r="S11639" s="5"/>
      <c r="T11639" s="5"/>
      <c r="U11639" s="5"/>
      <c r="V11639" s="5"/>
      <c r="W11639" s="5"/>
      <c r="X11639" s="5"/>
      <c r="Y11639" s="5"/>
      <c r="Z11639" s="5"/>
    </row>
    <row r="11640" spans="1:26" ht="15" x14ac:dyDescent="0.25">
      <c r="A11640" s="4" t="s">
        <v>11637</v>
      </c>
      <c r="B11640" s="4" t="s">
        <v>9011</v>
      </c>
      <c r="C11640" s="2" t="str">
        <f ca="1">IFERROR(__xludf.DUMMYFUNCTION("GOOGLETRANSLATE(A11640,""bn"",""en"")"),"I will be the account holder")</f>
        <v>I will be the account holder</v>
      </c>
      <c r="D11640" s="5"/>
      <c r="E11640" s="5"/>
      <c r="F11640" s="5"/>
      <c r="G11640" s="5"/>
      <c r="H11640" s="5"/>
      <c r="I11640" s="5"/>
      <c r="J11640" s="5"/>
      <c r="K11640" s="5"/>
      <c r="L11640" s="5"/>
      <c r="M11640" s="5"/>
      <c r="N11640" s="5"/>
      <c r="O11640" s="5"/>
      <c r="P11640" s="5"/>
      <c r="Q11640" s="5"/>
      <c r="R11640" s="5"/>
      <c r="S11640" s="5"/>
      <c r="T11640" s="5"/>
      <c r="U11640" s="5"/>
      <c r="V11640" s="5"/>
      <c r="W11640" s="5"/>
      <c r="X11640" s="5"/>
      <c r="Y11640" s="5"/>
      <c r="Z11640" s="5"/>
    </row>
    <row r="11641" spans="1:26" ht="15" x14ac:dyDescent="0.25">
      <c r="A11641" s="4" t="s">
        <v>11638</v>
      </c>
      <c r="B11641" s="4" t="s">
        <v>9011</v>
      </c>
      <c r="C11641" s="2" t="str">
        <f ca="1">IFERROR(__xludf.DUMMYFUNCTION("GOOGLETRANSLATE(A11641,""bn"",""en"")"),"There will be no money in the account")</f>
        <v>There will be no money in the account</v>
      </c>
      <c r="D11641" s="5"/>
      <c r="E11641" s="5"/>
      <c r="F11641" s="5"/>
      <c r="G11641" s="5"/>
      <c r="H11641" s="5"/>
      <c r="I11641" s="5"/>
      <c r="J11641" s="5"/>
      <c r="K11641" s="5"/>
      <c r="L11641" s="5"/>
      <c r="M11641" s="5"/>
      <c r="N11641" s="5"/>
      <c r="O11641" s="5"/>
      <c r="P11641" s="5"/>
      <c r="Q11641" s="5"/>
      <c r="R11641" s="5"/>
      <c r="S11641" s="5"/>
      <c r="T11641" s="5"/>
      <c r="U11641" s="5"/>
      <c r="V11641" s="5"/>
      <c r="W11641" s="5"/>
      <c r="X11641" s="5"/>
      <c r="Y11641" s="5"/>
      <c r="Z11641" s="5"/>
    </row>
    <row r="11642" spans="1:26" ht="15" x14ac:dyDescent="0.25">
      <c r="A11642" s="4" t="s">
        <v>11639</v>
      </c>
      <c r="B11642" s="4" t="s">
        <v>9011</v>
      </c>
      <c r="C11642" s="2" t="str">
        <f ca="1">IFERROR(__xludf.DUMMYFUNCTION("GOOGLETRANSLATE(A11642,""bn"",""en"")"),"He will eat juicy food")</f>
        <v>He will eat juicy food</v>
      </c>
      <c r="D11642" s="5"/>
      <c r="E11642" s="5"/>
      <c r="F11642" s="5"/>
      <c r="G11642" s="5"/>
      <c r="H11642" s="5"/>
      <c r="I11642" s="5"/>
      <c r="J11642" s="5"/>
      <c r="K11642" s="5"/>
      <c r="L11642" s="5"/>
      <c r="M11642" s="5"/>
      <c r="N11642" s="5"/>
      <c r="O11642" s="5"/>
      <c r="P11642" s="5"/>
      <c r="Q11642" s="5"/>
      <c r="R11642" s="5"/>
      <c r="S11642" s="5"/>
      <c r="T11642" s="5"/>
      <c r="U11642" s="5"/>
      <c r="V11642" s="5"/>
      <c r="W11642" s="5"/>
      <c r="X11642" s="5"/>
      <c r="Y11642" s="5"/>
      <c r="Z11642" s="5"/>
    </row>
    <row r="11643" spans="1:26" ht="15" x14ac:dyDescent="0.25">
      <c r="A11643" s="4" t="s">
        <v>11640</v>
      </c>
      <c r="B11643" s="4" t="s">
        <v>9011</v>
      </c>
      <c r="C11643" s="2" t="str">
        <f ca="1">IFERROR(__xludf.DUMMYFUNCTION("GOOGLETRANSLATE(A11643,""bn"",""en"")"),"He will have dinner with juice")</f>
        <v>He will have dinner with juice</v>
      </c>
      <c r="D11643" s="5"/>
      <c r="E11643" s="5"/>
      <c r="F11643" s="5"/>
      <c r="G11643" s="5"/>
      <c r="H11643" s="5"/>
      <c r="I11643" s="5"/>
      <c r="J11643" s="5"/>
      <c r="K11643" s="5"/>
      <c r="L11643" s="5"/>
      <c r="M11643" s="5"/>
      <c r="N11643" s="5"/>
      <c r="O11643" s="5"/>
      <c r="P11643" s="5"/>
      <c r="Q11643" s="5"/>
      <c r="R11643" s="5"/>
      <c r="S11643" s="5"/>
      <c r="T11643" s="5"/>
      <c r="U11643" s="5"/>
      <c r="V11643" s="5"/>
      <c r="W11643" s="5"/>
      <c r="X11643" s="5"/>
      <c r="Y11643" s="5"/>
      <c r="Z11643" s="5"/>
    </row>
    <row r="11644" spans="1:26" ht="15" x14ac:dyDescent="0.25">
      <c r="A11644" s="4" t="s">
        <v>11641</v>
      </c>
      <c r="B11644" s="4" t="s">
        <v>9011</v>
      </c>
      <c r="C11644" s="2" t="str">
        <f ca="1">IFERROR(__xludf.DUMMYFUNCTION("GOOGLETRANSLATE(A11644,""bn"",""en"")"),"The price will be higher")</f>
        <v>The price will be higher</v>
      </c>
      <c r="D11644" s="5"/>
      <c r="E11644" s="5"/>
      <c r="F11644" s="5"/>
      <c r="G11644" s="5"/>
      <c r="H11644" s="5"/>
      <c r="I11644" s="5"/>
      <c r="J11644" s="5"/>
      <c r="K11644" s="5"/>
      <c r="L11644" s="5"/>
      <c r="M11644" s="5"/>
      <c r="N11644" s="5"/>
      <c r="O11644" s="5"/>
      <c r="P11644" s="5"/>
      <c r="Q11644" s="5"/>
      <c r="R11644" s="5"/>
      <c r="S11644" s="5"/>
      <c r="T11644" s="5"/>
      <c r="U11644" s="5"/>
      <c r="V11644" s="5"/>
      <c r="W11644" s="5"/>
      <c r="X11644" s="5"/>
      <c r="Y11644" s="5"/>
      <c r="Z11644" s="5"/>
    </row>
    <row r="11645" spans="1:26" ht="15" x14ac:dyDescent="0.25">
      <c r="A11645" s="4" t="s">
        <v>11642</v>
      </c>
      <c r="B11645" s="4" t="s">
        <v>9011</v>
      </c>
      <c r="C11645" s="2" t="str">
        <f ca="1">IFERROR(__xludf.DUMMYFUNCTION("GOOGLETRANSLATE(A11645,""bn"",""en"")"),"I will open the account")</f>
        <v>I will open the account</v>
      </c>
      <c r="D11645" s="5"/>
      <c r="E11645" s="5"/>
      <c r="F11645" s="5"/>
      <c r="G11645" s="5"/>
      <c r="H11645" s="5"/>
      <c r="I11645" s="5"/>
      <c r="J11645" s="5"/>
      <c r="K11645" s="5"/>
      <c r="L11645" s="5"/>
      <c r="M11645" s="5"/>
      <c r="N11645" s="5"/>
      <c r="O11645" s="5"/>
      <c r="P11645" s="5"/>
      <c r="Q11645" s="5"/>
      <c r="R11645" s="5"/>
      <c r="S11645" s="5"/>
      <c r="T11645" s="5"/>
      <c r="U11645" s="5"/>
      <c r="V11645" s="5"/>
      <c r="W11645" s="5"/>
      <c r="X11645" s="5"/>
      <c r="Y11645" s="5"/>
      <c r="Z11645" s="5"/>
    </row>
    <row r="11646" spans="1:26" ht="15" x14ac:dyDescent="0.25">
      <c r="A11646" s="4" t="s">
        <v>11643</v>
      </c>
      <c r="B11646" s="4" t="s">
        <v>9011</v>
      </c>
      <c r="C11646" s="2" t="str">
        <f ca="1">IFERROR(__xludf.DUMMYFUNCTION("GOOGLETRANSLATE(A11646,""bn"",""en"")"),"I will express my condolences")</f>
        <v>I will express my condolences</v>
      </c>
      <c r="D11646" s="5"/>
      <c r="E11646" s="5"/>
      <c r="F11646" s="5"/>
      <c r="G11646" s="5"/>
      <c r="H11646" s="5"/>
      <c r="I11646" s="5"/>
      <c r="J11646" s="5"/>
      <c r="K11646" s="5"/>
      <c r="L11646" s="5"/>
      <c r="M11646" s="5"/>
      <c r="N11646" s="5"/>
      <c r="O11646" s="5"/>
      <c r="P11646" s="5"/>
      <c r="Q11646" s="5"/>
      <c r="R11646" s="5"/>
      <c r="S11646" s="5"/>
      <c r="T11646" s="5"/>
      <c r="U11646" s="5"/>
      <c r="V11646" s="5"/>
      <c r="W11646" s="5"/>
      <c r="X11646" s="5"/>
      <c r="Y11646" s="5"/>
      <c r="Z11646" s="5"/>
    </row>
    <row r="11647" spans="1:26" ht="15" x14ac:dyDescent="0.25">
      <c r="A11647" s="4" t="s">
        <v>11644</v>
      </c>
      <c r="B11647" s="4" t="s">
        <v>9011</v>
      </c>
      <c r="C11647" s="2" t="str">
        <f ca="1">IFERROR(__xludf.DUMMYFUNCTION("GOOGLETRANSLATE(A11647,""bn"",""en"")"),"Programming will be known")</f>
        <v>Programming will be known</v>
      </c>
      <c r="D11647" s="5"/>
      <c r="E11647" s="5"/>
      <c r="F11647" s="5"/>
      <c r="G11647" s="5"/>
      <c r="H11647" s="5"/>
      <c r="I11647" s="5"/>
      <c r="J11647" s="5"/>
      <c r="K11647" s="5"/>
      <c r="L11647" s="5"/>
      <c r="M11647" s="5"/>
      <c r="N11647" s="5"/>
      <c r="O11647" s="5"/>
      <c r="P11647" s="5"/>
      <c r="Q11647" s="5"/>
      <c r="R11647" s="5"/>
      <c r="S11647" s="5"/>
      <c r="T11647" s="5"/>
      <c r="U11647" s="5"/>
      <c r="V11647" s="5"/>
      <c r="W11647" s="5"/>
      <c r="X11647" s="5"/>
      <c r="Y11647" s="5"/>
      <c r="Z11647" s="5"/>
    </row>
    <row r="11648" spans="1:26" ht="15" x14ac:dyDescent="0.25">
      <c r="A11648" s="4" t="s">
        <v>11645</v>
      </c>
      <c r="B11648" s="4" t="s">
        <v>9011</v>
      </c>
      <c r="C11648" s="2" t="str">
        <f ca="1">IFERROR(__xludf.DUMMYFUNCTION("GOOGLETRANSLATE(A11648,""bn"",""en"")"),"I will go to Medina")</f>
        <v>I will go to Medina</v>
      </c>
      <c r="D11648" s="5"/>
      <c r="E11648" s="5"/>
      <c r="F11648" s="5"/>
      <c r="G11648" s="5"/>
      <c r="H11648" s="5"/>
      <c r="I11648" s="5"/>
      <c r="J11648" s="5"/>
      <c r="K11648" s="5"/>
      <c r="L11648" s="5"/>
      <c r="M11648" s="5"/>
      <c r="N11648" s="5"/>
      <c r="O11648" s="5"/>
      <c r="P11648" s="5"/>
      <c r="Q11648" s="5"/>
      <c r="R11648" s="5"/>
      <c r="S11648" s="5"/>
      <c r="T11648" s="5"/>
      <c r="U11648" s="5"/>
      <c r="V11648" s="5"/>
      <c r="W11648" s="5"/>
      <c r="X11648" s="5"/>
      <c r="Y11648" s="5"/>
      <c r="Z11648" s="5"/>
    </row>
    <row r="11649" spans="1:26" ht="15" x14ac:dyDescent="0.25">
      <c r="A11649" s="4" t="s">
        <v>11646</v>
      </c>
      <c r="B11649" s="4" t="s">
        <v>9011</v>
      </c>
      <c r="C11649" s="2" t="str">
        <f ca="1">IFERROR(__xludf.DUMMYFUNCTION("GOOGLETRANSLATE(A11649,""bn"",""en"")"),"I will play at school")</f>
        <v>I will play at school</v>
      </c>
      <c r="D11649" s="5"/>
      <c r="E11649" s="5"/>
      <c r="F11649" s="5"/>
      <c r="G11649" s="5"/>
      <c r="H11649" s="5"/>
      <c r="I11649" s="5"/>
      <c r="J11649" s="5"/>
      <c r="K11649" s="5"/>
      <c r="L11649" s="5"/>
      <c r="M11649" s="5"/>
      <c r="N11649" s="5"/>
      <c r="O11649" s="5"/>
      <c r="P11649" s="5"/>
      <c r="Q11649" s="5"/>
      <c r="R11649" s="5"/>
      <c r="S11649" s="5"/>
      <c r="T11649" s="5"/>
      <c r="U11649" s="5"/>
      <c r="V11649" s="5"/>
      <c r="W11649" s="5"/>
      <c r="X11649" s="5"/>
      <c r="Y11649" s="5"/>
      <c r="Z11649" s="5"/>
    </row>
    <row r="11650" spans="1:26" ht="15" x14ac:dyDescent="0.25">
      <c r="A11650" s="4" t="s">
        <v>11647</v>
      </c>
      <c r="B11650" s="4" t="s">
        <v>9011</v>
      </c>
      <c r="C11650" s="2" t="str">
        <f ca="1">IFERROR(__xludf.DUMMYFUNCTION("GOOGLETRANSLATE(A11650,""bn"",""en"")"),"I will deposit the money")</f>
        <v>I will deposit the money</v>
      </c>
      <c r="D11650" s="5"/>
      <c r="E11650" s="5"/>
      <c r="F11650" s="5"/>
      <c r="G11650" s="5"/>
      <c r="H11650" s="5"/>
      <c r="I11650" s="5"/>
      <c r="J11650" s="5"/>
      <c r="K11650" s="5"/>
      <c r="L11650" s="5"/>
      <c r="M11650" s="5"/>
      <c r="N11650" s="5"/>
      <c r="O11650" s="5"/>
      <c r="P11650" s="5"/>
      <c r="Q11650" s="5"/>
      <c r="R11650" s="5"/>
      <c r="S11650" s="5"/>
      <c r="T11650" s="5"/>
      <c r="U11650" s="5"/>
      <c r="V11650" s="5"/>
      <c r="W11650" s="5"/>
      <c r="X11650" s="5"/>
      <c r="Y11650" s="5"/>
      <c r="Z11650" s="5"/>
    </row>
    <row r="11651" spans="1:26" ht="15" x14ac:dyDescent="0.25">
      <c r="A11651" s="4" t="s">
        <v>11648</v>
      </c>
      <c r="B11651" s="4" t="s">
        <v>9011</v>
      </c>
      <c r="C11651" s="2" t="str">
        <f ca="1">IFERROR(__xludf.DUMMYFUNCTION("GOOGLETRANSLATE(A11651,""bn"",""en"")"),"Deposit money and buy a new house")</f>
        <v>Deposit money and buy a new house</v>
      </c>
      <c r="D11651" s="5"/>
      <c r="E11651" s="5"/>
      <c r="F11651" s="5"/>
      <c r="G11651" s="5"/>
      <c r="H11651" s="5"/>
      <c r="I11651" s="5"/>
      <c r="J11651" s="5"/>
      <c r="K11651" s="5"/>
      <c r="L11651" s="5"/>
      <c r="M11651" s="5"/>
      <c r="N11651" s="5"/>
      <c r="O11651" s="5"/>
      <c r="P11651" s="5"/>
      <c r="Q11651" s="5"/>
      <c r="R11651" s="5"/>
      <c r="S11651" s="5"/>
      <c r="T11651" s="5"/>
      <c r="U11651" s="5"/>
      <c r="V11651" s="5"/>
      <c r="W11651" s="5"/>
      <c r="X11651" s="5"/>
      <c r="Y11651" s="5"/>
      <c r="Z11651" s="5"/>
    </row>
    <row r="11652" spans="1:26" ht="15" x14ac:dyDescent="0.25">
      <c r="A11652" s="4" t="s">
        <v>11649</v>
      </c>
      <c r="B11652" s="4" t="s">
        <v>9011</v>
      </c>
      <c r="C11652" s="2" t="str">
        <f ca="1">IFERROR(__xludf.DUMMYFUNCTION("GOOGLETRANSLATE(A11652,""bn"",""en"")"),"Do the calculations")</f>
        <v>Do the calculations</v>
      </c>
      <c r="D11652" s="5"/>
      <c r="E11652" s="5"/>
      <c r="F11652" s="5"/>
      <c r="G11652" s="5"/>
      <c r="H11652" s="5"/>
      <c r="I11652" s="5"/>
      <c r="J11652" s="5"/>
      <c r="K11652" s="5"/>
      <c r="L11652" s="5"/>
      <c r="M11652" s="5"/>
      <c r="N11652" s="5"/>
      <c r="O11652" s="5"/>
      <c r="P11652" s="5"/>
      <c r="Q11652" s="5"/>
      <c r="R11652" s="5"/>
      <c r="S11652" s="5"/>
      <c r="T11652" s="5"/>
      <c r="U11652" s="5"/>
      <c r="V11652" s="5"/>
      <c r="W11652" s="5"/>
      <c r="X11652" s="5"/>
      <c r="Y11652" s="5"/>
      <c r="Z11652" s="5"/>
    </row>
    <row r="11653" spans="1:26" ht="15" x14ac:dyDescent="0.25">
      <c r="A11653" s="4" t="s">
        <v>11650</v>
      </c>
      <c r="B11653" s="4" t="s">
        <v>9011</v>
      </c>
      <c r="C11653" s="2" t="str">
        <f ca="1">IFERROR(__xludf.DUMMYFUNCTION("GOOGLETRANSLATE(A11653,""bn"",""en"")"),"i will talk")</f>
        <v>i will talk</v>
      </c>
      <c r="D11653" s="5"/>
      <c r="E11653" s="5"/>
      <c r="F11653" s="5"/>
      <c r="G11653" s="5"/>
      <c r="H11653" s="5"/>
      <c r="I11653" s="5"/>
      <c r="J11653" s="5"/>
      <c r="K11653" s="5"/>
      <c r="L11653" s="5"/>
      <c r="M11653" s="5"/>
      <c r="N11653" s="5"/>
      <c r="O11653" s="5"/>
      <c r="P11653" s="5"/>
      <c r="Q11653" s="5"/>
      <c r="R11653" s="5"/>
      <c r="S11653" s="5"/>
      <c r="T11653" s="5"/>
      <c r="U11653" s="5"/>
      <c r="V11653" s="5"/>
      <c r="W11653" s="5"/>
      <c r="X11653" s="5"/>
      <c r="Y11653" s="5"/>
      <c r="Z11653" s="5"/>
    </row>
    <row r="11654" spans="1:26" ht="15" x14ac:dyDescent="0.25">
      <c r="A11654" s="4" t="s">
        <v>11651</v>
      </c>
      <c r="B11654" s="4" t="s">
        <v>9011</v>
      </c>
      <c r="C11654" s="2" t="str">
        <f ca="1">IFERROR(__xludf.DUMMYFUNCTION("GOOGLETRANSLATE(A11654,""bn"",""en"")"),"I will continue to plan")</f>
        <v>I will continue to plan</v>
      </c>
      <c r="D11654" s="5"/>
      <c r="E11654" s="5"/>
      <c r="F11654" s="5"/>
      <c r="G11654" s="5"/>
      <c r="H11654" s="5"/>
      <c r="I11654" s="5"/>
      <c r="J11654" s="5"/>
      <c r="K11654" s="5"/>
      <c r="L11654" s="5"/>
      <c r="M11654" s="5"/>
      <c r="N11654" s="5"/>
      <c r="O11654" s="5"/>
      <c r="P11654" s="5"/>
      <c r="Q11654" s="5"/>
      <c r="R11654" s="5"/>
      <c r="S11654" s="5"/>
      <c r="T11654" s="5"/>
      <c r="U11654" s="5"/>
      <c r="V11654" s="5"/>
      <c r="W11654" s="5"/>
      <c r="X11654" s="5"/>
      <c r="Y11654" s="5"/>
      <c r="Z11654" s="5"/>
    </row>
    <row r="11655" spans="1:26" ht="15" x14ac:dyDescent="0.25">
      <c r="A11655" s="4" t="s">
        <v>11652</v>
      </c>
      <c r="B11655" s="4" t="s">
        <v>9011</v>
      </c>
      <c r="C11655" s="2" t="str">
        <f ca="1">IFERROR(__xludf.DUMMYFUNCTION("GOOGLETRANSLATE(A11655,""bn"",""en"")"),"Account will be in the bank")</f>
        <v>Account will be in the bank</v>
      </c>
      <c r="D11655" s="5"/>
      <c r="E11655" s="5"/>
      <c r="F11655" s="5"/>
      <c r="G11655" s="5"/>
      <c r="H11655" s="5"/>
      <c r="I11655" s="5"/>
      <c r="J11655" s="5"/>
      <c r="K11655" s="5"/>
      <c r="L11655" s="5"/>
      <c r="M11655" s="5"/>
      <c r="N11655" s="5"/>
      <c r="O11655" s="5"/>
      <c r="P11655" s="5"/>
      <c r="Q11655" s="5"/>
      <c r="R11655" s="5"/>
      <c r="S11655" s="5"/>
      <c r="T11655" s="5"/>
      <c r="U11655" s="5"/>
      <c r="V11655" s="5"/>
      <c r="W11655" s="5"/>
      <c r="X11655" s="5"/>
      <c r="Y11655" s="5"/>
      <c r="Z11655" s="5"/>
    </row>
    <row r="11656" spans="1:26" ht="15" x14ac:dyDescent="0.25">
      <c r="A11656" s="4" t="s">
        <v>11653</v>
      </c>
      <c r="B11656" s="4" t="s">
        <v>9011</v>
      </c>
      <c r="C11656" s="2" t="str">
        <f ca="1">IFERROR(__xludf.DUMMYFUNCTION("GOOGLETRANSLATE(A11656,""bn"",""en"")"),"I will be hanging around in the cafeteria")</f>
        <v>I will be hanging around in the cafeteria</v>
      </c>
      <c r="D11656" s="5"/>
      <c r="E11656" s="5"/>
      <c r="F11656" s="5"/>
      <c r="G11656" s="5"/>
      <c r="H11656" s="5"/>
      <c r="I11656" s="5"/>
      <c r="J11656" s="5"/>
      <c r="K11656" s="5"/>
      <c r="L11656" s="5"/>
      <c r="M11656" s="5"/>
      <c r="N11656" s="5"/>
      <c r="O11656" s="5"/>
      <c r="P11656" s="5"/>
      <c r="Q11656" s="5"/>
      <c r="R11656" s="5"/>
      <c r="S11656" s="5"/>
      <c r="T11656" s="5"/>
      <c r="U11656" s="5"/>
      <c r="V11656" s="5"/>
      <c r="W11656" s="5"/>
      <c r="X11656" s="5"/>
      <c r="Y11656" s="5"/>
      <c r="Z11656" s="5"/>
    </row>
    <row r="11657" spans="1:26" ht="15" x14ac:dyDescent="0.25">
      <c r="A11657" s="4" t="s">
        <v>11654</v>
      </c>
      <c r="B11657" s="4" t="s">
        <v>9011</v>
      </c>
      <c r="C11657" s="2" t="str">
        <f ca="1">IFERROR(__xludf.DUMMYFUNCTION("GOOGLETRANSLATE(A11657,""bn"",""en"")"),"Cyber ​​awareness will increase")</f>
        <v>Cyber ​​awareness will increase</v>
      </c>
      <c r="D11657" s="5"/>
      <c r="E11657" s="5"/>
      <c r="F11657" s="5"/>
      <c r="G11657" s="5"/>
      <c r="H11657" s="5"/>
      <c r="I11657" s="5"/>
      <c r="J11657" s="5"/>
      <c r="K11657" s="5"/>
      <c r="L11657" s="5"/>
      <c r="M11657" s="5"/>
      <c r="N11657" s="5"/>
      <c r="O11657" s="5"/>
      <c r="P11657" s="5"/>
      <c r="Q11657" s="5"/>
      <c r="R11657" s="5"/>
      <c r="S11657" s="5"/>
      <c r="T11657" s="5"/>
      <c r="U11657" s="5"/>
      <c r="V11657" s="5"/>
      <c r="W11657" s="5"/>
      <c r="X11657" s="5"/>
      <c r="Y11657" s="5"/>
      <c r="Z11657" s="5"/>
    </row>
    <row r="11658" spans="1:26" ht="15" x14ac:dyDescent="0.25">
      <c r="A11658" s="4" t="s">
        <v>11655</v>
      </c>
      <c r="B11658" s="4" t="s">
        <v>9011</v>
      </c>
      <c r="C11658" s="2" t="str">
        <f ca="1">IFERROR(__xludf.DUMMYFUNCTION("GOOGLETRANSLATE(A11658,""bn"",""en"")"),"Padma will eat hilsa")</f>
        <v>Padma will eat hilsa</v>
      </c>
      <c r="D11658" s="5"/>
      <c r="E11658" s="5"/>
      <c r="F11658" s="5"/>
      <c r="G11658" s="5"/>
      <c r="H11658" s="5"/>
      <c r="I11658" s="5"/>
      <c r="J11658" s="5"/>
      <c r="K11658" s="5"/>
      <c r="L11658" s="5"/>
      <c r="M11658" s="5"/>
      <c r="N11658" s="5"/>
      <c r="O11658" s="5"/>
      <c r="P11658" s="5"/>
      <c r="Q11658" s="5"/>
      <c r="R11658" s="5"/>
      <c r="S11658" s="5"/>
      <c r="T11658" s="5"/>
      <c r="U11658" s="5"/>
      <c r="V11658" s="5"/>
      <c r="W11658" s="5"/>
      <c r="X11658" s="5"/>
      <c r="Y11658" s="5"/>
      <c r="Z11658" s="5"/>
    </row>
    <row r="11659" spans="1:26" ht="15" x14ac:dyDescent="0.25">
      <c r="A11659" s="4" t="s">
        <v>11656</v>
      </c>
      <c r="B11659" s="4" t="s">
        <v>9011</v>
      </c>
      <c r="C11659" s="2" t="str">
        <f ca="1">IFERROR(__xludf.DUMMYFUNCTION("GOOGLETRANSLATE(A11659,""bn"",""en"")"),"Will keep sending information")</f>
        <v>Will keep sending information</v>
      </c>
      <c r="D11659" s="5"/>
      <c r="E11659" s="5"/>
      <c r="F11659" s="5"/>
      <c r="G11659" s="5"/>
      <c r="H11659" s="5"/>
      <c r="I11659" s="5"/>
      <c r="J11659" s="5"/>
      <c r="K11659" s="5"/>
      <c r="L11659" s="5"/>
      <c r="M11659" s="5"/>
      <c r="N11659" s="5"/>
      <c r="O11659" s="5"/>
      <c r="P11659" s="5"/>
      <c r="Q11659" s="5"/>
      <c r="R11659" s="5"/>
      <c r="S11659" s="5"/>
      <c r="T11659" s="5"/>
      <c r="U11659" s="5"/>
      <c r="V11659" s="5"/>
      <c r="W11659" s="5"/>
      <c r="X11659" s="5"/>
      <c r="Y11659" s="5"/>
      <c r="Z11659" s="5"/>
    </row>
    <row r="11660" spans="1:26" ht="15" x14ac:dyDescent="0.25">
      <c r="A11660" s="4" t="s">
        <v>11657</v>
      </c>
      <c r="B11660" s="4" t="s">
        <v>9011</v>
      </c>
      <c r="C11660" s="2" t="str">
        <f ca="1">IFERROR(__xludf.DUMMYFUNCTION("GOOGLETRANSLATE(A11660,""bn"",""en"")"),"They will learn acting")</f>
        <v>They will learn acting</v>
      </c>
      <c r="D11660" s="5"/>
      <c r="E11660" s="5"/>
      <c r="F11660" s="5"/>
      <c r="G11660" s="5"/>
      <c r="H11660" s="5"/>
      <c r="I11660" s="5"/>
      <c r="J11660" s="5"/>
      <c r="K11660" s="5"/>
      <c r="L11660" s="5"/>
      <c r="M11660" s="5"/>
      <c r="N11660" s="5"/>
      <c r="O11660" s="5"/>
      <c r="P11660" s="5"/>
      <c r="Q11660" s="5"/>
      <c r="R11660" s="5"/>
      <c r="S11660" s="5"/>
      <c r="T11660" s="5"/>
      <c r="U11660" s="5"/>
      <c r="V11660" s="5"/>
      <c r="W11660" s="5"/>
      <c r="X11660" s="5"/>
      <c r="Y11660" s="5"/>
      <c r="Z11660" s="5"/>
    </row>
    <row r="11661" spans="1:26" ht="15" x14ac:dyDescent="0.25">
      <c r="A11661" s="4" t="s">
        <v>11658</v>
      </c>
      <c r="B11661" s="4" t="s">
        <v>9011</v>
      </c>
      <c r="C11661" s="2" t="str">
        <f ca="1">IFERROR(__xludf.DUMMYFUNCTION("GOOGLETRANSLATE(A11661,""bn"",""en"")"),"The phone will be expensive")</f>
        <v>The phone will be expensive</v>
      </c>
      <c r="D11661" s="5"/>
      <c r="E11661" s="5"/>
      <c r="F11661" s="5"/>
      <c r="G11661" s="5"/>
      <c r="H11661" s="5"/>
      <c r="I11661" s="5"/>
      <c r="J11661" s="5"/>
      <c r="K11661" s="5"/>
      <c r="L11661" s="5"/>
      <c r="M11661" s="5"/>
      <c r="N11661" s="5"/>
      <c r="O11661" s="5"/>
      <c r="P11661" s="5"/>
      <c r="Q11661" s="5"/>
      <c r="R11661" s="5"/>
      <c r="S11661" s="5"/>
      <c r="T11661" s="5"/>
      <c r="U11661" s="5"/>
      <c r="V11661" s="5"/>
      <c r="W11661" s="5"/>
      <c r="X11661" s="5"/>
      <c r="Y11661" s="5"/>
      <c r="Z11661" s="5"/>
    </row>
    <row r="11662" spans="1:26" ht="15" x14ac:dyDescent="0.25">
      <c r="A11662" s="4" t="s">
        <v>11659</v>
      </c>
      <c r="B11662" s="4" t="s">
        <v>9011</v>
      </c>
      <c r="C11662" s="2" t="str">
        <f ca="1">IFERROR(__xludf.DUMMYFUNCTION("GOOGLETRANSLATE(A11662,""bn"",""en"")"),"The discussion will be people")</f>
        <v>The discussion will be people</v>
      </c>
      <c r="D11662" s="5"/>
      <c r="E11662" s="5"/>
      <c r="F11662" s="5"/>
      <c r="G11662" s="5"/>
      <c r="H11662" s="5"/>
      <c r="I11662" s="5"/>
      <c r="J11662" s="5"/>
      <c r="K11662" s="5"/>
      <c r="L11662" s="5"/>
      <c r="M11662" s="5"/>
      <c r="N11662" s="5"/>
      <c r="O11662" s="5"/>
      <c r="P11662" s="5"/>
      <c r="Q11662" s="5"/>
      <c r="R11662" s="5"/>
      <c r="S11662" s="5"/>
      <c r="T11662" s="5"/>
      <c r="U11662" s="5"/>
      <c r="V11662" s="5"/>
      <c r="W11662" s="5"/>
      <c r="X11662" s="5"/>
      <c r="Y11662" s="5"/>
      <c r="Z11662" s="5"/>
    </row>
    <row r="11663" spans="1:26" ht="15" x14ac:dyDescent="0.25">
      <c r="A11663" s="4" t="s">
        <v>11660</v>
      </c>
      <c r="B11663" s="4" t="s">
        <v>9011</v>
      </c>
      <c r="C11663" s="2" t="str">
        <f ca="1">IFERROR(__xludf.DUMMYFUNCTION("GOOGLETRANSLATE(A11663,""bn"",""en"")"),"Satellite will be added")</f>
        <v>Satellite will be added</v>
      </c>
      <c r="D11663" s="5"/>
      <c r="E11663" s="5"/>
      <c r="F11663" s="5"/>
      <c r="G11663" s="5"/>
      <c r="H11663" s="5"/>
      <c r="I11663" s="5"/>
      <c r="J11663" s="5"/>
      <c r="K11663" s="5"/>
      <c r="L11663" s="5"/>
      <c r="M11663" s="5"/>
      <c r="N11663" s="5"/>
      <c r="O11663" s="5"/>
      <c r="P11663" s="5"/>
      <c r="Q11663" s="5"/>
      <c r="R11663" s="5"/>
      <c r="S11663" s="5"/>
      <c r="T11663" s="5"/>
      <c r="U11663" s="5"/>
      <c r="V11663" s="5"/>
      <c r="W11663" s="5"/>
      <c r="X11663" s="5"/>
      <c r="Y11663" s="5"/>
      <c r="Z11663" s="5"/>
    </row>
    <row r="11664" spans="1:26" ht="15" x14ac:dyDescent="0.25">
      <c r="A11664" s="4" t="s">
        <v>11661</v>
      </c>
      <c r="B11664" s="4" t="s">
        <v>9011</v>
      </c>
      <c r="C11664" s="2" t="str">
        <f ca="1">IFERROR(__xludf.DUMMYFUNCTION("GOOGLETRANSLATE(A11664,""bn"",""en"")"),"I will stay at the hostel")</f>
        <v>I will stay at the hostel</v>
      </c>
      <c r="D11664" s="5"/>
      <c r="E11664" s="5"/>
      <c r="F11664" s="5"/>
      <c r="G11664" s="5"/>
      <c r="H11664" s="5"/>
      <c r="I11664" s="5"/>
      <c r="J11664" s="5"/>
      <c r="K11664" s="5"/>
      <c r="L11664" s="5"/>
      <c r="M11664" s="5"/>
      <c r="N11664" s="5"/>
      <c r="O11664" s="5"/>
      <c r="P11664" s="5"/>
      <c r="Q11664" s="5"/>
      <c r="R11664" s="5"/>
      <c r="S11664" s="5"/>
      <c r="T11664" s="5"/>
      <c r="U11664" s="5"/>
      <c r="V11664" s="5"/>
      <c r="W11664" s="5"/>
      <c r="X11664" s="5"/>
      <c r="Y11664" s="5"/>
      <c r="Z11664" s="5"/>
    </row>
    <row r="11665" spans="1:26" ht="15" x14ac:dyDescent="0.25">
      <c r="A11665" s="4" t="s">
        <v>11662</v>
      </c>
      <c r="B11665" s="4" t="s">
        <v>9011</v>
      </c>
      <c r="C11665" s="2" t="str">
        <f ca="1">IFERROR(__xludf.DUMMYFUNCTION("GOOGLETRANSLATE(A11665,""bn"",""en"")"),"I will bathe in the sea")</f>
        <v>I will bathe in the sea</v>
      </c>
      <c r="D11665" s="5"/>
      <c r="E11665" s="5"/>
      <c r="F11665" s="5"/>
      <c r="G11665" s="5"/>
      <c r="H11665" s="5"/>
      <c r="I11665" s="5"/>
      <c r="J11665" s="5"/>
      <c r="K11665" s="5"/>
      <c r="L11665" s="5"/>
      <c r="M11665" s="5"/>
      <c r="N11665" s="5"/>
      <c r="O11665" s="5"/>
      <c r="P11665" s="5"/>
      <c r="Q11665" s="5"/>
      <c r="R11665" s="5"/>
      <c r="S11665" s="5"/>
      <c r="T11665" s="5"/>
      <c r="U11665" s="5"/>
      <c r="V11665" s="5"/>
      <c r="W11665" s="5"/>
      <c r="X11665" s="5"/>
      <c r="Y11665" s="5"/>
      <c r="Z11665" s="5"/>
    </row>
    <row r="11666" spans="1:26" ht="15" x14ac:dyDescent="0.25">
      <c r="A11666" s="4" t="s">
        <v>11663</v>
      </c>
      <c r="B11666" s="4" t="s">
        <v>9011</v>
      </c>
      <c r="C11666" s="2" t="str">
        <f ca="1">IFERROR(__xludf.DUMMYFUNCTION("GOOGLETRANSLATE(A11666,""bn"",""en"")"),"There will be an online seminar")</f>
        <v>There will be an online seminar</v>
      </c>
      <c r="D11666" s="5"/>
      <c r="E11666" s="5"/>
      <c r="F11666" s="5"/>
      <c r="G11666" s="5"/>
      <c r="H11666" s="5"/>
      <c r="I11666" s="5"/>
      <c r="J11666" s="5"/>
      <c r="K11666" s="5"/>
      <c r="L11666" s="5"/>
      <c r="M11666" s="5"/>
      <c r="N11666" s="5"/>
      <c r="O11666" s="5"/>
      <c r="P11666" s="5"/>
      <c r="Q11666" s="5"/>
      <c r="R11666" s="5"/>
      <c r="S11666" s="5"/>
      <c r="T11666" s="5"/>
      <c r="U11666" s="5"/>
      <c r="V11666" s="5"/>
      <c r="W11666" s="5"/>
      <c r="X11666" s="5"/>
      <c r="Y11666" s="5"/>
      <c r="Z11666" s="5"/>
    </row>
    <row r="11667" spans="1:26" ht="15" x14ac:dyDescent="0.25">
      <c r="A11667" s="4" t="s">
        <v>11664</v>
      </c>
      <c r="B11667" s="4" t="s">
        <v>9011</v>
      </c>
      <c r="C11667" s="2" t="str">
        <f ca="1">IFERROR(__xludf.DUMMYFUNCTION("GOOGLETRANSLATE(A11667,""bn"",""en"")"),"Discussion will increase")</f>
        <v>Discussion will increase</v>
      </c>
      <c r="D11667" s="5"/>
      <c r="E11667" s="5"/>
      <c r="F11667" s="5"/>
      <c r="G11667" s="5"/>
      <c r="H11667" s="5"/>
      <c r="I11667" s="5"/>
      <c r="J11667" s="5"/>
      <c r="K11667" s="5"/>
      <c r="L11667" s="5"/>
      <c r="M11667" s="5"/>
      <c r="N11667" s="5"/>
      <c r="O11667" s="5"/>
      <c r="P11667" s="5"/>
      <c r="Q11667" s="5"/>
      <c r="R11667" s="5"/>
      <c r="S11667" s="5"/>
      <c r="T11667" s="5"/>
      <c r="U11667" s="5"/>
      <c r="V11667" s="5"/>
      <c r="W11667" s="5"/>
      <c r="X11667" s="5"/>
      <c r="Y11667" s="5"/>
      <c r="Z11667" s="5"/>
    </row>
    <row r="11668" spans="1:26" ht="15" x14ac:dyDescent="0.25">
      <c r="A11668" s="4" t="s">
        <v>11665</v>
      </c>
      <c r="B11668" s="4" t="s">
        <v>9011</v>
      </c>
      <c r="C11668" s="2" t="str">
        <f ca="1">IFERROR(__xludf.DUMMYFUNCTION("GOOGLETRANSLATE(A11668,""bn"",""en"")"),"The code will compile")</f>
        <v>The code will compile</v>
      </c>
      <c r="D11668" s="5"/>
      <c r="E11668" s="5"/>
      <c r="F11668" s="5"/>
      <c r="G11668" s="5"/>
      <c r="H11668" s="5"/>
      <c r="I11668" s="5"/>
      <c r="J11668" s="5"/>
      <c r="K11668" s="5"/>
      <c r="L11668" s="5"/>
      <c r="M11668" s="5"/>
      <c r="N11668" s="5"/>
      <c r="O11668" s="5"/>
      <c r="P11668" s="5"/>
      <c r="Q11668" s="5"/>
      <c r="R11668" s="5"/>
      <c r="S11668" s="5"/>
      <c r="T11668" s="5"/>
      <c r="U11668" s="5"/>
      <c r="V11668" s="5"/>
      <c r="W11668" s="5"/>
      <c r="X11668" s="5"/>
      <c r="Y11668" s="5"/>
      <c r="Z11668" s="5"/>
    </row>
    <row r="11669" spans="1:26" ht="15" x14ac:dyDescent="0.25">
      <c r="A11669" s="4" t="s">
        <v>11666</v>
      </c>
      <c r="B11669" s="4" t="s">
        <v>9011</v>
      </c>
      <c r="C11669" s="2" t="str">
        <f ca="1">IFERROR(__xludf.DUMMYFUNCTION("GOOGLETRANSLATE(A11669,""bn"",""en"")"),"The law must be prepared")</f>
        <v>The law must be prepared</v>
      </c>
      <c r="D11669" s="5"/>
      <c r="E11669" s="5"/>
      <c r="F11669" s="5"/>
      <c r="G11669" s="5"/>
      <c r="H11669" s="5"/>
      <c r="I11669" s="5"/>
      <c r="J11669" s="5"/>
      <c r="K11669" s="5"/>
      <c r="L11669" s="5"/>
      <c r="M11669" s="5"/>
      <c r="N11669" s="5"/>
      <c r="O11669" s="5"/>
      <c r="P11669" s="5"/>
      <c r="Q11669" s="5"/>
      <c r="R11669" s="5"/>
      <c r="S11669" s="5"/>
      <c r="T11669" s="5"/>
      <c r="U11669" s="5"/>
      <c r="V11669" s="5"/>
      <c r="W11669" s="5"/>
      <c r="X11669" s="5"/>
      <c r="Y11669" s="5"/>
      <c r="Z11669" s="5"/>
    </row>
    <row r="11670" spans="1:26" ht="15" x14ac:dyDescent="0.25">
      <c r="A11670" s="4" t="s">
        <v>11667</v>
      </c>
      <c r="B11670" s="4" t="s">
        <v>9011</v>
      </c>
      <c r="C11670" s="2" t="str">
        <f ca="1">IFERROR(__xludf.DUMMYFUNCTION("GOOGLETRANSLATE(A11670,""bn"",""en"")"),"Preparations will be made")</f>
        <v>Preparations will be made</v>
      </c>
      <c r="D11670" s="5"/>
      <c r="E11670" s="5"/>
      <c r="F11670" s="5"/>
      <c r="G11670" s="5"/>
      <c r="H11670" s="5"/>
      <c r="I11670" s="5"/>
      <c r="J11670" s="5"/>
      <c r="K11670" s="5"/>
      <c r="L11670" s="5"/>
      <c r="M11670" s="5"/>
      <c r="N11670" s="5"/>
      <c r="O11670" s="5"/>
      <c r="P11670" s="5"/>
      <c r="Q11670" s="5"/>
      <c r="R11670" s="5"/>
      <c r="S11670" s="5"/>
      <c r="T11670" s="5"/>
      <c r="U11670" s="5"/>
      <c r="V11670" s="5"/>
      <c r="W11670" s="5"/>
      <c r="X11670" s="5"/>
      <c r="Y11670" s="5"/>
      <c r="Z11670" s="5"/>
    </row>
    <row r="11671" spans="1:26" ht="15" x14ac:dyDescent="0.25">
      <c r="A11671" s="4" t="s">
        <v>11668</v>
      </c>
      <c r="B11671" s="4" t="s">
        <v>9011</v>
      </c>
      <c r="C11671" s="2" t="str">
        <f ca="1">IFERROR(__xludf.DUMMYFUNCTION("GOOGLETRANSLATE(A11671,""bn"",""en"")"),"I will keep collecting")</f>
        <v>I will keep collecting</v>
      </c>
      <c r="D11671" s="5"/>
      <c r="E11671" s="5"/>
      <c r="F11671" s="5"/>
      <c r="G11671" s="5"/>
      <c r="H11671" s="5"/>
      <c r="I11671" s="5"/>
      <c r="J11671" s="5"/>
      <c r="K11671" s="5"/>
      <c r="L11671" s="5"/>
      <c r="M11671" s="5"/>
      <c r="N11671" s="5"/>
      <c r="O11671" s="5"/>
      <c r="P11671" s="5"/>
      <c r="Q11671" s="5"/>
      <c r="R11671" s="5"/>
      <c r="S11671" s="5"/>
      <c r="T11671" s="5"/>
      <c r="U11671" s="5"/>
      <c r="V11671" s="5"/>
      <c r="W11671" s="5"/>
      <c r="X11671" s="5"/>
      <c r="Y11671" s="5"/>
      <c r="Z11671" s="5"/>
    </row>
    <row r="11672" spans="1:26" ht="15" x14ac:dyDescent="0.25">
      <c r="A11672" s="4" t="s">
        <v>11669</v>
      </c>
      <c r="B11672" s="4" t="s">
        <v>9011</v>
      </c>
      <c r="C11672" s="2" t="str">
        <f ca="1">IFERROR(__xludf.DUMMYFUNCTION("GOOGLETRANSLATE(A11672,""bn"",""en"")"),"The Qur'an will be heard")</f>
        <v>The Qur'an will be heard</v>
      </c>
      <c r="D11672" s="5"/>
      <c r="E11672" s="5"/>
      <c r="F11672" s="5"/>
      <c r="G11672" s="5"/>
      <c r="H11672" s="5"/>
      <c r="I11672" s="5"/>
      <c r="J11672" s="5"/>
      <c r="K11672" s="5"/>
      <c r="L11672" s="5"/>
      <c r="M11672" s="5"/>
      <c r="N11672" s="5"/>
      <c r="O11672" s="5"/>
      <c r="P11672" s="5"/>
      <c r="Q11672" s="5"/>
      <c r="R11672" s="5"/>
      <c r="S11672" s="5"/>
      <c r="T11672" s="5"/>
      <c r="U11672" s="5"/>
      <c r="V11672" s="5"/>
      <c r="W11672" s="5"/>
      <c r="X11672" s="5"/>
      <c r="Y11672" s="5"/>
      <c r="Z11672" s="5"/>
    </row>
    <row r="11673" spans="1:26" ht="15" x14ac:dyDescent="0.25">
      <c r="A11673" s="4" t="s">
        <v>11670</v>
      </c>
      <c r="B11673" s="4" t="s">
        <v>9011</v>
      </c>
      <c r="C11673" s="2" t="str">
        <f ca="1">IFERROR(__xludf.DUMMYFUNCTION("GOOGLETRANSLATE(A11673,""bn"",""en"")"),"The movie will start")</f>
        <v>The movie will start</v>
      </c>
      <c r="D11673" s="5"/>
      <c r="E11673" s="5"/>
      <c r="F11673" s="5"/>
      <c r="G11673" s="5"/>
      <c r="H11673" s="5"/>
      <c r="I11673" s="5"/>
      <c r="J11673" s="5"/>
      <c r="K11673" s="5"/>
      <c r="L11673" s="5"/>
      <c r="M11673" s="5"/>
      <c r="N11673" s="5"/>
      <c r="O11673" s="5"/>
      <c r="P11673" s="5"/>
      <c r="Q11673" s="5"/>
      <c r="R11673" s="5"/>
      <c r="S11673" s="5"/>
      <c r="T11673" s="5"/>
      <c r="U11673" s="5"/>
      <c r="V11673" s="5"/>
      <c r="W11673" s="5"/>
      <c r="X11673" s="5"/>
      <c r="Y11673" s="5"/>
      <c r="Z11673" s="5"/>
    </row>
    <row r="11674" spans="1:26" ht="15" x14ac:dyDescent="0.25">
      <c r="A11674" s="4" t="s">
        <v>11671</v>
      </c>
      <c r="B11674" s="4" t="s">
        <v>9011</v>
      </c>
      <c r="C11674" s="2" t="str">
        <f ca="1">IFERROR(__xludf.DUMMYFUNCTION("GOOGLETRANSLATE(A11674,""bn"",""en"")"),"Glucose will be the carrier")</f>
        <v>Glucose will be the carrier</v>
      </c>
      <c r="D11674" s="5"/>
      <c r="E11674" s="5"/>
      <c r="F11674" s="5"/>
      <c r="G11674" s="5"/>
      <c r="H11674" s="5"/>
      <c r="I11674" s="5"/>
      <c r="J11674" s="5"/>
      <c r="K11674" s="5"/>
      <c r="L11674" s="5"/>
      <c r="M11674" s="5"/>
      <c r="N11674" s="5"/>
      <c r="O11674" s="5"/>
      <c r="P11674" s="5"/>
      <c r="Q11674" s="5"/>
      <c r="R11674" s="5"/>
      <c r="S11674" s="5"/>
      <c r="T11674" s="5"/>
      <c r="U11674" s="5"/>
      <c r="V11674" s="5"/>
      <c r="W11674" s="5"/>
      <c r="X11674" s="5"/>
      <c r="Y11674" s="5"/>
      <c r="Z11674" s="5"/>
    </row>
    <row r="11675" spans="1:26" ht="15" x14ac:dyDescent="0.25">
      <c r="A11675" s="4" t="s">
        <v>11672</v>
      </c>
      <c r="B11675" s="4" t="s">
        <v>9011</v>
      </c>
      <c r="C11675" s="2" t="str">
        <f ca="1">IFERROR(__xludf.DUMMYFUNCTION("GOOGLETRANSLATE(A11675,""bn"",""en"")"),"Sprint will give the runner")</f>
        <v>Sprint will give the runner</v>
      </c>
      <c r="D11675" s="5"/>
      <c r="E11675" s="5"/>
      <c r="F11675" s="5"/>
      <c r="G11675" s="5"/>
      <c r="H11675" s="5"/>
      <c r="I11675" s="5"/>
      <c r="J11675" s="5"/>
      <c r="K11675" s="5"/>
      <c r="L11675" s="5"/>
      <c r="M11675" s="5"/>
      <c r="N11675" s="5"/>
      <c r="O11675" s="5"/>
      <c r="P11675" s="5"/>
      <c r="Q11675" s="5"/>
      <c r="R11675" s="5"/>
      <c r="S11675" s="5"/>
      <c r="T11675" s="5"/>
      <c r="U11675" s="5"/>
      <c r="V11675" s="5"/>
      <c r="W11675" s="5"/>
      <c r="X11675" s="5"/>
      <c r="Y11675" s="5"/>
      <c r="Z11675" s="5"/>
    </row>
    <row r="11676" spans="1:26" ht="15" x14ac:dyDescent="0.25">
      <c r="A11676" s="4" t="s">
        <v>11673</v>
      </c>
      <c r="B11676" s="4" t="s">
        <v>9011</v>
      </c>
      <c r="C11676" s="2" t="str">
        <f ca="1">IFERROR(__xludf.DUMMYFUNCTION("GOOGLETRANSLATE(A11676,""bn"",""en"")"),"There will be a road in the valley")</f>
        <v>There will be a road in the valley</v>
      </c>
      <c r="D11676" s="5"/>
      <c r="E11676" s="5"/>
      <c r="F11676" s="5"/>
      <c r="G11676" s="5"/>
      <c r="H11676" s="5"/>
      <c r="I11676" s="5"/>
      <c r="J11676" s="5"/>
      <c r="K11676" s="5"/>
      <c r="L11676" s="5"/>
      <c r="M11676" s="5"/>
      <c r="N11676" s="5"/>
      <c r="O11676" s="5"/>
      <c r="P11676" s="5"/>
      <c r="Q11676" s="5"/>
      <c r="R11676" s="5"/>
      <c r="S11676" s="5"/>
      <c r="T11676" s="5"/>
      <c r="U11676" s="5"/>
      <c r="V11676" s="5"/>
      <c r="W11676" s="5"/>
      <c r="X11676" s="5"/>
      <c r="Y11676" s="5"/>
      <c r="Z11676" s="5"/>
    </row>
    <row r="11677" spans="1:26" ht="15" x14ac:dyDescent="0.25">
      <c r="A11677" s="4" t="s">
        <v>11674</v>
      </c>
      <c r="B11677" s="4" t="s">
        <v>9011</v>
      </c>
      <c r="C11677" s="2" t="str">
        <f ca="1">IFERROR(__xludf.DUMMYFUNCTION("GOOGLETRANSLATE(A11677,""bn"",""en"")"),"I will set up the router")</f>
        <v>I will set up the router</v>
      </c>
      <c r="D11677" s="5"/>
      <c r="E11677" s="5"/>
      <c r="F11677" s="5"/>
      <c r="G11677" s="5"/>
      <c r="H11677" s="5"/>
      <c r="I11677" s="5"/>
      <c r="J11677" s="5"/>
      <c r="K11677" s="5"/>
      <c r="L11677" s="5"/>
      <c r="M11677" s="5"/>
      <c r="N11677" s="5"/>
      <c r="O11677" s="5"/>
      <c r="P11677" s="5"/>
      <c r="Q11677" s="5"/>
      <c r="R11677" s="5"/>
      <c r="S11677" s="5"/>
      <c r="T11677" s="5"/>
      <c r="U11677" s="5"/>
      <c r="V11677" s="5"/>
      <c r="W11677" s="5"/>
      <c r="X11677" s="5"/>
      <c r="Y11677" s="5"/>
      <c r="Z11677" s="5"/>
    </row>
    <row r="11678" spans="1:26" ht="15" x14ac:dyDescent="0.25">
      <c r="A11678" s="4" t="s">
        <v>11675</v>
      </c>
      <c r="B11678" s="4" t="s">
        <v>9011</v>
      </c>
      <c r="C11678" s="2" t="str">
        <f ca="1">IFERROR(__xludf.DUMMYFUNCTION("GOOGLETRANSLATE(A11678,""bn"",""en"")"),"I will use mobile")</f>
        <v>I will use mobile</v>
      </c>
      <c r="D11678" s="5"/>
      <c r="E11678" s="5"/>
      <c r="F11678" s="5"/>
      <c r="G11678" s="5"/>
      <c r="H11678" s="5"/>
      <c r="I11678" s="5"/>
      <c r="J11678" s="5"/>
      <c r="K11678" s="5"/>
      <c r="L11678" s="5"/>
      <c r="M11678" s="5"/>
      <c r="N11678" s="5"/>
      <c r="O11678" s="5"/>
      <c r="P11678" s="5"/>
      <c r="Q11678" s="5"/>
      <c r="R11678" s="5"/>
      <c r="S11678" s="5"/>
      <c r="T11678" s="5"/>
      <c r="U11678" s="5"/>
      <c r="V11678" s="5"/>
      <c r="W11678" s="5"/>
      <c r="X11678" s="5"/>
      <c r="Y11678" s="5"/>
      <c r="Z11678" s="5"/>
    </row>
    <row r="11679" spans="1:26" ht="15" x14ac:dyDescent="0.25">
      <c r="A11679" s="4" t="s">
        <v>11676</v>
      </c>
      <c r="B11679" s="4" t="s">
        <v>9011</v>
      </c>
      <c r="C11679" s="2" t="str">
        <f ca="1">IFERROR(__xludf.DUMMYFUNCTION("GOOGLETRANSLATE(A11679,""bn"",""en"")"),"will configure the server")</f>
        <v>will configure the server</v>
      </c>
      <c r="D11679" s="5"/>
      <c r="E11679" s="5"/>
      <c r="F11679" s="5"/>
      <c r="G11679" s="5"/>
      <c r="H11679" s="5"/>
      <c r="I11679" s="5"/>
      <c r="J11679" s="5"/>
      <c r="K11679" s="5"/>
      <c r="L11679" s="5"/>
      <c r="M11679" s="5"/>
      <c r="N11679" s="5"/>
      <c r="O11679" s="5"/>
      <c r="P11679" s="5"/>
      <c r="Q11679" s="5"/>
      <c r="R11679" s="5"/>
      <c r="S11679" s="5"/>
      <c r="T11679" s="5"/>
      <c r="U11679" s="5"/>
      <c r="V11679" s="5"/>
      <c r="W11679" s="5"/>
      <c r="X11679" s="5"/>
      <c r="Y11679" s="5"/>
      <c r="Z11679" s="5"/>
    </row>
    <row r="11680" spans="1:26" ht="15" x14ac:dyDescent="0.25">
      <c r="A11680" s="4" t="s">
        <v>11677</v>
      </c>
      <c r="B11680" s="4" t="s">
        <v>9011</v>
      </c>
      <c r="C11680" s="2" t="str">
        <f ca="1">IFERROR(__xludf.DUMMYFUNCTION("GOOGLETRANSLATE(A11680,""bn"",""en"")"),"I will continue to watch the bear")</f>
        <v>I will continue to watch the bear</v>
      </c>
      <c r="D11680" s="5"/>
      <c r="E11680" s="5"/>
      <c r="F11680" s="5"/>
      <c r="G11680" s="5"/>
      <c r="H11680" s="5"/>
      <c r="I11680" s="5"/>
      <c r="J11680" s="5"/>
      <c r="K11680" s="5"/>
      <c r="L11680" s="5"/>
      <c r="M11680" s="5"/>
      <c r="N11680" s="5"/>
      <c r="O11680" s="5"/>
      <c r="P11680" s="5"/>
      <c r="Q11680" s="5"/>
      <c r="R11680" s="5"/>
      <c r="S11680" s="5"/>
      <c r="T11680" s="5"/>
      <c r="U11680" s="5"/>
      <c r="V11680" s="5"/>
      <c r="W11680" s="5"/>
      <c r="X11680" s="5"/>
      <c r="Y11680" s="5"/>
      <c r="Z11680" s="5"/>
    </row>
    <row r="11681" spans="1:26" ht="15" x14ac:dyDescent="0.25">
      <c r="A11681" s="4" t="s">
        <v>11678</v>
      </c>
      <c r="B11681" s="4" t="s">
        <v>9011</v>
      </c>
      <c r="C11681" s="2" t="str">
        <f ca="1">IFERROR(__xludf.DUMMYFUNCTION("GOOGLETRANSLATE(A11681,""bn"",""en"")"),"I will be good in grades")</f>
        <v>I will be good in grades</v>
      </c>
      <c r="D11681" s="5"/>
      <c r="E11681" s="5"/>
      <c r="F11681" s="5"/>
      <c r="G11681" s="5"/>
      <c r="H11681" s="5"/>
      <c r="I11681" s="5"/>
      <c r="J11681" s="5"/>
      <c r="K11681" s="5"/>
      <c r="L11681" s="5"/>
      <c r="M11681" s="5"/>
      <c r="N11681" s="5"/>
      <c r="O11681" s="5"/>
      <c r="P11681" s="5"/>
      <c r="Q11681" s="5"/>
      <c r="R11681" s="5"/>
      <c r="S11681" s="5"/>
      <c r="T11681" s="5"/>
      <c r="U11681" s="5"/>
      <c r="V11681" s="5"/>
      <c r="W11681" s="5"/>
      <c r="X11681" s="5"/>
      <c r="Y11681" s="5"/>
      <c r="Z11681" s="5"/>
    </row>
    <row r="11682" spans="1:26" ht="15" x14ac:dyDescent="0.25">
      <c r="A11682" s="4" t="s">
        <v>11679</v>
      </c>
      <c r="B11682" s="4" t="s">
        <v>9011</v>
      </c>
      <c r="C11682" s="2" t="str">
        <f ca="1">IFERROR(__xludf.DUMMYFUNCTION("GOOGLETRANSLATE(A11682,""bn"",""en"")"),"Life will go on")</f>
        <v>Life will go on</v>
      </c>
      <c r="D11682" s="5"/>
      <c r="E11682" s="5"/>
      <c r="F11682" s="5"/>
      <c r="G11682" s="5"/>
      <c r="H11682" s="5"/>
      <c r="I11682" s="5"/>
      <c r="J11682" s="5"/>
      <c r="K11682" s="5"/>
      <c r="L11682" s="5"/>
      <c r="M11682" s="5"/>
      <c r="N11682" s="5"/>
      <c r="O11682" s="5"/>
      <c r="P11682" s="5"/>
      <c r="Q11682" s="5"/>
      <c r="R11682" s="5"/>
      <c r="S11682" s="5"/>
      <c r="T11682" s="5"/>
      <c r="U11682" s="5"/>
      <c r="V11682" s="5"/>
      <c r="W11682" s="5"/>
      <c r="X11682" s="5"/>
      <c r="Y11682" s="5"/>
      <c r="Z11682" s="5"/>
    </row>
    <row r="11683" spans="1:26" ht="15" x14ac:dyDescent="0.25">
      <c r="A11683" s="4" t="s">
        <v>11680</v>
      </c>
      <c r="B11683" s="4" t="s">
        <v>9011</v>
      </c>
      <c r="C11683" s="2" t="str">
        <f ca="1">IFERROR(__xludf.DUMMYFUNCTION("GOOGLETRANSLATE(A11683,""bn"",""en"")"),"There will be changes in travel")</f>
        <v>There will be changes in travel</v>
      </c>
      <c r="D11683" s="5"/>
      <c r="E11683" s="5"/>
      <c r="F11683" s="5"/>
      <c r="G11683" s="5"/>
      <c r="H11683" s="5"/>
      <c r="I11683" s="5"/>
      <c r="J11683" s="5"/>
      <c r="K11683" s="5"/>
      <c r="L11683" s="5"/>
      <c r="M11683" s="5"/>
      <c r="N11683" s="5"/>
      <c r="O11683" s="5"/>
      <c r="P11683" s="5"/>
      <c r="Q11683" s="5"/>
      <c r="R11683" s="5"/>
      <c r="S11683" s="5"/>
      <c r="T11683" s="5"/>
      <c r="U11683" s="5"/>
      <c r="V11683" s="5"/>
      <c r="W11683" s="5"/>
      <c r="X11683" s="5"/>
      <c r="Y11683" s="5"/>
      <c r="Z11683" s="5"/>
    </row>
    <row r="11684" spans="1:26" ht="15" x14ac:dyDescent="0.25">
      <c r="A11684" s="4" t="s">
        <v>11681</v>
      </c>
      <c r="B11684" s="4" t="s">
        <v>9011</v>
      </c>
      <c r="C11684" s="2" t="str">
        <f ca="1">IFERROR(__xludf.DUMMYFUNCTION("GOOGLETRANSLATE(A11684,""bn"",""en"")"),"The music will start")</f>
        <v>The music will start</v>
      </c>
      <c r="D11684" s="5"/>
      <c r="E11684" s="5"/>
      <c r="F11684" s="5"/>
      <c r="G11684" s="5"/>
      <c r="H11684" s="5"/>
      <c r="I11684" s="5"/>
      <c r="J11684" s="5"/>
      <c r="K11684" s="5"/>
      <c r="L11684" s="5"/>
      <c r="M11684" s="5"/>
      <c r="N11684" s="5"/>
      <c r="O11684" s="5"/>
      <c r="P11684" s="5"/>
      <c r="Q11684" s="5"/>
      <c r="R11684" s="5"/>
      <c r="S11684" s="5"/>
      <c r="T11684" s="5"/>
      <c r="U11684" s="5"/>
      <c r="V11684" s="5"/>
      <c r="W11684" s="5"/>
      <c r="X11684" s="5"/>
      <c r="Y11684" s="5"/>
      <c r="Z11684" s="5"/>
    </row>
    <row r="11685" spans="1:26" ht="15" x14ac:dyDescent="0.25">
      <c r="A11685" s="4" t="s">
        <v>11682</v>
      </c>
      <c r="B11685" s="4" t="s">
        <v>9011</v>
      </c>
      <c r="C11685" s="2" t="str">
        <f ca="1">IFERROR(__xludf.DUMMYFUNCTION("GOOGLETRANSLATE(A11685,""bn"",""en"")"),"Strike will be the bowler")</f>
        <v>Strike will be the bowler</v>
      </c>
      <c r="D11685" s="5"/>
      <c r="E11685" s="5"/>
      <c r="F11685" s="5"/>
      <c r="G11685" s="5"/>
      <c r="H11685" s="5"/>
      <c r="I11685" s="5"/>
      <c r="J11685" s="5"/>
      <c r="K11685" s="5"/>
      <c r="L11685" s="5"/>
      <c r="M11685" s="5"/>
      <c r="N11685" s="5"/>
      <c r="O11685" s="5"/>
      <c r="P11685" s="5"/>
      <c r="Q11685" s="5"/>
      <c r="R11685" s="5"/>
      <c r="S11685" s="5"/>
      <c r="T11685" s="5"/>
      <c r="U11685" s="5"/>
      <c r="V11685" s="5"/>
      <c r="W11685" s="5"/>
      <c r="X11685" s="5"/>
      <c r="Y11685" s="5"/>
      <c r="Z11685" s="5"/>
    </row>
    <row r="11686" spans="1:26" ht="15" x14ac:dyDescent="0.25">
      <c r="A11686" s="4" t="s">
        <v>11683</v>
      </c>
      <c r="B11686" s="4" t="s">
        <v>9011</v>
      </c>
      <c r="C11686" s="2" t="str">
        <f ca="1">IFERROR(__xludf.DUMMYFUNCTION("GOOGLETRANSLATE(A11686,""bn"",""en"")"),"I will look at the online market")</f>
        <v>I will look at the online market</v>
      </c>
      <c r="D11686" s="5"/>
      <c r="E11686" s="5"/>
      <c r="F11686" s="5"/>
      <c r="G11686" s="5"/>
      <c r="H11686" s="5"/>
      <c r="I11686" s="5"/>
      <c r="J11686" s="5"/>
      <c r="K11686" s="5"/>
      <c r="L11686" s="5"/>
      <c r="M11686" s="5"/>
      <c r="N11686" s="5"/>
      <c r="O11686" s="5"/>
      <c r="P11686" s="5"/>
      <c r="Q11686" s="5"/>
      <c r="R11686" s="5"/>
      <c r="S11686" s="5"/>
      <c r="T11686" s="5"/>
      <c r="U11686" s="5"/>
      <c r="V11686" s="5"/>
      <c r="W11686" s="5"/>
      <c r="X11686" s="5"/>
      <c r="Y11686" s="5"/>
      <c r="Z11686" s="5"/>
    </row>
    <row r="11687" spans="1:26" ht="15" x14ac:dyDescent="0.25">
      <c r="A11687" s="4" t="s">
        <v>11684</v>
      </c>
      <c r="B11687" s="4" t="s">
        <v>9011</v>
      </c>
      <c r="C11687" s="2" t="str">
        <f ca="1">IFERROR(__xludf.DUMMYFUNCTION("GOOGLETRANSLATE(A11687,""bn"",""en"")"),"Data will be migrated")</f>
        <v>Data will be migrated</v>
      </c>
      <c r="D11687" s="5"/>
      <c r="E11687" s="5"/>
      <c r="F11687" s="5"/>
      <c r="G11687" s="5"/>
      <c r="H11687" s="5"/>
      <c r="I11687" s="5"/>
      <c r="J11687" s="5"/>
      <c r="K11687" s="5"/>
      <c r="L11687" s="5"/>
      <c r="M11687" s="5"/>
      <c r="N11687" s="5"/>
      <c r="O11687" s="5"/>
      <c r="P11687" s="5"/>
      <c r="Q11687" s="5"/>
      <c r="R11687" s="5"/>
      <c r="S11687" s="5"/>
      <c r="T11687" s="5"/>
      <c r="U11687" s="5"/>
      <c r="V11687" s="5"/>
      <c r="W11687" s="5"/>
      <c r="X11687" s="5"/>
      <c r="Y11687" s="5"/>
      <c r="Z11687" s="5"/>
    </row>
    <row r="11688" spans="1:26" ht="15" x14ac:dyDescent="0.25">
      <c r="A11688" s="4" t="s">
        <v>11685</v>
      </c>
      <c r="B11688" s="4" t="s">
        <v>9011</v>
      </c>
      <c r="C11688" s="2" t="str">
        <f ca="1">IFERROR(__xludf.DUMMYFUNCTION("GOOGLETRANSLATE(A11688,""bn"",""en"")"),"Security will be added")</f>
        <v>Security will be added</v>
      </c>
      <c r="D11688" s="5"/>
      <c r="E11688" s="5"/>
      <c r="F11688" s="5"/>
      <c r="G11688" s="5"/>
      <c r="H11688" s="5"/>
      <c r="I11688" s="5"/>
      <c r="J11688" s="5"/>
      <c r="K11688" s="5"/>
      <c r="L11688" s="5"/>
      <c r="M11688" s="5"/>
      <c r="N11688" s="5"/>
      <c r="O11688" s="5"/>
      <c r="P11688" s="5"/>
      <c r="Q11688" s="5"/>
      <c r="R11688" s="5"/>
      <c r="S11688" s="5"/>
      <c r="T11688" s="5"/>
      <c r="U11688" s="5"/>
      <c r="V11688" s="5"/>
      <c r="W11688" s="5"/>
      <c r="X11688" s="5"/>
      <c r="Y11688" s="5"/>
      <c r="Z11688" s="5"/>
    </row>
    <row r="11689" spans="1:26" ht="15" x14ac:dyDescent="0.25">
      <c r="A11689" s="4" t="s">
        <v>11686</v>
      </c>
      <c r="B11689" s="4" t="s">
        <v>9011</v>
      </c>
      <c r="C11689" s="2" t="str">
        <f ca="1">IFERROR(__xludf.DUMMYFUNCTION("GOOGLETRANSLATE(A11689,""bn"",""en"")"),"Blockchain will be efficient")</f>
        <v>Blockchain will be efficient</v>
      </c>
      <c r="D11689" s="5"/>
      <c r="E11689" s="5"/>
      <c r="F11689" s="5"/>
      <c r="G11689" s="5"/>
      <c r="H11689" s="5"/>
      <c r="I11689" s="5"/>
      <c r="J11689" s="5"/>
      <c r="K11689" s="5"/>
      <c r="L11689" s="5"/>
      <c r="M11689" s="5"/>
      <c r="N11689" s="5"/>
      <c r="O11689" s="5"/>
      <c r="P11689" s="5"/>
      <c r="Q11689" s="5"/>
      <c r="R11689" s="5"/>
      <c r="S11689" s="5"/>
      <c r="T11689" s="5"/>
      <c r="U11689" s="5"/>
      <c r="V11689" s="5"/>
      <c r="W11689" s="5"/>
      <c r="X11689" s="5"/>
      <c r="Y11689" s="5"/>
      <c r="Z11689" s="5"/>
    </row>
    <row r="11690" spans="1:26" ht="15" x14ac:dyDescent="0.25">
      <c r="A11690" s="4" t="s">
        <v>11687</v>
      </c>
      <c r="B11690" s="4" t="s">
        <v>9011</v>
      </c>
      <c r="C11690" s="2" t="str">
        <f ca="1">IFERROR(__xludf.DUMMYFUNCTION("GOOGLETRANSLATE(A11690,""bn"",""en"")"),"He will make soup")</f>
        <v>He will make soup</v>
      </c>
      <c r="D11690" s="5"/>
      <c r="E11690" s="5"/>
      <c r="F11690" s="5"/>
      <c r="G11690" s="5"/>
      <c r="H11690" s="5"/>
      <c r="I11690" s="5"/>
      <c r="J11690" s="5"/>
      <c r="K11690" s="5"/>
      <c r="L11690" s="5"/>
      <c r="M11690" s="5"/>
      <c r="N11690" s="5"/>
      <c r="O11690" s="5"/>
      <c r="P11690" s="5"/>
      <c r="Q11690" s="5"/>
      <c r="R11690" s="5"/>
      <c r="S11690" s="5"/>
      <c r="T11690" s="5"/>
      <c r="U11690" s="5"/>
      <c r="V11690" s="5"/>
      <c r="W11690" s="5"/>
      <c r="X11690" s="5"/>
      <c r="Y11690" s="5"/>
      <c r="Z11690" s="5"/>
    </row>
    <row r="11691" spans="1:26" ht="15" x14ac:dyDescent="0.25">
      <c r="A11691" s="4" t="s">
        <v>11688</v>
      </c>
      <c r="B11691" s="4" t="s">
        <v>9011</v>
      </c>
      <c r="C11691" s="2" t="str">
        <f ca="1">IFERROR(__xludf.DUMMYFUNCTION("GOOGLETRANSLATE(A11691,""bn"",""en"")"),"Flowers will spread fragrance")</f>
        <v>Flowers will spread fragrance</v>
      </c>
      <c r="D11691" s="5"/>
      <c r="E11691" s="5"/>
      <c r="F11691" s="5"/>
      <c r="G11691" s="5"/>
      <c r="H11691" s="5"/>
      <c r="I11691" s="5"/>
      <c r="J11691" s="5"/>
      <c r="K11691" s="5"/>
      <c r="L11691" s="5"/>
      <c r="M11691" s="5"/>
      <c r="N11691" s="5"/>
      <c r="O11691" s="5"/>
      <c r="P11691" s="5"/>
      <c r="Q11691" s="5"/>
      <c r="R11691" s="5"/>
      <c r="S11691" s="5"/>
      <c r="T11691" s="5"/>
      <c r="U11691" s="5"/>
      <c r="V11691" s="5"/>
      <c r="W11691" s="5"/>
      <c r="X11691" s="5"/>
      <c r="Y11691" s="5"/>
      <c r="Z11691" s="5"/>
    </row>
    <row r="11692" spans="1:26" ht="15" x14ac:dyDescent="0.25">
      <c r="A11692" s="4" t="s">
        <v>11689</v>
      </c>
      <c r="B11692" s="4" t="s">
        <v>9011</v>
      </c>
      <c r="C11692" s="2" t="str">
        <f ca="1">IFERROR(__xludf.DUMMYFUNCTION("GOOGLETRANSLATE(A11692,""bn"",""en"")"),"I will continue to pray")</f>
        <v>I will continue to pray</v>
      </c>
      <c r="D11692" s="5"/>
      <c r="E11692" s="5"/>
      <c r="F11692" s="5"/>
      <c r="G11692" s="5"/>
      <c r="H11692" s="5"/>
      <c r="I11692" s="5"/>
      <c r="J11692" s="5"/>
      <c r="K11692" s="5"/>
      <c r="L11692" s="5"/>
      <c r="M11692" s="5"/>
      <c r="N11692" s="5"/>
      <c r="O11692" s="5"/>
      <c r="P11692" s="5"/>
      <c r="Q11692" s="5"/>
      <c r="R11692" s="5"/>
      <c r="S11692" s="5"/>
      <c r="T11692" s="5"/>
      <c r="U11692" s="5"/>
      <c r="V11692" s="5"/>
      <c r="W11692" s="5"/>
      <c r="X11692" s="5"/>
      <c r="Y11692" s="5"/>
      <c r="Z11692" s="5"/>
    </row>
    <row r="11693" spans="1:26" ht="15" x14ac:dyDescent="0.25">
      <c r="A11693" s="4" t="s">
        <v>11690</v>
      </c>
      <c r="B11693" s="4" t="s">
        <v>9011</v>
      </c>
      <c r="C11693" s="2" t="str">
        <f ca="1">IFERROR(__xludf.DUMMYFUNCTION("GOOGLETRANSLATE(A11693,""bn"",""en"")"),"People will meet")</f>
        <v>People will meet</v>
      </c>
      <c r="D11693" s="5"/>
      <c r="E11693" s="5"/>
      <c r="F11693" s="5"/>
      <c r="G11693" s="5"/>
      <c r="H11693" s="5"/>
      <c r="I11693" s="5"/>
      <c r="J11693" s="5"/>
      <c r="K11693" s="5"/>
      <c r="L11693" s="5"/>
      <c r="M11693" s="5"/>
      <c r="N11693" s="5"/>
      <c r="O11693" s="5"/>
      <c r="P11693" s="5"/>
      <c r="Q11693" s="5"/>
      <c r="R11693" s="5"/>
      <c r="S11693" s="5"/>
      <c r="T11693" s="5"/>
      <c r="U11693" s="5"/>
      <c r="V11693" s="5"/>
      <c r="W11693" s="5"/>
      <c r="X11693" s="5"/>
      <c r="Y11693" s="5"/>
      <c r="Z11693" s="5"/>
    </row>
    <row r="11694" spans="1:26" ht="15" x14ac:dyDescent="0.25">
      <c r="A11694" s="4" t="s">
        <v>11691</v>
      </c>
      <c r="B11694" s="4" t="s">
        <v>9011</v>
      </c>
      <c r="C11694" s="2" t="str">
        <f ca="1">IFERROR(__xludf.DUMMYFUNCTION("GOOGLETRANSLATE(A11694,""bn"",""en"")"),"Security will improve")</f>
        <v>Security will improve</v>
      </c>
      <c r="D11694" s="5"/>
      <c r="E11694" s="5"/>
      <c r="F11694" s="5"/>
      <c r="G11694" s="5"/>
      <c r="H11694" s="5"/>
      <c r="I11694" s="5"/>
      <c r="J11694" s="5"/>
      <c r="K11694" s="5"/>
      <c r="L11694" s="5"/>
      <c r="M11694" s="5"/>
      <c r="N11694" s="5"/>
      <c r="O11694" s="5"/>
      <c r="P11694" s="5"/>
      <c r="Q11694" s="5"/>
      <c r="R11694" s="5"/>
      <c r="S11694" s="5"/>
      <c r="T11694" s="5"/>
      <c r="U11694" s="5"/>
      <c r="V11694" s="5"/>
      <c r="W11694" s="5"/>
      <c r="X11694" s="5"/>
      <c r="Y11694" s="5"/>
      <c r="Z11694" s="5"/>
    </row>
    <row r="11695" spans="1:26" ht="15" x14ac:dyDescent="0.25">
      <c r="A11695" s="4" t="s">
        <v>11692</v>
      </c>
      <c r="B11695" s="4" t="s">
        <v>9011</v>
      </c>
      <c r="C11695" s="2" t="str">
        <f ca="1">IFERROR(__xludf.DUMMYFUNCTION("GOOGLETRANSLATE(A11695,""bn"",""en"")"),"I will cooperate with politics")</f>
        <v>I will cooperate with politics</v>
      </c>
      <c r="D11695" s="5"/>
      <c r="E11695" s="5"/>
      <c r="F11695" s="5"/>
      <c r="G11695" s="5"/>
      <c r="H11695" s="5"/>
      <c r="I11695" s="5"/>
      <c r="J11695" s="5"/>
      <c r="K11695" s="5"/>
      <c r="L11695" s="5"/>
      <c r="M11695" s="5"/>
      <c r="N11695" s="5"/>
      <c r="O11695" s="5"/>
      <c r="P11695" s="5"/>
      <c r="Q11695" s="5"/>
      <c r="R11695" s="5"/>
      <c r="S11695" s="5"/>
      <c r="T11695" s="5"/>
      <c r="U11695" s="5"/>
      <c r="V11695" s="5"/>
      <c r="W11695" s="5"/>
      <c r="X11695" s="5"/>
      <c r="Y11695" s="5"/>
      <c r="Z11695" s="5"/>
    </row>
    <row r="11696" spans="1:26" ht="15" x14ac:dyDescent="0.25">
      <c r="A11696" s="4" t="s">
        <v>11693</v>
      </c>
      <c r="B11696" s="4" t="s">
        <v>9011</v>
      </c>
      <c r="C11696" s="2" t="str">
        <f ca="1">IFERROR(__xludf.DUMMYFUNCTION("GOOGLETRANSLATE(A11696,""bn"",""en"")"),"i will travel")</f>
        <v>i will travel</v>
      </c>
      <c r="D11696" s="5"/>
      <c r="E11696" s="5"/>
      <c r="F11696" s="5"/>
      <c r="G11696" s="5"/>
      <c r="H11696" s="5"/>
      <c r="I11696" s="5"/>
      <c r="J11696" s="5"/>
      <c r="K11696" s="5"/>
      <c r="L11696" s="5"/>
      <c r="M11696" s="5"/>
      <c r="N11696" s="5"/>
      <c r="O11696" s="5"/>
      <c r="P11696" s="5"/>
      <c r="Q11696" s="5"/>
      <c r="R11696" s="5"/>
      <c r="S11696" s="5"/>
      <c r="T11696" s="5"/>
      <c r="U11696" s="5"/>
      <c r="V11696" s="5"/>
      <c r="W11696" s="5"/>
      <c r="X11696" s="5"/>
      <c r="Y11696" s="5"/>
      <c r="Z11696" s="5"/>
    </row>
    <row r="11697" spans="1:26" ht="15" x14ac:dyDescent="0.25">
      <c r="A11697" s="4" t="s">
        <v>11694</v>
      </c>
      <c r="B11697" s="4" t="s">
        <v>9011</v>
      </c>
      <c r="C11697" s="2" t="str">
        <f ca="1">IFERROR(__xludf.DUMMYFUNCTION("GOOGLETRANSLATE(A11697,""bn"",""en"")"),"I will manage the business")</f>
        <v>I will manage the business</v>
      </c>
      <c r="D11697" s="5"/>
      <c r="E11697" s="5"/>
      <c r="F11697" s="5"/>
      <c r="G11697" s="5"/>
      <c r="H11697" s="5"/>
      <c r="I11697" s="5"/>
      <c r="J11697" s="5"/>
      <c r="K11697" s="5"/>
      <c r="L11697" s="5"/>
      <c r="M11697" s="5"/>
      <c r="N11697" s="5"/>
      <c r="O11697" s="5"/>
      <c r="P11697" s="5"/>
      <c r="Q11697" s="5"/>
      <c r="R11697" s="5"/>
      <c r="S11697" s="5"/>
      <c r="T11697" s="5"/>
      <c r="U11697" s="5"/>
      <c r="V11697" s="5"/>
      <c r="W11697" s="5"/>
      <c r="X11697" s="5"/>
      <c r="Y11697" s="5"/>
      <c r="Z11697" s="5"/>
    </row>
    <row r="11698" spans="1:26" ht="15" x14ac:dyDescent="0.25">
      <c r="A11698" s="4" t="s">
        <v>11695</v>
      </c>
      <c r="B11698" s="4" t="s">
        <v>9011</v>
      </c>
      <c r="C11698" s="2" t="str">
        <f ca="1">IFERROR(__xludf.DUMMYFUNCTION("GOOGLETRANSLATE(A11698,""bn"",""en"")"),"He will be a traveler")</f>
        <v>He will be a traveler</v>
      </c>
      <c r="D11698" s="5"/>
      <c r="E11698" s="5"/>
      <c r="F11698" s="5"/>
      <c r="G11698" s="5"/>
      <c r="H11698" s="5"/>
      <c r="I11698" s="5"/>
      <c r="J11698" s="5"/>
      <c r="K11698" s="5"/>
      <c r="L11698" s="5"/>
      <c r="M11698" s="5"/>
      <c r="N11698" s="5"/>
      <c r="O11698" s="5"/>
      <c r="P11698" s="5"/>
      <c r="Q11698" s="5"/>
      <c r="R11698" s="5"/>
      <c r="S11698" s="5"/>
      <c r="T11698" s="5"/>
      <c r="U11698" s="5"/>
      <c r="V11698" s="5"/>
      <c r="W11698" s="5"/>
      <c r="X11698" s="5"/>
      <c r="Y11698" s="5"/>
      <c r="Z11698" s="5"/>
    </row>
    <row r="11699" spans="1:26" ht="15" x14ac:dyDescent="0.25">
      <c r="A11699" s="4" t="s">
        <v>11696</v>
      </c>
      <c r="B11699" s="4" t="s">
        <v>9011</v>
      </c>
      <c r="C11699" s="2" t="str">
        <f ca="1">IFERROR(__xludf.DUMMYFUNCTION("GOOGLETRANSLATE(A11699,""bn"",""en"")"),"Amazon will be in Brazil")</f>
        <v>Amazon will be in Brazil</v>
      </c>
      <c r="D11699" s="5"/>
      <c r="E11699" s="5"/>
      <c r="F11699" s="5"/>
      <c r="G11699" s="5"/>
      <c r="H11699" s="5"/>
      <c r="I11699" s="5"/>
      <c r="J11699" s="5"/>
      <c r="K11699" s="5"/>
      <c r="L11699" s="5"/>
      <c r="M11699" s="5"/>
      <c r="N11699" s="5"/>
      <c r="O11699" s="5"/>
      <c r="P11699" s="5"/>
      <c r="Q11699" s="5"/>
      <c r="R11699" s="5"/>
      <c r="S11699" s="5"/>
      <c r="T11699" s="5"/>
      <c r="U11699" s="5"/>
      <c r="V11699" s="5"/>
      <c r="W11699" s="5"/>
      <c r="X11699" s="5"/>
      <c r="Y11699" s="5"/>
      <c r="Z11699" s="5"/>
    </row>
    <row r="11700" spans="1:26" ht="15" x14ac:dyDescent="0.25">
      <c r="A11700" s="4" t="s">
        <v>11697</v>
      </c>
      <c r="B11700" s="4" t="s">
        <v>9011</v>
      </c>
      <c r="C11700" s="2" t="str">
        <f ca="1">IFERROR(__xludf.DUMMYFUNCTION("GOOGLETRANSLATE(A11700,""bn"",""en"")"),"Everyone will watch the movie")</f>
        <v>Everyone will watch the movie</v>
      </c>
      <c r="D11700" s="5"/>
      <c r="E11700" s="5"/>
      <c r="F11700" s="5"/>
      <c r="G11700" s="5"/>
      <c r="H11700" s="5"/>
      <c r="I11700" s="5"/>
      <c r="J11700" s="5"/>
      <c r="K11700" s="5"/>
      <c r="L11700" s="5"/>
      <c r="M11700" s="5"/>
      <c r="N11700" s="5"/>
      <c r="O11700" s="5"/>
      <c r="P11700" s="5"/>
      <c r="Q11700" s="5"/>
      <c r="R11700" s="5"/>
      <c r="S11700" s="5"/>
      <c r="T11700" s="5"/>
      <c r="U11700" s="5"/>
      <c r="V11700" s="5"/>
      <c r="W11700" s="5"/>
      <c r="X11700" s="5"/>
      <c r="Y11700" s="5"/>
      <c r="Z11700" s="5"/>
    </row>
    <row r="11701" spans="1:26" ht="15" x14ac:dyDescent="0.25">
      <c r="A11701" s="4" t="s">
        <v>11698</v>
      </c>
      <c r="B11701" s="4" t="s">
        <v>9011</v>
      </c>
      <c r="C11701" s="2" t="str">
        <f ca="1">IFERROR(__xludf.DUMMYFUNCTION("GOOGLETRANSLATE(A11701,""bn"",""en"")"),"Purchase will begin")</f>
        <v>Purchase will begin</v>
      </c>
      <c r="D11701" s="5"/>
      <c r="E11701" s="5"/>
      <c r="F11701" s="5"/>
      <c r="G11701" s="5"/>
      <c r="H11701" s="5"/>
      <c r="I11701" s="5"/>
      <c r="J11701" s="5"/>
      <c r="K11701" s="5"/>
      <c r="L11701" s="5"/>
      <c r="M11701" s="5"/>
      <c r="N11701" s="5"/>
      <c r="O11701" s="5"/>
      <c r="P11701" s="5"/>
      <c r="Q11701" s="5"/>
      <c r="R11701" s="5"/>
      <c r="S11701" s="5"/>
      <c r="T11701" s="5"/>
      <c r="U11701" s="5"/>
      <c r="V11701" s="5"/>
      <c r="W11701" s="5"/>
      <c r="X11701" s="5"/>
      <c r="Y11701" s="5"/>
      <c r="Z11701" s="5"/>
    </row>
    <row r="11702" spans="1:26" ht="15" x14ac:dyDescent="0.25">
      <c r="A11702" s="4" t="s">
        <v>11699</v>
      </c>
      <c r="B11702" s="4" t="s">
        <v>9011</v>
      </c>
      <c r="C11702" s="2" t="str">
        <f ca="1">IFERROR(__xludf.DUMMYFUNCTION("GOOGLETRANSLATE(A11702,""bn"",""en"")"),"The code will restart")</f>
        <v>The code will restart</v>
      </c>
      <c r="D11702" s="5"/>
      <c r="E11702" s="5"/>
      <c r="F11702" s="5"/>
      <c r="G11702" s="5"/>
      <c r="H11702" s="5"/>
      <c r="I11702" s="5"/>
      <c r="J11702" s="5"/>
      <c r="K11702" s="5"/>
      <c r="L11702" s="5"/>
      <c r="M11702" s="5"/>
      <c r="N11702" s="5"/>
      <c r="O11702" s="5"/>
      <c r="P11702" s="5"/>
      <c r="Q11702" s="5"/>
      <c r="R11702" s="5"/>
      <c r="S11702" s="5"/>
      <c r="T11702" s="5"/>
      <c r="U11702" s="5"/>
      <c r="V11702" s="5"/>
      <c r="W11702" s="5"/>
      <c r="X11702" s="5"/>
      <c r="Y11702" s="5"/>
      <c r="Z11702" s="5"/>
    </row>
    <row r="11703" spans="1:26" ht="15" x14ac:dyDescent="0.25">
      <c r="A11703" s="4" t="s">
        <v>11700</v>
      </c>
      <c r="B11703" s="4" t="s">
        <v>9011</v>
      </c>
      <c r="C11703" s="2" t="str">
        <f ca="1">IFERROR(__xludf.DUMMYFUNCTION("GOOGLETRANSLATE(A11703,""bn"",""en"")"),"The work of employees will increase")</f>
        <v>The work of employees will increase</v>
      </c>
      <c r="D11703" s="5"/>
      <c r="E11703" s="5"/>
      <c r="F11703" s="5"/>
      <c r="G11703" s="5"/>
      <c r="H11703" s="5"/>
      <c r="I11703" s="5"/>
      <c r="J11703" s="5"/>
      <c r="K11703" s="5"/>
      <c r="L11703" s="5"/>
      <c r="M11703" s="5"/>
      <c r="N11703" s="5"/>
      <c r="O11703" s="5"/>
      <c r="P11703" s="5"/>
      <c r="Q11703" s="5"/>
      <c r="R11703" s="5"/>
      <c r="S11703" s="5"/>
      <c r="T11703" s="5"/>
      <c r="U11703" s="5"/>
      <c r="V11703" s="5"/>
      <c r="W11703" s="5"/>
      <c r="X11703" s="5"/>
      <c r="Y11703" s="5"/>
      <c r="Z11703" s="5"/>
    </row>
    <row r="11704" spans="1:26" ht="15" x14ac:dyDescent="0.25">
      <c r="A11704" s="4" t="s">
        <v>11701</v>
      </c>
      <c r="B11704" s="4" t="s">
        <v>9011</v>
      </c>
      <c r="C11704" s="2" t="str">
        <f ca="1">IFERROR(__xludf.DUMMYFUNCTION("GOOGLETRANSLATE(A11704,""bn"",""en"")"),"I will make life easier")</f>
        <v>I will make life easier</v>
      </c>
      <c r="D11704" s="5"/>
      <c r="E11704" s="5"/>
      <c r="F11704" s="5"/>
      <c r="G11704" s="5"/>
      <c r="H11704" s="5"/>
      <c r="I11704" s="5"/>
      <c r="J11704" s="5"/>
      <c r="K11704" s="5"/>
      <c r="L11704" s="5"/>
      <c r="M11704" s="5"/>
      <c r="N11704" s="5"/>
      <c r="O11704" s="5"/>
      <c r="P11704" s="5"/>
      <c r="Q11704" s="5"/>
      <c r="R11704" s="5"/>
      <c r="S11704" s="5"/>
      <c r="T11704" s="5"/>
      <c r="U11704" s="5"/>
      <c r="V11704" s="5"/>
      <c r="W11704" s="5"/>
      <c r="X11704" s="5"/>
      <c r="Y11704" s="5"/>
      <c r="Z11704" s="5"/>
    </row>
    <row r="11705" spans="1:26" ht="15" x14ac:dyDescent="0.25">
      <c r="A11705" s="4" t="s">
        <v>11702</v>
      </c>
      <c r="B11705" s="4" t="s">
        <v>9011</v>
      </c>
      <c r="C11705" s="2" t="str">
        <f ca="1">IFERROR(__xludf.DUMMYFUNCTION("GOOGLETRANSLATE(A11705,""bn"",""en"")"),"Build new software")</f>
        <v>Build new software</v>
      </c>
      <c r="D11705" s="5"/>
      <c r="E11705" s="5"/>
      <c r="F11705" s="5"/>
      <c r="G11705" s="5"/>
      <c r="H11705" s="5"/>
      <c r="I11705" s="5"/>
      <c r="J11705" s="5"/>
      <c r="K11705" s="5"/>
      <c r="L11705" s="5"/>
      <c r="M11705" s="5"/>
      <c r="N11705" s="5"/>
      <c r="O11705" s="5"/>
      <c r="P11705" s="5"/>
      <c r="Q11705" s="5"/>
      <c r="R11705" s="5"/>
      <c r="S11705" s="5"/>
      <c r="T11705" s="5"/>
      <c r="U11705" s="5"/>
      <c r="V11705" s="5"/>
      <c r="W11705" s="5"/>
      <c r="X11705" s="5"/>
      <c r="Y11705" s="5"/>
      <c r="Z11705" s="5"/>
    </row>
    <row r="11706" spans="1:26" ht="15" x14ac:dyDescent="0.25">
      <c r="A11706" s="4" t="s">
        <v>11703</v>
      </c>
      <c r="B11706" s="4" t="s">
        <v>9011</v>
      </c>
      <c r="C11706" s="2" t="str">
        <f ca="1">IFERROR(__xludf.DUMMYFUNCTION("GOOGLETRANSLATE(A11706,""bn"",""en"")"),"He will be a glutton")</f>
        <v>He will be a glutton</v>
      </c>
      <c r="D11706" s="5"/>
      <c r="E11706" s="5"/>
      <c r="F11706" s="5"/>
      <c r="G11706" s="5"/>
      <c r="H11706" s="5"/>
      <c r="I11706" s="5"/>
      <c r="J11706" s="5"/>
      <c r="K11706" s="5"/>
      <c r="L11706" s="5"/>
      <c r="M11706" s="5"/>
      <c r="N11706" s="5"/>
      <c r="O11706" s="5"/>
      <c r="P11706" s="5"/>
      <c r="Q11706" s="5"/>
      <c r="R11706" s="5"/>
      <c r="S11706" s="5"/>
      <c r="T11706" s="5"/>
      <c r="U11706" s="5"/>
      <c r="V11706" s="5"/>
      <c r="W11706" s="5"/>
      <c r="X11706" s="5"/>
      <c r="Y11706" s="5"/>
      <c r="Z11706" s="5"/>
    </row>
    <row r="11707" spans="1:26" ht="15" x14ac:dyDescent="0.25">
      <c r="A11707" s="4" t="s">
        <v>11704</v>
      </c>
      <c r="B11707" s="4" t="s">
        <v>9011</v>
      </c>
      <c r="C11707" s="2" t="str">
        <f ca="1">IFERROR(__xludf.DUMMYFUNCTION("GOOGLETRANSLATE(A11707,""bn"",""en"")"),"Will keep searching")</f>
        <v>Will keep searching</v>
      </c>
      <c r="D11707" s="5"/>
      <c r="E11707" s="5"/>
      <c r="F11707" s="5"/>
      <c r="G11707" s="5"/>
      <c r="H11707" s="5"/>
      <c r="I11707" s="5"/>
      <c r="J11707" s="5"/>
      <c r="K11707" s="5"/>
      <c r="L11707" s="5"/>
      <c r="M11707" s="5"/>
      <c r="N11707" s="5"/>
      <c r="O11707" s="5"/>
      <c r="P11707" s="5"/>
      <c r="Q11707" s="5"/>
      <c r="R11707" s="5"/>
      <c r="S11707" s="5"/>
      <c r="T11707" s="5"/>
      <c r="U11707" s="5"/>
      <c r="V11707" s="5"/>
      <c r="W11707" s="5"/>
      <c r="X11707" s="5"/>
      <c r="Y11707" s="5"/>
      <c r="Z11707" s="5"/>
    </row>
    <row r="11708" spans="1:26" ht="15" x14ac:dyDescent="0.25">
      <c r="A11708" s="4" t="s">
        <v>11705</v>
      </c>
      <c r="B11708" s="4" t="s">
        <v>9011</v>
      </c>
      <c r="C11708" s="2" t="str">
        <f ca="1">IFERROR(__xludf.DUMMYFUNCTION("GOOGLETRANSLATE(A11708,""bn"",""en"")"),"The program will be modified")</f>
        <v>The program will be modified</v>
      </c>
      <c r="D11708" s="5"/>
      <c r="E11708" s="5"/>
      <c r="F11708" s="5"/>
      <c r="G11708" s="5"/>
      <c r="H11708" s="5"/>
      <c r="I11708" s="5"/>
      <c r="J11708" s="5"/>
      <c r="K11708" s="5"/>
      <c r="L11708" s="5"/>
      <c r="M11708" s="5"/>
      <c r="N11708" s="5"/>
      <c r="O11708" s="5"/>
      <c r="P11708" s="5"/>
      <c r="Q11708" s="5"/>
      <c r="R11708" s="5"/>
      <c r="S11708" s="5"/>
      <c r="T11708" s="5"/>
      <c r="U11708" s="5"/>
      <c r="V11708" s="5"/>
      <c r="W11708" s="5"/>
      <c r="X11708" s="5"/>
      <c r="Y11708" s="5"/>
      <c r="Z11708" s="5"/>
    </row>
    <row r="11709" spans="1:26" ht="15" x14ac:dyDescent="0.25">
      <c r="A11709" s="4" t="s">
        <v>11706</v>
      </c>
      <c r="B11709" s="4" t="s">
        <v>9011</v>
      </c>
      <c r="C11709" s="2" t="str">
        <f ca="1">IFERROR(__xludf.DUMMYFUNCTION("GOOGLETRANSLATE(A11709,""bn"",""en"")"),"I will be engaged in human service")</f>
        <v>I will be engaged in human service</v>
      </c>
      <c r="D11709" s="5"/>
      <c r="E11709" s="5"/>
      <c r="F11709" s="5"/>
      <c r="G11709" s="5"/>
      <c r="H11709" s="5"/>
      <c r="I11709" s="5"/>
      <c r="J11709" s="5"/>
      <c r="K11709" s="5"/>
      <c r="L11709" s="5"/>
      <c r="M11709" s="5"/>
      <c r="N11709" s="5"/>
      <c r="O11709" s="5"/>
      <c r="P11709" s="5"/>
      <c r="Q11709" s="5"/>
      <c r="R11709" s="5"/>
      <c r="S11709" s="5"/>
      <c r="T11709" s="5"/>
      <c r="U11709" s="5"/>
      <c r="V11709" s="5"/>
      <c r="W11709" s="5"/>
      <c r="X11709" s="5"/>
      <c r="Y11709" s="5"/>
      <c r="Z11709" s="5"/>
    </row>
    <row r="11710" spans="1:26" ht="15" x14ac:dyDescent="0.25">
      <c r="A11710" s="4" t="s">
        <v>11707</v>
      </c>
      <c r="B11710" s="4" t="s">
        <v>9011</v>
      </c>
      <c r="C11710" s="2" t="str">
        <f ca="1">IFERROR(__xludf.DUMMYFUNCTION("GOOGLETRANSLATE(A11710,""bn"",""en"")"),"I will check the software")</f>
        <v>I will check the software</v>
      </c>
      <c r="D11710" s="5"/>
      <c r="E11710" s="5"/>
      <c r="F11710" s="5"/>
      <c r="G11710" s="5"/>
      <c r="H11710" s="5"/>
      <c r="I11710" s="5"/>
      <c r="J11710" s="5"/>
      <c r="K11710" s="5"/>
      <c r="L11710" s="5"/>
      <c r="M11710" s="5"/>
      <c r="N11710" s="5"/>
      <c r="O11710" s="5"/>
      <c r="P11710" s="5"/>
      <c r="Q11710" s="5"/>
      <c r="R11710" s="5"/>
      <c r="S11710" s="5"/>
      <c r="T11710" s="5"/>
      <c r="U11710" s="5"/>
      <c r="V11710" s="5"/>
      <c r="W11710" s="5"/>
      <c r="X11710" s="5"/>
      <c r="Y11710" s="5"/>
      <c r="Z11710" s="5"/>
    </row>
    <row r="11711" spans="1:26" ht="15" x14ac:dyDescent="0.25">
      <c r="A11711" s="4" t="s">
        <v>11708</v>
      </c>
      <c r="B11711" s="4" t="s">
        <v>9011</v>
      </c>
      <c r="C11711" s="2" t="str">
        <f ca="1">IFERROR(__xludf.DUMMYFUNCTION("GOOGLETRANSLATE(A11711,""bn"",""en"")"),"Search all on Google")</f>
        <v>Search all on Google</v>
      </c>
      <c r="D11711" s="5"/>
      <c r="E11711" s="5"/>
      <c r="F11711" s="5"/>
      <c r="G11711" s="5"/>
      <c r="H11711" s="5"/>
      <c r="I11711" s="5"/>
      <c r="J11711" s="5"/>
      <c r="K11711" s="5"/>
      <c r="L11711" s="5"/>
      <c r="M11711" s="5"/>
      <c r="N11711" s="5"/>
      <c r="O11711" s="5"/>
      <c r="P11711" s="5"/>
      <c r="Q11711" s="5"/>
      <c r="R11711" s="5"/>
      <c r="S11711" s="5"/>
      <c r="T11711" s="5"/>
      <c r="U11711" s="5"/>
      <c r="V11711" s="5"/>
      <c r="W11711" s="5"/>
      <c r="X11711" s="5"/>
      <c r="Y11711" s="5"/>
      <c r="Z11711" s="5"/>
    </row>
    <row r="11712" spans="1:26" ht="15" x14ac:dyDescent="0.25">
      <c r="A11712" s="4" t="s">
        <v>11709</v>
      </c>
      <c r="B11712" s="4" t="s">
        <v>9011</v>
      </c>
      <c r="C11712" s="2" t="str">
        <f ca="1">IFERROR(__xludf.DUMMYFUNCTION("GOOGLETRANSLATE(A11712,""bn"",""en"")"),"Fry the fish")</f>
        <v>Fry the fish</v>
      </c>
      <c r="D11712" s="5"/>
      <c r="E11712" s="5"/>
      <c r="F11712" s="5"/>
      <c r="G11712" s="5"/>
      <c r="H11712" s="5"/>
      <c r="I11712" s="5"/>
      <c r="J11712" s="5"/>
      <c r="K11712" s="5"/>
      <c r="L11712" s="5"/>
      <c r="M11712" s="5"/>
      <c r="N11712" s="5"/>
      <c r="O11712" s="5"/>
      <c r="P11712" s="5"/>
      <c r="Q11712" s="5"/>
      <c r="R11712" s="5"/>
      <c r="S11712" s="5"/>
      <c r="T11712" s="5"/>
      <c r="U11712" s="5"/>
      <c r="V11712" s="5"/>
      <c r="W11712" s="5"/>
      <c r="X11712" s="5"/>
      <c r="Y11712" s="5"/>
      <c r="Z11712" s="5"/>
    </row>
    <row r="11713" spans="1:26" ht="15" x14ac:dyDescent="0.25">
      <c r="A11713" s="4" t="s">
        <v>11710</v>
      </c>
      <c r="B11713" s="4" t="s">
        <v>9011</v>
      </c>
      <c r="C11713" s="2" t="str">
        <f ca="1">IFERROR(__xludf.DUMMYFUNCTION("GOOGLETRANSLATE(A11713,""bn"",""en"")"),"It will be digital")</f>
        <v>It will be digital</v>
      </c>
      <c r="D11713" s="5"/>
      <c r="E11713" s="5"/>
      <c r="F11713" s="5"/>
      <c r="G11713" s="5"/>
      <c r="H11713" s="5"/>
      <c r="I11713" s="5"/>
      <c r="J11713" s="5"/>
      <c r="K11713" s="5"/>
      <c r="L11713" s="5"/>
      <c r="M11713" s="5"/>
      <c r="N11713" s="5"/>
      <c r="O11713" s="5"/>
      <c r="P11713" s="5"/>
      <c r="Q11713" s="5"/>
      <c r="R11713" s="5"/>
      <c r="S11713" s="5"/>
      <c r="T11713" s="5"/>
      <c r="U11713" s="5"/>
      <c r="V11713" s="5"/>
      <c r="W11713" s="5"/>
      <c r="X11713" s="5"/>
      <c r="Y11713" s="5"/>
      <c r="Z11713" s="5"/>
    </row>
    <row r="11714" spans="1:26" ht="15" x14ac:dyDescent="0.25">
      <c r="A11714" s="4" t="s">
        <v>11711</v>
      </c>
      <c r="B11714" s="4" t="s">
        <v>9011</v>
      </c>
      <c r="C11714" s="2" t="str">
        <f ca="1">IFERROR(__xludf.DUMMYFUNCTION("GOOGLETRANSLATE(A11714,""bn"",""en"")"),"I will use the radio")</f>
        <v>I will use the radio</v>
      </c>
      <c r="D11714" s="5"/>
      <c r="E11714" s="5"/>
      <c r="F11714" s="5"/>
      <c r="G11714" s="5"/>
      <c r="H11714" s="5"/>
      <c r="I11714" s="5"/>
      <c r="J11714" s="5"/>
      <c r="K11714" s="5"/>
      <c r="L11714" s="5"/>
      <c r="M11714" s="5"/>
      <c r="N11714" s="5"/>
      <c r="O11714" s="5"/>
      <c r="P11714" s="5"/>
      <c r="Q11714" s="5"/>
      <c r="R11714" s="5"/>
      <c r="S11714" s="5"/>
      <c r="T11714" s="5"/>
      <c r="U11714" s="5"/>
      <c r="V11714" s="5"/>
      <c r="W11714" s="5"/>
      <c r="X11714" s="5"/>
      <c r="Y11714" s="5"/>
      <c r="Z11714" s="5"/>
    </row>
    <row r="11715" spans="1:26" ht="15" x14ac:dyDescent="0.25">
      <c r="A11715" s="4" t="s">
        <v>11712</v>
      </c>
      <c r="B11715" s="4" t="s">
        <v>9011</v>
      </c>
      <c r="C11715" s="2" t="str">
        <f ca="1">IFERROR(__xludf.DUMMYFUNCTION("GOOGLETRANSLATE(A11715,""bn"",""en"")"),"Travel will be expensive")</f>
        <v>Travel will be expensive</v>
      </c>
      <c r="D11715" s="5"/>
      <c r="E11715" s="5"/>
      <c r="F11715" s="5"/>
      <c r="G11715" s="5"/>
      <c r="H11715" s="5"/>
      <c r="I11715" s="5"/>
      <c r="J11715" s="5"/>
      <c r="K11715" s="5"/>
      <c r="L11715" s="5"/>
      <c r="M11715" s="5"/>
      <c r="N11715" s="5"/>
      <c r="O11715" s="5"/>
      <c r="P11715" s="5"/>
      <c r="Q11715" s="5"/>
      <c r="R11715" s="5"/>
      <c r="S11715" s="5"/>
      <c r="T11715" s="5"/>
      <c r="U11715" s="5"/>
      <c r="V11715" s="5"/>
      <c r="W11715" s="5"/>
      <c r="X11715" s="5"/>
      <c r="Y11715" s="5"/>
      <c r="Z11715" s="5"/>
    </row>
    <row r="11716" spans="1:26" ht="15" x14ac:dyDescent="0.25">
      <c r="A11716" s="4" t="s">
        <v>11713</v>
      </c>
      <c r="B11716" s="4" t="s">
        <v>9011</v>
      </c>
      <c r="C11716" s="2" t="str">
        <f ca="1">IFERROR(__xludf.DUMMYFUNCTION("GOOGLETRANSLATE(A11716,""bn"",""en"")"),"I will search on google")</f>
        <v>I will search on google</v>
      </c>
      <c r="D11716" s="5"/>
      <c r="E11716" s="5"/>
      <c r="F11716" s="5"/>
      <c r="G11716" s="5"/>
      <c r="H11716" s="5"/>
      <c r="I11716" s="5"/>
      <c r="J11716" s="5"/>
      <c r="K11716" s="5"/>
      <c r="L11716" s="5"/>
      <c r="M11716" s="5"/>
      <c r="N11716" s="5"/>
      <c r="O11716" s="5"/>
      <c r="P11716" s="5"/>
      <c r="Q11716" s="5"/>
      <c r="R11716" s="5"/>
      <c r="S11716" s="5"/>
      <c r="T11716" s="5"/>
      <c r="U11716" s="5"/>
      <c r="V11716" s="5"/>
      <c r="W11716" s="5"/>
      <c r="X11716" s="5"/>
      <c r="Y11716" s="5"/>
      <c r="Z11716" s="5"/>
    </row>
    <row r="11717" spans="1:26" ht="15" x14ac:dyDescent="0.25">
      <c r="A11717" s="4" t="s">
        <v>11714</v>
      </c>
      <c r="B11717" s="4" t="s">
        <v>9011</v>
      </c>
      <c r="C11717" s="2" t="str">
        <f ca="1">IFERROR(__xludf.DUMMYFUNCTION("GOOGLETRANSLATE(A11717,""bn"",""en"")"),"Display will increase")</f>
        <v>Display will increase</v>
      </c>
      <c r="D11717" s="5"/>
      <c r="E11717" s="5"/>
      <c r="F11717" s="5"/>
      <c r="G11717" s="5"/>
      <c r="H11717" s="5"/>
      <c r="I11717" s="5"/>
      <c r="J11717" s="5"/>
      <c r="K11717" s="5"/>
      <c r="L11717" s="5"/>
      <c r="M11717" s="5"/>
      <c r="N11717" s="5"/>
      <c r="O11717" s="5"/>
      <c r="P11717" s="5"/>
      <c r="Q11717" s="5"/>
      <c r="R11717" s="5"/>
      <c r="S11717" s="5"/>
      <c r="T11717" s="5"/>
      <c r="U11717" s="5"/>
      <c r="V11717" s="5"/>
      <c r="W11717" s="5"/>
      <c r="X11717" s="5"/>
      <c r="Y11717" s="5"/>
      <c r="Z11717" s="5"/>
    </row>
    <row r="11718" spans="1:26" ht="15" x14ac:dyDescent="0.25">
      <c r="A11718" s="4" t="s">
        <v>11715</v>
      </c>
      <c r="B11718" s="4" t="s">
        <v>9011</v>
      </c>
      <c r="C11718" s="2" t="str">
        <f ca="1">IFERROR(__xludf.DUMMYFUNCTION("GOOGLETRANSLATE(A11718,""bn"",""en"")"),"I will open a bank account")</f>
        <v>I will open a bank account</v>
      </c>
      <c r="D11718" s="5"/>
      <c r="E11718" s="5"/>
      <c r="F11718" s="5"/>
      <c r="G11718" s="5"/>
      <c r="H11718" s="5"/>
      <c r="I11718" s="5"/>
      <c r="J11718" s="5"/>
      <c r="K11718" s="5"/>
      <c r="L11718" s="5"/>
      <c r="M11718" s="5"/>
      <c r="N11718" s="5"/>
      <c r="O11718" s="5"/>
      <c r="P11718" s="5"/>
      <c r="Q11718" s="5"/>
      <c r="R11718" s="5"/>
      <c r="S11718" s="5"/>
      <c r="T11718" s="5"/>
      <c r="U11718" s="5"/>
      <c r="V11718" s="5"/>
      <c r="W11718" s="5"/>
      <c r="X11718" s="5"/>
      <c r="Y11718" s="5"/>
      <c r="Z11718" s="5"/>
    </row>
    <row r="11719" spans="1:26" ht="15" x14ac:dyDescent="0.25">
      <c r="A11719" s="4" t="s">
        <v>11716</v>
      </c>
      <c r="B11719" s="4" t="s">
        <v>9011</v>
      </c>
      <c r="C11719" s="2" t="str">
        <f ca="1">IFERROR(__xludf.DUMMYFUNCTION("GOOGLETRANSLATE(A11719,""bn"",""en"")"),"He will watch the film")</f>
        <v>He will watch the film</v>
      </c>
      <c r="D11719" s="5"/>
      <c r="E11719" s="5"/>
      <c r="F11719" s="5"/>
      <c r="G11719" s="5"/>
      <c r="H11719" s="5"/>
      <c r="I11719" s="5"/>
      <c r="J11719" s="5"/>
      <c r="K11719" s="5"/>
      <c r="L11719" s="5"/>
      <c r="M11719" s="5"/>
      <c r="N11719" s="5"/>
      <c r="O11719" s="5"/>
      <c r="P11719" s="5"/>
      <c r="Q11719" s="5"/>
      <c r="R11719" s="5"/>
      <c r="S11719" s="5"/>
      <c r="T11719" s="5"/>
      <c r="U11719" s="5"/>
      <c r="V11719" s="5"/>
      <c r="W11719" s="5"/>
      <c r="X11719" s="5"/>
      <c r="Y11719" s="5"/>
      <c r="Z11719" s="5"/>
    </row>
    <row r="11720" spans="1:26" ht="15" x14ac:dyDescent="0.25">
      <c r="A11720" s="4" t="s">
        <v>11717</v>
      </c>
      <c r="B11720" s="4" t="s">
        <v>9011</v>
      </c>
      <c r="C11720" s="2" t="str">
        <f ca="1">IFERROR(__xludf.DUMMYFUNCTION("GOOGLETRANSLATE(A11720,""bn"",""en"")"),"Bandwidth will increase")</f>
        <v>Bandwidth will increase</v>
      </c>
      <c r="D11720" s="5"/>
      <c r="E11720" s="5"/>
      <c r="F11720" s="5"/>
      <c r="G11720" s="5"/>
      <c r="H11720" s="5"/>
      <c r="I11720" s="5"/>
      <c r="J11720" s="5"/>
      <c r="K11720" s="5"/>
      <c r="L11720" s="5"/>
      <c r="M11720" s="5"/>
      <c r="N11720" s="5"/>
      <c r="O11720" s="5"/>
      <c r="P11720" s="5"/>
      <c r="Q11720" s="5"/>
      <c r="R11720" s="5"/>
      <c r="S11720" s="5"/>
      <c r="T11720" s="5"/>
      <c r="U11720" s="5"/>
      <c r="V11720" s="5"/>
      <c r="W11720" s="5"/>
      <c r="X11720" s="5"/>
      <c r="Y11720" s="5"/>
      <c r="Z11720" s="5"/>
    </row>
    <row r="11721" spans="1:26" ht="15" x14ac:dyDescent="0.25">
      <c r="A11721" s="4" t="s">
        <v>11718</v>
      </c>
      <c r="B11721" s="4" t="s">
        <v>9011</v>
      </c>
      <c r="C11721" s="2" t="str">
        <f ca="1">IFERROR(__xludf.DUMMYFUNCTION("GOOGLETRANSLATE(A11721,""bn"",""en"")"),"Loans will be sought")</f>
        <v>Loans will be sought</v>
      </c>
      <c r="D11721" s="5"/>
      <c r="E11721" s="5"/>
      <c r="F11721" s="5"/>
      <c r="G11721" s="5"/>
      <c r="H11721" s="5"/>
      <c r="I11721" s="5"/>
      <c r="J11721" s="5"/>
      <c r="K11721" s="5"/>
      <c r="L11721" s="5"/>
      <c r="M11721" s="5"/>
      <c r="N11721" s="5"/>
      <c r="O11721" s="5"/>
      <c r="P11721" s="5"/>
      <c r="Q11721" s="5"/>
      <c r="R11721" s="5"/>
      <c r="S11721" s="5"/>
      <c r="T11721" s="5"/>
      <c r="U11721" s="5"/>
      <c r="V11721" s="5"/>
      <c r="W11721" s="5"/>
      <c r="X11721" s="5"/>
      <c r="Y11721" s="5"/>
      <c r="Z11721" s="5"/>
    </row>
    <row r="11722" spans="1:26" ht="15" x14ac:dyDescent="0.25">
      <c r="A11722" s="4" t="s">
        <v>11719</v>
      </c>
      <c r="B11722" s="4" t="s">
        <v>9011</v>
      </c>
      <c r="C11722" s="2" t="str">
        <f ca="1">IFERROR(__xludf.DUMMYFUNCTION("GOOGLETRANSLATE(A11722,""bn"",""en"")"),"I will work in the bank")</f>
        <v>I will work in the bank</v>
      </c>
      <c r="D11722" s="5"/>
      <c r="E11722" s="5"/>
      <c r="F11722" s="5"/>
      <c r="G11722" s="5"/>
      <c r="H11722" s="5"/>
      <c r="I11722" s="5"/>
      <c r="J11722" s="5"/>
      <c r="K11722" s="5"/>
      <c r="L11722" s="5"/>
      <c r="M11722" s="5"/>
      <c r="N11722" s="5"/>
      <c r="O11722" s="5"/>
      <c r="P11722" s="5"/>
      <c r="Q11722" s="5"/>
      <c r="R11722" s="5"/>
      <c r="S11722" s="5"/>
      <c r="T11722" s="5"/>
      <c r="U11722" s="5"/>
      <c r="V11722" s="5"/>
      <c r="W11722" s="5"/>
      <c r="X11722" s="5"/>
      <c r="Y11722" s="5"/>
      <c r="Z11722" s="5"/>
    </row>
    <row r="11723" spans="1:26" ht="15" x14ac:dyDescent="0.25">
      <c r="A11723" s="4" t="s">
        <v>11720</v>
      </c>
      <c r="B11723" s="4" t="s">
        <v>9011</v>
      </c>
      <c r="C11723" s="2" t="str">
        <f ca="1">IFERROR(__xludf.DUMMYFUNCTION("GOOGLETRANSLATE(A11723,""bn"",""en"")"),"People will leave")</f>
        <v>People will leave</v>
      </c>
      <c r="D11723" s="5"/>
      <c r="E11723" s="5"/>
      <c r="F11723" s="5"/>
      <c r="G11723" s="5"/>
      <c r="H11723" s="5"/>
      <c r="I11723" s="5"/>
      <c r="J11723" s="5"/>
      <c r="K11723" s="5"/>
      <c r="L11723" s="5"/>
      <c r="M11723" s="5"/>
      <c r="N11723" s="5"/>
      <c r="O11723" s="5"/>
      <c r="P11723" s="5"/>
      <c r="Q11723" s="5"/>
      <c r="R11723" s="5"/>
      <c r="S11723" s="5"/>
      <c r="T11723" s="5"/>
      <c r="U11723" s="5"/>
      <c r="V11723" s="5"/>
      <c r="W11723" s="5"/>
      <c r="X11723" s="5"/>
      <c r="Y11723" s="5"/>
      <c r="Z11723" s="5"/>
    </row>
    <row r="11724" spans="1:26" ht="15" x14ac:dyDescent="0.25">
      <c r="A11724" s="4" t="s">
        <v>11721</v>
      </c>
      <c r="B11724" s="4" t="s">
        <v>9011</v>
      </c>
      <c r="C11724" s="2" t="str">
        <f ca="1">IFERROR(__xludf.DUMMYFUNCTION("GOOGLETRANSLATE(A11724,""bn"",""en"")"),"Eat fresh mangoes")</f>
        <v>Eat fresh mangoes</v>
      </c>
      <c r="D11724" s="5"/>
      <c r="E11724" s="5"/>
      <c r="F11724" s="5"/>
      <c r="G11724" s="5"/>
      <c r="H11724" s="5"/>
      <c r="I11724" s="5"/>
      <c r="J11724" s="5"/>
      <c r="K11724" s="5"/>
      <c r="L11724" s="5"/>
      <c r="M11724" s="5"/>
      <c r="N11724" s="5"/>
      <c r="O11724" s="5"/>
      <c r="P11724" s="5"/>
      <c r="Q11724" s="5"/>
      <c r="R11724" s="5"/>
      <c r="S11724" s="5"/>
      <c r="T11724" s="5"/>
      <c r="U11724" s="5"/>
      <c r="V11724" s="5"/>
      <c r="W11724" s="5"/>
      <c r="X11724" s="5"/>
      <c r="Y11724" s="5"/>
      <c r="Z11724" s="5"/>
    </row>
    <row r="11725" spans="1:26" ht="15" x14ac:dyDescent="0.25">
      <c r="A11725" s="4" t="s">
        <v>11722</v>
      </c>
      <c r="B11725" s="4" t="s">
        <v>9011</v>
      </c>
      <c r="C11725" s="2" t="str">
        <f ca="1">IFERROR(__xludf.DUMMYFUNCTION("GOOGLETRANSLATE(A11725,""bn"",""en"")"),"I will accept the rocket")</f>
        <v>I will accept the rocket</v>
      </c>
      <c r="D11725" s="5"/>
      <c r="E11725" s="5"/>
      <c r="F11725" s="5"/>
      <c r="G11725" s="5"/>
      <c r="H11725" s="5"/>
      <c r="I11725" s="5"/>
      <c r="J11725" s="5"/>
      <c r="K11725" s="5"/>
      <c r="L11725" s="5"/>
      <c r="M11725" s="5"/>
      <c r="N11725" s="5"/>
      <c r="O11725" s="5"/>
      <c r="P11725" s="5"/>
      <c r="Q11725" s="5"/>
      <c r="R11725" s="5"/>
      <c r="S11725" s="5"/>
      <c r="T11725" s="5"/>
      <c r="U11725" s="5"/>
      <c r="V11725" s="5"/>
      <c r="W11725" s="5"/>
      <c r="X11725" s="5"/>
      <c r="Y11725" s="5"/>
      <c r="Z11725" s="5"/>
    </row>
    <row r="11726" spans="1:26" ht="15" x14ac:dyDescent="0.25">
      <c r="A11726" s="4" t="s">
        <v>11723</v>
      </c>
      <c r="B11726" s="4" t="s">
        <v>9011</v>
      </c>
      <c r="C11726" s="2" t="str">
        <f ca="1">IFERROR(__xludf.DUMMYFUNCTION("GOOGLETRANSLATE(A11726,""bn"",""en"")"),"The game will open")</f>
        <v>The game will open</v>
      </c>
      <c r="D11726" s="5"/>
      <c r="E11726" s="5"/>
      <c r="F11726" s="5"/>
      <c r="G11726" s="5"/>
      <c r="H11726" s="5"/>
      <c r="I11726" s="5"/>
      <c r="J11726" s="5"/>
      <c r="K11726" s="5"/>
      <c r="L11726" s="5"/>
      <c r="M11726" s="5"/>
      <c r="N11726" s="5"/>
      <c r="O11726" s="5"/>
      <c r="P11726" s="5"/>
      <c r="Q11726" s="5"/>
      <c r="R11726" s="5"/>
      <c r="S11726" s="5"/>
      <c r="T11726" s="5"/>
      <c r="U11726" s="5"/>
      <c r="V11726" s="5"/>
      <c r="W11726" s="5"/>
      <c r="X11726" s="5"/>
      <c r="Y11726" s="5"/>
      <c r="Z11726" s="5"/>
    </row>
    <row r="11727" spans="1:26" ht="15" x14ac:dyDescent="0.25">
      <c r="A11727" s="4" t="s">
        <v>11724</v>
      </c>
      <c r="B11727" s="4" t="s">
        <v>9011</v>
      </c>
      <c r="C11727" s="2" t="str">
        <f ca="1">IFERROR(__xludf.DUMMYFUNCTION("GOOGLETRANSLATE(A11727,""bn"",""en"")"),"It will be a fierce match")</f>
        <v>It will be a fierce match</v>
      </c>
      <c r="D11727" s="5"/>
      <c r="E11727" s="5"/>
      <c r="F11727" s="5"/>
      <c r="G11727" s="5"/>
      <c r="H11727" s="5"/>
      <c r="I11727" s="5"/>
      <c r="J11727" s="5"/>
      <c r="K11727" s="5"/>
      <c r="L11727" s="5"/>
      <c r="M11727" s="5"/>
      <c r="N11727" s="5"/>
      <c r="O11727" s="5"/>
      <c r="P11727" s="5"/>
      <c r="Q11727" s="5"/>
      <c r="R11727" s="5"/>
      <c r="S11727" s="5"/>
      <c r="T11727" s="5"/>
      <c r="U11727" s="5"/>
      <c r="V11727" s="5"/>
      <c r="W11727" s="5"/>
      <c r="X11727" s="5"/>
      <c r="Y11727" s="5"/>
      <c r="Z11727" s="5"/>
    </row>
    <row r="11728" spans="1:26" ht="15" x14ac:dyDescent="0.25">
      <c r="A11728" s="4" t="s">
        <v>11725</v>
      </c>
      <c r="B11728" s="4" t="s">
        <v>9011</v>
      </c>
      <c r="C11728" s="2" t="str">
        <f ca="1">IFERROR(__xludf.DUMMYFUNCTION("GOOGLETRANSLATE(A11728,""bn"",""en"")"),"Streaming will begin")</f>
        <v>Streaming will begin</v>
      </c>
      <c r="D11728" s="5"/>
      <c r="E11728" s="5"/>
      <c r="F11728" s="5"/>
      <c r="G11728" s="5"/>
      <c r="H11728" s="5"/>
      <c r="I11728" s="5"/>
      <c r="J11728" s="5"/>
      <c r="K11728" s="5"/>
      <c r="L11728" s="5"/>
      <c r="M11728" s="5"/>
      <c r="N11728" s="5"/>
      <c r="O11728" s="5"/>
      <c r="P11728" s="5"/>
      <c r="Q11728" s="5"/>
      <c r="R11728" s="5"/>
      <c r="S11728" s="5"/>
      <c r="T11728" s="5"/>
      <c r="U11728" s="5"/>
      <c r="V11728" s="5"/>
      <c r="W11728" s="5"/>
      <c r="X11728" s="5"/>
      <c r="Y11728" s="5"/>
      <c r="Z11728" s="5"/>
    </row>
    <row r="11729" spans="1:26" ht="15" x14ac:dyDescent="0.25">
      <c r="A11729" s="4" t="s">
        <v>11726</v>
      </c>
      <c r="B11729" s="4" t="s">
        <v>9011</v>
      </c>
      <c r="C11729" s="2" t="str">
        <f ca="1">IFERROR(__xludf.DUMMYFUNCTION("GOOGLETRANSLATE(A11729,""bn"",""en"")"),"Travel will be experienced")</f>
        <v>Travel will be experienced</v>
      </c>
      <c r="D11729" s="5"/>
      <c r="E11729" s="5"/>
      <c r="F11729" s="5"/>
      <c r="G11729" s="5"/>
      <c r="H11729" s="5"/>
      <c r="I11729" s="5"/>
      <c r="J11729" s="5"/>
      <c r="K11729" s="5"/>
      <c r="L11729" s="5"/>
      <c r="M11729" s="5"/>
      <c r="N11729" s="5"/>
      <c r="O11729" s="5"/>
      <c r="P11729" s="5"/>
      <c r="Q11729" s="5"/>
      <c r="R11729" s="5"/>
      <c r="S11729" s="5"/>
      <c r="T11729" s="5"/>
      <c r="U11729" s="5"/>
      <c r="V11729" s="5"/>
      <c r="W11729" s="5"/>
      <c r="X11729" s="5"/>
      <c r="Y11729" s="5"/>
      <c r="Z11729" s="5"/>
    </row>
    <row r="11730" spans="1:26" ht="15" x14ac:dyDescent="0.25">
      <c r="A11730" s="4" t="s">
        <v>11727</v>
      </c>
      <c r="B11730" s="4" t="s">
        <v>9011</v>
      </c>
      <c r="C11730" s="2" t="str">
        <f ca="1">IFERROR(__xludf.DUMMYFUNCTION("GOOGLETRANSLATE(A11730,""bn"",""en"")"),"There will be an input test")</f>
        <v>There will be an input test</v>
      </c>
      <c r="D11730" s="5"/>
      <c r="E11730" s="5"/>
      <c r="F11730" s="5"/>
      <c r="G11730" s="5"/>
      <c r="H11730" s="5"/>
      <c r="I11730" s="5"/>
      <c r="J11730" s="5"/>
      <c r="K11730" s="5"/>
      <c r="L11730" s="5"/>
      <c r="M11730" s="5"/>
      <c r="N11730" s="5"/>
      <c r="O11730" s="5"/>
      <c r="P11730" s="5"/>
      <c r="Q11730" s="5"/>
      <c r="R11730" s="5"/>
      <c r="S11730" s="5"/>
      <c r="T11730" s="5"/>
      <c r="U11730" s="5"/>
      <c r="V11730" s="5"/>
      <c r="W11730" s="5"/>
      <c r="X11730" s="5"/>
      <c r="Y11730" s="5"/>
      <c r="Z11730" s="5"/>
    </row>
    <row r="11731" spans="1:26" ht="15" x14ac:dyDescent="0.25">
      <c r="A11731" s="4" t="s">
        <v>11728</v>
      </c>
      <c r="B11731" s="4" t="s">
        <v>9011</v>
      </c>
      <c r="C11731" s="2" t="str">
        <f ca="1">IFERROR(__xludf.DUMMYFUNCTION("GOOGLETRANSLATE(A11731,""bn"",""en"")"),"He will eat chips")</f>
        <v>He will eat chips</v>
      </c>
      <c r="D11731" s="5"/>
      <c r="E11731" s="5"/>
      <c r="F11731" s="5"/>
      <c r="G11731" s="5"/>
      <c r="H11731" s="5"/>
      <c r="I11731" s="5"/>
      <c r="J11731" s="5"/>
      <c r="K11731" s="5"/>
      <c r="L11731" s="5"/>
      <c r="M11731" s="5"/>
      <c r="N11731" s="5"/>
      <c r="O11731" s="5"/>
      <c r="P11731" s="5"/>
      <c r="Q11731" s="5"/>
      <c r="R11731" s="5"/>
      <c r="S11731" s="5"/>
      <c r="T11731" s="5"/>
      <c r="U11731" s="5"/>
      <c r="V11731" s="5"/>
      <c r="W11731" s="5"/>
      <c r="X11731" s="5"/>
      <c r="Y11731" s="5"/>
      <c r="Z11731" s="5"/>
    </row>
    <row r="11732" spans="1:26" ht="15" x14ac:dyDescent="0.25">
      <c r="A11732" s="4" t="s">
        <v>11729</v>
      </c>
      <c r="B11732" s="4" t="s">
        <v>9011</v>
      </c>
      <c r="C11732" s="2" t="str">
        <f ca="1">IFERROR(__xludf.DUMMYFUNCTION("GOOGLETRANSLATE(A11732,""bn"",""en"")"),"I will pass")</f>
        <v>I will pass</v>
      </c>
      <c r="D11732" s="5"/>
      <c r="E11732" s="5"/>
      <c r="F11732" s="5"/>
      <c r="G11732" s="5"/>
      <c r="H11732" s="5"/>
      <c r="I11732" s="5"/>
      <c r="J11732" s="5"/>
      <c r="K11732" s="5"/>
      <c r="L11732" s="5"/>
      <c r="M11732" s="5"/>
      <c r="N11732" s="5"/>
      <c r="O11732" s="5"/>
      <c r="P11732" s="5"/>
      <c r="Q11732" s="5"/>
      <c r="R11732" s="5"/>
      <c r="S11732" s="5"/>
      <c r="T11732" s="5"/>
      <c r="U11732" s="5"/>
      <c r="V11732" s="5"/>
      <c r="W11732" s="5"/>
      <c r="X11732" s="5"/>
      <c r="Y11732" s="5"/>
      <c r="Z11732" s="5"/>
    </row>
    <row r="11733" spans="1:26" ht="15" x14ac:dyDescent="0.25">
      <c r="A11733" s="4" t="s">
        <v>11730</v>
      </c>
      <c r="B11733" s="4" t="s">
        <v>9011</v>
      </c>
      <c r="C11733" s="2" t="str">
        <f ca="1">IFERROR(__xludf.DUMMYFUNCTION("GOOGLETRANSLATE(A11733,""bn"",""en"")"),"Will continue to speak against")</f>
        <v>Will continue to speak against</v>
      </c>
      <c r="D11733" s="5"/>
      <c r="E11733" s="5"/>
      <c r="F11733" s="5"/>
      <c r="G11733" s="5"/>
      <c r="H11733" s="5"/>
      <c r="I11733" s="5"/>
      <c r="J11733" s="5"/>
      <c r="K11733" s="5"/>
      <c r="L11733" s="5"/>
      <c r="M11733" s="5"/>
      <c r="N11733" s="5"/>
      <c r="O11733" s="5"/>
      <c r="P11733" s="5"/>
      <c r="Q11733" s="5"/>
      <c r="R11733" s="5"/>
      <c r="S11733" s="5"/>
      <c r="T11733" s="5"/>
      <c r="U11733" s="5"/>
      <c r="V11733" s="5"/>
      <c r="W11733" s="5"/>
      <c r="X11733" s="5"/>
      <c r="Y11733" s="5"/>
      <c r="Z11733" s="5"/>
    </row>
    <row r="11734" spans="1:26" ht="15" x14ac:dyDescent="0.25">
      <c r="A11734" s="4" t="s">
        <v>11731</v>
      </c>
      <c r="B11734" s="4" t="s">
        <v>9011</v>
      </c>
      <c r="C11734" s="2" t="str">
        <f ca="1">IFERROR(__xludf.DUMMYFUNCTION("GOOGLETRANSLATE(A11734,""bn"",""en"")"),"Teachers will work hard")</f>
        <v>Teachers will work hard</v>
      </c>
      <c r="D11734" s="5"/>
      <c r="E11734" s="5"/>
      <c r="F11734" s="5"/>
      <c r="G11734" s="5"/>
      <c r="H11734" s="5"/>
      <c r="I11734" s="5"/>
      <c r="J11734" s="5"/>
      <c r="K11734" s="5"/>
      <c r="L11734" s="5"/>
      <c r="M11734" s="5"/>
      <c r="N11734" s="5"/>
      <c r="O11734" s="5"/>
      <c r="P11734" s="5"/>
      <c r="Q11734" s="5"/>
      <c r="R11734" s="5"/>
      <c r="S11734" s="5"/>
      <c r="T11734" s="5"/>
      <c r="U11734" s="5"/>
      <c r="V11734" s="5"/>
      <c r="W11734" s="5"/>
      <c r="X11734" s="5"/>
      <c r="Y11734" s="5"/>
      <c r="Z11734" s="5"/>
    </row>
    <row r="11735" spans="1:26" ht="15" x14ac:dyDescent="0.25">
      <c r="A11735" s="4" t="s">
        <v>11732</v>
      </c>
      <c r="B11735" s="4" t="s">
        <v>9011</v>
      </c>
      <c r="C11735" s="2" t="str">
        <f ca="1">IFERROR(__xludf.DUMMYFUNCTION("GOOGLETRANSLATE(A11735,""bn"",""en"")"),"The mechanism will be activated")</f>
        <v>The mechanism will be activated</v>
      </c>
      <c r="D11735" s="5"/>
      <c r="E11735" s="5"/>
      <c r="F11735" s="5"/>
      <c r="G11735" s="5"/>
      <c r="H11735" s="5"/>
      <c r="I11735" s="5"/>
      <c r="J11735" s="5"/>
      <c r="K11735" s="5"/>
      <c r="L11735" s="5"/>
      <c r="M11735" s="5"/>
      <c r="N11735" s="5"/>
      <c r="O11735" s="5"/>
      <c r="P11735" s="5"/>
      <c r="Q11735" s="5"/>
      <c r="R11735" s="5"/>
      <c r="S11735" s="5"/>
      <c r="T11735" s="5"/>
      <c r="U11735" s="5"/>
      <c r="V11735" s="5"/>
      <c r="W11735" s="5"/>
      <c r="X11735" s="5"/>
      <c r="Y11735" s="5"/>
      <c r="Z11735" s="5"/>
    </row>
    <row r="11736" spans="1:26" ht="15" x14ac:dyDescent="0.25">
      <c r="A11736" s="4" t="s">
        <v>11733</v>
      </c>
      <c r="B11736" s="4" t="s">
        <v>9011</v>
      </c>
      <c r="C11736" s="2" t="str">
        <f ca="1">IFERROR(__xludf.DUMMYFUNCTION("GOOGLETRANSLATE(A11736,""bn"",""en"")"),"I will play mobile games")</f>
        <v>I will play mobile games</v>
      </c>
      <c r="D11736" s="5"/>
      <c r="E11736" s="5"/>
      <c r="F11736" s="5"/>
      <c r="G11736" s="5"/>
      <c r="H11736" s="5"/>
      <c r="I11736" s="5"/>
      <c r="J11736" s="5"/>
      <c r="K11736" s="5"/>
      <c r="L11736" s="5"/>
      <c r="M11736" s="5"/>
      <c r="N11736" s="5"/>
      <c r="O11736" s="5"/>
      <c r="P11736" s="5"/>
      <c r="Q11736" s="5"/>
      <c r="R11736" s="5"/>
      <c r="S11736" s="5"/>
      <c r="T11736" s="5"/>
      <c r="U11736" s="5"/>
      <c r="V11736" s="5"/>
      <c r="W11736" s="5"/>
      <c r="X11736" s="5"/>
      <c r="Y11736" s="5"/>
      <c r="Z11736" s="5"/>
    </row>
    <row r="11737" spans="1:26" ht="15" x14ac:dyDescent="0.25">
      <c r="A11737" s="4" t="s">
        <v>11734</v>
      </c>
      <c r="B11737" s="4" t="s">
        <v>9011</v>
      </c>
      <c r="C11737" s="2" t="str">
        <f ca="1">IFERROR(__xludf.DUMMYFUNCTION("GOOGLETRANSLATE(A11737,""bn"",""en"")"),"Take blockchain training")</f>
        <v>Take blockchain training</v>
      </c>
      <c r="D11737" s="5"/>
      <c r="E11737" s="5"/>
      <c r="F11737" s="5"/>
      <c r="G11737" s="5"/>
      <c r="H11737" s="5"/>
      <c r="I11737" s="5"/>
      <c r="J11737" s="5"/>
      <c r="K11737" s="5"/>
      <c r="L11737" s="5"/>
      <c r="M11737" s="5"/>
      <c r="N11737" s="5"/>
      <c r="O11737" s="5"/>
      <c r="P11737" s="5"/>
      <c r="Q11737" s="5"/>
      <c r="R11737" s="5"/>
      <c r="S11737" s="5"/>
      <c r="T11737" s="5"/>
      <c r="U11737" s="5"/>
      <c r="V11737" s="5"/>
      <c r="W11737" s="5"/>
      <c r="X11737" s="5"/>
      <c r="Y11737" s="5"/>
      <c r="Z11737" s="5"/>
    </row>
    <row r="11738" spans="1:26" ht="15" x14ac:dyDescent="0.25">
      <c r="A11738" s="4" t="s">
        <v>11735</v>
      </c>
      <c r="B11738" s="4" t="s">
        <v>9011</v>
      </c>
      <c r="C11738" s="2" t="str">
        <f ca="1">IFERROR(__xludf.DUMMYFUNCTION("GOOGLETRANSLATE(A11738,""bn"",""en"")"),"Learn internet business")</f>
        <v>Learn internet business</v>
      </c>
      <c r="D11738" s="5"/>
      <c r="E11738" s="5"/>
      <c r="F11738" s="5"/>
      <c r="G11738" s="5"/>
      <c r="H11738" s="5"/>
      <c r="I11738" s="5"/>
      <c r="J11738" s="5"/>
      <c r="K11738" s="5"/>
      <c r="L11738" s="5"/>
      <c r="M11738" s="5"/>
      <c r="N11738" s="5"/>
      <c r="O11738" s="5"/>
      <c r="P11738" s="5"/>
      <c r="Q11738" s="5"/>
      <c r="R11738" s="5"/>
      <c r="S11738" s="5"/>
      <c r="T11738" s="5"/>
      <c r="U11738" s="5"/>
      <c r="V11738" s="5"/>
      <c r="W11738" s="5"/>
      <c r="X11738" s="5"/>
      <c r="Y11738" s="5"/>
      <c r="Z11738" s="5"/>
    </row>
    <row r="11739" spans="1:26" ht="15" x14ac:dyDescent="0.25">
      <c r="A11739" s="4" t="s">
        <v>11736</v>
      </c>
      <c r="B11739" s="4" t="s">
        <v>9011</v>
      </c>
      <c r="C11739" s="2" t="str">
        <f ca="1">IFERROR(__xludf.DUMMYFUNCTION("GOOGLETRANSLATE(A11739,""bn"",""en"")"),"I will read the news on the Internet")</f>
        <v>I will read the news on the Internet</v>
      </c>
      <c r="D11739" s="5"/>
      <c r="E11739" s="5"/>
      <c r="F11739" s="5"/>
      <c r="G11739" s="5"/>
      <c r="H11739" s="5"/>
      <c r="I11739" s="5"/>
      <c r="J11739" s="5"/>
      <c r="K11739" s="5"/>
      <c r="L11739" s="5"/>
      <c r="M11739" s="5"/>
      <c r="N11739" s="5"/>
      <c r="O11739" s="5"/>
      <c r="P11739" s="5"/>
      <c r="Q11739" s="5"/>
      <c r="R11739" s="5"/>
      <c r="S11739" s="5"/>
      <c r="T11739" s="5"/>
      <c r="U11739" s="5"/>
      <c r="V11739" s="5"/>
      <c r="W11739" s="5"/>
      <c r="X11739" s="5"/>
      <c r="Y11739" s="5"/>
      <c r="Z11739" s="5"/>
    </row>
    <row r="11740" spans="1:26" ht="15" x14ac:dyDescent="0.25">
      <c r="A11740" s="4" t="s">
        <v>11737</v>
      </c>
      <c r="B11740" s="4" t="s">
        <v>9011</v>
      </c>
      <c r="C11740" s="2" t="str">
        <f ca="1">IFERROR(__xludf.DUMMYFUNCTION("GOOGLETRANSLATE(A11740,""bn"",""en"")"),"Bank will support")</f>
        <v>Bank will support</v>
      </c>
      <c r="D11740" s="5"/>
      <c r="E11740" s="5"/>
      <c r="F11740" s="5"/>
      <c r="G11740" s="5"/>
      <c r="H11740" s="5"/>
      <c r="I11740" s="5"/>
      <c r="J11740" s="5"/>
      <c r="K11740" s="5"/>
      <c r="L11740" s="5"/>
      <c r="M11740" s="5"/>
      <c r="N11740" s="5"/>
      <c r="O11740" s="5"/>
      <c r="P11740" s="5"/>
      <c r="Q11740" s="5"/>
      <c r="R11740" s="5"/>
      <c r="S11740" s="5"/>
      <c r="T11740" s="5"/>
      <c r="U11740" s="5"/>
      <c r="V11740" s="5"/>
      <c r="W11740" s="5"/>
      <c r="X11740" s="5"/>
      <c r="Y11740" s="5"/>
      <c r="Z11740" s="5"/>
    </row>
    <row r="11741" spans="1:26" ht="15" x14ac:dyDescent="0.25">
      <c r="A11741" s="4" t="s">
        <v>11738</v>
      </c>
      <c r="B11741" s="4" t="s">
        <v>9011</v>
      </c>
      <c r="C11741" s="2" t="str">
        <f ca="1">IFERROR(__xludf.DUMMYFUNCTION("GOOGLETRANSLATE(A11741,""bn"",""en"")"),"I will have a meeting")</f>
        <v>I will have a meeting</v>
      </c>
      <c r="D11741" s="5"/>
      <c r="E11741" s="5"/>
      <c r="F11741" s="5"/>
      <c r="G11741" s="5"/>
      <c r="H11741" s="5"/>
      <c r="I11741" s="5"/>
      <c r="J11741" s="5"/>
      <c r="K11741" s="5"/>
      <c r="L11741" s="5"/>
      <c r="M11741" s="5"/>
      <c r="N11741" s="5"/>
      <c r="O11741" s="5"/>
      <c r="P11741" s="5"/>
      <c r="Q11741" s="5"/>
      <c r="R11741" s="5"/>
      <c r="S11741" s="5"/>
      <c r="T11741" s="5"/>
      <c r="U11741" s="5"/>
      <c r="V11741" s="5"/>
      <c r="W11741" s="5"/>
      <c r="X11741" s="5"/>
      <c r="Y11741" s="5"/>
      <c r="Z11741" s="5"/>
    </row>
    <row r="11742" spans="1:26" ht="15" x14ac:dyDescent="0.25">
      <c r="A11742" s="4" t="s">
        <v>11739</v>
      </c>
      <c r="B11742" s="4" t="s">
        <v>9011</v>
      </c>
      <c r="C11742" s="2" t="str">
        <f ca="1">IFERROR(__xludf.DUMMYFUNCTION("GOOGLETRANSLATE(A11742,""bn"",""en"")"),"I would like pizza")</f>
        <v>I would like pizza</v>
      </c>
      <c r="D11742" s="5"/>
      <c r="E11742" s="5"/>
      <c r="F11742" s="5"/>
      <c r="G11742" s="5"/>
      <c r="H11742" s="5"/>
      <c r="I11742" s="5"/>
      <c r="J11742" s="5"/>
      <c r="K11742" s="5"/>
      <c r="L11742" s="5"/>
      <c r="M11742" s="5"/>
      <c r="N11742" s="5"/>
      <c r="O11742" s="5"/>
      <c r="P11742" s="5"/>
      <c r="Q11742" s="5"/>
      <c r="R11742" s="5"/>
      <c r="S11742" s="5"/>
      <c r="T11742" s="5"/>
      <c r="U11742" s="5"/>
      <c r="V11742" s="5"/>
      <c r="W11742" s="5"/>
      <c r="X11742" s="5"/>
      <c r="Y11742" s="5"/>
      <c r="Z11742" s="5"/>
    </row>
    <row r="11743" spans="1:26" ht="15" x14ac:dyDescent="0.25">
      <c r="A11743" s="4" t="s">
        <v>11740</v>
      </c>
      <c r="B11743" s="4" t="s">
        <v>9011</v>
      </c>
      <c r="C11743" s="2" t="str">
        <f ca="1">IFERROR(__xludf.DUMMYFUNCTION("GOOGLETRANSLATE(A11743,""bn"",""en"")"),"I will use GPS")</f>
        <v>I will use GPS</v>
      </c>
      <c r="D11743" s="5"/>
      <c r="E11743" s="5"/>
      <c r="F11743" s="5"/>
      <c r="G11743" s="5"/>
      <c r="H11743" s="5"/>
      <c r="I11743" s="5"/>
      <c r="J11743" s="5"/>
      <c r="K11743" s="5"/>
      <c r="L11743" s="5"/>
      <c r="M11743" s="5"/>
      <c r="N11743" s="5"/>
      <c r="O11743" s="5"/>
      <c r="P11743" s="5"/>
      <c r="Q11743" s="5"/>
      <c r="R11743" s="5"/>
      <c r="S11743" s="5"/>
      <c r="T11743" s="5"/>
      <c r="U11743" s="5"/>
      <c r="V11743" s="5"/>
      <c r="W11743" s="5"/>
      <c r="X11743" s="5"/>
      <c r="Y11743" s="5"/>
      <c r="Z11743" s="5"/>
    </row>
    <row r="11744" spans="1:26" ht="15" x14ac:dyDescent="0.25">
      <c r="A11744" s="4" t="s">
        <v>11741</v>
      </c>
      <c r="B11744" s="4" t="s">
        <v>9011</v>
      </c>
      <c r="C11744" s="2" t="str">
        <f ca="1">IFERROR(__xludf.DUMMYFUNCTION("GOOGLETRANSLATE(A11744,""bn"",""en"")"),"Invest properly")</f>
        <v>Invest properly</v>
      </c>
      <c r="D11744" s="5"/>
      <c r="E11744" s="5"/>
      <c r="F11744" s="5"/>
      <c r="G11744" s="5"/>
      <c r="H11744" s="5"/>
      <c r="I11744" s="5"/>
      <c r="J11744" s="5"/>
      <c r="K11744" s="5"/>
      <c r="L11744" s="5"/>
      <c r="M11744" s="5"/>
      <c r="N11744" s="5"/>
      <c r="O11744" s="5"/>
      <c r="P11744" s="5"/>
      <c r="Q11744" s="5"/>
      <c r="R11744" s="5"/>
      <c r="S11744" s="5"/>
      <c r="T11744" s="5"/>
      <c r="U11744" s="5"/>
      <c r="V11744" s="5"/>
      <c r="W11744" s="5"/>
      <c r="X11744" s="5"/>
      <c r="Y11744" s="5"/>
      <c r="Z11744" s="5"/>
    </row>
    <row r="11745" spans="1:26" ht="15" x14ac:dyDescent="0.25">
      <c r="A11745" s="4" t="s">
        <v>11742</v>
      </c>
      <c r="B11745" s="4" t="s">
        <v>9011</v>
      </c>
      <c r="C11745" s="2" t="str">
        <f ca="1">IFERROR(__xludf.DUMMYFUNCTION("GOOGLETRANSLATE(A11745,""bn"",""en"")"),"I will do database course")</f>
        <v>I will do database course</v>
      </c>
      <c r="D11745" s="5"/>
      <c r="E11745" s="5"/>
      <c r="F11745" s="5"/>
      <c r="G11745" s="5"/>
      <c r="H11745" s="5"/>
      <c r="I11745" s="5"/>
      <c r="J11745" s="5"/>
      <c r="K11745" s="5"/>
      <c r="L11745" s="5"/>
      <c r="M11745" s="5"/>
      <c r="N11745" s="5"/>
      <c r="O11745" s="5"/>
      <c r="P11745" s="5"/>
      <c r="Q11745" s="5"/>
      <c r="R11745" s="5"/>
      <c r="S11745" s="5"/>
      <c r="T11745" s="5"/>
      <c r="U11745" s="5"/>
      <c r="V11745" s="5"/>
      <c r="W11745" s="5"/>
      <c r="X11745" s="5"/>
      <c r="Y11745" s="5"/>
      <c r="Z11745" s="5"/>
    </row>
    <row r="11746" spans="1:26" ht="15" x14ac:dyDescent="0.25">
      <c r="A11746" s="4" t="s">
        <v>11743</v>
      </c>
      <c r="B11746" s="4" t="s">
        <v>9011</v>
      </c>
      <c r="C11746" s="2" t="str">
        <f ca="1">IFERROR(__xludf.DUMMYFUNCTION("GOOGLETRANSLATE(A11746,""bn"",""en"")"),"It will be a national game")</f>
        <v>It will be a national game</v>
      </c>
      <c r="D11746" s="5"/>
      <c r="E11746" s="5"/>
      <c r="F11746" s="5"/>
      <c r="G11746" s="5"/>
      <c r="H11746" s="5"/>
      <c r="I11746" s="5"/>
      <c r="J11746" s="5"/>
      <c r="K11746" s="5"/>
      <c r="L11746" s="5"/>
      <c r="M11746" s="5"/>
      <c r="N11746" s="5"/>
      <c r="O11746" s="5"/>
      <c r="P11746" s="5"/>
      <c r="Q11746" s="5"/>
      <c r="R11746" s="5"/>
      <c r="S11746" s="5"/>
      <c r="T11746" s="5"/>
      <c r="U11746" s="5"/>
      <c r="V11746" s="5"/>
      <c r="W11746" s="5"/>
      <c r="X11746" s="5"/>
      <c r="Y11746" s="5"/>
      <c r="Z11746" s="5"/>
    </row>
    <row r="11747" spans="1:26" ht="15" x14ac:dyDescent="0.25">
      <c r="A11747" s="4" t="s">
        <v>11744</v>
      </c>
      <c r="B11747" s="4" t="s">
        <v>9011</v>
      </c>
      <c r="C11747" s="2" t="str">
        <f ca="1">IFERROR(__xludf.DUMMYFUNCTION("GOOGLETRANSLATE(A11747,""bn"",""en"")"),"I will gain praise")</f>
        <v>I will gain praise</v>
      </c>
      <c r="D11747" s="5"/>
      <c r="E11747" s="5"/>
      <c r="F11747" s="5"/>
      <c r="G11747" s="5"/>
      <c r="H11747" s="5"/>
      <c r="I11747" s="5"/>
      <c r="J11747" s="5"/>
      <c r="K11747" s="5"/>
      <c r="L11747" s="5"/>
      <c r="M11747" s="5"/>
      <c r="N11747" s="5"/>
      <c r="O11747" s="5"/>
      <c r="P11747" s="5"/>
      <c r="Q11747" s="5"/>
      <c r="R11747" s="5"/>
      <c r="S11747" s="5"/>
      <c r="T11747" s="5"/>
      <c r="U11747" s="5"/>
      <c r="V11747" s="5"/>
      <c r="W11747" s="5"/>
      <c r="X11747" s="5"/>
      <c r="Y11747" s="5"/>
      <c r="Z11747" s="5"/>
    </row>
    <row r="11748" spans="1:26" ht="15" x14ac:dyDescent="0.25">
      <c r="A11748" s="4" t="s">
        <v>11745</v>
      </c>
      <c r="B11748" s="4" t="s">
        <v>9011</v>
      </c>
      <c r="C11748" s="2" t="str">
        <f ca="1">IFERROR(__xludf.DUMMYFUNCTION("GOOGLETRANSLATE(A11748,""bn"",""en"")"),"I will be a traveler")</f>
        <v>I will be a traveler</v>
      </c>
      <c r="D11748" s="5"/>
      <c r="E11748" s="5"/>
      <c r="F11748" s="5"/>
      <c r="G11748" s="5"/>
      <c r="H11748" s="5"/>
      <c r="I11748" s="5"/>
      <c r="J11748" s="5"/>
      <c r="K11748" s="5"/>
      <c r="L11748" s="5"/>
      <c r="M11748" s="5"/>
      <c r="N11748" s="5"/>
      <c r="O11748" s="5"/>
      <c r="P11748" s="5"/>
      <c r="Q11748" s="5"/>
      <c r="R11748" s="5"/>
      <c r="S11748" s="5"/>
      <c r="T11748" s="5"/>
      <c r="U11748" s="5"/>
      <c r="V11748" s="5"/>
      <c r="W11748" s="5"/>
      <c r="X11748" s="5"/>
      <c r="Y11748" s="5"/>
      <c r="Z11748" s="5"/>
    </row>
    <row r="11749" spans="1:26" ht="15" x14ac:dyDescent="0.25">
      <c r="A11749" s="4" t="s">
        <v>11746</v>
      </c>
      <c r="B11749" s="4" t="s">
        <v>9011</v>
      </c>
      <c r="C11749" s="2" t="str">
        <f ca="1">IFERROR(__xludf.DUMMYFUNCTION("GOOGLETRANSLATE(A11749,""bn"",""en"")"),"Development fest will continue")</f>
        <v>Development fest will continue</v>
      </c>
      <c r="D11749" s="5"/>
      <c r="E11749" s="5"/>
      <c r="F11749" s="5"/>
      <c r="G11749" s="5"/>
      <c r="H11749" s="5"/>
      <c r="I11749" s="5"/>
      <c r="J11749" s="5"/>
      <c r="K11749" s="5"/>
      <c r="L11749" s="5"/>
      <c r="M11749" s="5"/>
      <c r="N11749" s="5"/>
      <c r="O11749" s="5"/>
      <c r="P11749" s="5"/>
      <c r="Q11749" s="5"/>
      <c r="R11749" s="5"/>
      <c r="S11749" s="5"/>
      <c r="T11749" s="5"/>
      <c r="U11749" s="5"/>
      <c r="V11749" s="5"/>
      <c r="W11749" s="5"/>
      <c r="X11749" s="5"/>
      <c r="Y11749" s="5"/>
      <c r="Z11749" s="5"/>
    </row>
    <row r="11750" spans="1:26" ht="15" x14ac:dyDescent="0.25">
      <c r="A11750" s="4" t="s">
        <v>11747</v>
      </c>
      <c r="B11750" s="4" t="s">
        <v>9011</v>
      </c>
      <c r="C11750" s="2" t="str">
        <f ca="1">IFERROR(__xludf.DUMMYFUNCTION("GOOGLETRANSLATE(A11750,""bn"",""en"")"),"The module will be installed")</f>
        <v>The module will be installed</v>
      </c>
      <c r="D11750" s="5"/>
      <c r="E11750" s="5"/>
      <c r="F11750" s="5"/>
      <c r="G11750" s="5"/>
      <c r="H11750" s="5"/>
      <c r="I11750" s="5"/>
      <c r="J11750" s="5"/>
      <c r="K11750" s="5"/>
      <c r="L11750" s="5"/>
      <c r="M11750" s="5"/>
      <c r="N11750" s="5"/>
      <c r="O11750" s="5"/>
      <c r="P11750" s="5"/>
      <c r="Q11750" s="5"/>
      <c r="R11750" s="5"/>
      <c r="S11750" s="5"/>
      <c r="T11750" s="5"/>
      <c r="U11750" s="5"/>
      <c r="V11750" s="5"/>
      <c r="W11750" s="5"/>
      <c r="X11750" s="5"/>
      <c r="Y11750" s="5"/>
      <c r="Z11750" s="5"/>
    </row>
    <row r="11751" spans="1:26" ht="15" x14ac:dyDescent="0.25">
      <c r="A11751" s="4" t="s">
        <v>11748</v>
      </c>
      <c r="B11751" s="4" t="s">
        <v>9011</v>
      </c>
      <c r="C11751" s="2" t="str">
        <f ca="1">IFERROR(__xludf.DUMMYFUNCTION("GOOGLETRANSLATE(A11751,""bn"",""en"")"),"Sujla Sufla will be Bangladesh")</f>
        <v>Sujla Sufla will be Bangladesh</v>
      </c>
      <c r="D11751" s="5"/>
      <c r="E11751" s="5"/>
      <c r="F11751" s="5"/>
      <c r="G11751" s="5"/>
      <c r="H11751" s="5"/>
      <c r="I11751" s="5"/>
      <c r="J11751" s="5"/>
      <c r="K11751" s="5"/>
      <c r="L11751" s="5"/>
      <c r="M11751" s="5"/>
      <c r="N11751" s="5"/>
      <c r="O11751" s="5"/>
      <c r="P11751" s="5"/>
      <c r="Q11751" s="5"/>
      <c r="R11751" s="5"/>
      <c r="S11751" s="5"/>
      <c r="T11751" s="5"/>
      <c r="U11751" s="5"/>
      <c r="V11751" s="5"/>
      <c r="W11751" s="5"/>
      <c r="X11751" s="5"/>
      <c r="Y11751" s="5"/>
      <c r="Z11751" s="5"/>
    </row>
    <row r="11752" spans="1:26" ht="15" x14ac:dyDescent="0.25">
      <c r="A11752" s="4" t="s">
        <v>11749</v>
      </c>
      <c r="B11752" s="4" t="s">
        <v>9011</v>
      </c>
      <c r="C11752" s="2" t="str">
        <f ca="1">IFERROR(__xludf.DUMMYFUNCTION("GOOGLETRANSLATE(A11752,""bn"",""en"")"),"I will be outsourcing")</f>
        <v>I will be outsourcing</v>
      </c>
      <c r="D11752" s="5"/>
      <c r="E11752" s="5"/>
      <c r="F11752" s="5"/>
      <c r="G11752" s="5"/>
      <c r="H11752" s="5"/>
      <c r="I11752" s="5"/>
      <c r="J11752" s="5"/>
      <c r="K11752" s="5"/>
      <c r="L11752" s="5"/>
      <c r="M11752" s="5"/>
      <c r="N11752" s="5"/>
      <c r="O11752" s="5"/>
      <c r="P11752" s="5"/>
      <c r="Q11752" s="5"/>
      <c r="R11752" s="5"/>
      <c r="S11752" s="5"/>
      <c r="T11752" s="5"/>
      <c r="U11752" s="5"/>
      <c r="V11752" s="5"/>
      <c r="W11752" s="5"/>
      <c r="X11752" s="5"/>
      <c r="Y11752" s="5"/>
      <c r="Z11752" s="5"/>
    </row>
    <row r="11753" spans="1:26" ht="15" x14ac:dyDescent="0.25">
      <c r="A11753" s="4" t="s">
        <v>11750</v>
      </c>
      <c r="B11753" s="4" t="s">
        <v>9011</v>
      </c>
      <c r="C11753" s="2" t="str">
        <f ca="1">IFERROR(__xludf.DUMMYFUNCTION("GOOGLETRANSLATE(A11753,""bn"",""en"")"),"I will prepare the research")</f>
        <v>I will prepare the research</v>
      </c>
      <c r="D11753" s="5"/>
      <c r="E11753" s="5"/>
      <c r="F11753" s="5"/>
      <c r="G11753" s="5"/>
      <c r="H11753" s="5"/>
      <c r="I11753" s="5"/>
      <c r="J11753" s="5"/>
      <c r="K11753" s="5"/>
      <c r="L11753" s="5"/>
      <c r="M11753" s="5"/>
      <c r="N11753" s="5"/>
      <c r="O11753" s="5"/>
      <c r="P11753" s="5"/>
      <c r="Q11753" s="5"/>
      <c r="R11753" s="5"/>
      <c r="S11753" s="5"/>
      <c r="T11753" s="5"/>
      <c r="U11753" s="5"/>
      <c r="V11753" s="5"/>
      <c r="W11753" s="5"/>
      <c r="X11753" s="5"/>
      <c r="Y11753" s="5"/>
      <c r="Z11753" s="5"/>
    </row>
    <row r="11754" spans="1:26" ht="15" x14ac:dyDescent="0.25">
      <c r="A11754" s="4" t="s">
        <v>11751</v>
      </c>
      <c r="B11754" s="4" t="s">
        <v>9011</v>
      </c>
      <c r="C11754" s="2" t="str">
        <f ca="1">IFERROR(__xludf.DUMMYFUNCTION("GOOGLETRANSLATE(A11754,""bn"",""en"")"),"Keep checking")</f>
        <v>Keep checking</v>
      </c>
      <c r="D11754" s="5"/>
      <c r="E11754" s="5"/>
      <c r="F11754" s="5"/>
      <c r="G11754" s="5"/>
      <c r="H11754" s="5"/>
      <c r="I11754" s="5"/>
      <c r="J11754" s="5"/>
      <c r="K11754" s="5"/>
      <c r="L11754" s="5"/>
      <c r="M11754" s="5"/>
      <c r="N11754" s="5"/>
      <c r="O11754" s="5"/>
      <c r="P11754" s="5"/>
      <c r="Q11754" s="5"/>
      <c r="R11754" s="5"/>
      <c r="S11754" s="5"/>
      <c r="T11754" s="5"/>
      <c r="U11754" s="5"/>
      <c r="V11754" s="5"/>
      <c r="W11754" s="5"/>
      <c r="X11754" s="5"/>
      <c r="Y11754" s="5"/>
      <c r="Z11754" s="5"/>
    </row>
    <row r="11755" spans="1:26" ht="15" x14ac:dyDescent="0.25">
      <c r="A11755" s="4" t="s">
        <v>11752</v>
      </c>
      <c r="B11755" s="4" t="s">
        <v>9011</v>
      </c>
      <c r="C11755" s="2" t="str">
        <f ca="1">IFERROR(__xludf.DUMMYFUNCTION("GOOGLETRANSLATE(A11755,""bn"",""en"")"),"The market will be ready")</f>
        <v>The market will be ready</v>
      </c>
      <c r="D11755" s="5"/>
      <c r="E11755" s="5"/>
      <c r="F11755" s="5"/>
      <c r="G11755" s="5"/>
      <c r="H11755" s="5"/>
      <c r="I11755" s="5"/>
      <c r="J11755" s="5"/>
      <c r="K11755" s="5"/>
      <c r="L11755" s="5"/>
      <c r="M11755" s="5"/>
      <c r="N11755" s="5"/>
      <c r="O11755" s="5"/>
      <c r="P11755" s="5"/>
      <c r="Q11755" s="5"/>
      <c r="R11755" s="5"/>
      <c r="S11755" s="5"/>
      <c r="T11755" s="5"/>
      <c r="U11755" s="5"/>
      <c r="V11755" s="5"/>
      <c r="W11755" s="5"/>
      <c r="X11755" s="5"/>
      <c r="Y11755" s="5"/>
      <c r="Z11755" s="5"/>
    </row>
    <row r="11756" spans="1:26" ht="15" x14ac:dyDescent="0.25">
      <c r="A11756" s="4" t="s">
        <v>11753</v>
      </c>
      <c r="B11756" s="4" t="s">
        <v>9011</v>
      </c>
      <c r="C11756" s="2" t="str">
        <f ca="1">IFERROR(__xludf.DUMMYFUNCTION("GOOGLETRANSLATE(A11756,""bn"",""en"")"),"He will bring ice cream")</f>
        <v>He will bring ice cream</v>
      </c>
      <c r="D11756" s="5"/>
      <c r="E11756" s="5"/>
      <c r="F11756" s="5"/>
      <c r="G11756" s="5"/>
      <c r="H11756" s="5"/>
      <c r="I11756" s="5"/>
      <c r="J11756" s="5"/>
      <c r="K11756" s="5"/>
      <c r="L11756" s="5"/>
      <c r="M11756" s="5"/>
      <c r="N11756" s="5"/>
      <c r="O11756" s="5"/>
      <c r="P11756" s="5"/>
      <c r="Q11756" s="5"/>
      <c r="R11756" s="5"/>
      <c r="S11756" s="5"/>
      <c r="T11756" s="5"/>
      <c r="U11756" s="5"/>
      <c r="V11756" s="5"/>
      <c r="W11756" s="5"/>
      <c r="X11756" s="5"/>
      <c r="Y11756" s="5"/>
      <c r="Z11756" s="5"/>
    </row>
    <row r="11757" spans="1:26" ht="15" x14ac:dyDescent="0.25">
      <c r="A11757" s="4" t="s">
        <v>11754</v>
      </c>
      <c r="B11757" s="4" t="s">
        <v>9011</v>
      </c>
      <c r="C11757" s="2" t="str">
        <f ca="1">IFERROR(__xludf.DUMMYFUNCTION("GOOGLETRANSLATE(A11757,""bn"",""en"")"),"IP will change")</f>
        <v>IP will change</v>
      </c>
      <c r="D11757" s="5"/>
      <c r="E11757" s="5"/>
      <c r="F11757" s="5"/>
      <c r="G11757" s="5"/>
      <c r="H11757" s="5"/>
      <c r="I11757" s="5"/>
      <c r="J11757" s="5"/>
      <c r="K11757" s="5"/>
      <c r="L11757" s="5"/>
      <c r="M11757" s="5"/>
      <c r="N11757" s="5"/>
      <c r="O11757" s="5"/>
      <c r="P11757" s="5"/>
      <c r="Q11757" s="5"/>
      <c r="R11757" s="5"/>
      <c r="S11757" s="5"/>
      <c r="T11757" s="5"/>
      <c r="U11757" s="5"/>
      <c r="V11757" s="5"/>
      <c r="W11757" s="5"/>
      <c r="X11757" s="5"/>
      <c r="Y11757" s="5"/>
      <c r="Z11757" s="5"/>
    </row>
    <row r="11758" spans="1:26" ht="15" x14ac:dyDescent="0.25">
      <c r="A11758" s="4" t="s">
        <v>11755</v>
      </c>
      <c r="B11758" s="4" t="s">
        <v>9011</v>
      </c>
      <c r="C11758" s="2" t="str">
        <f ca="1">IFERROR(__xludf.DUMMYFUNCTION("GOOGLETRANSLATE(A11758,""bn"",""en"")"),"Technology will be updated")</f>
        <v>Technology will be updated</v>
      </c>
      <c r="D11758" s="5"/>
      <c r="E11758" s="5"/>
      <c r="F11758" s="5"/>
      <c r="G11758" s="5"/>
      <c r="H11758" s="5"/>
      <c r="I11758" s="5"/>
      <c r="J11758" s="5"/>
      <c r="K11758" s="5"/>
      <c r="L11758" s="5"/>
      <c r="M11758" s="5"/>
      <c r="N11758" s="5"/>
      <c r="O11758" s="5"/>
      <c r="P11758" s="5"/>
      <c r="Q11758" s="5"/>
      <c r="R11758" s="5"/>
      <c r="S11758" s="5"/>
      <c r="T11758" s="5"/>
      <c r="U11758" s="5"/>
      <c r="V11758" s="5"/>
      <c r="W11758" s="5"/>
      <c r="X11758" s="5"/>
      <c r="Y11758" s="5"/>
      <c r="Z11758" s="5"/>
    </row>
    <row r="11759" spans="1:26" ht="15" x14ac:dyDescent="0.25">
      <c r="A11759" s="4" t="s">
        <v>11756</v>
      </c>
      <c r="B11759" s="4" t="s">
        <v>9011</v>
      </c>
      <c r="C11759" s="2" t="str">
        <f ca="1">IFERROR(__xludf.DUMMYFUNCTION("GOOGLETRANSLATE(A11759,""bn"",""en"")"),"Sprint will be the runner")</f>
        <v>Sprint will be the runner</v>
      </c>
      <c r="D11759" s="5"/>
      <c r="E11759" s="5"/>
      <c r="F11759" s="5"/>
      <c r="G11759" s="5"/>
      <c r="H11759" s="5"/>
      <c r="I11759" s="5"/>
      <c r="J11759" s="5"/>
      <c r="K11759" s="5"/>
      <c r="L11759" s="5"/>
      <c r="M11759" s="5"/>
      <c r="N11759" s="5"/>
      <c r="O11759" s="5"/>
      <c r="P11759" s="5"/>
      <c r="Q11759" s="5"/>
      <c r="R11759" s="5"/>
      <c r="S11759" s="5"/>
      <c r="T11759" s="5"/>
      <c r="U11759" s="5"/>
      <c r="V11759" s="5"/>
      <c r="W11759" s="5"/>
      <c r="X11759" s="5"/>
      <c r="Y11759" s="5"/>
      <c r="Z11759" s="5"/>
    </row>
    <row r="11760" spans="1:26" ht="15" x14ac:dyDescent="0.25">
      <c r="A11760" s="4" t="s">
        <v>11757</v>
      </c>
      <c r="B11760" s="4" t="s">
        <v>9011</v>
      </c>
      <c r="C11760" s="2" t="str">
        <f ca="1">IFERROR(__xludf.DUMMYFUNCTION("GOOGLETRANSLATE(A11760,""bn"",""en"")"),"Code will be input")</f>
        <v>Code will be input</v>
      </c>
      <c r="D11760" s="5"/>
      <c r="E11760" s="5"/>
      <c r="F11760" s="5"/>
      <c r="G11760" s="5"/>
      <c r="H11760" s="5"/>
      <c r="I11760" s="5"/>
      <c r="J11760" s="5"/>
      <c r="K11760" s="5"/>
      <c r="L11760" s="5"/>
      <c r="M11760" s="5"/>
      <c r="N11760" s="5"/>
      <c r="O11760" s="5"/>
      <c r="P11760" s="5"/>
      <c r="Q11760" s="5"/>
      <c r="R11760" s="5"/>
      <c r="S11760" s="5"/>
      <c r="T11760" s="5"/>
      <c r="U11760" s="5"/>
      <c r="V11760" s="5"/>
      <c r="W11760" s="5"/>
      <c r="X11760" s="5"/>
      <c r="Y11760" s="5"/>
      <c r="Z11760" s="5"/>
    </row>
    <row r="11761" spans="1:26" ht="15" x14ac:dyDescent="0.25">
      <c r="A11761" s="4" t="s">
        <v>11758</v>
      </c>
      <c r="B11761" s="4" t="s">
        <v>9011</v>
      </c>
      <c r="C11761" s="2" t="str">
        <f ca="1">IFERROR(__xludf.DUMMYFUNCTION("GOOGLETRANSLATE(A11761,""bn"",""en"")"),"I will continue to listen to music")</f>
        <v>I will continue to listen to music</v>
      </c>
      <c r="D11761" s="5"/>
      <c r="E11761" s="5"/>
      <c r="F11761" s="5"/>
      <c r="G11761" s="5"/>
      <c r="H11761" s="5"/>
      <c r="I11761" s="5"/>
      <c r="J11761" s="5"/>
      <c r="K11761" s="5"/>
      <c r="L11761" s="5"/>
      <c r="M11761" s="5"/>
      <c r="N11761" s="5"/>
      <c r="O11761" s="5"/>
      <c r="P11761" s="5"/>
      <c r="Q11761" s="5"/>
      <c r="R11761" s="5"/>
      <c r="S11761" s="5"/>
      <c r="T11761" s="5"/>
      <c r="U11761" s="5"/>
      <c r="V11761" s="5"/>
      <c r="W11761" s="5"/>
      <c r="X11761" s="5"/>
      <c r="Y11761" s="5"/>
      <c r="Z11761" s="5"/>
    </row>
    <row r="11762" spans="1:26" ht="15" x14ac:dyDescent="0.25">
      <c r="A11762" s="4" t="s">
        <v>11759</v>
      </c>
      <c r="B11762" s="4" t="s">
        <v>9011</v>
      </c>
      <c r="C11762" s="2" t="str">
        <f ca="1">IFERROR(__xludf.DUMMYFUNCTION("GOOGLETRANSLATE(A11762,""bn"",""en"")"),"will continue to be popular")</f>
        <v>will continue to be popular</v>
      </c>
      <c r="D11762" s="5"/>
      <c r="E11762" s="5"/>
      <c r="F11762" s="5"/>
      <c r="G11762" s="5"/>
      <c r="H11762" s="5"/>
      <c r="I11762" s="5"/>
      <c r="J11762" s="5"/>
      <c r="K11762" s="5"/>
      <c r="L11762" s="5"/>
      <c r="M11762" s="5"/>
      <c r="N11762" s="5"/>
      <c r="O11762" s="5"/>
      <c r="P11762" s="5"/>
      <c r="Q11762" s="5"/>
      <c r="R11762" s="5"/>
      <c r="S11762" s="5"/>
      <c r="T11762" s="5"/>
      <c r="U11762" s="5"/>
      <c r="V11762" s="5"/>
      <c r="W11762" s="5"/>
      <c r="X11762" s="5"/>
      <c r="Y11762" s="5"/>
      <c r="Z11762" s="5"/>
    </row>
    <row r="11763" spans="1:26" ht="15" x14ac:dyDescent="0.25">
      <c r="A11763" s="4" t="s">
        <v>11760</v>
      </c>
      <c r="B11763" s="4" t="s">
        <v>9011</v>
      </c>
      <c r="C11763" s="2" t="str">
        <f ca="1">IFERROR(__xludf.DUMMYFUNCTION("GOOGLETRANSLATE(A11763,""bn"",""en"")"),"What email should I send?")</f>
        <v>What email should I send?</v>
      </c>
      <c r="D11763" s="5"/>
      <c r="E11763" s="5"/>
      <c r="F11763" s="5"/>
      <c r="G11763" s="5"/>
      <c r="H11763" s="5"/>
      <c r="I11763" s="5"/>
      <c r="J11763" s="5"/>
      <c r="K11763" s="5"/>
      <c r="L11763" s="5"/>
      <c r="M11763" s="5"/>
      <c r="N11763" s="5"/>
      <c r="O11763" s="5"/>
      <c r="P11763" s="5"/>
      <c r="Q11763" s="5"/>
      <c r="R11763" s="5"/>
      <c r="S11763" s="5"/>
      <c r="T11763" s="5"/>
      <c r="U11763" s="5"/>
      <c r="V11763" s="5"/>
      <c r="W11763" s="5"/>
      <c r="X11763" s="5"/>
      <c r="Y11763" s="5"/>
      <c r="Z11763" s="5"/>
    </row>
    <row r="11764" spans="1:26" ht="15" x14ac:dyDescent="0.25">
      <c r="A11764" s="4" t="s">
        <v>11761</v>
      </c>
      <c r="B11764" s="4" t="s">
        <v>9011</v>
      </c>
      <c r="C11764" s="2" t="str">
        <f ca="1">IFERROR(__xludf.DUMMYFUNCTION("GOOGLETRANSLATE(A11764,""bn"",""en"")"),"I will continue to find peace")</f>
        <v>I will continue to find peace</v>
      </c>
      <c r="D11764" s="5"/>
      <c r="E11764" s="5"/>
      <c r="F11764" s="5"/>
      <c r="G11764" s="5"/>
      <c r="H11764" s="5"/>
      <c r="I11764" s="5"/>
      <c r="J11764" s="5"/>
      <c r="K11764" s="5"/>
      <c r="L11764" s="5"/>
      <c r="M11764" s="5"/>
      <c r="N11764" s="5"/>
      <c r="O11764" s="5"/>
      <c r="P11764" s="5"/>
      <c r="Q11764" s="5"/>
      <c r="R11764" s="5"/>
      <c r="S11764" s="5"/>
      <c r="T11764" s="5"/>
      <c r="U11764" s="5"/>
      <c r="V11764" s="5"/>
      <c r="W11764" s="5"/>
      <c r="X11764" s="5"/>
      <c r="Y11764" s="5"/>
      <c r="Z11764" s="5"/>
    </row>
    <row r="11765" spans="1:26" ht="15" x14ac:dyDescent="0.25">
      <c r="A11765" s="4" t="s">
        <v>11762</v>
      </c>
      <c r="B11765" s="4" t="s">
        <v>9011</v>
      </c>
      <c r="C11765" s="2" t="str">
        <f ca="1">IFERROR(__xludf.DUMMYFUNCTION("GOOGLETRANSLATE(A11765,""bn"",""en"")"),"Will post on Twitter")</f>
        <v>Will post on Twitter</v>
      </c>
      <c r="D11765" s="5"/>
      <c r="E11765" s="5"/>
      <c r="F11765" s="5"/>
      <c r="G11765" s="5"/>
      <c r="H11765" s="5"/>
      <c r="I11765" s="5"/>
      <c r="J11765" s="5"/>
      <c r="K11765" s="5"/>
      <c r="L11765" s="5"/>
      <c r="M11765" s="5"/>
      <c r="N11765" s="5"/>
      <c r="O11765" s="5"/>
      <c r="P11765" s="5"/>
      <c r="Q11765" s="5"/>
      <c r="R11765" s="5"/>
      <c r="S11765" s="5"/>
      <c r="T11765" s="5"/>
      <c r="U11765" s="5"/>
      <c r="V11765" s="5"/>
      <c r="W11765" s="5"/>
      <c r="X11765" s="5"/>
      <c r="Y11765" s="5"/>
      <c r="Z11765" s="5"/>
    </row>
    <row r="11766" spans="1:26" ht="15" x14ac:dyDescent="0.25">
      <c r="A11766" s="4" t="s">
        <v>11763</v>
      </c>
      <c r="B11766" s="4" t="s">
        <v>9011</v>
      </c>
      <c r="C11766" s="2" t="str">
        <f ca="1">IFERROR(__xludf.DUMMYFUNCTION("GOOGLETRANSLATE(A11766,""bn"",""en"")"),"I will deposit the money")</f>
        <v>I will deposit the money</v>
      </c>
      <c r="D11766" s="5"/>
      <c r="E11766" s="5"/>
      <c r="F11766" s="5"/>
      <c r="G11766" s="5"/>
      <c r="H11766" s="5"/>
      <c r="I11766" s="5"/>
      <c r="J11766" s="5"/>
      <c r="K11766" s="5"/>
      <c r="L11766" s="5"/>
      <c r="M11766" s="5"/>
      <c r="N11766" s="5"/>
      <c r="O11766" s="5"/>
      <c r="P11766" s="5"/>
      <c r="Q11766" s="5"/>
      <c r="R11766" s="5"/>
      <c r="S11766" s="5"/>
      <c r="T11766" s="5"/>
      <c r="U11766" s="5"/>
      <c r="V11766" s="5"/>
      <c r="W11766" s="5"/>
      <c r="X11766" s="5"/>
      <c r="Y11766" s="5"/>
      <c r="Z11766" s="5"/>
    </row>
    <row r="11767" spans="1:26" ht="15" x14ac:dyDescent="0.25">
      <c r="A11767" s="4" t="s">
        <v>11764</v>
      </c>
      <c r="B11767" s="4" t="s">
        <v>9011</v>
      </c>
      <c r="C11767" s="2" t="str">
        <f ca="1">IFERROR(__xludf.DUMMYFUNCTION("GOOGLETRANSLATE(A11767,""bn"",""en"")"),"The code will be config")</f>
        <v>The code will be config</v>
      </c>
      <c r="D11767" s="5"/>
      <c r="E11767" s="5"/>
      <c r="F11767" s="5"/>
      <c r="G11767" s="5"/>
      <c r="H11767" s="5"/>
      <c r="I11767" s="5"/>
      <c r="J11767" s="5"/>
      <c r="K11767" s="5"/>
      <c r="L11767" s="5"/>
      <c r="M11767" s="5"/>
      <c r="N11767" s="5"/>
      <c r="O11767" s="5"/>
      <c r="P11767" s="5"/>
      <c r="Q11767" s="5"/>
      <c r="R11767" s="5"/>
      <c r="S11767" s="5"/>
      <c r="T11767" s="5"/>
      <c r="U11767" s="5"/>
      <c r="V11767" s="5"/>
      <c r="W11767" s="5"/>
      <c r="X11767" s="5"/>
      <c r="Y11767" s="5"/>
      <c r="Z11767" s="5"/>
    </row>
    <row r="11768" spans="1:26" ht="15" x14ac:dyDescent="0.25">
      <c r="A11768" s="4" t="s">
        <v>11765</v>
      </c>
      <c r="B11768" s="4" t="s">
        <v>9011</v>
      </c>
      <c r="C11768" s="2" t="str">
        <f ca="1">IFERROR(__xludf.DUMMYFUNCTION("GOOGLETRANSLATE(A11768,""bn"",""en"")"),"The configuration will change")</f>
        <v>The configuration will change</v>
      </c>
      <c r="D11768" s="5"/>
      <c r="E11768" s="5"/>
      <c r="F11768" s="5"/>
      <c r="G11768" s="5"/>
      <c r="H11768" s="5"/>
      <c r="I11768" s="5"/>
      <c r="J11768" s="5"/>
      <c r="K11768" s="5"/>
      <c r="L11768" s="5"/>
      <c r="M11768" s="5"/>
      <c r="N11768" s="5"/>
      <c r="O11768" s="5"/>
      <c r="P11768" s="5"/>
      <c r="Q11768" s="5"/>
      <c r="R11768" s="5"/>
      <c r="S11768" s="5"/>
      <c r="T11768" s="5"/>
      <c r="U11768" s="5"/>
      <c r="V11768" s="5"/>
      <c r="W11768" s="5"/>
      <c r="X11768" s="5"/>
      <c r="Y11768" s="5"/>
      <c r="Z11768" s="5"/>
    </row>
    <row r="11769" spans="1:26" ht="15" x14ac:dyDescent="0.25">
      <c r="A11769" s="4" t="s">
        <v>11766</v>
      </c>
      <c r="B11769" s="4" t="s">
        <v>9011</v>
      </c>
      <c r="C11769" s="2" t="str">
        <f ca="1">IFERROR(__xludf.DUMMYFUNCTION("GOOGLETRANSLATE(A11769,""bn"",""en"")"),"I will continue to do the course")</f>
        <v>I will continue to do the course</v>
      </c>
      <c r="D11769" s="5"/>
      <c r="E11769" s="5"/>
      <c r="F11769" s="5"/>
      <c r="G11769" s="5"/>
      <c r="H11769" s="5"/>
      <c r="I11769" s="5"/>
      <c r="J11769" s="5"/>
      <c r="K11769" s="5"/>
      <c r="L11769" s="5"/>
      <c r="M11769" s="5"/>
      <c r="N11769" s="5"/>
      <c r="O11769" s="5"/>
      <c r="P11769" s="5"/>
      <c r="Q11769" s="5"/>
      <c r="R11769" s="5"/>
      <c r="S11769" s="5"/>
      <c r="T11769" s="5"/>
      <c r="U11769" s="5"/>
      <c r="V11769" s="5"/>
      <c r="W11769" s="5"/>
      <c r="X11769" s="5"/>
      <c r="Y11769" s="5"/>
      <c r="Z11769" s="5"/>
    </row>
    <row r="11770" spans="1:26" ht="15" x14ac:dyDescent="0.25">
      <c r="A11770" s="4" t="s">
        <v>11767</v>
      </c>
      <c r="B11770" s="4" t="s">
        <v>9011</v>
      </c>
      <c r="C11770" s="2" t="str">
        <f ca="1">IFERROR(__xludf.DUMMYFUNCTION("GOOGLETRANSLATE(A11770,""bn"",""en"")"),"The movie will be transferred")</f>
        <v>The movie will be transferred</v>
      </c>
      <c r="D11770" s="5"/>
      <c r="E11770" s="5"/>
      <c r="F11770" s="5"/>
      <c r="G11770" s="5"/>
      <c r="H11770" s="5"/>
      <c r="I11770" s="5"/>
      <c r="J11770" s="5"/>
      <c r="K11770" s="5"/>
      <c r="L11770" s="5"/>
      <c r="M11770" s="5"/>
      <c r="N11770" s="5"/>
      <c r="O11770" s="5"/>
      <c r="P11770" s="5"/>
      <c r="Q11770" s="5"/>
      <c r="R11770" s="5"/>
      <c r="S11770" s="5"/>
      <c r="T11770" s="5"/>
      <c r="U11770" s="5"/>
      <c r="V11770" s="5"/>
      <c r="W11770" s="5"/>
      <c r="X11770" s="5"/>
      <c r="Y11770" s="5"/>
      <c r="Z11770" s="5"/>
    </row>
    <row r="11771" spans="1:26" ht="15" x14ac:dyDescent="0.25">
      <c r="A11771" s="4" t="s">
        <v>11768</v>
      </c>
      <c r="B11771" s="4" t="s">
        <v>9011</v>
      </c>
      <c r="C11771" s="2" t="str">
        <f ca="1">IFERROR(__xludf.DUMMYFUNCTION("GOOGLETRANSLATE(A11771,""bn"",""en"")"),"The movie will be released")</f>
        <v>The movie will be released</v>
      </c>
      <c r="D11771" s="5"/>
      <c r="E11771" s="5"/>
      <c r="F11771" s="5"/>
      <c r="G11771" s="5"/>
      <c r="H11771" s="5"/>
      <c r="I11771" s="5"/>
      <c r="J11771" s="5"/>
      <c r="K11771" s="5"/>
      <c r="L11771" s="5"/>
      <c r="M11771" s="5"/>
      <c r="N11771" s="5"/>
      <c r="O11771" s="5"/>
      <c r="P11771" s="5"/>
      <c r="Q11771" s="5"/>
      <c r="R11771" s="5"/>
      <c r="S11771" s="5"/>
      <c r="T11771" s="5"/>
      <c r="U11771" s="5"/>
      <c r="V11771" s="5"/>
      <c r="W11771" s="5"/>
      <c r="X11771" s="5"/>
      <c r="Y11771" s="5"/>
      <c r="Z11771" s="5"/>
    </row>
    <row r="11772" spans="1:26" ht="15" x14ac:dyDescent="0.25">
      <c r="A11772" s="4" t="s">
        <v>11769</v>
      </c>
      <c r="B11772" s="4" t="s">
        <v>9011</v>
      </c>
      <c r="C11772" s="2" t="str">
        <f ca="1">IFERROR(__xludf.DUMMYFUNCTION("GOOGLETRANSLATE(A11772,""bn"",""en"")"),"There will be a meeting of the Prime Minister")</f>
        <v>There will be a meeting of the Prime Minister</v>
      </c>
      <c r="D11772" s="5"/>
      <c r="E11772" s="5"/>
      <c r="F11772" s="5"/>
      <c r="G11772" s="5"/>
      <c r="H11772" s="5"/>
      <c r="I11772" s="5"/>
      <c r="J11772" s="5"/>
      <c r="K11772" s="5"/>
      <c r="L11772" s="5"/>
      <c r="M11772" s="5"/>
      <c r="N11772" s="5"/>
      <c r="O11772" s="5"/>
      <c r="P11772" s="5"/>
      <c r="Q11772" s="5"/>
      <c r="R11772" s="5"/>
      <c r="S11772" s="5"/>
      <c r="T11772" s="5"/>
      <c r="U11772" s="5"/>
      <c r="V11772" s="5"/>
      <c r="W11772" s="5"/>
      <c r="X11772" s="5"/>
      <c r="Y11772" s="5"/>
      <c r="Z11772" s="5"/>
    </row>
    <row r="11773" spans="1:26" ht="15" x14ac:dyDescent="0.25">
      <c r="A11773" s="4" t="s">
        <v>11770</v>
      </c>
      <c r="B11773" s="4" t="s">
        <v>9011</v>
      </c>
      <c r="C11773" s="2" t="str">
        <f ca="1">IFERROR(__xludf.DUMMYFUNCTION("GOOGLETRANSLATE(A11773,""bn"",""en"")"),"The bank will ask for the account")</f>
        <v>The bank will ask for the account</v>
      </c>
      <c r="D11773" s="5"/>
      <c r="E11773" s="5"/>
      <c r="F11773" s="5"/>
      <c r="G11773" s="5"/>
      <c r="H11773" s="5"/>
      <c r="I11773" s="5"/>
      <c r="J11773" s="5"/>
      <c r="K11773" s="5"/>
      <c r="L11773" s="5"/>
      <c r="M11773" s="5"/>
      <c r="N11773" s="5"/>
      <c r="O11773" s="5"/>
      <c r="P11773" s="5"/>
      <c r="Q11773" s="5"/>
      <c r="R11773" s="5"/>
      <c r="S11773" s="5"/>
      <c r="T11773" s="5"/>
      <c r="U11773" s="5"/>
      <c r="V11773" s="5"/>
      <c r="W11773" s="5"/>
      <c r="X11773" s="5"/>
      <c r="Y11773" s="5"/>
      <c r="Z11773" s="5"/>
    </row>
    <row r="11774" spans="1:26" ht="15" x14ac:dyDescent="0.25">
      <c r="A11774" s="4" t="s">
        <v>11771</v>
      </c>
      <c r="B11774" s="4" t="s">
        <v>9011</v>
      </c>
      <c r="C11774" s="2" t="str">
        <f ca="1">IFERROR(__xludf.DUMMYFUNCTION("GOOGLETRANSLATE(A11774,""bn"",""en"")"),"Will talk against")</f>
        <v>Will talk against</v>
      </c>
      <c r="D11774" s="5"/>
      <c r="E11774" s="5"/>
      <c r="F11774" s="5"/>
      <c r="G11774" s="5"/>
      <c r="H11774" s="5"/>
      <c r="I11774" s="5"/>
      <c r="J11774" s="5"/>
      <c r="K11774" s="5"/>
      <c r="L11774" s="5"/>
      <c r="M11774" s="5"/>
      <c r="N11774" s="5"/>
      <c r="O11774" s="5"/>
      <c r="P11774" s="5"/>
      <c r="Q11774" s="5"/>
      <c r="R11774" s="5"/>
      <c r="S11774" s="5"/>
      <c r="T11774" s="5"/>
      <c r="U11774" s="5"/>
      <c r="V11774" s="5"/>
      <c r="W11774" s="5"/>
      <c r="X11774" s="5"/>
      <c r="Y11774" s="5"/>
      <c r="Z11774" s="5"/>
    </row>
    <row r="11775" spans="1:26" ht="15" x14ac:dyDescent="0.25">
      <c r="A11775" s="4" t="s">
        <v>11772</v>
      </c>
      <c r="B11775" s="4" t="s">
        <v>9011</v>
      </c>
      <c r="C11775" s="2" t="str">
        <f ca="1">IFERROR(__xludf.DUMMYFUNCTION("GOOGLETRANSLATE(A11775,""bn"",""en"")"),"I will use it well")</f>
        <v>I will use it well</v>
      </c>
      <c r="D11775" s="5"/>
      <c r="E11775" s="5"/>
      <c r="F11775" s="5"/>
      <c r="G11775" s="5"/>
      <c r="H11775" s="5"/>
      <c r="I11775" s="5"/>
      <c r="J11775" s="5"/>
      <c r="K11775" s="5"/>
      <c r="L11775" s="5"/>
      <c r="M11775" s="5"/>
      <c r="N11775" s="5"/>
      <c r="O11775" s="5"/>
      <c r="P11775" s="5"/>
      <c r="Q11775" s="5"/>
      <c r="R11775" s="5"/>
      <c r="S11775" s="5"/>
      <c r="T11775" s="5"/>
      <c r="U11775" s="5"/>
      <c r="V11775" s="5"/>
      <c r="W11775" s="5"/>
      <c r="X11775" s="5"/>
      <c r="Y11775" s="5"/>
      <c r="Z11775" s="5"/>
    </row>
    <row r="11776" spans="1:26" ht="15" x14ac:dyDescent="0.25">
      <c r="A11776" s="4" t="s">
        <v>11773</v>
      </c>
      <c r="B11776" s="4" t="s">
        <v>9011</v>
      </c>
      <c r="C11776" s="2" t="str">
        <f ca="1">IFERROR(__xludf.DUMMYFUNCTION("GOOGLETRANSLATE(A11776,""bn"",""en"")"),"Will keep looking for info")</f>
        <v>Will keep looking for info</v>
      </c>
      <c r="D11776" s="5"/>
      <c r="E11776" s="5"/>
      <c r="F11776" s="5"/>
      <c r="G11776" s="5"/>
      <c r="H11776" s="5"/>
      <c r="I11776" s="5"/>
      <c r="J11776" s="5"/>
      <c r="K11776" s="5"/>
      <c r="L11776" s="5"/>
      <c r="M11776" s="5"/>
      <c r="N11776" s="5"/>
      <c r="O11776" s="5"/>
      <c r="P11776" s="5"/>
      <c r="Q11776" s="5"/>
      <c r="R11776" s="5"/>
      <c r="S11776" s="5"/>
      <c r="T11776" s="5"/>
      <c r="U11776" s="5"/>
      <c r="V11776" s="5"/>
      <c r="W11776" s="5"/>
      <c r="X11776" s="5"/>
      <c r="Y11776" s="5"/>
      <c r="Z11776" s="5"/>
    </row>
    <row r="11777" spans="1:26" ht="15" x14ac:dyDescent="0.25">
      <c r="A11777" s="4" t="s">
        <v>11774</v>
      </c>
      <c r="B11777" s="4" t="s">
        <v>9011</v>
      </c>
      <c r="C11777" s="2" t="str">
        <f ca="1">IFERROR(__xludf.DUMMYFUNCTION("GOOGLETRANSLATE(A11777,""bn"",""en"")"),"I will be programming")</f>
        <v>I will be programming</v>
      </c>
      <c r="D11777" s="5"/>
      <c r="E11777" s="5"/>
      <c r="F11777" s="5"/>
      <c r="G11777" s="5"/>
      <c r="H11777" s="5"/>
      <c r="I11777" s="5"/>
      <c r="J11777" s="5"/>
      <c r="K11777" s="5"/>
      <c r="L11777" s="5"/>
      <c r="M11777" s="5"/>
      <c r="N11777" s="5"/>
      <c r="O11777" s="5"/>
      <c r="P11777" s="5"/>
      <c r="Q11777" s="5"/>
      <c r="R11777" s="5"/>
      <c r="S11777" s="5"/>
      <c r="T11777" s="5"/>
      <c r="U11777" s="5"/>
      <c r="V11777" s="5"/>
      <c r="W11777" s="5"/>
      <c r="X11777" s="5"/>
      <c r="Y11777" s="5"/>
      <c r="Z11777" s="5"/>
    </row>
    <row r="11778" spans="1:26" ht="15" x14ac:dyDescent="0.25">
      <c r="A11778" s="4" t="s">
        <v>11775</v>
      </c>
      <c r="B11778" s="4" t="s">
        <v>9011</v>
      </c>
      <c r="C11778" s="2" t="str">
        <f ca="1">IFERROR(__xludf.DUMMYFUNCTION("GOOGLETRANSLATE(A11778,""bn"",""en"")"),"He will buy on the computer")</f>
        <v>He will buy on the computer</v>
      </c>
      <c r="D11778" s="5"/>
      <c r="E11778" s="5"/>
      <c r="F11778" s="5"/>
      <c r="G11778" s="5"/>
      <c r="H11778" s="5"/>
      <c r="I11778" s="5"/>
      <c r="J11778" s="5"/>
      <c r="K11778" s="5"/>
      <c r="L11778" s="5"/>
      <c r="M11778" s="5"/>
      <c r="N11778" s="5"/>
      <c r="O11778" s="5"/>
      <c r="P11778" s="5"/>
      <c r="Q11778" s="5"/>
      <c r="R11778" s="5"/>
      <c r="S11778" s="5"/>
      <c r="T11778" s="5"/>
      <c r="U11778" s="5"/>
      <c r="V11778" s="5"/>
      <c r="W11778" s="5"/>
      <c r="X11778" s="5"/>
      <c r="Y11778" s="5"/>
      <c r="Z11778" s="5"/>
    </row>
    <row r="11779" spans="1:26" ht="15" x14ac:dyDescent="0.25">
      <c r="A11779" s="4" t="s">
        <v>11776</v>
      </c>
      <c r="B11779" s="4" t="s">
        <v>9011</v>
      </c>
      <c r="C11779" s="2" t="str">
        <f ca="1">IFERROR(__xludf.DUMMYFUNCTION("GOOGLETRANSLATE(A11779,""bn"",""en"")"),"He will read the Qur'an")</f>
        <v>He will read the Qur'an</v>
      </c>
      <c r="D11779" s="5"/>
      <c r="E11779" s="5"/>
      <c r="F11779" s="5"/>
      <c r="G11779" s="5"/>
      <c r="H11779" s="5"/>
      <c r="I11779" s="5"/>
      <c r="J11779" s="5"/>
      <c r="K11779" s="5"/>
      <c r="L11779" s="5"/>
      <c r="M11779" s="5"/>
      <c r="N11779" s="5"/>
      <c r="O11779" s="5"/>
      <c r="P11779" s="5"/>
      <c r="Q11779" s="5"/>
      <c r="R11779" s="5"/>
      <c r="S11779" s="5"/>
      <c r="T11779" s="5"/>
      <c r="U11779" s="5"/>
      <c r="V11779" s="5"/>
      <c r="W11779" s="5"/>
      <c r="X11779" s="5"/>
      <c r="Y11779" s="5"/>
      <c r="Z11779" s="5"/>
    </row>
    <row r="11780" spans="1:26" ht="15" x14ac:dyDescent="0.25">
      <c r="A11780" s="4" t="s">
        <v>11777</v>
      </c>
      <c r="B11780" s="4" t="s">
        <v>9011</v>
      </c>
      <c r="C11780" s="2" t="str">
        <f ca="1">IFERROR(__xludf.DUMMYFUNCTION("GOOGLETRANSLATE(A11780,""bn"",""en"")"),"Will continue to invest")</f>
        <v>Will continue to invest</v>
      </c>
      <c r="D11780" s="5"/>
      <c r="E11780" s="5"/>
      <c r="F11780" s="5"/>
      <c r="G11780" s="5"/>
      <c r="H11780" s="5"/>
      <c r="I11780" s="5"/>
      <c r="J11780" s="5"/>
      <c r="K11780" s="5"/>
      <c r="L11780" s="5"/>
      <c r="M11780" s="5"/>
      <c r="N11780" s="5"/>
      <c r="O11780" s="5"/>
      <c r="P11780" s="5"/>
      <c r="Q11780" s="5"/>
      <c r="R11780" s="5"/>
      <c r="S11780" s="5"/>
      <c r="T11780" s="5"/>
      <c r="U11780" s="5"/>
      <c r="V11780" s="5"/>
      <c r="W11780" s="5"/>
      <c r="X11780" s="5"/>
      <c r="Y11780" s="5"/>
      <c r="Z11780" s="5"/>
    </row>
    <row r="11781" spans="1:26" ht="15" x14ac:dyDescent="0.25">
      <c r="A11781" s="4" t="s">
        <v>11778</v>
      </c>
      <c r="B11781" s="4" t="s">
        <v>9011</v>
      </c>
      <c r="C11781" s="2" t="str">
        <f ca="1">IFERROR(__xludf.DUMMYFUNCTION("GOOGLETRANSLATE(A11781,""bn"",""en"")"),"The Qur'an will continue to be read")</f>
        <v>The Qur'an will continue to be read</v>
      </c>
      <c r="D11781" s="5"/>
      <c r="E11781" s="5"/>
      <c r="F11781" s="5"/>
      <c r="G11781" s="5"/>
      <c r="H11781" s="5"/>
      <c r="I11781" s="5"/>
      <c r="J11781" s="5"/>
      <c r="K11781" s="5"/>
      <c r="L11781" s="5"/>
      <c r="M11781" s="5"/>
      <c r="N11781" s="5"/>
      <c r="O11781" s="5"/>
      <c r="P11781" s="5"/>
      <c r="Q11781" s="5"/>
      <c r="R11781" s="5"/>
      <c r="S11781" s="5"/>
      <c r="T11781" s="5"/>
      <c r="U11781" s="5"/>
      <c r="V11781" s="5"/>
      <c r="W11781" s="5"/>
      <c r="X11781" s="5"/>
      <c r="Y11781" s="5"/>
      <c r="Z11781" s="5"/>
    </row>
    <row r="11782" spans="1:26" ht="15" x14ac:dyDescent="0.25">
      <c r="A11782" s="4" t="s">
        <v>11779</v>
      </c>
      <c r="B11782" s="4" t="s">
        <v>9011</v>
      </c>
      <c r="C11782" s="2" t="str">
        <f ca="1">IFERROR(__xludf.DUMMYFUNCTION("GOOGLETRANSLATE(A11782,""bn"",""en"")"),"The Prime Minister will meet")</f>
        <v>The Prime Minister will meet</v>
      </c>
      <c r="D11782" s="5"/>
      <c r="E11782" s="5"/>
      <c r="F11782" s="5"/>
      <c r="G11782" s="5"/>
      <c r="H11782" s="5"/>
      <c r="I11782" s="5"/>
      <c r="J11782" s="5"/>
      <c r="K11782" s="5"/>
      <c r="L11782" s="5"/>
      <c r="M11782" s="5"/>
      <c r="N11782" s="5"/>
      <c r="O11782" s="5"/>
      <c r="P11782" s="5"/>
      <c r="Q11782" s="5"/>
      <c r="R11782" s="5"/>
      <c r="S11782" s="5"/>
      <c r="T11782" s="5"/>
      <c r="U11782" s="5"/>
      <c r="V11782" s="5"/>
      <c r="W11782" s="5"/>
      <c r="X11782" s="5"/>
      <c r="Y11782" s="5"/>
      <c r="Z11782" s="5"/>
    </row>
    <row r="11783" spans="1:26" ht="15" x14ac:dyDescent="0.25">
      <c r="A11783" s="4" t="s">
        <v>11780</v>
      </c>
      <c r="B11783" s="4" t="s">
        <v>9011</v>
      </c>
      <c r="C11783" s="2" t="str">
        <f ca="1">IFERROR(__xludf.DUMMYFUNCTION("GOOGLETRANSLATE(A11783,""bn"",""en"")"),"Create design templates")</f>
        <v>Create design templates</v>
      </c>
      <c r="D11783" s="5"/>
      <c r="E11783" s="5"/>
      <c r="F11783" s="5"/>
      <c r="G11783" s="5"/>
      <c r="H11783" s="5"/>
      <c r="I11783" s="5"/>
      <c r="J11783" s="5"/>
      <c r="K11783" s="5"/>
      <c r="L11783" s="5"/>
      <c r="M11783" s="5"/>
      <c r="N11783" s="5"/>
      <c r="O11783" s="5"/>
      <c r="P11783" s="5"/>
      <c r="Q11783" s="5"/>
      <c r="R11783" s="5"/>
      <c r="S11783" s="5"/>
      <c r="T11783" s="5"/>
      <c r="U11783" s="5"/>
      <c r="V11783" s="5"/>
      <c r="W11783" s="5"/>
      <c r="X11783" s="5"/>
      <c r="Y11783" s="5"/>
      <c r="Z11783" s="5"/>
    </row>
    <row r="11784" spans="1:26" ht="15" x14ac:dyDescent="0.25">
      <c r="A11784" s="4" t="s">
        <v>11781</v>
      </c>
      <c r="B11784" s="4" t="s">
        <v>9011</v>
      </c>
      <c r="C11784" s="2" t="str">
        <f ca="1">IFERROR(__xludf.DUMMYFUNCTION("GOOGLETRANSLATE(A11784,""bn"",""en"")"),"I will update the portfolio")</f>
        <v>I will update the portfolio</v>
      </c>
      <c r="D11784" s="5"/>
      <c r="E11784" s="5"/>
      <c r="F11784" s="5"/>
      <c r="G11784" s="5"/>
      <c r="H11784" s="5"/>
      <c r="I11784" s="5"/>
      <c r="J11784" s="5"/>
      <c r="K11784" s="5"/>
      <c r="L11784" s="5"/>
      <c r="M11784" s="5"/>
      <c r="N11784" s="5"/>
      <c r="O11784" s="5"/>
      <c r="P11784" s="5"/>
      <c r="Q11784" s="5"/>
      <c r="R11784" s="5"/>
      <c r="S11784" s="5"/>
      <c r="T11784" s="5"/>
      <c r="U11784" s="5"/>
      <c r="V11784" s="5"/>
      <c r="W11784" s="5"/>
      <c r="X11784" s="5"/>
      <c r="Y11784" s="5"/>
      <c r="Z11784" s="5"/>
    </row>
    <row r="11785" spans="1:26" ht="15" x14ac:dyDescent="0.25">
      <c r="A11785" s="4" t="s">
        <v>11782</v>
      </c>
      <c r="B11785" s="4" t="s">
        <v>9011</v>
      </c>
      <c r="C11785" s="2" t="str">
        <f ca="1">IFERROR(__xludf.DUMMYFUNCTION("GOOGLETRANSLATE(A11785,""bn"",""en"")"),"I will join the job")</f>
        <v>I will join the job</v>
      </c>
      <c r="D11785" s="5"/>
      <c r="E11785" s="5"/>
      <c r="F11785" s="5"/>
      <c r="G11785" s="5"/>
      <c r="H11785" s="5"/>
      <c r="I11785" s="5"/>
      <c r="J11785" s="5"/>
      <c r="K11785" s="5"/>
      <c r="L11785" s="5"/>
      <c r="M11785" s="5"/>
      <c r="N11785" s="5"/>
      <c r="O11785" s="5"/>
      <c r="P11785" s="5"/>
      <c r="Q11785" s="5"/>
      <c r="R11785" s="5"/>
      <c r="S11785" s="5"/>
      <c r="T11785" s="5"/>
      <c r="U11785" s="5"/>
      <c r="V11785" s="5"/>
      <c r="W11785" s="5"/>
      <c r="X11785" s="5"/>
      <c r="Y11785" s="5"/>
      <c r="Z11785" s="5"/>
    </row>
    <row r="11786" spans="1:26" ht="15" x14ac:dyDescent="0.25">
      <c r="A11786" s="4" t="s">
        <v>11783</v>
      </c>
      <c r="B11786" s="4" t="s">
        <v>9011</v>
      </c>
      <c r="C11786" s="2" t="str">
        <f ca="1">IFERROR(__xludf.DUMMYFUNCTION("GOOGLETRANSLATE(A11786,""bn"",""en"")"),"you eat meat")</f>
        <v>you eat meat</v>
      </c>
      <c r="D11786" s="5"/>
      <c r="E11786" s="5"/>
      <c r="F11786" s="5"/>
      <c r="G11786" s="5"/>
      <c r="H11786" s="5"/>
      <c r="I11786" s="5"/>
      <c r="J11786" s="5"/>
      <c r="K11786" s="5"/>
      <c r="L11786" s="5"/>
      <c r="M11786" s="5"/>
      <c r="N11786" s="5"/>
      <c r="O11786" s="5"/>
      <c r="P11786" s="5"/>
      <c r="Q11786" s="5"/>
      <c r="R11786" s="5"/>
      <c r="S11786" s="5"/>
      <c r="T11786" s="5"/>
      <c r="U11786" s="5"/>
      <c r="V11786" s="5"/>
      <c r="W11786" s="5"/>
      <c r="X11786" s="5"/>
      <c r="Y11786" s="5"/>
      <c r="Z11786" s="5"/>
    </row>
    <row r="11787" spans="1:26" ht="15" x14ac:dyDescent="0.25">
      <c r="A11787" s="4" t="s">
        <v>11784</v>
      </c>
      <c r="B11787" s="4" t="s">
        <v>9011</v>
      </c>
      <c r="C11787" s="2" t="str">
        <f ca="1">IFERROR(__xludf.DUMMYFUNCTION("GOOGLETRANSLATE(A11787,""bn"",""en"")"),"He will blog")</f>
        <v>He will blog</v>
      </c>
      <c r="D11787" s="5"/>
      <c r="E11787" s="5"/>
      <c r="F11787" s="5"/>
      <c r="G11787" s="5"/>
      <c r="H11787" s="5"/>
      <c r="I11787" s="5"/>
      <c r="J11787" s="5"/>
      <c r="K11787" s="5"/>
      <c r="L11787" s="5"/>
      <c r="M11787" s="5"/>
      <c r="N11787" s="5"/>
      <c r="O11787" s="5"/>
      <c r="P11787" s="5"/>
      <c r="Q11787" s="5"/>
      <c r="R11787" s="5"/>
      <c r="S11787" s="5"/>
      <c r="T11787" s="5"/>
      <c r="U11787" s="5"/>
      <c r="V11787" s="5"/>
      <c r="W11787" s="5"/>
      <c r="X11787" s="5"/>
      <c r="Y11787" s="5"/>
      <c r="Z11787" s="5"/>
    </row>
    <row r="11788" spans="1:26" ht="15" x14ac:dyDescent="0.25">
      <c r="A11788" s="4" t="s">
        <v>11785</v>
      </c>
      <c r="B11788" s="4" t="s">
        <v>9011</v>
      </c>
      <c r="C11788" s="2" t="str">
        <f ca="1">IFERROR(__xludf.DUMMYFUNCTION("GOOGLETRANSLATE(A11788,""bn"",""en"")"),"Will exercise")</f>
        <v>Will exercise</v>
      </c>
      <c r="D11788" s="5"/>
      <c r="E11788" s="5"/>
      <c r="F11788" s="5"/>
      <c r="G11788" s="5"/>
      <c r="H11788" s="5"/>
      <c r="I11788" s="5"/>
      <c r="J11788" s="5"/>
      <c r="K11788" s="5"/>
      <c r="L11788" s="5"/>
      <c r="M11788" s="5"/>
      <c r="N11788" s="5"/>
      <c r="O11788" s="5"/>
      <c r="P11788" s="5"/>
      <c r="Q11788" s="5"/>
      <c r="R11788" s="5"/>
      <c r="S11788" s="5"/>
      <c r="T11788" s="5"/>
      <c r="U11788" s="5"/>
      <c r="V11788" s="5"/>
      <c r="W11788" s="5"/>
      <c r="X11788" s="5"/>
      <c r="Y11788" s="5"/>
      <c r="Z11788" s="5"/>
    </row>
    <row r="11789" spans="1:26" ht="15" x14ac:dyDescent="0.25">
      <c r="A11789" s="4" t="s">
        <v>11786</v>
      </c>
      <c r="B11789" s="4" t="s">
        <v>9011</v>
      </c>
      <c r="C11789" s="2" t="str">
        <f ca="1">IFERROR(__xludf.DUMMYFUNCTION("GOOGLETRANSLATE(A11789,""bn"",""en"")"),"I will design the database")</f>
        <v>I will design the database</v>
      </c>
      <c r="D11789" s="5"/>
      <c r="E11789" s="5"/>
      <c r="F11789" s="5"/>
      <c r="G11789" s="5"/>
      <c r="H11789" s="5"/>
      <c r="I11789" s="5"/>
      <c r="J11789" s="5"/>
      <c r="K11789" s="5"/>
      <c r="L11789" s="5"/>
      <c r="M11789" s="5"/>
      <c r="N11789" s="5"/>
      <c r="O11789" s="5"/>
      <c r="P11789" s="5"/>
      <c r="Q11789" s="5"/>
      <c r="R11789" s="5"/>
      <c r="S11789" s="5"/>
      <c r="T11789" s="5"/>
      <c r="U11789" s="5"/>
      <c r="V11789" s="5"/>
      <c r="W11789" s="5"/>
      <c r="X11789" s="5"/>
      <c r="Y11789" s="5"/>
      <c r="Z11789" s="5"/>
    </row>
    <row r="11790" spans="1:26" ht="15" x14ac:dyDescent="0.25">
      <c r="A11790" s="4" t="s">
        <v>11787</v>
      </c>
      <c r="B11790" s="4" t="s">
        <v>9011</v>
      </c>
      <c r="C11790" s="2" t="str">
        <f ca="1">IFERROR(__xludf.DUMMYFUNCTION("GOOGLETRANSLATE(A11790,""bn"",""en"")"),"I want to buy a camera")</f>
        <v>I want to buy a camera</v>
      </c>
      <c r="D11790" s="5"/>
      <c r="E11790" s="5"/>
      <c r="F11790" s="5"/>
      <c r="G11790" s="5"/>
      <c r="H11790" s="5"/>
      <c r="I11790" s="5"/>
      <c r="J11790" s="5"/>
      <c r="K11790" s="5"/>
      <c r="L11790" s="5"/>
      <c r="M11790" s="5"/>
      <c r="N11790" s="5"/>
      <c r="O11790" s="5"/>
      <c r="P11790" s="5"/>
      <c r="Q11790" s="5"/>
      <c r="R11790" s="5"/>
      <c r="S11790" s="5"/>
      <c r="T11790" s="5"/>
      <c r="U11790" s="5"/>
      <c r="V11790" s="5"/>
      <c r="W11790" s="5"/>
      <c r="X11790" s="5"/>
      <c r="Y11790" s="5"/>
      <c r="Z11790" s="5"/>
    </row>
    <row r="11791" spans="1:26" ht="15" x14ac:dyDescent="0.25">
      <c r="A11791" s="4" t="s">
        <v>11788</v>
      </c>
      <c r="B11791" s="4" t="s">
        <v>9011</v>
      </c>
      <c r="C11791" s="2" t="str">
        <f ca="1">IFERROR(__xludf.DUMMYFUNCTION("GOOGLETRANSLATE(A11791,""bn"",""en"")"),"You will make Malaikopta")</f>
        <v>You will make Malaikopta</v>
      </c>
      <c r="D11791" s="5"/>
      <c r="E11791" s="5"/>
      <c r="F11791" s="5"/>
      <c r="G11791" s="5"/>
      <c r="H11791" s="5"/>
      <c r="I11791" s="5"/>
      <c r="J11791" s="5"/>
      <c r="K11791" s="5"/>
      <c r="L11791" s="5"/>
      <c r="M11791" s="5"/>
      <c r="N11791" s="5"/>
      <c r="O11791" s="5"/>
      <c r="P11791" s="5"/>
      <c r="Q11791" s="5"/>
      <c r="R11791" s="5"/>
      <c r="S11791" s="5"/>
      <c r="T11791" s="5"/>
      <c r="U11791" s="5"/>
      <c r="V11791" s="5"/>
      <c r="W11791" s="5"/>
      <c r="X11791" s="5"/>
      <c r="Y11791" s="5"/>
      <c r="Z11791" s="5"/>
    </row>
    <row r="11792" spans="1:26" ht="15" x14ac:dyDescent="0.25">
      <c r="A11792" s="4" t="s">
        <v>11789</v>
      </c>
      <c r="B11792" s="4" t="s">
        <v>9011</v>
      </c>
      <c r="C11792" s="2" t="str">
        <f ca="1">IFERROR(__xludf.DUMMYFUNCTION("GOOGLETRANSLATE(A11792,""bn"",""en"")"),"Data will be encrypted")</f>
        <v>Data will be encrypted</v>
      </c>
      <c r="D11792" s="5"/>
      <c r="E11792" s="5"/>
      <c r="F11792" s="5"/>
      <c r="G11792" s="5"/>
      <c r="H11792" s="5"/>
      <c r="I11792" s="5"/>
      <c r="J11792" s="5"/>
      <c r="K11792" s="5"/>
      <c r="L11792" s="5"/>
      <c r="M11792" s="5"/>
      <c r="N11792" s="5"/>
      <c r="O11792" s="5"/>
      <c r="P11792" s="5"/>
      <c r="Q11792" s="5"/>
      <c r="R11792" s="5"/>
      <c r="S11792" s="5"/>
      <c r="T11792" s="5"/>
      <c r="U11792" s="5"/>
      <c r="V11792" s="5"/>
      <c r="W11792" s="5"/>
      <c r="X11792" s="5"/>
      <c r="Y11792" s="5"/>
      <c r="Z11792" s="5"/>
    </row>
    <row r="11793" spans="1:26" ht="15" x14ac:dyDescent="0.25">
      <c r="A11793" s="4" t="s">
        <v>11790</v>
      </c>
      <c r="B11793" s="4" t="s">
        <v>9011</v>
      </c>
      <c r="C11793" s="2" t="str">
        <f ca="1">IFERROR(__xludf.DUMMYFUNCTION("GOOGLETRANSLATE(A11793,""bn"",""en"")"),"I will order the ebook")</f>
        <v>I will order the ebook</v>
      </c>
      <c r="D11793" s="5"/>
      <c r="E11793" s="5"/>
      <c r="F11793" s="5"/>
      <c r="G11793" s="5"/>
      <c r="H11793" s="5"/>
      <c r="I11793" s="5"/>
      <c r="J11793" s="5"/>
      <c r="K11793" s="5"/>
      <c r="L11793" s="5"/>
      <c r="M11793" s="5"/>
      <c r="N11793" s="5"/>
      <c r="O11793" s="5"/>
      <c r="P11793" s="5"/>
      <c r="Q11793" s="5"/>
      <c r="R11793" s="5"/>
      <c r="S11793" s="5"/>
      <c r="T11793" s="5"/>
      <c r="U11793" s="5"/>
      <c r="V11793" s="5"/>
      <c r="W11793" s="5"/>
      <c r="X11793" s="5"/>
      <c r="Y11793" s="5"/>
      <c r="Z11793" s="5"/>
    </row>
    <row r="11794" spans="1:26" ht="15" x14ac:dyDescent="0.25">
      <c r="A11794" s="4" t="s">
        <v>11791</v>
      </c>
      <c r="B11794" s="4" t="s">
        <v>9011</v>
      </c>
      <c r="C11794" s="2" t="str">
        <f ca="1">IFERROR(__xludf.DUMMYFUNCTION("GOOGLETRANSLATE(A11794,""bn"",""en"")"),"Will it be rice?")</f>
        <v>Will it be rice?</v>
      </c>
      <c r="D11794" s="5"/>
      <c r="E11794" s="5"/>
      <c r="F11794" s="5"/>
      <c r="G11794" s="5"/>
      <c r="H11794" s="5"/>
      <c r="I11794" s="5"/>
      <c r="J11794" s="5"/>
      <c r="K11794" s="5"/>
      <c r="L11794" s="5"/>
      <c r="M11794" s="5"/>
      <c r="N11794" s="5"/>
      <c r="O11794" s="5"/>
      <c r="P11794" s="5"/>
      <c r="Q11794" s="5"/>
      <c r="R11794" s="5"/>
      <c r="S11794" s="5"/>
      <c r="T11794" s="5"/>
      <c r="U11794" s="5"/>
      <c r="V11794" s="5"/>
      <c r="W11794" s="5"/>
      <c r="X11794" s="5"/>
      <c r="Y11794" s="5"/>
      <c r="Z11794" s="5"/>
    </row>
    <row r="11795" spans="1:26" ht="15" x14ac:dyDescent="0.25">
      <c r="A11795" s="4" t="s">
        <v>11792</v>
      </c>
      <c r="B11795" s="4" t="s">
        <v>9011</v>
      </c>
      <c r="C11795" s="2" t="str">
        <f ca="1">IFERROR(__xludf.DUMMYFUNCTION("GOOGLETRANSLATE(A11795,""bn"",""en"")"),"The connection will be approved")</f>
        <v>The connection will be approved</v>
      </c>
      <c r="D11795" s="5"/>
      <c r="E11795" s="5"/>
      <c r="F11795" s="5"/>
      <c r="G11795" s="5"/>
      <c r="H11795" s="5"/>
      <c r="I11795" s="5"/>
      <c r="J11795" s="5"/>
      <c r="K11795" s="5"/>
      <c r="L11795" s="5"/>
      <c r="M11795" s="5"/>
      <c r="N11795" s="5"/>
      <c r="O11795" s="5"/>
      <c r="P11795" s="5"/>
      <c r="Q11795" s="5"/>
      <c r="R11795" s="5"/>
      <c r="S11795" s="5"/>
      <c r="T11795" s="5"/>
      <c r="U11795" s="5"/>
      <c r="V11795" s="5"/>
      <c r="W11795" s="5"/>
      <c r="X11795" s="5"/>
      <c r="Y11795" s="5"/>
      <c r="Z11795" s="5"/>
    </row>
    <row r="11796" spans="1:26" ht="15" x14ac:dyDescent="0.25">
      <c r="A11796" s="4" t="s">
        <v>11793</v>
      </c>
      <c r="B11796" s="4" t="s">
        <v>9011</v>
      </c>
      <c r="C11796" s="2" t="str">
        <f ca="1">IFERROR(__xludf.DUMMYFUNCTION("GOOGLETRANSLATE(A11796,""bn"",""en"")"),"I will keep talking")</f>
        <v>I will keep talking</v>
      </c>
      <c r="D11796" s="5"/>
      <c r="E11796" s="5"/>
      <c r="F11796" s="5"/>
      <c r="G11796" s="5"/>
      <c r="H11796" s="5"/>
      <c r="I11796" s="5"/>
      <c r="J11796" s="5"/>
      <c r="K11796" s="5"/>
      <c r="L11796" s="5"/>
      <c r="M11796" s="5"/>
      <c r="N11796" s="5"/>
      <c r="O11796" s="5"/>
      <c r="P11796" s="5"/>
      <c r="Q11796" s="5"/>
      <c r="R11796" s="5"/>
      <c r="S11796" s="5"/>
      <c r="T11796" s="5"/>
      <c r="U11796" s="5"/>
      <c r="V11796" s="5"/>
      <c r="W11796" s="5"/>
      <c r="X11796" s="5"/>
      <c r="Y11796" s="5"/>
      <c r="Z11796" s="5"/>
    </row>
    <row r="11797" spans="1:26" ht="15" x14ac:dyDescent="0.25">
      <c r="A11797" s="4" t="s">
        <v>11794</v>
      </c>
      <c r="B11797" s="4" t="s">
        <v>9011</v>
      </c>
      <c r="C11797" s="2" t="str">
        <f ca="1">IFERROR(__xludf.DUMMYFUNCTION("GOOGLETRANSLATE(A11797,""bn"",""en"")"),"Biomedical will develop")</f>
        <v>Biomedical will develop</v>
      </c>
      <c r="D11797" s="5"/>
      <c r="E11797" s="5"/>
      <c r="F11797" s="5"/>
      <c r="G11797" s="5"/>
      <c r="H11797" s="5"/>
      <c r="I11797" s="5"/>
      <c r="J11797" s="5"/>
      <c r="K11797" s="5"/>
      <c r="L11797" s="5"/>
      <c r="M11797" s="5"/>
      <c r="N11797" s="5"/>
      <c r="O11797" s="5"/>
      <c r="P11797" s="5"/>
      <c r="Q11797" s="5"/>
      <c r="R11797" s="5"/>
      <c r="S11797" s="5"/>
      <c r="T11797" s="5"/>
      <c r="U11797" s="5"/>
      <c r="V11797" s="5"/>
      <c r="W11797" s="5"/>
      <c r="X11797" s="5"/>
      <c r="Y11797" s="5"/>
      <c r="Z11797" s="5"/>
    </row>
    <row r="11798" spans="1:26" ht="15" x14ac:dyDescent="0.25">
      <c r="A11798" s="4" t="s">
        <v>11795</v>
      </c>
      <c r="B11798" s="4" t="s">
        <v>9011</v>
      </c>
      <c r="C11798" s="2" t="str">
        <f ca="1">IFERROR(__xludf.DUMMYFUNCTION("GOOGLETRANSLATE(A11798,""bn"",""en"")"),"There will be a tournament")</f>
        <v>There will be a tournament</v>
      </c>
      <c r="D11798" s="5"/>
      <c r="E11798" s="5"/>
      <c r="F11798" s="5"/>
      <c r="G11798" s="5"/>
      <c r="H11798" s="5"/>
      <c r="I11798" s="5"/>
      <c r="J11798" s="5"/>
      <c r="K11798" s="5"/>
      <c r="L11798" s="5"/>
      <c r="M11798" s="5"/>
      <c r="N11798" s="5"/>
      <c r="O11798" s="5"/>
      <c r="P11798" s="5"/>
      <c r="Q11798" s="5"/>
      <c r="R11798" s="5"/>
      <c r="S11798" s="5"/>
      <c r="T11798" s="5"/>
      <c r="U11798" s="5"/>
      <c r="V11798" s="5"/>
      <c r="W11798" s="5"/>
      <c r="X11798" s="5"/>
      <c r="Y11798" s="5"/>
      <c r="Z11798" s="5"/>
    </row>
    <row r="11799" spans="1:26" ht="15" x14ac:dyDescent="0.25">
      <c r="A11799" s="4" t="s">
        <v>11796</v>
      </c>
      <c r="B11799" s="4" t="s">
        <v>9011</v>
      </c>
      <c r="C11799" s="2" t="str">
        <f ca="1">IFERROR(__xludf.DUMMYFUNCTION("GOOGLETRANSLATE(A11799,""bn"",""en"")"),"I will watch different videos")</f>
        <v>I will watch different videos</v>
      </c>
      <c r="D11799" s="5"/>
      <c r="E11799" s="5"/>
      <c r="F11799" s="5"/>
      <c r="G11799" s="5"/>
      <c r="H11799" s="5"/>
      <c r="I11799" s="5"/>
      <c r="J11799" s="5"/>
      <c r="K11799" s="5"/>
      <c r="L11799" s="5"/>
      <c r="M11799" s="5"/>
      <c r="N11799" s="5"/>
      <c r="O11799" s="5"/>
      <c r="P11799" s="5"/>
      <c r="Q11799" s="5"/>
      <c r="R11799" s="5"/>
      <c r="S11799" s="5"/>
      <c r="T11799" s="5"/>
      <c r="U11799" s="5"/>
      <c r="V11799" s="5"/>
      <c r="W11799" s="5"/>
      <c r="X11799" s="5"/>
      <c r="Y11799" s="5"/>
      <c r="Z11799" s="5"/>
    </row>
    <row r="11800" spans="1:26" ht="15" x14ac:dyDescent="0.25">
      <c r="A11800" s="4" t="s">
        <v>11797</v>
      </c>
      <c r="B11800" s="4" t="s">
        <v>9011</v>
      </c>
      <c r="C11800" s="2" t="str">
        <f ca="1">IFERROR(__xludf.DUMMYFUNCTION("GOOGLETRANSLATE(A11800,""bn"",""en"")"),"The book will be written")</f>
        <v>The book will be written</v>
      </c>
      <c r="D11800" s="5"/>
      <c r="E11800" s="5"/>
      <c r="F11800" s="5"/>
      <c r="G11800" s="5"/>
      <c r="H11800" s="5"/>
      <c r="I11800" s="5"/>
      <c r="J11800" s="5"/>
      <c r="K11800" s="5"/>
      <c r="L11800" s="5"/>
      <c r="M11800" s="5"/>
      <c r="N11800" s="5"/>
      <c r="O11800" s="5"/>
      <c r="P11800" s="5"/>
      <c r="Q11800" s="5"/>
      <c r="R11800" s="5"/>
      <c r="S11800" s="5"/>
      <c r="T11800" s="5"/>
      <c r="U11800" s="5"/>
      <c r="V11800" s="5"/>
      <c r="W11800" s="5"/>
      <c r="X11800" s="5"/>
      <c r="Y11800" s="5"/>
      <c r="Z11800" s="5"/>
    </row>
    <row r="11801" spans="1:26" ht="15" x14ac:dyDescent="0.25">
      <c r="A11801" s="4" t="s">
        <v>11798</v>
      </c>
      <c r="B11801" s="4" t="s">
        <v>9011</v>
      </c>
      <c r="C11801" s="2" t="str">
        <f ca="1">IFERROR(__xludf.DUMMYFUNCTION("GOOGLETRANSLATE(A11801,""bn"",""en"")"),"I will count the money")</f>
        <v>I will count the money</v>
      </c>
      <c r="D11801" s="5"/>
      <c r="E11801" s="5"/>
      <c r="F11801" s="5"/>
      <c r="G11801" s="5"/>
      <c r="H11801" s="5"/>
      <c r="I11801" s="5"/>
      <c r="J11801" s="5"/>
      <c r="K11801" s="5"/>
      <c r="L11801" s="5"/>
      <c r="M11801" s="5"/>
      <c r="N11801" s="5"/>
      <c r="O11801" s="5"/>
      <c r="P11801" s="5"/>
      <c r="Q11801" s="5"/>
      <c r="R11801" s="5"/>
      <c r="S11801" s="5"/>
      <c r="T11801" s="5"/>
      <c r="U11801" s="5"/>
      <c r="V11801" s="5"/>
      <c r="W11801" s="5"/>
      <c r="X11801" s="5"/>
      <c r="Y11801" s="5"/>
      <c r="Z11801" s="5"/>
    </row>
    <row r="11802" spans="1:26" ht="15" x14ac:dyDescent="0.25">
      <c r="A11802" s="4" t="s">
        <v>11799</v>
      </c>
      <c r="B11802" s="4" t="s">
        <v>9011</v>
      </c>
      <c r="C11802" s="2" t="str">
        <f ca="1">IFERROR(__xludf.DUMMYFUNCTION("GOOGLETRANSLATE(A11802,""bn"",""en"")"),"Loans will increase")</f>
        <v>Loans will increase</v>
      </c>
      <c r="D11802" s="5"/>
      <c r="E11802" s="5"/>
      <c r="F11802" s="5"/>
      <c r="G11802" s="5"/>
      <c r="H11802" s="5"/>
      <c r="I11802" s="5"/>
      <c r="J11802" s="5"/>
      <c r="K11802" s="5"/>
      <c r="L11802" s="5"/>
      <c r="M11802" s="5"/>
      <c r="N11802" s="5"/>
      <c r="O11802" s="5"/>
      <c r="P11802" s="5"/>
      <c r="Q11802" s="5"/>
      <c r="R11802" s="5"/>
      <c r="S11802" s="5"/>
      <c r="T11802" s="5"/>
      <c r="U11802" s="5"/>
      <c r="V11802" s="5"/>
      <c r="W11802" s="5"/>
      <c r="X11802" s="5"/>
      <c r="Y11802" s="5"/>
      <c r="Z11802" s="5"/>
    </row>
    <row r="11803" spans="1:26" ht="15" x14ac:dyDescent="0.25">
      <c r="A11803" s="4" t="s">
        <v>11800</v>
      </c>
      <c r="B11803" s="4" t="s">
        <v>9011</v>
      </c>
      <c r="C11803" s="2" t="str">
        <f ca="1">IFERROR(__xludf.DUMMYFUNCTION("GOOGLETRANSLATE(A11803,""bn"",""en"")"),"I will take a computer class")</f>
        <v>I will take a computer class</v>
      </c>
      <c r="D11803" s="5"/>
      <c r="E11803" s="5"/>
      <c r="F11803" s="5"/>
      <c r="G11803" s="5"/>
      <c r="H11803" s="5"/>
      <c r="I11803" s="5"/>
      <c r="J11803" s="5"/>
      <c r="K11803" s="5"/>
      <c r="L11803" s="5"/>
      <c r="M11803" s="5"/>
      <c r="N11803" s="5"/>
      <c r="O11803" s="5"/>
      <c r="P11803" s="5"/>
      <c r="Q11803" s="5"/>
      <c r="R11803" s="5"/>
      <c r="S11803" s="5"/>
      <c r="T11803" s="5"/>
      <c r="U11803" s="5"/>
      <c r="V11803" s="5"/>
      <c r="W11803" s="5"/>
      <c r="X11803" s="5"/>
      <c r="Y11803" s="5"/>
      <c r="Z11803" s="5"/>
    </row>
    <row r="11804" spans="1:26" ht="15" x14ac:dyDescent="0.25">
      <c r="A11804" s="4" t="s">
        <v>11801</v>
      </c>
      <c r="B11804" s="4" t="s">
        <v>9011</v>
      </c>
      <c r="C11804" s="2" t="str">
        <f ca="1">IFERROR(__xludf.DUMMYFUNCTION("GOOGLETRANSLATE(A11804,""bn"",""en"")"),"I will learn networking")</f>
        <v>I will learn networking</v>
      </c>
      <c r="D11804" s="5"/>
      <c r="E11804" s="5"/>
      <c r="F11804" s="5"/>
      <c r="G11804" s="5"/>
      <c r="H11804" s="5"/>
      <c r="I11804" s="5"/>
      <c r="J11804" s="5"/>
      <c r="K11804" s="5"/>
      <c r="L11804" s="5"/>
      <c r="M11804" s="5"/>
      <c r="N11804" s="5"/>
      <c r="O11804" s="5"/>
      <c r="P11804" s="5"/>
      <c r="Q11804" s="5"/>
      <c r="R11804" s="5"/>
      <c r="S11804" s="5"/>
      <c r="T11804" s="5"/>
      <c r="U11804" s="5"/>
      <c r="V11804" s="5"/>
      <c r="W11804" s="5"/>
      <c r="X11804" s="5"/>
      <c r="Y11804" s="5"/>
      <c r="Z11804" s="5"/>
    </row>
    <row r="11805" spans="1:26" ht="15" x14ac:dyDescent="0.25">
      <c r="A11805" s="4" t="s">
        <v>11802</v>
      </c>
      <c r="B11805" s="4" t="s">
        <v>9011</v>
      </c>
      <c r="C11805" s="2" t="str">
        <f ca="1">IFERROR(__xludf.DUMMYFUNCTION("GOOGLETRANSLATE(A11805,""bn"",""en"")"),"Loan will be disbursed")</f>
        <v>Loan will be disbursed</v>
      </c>
      <c r="D11805" s="5"/>
      <c r="E11805" s="5"/>
      <c r="F11805" s="5"/>
      <c r="G11805" s="5"/>
      <c r="H11805" s="5"/>
      <c r="I11805" s="5"/>
      <c r="J11805" s="5"/>
      <c r="K11805" s="5"/>
      <c r="L11805" s="5"/>
      <c r="M11805" s="5"/>
      <c r="N11805" s="5"/>
      <c r="O11805" s="5"/>
      <c r="P11805" s="5"/>
      <c r="Q11805" s="5"/>
      <c r="R11805" s="5"/>
      <c r="S11805" s="5"/>
      <c r="T11805" s="5"/>
      <c r="U11805" s="5"/>
      <c r="V11805" s="5"/>
      <c r="W11805" s="5"/>
      <c r="X11805" s="5"/>
      <c r="Y11805" s="5"/>
      <c r="Z11805" s="5"/>
    </row>
    <row r="11806" spans="1:26" ht="15" x14ac:dyDescent="0.25">
      <c r="A11806" s="4" t="s">
        <v>11803</v>
      </c>
      <c r="B11806" s="4" t="s">
        <v>9011</v>
      </c>
      <c r="C11806" s="2" t="str">
        <f ca="1">IFERROR(__xludf.DUMMYFUNCTION("GOOGLETRANSLATE(A11806,""bn"",""en"")"),"He will eat biscuits")</f>
        <v>He will eat biscuits</v>
      </c>
      <c r="D11806" s="5"/>
      <c r="E11806" s="5"/>
      <c r="F11806" s="5"/>
      <c r="G11806" s="5"/>
      <c r="H11806" s="5"/>
      <c r="I11806" s="5"/>
      <c r="J11806" s="5"/>
      <c r="K11806" s="5"/>
      <c r="L11806" s="5"/>
      <c r="M11806" s="5"/>
      <c r="N11806" s="5"/>
      <c r="O11806" s="5"/>
      <c r="P11806" s="5"/>
      <c r="Q11806" s="5"/>
      <c r="R11806" s="5"/>
      <c r="S11806" s="5"/>
      <c r="T11806" s="5"/>
      <c r="U11806" s="5"/>
      <c r="V11806" s="5"/>
      <c r="W11806" s="5"/>
      <c r="X11806" s="5"/>
      <c r="Y11806" s="5"/>
      <c r="Z11806" s="5"/>
    </row>
    <row r="11807" spans="1:26" ht="15" x14ac:dyDescent="0.25">
      <c r="A11807" s="4" t="s">
        <v>11804</v>
      </c>
      <c r="B11807" s="4" t="s">
        <v>9011</v>
      </c>
      <c r="C11807" s="2" t="str">
        <f ca="1">IFERROR(__xludf.DUMMYFUNCTION("GOOGLETRANSLATE(A11807,""bn"",""en"")"),"Will have knowledge of technology")</f>
        <v>Will have knowledge of technology</v>
      </c>
      <c r="D11807" s="5"/>
      <c r="E11807" s="5"/>
      <c r="F11807" s="5"/>
      <c r="G11807" s="5"/>
      <c r="H11807" s="5"/>
      <c r="I11807" s="5"/>
      <c r="J11807" s="5"/>
      <c r="K11807" s="5"/>
      <c r="L11807" s="5"/>
      <c r="M11807" s="5"/>
      <c r="N11807" s="5"/>
      <c r="O11807" s="5"/>
      <c r="P11807" s="5"/>
      <c r="Q11807" s="5"/>
      <c r="R11807" s="5"/>
      <c r="S11807" s="5"/>
      <c r="T11807" s="5"/>
      <c r="U11807" s="5"/>
      <c r="V11807" s="5"/>
      <c r="W11807" s="5"/>
      <c r="X11807" s="5"/>
      <c r="Y11807" s="5"/>
      <c r="Z11807" s="5"/>
    </row>
    <row r="11808" spans="1:26" ht="15" x14ac:dyDescent="0.25">
      <c r="A11808" s="4" t="s">
        <v>11805</v>
      </c>
      <c r="B11808" s="4" t="s">
        <v>9011</v>
      </c>
      <c r="C11808" s="2" t="str">
        <f ca="1">IFERROR(__xludf.DUMMYFUNCTION("GOOGLETRANSLATE(A11808,""bn"",""en"")"),"I will continue to talk")</f>
        <v>I will continue to talk</v>
      </c>
      <c r="D11808" s="5"/>
      <c r="E11808" s="5"/>
      <c r="F11808" s="5"/>
      <c r="G11808" s="5"/>
      <c r="H11808" s="5"/>
      <c r="I11808" s="5"/>
      <c r="J11808" s="5"/>
      <c r="K11808" s="5"/>
      <c r="L11808" s="5"/>
      <c r="M11808" s="5"/>
      <c r="N11808" s="5"/>
      <c r="O11808" s="5"/>
      <c r="P11808" s="5"/>
      <c r="Q11808" s="5"/>
      <c r="R11808" s="5"/>
      <c r="S11808" s="5"/>
      <c r="T11808" s="5"/>
      <c r="U11808" s="5"/>
      <c r="V11808" s="5"/>
      <c r="W11808" s="5"/>
      <c r="X11808" s="5"/>
      <c r="Y11808" s="5"/>
      <c r="Z11808" s="5"/>
    </row>
    <row r="11809" spans="1:26" ht="15" x14ac:dyDescent="0.25">
      <c r="A11809" s="4" t="s">
        <v>11806</v>
      </c>
      <c r="B11809" s="4" t="s">
        <v>9011</v>
      </c>
      <c r="C11809" s="2" t="str">
        <f ca="1">IFERROR(__xludf.DUMMYFUNCTION("GOOGLETRANSLATE(A11809,""bn"",""en"")"),"The hero will appear in the film")</f>
        <v>The hero will appear in the film</v>
      </c>
      <c r="D11809" s="5"/>
      <c r="E11809" s="5"/>
      <c r="F11809" s="5"/>
      <c r="G11809" s="5"/>
      <c r="H11809" s="5"/>
      <c r="I11809" s="5"/>
      <c r="J11809" s="5"/>
      <c r="K11809" s="5"/>
      <c r="L11809" s="5"/>
      <c r="M11809" s="5"/>
      <c r="N11809" s="5"/>
      <c r="O11809" s="5"/>
      <c r="P11809" s="5"/>
      <c r="Q11809" s="5"/>
      <c r="R11809" s="5"/>
      <c r="S11809" s="5"/>
      <c r="T11809" s="5"/>
      <c r="U11809" s="5"/>
      <c r="V11809" s="5"/>
      <c r="W11809" s="5"/>
      <c r="X11809" s="5"/>
      <c r="Y11809" s="5"/>
      <c r="Z11809" s="5"/>
    </row>
    <row r="11810" spans="1:26" ht="15" x14ac:dyDescent="0.25">
      <c r="A11810" s="4" t="s">
        <v>11807</v>
      </c>
      <c r="B11810" s="4" t="s">
        <v>9011</v>
      </c>
      <c r="C11810" s="2" t="str">
        <f ca="1">IFERROR(__xludf.DUMMYFUNCTION("GOOGLETRANSLATE(A11810,""bn"",""en"")"),"I will get a computer prize")</f>
        <v>I will get a computer prize</v>
      </c>
      <c r="D11810" s="5"/>
      <c r="E11810" s="5"/>
      <c r="F11810" s="5"/>
      <c r="G11810" s="5"/>
      <c r="H11810" s="5"/>
      <c r="I11810" s="5"/>
      <c r="J11810" s="5"/>
      <c r="K11810" s="5"/>
      <c r="L11810" s="5"/>
      <c r="M11810" s="5"/>
      <c r="N11810" s="5"/>
      <c r="O11810" s="5"/>
      <c r="P11810" s="5"/>
      <c r="Q11810" s="5"/>
      <c r="R11810" s="5"/>
      <c r="S11810" s="5"/>
      <c r="T11810" s="5"/>
      <c r="U11810" s="5"/>
      <c r="V11810" s="5"/>
      <c r="W11810" s="5"/>
      <c r="X11810" s="5"/>
      <c r="Y11810" s="5"/>
      <c r="Z11810" s="5"/>
    </row>
    <row r="11811" spans="1:26" ht="15" x14ac:dyDescent="0.25">
      <c r="A11811" s="4" t="s">
        <v>11808</v>
      </c>
      <c r="B11811" s="4" t="s">
        <v>9011</v>
      </c>
      <c r="C11811" s="2" t="str">
        <f ca="1">IFERROR(__xludf.DUMMYFUNCTION("GOOGLETRANSLATE(A11811,""bn"",""en"")"),"Networking will work")</f>
        <v>Networking will work</v>
      </c>
      <c r="D11811" s="5"/>
      <c r="E11811" s="5"/>
      <c r="F11811" s="5"/>
      <c r="G11811" s="5"/>
      <c r="H11811" s="5"/>
      <c r="I11811" s="5"/>
      <c r="J11811" s="5"/>
      <c r="K11811" s="5"/>
      <c r="L11811" s="5"/>
      <c r="M11811" s="5"/>
      <c r="N11811" s="5"/>
      <c r="O11811" s="5"/>
      <c r="P11811" s="5"/>
      <c r="Q11811" s="5"/>
      <c r="R11811" s="5"/>
      <c r="S11811" s="5"/>
      <c r="T11811" s="5"/>
      <c r="U11811" s="5"/>
      <c r="V11811" s="5"/>
      <c r="W11811" s="5"/>
      <c r="X11811" s="5"/>
      <c r="Y11811" s="5"/>
      <c r="Z11811" s="5"/>
    </row>
    <row r="11812" spans="1:26" ht="15" x14ac:dyDescent="0.25">
      <c r="A11812" s="4" t="s">
        <v>11809</v>
      </c>
      <c r="B11812" s="4" t="s">
        <v>9011</v>
      </c>
      <c r="C11812" s="2" t="str">
        <f ca="1">IFERROR(__xludf.DUMMYFUNCTION("GOOGLETRANSLATE(A11812,""bn"",""en"")"),"Will eat chicken soup")</f>
        <v>Will eat chicken soup</v>
      </c>
      <c r="D11812" s="5"/>
      <c r="E11812" s="5"/>
      <c r="F11812" s="5"/>
      <c r="G11812" s="5"/>
      <c r="H11812" s="5"/>
      <c r="I11812" s="5"/>
      <c r="J11812" s="5"/>
      <c r="K11812" s="5"/>
      <c r="L11812" s="5"/>
      <c r="M11812" s="5"/>
      <c r="N11812" s="5"/>
      <c r="O11812" s="5"/>
      <c r="P11812" s="5"/>
      <c r="Q11812" s="5"/>
      <c r="R11812" s="5"/>
      <c r="S11812" s="5"/>
      <c r="T11812" s="5"/>
      <c r="U11812" s="5"/>
      <c r="V11812" s="5"/>
      <c r="W11812" s="5"/>
      <c r="X11812" s="5"/>
      <c r="Y11812" s="5"/>
      <c r="Z11812" s="5"/>
    </row>
    <row r="11813" spans="1:26" ht="15" x14ac:dyDescent="0.25">
      <c r="A11813" s="4" t="s">
        <v>11810</v>
      </c>
      <c r="B11813" s="4" t="s">
        <v>9011</v>
      </c>
      <c r="C11813" s="2" t="str">
        <f ca="1">IFERROR(__xludf.DUMMYFUNCTION("GOOGLETRANSLATE(A11813,""bn"",""en"")"),"Sister will study")</f>
        <v>Sister will study</v>
      </c>
      <c r="D11813" s="5"/>
      <c r="E11813" s="5"/>
      <c r="F11813" s="5"/>
      <c r="G11813" s="5"/>
      <c r="H11813" s="5"/>
      <c r="I11813" s="5"/>
      <c r="J11813" s="5"/>
      <c r="K11813" s="5"/>
      <c r="L11813" s="5"/>
      <c r="M11813" s="5"/>
      <c r="N11813" s="5"/>
      <c r="O11813" s="5"/>
      <c r="P11813" s="5"/>
      <c r="Q11813" s="5"/>
      <c r="R11813" s="5"/>
      <c r="S11813" s="5"/>
      <c r="T11813" s="5"/>
      <c r="U11813" s="5"/>
      <c r="V11813" s="5"/>
      <c r="W11813" s="5"/>
      <c r="X11813" s="5"/>
      <c r="Y11813" s="5"/>
      <c r="Z11813" s="5"/>
    </row>
    <row r="11814" spans="1:26" ht="15" x14ac:dyDescent="0.25">
      <c r="A11814" s="4" t="s">
        <v>11811</v>
      </c>
      <c r="B11814" s="4" t="s">
        <v>9011</v>
      </c>
      <c r="C11814" s="2" t="str">
        <f ca="1">IFERROR(__xludf.DUMMYFUNCTION("GOOGLETRANSLATE(A11814,""bn"",""en"")"),"Now I want the website")</f>
        <v>Now I want the website</v>
      </c>
      <c r="D11814" s="5"/>
      <c r="E11814" s="5"/>
      <c r="F11814" s="5"/>
      <c r="G11814" s="5"/>
      <c r="H11814" s="5"/>
      <c r="I11814" s="5"/>
      <c r="J11814" s="5"/>
      <c r="K11814" s="5"/>
      <c r="L11814" s="5"/>
      <c r="M11814" s="5"/>
      <c r="N11814" s="5"/>
      <c r="O11814" s="5"/>
      <c r="P11814" s="5"/>
      <c r="Q11814" s="5"/>
      <c r="R11814" s="5"/>
      <c r="S11814" s="5"/>
      <c r="T11814" s="5"/>
      <c r="U11814" s="5"/>
      <c r="V11814" s="5"/>
      <c r="W11814" s="5"/>
      <c r="X11814" s="5"/>
      <c r="Y11814" s="5"/>
      <c r="Z11814" s="5"/>
    </row>
    <row r="11815" spans="1:26" ht="15" x14ac:dyDescent="0.25">
      <c r="A11815" s="4" t="s">
        <v>11812</v>
      </c>
      <c r="B11815" s="4" t="s">
        <v>9011</v>
      </c>
      <c r="C11815" s="2" t="str">
        <f ca="1">IFERROR(__xludf.DUMMYFUNCTION("GOOGLETRANSLATE(A11815,""bn"",""en"")"),"you will shop")</f>
        <v>you will shop</v>
      </c>
      <c r="D11815" s="5"/>
      <c r="E11815" s="5"/>
      <c r="F11815" s="5"/>
      <c r="G11815" s="5"/>
      <c r="H11815" s="5"/>
      <c r="I11815" s="5"/>
      <c r="J11815" s="5"/>
      <c r="K11815" s="5"/>
      <c r="L11815" s="5"/>
      <c r="M11815" s="5"/>
      <c r="N11815" s="5"/>
      <c r="O11815" s="5"/>
      <c r="P11815" s="5"/>
      <c r="Q11815" s="5"/>
      <c r="R11815" s="5"/>
      <c r="S11815" s="5"/>
      <c r="T11815" s="5"/>
      <c r="U11815" s="5"/>
      <c r="V11815" s="5"/>
      <c r="W11815" s="5"/>
      <c r="X11815" s="5"/>
      <c r="Y11815" s="5"/>
      <c r="Z11815" s="5"/>
    </row>
    <row r="11816" spans="1:26" ht="15" x14ac:dyDescent="0.25">
      <c r="A11816" s="4" t="s">
        <v>11813</v>
      </c>
      <c r="B11816" s="4" t="s">
        <v>9011</v>
      </c>
      <c r="C11816" s="2" t="str">
        <f ca="1">IFERROR(__xludf.DUMMYFUNCTION("GOOGLETRANSLATE(A11816,""bn"",""en"")"),"Brokerage will be launched")</f>
        <v>Brokerage will be launched</v>
      </c>
      <c r="D11816" s="5"/>
      <c r="E11816" s="5"/>
      <c r="F11816" s="5"/>
      <c r="G11816" s="5"/>
      <c r="H11816" s="5"/>
      <c r="I11816" s="5"/>
      <c r="J11816" s="5"/>
      <c r="K11816" s="5"/>
      <c r="L11816" s="5"/>
      <c r="M11816" s="5"/>
      <c r="N11816" s="5"/>
      <c r="O11816" s="5"/>
      <c r="P11816" s="5"/>
      <c r="Q11816" s="5"/>
      <c r="R11816" s="5"/>
      <c r="S11816" s="5"/>
      <c r="T11816" s="5"/>
      <c r="U11816" s="5"/>
      <c r="V11816" s="5"/>
      <c r="W11816" s="5"/>
      <c r="X11816" s="5"/>
      <c r="Y11816" s="5"/>
      <c r="Z11816" s="5"/>
    </row>
    <row r="11817" spans="1:26" ht="15" x14ac:dyDescent="0.25">
      <c r="A11817" s="4" t="s">
        <v>11814</v>
      </c>
      <c r="B11817" s="4" t="s">
        <v>9011</v>
      </c>
      <c r="C11817" s="2" t="str">
        <f ca="1">IFERROR(__xludf.DUMMYFUNCTION("GOOGLETRANSLATE(A11817,""bn"",""en"")"),"Bangladesh will be digital")</f>
        <v>Bangladesh will be digital</v>
      </c>
      <c r="D11817" s="5"/>
      <c r="E11817" s="5"/>
      <c r="F11817" s="5"/>
      <c r="G11817" s="5"/>
      <c r="H11817" s="5"/>
      <c r="I11817" s="5"/>
      <c r="J11817" s="5"/>
      <c r="K11817" s="5"/>
      <c r="L11817" s="5"/>
      <c r="M11817" s="5"/>
      <c r="N11817" s="5"/>
      <c r="O11817" s="5"/>
      <c r="P11817" s="5"/>
      <c r="Q11817" s="5"/>
      <c r="R11817" s="5"/>
      <c r="S11817" s="5"/>
      <c r="T11817" s="5"/>
      <c r="U11817" s="5"/>
      <c r="V11817" s="5"/>
      <c r="W11817" s="5"/>
      <c r="X11817" s="5"/>
      <c r="Y11817" s="5"/>
      <c r="Z11817" s="5"/>
    </row>
    <row r="11818" spans="1:26" ht="15" x14ac:dyDescent="0.25">
      <c r="A11818" s="4" t="s">
        <v>11815</v>
      </c>
      <c r="B11818" s="4" t="s">
        <v>9011</v>
      </c>
      <c r="C11818" s="2" t="str">
        <f ca="1">IFERROR(__xludf.DUMMYFUNCTION("GOOGLETRANSLATE(A11818,""bn"",""en"")"),"don't waste time")</f>
        <v>don't waste time</v>
      </c>
      <c r="D11818" s="5"/>
      <c r="E11818" s="5"/>
      <c r="F11818" s="5"/>
      <c r="G11818" s="5"/>
      <c r="H11818" s="5"/>
      <c r="I11818" s="5"/>
      <c r="J11818" s="5"/>
      <c r="K11818" s="5"/>
      <c r="L11818" s="5"/>
      <c r="M11818" s="5"/>
      <c r="N11818" s="5"/>
      <c r="O11818" s="5"/>
      <c r="P11818" s="5"/>
      <c r="Q11818" s="5"/>
      <c r="R11818" s="5"/>
      <c r="S11818" s="5"/>
      <c r="T11818" s="5"/>
      <c r="U11818" s="5"/>
      <c r="V11818" s="5"/>
      <c r="W11818" s="5"/>
      <c r="X11818" s="5"/>
      <c r="Y11818" s="5"/>
      <c r="Z11818" s="5"/>
    </row>
    <row r="11819" spans="1:26" ht="15" x14ac:dyDescent="0.25">
      <c r="A11819" s="4" t="s">
        <v>11816</v>
      </c>
      <c r="B11819" s="4" t="s">
        <v>9011</v>
      </c>
      <c r="C11819" s="2" t="str">
        <f ca="1">IFERROR(__xludf.DUMMYFUNCTION("GOOGLETRANSLATE(A11819,""bn"",""en"")"),"Will like it")</f>
        <v>Will like it</v>
      </c>
      <c r="D11819" s="5"/>
      <c r="E11819" s="5"/>
      <c r="F11819" s="5"/>
      <c r="G11819" s="5"/>
      <c r="H11819" s="5"/>
      <c r="I11819" s="5"/>
      <c r="J11819" s="5"/>
      <c r="K11819" s="5"/>
      <c r="L11819" s="5"/>
      <c r="M11819" s="5"/>
      <c r="N11819" s="5"/>
      <c r="O11819" s="5"/>
      <c r="P11819" s="5"/>
      <c r="Q11819" s="5"/>
      <c r="R11819" s="5"/>
      <c r="S11819" s="5"/>
      <c r="T11819" s="5"/>
      <c r="U11819" s="5"/>
      <c r="V11819" s="5"/>
      <c r="W11819" s="5"/>
      <c r="X11819" s="5"/>
      <c r="Y11819" s="5"/>
      <c r="Z11819" s="5"/>
    </row>
    <row r="11820" spans="1:26" ht="15" x14ac:dyDescent="0.25">
      <c r="A11820" s="4" t="s">
        <v>11817</v>
      </c>
      <c r="B11820" s="4" t="s">
        <v>9011</v>
      </c>
      <c r="C11820" s="2" t="str">
        <f ca="1">IFERROR(__xludf.DUMMYFUNCTION("GOOGLETRANSLATE(A11820,""bn"",""en"")"),"Will continue to like")</f>
        <v>Will continue to like</v>
      </c>
      <c r="D11820" s="5"/>
      <c r="E11820" s="5"/>
      <c r="F11820" s="5"/>
      <c r="G11820" s="5"/>
      <c r="H11820" s="5"/>
      <c r="I11820" s="5"/>
      <c r="J11820" s="5"/>
      <c r="K11820" s="5"/>
      <c r="L11820" s="5"/>
      <c r="M11820" s="5"/>
      <c r="N11820" s="5"/>
      <c r="O11820" s="5"/>
      <c r="P11820" s="5"/>
      <c r="Q11820" s="5"/>
      <c r="R11820" s="5"/>
      <c r="S11820" s="5"/>
      <c r="T11820" s="5"/>
      <c r="U11820" s="5"/>
      <c r="V11820" s="5"/>
      <c r="W11820" s="5"/>
      <c r="X11820" s="5"/>
      <c r="Y11820" s="5"/>
      <c r="Z11820" s="5"/>
    </row>
    <row r="11821" spans="1:26" ht="15" x14ac:dyDescent="0.25">
      <c r="A11821" s="4" t="s">
        <v>11818</v>
      </c>
      <c r="B11821" s="4" t="s">
        <v>9011</v>
      </c>
      <c r="C11821" s="2" t="str">
        <f ca="1">IFERROR(__xludf.DUMMYFUNCTION("GOOGLETRANSLATE(A11821,""bn"",""en"")"),"I will continue to sing")</f>
        <v>I will continue to sing</v>
      </c>
      <c r="D11821" s="5"/>
      <c r="E11821" s="5"/>
      <c r="F11821" s="5"/>
      <c r="G11821" s="5"/>
      <c r="H11821" s="5"/>
      <c r="I11821" s="5"/>
      <c r="J11821" s="5"/>
      <c r="K11821" s="5"/>
      <c r="L11821" s="5"/>
      <c r="M11821" s="5"/>
      <c r="N11821" s="5"/>
      <c r="O11821" s="5"/>
      <c r="P11821" s="5"/>
      <c r="Q11821" s="5"/>
      <c r="R11821" s="5"/>
      <c r="S11821" s="5"/>
      <c r="T11821" s="5"/>
      <c r="U11821" s="5"/>
      <c r="V11821" s="5"/>
      <c r="W11821" s="5"/>
      <c r="X11821" s="5"/>
      <c r="Y11821" s="5"/>
      <c r="Z11821" s="5"/>
    </row>
    <row r="11822" spans="1:26" ht="15" x14ac:dyDescent="0.25">
      <c r="A11822" s="4" t="s">
        <v>11819</v>
      </c>
      <c r="B11822" s="4" t="s">
        <v>9011</v>
      </c>
      <c r="C11822" s="2" t="str">
        <f ca="1">IFERROR(__xludf.DUMMYFUNCTION("GOOGLETRANSLATE(A11822,""bn"",""en"")"),"Robots will be sold")</f>
        <v>Robots will be sold</v>
      </c>
      <c r="D11822" s="5"/>
      <c r="E11822" s="5"/>
      <c r="F11822" s="5"/>
      <c r="G11822" s="5"/>
      <c r="H11822" s="5"/>
      <c r="I11822" s="5"/>
      <c r="J11822" s="5"/>
      <c r="K11822" s="5"/>
      <c r="L11822" s="5"/>
      <c r="M11822" s="5"/>
      <c r="N11822" s="5"/>
      <c r="O11822" s="5"/>
      <c r="P11822" s="5"/>
      <c r="Q11822" s="5"/>
      <c r="R11822" s="5"/>
      <c r="S11822" s="5"/>
      <c r="T11822" s="5"/>
      <c r="U11822" s="5"/>
      <c r="V11822" s="5"/>
      <c r="W11822" s="5"/>
      <c r="X11822" s="5"/>
      <c r="Y11822" s="5"/>
      <c r="Z11822" s="5"/>
    </row>
    <row r="11823" spans="1:26" ht="15" x14ac:dyDescent="0.25">
      <c r="A11823" s="4" t="s">
        <v>11820</v>
      </c>
      <c r="B11823" s="4" t="s">
        <v>9011</v>
      </c>
      <c r="C11823" s="2" t="str">
        <f ca="1">IFERROR(__xludf.DUMMYFUNCTION("GOOGLETRANSLATE(A11823,""bn"",""en"")"),"Branding will begin")</f>
        <v>Branding will begin</v>
      </c>
      <c r="D11823" s="5"/>
      <c r="E11823" s="5"/>
      <c r="F11823" s="5"/>
      <c r="G11823" s="5"/>
      <c r="H11823" s="5"/>
      <c r="I11823" s="5"/>
      <c r="J11823" s="5"/>
      <c r="K11823" s="5"/>
      <c r="L11823" s="5"/>
      <c r="M11823" s="5"/>
      <c r="N11823" s="5"/>
      <c r="O11823" s="5"/>
      <c r="P11823" s="5"/>
      <c r="Q11823" s="5"/>
      <c r="R11823" s="5"/>
      <c r="S11823" s="5"/>
      <c r="T11823" s="5"/>
      <c r="U11823" s="5"/>
      <c r="V11823" s="5"/>
      <c r="W11823" s="5"/>
      <c r="X11823" s="5"/>
      <c r="Y11823" s="5"/>
      <c r="Z11823" s="5"/>
    </row>
    <row r="11824" spans="1:26" ht="15" x14ac:dyDescent="0.25">
      <c r="A11824" s="4" t="s">
        <v>11821</v>
      </c>
      <c r="B11824" s="4" t="s">
        <v>9011</v>
      </c>
      <c r="C11824" s="2" t="str">
        <f ca="1">IFERROR(__xludf.DUMMYFUNCTION("GOOGLETRANSLATE(A11824,""bn"",""en"")"),"I will continue to enjoy")</f>
        <v>I will continue to enjoy</v>
      </c>
      <c r="D11824" s="5"/>
      <c r="E11824" s="5"/>
      <c r="F11824" s="5"/>
      <c r="G11824" s="5"/>
      <c r="H11824" s="5"/>
      <c r="I11824" s="5"/>
      <c r="J11824" s="5"/>
      <c r="K11824" s="5"/>
      <c r="L11824" s="5"/>
      <c r="M11824" s="5"/>
      <c r="N11824" s="5"/>
      <c r="O11824" s="5"/>
      <c r="P11824" s="5"/>
      <c r="Q11824" s="5"/>
      <c r="R11824" s="5"/>
      <c r="S11824" s="5"/>
      <c r="T11824" s="5"/>
      <c r="U11824" s="5"/>
      <c r="V11824" s="5"/>
      <c r="W11824" s="5"/>
      <c r="X11824" s="5"/>
      <c r="Y11824" s="5"/>
      <c r="Z11824" s="5"/>
    </row>
    <row r="11825" spans="1:26" ht="15" x14ac:dyDescent="0.25">
      <c r="A11825" s="4" t="s">
        <v>11822</v>
      </c>
      <c r="B11825" s="4" t="s">
        <v>9011</v>
      </c>
      <c r="C11825" s="2" t="str">
        <f ca="1">IFERROR(__xludf.DUMMYFUNCTION("GOOGLETRANSLATE(A11825,""bn"",""en"")"),"I will continue to pray")</f>
        <v>I will continue to pray</v>
      </c>
      <c r="D11825" s="5"/>
      <c r="E11825" s="5"/>
      <c r="F11825" s="5"/>
      <c r="G11825" s="5"/>
      <c r="H11825" s="5"/>
      <c r="I11825" s="5"/>
      <c r="J11825" s="5"/>
      <c r="K11825" s="5"/>
      <c r="L11825" s="5"/>
      <c r="M11825" s="5"/>
      <c r="N11825" s="5"/>
      <c r="O11825" s="5"/>
      <c r="P11825" s="5"/>
      <c r="Q11825" s="5"/>
      <c r="R11825" s="5"/>
      <c r="S11825" s="5"/>
      <c r="T11825" s="5"/>
      <c r="U11825" s="5"/>
      <c r="V11825" s="5"/>
      <c r="W11825" s="5"/>
      <c r="X11825" s="5"/>
      <c r="Y11825" s="5"/>
      <c r="Z11825" s="5"/>
    </row>
    <row r="11826" spans="1:26" ht="15" x14ac:dyDescent="0.25">
      <c r="A11826" s="4" t="s">
        <v>11823</v>
      </c>
      <c r="B11826" s="4" t="s">
        <v>9011</v>
      </c>
      <c r="C11826" s="2" t="str">
        <f ca="1">IFERROR(__xludf.DUMMYFUNCTION("GOOGLETRANSLATE(A11826,""bn"",""en"")"),"You will have dessert")</f>
        <v>You will have dessert</v>
      </c>
      <c r="D11826" s="5"/>
      <c r="E11826" s="5"/>
      <c r="F11826" s="5"/>
      <c r="G11826" s="5"/>
      <c r="H11826" s="5"/>
      <c r="I11826" s="5"/>
      <c r="J11826" s="5"/>
      <c r="K11826" s="5"/>
      <c r="L11826" s="5"/>
      <c r="M11826" s="5"/>
      <c r="N11826" s="5"/>
      <c r="O11826" s="5"/>
      <c r="P11826" s="5"/>
      <c r="Q11826" s="5"/>
      <c r="R11826" s="5"/>
      <c r="S11826" s="5"/>
      <c r="T11826" s="5"/>
      <c r="U11826" s="5"/>
      <c r="V11826" s="5"/>
      <c r="W11826" s="5"/>
      <c r="X11826" s="5"/>
      <c r="Y11826" s="5"/>
      <c r="Z11826" s="5"/>
    </row>
    <row r="11827" spans="1:26" ht="15" x14ac:dyDescent="0.25">
      <c r="A11827" s="4" t="s">
        <v>11824</v>
      </c>
      <c r="B11827" s="4" t="s">
        <v>9011</v>
      </c>
      <c r="C11827" s="2" t="str">
        <f ca="1">IFERROR(__xludf.DUMMYFUNCTION("GOOGLETRANSLATE(A11827,""bn"",""en"")"),"I will go to Nepal")</f>
        <v>I will go to Nepal</v>
      </c>
      <c r="D11827" s="5"/>
      <c r="E11827" s="5"/>
      <c r="F11827" s="5"/>
      <c r="G11827" s="5"/>
      <c r="H11827" s="5"/>
      <c r="I11827" s="5"/>
      <c r="J11827" s="5"/>
      <c r="K11827" s="5"/>
      <c r="L11827" s="5"/>
      <c r="M11827" s="5"/>
      <c r="N11827" s="5"/>
      <c r="O11827" s="5"/>
      <c r="P11827" s="5"/>
      <c r="Q11827" s="5"/>
      <c r="R11827" s="5"/>
      <c r="S11827" s="5"/>
      <c r="T11827" s="5"/>
      <c r="U11827" s="5"/>
      <c r="V11827" s="5"/>
      <c r="W11827" s="5"/>
      <c r="X11827" s="5"/>
      <c r="Y11827" s="5"/>
      <c r="Z11827" s="5"/>
    </row>
    <row r="11828" spans="1:26" ht="15" x14ac:dyDescent="0.25">
      <c r="A11828" s="4" t="s">
        <v>11825</v>
      </c>
      <c r="B11828" s="4" t="s">
        <v>9011</v>
      </c>
      <c r="C11828" s="2" t="str">
        <f ca="1">IFERROR(__xludf.DUMMYFUNCTION("GOOGLETRANSLATE(A11828,""bn"",""en"")"),"There will be crops in the village")</f>
        <v>There will be crops in the village</v>
      </c>
      <c r="D11828" s="5"/>
      <c r="E11828" s="5"/>
      <c r="F11828" s="5"/>
      <c r="G11828" s="5"/>
      <c r="H11828" s="5"/>
      <c r="I11828" s="5"/>
      <c r="J11828" s="5"/>
      <c r="K11828" s="5"/>
      <c r="L11828" s="5"/>
      <c r="M11828" s="5"/>
      <c r="N11828" s="5"/>
      <c r="O11828" s="5"/>
      <c r="P11828" s="5"/>
      <c r="Q11828" s="5"/>
      <c r="R11828" s="5"/>
      <c r="S11828" s="5"/>
      <c r="T11828" s="5"/>
      <c r="U11828" s="5"/>
      <c r="V11828" s="5"/>
      <c r="W11828" s="5"/>
      <c r="X11828" s="5"/>
      <c r="Y11828" s="5"/>
      <c r="Z11828" s="5"/>
    </row>
    <row r="11829" spans="1:26" ht="15" x14ac:dyDescent="0.25">
      <c r="A11829" s="4" t="s">
        <v>11826</v>
      </c>
      <c r="B11829" s="4" t="s">
        <v>9011</v>
      </c>
      <c r="C11829" s="2" t="str">
        <f ca="1">IFERROR(__xludf.DUMMYFUNCTION("GOOGLETRANSLATE(A11829,""bn"",""en"")"),"I will continue to do politics")</f>
        <v>I will continue to do politics</v>
      </c>
      <c r="D11829" s="5"/>
      <c r="E11829" s="5"/>
      <c r="F11829" s="5"/>
      <c r="G11829" s="5"/>
      <c r="H11829" s="5"/>
      <c r="I11829" s="5"/>
      <c r="J11829" s="5"/>
      <c r="K11829" s="5"/>
      <c r="L11829" s="5"/>
      <c r="M11829" s="5"/>
      <c r="N11829" s="5"/>
      <c r="O11829" s="5"/>
      <c r="P11829" s="5"/>
      <c r="Q11829" s="5"/>
      <c r="R11829" s="5"/>
      <c r="S11829" s="5"/>
      <c r="T11829" s="5"/>
      <c r="U11829" s="5"/>
      <c r="V11829" s="5"/>
      <c r="W11829" s="5"/>
      <c r="X11829" s="5"/>
      <c r="Y11829" s="5"/>
      <c r="Z11829" s="5"/>
    </row>
    <row r="11830" spans="1:26" ht="15" x14ac:dyDescent="0.25">
      <c r="A11830" s="4" t="s">
        <v>11827</v>
      </c>
      <c r="B11830" s="4" t="s">
        <v>9011</v>
      </c>
      <c r="C11830" s="2" t="str">
        <f ca="1">IFERROR(__xludf.DUMMYFUNCTION("GOOGLETRANSLATE(A11830,""bn"",""en"")"),"The institution will be inaugurated")</f>
        <v>The institution will be inaugurated</v>
      </c>
      <c r="D11830" s="5"/>
      <c r="E11830" s="5"/>
      <c r="F11830" s="5"/>
      <c r="G11830" s="5"/>
      <c r="H11830" s="5"/>
      <c r="I11830" s="5"/>
      <c r="J11830" s="5"/>
      <c r="K11830" s="5"/>
      <c r="L11830" s="5"/>
      <c r="M11830" s="5"/>
      <c r="N11830" s="5"/>
      <c r="O11830" s="5"/>
      <c r="P11830" s="5"/>
      <c r="Q11830" s="5"/>
      <c r="R11830" s="5"/>
      <c r="S11830" s="5"/>
      <c r="T11830" s="5"/>
      <c r="U11830" s="5"/>
      <c r="V11830" s="5"/>
      <c r="W11830" s="5"/>
      <c r="X11830" s="5"/>
      <c r="Y11830" s="5"/>
      <c r="Z11830" s="5"/>
    </row>
    <row r="11831" spans="1:26" ht="15" x14ac:dyDescent="0.25">
      <c r="A11831" s="4" t="s">
        <v>11828</v>
      </c>
      <c r="B11831" s="4" t="s">
        <v>9011</v>
      </c>
      <c r="C11831" s="2" t="str">
        <f ca="1">IFERROR(__xludf.DUMMYFUNCTION("GOOGLETRANSLATE(A11831,""bn"",""en"")"),"I will eat chicken rolls")</f>
        <v>I will eat chicken rolls</v>
      </c>
      <c r="D11831" s="5"/>
      <c r="E11831" s="5"/>
      <c r="F11831" s="5"/>
      <c r="G11831" s="5"/>
      <c r="H11831" s="5"/>
      <c r="I11831" s="5"/>
      <c r="J11831" s="5"/>
      <c r="K11831" s="5"/>
      <c r="L11831" s="5"/>
      <c r="M11831" s="5"/>
      <c r="N11831" s="5"/>
      <c r="O11831" s="5"/>
      <c r="P11831" s="5"/>
      <c r="Q11831" s="5"/>
      <c r="R11831" s="5"/>
      <c r="S11831" s="5"/>
      <c r="T11831" s="5"/>
      <c r="U11831" s="5"/>
      <c r="V11831" s="5"/>
      <c r="W11831" s="5"/>
      <c r="X11831" s="5"/>
      <c r="Y11831" s="5"/>
      <c r="Z11831" s="5"/>
    </row>
    <row r="11832" spans="1:26" ht="15" x14ac:dyDescent="0.25">
      <c r="A11832" s="4" t="s">
        <v>11829</v>
      </c>
      <c r="B11832" s="4" t="s">
        <v>9011</v>
      </c>
      <c r="C11832" s="2" t="str">
        <f ca="1">IFERROR(__xludf.DUMMYFUNCTION("GOOGLETRANSLATE(A11832,""bn"",""en"")"),"I will go to a religious event")</f>
        <v>I will go to a religious event</v>
      </c>
      <c r="D11832" s="5"/>
      <c r="E11832" s="5"/>
      <c r="F11832" s="5"/>
      <c r="G11832" s="5"/>
      <c r="H11832" s="5"/>
      <c r="I11832" s="5"/>
      <c r="J11832" s="5"/>
      <c r="K11832" s="5"/>
      <c r="L11832" s="5"/>
      <c r="M11832" s="5"/>
      <c r="N11832" s="5"/>
      <c r="O11832" s="5"/>
      <c r="P11832" s="5"/>
      <c r="Q11832" s="5"/>
      <c r="R11832" s="5"/>
      <c r="S11832" s="5"/>
      <c r="T11832" s="5"/>
      <c r="U11832" s="5"/>
      <c r="V11832" s="5"/>
      <c r="W11832" s="5"/>
      <c r="X11832" s="5"/>
      <c r="Y11832" s="5"/>
      <c r="Z11832" s="5"/>
    </row>
    <row r="11833" spans="1:26" ht="15" x14ac:dyDescent="0.25">
      <c r="A11833" s="4" t="s">
        <v>11830</v>
      </c>
      <c r="B11833" s="4" t="s">
        <v>9011</v>
      </c>
      <c r="C11833" s="2" t="str">
        <f ca="1">IFERROR(__xludf.DUMMYFUNCTION("GOOGLETRANSLATE(A11833,""bn"",""en"")"),"I will buy books at the book fair")</f>
        <v>I will buy books at the book fair</v>
      </c>
      <c r="D11833" s="5"/>
      <c r="E11833" s="5"/>
      <c r="F11833" s="5"/>
      <c r="G11833" s="5"/>
      <c r="H11833" s="5"/>
      <c r="I11833" s="5"/>
      <c r="J11833" s="5"/>
      <c r="K11833" s="5"/>
      <c r="L11833" s="5"/>
      <c r="M11833" s="5"/>
      <c r="N11833" s="5"/>
      <c r="O11833" s="5"/>
      <c r="P11833" s="5"/>
      <c r="Q11833" s="5"/>
      <c r="R11833" s="5"/>
      <c r="S11833" s="5"/>
      <c r="T11833" s="5"/>
      <c r="U11833" s="5"/>
      <c r="V11833" s="5"/>
      <c r="W11833" s="5"/>
      <c r="X11833" s="5"/>
      <c r="Y11833" s="5"/>
      <c r="Z11833" s="5"/>
    </row>
    <row r="11834" spans="1:26" ht="15" x14ac:dyDescent="0.25">
      <c r="A11834" s="4" t="s">
        <v>11831</v>
      </c>
      <c r="B11834" s="4" t="s">
        <v>9011</v>
      </c>
      <c r="C11834" s="2" t="str">
        <f ca="1">IFERROR(__xludf.DUMMYFUNCTION("GOOGLETRANSLATE(A11834,""bn"",""en"")"),"There will be snow in Kanchenjunga")</f>
        <v>There will be snow in Kanchenjunga</v>
      </c>
      <c r="D11834" s="5"/>
      <c r="E11834" s="5"/>
      <c r="F11834" s="5"/>
      <c r="G11834" s="5"/>
      <c r="H11834" s="5"/>
      <c r="I11834" s="5"/>
      <c r="J11834" s="5"/>
      <c r="K11834" s="5"/>
      <c r="L11834" s="5"/>
      <c r="M11834" s="5"/>
      <c r="N11834" s="5"/>
      <c r="O11834" s="5"/>
      <c r="P11834" s="5"/>
      <c r="Q11834" s="5"/>
      <c r="R11834" s="5"/>
      <c r="S11834" s="5"/>
      <c r="T11834" s="5"/>
      <c r="U11834" s="5"/>
      <c r="V11834" s="5"/>
      <c r="W11834" s="5"/>
      <c r="X11834" s="5"/>
      <c r="Y11834" s="5"/>
      <c r="Z11834" s="5"/>
    </row>
    <row r="11835" spans="1:26" ht="15" x14ac:dyDescent="0.25">
      <c r="A11835" s="4" t="s">
        <v>11832</v>
      </c>
      <c r="B11835" s="4" t="s">
        <v>9011</v>
      </c>
      <c r="C11835" s="2" t="str">
        <f ca="1">IFERROR(__xludf.DUMMYFUNCTION("GOOGLETRANSLATE(A11835,""bn"",""en"")"),"I will continue to make the website")</f>
        <v>I will continue to make the website</v>
      </c>
      <c r="D11835" s="5"/>
      <c r="E11835" s="5"/>
      <c r="F11835" s="5"/>
      <c r="G11835" s="5"/>
      <c r="H11835" s="5"/>
      <c r="I11835" s="5"/>
      <c r="J11835" s="5"/>
      <c r="K11835" s="5"/>
      <c r="L11835" s="5"/>
      <c r="M11835" s="5"/>
      <c r="N11835" s="5"/>
      <c r="O11835" s="5"/>
      <c r="P11835" s="5"/>
      <c r="Q11835" s="5"/>
      <c r="R11835" s="5"/>
      <c r="S11835" s="5"/>
      <c r="T11835" s="5"/>
      <c r="U11835" s="5"/>
      <c r="V11835" s="5"/>
      <c r="W11835" s="5"/>
      <c r="X11835" s="5"/>
      <c r="Y11835" s="5"/>
      <c r="Z11835" s="5"/>
    </row>
    <row r="11836" spans="1:26" ht="15" x14ac:dyDescent="0.25">
      <c r="A11836" s="4" t="s">
        <v>11833</v>
      </c>
      <c r="B11836" s="4" t="s">
        <v>9011</v>
      </c>
      <c r="C11836" s="2" t="str">
        <f ca="1">IFERROR(__xludf.DUMMYFUNCTION("GOOGLETRANSLATE(A11836,""bn"",""en"")"),"I will continue to study")</f>
        <v>I will continue to study</v>
      </c>
      <c r="D11836" s="5"/>
      <c r="E11836" s="5"/>
      <c r="F11836" s="5"/>
      <c r="G11836" s="5"/>
      <c r="H11836" s="5"/>
      <c r="I11836" s="5"/>
      <c r="J11836" s="5"/>
      <c r="K11836" s="5"/>
      <c r="L11836" s="5"/>
      <c r="M11836" s="5"/>
      <c r="N11836" s="5"/>
      <c r="O11836" s="5"/>
      <c r="P11836" s="5"/>
      <c r="Q11836" s="5"/>
      <c r="R11836" s="5"/>
      <c r="S11836" s="5"/>
      <c r="T11836" s="5"/>
      <c r="U11836" s="5"/>
      <c r="V11836" s="5"/>
      <c r="W11836" s="5"/>
      <c r="X11836" s="5"/>
      <c r="Y11836" s="5"/>
      <c r="Z11836" s="5"/>
    </row>
    <row r="11837" spans="1:26" ht="15" x14ac:dyDescent="0.25">
      <c r="A11837" s="4" t="s">
        <v>11834</v>
      </c>
      <c r="B11837" s="4" t="s">
        <v>9011</v>
      </c>
      <c r="C11837" s="2" t="str">
        <f ca="1">IFERROR(__xludf.DUMMYFUNCTION("GOOGLETRANSLATE(A11837,""bn"",""en"")"),"I like cricket")</f>
        <v>I like cricket</v>
      </c>
      <c r="D11837" s="5"/>
      <c r="E11837" s="5"/>
      <c r="F11837" s="5"/>
      <c r="G11837" s="5"/>
      <c r="H11837" s="5"/>
      <c r="I11837" s="5"/>
      <c r="J11837" s="5"/>
      <c r="K11837" s="5"/>
      <c r="L11837" s="5"/>
      <c r="M11837" s="5"/>
      <c r="N11837" s="5"/>
      <c r="O11837" s="5"/>
      <c r="P11837" s="5"/>
      <c r="Q11837" s="5"/>
      <c r="R11837" s="5"/>
      <c r="S11837" s="5"/>
      <c r="T11837" s="5"/>
      <c r="U11837" s="5"/>
      <c r="V11837" s="5"/>
      <c r="W11837" s="5"/>
      <c r="X11837" s="5"/>
      <c r="Y11837" s="5"/>
      <c r="Z11837" s="5"/>
    </row>
    <row r="11838" spans="1:26" ht="15" x14ac:dyDescent="0.25">
      <c r="A11838" s="4" t="s">
        <v>11835</v>
      </c>
      <c r="B11838" s="4" t="s">
        <v>9011</v>
      </c>
      <c r="C11838" s="2" t="str">
        <f ca="1">IFERROR(__xludf.DUMMYFUNCTION("GOOGLETRANSLATE(A11838,""bn"",""en"")"),"The team will play swimming")</f>
        <v>The team will play swimming</v>
      </c>
      <c r="D11838" s="5"/>
      <c r="E11838" s="5"/>
      <c r="F11838" s="5"/>
      <c r="G11838" s="5"/>
      <c r="H11838" s="5"/>
      <c r="I11838" s="5"/>
      <c r="J11838" s="5"/>
      <c r="K11838" s="5"/>
      <c r="L11838" s="5"/>
      <c r="M11838" s="5"/>
      <c r="N11838" s="5"/>
      <c r="O11838" s="5"/>
      <c r="P11838" s="5"/>
      <c r="Q11838" s="5"/>
      <c r="R11838" s="5"/>
      <c r="S11838" s="5"/>
      <c r="T11838" s="5"/>
      <c r="U11838" s="5"/>
      <c r="V11838" s="5"/>
      <c r="W11838" s="5"/>
      <c r="X11838" s="5"/>
      <c r="Y11838" s="5"/>
      <c r="Z11838" s="5"/>
    </row>
    <row r="11839" spans="1:26" ht="15" x14ac:dyDescent="0.25">
      <c r="A11839" s="4" t="s">
        <v>11836</v>
      </c>
      <c r="B11839" s="4" t="s">
        <v>9011</v>
      </c>
      <c r="C11839" s="2" t="str">
        <f ca="1">IFERROR(__xludf.DUMMYFUNCTION("GOOGLETRANSLATE(A11839,""bn"",""en"")"),"I want to buy smart tv")</f>
        <v>I want to buy smart tv</v>
      </c>
      <c r="D11839" s="5"/>
      <c r="E11839" s="5"/>
      <c r="F11839" s="5"/>
      <c r="G11839" s="5"/>
      <c r="H11839" s="5"/>
      <c r="I11839" s="5"/>
      <c r="J11839" s="5"/>
      <c r="K11839" s="5"/>
      <c r="L11839" s="5"/>
      <c r="M11839" s="5"/>
      <c r="N11839" s="5"/>
      <c r="O11839" s="5"/>
      <c r="P11839" s="5"/>
      <c r="Q11839" s="5"/>
      <c r="R11839" s="5"/>
      <c r="S11839" s="5"/>
      <c r="T11839" s="5"/>
      <c r="U11839" s="5"/>
      <c r="V11839" s="5"/>
      <c r="W11839" s="5"/>
      <c r="X11839" s="5"/>
      <c r="Y11839" s="5"/>
      <c r="Z11839" s="5"/>
    </row>
    <row r="11840" spans="1:26" ht="15" x14ac:dyDescent="0.25">
      <c r="A11840" s="4" t="s">
        <v>11837</v>
      </c>
      <c r="B11840" s="4" t="s">
        <v>9011</v>
      </c>
      <c r="C11840" s="2" t="str">
        <f ca="1">IFERROR(__xludf.DUMMYFUNCTION("GOOGLETRANSLATE(A11840,""bn"",""en"")"),"Students will read the story")</f>
        <v>Students will read the story</v>
      </c>
      <c r="D11840" s="5"/>
      <c r="E11840" s="5"/>
      <c r="F11840" s="5"/>
      <c r="G11840" s="5"/>
      <c r="H11840" s="5"/>
      <c r="I11840" s="5"/>
      <c r="J11840" s="5"/>
      <c r="K11840" s="5"/>
      <c r="L11840" s="5"/>
      <c r="M11840" s="5"/>
      <c r="N11840" s="5"/>
      <c r="O11840" s="5"/>
      <c r="P11840" s="5"/>
      <c r="Q11840" s="5"/>
      <c r="R11840" s="5"/>
      <c r="S11840" s="5"/>
      <c r="T11840" s="5"/>
      <c r="U11840" s="5"/>
      <c r="V11840" s="5"/>
      <c r="W11840" s="5"/>
      <c r="X11840" s="5"/>
      <c r="Y11840" s="5"/>
      <c r="Z11840" s="5"/>
    </row>
    <row r="11841" spans="1:26" ht="15" x14ac:dyDescent="0.25">
      <c r="A11841" s="4" t="s">
        <v>11838</v>
      </c>
      <c r="B11841" s="4" t="s">
        <v>9011</v>
      </c>
      <c r="C11841" s="2" t="str">
        <f ca="1">IFERROR(__xludf.DUMMYFUNCTION("GOOGLETRANSLATE(A11841,""bn"",""en"")"),"I will use a smart watch")</f>
        <v>I will use a smart watch</v>
      </c>
      <c r="D11841" s="5"/>
      <c r="E11841" s="5"/>
      <c r="F11841" s="5"/>
      <c r="G11841" s="5"/>
      <c r="H11841" s="5"/>
      <c r="I11841" s="5"/>
      <c r="J11841" s="5"/>
      <c r="K11841" s="5"/>
      <c r="L11841" s="5"/>
      <c r="M11841" s="5"/>
      <c r="N11841" s="5"/>
      <c r="O11841" s="5"/>
      <c r="P11841" s="5"/>
      <c r="Q11841" s="5"/>
      <c r="R11841" s="5"/>
      <c r="S11841" s="5"/>
      <c r="T11841" s="5"/>
      <c r="U11841" s="5"/>
      <c r="V11841" s="5"/>
      <c r="W11841" s="5"/>
      <c r="X11841" s="5"/>
      <c r="Y11841" s="5"/>
      <c r="Z11841" s="5"/>
    </row>
    <row r="11842" spans="1:26" ht="15" x14ac:dyDescent="0.25">
      <c r="A11842" s="4" t="s">
        <v>11839</v>
      </c>
      <c r="B11842" s="4" t="s">
        <v>9011</v>
      </c>
      <c r="C11842" s="2" t="str">
        <f ca="1">IFERROR(__xludf.DUMMYFUNCTION("GOOGLETRANSLATE(A11842,""bn"",""en"")"),"Hadudu will be playing")</f>
        <v>Hadudu will be playing</v>
      </c>
      <c r="D11842" s="5"/>
      <c r="E11842" s="5"/>
      <c r="F11842" s="5"/>
      <c r="G11842" s="5"/>
      <c r="H11842" s="5"/>
      <c r="I11842" s="5"/>
      <c r="J11842" s="5"/>
      <c r="K11842" s="5"/>
      <c r="L11842" s="5"/>
      <c r="M11842" s="5"/>
      <c r="N11842" s="5"/>
      <c r="O11842" s="5"/>
      <c r="P11842" s="5"/>
      <c r="Q11842" s="5"/>
      <c r="R11842" s="5"/>
      <c r="S11842" s="5"/>
      <c r="T11842" s="5"/>
      <c r="U11842" s="5"/>
      <c r="V11842" s="5"/>
      <c r="W11842" s="5"/>
      <c r="X11842" s="5"/>
      <c r="Y11842" s="5"/>
      <c r="Z11842" s="5"/>
    </row>
    <row r="11843" spans="1:26" ht="15" x14ac:dyDescent="0.25">
      <c r="A11843" s="4" t="s">
        <v>11840</v>
      </c>
      <c r="B11843" s="4" t="s">
        <v>9011</v>
      </c>
      <c r="C11843" s="2" t="str">
        <f ca="1">IFERROR(__xludf.DUMMYFUNCTION("GOOGLETRANSLATE(A11843,""bn"",""en"")"),"You will hear the sound")</f>
        <v>You will hear the sound</v>
      </c>
      <c r="D11843" s="5"/>
      <c r="E11843" s="5"/>
      <c r="F11843" s="5"/>
      <c r="G11843" s="5"/>
      <c r="H11843" s="5"/>
      <c r="I11843" s="5"/>
      <c r="J11843" s="5"/>
      <c r="K11843" s="5"/>
      <c r="L11843" s="5"/>
      <c r="M11843" s="5"/>
      <c r="N11843" s="5"/>
      <c r="O11843" s="5"/>
      <c r="P11843" s="5"/>
      <c r="Q11843" s="5"/>
      <c r="R11843" s="5"/>
      <c r="S11843" s="5"/>
      <c r="T11843" s="5"/>
      <c r="U11843" s="5"/>
      <c r="V11843" s="5"/>
      <c r="W11843" s="5"/>
      <c r="X11843" s="5"/>
      <c r="Y11843" s="5"/>
      <c r="Z11843" s="5"/>
    </row>
    <row r="11844" spans="1:26" ht="15" x14ac:dyDescent="0.25">
      <c r="A11844" s="4" t="s">
        <v>11841</v>
      </c>
      <c r="B11844" s="4" t="s">
        <v>9011</v>
      </c>
      <c r="C11844" s="2" t="str">
        <f ca="1">IFERROR(__xludf.DUMMYFUNCTION("GOOGLETRANSLATE(A11844,""bn"",""en"")"),"There will be a lack of ions")</f>
        <v>There will be a lack of ions</v>
      </c>
      <c r="D11844" s="5"/>
      <c r="E11844" s="5"/>
      <c r="F11844" s="5"/>
      <c r="G11844" s="5"/>
      <c r="H11844" s="5"/>
      <c r="I11844" s="5"/>
      <c r="J11844" s="5"/>
      <c r="K11844" s="5"/>
      <c r="L11844" s="5"/>
      <c r="M11844" s="5"/>
      <c r="N11844" s="5"/>
      <c r="O11844" s="5"/>
      <c r="P11844" s="5"/>
      <c r="Q11844" s="5"/>
      <c r="R11844" s="5"/>
      <c r="S11844" s="5"/>
      <c r="T11844" s="5"/>
      <c r="U11844" s="5"/>
      <c r="V11844" s="5"/>
      <c r="W11844" s="5"/>
      <c r="X11844" s="5"/>
      <c r="Y11844" s="5"/>
      <c r="Z11844" s="5"/>
    </row>
    <row r="11845" spans="1:26" ht="15" x14ac:dyDescent="0.25">
      <c r="A11845" s="4" t="s">
        <v>11842</v>
      </c>
      <c r="B11845" s="4" t="s">
        <v>9011</v>
      </c>
      <c r="C11845" s="2" t="str">
        <f ca="1">IFERROR(__xludf.DUMMYFUNCTION("GOOGLETRANSLATE(A11845,""bn"",""en"")"),"I will read the news")</f>
        <v>I will read the news</v>
      </c>
      <c r="D11845" s="5"/>
      <c r="E11845" s="5"/>
      <c r="F11845" s="5"/>
      <c r="G11845" s="5"/>
      <c r="H11845" s="5"/>
      <c r="I11845" s="5"/>
      <c r="J11845" s="5"/>
      <c r="K11845" s="5"/>
      <c r="L11845" s="5"/>
      <c r="M11845" s="5"/>
      <c r="N11845" s="5"/>
      <c r="O11845" s="5"/>
      <c r="P11845" s="5"/>
      <c r="Q11845" s="5"/>
      <c r="R11845" s="5"/>
      <c r="S11845" s="5"/>
      <c r="T11845" s="5"/>
      <c r="U11845" s="5"/>
      <c r="V11845" s="5"/>
      <c r="W11845" s="5"/>
      <c r="X11845" s="5"/>
      <c r="Y11845" s="5"/>
      <c r="Z11845" s="5"/>
    </row>
    <row r="11846" spans="1:26" ht="15" x14ac:dyDescent="0.25">
      <c r="A11846" s="4" t="s">
        <v>11843</v>
      </c>
      <c r="B11846" s="4" t="s">
        <v>9011</v>
      </c>
      <c r="C11846" s="2" t="str">
        <f ca="1">IFERROR(__xludf.DUMMYFUNCTION("GOOGLETRANSLATE(A11846,""bn"",""en"")"),"I will exchange accounts")</f>
        <v>I will exchange accounts</v>
      </c>
      <c r="D11846" s="5"/>
      <c r="E11846" s="5"/>
      <c r="F11846" s="5"/>
      <c r="G11846" s="5"/>
      <c r="H11846" s="5"/>
      <c r="I11846" s="5"/>
      <c r="J11846" s="5"/>
      <c r="K11846" s="5"/>
      <c r="L11846" s="5"/>
      <c r="M11846" s="5"/>
      <c r="N11846" s="5"/>
      <c r="O11846" s="5"/>
      <c r="P11846" s="5"/>
      <c r="Q11846" s="5"/>
      <c r="R11846" s="5"/>
      <c r="S11846" s="5"/>
      <c r="T11846" s="5"/>
      <c r="U11846" s="5"/>
      <c r="V11846" s="5"/>
      <c r="W11846" s="5"/>
      <c r="X11846" s="5"/>
      <c r="Y11846" s="5"/>
      <c r="Z11846" s="5"/>
    </row>
    <row r="11847" spans="1:26" ht="15" x14ac:dyDescent="0.25">
      <c r="A11847" s="4" t="s">
        <v>11844</v>
      </c>
      <c r="B11847" s="4" t="s">
        <v>9011</v>
      </c>
      <c r="C11847" s="2" t="str">
        <f ca="1">IFERROR(__xludf.DUMMYFUNCTION("GOOGLETRANSLATE(A11847,""bn"",""en"")"),"I will continue to travel")</f>
        <v>I will continue to travel</v>
      </c>
      <c r="D11847" s="5"/>
      <c r="E11847" s="5"/>
      <c r="F11847" s="5"/>
      <c r="G11847" s="5"/>
      <c r="H11847" s="5"/>
      <c r="I11847" s="5"/>
      <c r="J11847" s="5"/>
      <c r="K11847" s="5"/>
      <c r="L11847" s="5"/>
      <c r="M11847" s="5"/>
      <c r="N11847" s="5"/>
      <c r="O11847" s="5"/>
      <c r="P11847" s="5"/>
      <c r="Q11847" s="5"/>
      <c r="R11847" s="5"/>
      <c r="S11847" s="5"/>
      <c r="T11847" s="5"/>
      <c r="U11847" s="5"/>
      <c r="V11847" s="5"/>
      <c r="W11847" s="5"/>
      <c r="X11847" s="5"/>
      <c r="Y11847" s="5"/>
      <c r="Z11847" s="5"/>
    </row>
    <row r="11848" spans="1:26" ht="15" x14ac:dyDescent="0.25">
      <c r="A11848" s="4" t="s">
        <v>11845</v>
      </c>
      <c r="B11848" s="4" t="s">
        <v>9011</v>
      </c>
      <c r="C11848" s="2" t="str">
        <f ca="1">IFERROR(__xludf.DUMMYFUNCTION("GOOGLETRANSLATE(A11848,""bn"",""en"")"),"Store data")</f>
        <v>Store data</v>
      </c>
      <c r="D11848" s="5"/>
      <c r="E11848" s="5"/>
      <c r="F11848" s="5"/>
      <c r="G11848" s="5"/>
      <c r="H11848" s="5"/>
      <c r="I11848" s="5"/>
      <c r="J11848" s="5"/>
      <c r="K11848" s="5"/>
      <c r="L11848" s="5"/>
      <c r="M11848" s="5"/>
      <c r="N11848" s="5"/>
      <c r="O11848" s="5"/>
      <c r="P11848" s="5"/>
      <c r="Q11848" s="5"/>
      <c r="R11848" s="5"/>
      <c r="S11848" s="5"/>
      <c r="T11848" s="5"/>
      <c r="U11848" s="5"/>
      <c r="V11848" s="5"/>
      <c r="W11848" s="5"/>
      <c r="X11848" s="5"/>
      <c r="Y11848" s="5"/>
      <c r="Z11848" s="5"/>
    </row>
    <row r="11849" spans="1:26" ht="15" x14ac:dyDescent="0.25">
      <c r="A11849" s="4" t="s">
        <v>11846</v>
      </c>
      <c r="B11849" s="4" t="s">
        <v>9011</v>
      </c>
      <c r="C11849" s="2" t="str">
        <f ca="1">IFERROR(__xludf.DUMMYFUNCTION("GOOGLETRANSLATE(A11849,""bn"",""en"")"),"I will form the government")</f>
        <v>I will form the government</v>
      </c>
      <c r="D11849" s="5"/>
      <c r="E11849" s="5"/>
      <c r="F11849" s="5"/>
      <c r="G11849" s="5"/>
      <c r="H11849" s="5"/>
      <c r="I11849" s="5"/>
      <c r="J11849" s="5"/>
      <c r="K11849" s="5"/>
      <c r="L11849" s="5"/>
      <c r="M11849" s="5"/>
      <c r="N11849" s="5"/>
      <c r="O11849" s="5"/>
      <c r="P11849" s="5"/>
      <c r="Q11849" s="5"/>
      <c r="R11849" s="5"/>
      <c r="S11849" s="5"/>
      <c r="T11849" s="5"/>
      <c r="U11849" s="5"/>
      <c r="V11849" s="5"/>
      <c r="W11849" s="5"/>
      <c r="X11849" s="5"/>
      <c r="Y11849" s="5"/>
      <c r="Z11849" s="5"/>
    </row>
    <row r="11850" spans="1:26" ht="15" x14ac:dyDescent="0.25">
      <c r="A11850" s="4" t="s">
        <v>11847</v>
      </c>
      <c r="B11850" s="4" t="s">
        <v>9011</v>
      </c>
      <c r="C11850" s="2" t="str">
        <f ca="1">IFERROR(__xludf.DUMMYFUNCTION("GOOGLETRANSLATE(A11850,""bn"",""en"")"),"There will be a movie competition")</f>
        <v>There will be a movie competition</v>
      </c>
      <c r="D11850" s="5"/>
      <c r="E11850" s="5"/>
      <c r="F11850" s="5"/>
      <c r="G11850" s="5"/>
      <c r="H11850" s="5"/>
      <c r="I11850" s="5"/>
      <c r="J11850" s="5"/>
      <c r="K11850" s="5"/>
      <c r="L11850" s="5"/>
      <c r="M11850" s="5"/>
      <c r="N11850" s="5"/>
      <c r="O11850" s="5"/>
      <c r="P11850" s="5"/>
      <c r="Q11850" s="5"/>
      <c r="R11850" s="5"/>
      <c r="S11850" s="5"/>
      <c r="T11850" s="5"/>
      <c r="U11850" s="5"/>
      <c r="V11850" s="5"/>
      <c r="W11850" s="5"/>
      <c r="X11850" s="5"/>
      <c r="Y11850" s="5"/>
      <c r="Z11850" s="5"/>
    </row>
    <row r="11851" spans="1:26" ht="15" x14ac:dyDescent="0.25">
      <c r="A11851" s="4" t="s">
        <v>11848</v>
      </c>
      <c r="B11851" s="4" t="s">
        <v>9011</v>
      </c>
      <c r="C11851" s="2" t="str">
        <f ca="1">IFERROR(__xludf.DUMMYFUNCTION("GOOGLETRANSLATE(A11851,""bn"",""en"")"),"I will use a smart watch")</f>
        <v>I will use a smart watch</v>
      </c>
      <c r="D11851" s="5"/>
      <c r="E11851" s="5"/>
      <c r="F11851" s="5"/>
      <c r="G11851" s="5"/>
      <c r="H11851" s="5"/>
      <c r="I11851" s="5"/>
      <c r="J11851" s="5"/>
      <c r="K11851" s="5"/>
      <c r="L11851" s="5"/>
      <c r="M11851" s="5"/>
      <c r="N11851" s="5"/>
      <c r="O11851" s="5"/>
      <c r="P11851" s="5"/>
      <c r="Q11851" s="5"/>
      <c r="R11851" s="5"/>
      <c r="S11851" s="5"/>
      <c r="T11851" s="5"/>
      <c r="U11851" s="5"/>
      <c r="V11851" s="5"/>
      <c r="W11851" s="5"/>
      <c r="X11851" s="5"/>
      <c r="Y11851" s="5"/>
      <c r="Z11851" s="5"/>
    </row>
    <row r="11852" spans="1:26" ht="15" x14ac:dyDescent="0.25">
      <c r="A11852" s="4" t="s">
        <v>11849</v>
      </c>
      <c r="B11852" s="4" t="s">
        <v>9011</v>
      </c>
      <c r="C11852" s="2" t="str">
        <f ca="1">IFERROR(__xludf.DUMMYFUNCTION("GOOGLETRANSLATE(A11852,""bn"",""en"")"),"He will be a traveller")</f>
        <v>He will be a traveller</v>
      </c>
      <c r="D11852" s="5"/>
      <c r="E11852" s="5"/>
      <c r="F11852" s="5"/>
      <c r="G11852" s="5"/>
      <c r="H11852" s="5"/>
      <c r="I11852" s="5"/>
      <c r="J11852" s="5"/>
      <c r="K11852" s="5"/>
      <c r="L11852" s="5"/>
      <c r="M11852" s="5"/>
      <c r="N11852" s="5"/>
      <c r="O11852" s="5"/>
      <c r="P11852" s="5"/>
      <c r="Q11852" s="5"/>
      <c r="R11852" s="5"/>
      <c r="S11852" s="5"/>
      <c r="T11852" s="5"/>
      <c r="U11852" s="5"/>
      <c r="V11852" s="5"/>
      <c r="W11852" s="5"/>
      <c r="X11852" s="5"/>
      <c r="Y11852" s="5"/>
      <c r="Z11852" s="5"/>
    </row>
    <row r="11853" spans="1:26" ht="15" x14ac:dyDescent="0.25">
      <c r="A11853" s="4" t="s">
        <v>11850</v>
      </c>
      <c r="B11853" s="4" t="s">
        <v>9011</v>
      </c>
      <c r="C11853" s="2" t="str">
        <f ca="1">IFERROR(__xludf.DUMMYFUNCTION("GOOGLETRANSLATE(A11853,""bn"",""en"")"),"Will always love football")</f>
        <v>Will always love football</v>
      </c>
      <c r="D11853" s="5"/>
      <c r="E11853" s="5"/>
      <c r="F11853" s="5"/>
      <c r="G11853" s="5"/>
      <c r="H11853" s="5"/>
      <c r="I11853" s="5"/>
      <c r="J11853" s="5"/>
      <c r="K11853" s="5"/>
      <c r="L11853" s="5"/>
      <c r="M11853" s="5"/>
      <c r="N11853" s="5"/>
      <c r="O11853" s="5"/>
      <c r="P11853" s="5"/>
      <c r="Q11853" s="5"/>
      <c r="R11853" s="5"/>
      <c r="S11853" s="5"/>
      <c r="T11853" s="5"/>
      <c r="U11853" s="5"/>
      <c r="V11853" s="5"/>
      <c r="W11853" s="5"/>
      <c r="X11853" s="5"/>
      <c r="Y11853" s="5"/>
      <c r="Z11853" s="5"/>
    </row>
    <row r="11854" spans="1:26" ht="15" x14ac:dyDescent="0.25">
      <c r="A11854" s="4" t="s">
        <v>11851</v>
      </c>
      <c r="B11854" s="4" t="s">
        <v>9011</v>
      </c>
      <c r="C11854" s="2" t="str">
        <f ca="1">IFERROR(__xludf.DUMMYFUNCTION("GOOGLETRANSLATE(A11854,""bn"",""en"")"),"I have to go to the bank")</f>
        <v>I have to go to the bank</v>
      </c>
      <c r="D11854" s="5"/>
      <c r="E11854" s="5"/>
      <c r="F11854" s="5"/>
      <c r="G11854" s="5"/>
      <c r="H11854" s="5"/>
      <c r="I11854" s="5"/>
      <c r="J11854" s="5"/>
      <c r="K11854" s="5"/>
      <c r="L11854" s="5"/>
      <c r="M11854" s="5"/>
      <c r="N11854" s="5"/>
      <c r="O11854" s="5"/>
      <c r="P11854" s="5"/>
      <c r="Q11854" s="5"/>
      <c r="R11854" s="5"/>
      <c r="S11854" s="5"/>
      <c r="T11854" s="5"/>
      <c r="U11854" s="5"/>
      <c r="V11854" s="5"/>
      <c r="W11854" s="5"/>
      <c r="X11854" s="5"/>
      <c r="Y11854" s="5"/>
      <c r="Z11854" s="5"/>
    </row>
    <row r="11855" spans="1:26" ht="15" x14ac:dyDescent="0.25">
      <c r="A11855" s="4" t="s">
        <v>11852</v>
      </c>
      <c r="B11855" s="4" t="s">
        <v>9011</v>
      </c>
      <c r="C11855" s="2" t="str">
        <f ca="1">IFERROR(__xludf.DUMMYFUNCTION("GOOGLETRANSLATE(A11855,""bn"",""en"")"),"Bangladesh will be riverine")</f>
        <v>Bangladesh will be riverine</v>
      </c>
      <c r="D11855" s="5"/>
      <c r="E11855" s="5"/>
      <c r="F11855" s="5"/>
      <c r="G11855" s="5"/>
      <c r="H11855" s="5"/>
      <c r="I11855" s="5"/>
      <c r="J11855" s="5"/>
      <c r="K11855" s="5"/>
      <c r="L11855" s="5"/>
      <c r="M11855" s="5"/>
      <c r="N11855" s="5"/>
      <c r="O11855" s="5"/>
      <c r="P11855" s="5"/>
      <c r="Q11855" s="5"/>
      <c r="R11855" s="5"/>
      <c r="S11855" s="5"/>
      <c r="T11855" s="5"/>
      <c r="U11855" s="5"/>
      <c r="V11855" s="5"/>
      <c r="W11855" s="5"/>
      <c r="X11855" s="5"/>
      <c r="Y11855" s="5"/>
      <c r="Z11855" s="5"/>
    </row>
    <row r="11856" spans="1:26" ht="15" x14ac:dyDescent="0.25">
      <c r="A11856" s="4" t="s">
        <v>11853</v>
      </c>
      <c r="B11856" s="4" t="s">
        <v>9011</v>
      </c>
      <c r="C11856" s="2" t="str">
        <f ca="1">IFERROR(__xludf.DUMMYFUNCTION("GOOGLETRANSLATE(A11856,""bn"",""en"")"),"The team will score")</f>
        <v>The team will score</v>
      </c>
      <c r="D11856" s="5"/>
      <c r="E11856" s="5"/>
      <c r="F11856" s="5"/>
      <c r="G11856" s="5"/>
      <c r="H11856" s="5"/>
      <c r="I11856" s="5"/>
      <c r="J11856" s="5"/>
      <c r="K11856" s="5"/>
      <c r="L11856" s="5"/>
      <c r="M11856" s="5"/>
      <c r="N11856" s="5"/>
      <c r="O11856" s="5"/>
      <c r="P11856" s="5"/>
      <c r="Q11856" s="5"/>
      <c r="R11856" s="5"/>
      <c r="S11856" s="5"/>
      <c r="T11856" s="5"/>
      <c r="U11856" s="5"/>
      <c r="V11856" s="5"/>
      <c r="W11856" s="5"/>
      <c r="X11856" s="5"/>
      <c r="Y11856" s="5"/>
      <c r="Z11856" s="5"/>
    </row>
    <row r="11857" spans="1:26" ht="15" x14ac:dyDescent="0.25">
      <c r="A11857" s="4" t="s">
        <v>11854</v>
      </c>
      <c r="B11857" s="4" t="s">
        <v>9011</v>
      </c>
      <c r="C11857" s="2" t="str">
        <f ca="1">IFERROR(__xludf.DUMMYFUNCTION("GOOGLETRANSLATE(A11857,""bn"",""en"")"),"Fishermen will sell fish")</f>
        <v>Fishermen will sell fish</v>
      </c>
      <c r="D11857" s="5"/>
      <c r="E11857" s="5"/>
      <c r="F11857" s="5"/>
      <c r="G11857" s="5"/>
      <c r="H11857" s="5"/>
      <c r="I11857" s="5"/>
      <c r="J11857" s="5"/>
      <c r="K11857" s="5"/>
      <c r="L11857" s="5"/>
      <c r="M11857" s="5"/>
      <c r="N11857" s="5"/>
      <c r="O11857" s="5"/>
      <c r="P11857" s="5"/>
      <c r="Q11857" s="5"/>
      <c r="R11857" s="5"/>
      <c r="S11857" s="5"/>
      <c r="T11857" s="5"/>
      <c r="U11857" s="5"/>
      <c r="V11857" s="5"/>
      <c r="W11857" s="5"/>
      <c r="X11857" s="5"/>
      <c r="Y11857" s="5"/>
      <c r="Z11857" s="5"/>
    </row>
    <row r="11858" spans="1:26" ht="15" x14ac:dyDescent="0.25">
      <c r="A11858" s="4" t="s">
        <v>11855</v>
      </c>
      <c r="B11858" s="4" t="s">
        <v>9011</v>
      </c>
      <c r="C11858" s="2" t="str">
        <f ca="1">IFERROR(__xludf.DUMMYFUNCTION("GOOGLETRANSLATE(A11858,""bn"",""en"")"),"I will continue to withdraw money")</f>
        <v>I will continue to withdraw money</v>
      </c>
      <c r="D11858" s="5"/>
      <c r="E11858" s="5"/>
      <c r="F11858" s="5"/>
      <c r="G11858" s="5"/>
      <c r="H11858" s="5"/>
      <c r="I11858" s="5"/>
      <c r="J11858" s="5"/>
      <c r="K11858" s="5"/>
      <c r="L11858" s="5"/>
      <c r="M11858" s="5"/>
      <c r="N11858" s="5"/>
      <c r="O11858" s="5"/>
      <c r="P11858" s="5"/>
      <c r="Q11858" s="5"/>
      <c r="R11858" s="5"/>
      <c r="S11858" s="5"/>
      <c r="T11858" s="5"/>
      <c r="U11858" s="5"/>
      <c r="V11858" s="5"/>
      <c r="W11858" s="5"/>
      <c r="X11858" s="5"/>
      <c r="Y11858" s="5"/>
      <c r="Z11858" s="5"/>
    </row>
    <row r="11859" spans="1:26" ht="15" x14ac:dyDescent="0.25">
      <c r="A11859" s="4" t="s">
        <v>11856</v>
      </c>
      <c r="B11859" s="4" t="s">
        <v>9011</v>
      </c>
      <c r="C11859" s="2" t="str">
        <f ca="1">IFERROR(__xludf.DUMMYFUNCTION("GOOGLETRANSLATE(A11859,""bn"",""en"")"),"The story will be read")</f>
        <v>The story will be read</v>
      </c>
      <c r="D11859" s="5"/>
      <c r="E11859" s="5"/>
      <c r="F11859" s="5"/>
      <c r="G11859" s="5"/>
      <c r="H11859" s="5"/>
      <c r="I11859" s="5"/>
      <c r="J11859" s="5"/>
      <c r="K11859" s="5"/>
      <c r="L11859" s="5"/>
      <c r="M11859" s="5"/>
      <c r="N11859" s="5"/>
      <c r="O11859" s="5"/>
      <c r="P11859" s="5"/>
      <c r="Q11859" s="5"/>
      <c r="R11859" s="5"/>
      <c r="S11859" s="5"/>
      <c r="T11859" s="5"/>
      <c r="U11859" s="5"/>
      <c r="V11859" s="5"/>
      <c r="W11859" s="5"/>
      <c r="X11859" s="5"/>
      <c r="Y11859" s="5"/>
      <c r="Z11859" s="5"/>
    </row>
    <row r="11860" spans="1:26" ht="15" x14ac:dyDescent="0.25">
      <c r="A11860" s="4" t="s">
        <v>11857</v>
      </c>
      <c r="B11860" s="4" t="s">
        <v>9011</v>
      </c>
      <c r="C11860" s="2" t="str">
        <f ca="1">IFERROR(__xludf.DUMMYFUNCTION("GOOGLETRANSLATE(A11860,""bn"",""en"")"),"Fishermen will catch fish")</f>
        <v>Fishermen will catch fish</v>
      </c>
      <c r="D11860" s="5"/>
      <c r="E11860" s="5"/>
      <c r="F11860" s="5"/>
      <c r="G11860" s="5"/>
      <c r="H11860" s="5"/>
      <c r="I11860" s="5"/>
      <c r="J11860" s="5"/>
      <c r="K11860" s="5"/>
      <c r="L11860" s="5"/>
      <c r="M11860" s="5"/>
      <c r="N11860" s="5"/>
      <c r="O11860" s="5"/>
      <c r="P11860" s="5"/>
      <c r="Q11860" s="5"/>
      <c r="R11860" s="5"/>
      <c r="S11860" s="5"/>
      <c r="T11860" s="5"/>
      <c r="U11860" s="5"/>
      <c r="V11860" s="5"/>
      <c r="W11860" s="5"/>
      <c r="X11860" s="5"/>
      <c r="Y11860" s="5"/>
      <c r="Z11860" s="5"/>
    </row>
    <row r="11861" spans="1:26" ht="15" x14ac:dyDescent="0.25">
      <c r="A11861" s="4" t="s">
        <v>11858</v>
      </c>
      <c r="B11861" s="4" t="s">
        <v>9011</v>
      </c>
      <c r="C11861" s="2" t="str">
        <f ca="1">IFERROR(__xludf.DUMMYFUNCTION("GOOGLETRANSLATE(A11861,""bn"",""en"")"),"The discussion will continue with the people")</f>
        <v>The discussion will continue with the people</v>
      </c>
      <c r="D11861" s="5"/>
      <c r="E11861" s="5"/>
      <c r="F11861" s="5"/>
      <c r="G11861" s="5"/>
      <c r="H11861" s="5"/>
      <c r="I11861" s="5"/>
      <c r="J11861" s="5"/>
      <c r="K11861" s="5"/>
      <c r="L11861" s="5"/>
      <c r="M11861" s="5"/>
      <c r="N11861" s="5"/>
      <c r="O11861" s="5"/>
      <c r="P11861" s="5"/>
      <c r="Q11861" s="5"/>
      <c r="R11861" s="5"/>
      <c r="S11861" s="5"/>
      <c r="T11861" s="5"/>
      <c r="U11861" s="5"/>
      <c r="V11861" s="5"/>
      <c r="W11861" s="5"/>
      <c r="X11861" s="5"/>
      <c r="Y11861" s="5"/>
      <c r="Z11861" s="5"/>
    </row>
    <row r="11862" spans="1:26" ht="15" x14ac:dyDescent="0.25">
      <c r="A11862" s="4" t="s">
        <v>11859</v>
      </c>
      <c r="B11862" s="4" t="s">
        <v>9011</v>
      </c>
      <c r="C11862" s="2" t="str">
        <f ca="1">IFERROR(__xludf.DUMMYFUNCTION("GOOGLETRANSLATE(A11862,""bn"",""en"")"),"I will continue to see the sea")</f>
        <v>I will continue to see the sea</v>
      </c>
      <c r="D11862" s="5"/>
      <c r="E11862" s="5"/>
      <c r="F11862" s="5"/>
      <c r="G11862" s="5"/>
      <c r="H11862" s="5"/>
      <c r="I11862" s="5"/>
      <c r="J11862" s="5"/>
      <c r="K11862" s="5"/>
      <c r="L11862" s="5"/>
      <c r="M11862" s="5"/>
      <c r="N11862" s="5"/>
      <c r="O11862" s="5"/>
      <c r="P11862" s="5"/>
      <c r="Q11862" s="5"/>
      <c r="R11862" s="5"/>
      <c r="S11862" s="5"/>
      <c r="T11862" s="5"/>
      <c r="U11862" s="5"/>
      <c r="V11862" s="5"/>
      <c r="W11862" s="5"/>
      <c r="X11862" s="5"/>
      <c r="Y11862" s="5"/>
      <c r="Z11862" s="5"/>
    </row>
    <row r="11863" spans="1:26" ht="15" x14ac:dyDescent="0.25">
      <c r="A11863" s="4" t="s">
        <v>11860</v>
      </c>
      <c r="B11863" s="4" t="s">
        <v>9011</v>
      </c>
      <c r="C11863" s="2" t="str">
        <f ca="1">IFERROR(__xludf.DUMMYFUNCTION("GOOGLETRANSLATE(A11863,""bn"",""en"")"),"Research will be expensive")</f>
        <v>Research will be expensive</v>
      </c>
      <c r="D11863" s="5"/>
      <c r="E11863" s="5"/>
      <c r="F11863" s="5"/>
      <c r="G11863" s="5"/>
      <c r="H11863" s="5"/>
      <c r="I11863" s="5"/>
      <c r="J11863" s="5"/>
      <c r="K11863" s="5"/>
      <c r="L11863" s="5"/>
      <c r="M11863" s="5"/>
      <c r="N11863" s="5"/>
      <c r="O11863" s="5"/>
      <c r="P11863" s="5"/>
      <c r="Q11863" s="5"/>
      <c r="R11863" s="5"/>
      <c r="S11863" s="5"/>
      <c r="T11863" s="5"/>
      <c r="U11863" s="5"/>
      <c r="V11863" s="5"/>
      <c r="W11863" s="5"/>
      <c r="X11863" s="5"/>
      <c r="Y11863" s="5"/>
      <c r="Z11863" s="5"/>
    </row>
    <row r="11864" spans="1:26" ht="15" x14ac:dyDescent="0.25">
      <c r="A11864" s="4" t="s">
        <v>11861</v>
      </c>
      <c r="B11864" s="4" t="s">
        <v>9011</v>
      </c>
      <c r="C11864" s="2" t="str">
        <f ca="1">IFERROR(__xludf.DUMMYFUNCTION("GOOGLETRANSLATE(A11864,""bn"",""en"")"),"I will write anger")</f>
        <v>I will write anger</v>
      </c>
      <c r="D11864" s="5"/>
      <c r="E11864" s="5"/>
      <c r="F11864" s="5"/>
      <c r="G11864" s="5"/>
      <c r="H11864" s="5"/>
      <c r="I11864" s="5"/>
      <c r="J11864" s="5"/>
      <c r="K11864" s="5"/>
      <c r="L11864" s="5"/>
      <c r="M11864" s="5"/>
      <c r="N11864" s="5"/>
      <c r="O11864" s="5"/>
      <c r="P11864" s="5"/>
      <c r="Q11864" s="5"/>
      <c r="R11864" s="5"/>
      <c r="S11864" s="5"/>
      <c r="T11864" s="5"/>
      <c r="U11864" s="5"/>
      <c r="V11864" s="5"/>
      <c r="W11864" s="5"/>
      <c r="X11864" s="5"/>
      <c r="Y11864" s="5"/>
      <c r="Z11864" s="5"/>
    </row>
    <row r="11865" spans="1:26" ht="15" x14ac:dyDescent="0.25">
      <c r="A11865" s="4" t="s">
        <v>11862</v>
      </c>
      <c r="B11865" s="4" t="s">
        <v>9011</v>
      </c>
      <c r="C11865" s="2" t="str">
        <f ca="1">IFERROR(__xludf.DUMMYFUNCTION("GOOGLETRANSLATE(A11865,""bn"",""en"")"),"I will update the account")</f>
        <v>I will update the account</v>
      </c>
      <c r="D11865" s="5"/>
      <c r="E11865" s="5"/>
      <c r="F11865" s="5"/>
      <c r="G11865" s="5"/>
      <c r="H11865" s="5"/>
      <c r="I11865" s="5"/>
      <c r="J11865" s="5"/>
      <c r="K11865" s="5"/>
      <c r="L11865" s="5"/>
      <c r="M11865" s="5"/>
      <c r="N11865" s="5"/>
      <c r="O11865" s="5"/>
      <c r="P11865" s="5"/>
      <c r="Q11865" s="5"/>
      <c r="R11865" s="5"/>
      <c r="S11865" s="5"/>
      <c r="T11865" s="5"/>
      <c r="U11865" s="5"/>
      <c r="V11865" s="5"/>
      <c r="W11865" s="5"/>
      <c r="X11865" s="5"/>
      <c r="Y11865" s="5"/>
      <c r="Z11865" s="5"/>
    </row>
    <row r="11866" spans="1:26" ht="15" x14ac:dyDescent="0.25">
      <c r="A11866" s="4" t="s">
        <v>11863</v>
      </c>
      <c r="B11866" s="4" t="s">
        <v>9011</v>
      </c>
      <c r="C11866" s="2" t="str">
        <f ca="1">IFERROR(__xludf.DUMMYFUNCTION("GOOGLETRANSLATE(A11866,""bn"",""en"")"),"I will go to the mountains")</f>
        <v>I will go to the mountains</v>
      </c>
      <c r="D11866" s="5"/>
      <c r="E11866" s="5"/>
      <c r="F11866" s="5"/>
      <c r="G11866" s="5"/>
      <c r="H11866" s="5"/>
      <c r="I11866" s="5"/>
      <c r="J11866" s="5"/>
      <c r="K11866" s="5"/>
      <c r="L11866" s="5"/>
      <c r="M11866" s="5"/>
      <c r="N11866" s="5"/>
      <c r="O11866" s="5"/>
      <c r="P11866" s="5"/>
      <c r="Q11866" s="5"/>
      <c r="R11866" s="5"/>
      <c r="S11866" s="5"/>
      <c r="T11866" s="5"/>
      <c r="U11866" s="5"/>
      <c r="V11866" s="5"/>
      <c r="W11866" s="5"/>
      <c r="X11866" s="5"/>
      <c r="Y11866" s="5"/>
      <c r="Z11866" s="5"/>
    </row>
    <row r="11867" spans="1:26" ht="15" x14ac:dyDescent="0.25">
      <c r="A11867" s="4" t="s">
        <v>11864</v>
      </c>
      <c r="B11867" s="4" t="s">
        <v>9011</v>
      </c>
      <c r="C11867" s="2" t="str">
        <f ca="1">IFERROR(__xludf.DUMMYFUNCTION("GOOGLETRANSLATE(A11867,""bn"",""en"")"),"I will take online classes")</f>
        <v>I will take online classes</v>
      </c>
      <c r="D11867" s="5"/>
      <c r="E11867" s="5"/>
      <c r="F11867" s="5"/>
      <c r="G11867" s="5"/>
      <c r="H11867" s="5"/>
      <c r="I11867" s="5"/>
      <c r="J11867" s="5"/>
      <c r="K11867" s="5"/>
      <c r="L11867" s="5"/>
      <c r="M11867" s="5"/>
      <c r="N11867" s="5"/>
      <c r="O11867" s="5"/>
      <c r="P11867" s="5"/>
      <c r="Q11867" s="5"/>
      <c r="R11867" s="5"/>
      <c r="S11867" s="5"/>
      <c r="T11867" s="5"/>
      <c r="U11867" s="5"/>
      <c r="V11867" s="5"/>
      <c r="W11867" s="5"/>
      <c r="X11867" s="5"/>
      <c r="Y11867" s="5"/>
      <c r="Z11867" s="5"/>
    </row>
    <row r="11868" spans="1:26" ht="15" x14ac:dyDescent="0.25">
      <c r="A11868" s="4" t="s">
        <v>11865</v>
      </c>
      <c r="B11868" s="4" t="s">
        <v>9011</v>
      </c>
      <c r="C11868" s="2" t="str">
        <f ca="1">IFERROR(__xludf.DUMMYFUNCTION("GOOGLETRANSLATE(A11868,""bn"",""en"")"),"I will read the novel")</f>
        <v>I will read the novel</v>
      </c>
      <c r="D11868" s="5"/>
      <c r="E11868" s="5"/>
      <c r="F11868" s="5"/>
      <c r="G11868" s="5"/>
      <c r="H11868" s="5"/>
      <c r="I11868" s="5"/>
      <c r="J11868" s="5"/>
      <c r="K11868" s="5"/>
      <c r="L11868" s="5"/>
      <c r="M11868" s="5"/>
      <c r="N11868" s="5"/>
      <c r="O11868" s="5"/>
      <c r="P11868" s="5"/>
      <c r="Q11868" s="5"/>
      <c r="R11868" s="5"/>
      <c r="S11868" s="5"/>
      <c r="T11868" s="5"/>
      <c r="U11868" s="5"/>
      <c r="V11868" s="5"/>
      <c r="W11868" s="5"/>
      <c r="X11868" s="5"/>
      <c r="Y11868" s="5"/>
      <c r="Z11868" s="5"/>
    </row>
    <row r="11869" spans="1:26" ht="15" x14ac:dyDescent="0.25">
      <c r="A11869" s="4" t="s">
        <v>11866</v>
      </c>
      <c r="B11869" s="4" t="s">
        <v>9011</v>
      </c>
      <c r="C11869" s="2" t="str">
        <f ca="1">IFERROR(__xludf.DUMMYFUNCTION("GOOGLETRANSLATE(A11869,""bn"",""en"")"),"Competition will be awarded")</f>
        <v>Competition will be awarded</v>
      </c>
      <c r="D11869" s="5"/>
      <c r="E11869" s="5"/>
      <c r="F11869" s="5"/>
      <c r="G11869" s="5"/>
      <c r="H11869" s="5"/>
      <c r="I11869" s="5"/>
      <c r="J11869" s="5"/>
      <c r="K11869" s="5"/>
      <c r="L11869" s="5"/>
      <c r="M11869" s="5"/>
      <c r="N11869" s="5"/>
      <c r="O11869" s="5"/>
      <c r="P11869" s="5"/>
      <c r="Q11869" s="5"/>
      <c r="R11869" s="5"/>
      <c r="S11869" s="5"/>
      <c r="T11869" s="5"/>
      <c r="U11869" s="5"/>
      <c r="V11869" s="5"/>
      <c r="W11869" s="5"/>
      <c r="X11869" s="5"/>
      <c r="Y11869" s="5"/>
      <c r="Z11869" s="5"/>
    </row>
    <row r="11870" spans="1:26" ht="15" x14ac:dyDescent="0.25">
      <c r="A11870" s="4" t="s">
        <v>11867</v>
      </c>
      <c r="B11870" s="4" t="s">
        <v>9011</v>
      </c>
      <c r="C11870" s="2" t="str">
        <f ca="1">IFERROR(__xludf.DUMMYFUNCTION("GOOGLETRANSLATE(A11870,""bn"",""en"")"),"I will vote effectively")</f>
        <v>I will vote effectively</v>
      </c>
      <c r="D11870" s="5"/>
      <c r="E11870" s="5"/>
      <c r="F11870" s="5"/>
      <c r="G11870" s="5"/>
      <c r="H11870" s="5"/>
      <c r="I11870" s="5"/>
      <c r="J11870" s="5"/>
      <c r="K11870" s="5"/>
      <c r="L11870" s="5"/>
      <c r="M11870" s="5"/>
      <c r="N11870" s="5"/>
      <c r="O11870" s="5"/>
      <c r="P11870" s="5"/>
      <c r="Q11870" s="5"/>
      <c r="R11870" s="5"/>
      <c r="S11870" s="5"/>
      <c r="T11870" s="5"/>
      <c r="U11870" s="5"/>
      <c r="V11870" s="5"/>
      <c r="W11870" s="5"/>
      <c r="X11870" s="5"/>
      <c r="Y11870" s="5"/>
      <c r="Z11870" s="5"/>
    </row>
    <row r="11871" spans="1:26" ht="15" x14ac:dyDescent="0.25">
      <c r="A11871" s="4" t="s">
        <v>11868</v>
      </c>
      <c r="B11871" s="4" t="s">
        <v>9011</v>
      </c>
      <c r="C11871" s="2" t="str">
        <f ca="1">IFERROR(__xludf.DUMMYFUNCTION("GOOGLETRANSLATE(A11871,""bn"",""en"")"),"I will teach Linux operating")</f>
        <v>I will teach Linux operating</v>
      </c>
      <c r="D11871" s="5"/>
      <c r="E11871" s="5"/>
      <c r="F11871" s="5"/>
      <c r="G11871" s="5"/>
      <c r="H11871" s="5"/>
      <c r="I11871" s="5"/>
      <c r="J11871" s="5"/>
      <c r="K11871" s="5"/>
      <c r="L11871" s="5"/>
      <c r="M11871" s="5"/>
      <c r="N11871" s="5"/>
      <c r="O11871" s="5"/>
      <c r="P11871" s="5"/>
      <c r="Q11871" s="5"/>
      <c r="R11871" s="5"/>
      <c r="S11871" s="5"/>
      <c r="T11871" s="5"/>
      <c r="U11871" s="5"/>
      <c r="V11871" s="5"/>
      <c r="W11871" s="5"/>
      <c r="X11871" s="5"/>
      <c r="Y11871" s="5"/>
      <c r="Z11871" s="5"/>
    </row>
    <row r="11872" spans="1:26" ht="15" x14ac:dyDescent="0.25">
      <c r="A11872" s="4" t="s">
        <v>11869</v>
      </c>
      <c r="B11872" s="4" t="s">
        <v>9011</v>
      </c>
      <c r="C11872" s="2" t="str">
        <f ca="1">IFERROR(__xludf.DUMMYFUNCTION("GOOGLETRANSLATE(A11872,""bn"",""en"")"),"Money will be withdrawn")</f>
        <v>Money will be withdrawn</v>
      </c>
      <c r="D11872" s="5"/>
      <c r="E11872" s="5"/>
      <c r="F11872" s="5"/>
      <c r="G11872" s="5"/>
      <c r="H11872" s="5"/>
      <c r="I11872" s="5"/>
      <c r="J11872" s="5"/>
      <c r="K11872" s="5"/>
      <c r="L11872" s="5"/>
      <c r="M11872" s="5"/>
      <c r="N11872" s="5"/>
      <c r="O11872" s="5"/>
      <c r="P11872" s="5"/>
      <c r="Q11872" s="5"/>
      <c r="R11872" s="5"/>
      <c r="S11872" s="5"/>
      <c r="T11872" s="5"/>
      <c r="U11872" s="5"/>
      <c r="V11872" s="5"/>
      <c r="W11872" s="5"/>
      <c r="X11872" s="5"/>
      <c r="Y11872" s="5"/>
      <c r="Z11872" s="5"/>
    </row>
    <row r="11873" spans="1:26" ht="15" x14ac:dyDescent="0.25">
      <c r="A11873" s="4" t="s">
        <v>11870</v>
      </c>
      <c r="B11873" s="4" t="s">
        <v>9011</v>
      </c>
      <c r="C11873" s="2" t="str">
        <f ca="1">IFERROR(__xludf.DUMMYFUNCTION("GOOGLETRANSLATE(A11873,""bn"",""en"")"),"I will use credit")</f>
        <v>I will use credit</v>
      </c>
      <c r="D11873" s="5"/>
      <c r="E11873" s="5"/>
      <c r="F11873" s="5"/>
      <c r="G11873" s="5"/>
      <c r="H11873" s="5"/>
      <c r="I11873" s="5"/>
      <c r="J11873" s="5"/>
      <c r="K11873" s="5"/>
      <c r="L11873" s="5"/>
      <c r="M11873" s="5"/>
      <c r="N11873" s="5"/>
      <c r="O11873" s="5"/>
      <c r="P11873" s="5"/>
      <c r="Q11873" s="5"/>
      <c r="R11873" s="5"/>
      <c r="S11873" s="5"/>
      <c r="T11873" s="5"/>
      <c r="U11873" s="5"/>
      <c r="V11873" s="5"/>
      <c r="W11873" s="5"/>
      <c r="X11873" s="5"/>
      <c r="Y11873" s="5"/>
      <c r="Z11873" s="5"/>
    </row>
    <row r="11874" spans="1:26" ht="15" x14ac:dyDescent="0.25">
      <c r="A11874" s="4" t="s">
        <v>11871</v>
      </c>
      <c r="B11874" s="4" t="s">
        <v>9011</v>
      </c>
      <c r="C11874" s="2" t="str">
        <f ca="1">IFERROR(__xludf.DUMMYFUNCTION("GOOGLETRANSLATE(A11874,""bn"",""en"")"),"I will continue to design")</f>
        <v>I will continue to design</v>
      </c>
      <c r="D11874" s="5"/>
      <c r="E11874" s="5"/>
      <c r="F11874" s="5"/>
      <c r="G11874" s="5"/>
      <c r="H11874" s="5"/>
      <c r="I11874" s="5"/>
      <c r="J11874" s="5"/>
      <c r="K11874" s="5"/>
      <c r="L11874" s="5"/>
      <c r="M11874" s="5"/>
      <c r="N11874" s="5"/>
      <c r="O11874" s="5"/>
      <c r="P11874" s="5"/>
      <c r="Q11874" s="5"/>
      <c r="R11874" s="5"/>
      <c r="S11874" s="5"/>
      <c r="T11874" s="5"/>
      <c r="U11874" s="5"/>
      <c r="V11874" s="5"/>
      <c r="W11874" s="5"/>
      <c r="X11874" s="5"/>
      <c r="Y11874" s="5"/>
      <c r="Z11874" s="5"/>
    </row>
    <row r="11875" spans="1:26" ht="15" x14ac:dyDescent="0.25">
      <c r="A11875" s="4" t="s">
        <v>11872</v>
      </c>
      <c r="B11875" s="4" t="s">
        <v>9011</v>
      </c>
      <c r="C11875" s="2" t="str">
        <f ca="1">IFERROR(__xludf.DUMMYFUNCTION("GOOGLETRANSLATE(A11875,""bn"",""en"")"),"I will advance in my career")</f>
        <v>I will advance in my career</v>
      </c>
      <c r="D11875" s="5"/>
      <c r="E11875" s="5"/>
      <c r="F11875" s="5"/>
      <c r="G11875" s="5"/>
      <c r="H11875" s="5"/>
      <c r="I11875" s="5"/>
      <c r="J11875" s="5"/>
      <c r="K11875" s="5"/>
      <c r="L11875" s="5"/>
      <c r="M11875" s="5"/>
      <c r="N11875" s="5"/>
      <c r="O11875" s="5"/>
      <c r="P11875" s="5"/>
      <c r="Q11875" s="5"/>
      <c r="R11875" s="5"/>
      <c r="S11875" s="5"/>
      <c r="T11875" s="5"/>
      <c r="U11875" s="5"/>
      <c r="V11875" s="5"/>
      <c r="W11875" s="5"/>
      <c r="X11875" s="5"/>
      <c r="Y11875" s="5"/>
      <c r="Z11875" s="5"/>
    </row>
    <row r="11876" spans="1:26" ht="15" x14ac:dyDescent="0.25">
      <c r="A11876" s="4" t="s">
        <v>11873</v>
      </c>
      <c r="B11876" s="4" t="s">
        <v>9011</v>
      </c>
      <c r="C11876" s="2" t="str">
        <f ca="1">IFERROR(__xludf.DUMMYFUNCTION("GOOGLETRANSLATE(A11876,""bn"",""en"")"),"Students will continue to read")</f>
        <v>Students will continue to read</v>
      </c>
      <c r="D11876" s="5"/>
      <c r="E11876" s="5"/>
      <c r="F11876" s="5"/>
      <c r="G11876" s="5"/>
      <c r="H11876" s="5"/>
      <c r="I11876" s="5"/>
      <c r="J11876" s="5"/>
      <c r="K11876" s="5"/>
      <c r="L11876" s="5"/>
      <c r="M11876" s="5"/>
      <c r="N11876" s="5"/>
      <c r="O11876" s="5"/>
      <c r="P11876" s="5"/>
      <c r="Q11876" s="5"/>
      <c r="R11876" s="5"/>
      <c r="S11876" s="5"/>
      <c r="T11876" s="5"/>
      <c r="U11876" s="5"/>
      <c r="V11876" s="5"/>
      <c r="W11876" s="5"/>
      <c r="X11876" s="5"/>
      <c r="Y11876" s="5"/>
      <c r="Z11876" s="5"/>
    </row>
    <row r="11877" spans="1:26" ht="15" x14ac:dyDescent="0.25">
      <c r="A11877" s="4" t="s">
        <v>11874</v>
      </c>
      <c r="B11877" s="4" t="s">
        <v>9011</v>
      </c>
      <c r="C11877" s="2" t="str">
        <f ca="1">IFERROR(__xludf.DUMMYFUNCTION("GOOGLETRANSLATE(A11877,""bn"",""en"")"),"The aroma will spread")</f>
        <v>The aroma will spread</v>
      </c>
      <c r="D11877" s="5"/>
      <c r="E11877" s="5"/>
      <c r="F11877" s="5"/>
      <c r="G11877" s="5"/>
      <c r="H11877" s="5"/>
      <c r="I11877" s="5"/>
      <c r="J11877" s="5"/>
      <c r="K11877" s="5"/>
      <c r="L11877" s="5"/>
      <c r="M11877" s="5"/>
      <c r="N11877" s="5"/>
      <c r="O11877" s="5"/>
      <c r="P11877" s="5"/>
      <c r="Q11877" s="5"/>
      <c r="R11877" s="5"/>
      <c r="S11877" s="5"/>
      <c r="T11877" s="5"/>
      <c r="U11877" s="5"/>
      <c r="V11877" s="5"/>
      <c r="W11877" s="5"/>
      <c r="X11877" s="5"/>
      <c r="Y11877" s="5"/>
      <c r="Z11877" s="5"/>
    </row>
    <row r="11878" spans="1:26" ht="15" x14ac:dyDescent="0.25">
      <c r="A11878" s="4" t="s">
        <v>11875</v>
      </c>
      <c r="B11878" s="4" t="s">
        <v>9011</v>
      </c>
      <c r="C11878" s="2" t="str">
        <f ca="1">IFERROR(__xludf.DUMMYFUNCTION("GOOGLETRANSLATE(A11878,""bn"",""en"")"),"Exports will increase")</f>
        <v>Exports will increase</v>
      </c>
      <c r="D11878" s="5"/>
      <c r="E11878" s="5"/>
      <c r="F11878" s="5"/>
      <c r="G11878" s="5"/>
      <c r="H11878" s="5"/>
      <c r="I11878" s="5"/>
      <c r="J11878" s="5"/>
      <c r="K11878" s="5"/>
      <c r="L11878" s="5"/>
      <c r="M11878" s="5"/>
      <c r="N11878" s="5"/>
      <c r="O11878" s="5"/>
      <c r="P11878" s="5"/>
      <c r="Q11878" s="5"/>
      <c r="R11878" s="5"/>
      <c r="S11878" s="5"/>
      <c r="T11878" s="5"/>
      <c r="U11878" s="5"/>
      <c r="V11878" s="5"/>
      <c r="W11878" s="5"/>
      <c r="X11878" s="5"/>
      <c r="Y11878" s="5"/>
      <c r="Z11878" s="5"/>
    </row>
    <row r="11879" spans="1:26" ht="15" x14ac:dyDescent="0.25">
      <c r="A11879" s="4" t="s">
        <v>11876</v>
      </c>
      <c r="B11879" s="4" t="s">
        <v>9011</v>
      </c>
      <c r="C11879" s="2" t="str">
        <f ca="1">IFERROR(__xludf.DUMMYFUNCTION("GOOGLETRANSLATE(A11879,""bn"",""en"")"),"I will earn money")</f>
        <v>I will earn money</v>
      </c>
      <c r="D11879" s="5"/>
      <c r="E11879" s="5"/>
      <c r="F11879" s="5"/>
      <c r="G11879" s="5"/>
      <c r="H11879" s="5"/>
      <c r="I11879" s="5"/>
      <c r="J11879" s="5"/>
      <c r="K11879" s="5"/>
      <c r="L11879" s="5"/>
      <c r="M11879" s="5"/>
      <c r="N11879" s="5"/>
      <c r="O11879" s="5"/>
      <c r="P11879" s="5"/>
      <c r="Q11879" s="5"/>
      <c r="R11879" s="5"/>
      <c r="S11879" s="5"/>
      <c r="T11879" s="5"/>
      <c r="U11879" s="5"/>
      <c r="V11879" s="5"/>
      <c r="W11879" s="5"/>
      <c r="X11879" s="5"/>
      <c r="Y11879" s="5"/>
      <c r="Z11879" s="5"/>
    </row>
    <row r="11880" spans="1:26" ht="15" x14ac:dyDescent="0.25">
      <c r="A11880" s="4" t="s">
        <v>11877</v>
      </c>
      <c r="B11880" s="4" t="s">
        <v>9011</v>
      </c>
      <c r="C11880" s="2" t="str">
        <f ca="1">IFERROR(__xludf.DUMMYFUNCTION("GOOGLETRANSLATE(A11880,""bn"",""en"")"),"I will love football")</f>
        <v>I will love football</v>
      </c>
      <c r="D11880" s="5"/>
      <c r="E11880" s="5"/>
      <c r="F11880" s="5"/>
      <c r="G11880" s="5"/>
      <c r="H11880" s="5"/>
      <c r="I11880" s="5"/>
      <c r="J11880" s="5"/>
      <c r="K11880" s="5"/>
      <c r="L11880" s="5"/>
      <c r="M11880" s="5"/>
      <c r="N11880" s="5"/>
      <c r="O11880" s="5"/>
      <c r="P11880" s="5"/>
      <c r="Q11880" s="5"/>
      <c r="R11880" s="5"/>
      <c r="S11880" s="5"/>
      <c r="T11880" s="5"/>
      <c r="U11880" s="5"/>
      <c r="V11880" s="5"/>
      <c r="W11880" s="5"/>
      <c r="X11880" s="5"/>
      <c r="Y11880" s="5"/>
      <c r="Z11880" s="5"/>
    </row>
    <row r="11881" spans="1:26" ht="15" x14ac:dyDescent="0.25">
      <c r="A11881" s="4" t="s">
        <v>11878</v>
      </c>
      <c r="B11881" s="4" t="s">
        <v>9011</v>
      </c>
      <c r="C11881" s="2" t="str">
        <f ca="1">IFERROR(__xludf.DUMMYFUNCTION("GOOGLETRANSLATE(A11881,""bn"",""en"")"),"Poetry will be in writing")</f>
        <v>Poetry will be in writing</v>
      </c>
      <c r="D11881" s="5"/>
      <c r="E11881" s="5"/>
      <c r="F11881" s="5"/>
      <c r="G11881" s="5"/>
      <c r="H11881" s="5"/>
      <c r="I11881" s="5"/>
      <c r="J11881" s="5"/>
      <c r="K11881" s="5"/>
      <c r="L11881" s="5"/>
      <c r="M11881" s="5"/>
      <c r="N11881" s="5"/>
      <c r="O11881" s="5"/>
      <c r="P11881" s="5"/>
      <c r="Q11881" s="5"/>
      <c r="R11881" s="5"/>
      <c r="S11881" s="5"/>
      <c r="T11881" s="5"/>
      <c r="U11881" s="5"/>
      <c r="V11881" s="5"/>
      <c r="W11881" s="5"/>
      <c r="X11881" s="5"/>
      <c r="Y11881" s="5"/>
      <c r="Z11881" s="5"/>
    </row>
    <row r="11882" spans="1:26" ht="15" x14ac:dyDescent="0.25">
      <c r="A11882" s="4" t="s">
        <v>11879</v>
      </c>
      <c r="B11882" s="4" t="s">
        <v>9011</v>
      </c>
      <c r="C11882" s="2" t="str">
        <f ca="1">IFERROR(__xludf.DUMMYFUNCTION("GOOGLETRANSLATE(A11882,""bn"",""en"")"),"They will apply")</f>
        <v>They will apply</v>
      </c>
      <c r="D11882" s="5"/>
      <c r="E11882" s="5"/>
      <c r="F11882" s="5"/>
      <c r="G11882" s="5"/>
      <c r="H11882" s="5"/>
      <c r="I11882" s="5"/>
      <c r="J11882" s="5"/>
      <c r="K11882" s="5"/>
      <c r="L11882" s="5"/>
      <c r="M11882" s="5"/>
      <c r="N11882" s="5"/>
      <c r="O11882" s="5"/>
      <c r="P11882" s="5"/>
      <c r="Q11882" s="5"/>
      <c r="R11882" s="5"/>
      <c r="S11882" s="5"/>
      <c r="T11882" s="5"/>
      <c r="U11882" s="5"/>
      <c r="V11882" s="5"/>
      <c r="W11882" s="5"/>
      <c r="X11882" s="5"/>
      <c r="Y11882" s="5"/>
      <c r="Z11882" s="5"/>
    </row>
    <row r="11883" spans="1:26" ht="15" x14ac:dyDescent="0.25">
      <c r="A11883" s="4" t="s">
        <v>11880</v>
      </c>
      <c r="B11883" s="4" t="s">
        <v>9011</v>
      </c>
      <c r="C11883" s="2" t="str">
        <f ca="1">IFERROR(__xludf.DUMMYFUNCTION("GOOGLETRANSLATE(A11883,""bn"",""en"")"),"Learn design tools")</f>
        <v>Learn design tools</v>
      </c>
      <c r="D11883" s="5"/>
      <c r="E11883" s="5"/>
      <c r="F11883" s="5"/>
      <c r="G11883" s="5"/>
      <c r="H11883" s="5"/>
      <c r="I11883" s="5"/>
      <c r="J11883" s="5"/>
      <c r="K11883" s="5"/>
      <c r="L11883" s="5"/>
      <c r="M11883" s="5"/>
      <c r="N11883" s="5"/>
      <c r="O11883" s="5"/>
      <c r="P11883" s="5"/>
      <c r="Q11883" s="5"/>
      <c r="R11883" s="5"/>
      <c r="S11883" s="5"/>
      <c r="T11883" s="5"/>
      <c r="U11883" s="5"/>
      <c r="V11883" s="5"/>
      <c r="W11883" s="5"/>
      <c r="X11883" s="5"/>
      <c r="Y11883" s="5"/>
      <c r="Z11883" s="5"/>
    </row>
    <row r="11884" spans="1:26" ht="15" x14ac:dyDescent="0.25">
      <c r="A11884" s="4" t="s">
        <v>11881</v>
      </c>
      <c r="B11884" s="4" t="s">
        <v>9011</v>
      </c>
      <c r="C11884" s="2" t="str">
        <f ca="1">IFERROR(__xludf.DUMMYFUNCTION("GOOGLETRANSLATE(A11884,""bn"",""en"")"),"Will go to political discussion")</f>
        <v>Will go to political discussion</v>
      </c>
      <c r="D11884" s="5"/>
      <c r="E11884" s="5"/>
      <c r="F11884" s="5"/>
      <c r="G11884" s="5"/>
      <c r="H11884" s="5"/>
      <c r="I11884" s="5"/>
      <c r="J11884" s="5"/>
      <c r="K11884" s="5"/>
      <c r="L11884" s="5"/>
      <c r="M11884" s="5"/>
      <c r="N11884" s="5"/>
      <c r="O11884" s="5"/>
      <c r="P11884" s="5"/>
      <c r="Q11884" s="5"/>
      <c r="R11884" s="5"/>
      <c r="S11884" s="5"/>
      <c r="T11884" s="5"/>
      <c r="U11884" s="5"/>
      <c r="V11884" s="5"/>
      <c r="W11884" s="5"/>
      <c r="X11884" s="5"/>
      <c r="Y11884" s="5"/>
      <c r="Z11884" s="5"/>
    </row>
    <row r="11885" spans="1:26" ht="15" x14ac:dyDescent="0.25">
      <c r="A11885" s="4" t="s">
        <v>11882</v>
      </c>
      <c r="B11885" s="4" t="s">
        <v>9011</v>
      </c>
      <c r="C11885" s="2" t="str">
        <f ca="1">IFERROR(__xludf.DUMMYFUNCTION("GOOGLETRANSLATE(A11885,""bn"",""en"")"),"I will check the account")</f>
        <v>I will check the account</v>
      </c>
      <c r="D11885" s="5"/>
      <c r="E11885" s="5"/>
      <c r="F11885" s="5"/>
      <c r="G11885" s="5"/>
      <c r="H11885" s="5"/>
      <c r="I11885" s="5"/>
      <c r="J11885" s="5"/>
      <c r="K11885" s="5"/>
      <c r="L11885" s="5"/>
      <c r="M11885" s="5"/>
      <c r="N11885" s="5"/>
      <c r="O11885" s="5"/>
      <c r="P11885" s="5"/>
      <c r="Q11885" s="5"/>
      <c r="R11885" s="5"/>
      <c r="S11885" s="5"/>
      <c r="T11885" s="5"/>
      <c r="U11885" s="5"/>
      <c r="V11885" s="5"/>
      <c r="W11885" s="5"/>
      <c r="X11885" s="5"/>
      <c r="Y11885" s="5"/>
      <c r="Z11885" s="5"/>
    </row>
    <row r="11886" spans="1:26" ht="15" x14ac:dyDescent="0.25">
      <c r="A11886" s="4" t="s">
        <v>11883</v>
      </c>
      <c r="B11886" s="4" t="s">
        <v>9011</v>
      </c>
      <c r="C11886" s="2" t="str">
        <f ca="1">IFERROR(__xludf.DUMMYFUNCTION("GOOGLETRANSLATE(A11886,""bn"",""en"")"),"Ramya will be Skriti")</f>
        <v>Ramya will be Skriti</v>
      </c>
      <c r="D11886" s="5"/>
      <c r="E11886" s="5"/>
      <c r="F11886" s="5"/>
      <c r="G11886" s="5"/>
      <c r="H11886" s="5"/>
      <c r="I11886" s="5"/>
      <c r="J11886" s="5"/>
      <c r="K11886" s="5"/>
      <c r="L11886" s="5"/>
      <c r="M11886" s="5"/>
      <c r="N11886" s="5"/>
      <c r="O11886" s="5"/>
      <c r="P11886" s="5"/>
      <c r="Q11886" s="5"/>
      <c r="R11886" s="5"/>
      <c r="S11886" s="5"/>
      <c r="T11886" s="5"/>
      <c r="U11886" s="5"/>
      <c r="V11886" s="5"/>
      <c r="W11886" s="5"/>
      <c r="X11886" s="5"/>
      <c r="Y11886" s="5"/>
      <c r="Z11886" s="5"/>
    </row>
    <row r="11887" spans="1:26" ht="15" x14ac:dyDescent="0.25">
      <c r="A11887" s="4" t="s">
        <v>11884</v>
      </c>
      <c r="B11887" s="4" t="s">
        <v>9011</v>
      </c>
      <c r="C11887" s="2" t="str">
        <f ca="1">IFERROR(__xludf.DUMMYFUNCTION("GOOGLETRANSLATE(A11887,""bn"",""en"")"),"I will get the tune")</f>
        <v>I will get the tune</v>
      </c>
      <c r="D11887" s="5"/>
      <c r="E11887" s="5"/>
      <c r="F11887" s="5"/>
      <c r="G11887" s="5"/>
      <c r="H11887" s="5"/>
      <c r="I11887" s="5"/>
      <c r="J11887" s="5"/>
      <c r="K11887" s="5"/>
      <c r="L11887" s="5"/>
      <c r="M11887" s="5"/>
      <c r="N11887" s="5"/>
      <c r="O11887" s="5"/>
      <c r="P11887" s="5"/>
      <c r="Q11887" s="5"/>
      <c r="R11887" s="5"/>
      <c r="S11887" s="5"/>
      <c r="T11887" s="5"/>
      <c r="U11887" s="5"/>
      <c r="V11887" s="5"/>
      <c r="W11887" s="5"/>
      <c r="X11887" s="5"/>
      <c r="Y11887" s="5"/>
      <c r="Z11887" s="5"/>
    </row>
    <row r="11888" spans="1:26" ht="15" x14ac:dyDescent="0.25">
      <c r="A11888" s="4" t="s">
        <v>11885</v>
      </c>
      <c r="B11888" s="4" t="s">
        <v>9011</v>
      </c>
      <c r="C11888" s="2" t="str">
        <f ca="1">IFERROR(__xludf.DUMMYFUNCTION("GOOGLETRANSLATE(A11888,""bn"",""en"")"),"I will exchange")</f>
        <v>I will exchange</v>
      </c>
      <c r="D11888" s="5"/>
      <c r="E11888" s="5"/>
      <c r="F11888" s="5"/>
      <c r="G11888" s="5"/>
      <c r="H11888" s="5"/>
      <c r="I11888" s="5"/>
      <c r="J11888" s="5"/>
      <c r="K11888" s="5"/>
      <c r="L11888" s="5"/>
      <c r="M11888" s="5"/>
      <c r="N11888" s="5"/>
      <c r="O11888" s="5"/>
      <c r="P11888" s="5"/>
      <c r="Q11888" s="5"/>
      <c r="R11888" s="5"/>
      <c r="S11888" s="5"/>
      <c r="T11888" s="5"/>
      <c r="U11888" s="5"/>
      <c r="V11888" s="5"/>
      <c r="W11888" s="5"/>
      <c r="X11888" s="5"/>
      <c r="Y11888" s="5"/>
      <c r="Z11888" s="5"/>
    </row>
    <row r="11889" spans="1:26" ht="15" x14ac:dyDescent="0.25">
      <c r="A11889" s="4" t="s">
        <v>11886</v>
      </c>
      <c r="B11889" s="4" t="s">
        <v>9011</v>
      </c>
      <c r="C11889" s="2" t="str">
        <f ca="1">IFERROR(__xludf.DUMMYFUNCTION("GOOGLETRANSLATE(A11889,""bn"",""en"")"),"Exercise regularly")</f>
        <v>Exercise regularly</v>
      </c>
      <c r="D11889" s="5"/>
      <c r="E11889" s="5"/>
      <c r="F11889" s="5"/>
      <c r="G11889" s="5"/>
      <c r="H11889" s="5"/>
      <c r="I11889" s="5"/>
      <c r="J11889" s="5"/>
      <c r="K11889" s="5"/>
      <c r="L11889" s="5"/>
      <c r="M11889" s="5"/>
      <c r="N11889" s="5"/>
      <c r="O11889" s="5"/>
      <c r="P11889" s="5"/>
      <c r="Q11889" s="5"/>
      <c r="R11889" s="5"/>
      <c r="S11889" s="5"/>
      <c r="T11889" s="5"/>
      <c r="U11889" s="5"/>
      <c r="V11889" s="5"/>
      <c r="W11889" s="5"/>
      <c r="X11889" s="5"/>
      <c r="Y11889" s="5"/>
      <c r="Z11889" s="5"/>
    </row>
    <row r="11890" spans="1:26" ht="15" x14ac:dyDescent="0.25">
      <c r="A11890" s="4" t="s">
        <v>11887</v>
      </c>
      <c r="B11890" s="4" t="s">
        <v>9011</v>
      </c>
      <c r="C11890" s="2" t="str">
        <f ca="1">IFERROR(__xludf.DUMMYFUNCTION("GOOGLETRANSLATE(A11890,""bn"",""en"")"),"I will use the hub")</f>
        <v>I will use the hub</v>
      </c>
      <c r="D11890" s="5"/>
      <c r="E11890" s="5"/>
      <c r="F11890" s="5"/>
      <c r="G11890" s="5"/>
      <c r="H11890" s="5"/>
      <c r="I11890" s="5"/>
      <c r="J11890" s="5"/>
      <c r="K11890" s="5"/>
      <c r="L11890" s="5"/>
      <c r="M11890" s="5"/>
      <c r="N11890" s="5"/>
      <c r="O11890" s="5"/>
      <c r="P11890" s="5"/>
      <c r="Q11890" s="5"/>
      <c r="R11890" s="5"/>
      <c r="S11890" s="5"/>
      <c r="T11890" s="5"/>
      <c r="U11890" s="5"/>
      <c r="V11890" s="5"/>
      <c r="W11890" s="5"/>
      <c r="X11890" s="5"/>
      <c r="Y11890" s="5"/>
      <c r="Z11890" s="5"/>
    </row>
    <row r="11891" spans="1:26" ht="15" x14ac:dyDescent="0.25">
      <c r="A11891" s="4" t="s">
        <v>11888</v>
      </c>
      <c r="B11891" s="4" t="s">
        <v>9011</v>
      </c>
      <c r="C11891" s="2" t="str">
        <f ca="1">IFERROR(__xludf.DUMMYFUNCTION("GOOGLETRANSLATE(A11891,""bn"",""en"")"),"You will eat dessert")</f>
        <v>You will eat dessert</v>
      </c>
      <c r="D11891" s="5"/>
      <c r="E11891" s="5"/>
      <c r="F11891" s="5"/>
      <c r="G11891" s="5"/>
      <c r="H11891" s="5"/>
      <c r="I11891" s="5"/>
      <c r="J11891" s="5"/>
      <c r="K11891" s="5"/>
      <c r="L11891" s="5"/>
      <c r="M11891" s="5"/>
      <c r="N11891" s="5"/>
      <c r="O11891" s="5"/>
      <c r="P11891" s="5"/>
      <c r="Q11891" s="5"/>
      <c r="R11891" s="5"/>
      <c r="S11891" s="5"/>
      <c r="T11891" s="5"/>
      <c r="U11891" s="5"/>
      <c r="V11891" s="5"/>
      <c r="W11891" s="5"/>
      <c r="X11891" s="5"/>
      <c r="Y11891" s="5"/>
      <c r="Z11891" s="5"/>
    </row>
    <row r="11892" spans="1:26" ht="15" x14ac:dyDescent="0.25">
      <c r="A11892" s="4" t="s">
        <v>11889</v>
      </c>
      <c r="B11892" s="4" t="s">
        <v>9011</v>
      </c>
      <c r="C11892" s="2" t="str">
        <f ca="1">IFERROR(__xludf.DUMMYFUNCTION("GOOGLETRANSLATE(A11892,""bn"",""en"")"),"Customer service will increase")</f>
        <v>Customer service will increase</v>
      </c>
      <c r="D11892" s="5"/>
      <c r="E11892" s="5"/>
      <c r="F11892" s="5"/>
      <c r="G11892" s="5"/>
      <c r="H11892" s="5"/>
      <c r="I11892" s="5"/>
      <c r="J11892" s="5"/>
      <c r="K11892" s="5"/>
      <c r="L11892" s="5"/>
      <c r="M11892" s="5"/>
      <c r="N11892" s="5"/>
      <c r="O11892" s="5"/>
      <c r="P11892" s="5"/>
      <c r="Q11892" s="5"/>
      <c r="R11892" s="5"/>
      <c r="S11892" s="5"/>
      <c r="T11892" s="5"/>
      <c r="U11892" s="5"/>
      <c r="V11892" s="5"/>
      <c r="W11892" s="5"/>
      <c r="X11892" s="5"/>
      <c r="Y11892" s="5"/>
      <c r="Z11892" s="5"/>
    </row>
    <row r="11893" spans="1:26" ht="15" x14ac:dyDescent="0.25">
      <c r="A11893" s="4" t="s">
        <v>11890</v>
      </c>
      <c r="B11893" s="4" t="s">
        <v>9011</v>
      </c>
      <c r="C11893" s="2" t="str">
        <f ca="1">IFERROR(__xludf.DUMMYFUNCTION("GOOGLETRANSLATE(A11893,""bn"",""en"")"),"I will travel to the island")</f>
        <v>I will travel to the island</v>
      </c>
      <c r="D11893" s="5"/>
      <c r="E11893" s="5"/>
      <c r="F11893" s="5"/>
      <c r="G11893" s="5"/>
      <c r="H11893" s="5"/>
      <c r="I11893" s="5"/>
      <c r="J11893" s="5"/>
      <c r="K11893" s="5"/>
      <c r="L11893" s="5"/>
      <c r="M11893" s="5"/>
      <c r="N11893" s="5"/>
      <c r="O11893" s="5"/>
      <c r="P11893" s="5"/>
      <c r="Q11893" s="5"/>
      <c r="R11893" s="5"/>
      <c r="S11893" s="5"/>
      <c r="T11893" s="5"/>
      <c r="U11893" s="5"/>
      <c r="V11893" s="5"/>
      <c r="W11893" s="5"/>
      <c r="X11893" s="5"/>
      <c r="Y11893" s="5"/>
      <c r="Z11893" s="5"/>
    </row>
    <row r="11894" spans="1:26" ht="15" x14ac:dyDescent="0.25">
      <c r="A11894" s="4" t="s">
        <v>11891</v>
      </c>
      <c r="B11894" s="4" t="s">
        <v>9011</v>
      </c>
      <c r="C11894" s="2" t="str">
        <f ca="1">IFERROR(__xludf.DUMMYFUNCTION("GOOGLETRANSLATE(A11894,""bn"",""en"")"),"The table will be arranged")</f>
        <v>The table will be arranged</v>
      </c>
      <c r="D11894" s="5"/>
      <c r="E11894" s="5"/>
      <c r="F11894" s="5"/>
      <c r="G11894" s="5"/>
      <c r="H11894" s="5"/>
      <c r="I11894" s="5"/>
      <c r="J11894" s="5"/>
      <c r="K11894" s="5"/>
      <c r="L11894" s="5"/>
      <c r="M11894" s="5"/>
      <c r="N11894" s="5"/>
      <c r="O11894" s="5"/>
      <c r="P11894" s="5"/>
      <c r="Q11894" s="5"/>
      <c r="R11894" s="5"/>
      <c r="S11894" s="5"/>
      <c r="T11894" s="5"/>
      <c r="U11894" s="5"/>
      <c r="V11894" s="5"/>
      <c r="W11894" s="5"/>
      <c r="X11894" s="5"/>
      <c r="Y11894" s="5"/>
      <c r="Z11894" s="5"/>
    </row>
    <row r="11895" spans="1:26" ht="15" x14ac:dyDescent="0.25">
      <c r="A11895" s="4" t="s">
        <v>11892</v>
      </c>
      <c r="B11895" s="4" t="s">
        <v>9011</v>
      </c>
      <c r="C11895" s="2" t="str">
        <f ca="1">IFERROR(__xludf.DUMMYFUNCTION("GOOGLETRANSLATE(A11895,""bn"",""en"")"),"Pay the check")</f>
        <v>Pay the check</v>
      </c>
      <c r="D11895" s="5"/>
      <c r="E11895" s="5"/>
      <c r="F11895" s="5"/>
      <c r="G11895" s="5"/>
      <c r="H11895" s="5"/>
      <c r="I11895" s="5"/>
      <c r="J11895" s="5"/>
      <c r="K11895" s="5"/>
      <c r="L11895" s="5"/>
      <c r="M11895" s="5"/>
      <c r="N11895" s="5"/>
      <c r="O11895" s="5"/>
      <c r="P11895" s="5"/>
      <c r="Q11895" s="5"/>
      <c r="R11895" s="5"/>
      <c r="S11895" s="5"/>
      <c r="T11895" s="5"/>
      <c r="U11895" s="5"/>
      <c r="V11895" s="5"/>
      <c r="W11895" s="5"/>
      <c r="X11895" s="5"/>
      <c r="Y11895" s="5"/>
      <c r="Z11895" s="5"/>
    </row>
    <row r="11896" spans="1:26" ht="15" x14ac:dyDescent="0.25">
      <c r="A11896" s="4" t="s">
        <v>11893</v>
      </c>
      <c r="B11896" s="4" t="s">
        <v>9011</v>
      </c>
      <c r="C11896" s="2" t="str">
        <f ca="1">IFERROR(__xludf.DUMMYFUNCTION("GOOGLETRANSLATE(A11896,""bn"",""en"")"),"I will eat the rasmalai of Comilla")</f>
        <v>I will eat the rasmalai of Comilla</v>
      </c>
      <c r="D11896" s="5"/>
      <c r="E11896" s="5"/>
      <c r="F11896" s="5"/>
      <c r="G11896" s="5"/>
      <c r="H11896" s="5"/>
      <c r="I11896" s="5"/>
      <c r="J11896" s="5"/>
      <c r="K11896" s="5"/>
      <c r="L11896" s="5"/>
      <c r="M11896" s="5"/>
      <c r="N11896" s="5"/>
      <c r="O11896" s="5"/>
      <c r="P11896" s="5"/>
      <c r="Q11896" s="5"/>
      <c r="R11896" s="5"/>
      <c r="S11896" s="5"/>
      <c r="T11896" s="5"/>
      <c r="U11896" s="5"/>
      <c r="V11896" s="5"/>
      <c r="W11896" s="5"/>
      <c r="X11896" s="5"/>
      <c r="Y11896" s="5"/>
      <c r="Z11896" s="5"/>
    </row>
    <row r="11897" spans="1:26" ht="15" x14ac:dyDescent="0.25">
      <c r="A11897" s="4" t="s">
        <v>11894</v>
      </c>
      <c r="B11897" s="4" t="s">
        <v>9011</v>
      </c>
      <c r="C11897" s="2" t="str">
        <f ca="1">IFERROR(__xludf.DUMMYFUNCTION("GOOGLETRANSLATE(A11897,""bn"",""en"")"),"They will keep moving")</f>
        <v>They will keep moving</v>
      </c>
      <c r="D11897" s="5"/>
      <c r="E11897" s="5"/>
      <c r="F11897" s="5"/>
      <c r="G11897" s="5"/>
      <c r="H11897" s="5"/>
      <c r="I11897" s="5"/>
      <c r="J11897" s="5"/>
      <c r="K11897" s="5"/>
      <c r="L11897" s="5"/>
      <c r="M11897" s="5"/>
      <c r="N11897" s="5"/>
      <c r="O11897" s="5"/>
      <c r="P11897" s="5"/>
      <c r="Q11897" s="5"/>
      <c r="R11897" s="5"/>
      <c r="S11897" s="5"/>
      <c r="T11897" s="5"/>
      <c r="U11897" s="5"/>
      <c r="V11897" s="5"/>
      <c r="W11897" s="5"/>
      <c r="X11897" s="5"/>
      <c r="Y11897" s="5"/>
      <c r="Z11897" s="5"/>
    </row>
    <row r="11898" spans="1:26" ht="15" x14ac:dyDescent="0.25">
      <c r="A11898" s="4" t="s">
        <v>11895</v>
      </c>
      <c r="B11898" s="4" t="s">
        <v>9011</v>
      </c>
      <c r="C11898" s="2" t="str">
        <f ca="1">IFERROR(__xludf.DUMMYFUNCTION("GOOGLETRANSLATE(A11898,""bn"",""en"")"),"Take protective medicine")</f>
        <v>Take protective medicine</v>
      </c>
      <c r="D11898" s="5"/>
      <c r="E11898" s="5"/>
      <c r="F11898" s="5"/>
      <c r="G11898" s="5"/>
      <c r="H11898" s="5"/>
      <c r="I11898" s="5"/>
      <c r="J11898" s="5"/>
      <c r="K11898" s="5"/>
      <c r="L11898" s="5"/>
      <c r="M11898" s="5"/>
      <c r="N11898" s="5"/>
      <c r="O11898" s="5"/>
      <c r="P11898" s="5"/>
      <c r="Q11898" s="5"/>
      <c r="R11898" s="5"/>
      <c r="S11898" s="5"/>
      <c r="T11898" s="5"/>
      <c r="U11898" s="5"/>
      <c r="V11898" s="5"/>
      <c r="W11898" s="5"/>
      <c r="X11898" s="5"/>
      <c r="Y11898" s="5"/>
      <c r="Z11898" s="5"/>
    </row>
    <row r="11899" spans="1:26" ht="15" x14ac:dyDescent="0.25">
      <c r="A11899" s="4" t="s">
        <v>11896</v>
      </c>
      <c r="B11899" s="4" t="s">
        <v>9011</v>
      </c>
      <c r="C11899" s="2" t="str">
        <f ca="1">IFERROR(__xludf.DUMMYFUNCTION("GOOGLETRANSLATE(A11899,""bn"",""en"")"),"The code will be committed")</f>
        <v>The code will be committed</v>
      </c>
      <c r="D11899" s="5"/>
      <c r="E11899" s="5"/>
      <c r="F11899" s="5"/>
      <c r="G11899" s="5"/>
      <c r="H11899" s="5"/>
      <c r="I11899" s="5"/>
      <c r="J11899" s="5"/>
      <c r="K11899" s="5"/>
      <c r="L11899" s="5"/>
      <c r="M11899" s="5"/>
      <c r="N11899" s="5"/>
      <c r="O11899" s="5"/>
      <c r="P11899" s="5"/>
      <c r="Q11899" s="5"/>
      <c r="R11899" s="5"/>
      <c r="S11899" s="5"/>
      <c r="T11899" s="5"/>
      <c r="U11899" s="5"/>
      <c r="V11899" s="5"/>
      <c r="W11899" s="5"/>
      <c r="X11899" s="5"/>
      <c r="Y11899" s="5"/>
      <c r="Z11899" s="5"/>
    </row>
    <row r="11900" spans="1:26" ht="15" x14ac:dyDescent="0.25">
      <c r="A11900" s="4" t="s">
        <v>11897</v>
      </c>
      <c r="B11900" s="4" t="s">
        <v>9011</v>
      </c>
      <c r="C11900" s="2" t="str">
        <f ca="1">IFERROR(__xludf.DUMMYFUNCTION("GOOGLETRANSLATE(A11900,""bn"",""en"")"),"Eat grilled chicken")</f>
        <v>Eat grilled chicken</v>
      </c>
      <c r="D11900" s="5"/>
      <c r="E11900" s="5"/>
      <c r="F11900" s="5"/>
      <c r="G11900" s="5"/>
      <c r="H11900" s="5"/>
      <c r="I11900" s="5"/>
      <c r="J11900" s="5"/>
      <c r="K11900" s="5"/>
      <c r="L11900" s="5"/>
      <c r="M11900" s="5"/>
      <c r="N11900" s="5"/>
      <c r="O11900" s="5"/>
      <c r="P11900" s="5"/>
      <c r="Q11900" s="5"/>
      <c r="R11900" s="5"/>
      <c r="S11900" s="5"/>
      <c r="T11900" s="5"/>
      <c r="U11900" s="5"/>
      <c r="V11900" s="5"/>
      <c r="W11900" s="5"/>
      <c r="X11900" s="5"/>
      <c r="Y11900" s="5"/>
      <c r="Z11900" s="5"/>
    </row>
    <row r="11901" spans="1:26" ht="15" x14ac:dyDescent="0.25">
      <c r="A11901" s="4" t="s">
        <v>11898</v>
      </c>
      <c r="B11901" s="4" t="s">
        <v>9011</v>
      </c>
      <c r="C11901" s="2" t="str">
        <f ca="1">IFERROR(__xludf.DUMMYFUNCTION("GOOGLETRANSLATE(A11901,""bn"",""en"")"),"you will eat toast")</f>
        <v>you will eat toast</v>
      </c>
      <c r="D11901" s="5"/>
      <c r="E11901" s="5"/>
      <c r="F11901" s="5"/>
      <c r="G11901" s="5"/>
      <c r="H11901" s="5"/>
      <c r="I11901" s="5"/>
      <c r="J11901" s="5"/>
      <c r="K11901" s="5"/>
      <c r="L11901" s="5"/>
      <c r="M11901" s="5"/>
      <c r="N11901" s="5"/>
      <c r="O11901" s="5"/>
      <c r="P11901" s="5"/>
      <c r="Q11901" s="5"/>
      <c r="R11901" s="5"/>
      <c r="S11901" s="5"/>
      <c r="T11901" s="5"/>
      <c r="U11901" s="5"/>
      <c r="V11901" s="5"/>
      <c r="W11901" s="5"/>
      <c r="X11901" s="5"/>
      <c r="Y11901" s="5"/>
      <c r="Z11901" s="5"/>
    </row>
    <row r="11902" spans="1:26" ht="15" x14ac:dyDescent="0.25">
      <c r="A11902" s="4" t="s">
        <v>11899</v>
      </c>
      <c r="B11902" s="4" t="s">
        <v>9011</v>
      </c>
      <c r="C11902" s="2" t="str">
        <f ca="1">IFERROR(__xludf.DUMMYFUNCTION("GOOGLETRANSLATE(A11902,""bn"",""en"")"),"I will use the remote")</f>
        <v>I will use the remote</v>
      </c>
      <c r="D11902" s="5"/>
      <c r="E11902" s="5"/>
      <c r="F11902" s="5"/>
      <c r="G11902" s="5"/>
      <c r="H11902" s="5"/>
      <c r="I11902" s="5"/>
      <c r="J11902" s="5"/>
      <c r="K11902" s="5"/>
      <c r="L11902" s="5"/>
      <c r="M11902" s="5"/>
      <c r="N11902" s="5"/>
      <c r="O11902" s="5"/>
      <c r="P11902" s="5"/>
      <c r="Q11902" s="5"/>
      <c r="R11902" s="5"/>
      <c r="S11902" s="5"/>
      <c r="T11902" s="5"/>
      <c r="U11902" s="5"/>
      <c r="V11902" s="5"/>
      <c r="W11902" s="5"/>
      <c r="X11902" s="5"/>
      <c r="Y11902" s="5"/>
      <c r="Z11902" s="5"/>
    </row>
    <row r="11903" spans="1:26" ht="15" x14ac:dyDescent="0.25">
      <c r="A11903" s="4" t="s">
        <v>11900</v>
      </c>
      <c r="B11903" s="4" t="s">
        <v>9011</v>
      </c>
      <c r="C11903" s="2" t="str">
        <f ca="1">IFERROR(__xludf.DUMMYFUNCTION("GOOGLETRANSLATE(A11903,""bn"",""en"")"),"I will plan")</f>
        <v>I will plan</v>
      </c>
      <c r="D11903" s="5"/>
      <c r="E11903" s="5"/>
      <c r="F11903" s="5"/>
      <c r="G11903" s="5"/>
      <c r="H11903" s="5"/>
      <c r="I11903" s="5"/>
      <c r="J11903" s="5"/>
      <c r="K11903" s="5"/>
      <c r="L11903" s="5"/>
      <c r="M11903" s="5"/>
      <c r="N11903" s="5"/>
      <c r="O11903" s="5"/>
      <c r="P11903" s="5"/>
      <c r="Q11903" s="5"/>
      <c r="R11903" s="5"/>
      <c r="S11903" s="5"/>
      <c r="T11903" s="5"/>
      <c r="U11903" s="5"/>
      <c r="V11903" s="5"/>
      <c r="W11903" s="5"/>
      <c r="X11903" s="5"/>
      <c r="Y11903" s="5"/>
      <c r="Z11903" s="5"/>
    </row>
    <row r="11904" spans="1:26" ht="15" x14ac:dyDescent="0.25">
      <c r="A11904" s="4" t="s">
        <v>11901</v>
      </c>
      <c r="B11904" s="4" t="s">
        <v>9011</v>
      </c>
      <c r="C11904" s="2" t="str">
        <f ca="1">IFERROR(__xludf.DUMMYFUNCTION("GOOGLETRANSLATE(A11904,""bn"",""en"")"),"Cash will be safe")</f>
        <v>Cash will be safe</v>
      </c>
      <c r="D11904" s="5"/>
      <c r="E11904" s="5"/>
      <c r="F11904" s="5"/>
      <c r="G11904" s="5"/>
      <c r="H11904" s="5"/>
      <c r="I11904" s="5"/>
      <c r="J11904" s="5"/>
      <c r="K11904" s="5"/>
      <c r="L11904" s="5"/>
      <c r="M11904" s="5"/>
      <c r="N11904" s="5"/>
      <c r="O11904" s="5"/>
      <c r="P11904" s="5"/>
      <c r="Q11904" s="5"/>
      <c r="R11904" s="5"/>
      <c r="S11904" s="5"/>
      <c r="T11904" s="5"/>
      <c r="U11904" s="5"/>
      <c r="V11904" s="5"/>
      <c r="W11904" s="5"/>
      <c r="X11904" s="5"/>
      <c r="Y11904" s="5"/>
      <c r="Z11904" s="5"/>
    </row>
    <row r="11905" spans="1:26" ht="15" x14ac:dyDescent="0.25">
      <c r="A11905" s="4" t="s">
        <v>11902</v>
      </c>
      <c r="B11905" s="4" t="s">
        <v>9011</v>
      </c>
      <c r="C11905" s="2" t="str">
        <f ca="1">IFERROR(__xludf.DUMMYFUNCTION("GOOGLETRANSLATE(A11905,""bn"",""en"")"),"You will buy the roll")</f>
        <v>You will buy the roll</v>
      </c>
      <c r="D11905" s="5"/>
      <c r="E11905" s="5"/>
      <c r="F11905" s="5"/>
      <c r="G11905" s="5"/>
      <c r="H11905" s="5"/>
      <c r="I11905" s="5"/>
      <c r="J11905" s="5"/>
      <c r="K11905" s="5"/>
      <c r="L11905" s="5"/>
      <c r="M11905" s="5"/>
      <c r="N11905" s="5"/>
      <c r="O11905" s="5"/>
      <c r="P11905" s="5"/>
      <c r="Q11905" s="5"/>
      <c r="R11905" s="5"/>
      <c r="S11905" s="5"/>
      <c r="T11905" s="5"/>
      <c r="U11905" s="5"/>
      <c r="V11905" s="5"/>
      <c r="W11905" s="5"/>
      <c r="X11905" s="5"/>
      <c r="Y11905" s="5"/>
      <c r="Z11905" s="5"/>
    </row>
    <row r="11906" spans="1:26" ht="15" x14ac:dyDescent="0.25">
      <c r="A11906" s="4" t="s">
        <v>11903</v>
      </c>
      <c r="B11906" s="4" t="s">
        <v>9011</v>
      </c>
      <c r="C11906" s="2" t="str">
        <f ca="1">IFERROR(__xludf.DUMMYFUNCTION("GOOGLETRANSLATE(A11906,""bn"",""en"")"),"We will eat ice cream")</f>
        <v>We will eat ice cream</v>
      </c>
      <c r="D11906" s="5"/>
      <c r="E11906" s="5"/>
      <c r="F11906" s="5"/>
      <c r="G11906" s="5"/>
      <c r="H11906" s="5"/>
      <c r="I11906" s="5"/>
      <c r="J11906" s="5"/>
      <c r="K11906" s="5"/>
      <c r="L11906" s="5"/>
      <c r="M11906" s="5"/>
      <c r="N11906" s="5"/>
      <c r="O11906" s="5"/>
      <c r="P11906" s="5"/>
      <c r="Q11906" s="5"/>
      <c r="R11906" s="5"/>
      <c r="S11906" s="5"/>
      <c r="T11906" s="5"/>
      <c r="U11906" s="5"/>
      <c r="V11906" s="5"/>
      <c r="W11906" s="5"/>
      <c r="X11906" s="5"/>
      <c r="Y11906" s="5"/>
      <c r="Z11906" s="5"/>
    </row>
    <row r="11907" spans="1:26" ht="15" x14ac:dyDescent="0.25">
      <c r="A11907" s="4" t="s">
        <v>11904</v>
      </c>
      <c r="B11907" s="4" t="s">
        <v>9011</v>
      </c>
      <c r="C11907" s="2" t="str">
        <f ca="1">IFERROR(__xludf.DUMMYFUNCTION("GOOGLETRANSLATE(A11907,""bn"",""en"")"),"I will suffer in student life")</f>
        <v>I will suffer in student life</v>
      </c>
      <c r="D11907" s="5"/>
      <c r="E11907" s="5"/>
      <c r="F11907" s="5"/>
      <c r="G11907" s="5"/>
      <c r="H11907" s="5"/>
      <c r="I11907" s="5"/>
      <c r="J11907" s="5"/>
      <c r="K11907" s="5"/>
      <c r="L11907" s="5"/>
      <c r="M11907" s="5"/>
      <c r="N11907" s="5"/>
      <c r="O11907" s="5"/>
      <c r="P11907" s="5"/>
      <c r="Q11907" s="5"/>
      <c r="R11907" s="5"/>
      <c r="S11907" s="5"/>
      <c r="T11907" s="5"/>
      <c r="U11907" s="5"/>
      <c r="V11907" s="5"/>
      <c r="W11907" s="5"/>
      <c r="X11907" s="5"/>
      <c r="Y11907" s="5"/>
      <c r="Z11907" s="5"/>
    </row>
    <row r="11908" spans="1:26" ht="15" x14ac:dyDescent="0.25">
      <c r="A11908" s="4" t="s">
        <v>11905</v>
      </c>
      <c r="B11908" s="4" t="s">
        <v>9011</v>
      </c>
      <c r="C11908" s="2" t="str">
        <f ca="1">IFERROR(__xludf.DUMMYFUNCTION("GOOGLETRANSLATE(A11908,""bn"",""en"")"),"Development plan will do")</f>
        <v>Development plan will do</v>
      </c>
      <c r="D11908" s="5"/>
      <c r="E11908" s="5"/>
      <c r="F11908" s="5"/>
      <c r="G11908" s="5"/>
      <c r="H11908" s="5"/>
      <c r="I11908" s="5"/>
      <c r="J11908" s="5"/>
      <c r="K11908" s="5"/>
      <c r="L11908" s="5"/>
      <c r="M11908" s="5"/>
      <c r="N11908" s="5"/>
      <c r="O11908" s="5"/>
      <c r="P11908" s="5"/>
      <c r="Q11908" s="5"/>
      <c r="R11908" s="5"/>
      <c r="S11908" s="5"/>
      <c r="T11908" s="5"/>
      <c r="U11908" s="5"/>
      <c r="V11908" s="5"/>
      <c r="W11908" s="5"/>
      <c r="X11908" s="5"/>
      <c r="Y11908" s="5"/>
      <c r="Z11908" s="5"/>
    </row>
    <row r="11909" spans="1:26" ht="15" x14ac:dyDescent="0.25">
      <c r="A11909" s="4" t="s">
        <v>11906</v>
      </c>
      <c r="B11909" s="4" t="s">
        <v>9011</v>
      </c>
      <c r="C11909" s="2" t="str">
        <f ca="1">IFERROR(__xludf.DUMMYFUNCTION("GOOGLETRANSLATE(A11909,""bn"",""en"")"),"You will learn music")</f>
        <v>You will learn music</v>
      </c>
      <c r="D11909" s="5"/>
      <c r="E11909" s="5"/>
      <c r="F11909" s="5"/>
      <c r="G11909" s="5"/>
      <c r="H11909" s="5"/>
      <c r="I11909" s="5"/>
      <c r="J11909" s="5"/>
      <c r="K11909" s="5"/>
      <c r="L11909" s="5"/>
      <c r="M11909" s="5"/>
      <c r="N11909" s="5"/>
      <c r="O11909" s="5"/>
      <c r="P11909" s="5"/>
      <c r="Q11909" s="5"/>
      <c r="R11909" s="5"/>
      <c r="S11909" s="5"/>
      <c r="T11909" s="5"/>
      <c r="U11909" s="5"/>
      <c r="V11909" s="5"/>
      <c r="W11909" s="5"/>
      <c r="X11909" s="5"/>
      <c r="Y11909" s="5"/>
      <c r="Z11909" s="5"/>
    </row>
    <row r="11910" spans="1:26" ht="15" x14ac:dyDescent="0.25">
      <c r="A11910" s="4" t="s">
        <v>11907</v>
      </c>
      <c r="B11910" s="4" t="s">
        <v>9011</v>
      </c>
      <c r="C11910" s="2" t="str">
        <f ca="1">IFERROR(__xludf.DUMMYFUNCTION("GOOGLETRANSLATE(A11910,""bn"",""en"")"),"Read jokes online")</f>
        <v>Read jokes online</v>
      </c>
      <c r="D11910" s="5"/>
      <c r="E11910" s="5"/>
      <c r="F11910" s="5"/>
      <c r="G11910" s="5"/>
      <c r="H11910" s="5"/>
      <c r="I11910" s="5"/>
      <c r="J11910" s="5"/>
      <c r="K11910" s="5"/>
      <c r="L11910" s="5"/>
      <c r="M11910" s="5"/>
      <c r="N11910" s="5"/>
      <c r="O11910" s="5"/>
      <c r="P11910" s="5"/>
      <c r="Q11910" s="5"/>
      <c r="R11910" s="5"/>
      <c r="S11910" s="5"/>
      <c r="T11910" s="5"/>
      <c r="U11910" s="5"/>
      <c r="V11910" s="5"/>
      <c r="W11910" s="5"/>
      <c r="X11910" s="5"/>
      <c r="Y11910" s="5"/>
      <c r="Z11910" s="5"/>
    </row>
    <row r="11911" spans="1:26" ht="15" x14ac:dyDescent="0.25">
      <c r="A11911" s="4" t="s">
        <v>11908</v>
      </c>
      <c r="B11911" s="4" t="s">
        <v>9011</v>
      </c>
      <c r="C11911" s="2" t="str">
        <f ca="1">IFERROR(__xludf.DUMMYFUNCTION("GOOGLETRANSLATE(A11911,""bn"",""en"")"),"Will debate politics")</f>
        <v>Will debate politics</v>
      </c>
      <c r="D11911" s="5"/>
      <c r="E11911" s="5"/>
      <c r="F11911" s="5"/>
      <c r="G11911" s="5"/>
      <c r="H11911" s="5"/>
      <c r="I11911" s="5"/>
      <c r="J11911" s="5"/>
      <c r="K11911" s="5"/>
      <c r="L11911" s="5"/>
      <c r="M11911" s="5"/>
      <c r="N11911" s="5"/>
      <c r="O11911" s="5"/>
      <c r="P11911" s="5"/>
      <c r="Q11911" s="5"/>
      <c r="R11911" s="5"/>
      <c r="S11911" s="5"/>
      <c r="T11911" s="5"/>
      <c r="U11911" s="5"/>
      <c r="V11911" s="5"/>
      <c r="W11911" s="5"/>
      <c r="X11911" s="5"/>
      <c r="Y11911" s="5"/>
      <c r="Z11911" s="5"/>
    </row>
    <row r="11912" spans="1:26" ht="15" x14ac:dyDescent="0.25">
      <c r="A11912" s="4" t="s">
        <v>11909</v>
      </c>
      <c r="B11912" s="4" t="s">
        <v>9011</v>
      </c>
      <c r="C11912" s="2" t="str">
        <f ca="1">IFERROR(__xludf.DUMMYFUNCTION("GOOGLETRANSLATE(A11912,""bn"",""en"")"),"Software will be updated")</f>
        <v>Software will be updated</v>
      </c>
      <c r="D11912" s="5"/>
      <c r="E11912" s="5"/>
      <c r="F11912" s="5"/>
      <c r="G11912" s="5"/>
      <c r="H11912" s="5"/>
      <c r="I11912" s="5"/>
      <c r="J11912" s="5"/>
      <c r="K11912" s="5"/>
      <c r="L11912" s="5"/>
      <c r="M11912" s="5"/>
      <c r="N11912" s="5"/>
      <c r="O11912" s="5"/>
      <c r="P11912" s="5"/>
      <c r="Q11912" s="5"/>
      <c r="R11912" s="5"/>
      <c r="S11912" s="5"/>
      <c r="T11912" s="5"/>
      <c r="U11912" s="5"/>
      <c r="V11912" s="5"/>
      <c r="W11912" s="5"/>
      <c r="X11912" s="5"/>
      <c r="Y11912" s="5"/>
      <c r="Z11912" s="5"/>
    </row>
    <row r="11913" spans="1:26" ht="15" x14ac:dyDescent="0.25">
      <c r="A11913" s="4" t="s">
        <v>11910</v>
      </c>
      <c r="B11913" s="4" t="s">
        <v>9011</v>
      </c>
      <c r="C11913" s="2" t="str">
        <f ca="1">IFERROR(__xludf.DUMMYFUNCTION("GOOGLETRANSLATE(A11913,""bn"",""en"")"),"I will donate to the poor")</f>
        <v>I will donate to the poor</v>
      </c>
      <c r="D11913" s="5"/>
      <c r="E11913" s="5"/>
      <c r="F11913" s="5"/>
      <c r="G11913" s="5"/>
      <c r="H11913" s="5"/>
      <c r="I11913" s="5"/>
      <c r="J11913" s="5"/>
      <c r="K11913" s="5"/>
      <c r="L11913" s="5"/>
      <c r="M11913" s="5"/>
      <c r="N11913" s="5"/>
      <c r="O11913" s="5"/>
      <c r="P11913" s="5"/>
      <c r="Q11913" s="5"/>
      <c r="R11913" s="5"/>
      <c r="S11913" s="5"/>
      <c r="T11913" s="5"/>
      <c r="U11913" s="5"/>
      <c r="V11913" s="5"/>
      <c r="W11913" s="5"/>
      <c r="X11913" s="5"/>
      <c r="Y11913" s="5"/>
      <c r="Z11913" s="5"/>
    </row>
    <row r="11914" spans="1:26" ht="15" x14ac:dyDescent="0.25">
      <c r="A11914" s="4" t="s">
        <v>11911</v>
      </c>
      <c r="B11914" s="4" t="s">
        <v>9011</v>
      </c>
      <c r="C11914" s="2" t="str">
        <f ca="1">IFERROR(__xludf.DUMMYFUNCTION("GOOGLETRANSLATE(A11914,""bn"",""en"")"),"Download the software")</f>
        <v>Download the software</v>
      </c>
      <c r="D11914" s="5"/>
      <c r="E11914" s="5"/>
      <c r="F11914" s="5"/>
      <c r="G11914" s="5"/>
      <c r="H11914" s="5"/>
      <c r="I11914" s="5"/>
      <c r="J11914" s="5"/>
      <c r="K11914" s="5"/>
      <c r="L11914" s="5"/>
      <c r="M11914" s="5"/>
      <c r="N11914" s="5"/>
      <c r="O11914" s="5"/>
      <c r="P11914" s="5"/>
      <c r="Q11914" s="5"/>
      <c r="R11914" s="5"/>
      <c r="S11914" s="5"/>
      <c r="T11914" s="5"/>
      <c r="U11914" s="5"/>
      <c r="V11914" s="5"/>
      <c r="W11914" s="5"/>
      <c r="X11914" s="5"/>
      <c r="Y11914" s="5"/>
      <c r="Z11914" s="5"/>
    </row>
    <row r="11915" spans="1:26" ht="15" x14ac:dyDescent="0.25">
      <c r="A11915" s="4" t="s">
        <v>11912</v>
      </c>
      <c r="B11915" s="4" t="s">
        <v>9011</v>
      </c>
      <c r="C11915" s="2" t="str">
        <f ca="1">IFERROR(__xludf.DUMMYFUNCTION("GOOGLETRANSLATE(A11915,""bn"",""en"")"),"I will be visiting the cafeteria")</f>
        <v>I will be visiting the cafeteria</v>
      </c>
      <c r="D11915" s="5"/>
      <c r="E11915" s="5"/>
      <c r="F11915" s="5"/>
      <c r="G11915" s="5"/>
      <c r="H11915" s="5"/>
      <c r="I11915" s="5"/>
      <c r="J11915" s="5"/>
      <c r="K11915" s="5"/>
      <c r="L11915" s="5"/>
      <c r="M11915" s="5"/>
      <c r="N11915" s="5"/>
      <c r="O11915" s="5"/>
      <c r="P11915" s="5"/>
      <c r="Q11915" s="5"/>
      <c r="R11915" s="5"/>
      <c r="S11915" s="5"/>
      <c r="T11915" s="5"/>
      <c r="U11915" s="5"/>
      <c r="V11915" s="5"/>
      <c r="W11915" s="5"/>
      <c r="X11915" s="5"/>
      <c r="Y11915" s="5"/>
      <c r="Z11915" s="5"/>
    </row>
    <row r="11916" spans="1:26" ht="15" x14ac:dyDescent="0.25">
      <c r="A11916" s="4" t="s">
        <v>11913</v>
      </c>
      <c r="B11916" s="4" t="s">
        <v>9011</v>
      </c>
      <c r="C11916" s="2" t="str">
        <f ca="1">IFERROR(__xludf.DUMMYFUNCTION("GOOGLETRANSLATE(A11916,""bn"",""en"")"),"The runner will keep running")</f>
        <v>The runner will keep running</v>
      </c>
      <c r="D11916" s="5"/>
      <c r="E11916" s="5"/>
      <c r="F11916" s="5"/>
      <c r="G11916" s="5"/>
      <c r="H11916" s="5"/>
      <c r="I11916" s="5"/>
      <c r="J11916" s="5"/>
      <c r="K11916" s="5"/>
      <c r="L11916" s="5"/>
      <c r="M11916" s="5"/>
      <c r="N11916" s="5"/>
      <c r="O11916" s="5"/>
      <c r="P11916" s="5"/>
      <c r="Q11916" s="5"/>
      <c r="R11916" s="5"/>
      <c r="S11916" s="5"/>
      <c r="T11916" s="5"/>
      <c r="U11916" s="5"/>
      <c r="V11916" s="5"/>
      <c r="W11916" s="5"/>
      <c r="X11916" s="5"/>
      <c r="Y11916" s="5"/>
      <c r="Z11916" s="5"/>
    </row>
    <row r="11917" spans="1:26" ht="15" x14ac:dyDescent="0.25">
      <c r="A11917" s="4" t="s">
        <v>11914</v>
      </c>
      <c r="B11917" s="4" t="s">
        <v>9011</v>
      </c>
      <c r="C11917" s="2" t="str">
        <f ca="1">IFERROR(__xludf.DUMMYFUNCTION("GOOGLETRANSLATE(A11917,""bn"",""en"")"),"I will be looking for friends")</f>
        <v>I will be looking for friends</v>
      </c>
      <c r="D11917" s="5"/>
      <c r="E11917" s="5"/>
      <c r="F11917" s="5"/>
      <c r="G11917" s="5"/>
      <c r="H11917" s="5"/>
      <c r="I11917" s="5"/>
      <c r="J11917" s="5"/>
      <c r="K11917" s="5"/>
      <c r="L11917" s="5"/>
      <c r="M11917" s="5"/>
      <c r="N11917" s="5"/>
      <c r="O11917" s="5"/>
      <c r="P11917" s="5"/>
      <c r="Q11917" s="5"/>
      <c r="R11917" s="5"/>
      <c r="S11917" s="5"/>
      <c r="T11917" s="5"/>
      <c r="U11917" s="5"/>
      <c r="V11917" s="5"/>
      <c r="W11917" s="5"/>
      <c r="X11917" s="5"/>
      <c r="Y11917" s="5"/>
      <c r="Z11917" s="5"/>
    </row>
    <row r="11918" spans="1:26" ht="15" x14ac:dyDescent="0.25">
      <c r="A11918" s="4" t="s">
        <v>11915</v>
      </c>
      <c r="B11918" s="4" t="s">
        <v>9011</v>
      </c>
      <c r="C11918" s="2" t="str">
        <f ca="1">IFERROR(__xludf.DUMMYFUNCTION("GOOGLETRANSLATE(A11918,""bn"",""en"")"),"Looking for honest advice")</f>
        <v>Looking for honest advice</v>
      </c>
      <c r="D11918" s="5"/>
      <c r="E11918" s="5"/>
      <c r="F11918" s="5"/>
      <c r="G11918" s="5"/>
      <c r="H11918" s="5"/>
      <c r="I11918" s="5"/>
      <c r="J11918" s="5"/>
      <c r="K11918" s="5"/>
      <c r="L11918" s="5"/>
      <c r="M11918" s="5"/>
      <c r="N11918" s="5"/>
      <c r="O11918" s="5"/>
      <c r="P11918" s="5"/>
      <c r="Q11918" s="5"/>
      <c r="R11918" s="5"/>
      <c r="S11918" s="5"/>
      <c r="T11918" s="5"/>
      <c r="U11918" s="5"/>
      <c r="V11918" s="5"/>
      <c r="W11918" s="5"/>
      <c r="X11918" s="5"/>
      <c r="Y11918" s="5"/>
      <c r="Z11918" s="5"/>
    </row>
    <row r="11919" spans="1:26" ht="15" x14ac:dyDescent="0.25">
      <c r="A11919" s="4" t="s">
        <v>11916</v>
      </c>
      <c r="B11919" s="4" t="s">
        <v>9011</v>
      </c>
      <c r="C11919" s="2" t="str">
        <f ca="1">IFERROR(__xludf.DUMMYFUNCTION("GOOGLETRANSLATE(A11919,""bn"",""en"")"),"The system will test")</f>
        <v>The system will test</v>
      </c>
      <c r="D11919" s="5"/>
      <c r="E11919" s="5"/>
      <c r="F11919" s="5"/>
      <c r="G11919" s="5"/>
      <c r="H11919" s="5"/>
      <c r="I11919" s="5"/>
      <c r="J11919" s="5"/>
      <c r="K11919" s="5"/>
      <c r="L11919" s="5"/>
      <c r="M11919" s="5"/>
      <c r="N11919" s="5"/>
      <c r="O11919" s="5"/>
      <c r="P11919" s="5"/>
      <c r="Q11919" s="5"/>
      <c r="R11919" s="5"/>
      <c r="S11919" s="5"/>
      <c r="T11919" s="5"/>
      <c r="U11919" s="5"/>
      <c r="V11919" s="5"/>
      <c r="W11919" s="5"/>
      <c r="X11919" s="5"/>
      <c r="Y11919" s="5"/>
      <c r="Z11919" s="5"/>
    </row>
    <row r="11920" spans="1:26" ht="15" x14ac:dyDescent="0.25">
      <c r="A11920" s="4" t="s">
        <v>11917</v>
      </c>
      <c r="B11920" s="4" t="s">
        <v>9011</v>
      </c>
      <c r="C11920" s="2" t="str">
        <f ca="1">IFERROR(__xludf.DUMMYFUNCTION("GOOGLETRANSLATE(A11920,""bn"",""en"")"),"I will travel by rocket")</f>
        <v>I will travel by rocket</v>
      </c>
      <c r="D11920" s="5"/>
      <c r="E11920" s="5"/>
      <c r="F11920" s="5"/>
      <c r="G11920" s="5"/>
      <c r="H11920" s="5"/>
      <c r="I11920" s="5"/>
      <c r="J11920" s="5"/>
      <c r="K11920" s="5"/>
      <c r="L11920" s="5"/>
      <c r="M11920" s="5"/>
      <c r="N11920" s="5"/>
      <c r="O11920" s="5"/>
      <c r="P11920" s="5"/>
      <c r="Q11920" s="5"/>
      <c r="R11920" s="5"/>
      <c r="S11920" s="5"/>
      <c r="T11920" s="5"/>
      <c r="U11920" s="5"/>
      <c r="V11920" s="5"/>
      <c r="W11920" s="5"/>
      <c r="X11920" s="5"/>
      <c r="Y11920" s="5"/>
      <c r="Z11920" s="5"/>
    </row>
    <row r="11921" spans="1:26" ht="15" x14ac:dyDescent="0.25">
      <c r="A11921" s="4" t="s">
        <v>11918</v>
      </c>
      <c r="B11921" s="4" t="s">
        <v>9011</v>
      </c>
      <c r="C11921" s="2" t="str">
        <f ca="1">IFERROR(__xludf.DUMMYFUNCTION("GOOGLETRANSLATE(A11921,""bn"",""en"")"),"The law will be passed")</f>
        <v>The law will be passed</v>
      </c>
      <c r="D11921" s="5"/>
      <c r="E11921" s="5"/>
      <c r="F11921" s="5"/>
      <c r="G11921" s="5"/>
      <c r="H11921" s="5"/>
      <c r="I11921" s="5"/>
      <c r="J11921" s="5"/>
      <c r="K11921" s="5"/>
      <c r="L11921" s="5"/>
      <c r="M11921" s="5"/>
      <c r="N11921" s="5"/>
      <c r="O11921" s="5"/>
      <c r="P11921" s="5"/>
      <c r="Q11921" s="5"/>
      <c r="R11921" s="5"/>
      <c r="S11921" s="5"/>
      <c r="T11921" s="5"/>
      <c r="U11921" s="5"/>
      <c r="V11921" s="5"/>
      <c r="W11921" s="5"/>
      <c r="X11921" s="5"/>
      <c r="Y11921" s="5"/>
      <c r="Z11921" s="5"/>
    </row>
    <row r="11922" spans="1:26" ht="15" x14ac:dyDescent="0.25">
      <c r="A11922" s="4" t="s">
        <v>11919</v>
      </c>
      <c r="B11922" s="4" t="s">
        <v>9011</v>
      </c>
      <c r="C11922" s="2" t="str">
        <f ca="1">IFERROR(__xludf.DUMMYFUNCTION("GOOGLETRANSLATE(A11922,""bn"",""en"")"),"I will share my feelings")</f>
        <v>I will share my feelings</v>
      </c>
      <c r="D11922" s="5"/>
      <c r="E11922" s="5"/>
      <c r="F11922" s="5"/>
      <c r="G11922" s="5"/>
      <c r="H11922" s="5"/>
      <c r="I11922" s="5"/>
      <c r="J11922" s="5"/>
      <c r="K11922" s="5"/>
      <c r="L11922" s="5"/>
      <c r="M11922" s="5"/>
      <c r="N11922" s="5"/>
      <c r="O11922" s="5"/>
      <c r="P11922" s="5"/>
      <c r="Q11922" s="5"/>
      <c r="R11922" s="5"/>
      <c r="S11922" s="5"/>
      <c r="T11922" s="5"/>
      <c r="U11922" s="5"/>
      <c r="V11922" s="5"/>
      <c r="W11922" s="5"/>
      <c r="X11922" s="5"/>
      <c r="Y11922" s="5"/>
      <c r="Z11922" s="5"/>
    </row>
    <row r="11923" spans="1:26" ht="15" x14ac:dyDescent="0.25">
      <c r="A11923" s="4" t="s">
        <v>11920</v>
      </c>
      <c r="B11923" s="4" t="s">
        <v>9011</v>
      </c>
      <c r="C11923" s="2" t="str">
        <f ca="1">IFERROR(__xludf.DUMMYFUNCTION("GOOGLETRANSLATE(A11923,""bn"",""en"")"),"The minister will change")</f>
        <v>The minister will change</v>
      </c>
      <c r="D11923" s="5"/>
      <c r="E11923" s="5"/>
      <c r="F11923" s="5"/>
      <c r="G11923" s="5"/>
      <c r="H11923" s="5"/>
      <c r="I11923" s="5"/>
      <c r="J11923" s="5"/>
      <c r="K11923" s="5"/>
      <c r="L11923" s="5"/>
      <c r="M11923" s="5"/>
      <c r="N11923" s="5"/>
      <c r="O11923" s="5"/>
      <c r="P11923" s="5"/>
      <c r="Q11923" s="5"/>
      <c r="R11923" s="5"/>
      <c r="S11923" s="5"/>
      <c r="T11923" s="5"/>
      <c r="U11923" s="5"/>
      <c r="V11923" s="5"/>
      <c r="W11923" s="5"/>
      <c r="X11923" s="5"/>
      <c r="Y11923" s="5"/>
      <c r="Z11923" s="5"/>
    </row>
    <row r="11924" spans="1:26" ht="15" x14ac:dyDescent="0.25">
      <c r="A11924" s="4" t="s">
        <v>11921</v>
      </c>
      <c r="B11924" s="4" t="s">
        <v>9011</v>
      </c>
      <c r="C11924" s="2" t="str">
        <f ca="1">IFERROR(__xludf.DUMMYFUNCTION("GOOGLETRANSLATE(A11924,""bn"",""en"")"),"Sailors will buy ships")</f>
        <v>Sailors will buy ships</v>
      </c>
      <c r="D11924" s="5"/>
      <c r="E11924" s="5"/>
      <c r="F11924" s="5"/>
      <c r="G11924" s="5"/>
      <c r="H11924" s="5"/>
      <c r="I11924" s="5"/>
      <c r="J11924" s="5"/>
      <c r="K11924" s="5"/>
      <c r="L11924" s="5"/>
      <c r="M11924" s="5"/>
      <c r="N11924" s="5"/>
      <c r="O11924" s="5"/>
      <c r="P11924" s="5"/>
      <c r="Q11924" s="5"/>
      <c r="R11924" s="5"/>
      <c r="S11924" s="5"/>
      <c r="T11924" s="5"/>
      <c r="U11924" s="5"/>
      <c r="V11924" s="5"/>
      <c r="W11924" s="5"/>
      <c r="X11924" s="5"/>
      <c r="Y11924" s="5"/>
      <c r="Z11924" s="5"/>
    </row>
    <row r="11925" spans="1:26" ht="15" x14ac:dyDescent="0.25">
      <c r="A11925" s="4" t="s">
        <v>11922</v>
      </c>
      <c r="B11925" s="4" t="s">
        <v>9011</v>
      </c>
      <c r="C11925" s="2" t="str">
        <f ca="1">IFERROR(__xludf.DUMMYFUNCTION("GOOGLETRANSLATE(A11925,""bn"",""en"")"),"The debate will end")</f>
        <v>The debate will end</v>
      </c>
      <c r="D11925" s="5"/>
      <c r="E11925" s="5"/>
      <c r="F11925" s="5"/>
      <c r="G11925" s="5"/>
      <c r="H11925" s="5"/>
      <c r="I11925" s="5"/>
      <c r="J11925" s="5"/>
      <c r="K11925" s="5"/>
      <c r="L11925" s="5"/>
      <c r="M11925" s="5"/>
      <c r="N11925" s="5"/>
      <c r="O11925" s="5"/>
      <c r="P11925" s="5"/>
      <c r="Q11925" s="5"/>
      <c r="R11925" s="5"/>
      <c r="S11925" s="5"/>
      <c r="T11925" s="5"/>
      <c r="U11925" s="5"/>
      <c r="V11925" s="5"/>
      <c r="W11925" s="5"/>
      <c r="X11925" s="5"/>
      <c r="Y11925" s="5"/>
      <c r="Z11925" s="5"/>
    </row>
    <row r="11926" spans="1:26" ht="15" x14ac:dyDescent="0.25">
      <c r="A11926" s="4" t="s">
        <v>11923</v>
      </c>
      <c r="B11926" s="4" t="s">
        <v>9011</v>
      </c>
      <c r="C11926" s="2" t="str">
        <f ca="1">IFERROR(__xludf.DUMMYFUNCTION("GOOGLETRANSLATE(A11926,""bn"",""en"")"),"More will be automated")</f>
        <v>More will be automated</v>
      </c>
      <c r="D11926" s="5"/>
      <c r="E11926" s="5"/>
      <c r="F11926" s="5"/>
      <c r="G11926" s="5"/>
      <c r="H11926" s="5"/>
      <c r="I11926" s="5"/>
      <c r="J11926" s="5"/>
      <c r="K11926" s="5"/>
      <c r="L11926" s="5"/>
      <c r="M11926" s="5"/>
      <c r="N11926" s="5"/>
      <c r="O11926" s="5"/>
      <c r="P11926" s="5"/>
      <c r="Q11926" s="5"/>
      <c r="R11926" s="5"/>
      <c r="S11926" s="5"/>
      <c r="T11926" s="5"/>
      <c r="U11926" s="5"/>
      <c r="V11926" s="5"/>
      <c r="W11926" s="5"/>
      <c r="X11926" s="5"/>
      <c r="Y11926" s="5"/>
      <c r="Z11926" s="5"/>
    </row>
    <row r="11927" spans="1:26" ht="15" x14ac:dyDescent="0.25">
      <c r="A11927" s="4" t="s">
        <v>11924</v>
      </c>
      <c r="B11927" s="4" t="s">
        <v>9011</v>
      </c>
      <c r="C11927" s="2" t="str">
        <f ca="1">IFERROR(__xludf.DUMMYFUNCTION("GOOGLETRANSLATE(A11927,""bn"",""en"")"),"The game will be set")</f>
        <v>The game will be set</v>
      </c>
      <c r="D11927" s="5"/>
      <c r="E11927" s="5"/>
      <c r="F11927" s="5"/>
      <c r="G11927" s="5"/>
      <c r="H11927" s="5"/>
      <c r="I11927" s="5"/>
      <c r="J11927" s="5"/>
      <c r="K11927" s="5"/>
      <c r="L11927" s="5"/>
      <c r="M11927" s="5"/>
      <c r="N11927" s="5"/>
      <c r="O11927" s="5"/>
      <c r="P11927" s="5"/>
      <c r="Q11927" s="5"/>
      <c r="R11927" s="5"/>
      <c r="S11927" s="5"/>
      <c r="T11927" s="5"/>
      <c r="U11927" s="5"/>
      <c r="V11927" s="5"/>
      <c r="W11927" s="5"/>
      <c r="X11927" s="5"/>
      <c r="Y11927" s="5"/>
      <c r="Z11927" s="5"/>
    </row>
    <row r="11928" spans="1:26" ht="15" x14ac:dyDescent="0.25">
      <c r="A11928" s="4" t="s">
        <v>11925</v>
      </c>
      <c r="B11928" s="4" t="s">
        <v>9011</v>
      </c>
      <c r="C11928" s="2" t="str">
        <f ca="1">IFERROR(__xludf.DUMMYFUNCTION("GOOGLETRANSLATE(A11928,""bn"",""en"")"),"I will contact the family")</f>
        <v>I will contact the family</v>
      </c>
      <c r="D11928" s="5"/>
      <c r="E11928" s="5"/>
      <c r="F11928" s="5"/>
      <c r="G11928" s="5"/>
      <c r="H11928" s="5"/>
      <c r="I11928" s="5"/>
      <c r="J11928" s="5"/>
      <c r="K11928" s="5"/>
      <c r="L11928" s="5"/>
      <c r="M11928" s="5"/>
      <c r="N11928" s="5"/>
      <c r="O11928" s="5"/>
      <c r="P11928" s="5"/>
      <c r="Q11928" s="5"/>
      <c r="R11928" s="5"/>
      <c r="S11928" s="5"/>
      <c r="T11928" s="5"/>
      <c r="U11928" s="5"/>
      <c r="V11928" s="5"/>
      <c r="W11928" s="5"/>
      <c r="X11928" s="5"/>
      <c r="Y11928" s="5"/>
      <c r="Z11928" s="5"/>
    </row>
    <row r="11929" spans="1:26" ht="15" x14ac:dyDescent="0.25">
      <c r="A11929" s="4" t="s">
        <v>11926</v>
      </c>
      <c r="B11929" s="4" t="s">
        <v>9011</v>
      </c>
      <c r="C11929" s="2" t="str">
        <f ca="1">IFERROR(__xludf.DUMMYFUNCTION("GOOGLETRANSLATE(A11929,""bn"",""en"")"),"Invest properly")</f>
        <v>Invest properly</v>
      </c>
      <c r="D11929" s="5"/>
      <c r="E11929" s="5"/>
      <c r="F11929" s="5"/>
      <c r="G11929" s="5"/>
      <c r="H11929" s="5"/>
      <c r="I11929" s="5"/>
      <c r="J11929" s="5"/>
      <c r="K11929" s="5"/>
      <c r="L11929" s="5"/>
      <c r="M11929" s="5"/>
      <c r="N11929" s="5"/>
      <c r="O11929" s="5"/>
      <c r="P11929" s="5"/>
      <c r="Q11929" s="5"/>
      <c r="R11929" s="5"/>
      <c r="S11929" s="5"/>
      <c r="T11929" s="5"/>
      <c r="U11929" s="5"/>
      <c r="V11929" s="5"/>
      <c r="W11929" s="5"/>
      <c r="X11929" s="5"/>
      <c r="Y11929" s="5"/>
      <c r="Z11929" s="5"/>
    </row>
    <row r="11930" spans="1:26" ht="15" x14ac:dyDescent="0.25">
      <c r="A11930" s="4" t="s">
        <v>11927</v>
      </c>
      <c r="B11930" s="4" t="s">
        <v>9011</v>
      </c>
      <c r="C11930" s="2" t="str">
        <f ca="1">IFERROR(__xludf.DUMMYFUNCTION("GOOGLETRANSLATE(A11930,""bn"",""en"")"),"The essay will be written")</f>
        <v>The essay will be written</v>
      </c>
      <c r="D11930" s="5"/>
      <c r="E11930" s="5"/>
      <c r="F11930" s="5"/>
      <c r="G11930" s="5"/>
      <c r="H11930" s="5"/>
      <c r="I11930" s="5"/>
      <c r="J11930" s="5"/>
      <c r="K11930" s="5"/>
      <c r="L11930" s="5"/>
      <c r="M11930" s="5"/>
      <c r="N11930" s="5"/>
      <c r="O11930" s="5"/>
      <c r="P11930" s="5"/>
      <c r="Q11930" s="5"/>
      <c r="R11930" s="5"/>
      <c r="S11930" s="5"/>
      <c r="T11930" s="5"/>
      <c r="U11930" s="5"/>
      <c r="V11930" s="5"/>
      <c r="W11930" s="5"/>
      <c r="X11930" s="5"/>
      <c r="Y11930" s="5"/>
      <c r="Z11930" s="5"/>
    </row>
    <row r="11931" spans="1:26" ht="15" x14ac:dyDescent="0.25">
      <c r="A11931" s="4" t="s">
        <v>11928</v>
      </c>
      <c r="B11931" s="4" t="s">
        <v>9011</v>
      </c>
      <c r="C11931" s="2" t="str">
        <f ca="1">IFERROR(__xludf.DUMMYFUNCTION("GOOGLETRANSLATE(A11931,""bn"",""en"")"),"He will learn numbers")</f>
        <v>He will learn numbers</v>
      </c>
      <c r="D11931" s="5"/>
      <c r="E11931" s="5"/>
      <c r="F11931" s="5"/>
      <c r="G11931" s="5"/>
      <c r="H11931" s="5"/>
      <c r="I11931" s="5"/>
      <c r="J11931" s="5"/>
      <c r="K11931" s="5"/>
      <c r="L11931" s="5"/>
      <c r="M11931" s="5"/>
      <c r="N11931" s="5"/>
      <c r="O11931" s="5"/>
      <c r="P11931" s="5"/>
      <c r="Q11931" s="5"/>
      <c r="R11931" s="5"/>
      <c r="S11931" s="5"/>
      <c r="T11931" s="5"/>
      <c r="U11931" s="5"/>
      <c r="V11931" s="5"/>
      <c r="W11931" s="5"/>
      <c r="X11931" s="5"/>
      <c r="Y11931" s="5"/>
      <c r="Z11931" s="5"/>
    </row>
    <row r="11932" spans="1:26" ht="15" x14ac:dyDescent="0.25">
      <c r="A11932" s="4" t="s">
        <v>11929</v>
      </c>
      <c r="B11932" s="4" t="s">
        <v>9011</v>
      </c>
      <c r="C11932" s="2" t="str">
        <f ca="1">IFERROR(__xludf.DUMMYFUNCTION("GOOGLETRANSLATE(A11932,""bn"",""en"")"),"I will enjoy traveling")</f>
        <v>I will enjoy traveling</v>
      </c>
      <c r="D11932" s="5"/>
      <c r="E11932" s="5"/>
      <c r="F11932" s="5"/>
      <c r="G11932" s="5"/>
      <c r="H11932" s="5"/>
      <c r="I11932" s="5"/>
      <c r="J11932" s="5"/>
      <c r="K11932" s="5"/>
      <c r="L11932" s="5"/>
      <c r="M11932" s="5"/>
      <c r="N11932" s="5"/>
      <c r="O11932" s="5"/>
      <c r="P11932" s="5"/>
      <c r="Q11932" s="5"/>
      <c r="R11932" s="5"/>
      <c r="S11932" s="5"/>
      <c r="T11932" s="5"/>
      <c r="U11932" s="5"/>
      <c r="V11932" s="5"/>
      <c r="W11932" s="5"/>
      <c r="X11932" s="5"/>
      <c r="Y11932" s="5"/>
      <c r="Z11932" s="5"/>
    </row>
    <row r="11933" spans="1:26" ht="15" x14ac:dyDescent="0.25">
      <c r="A11933" s="4" t="s">
        <v>11930</v>
      </c>
      <c r="B11933" s="4" t="s">
        <v>9011</v>
      </c>
      <c r="C11933" s="2" t="str">
        <f ca="1">IFERROR(__xludf.DUMMYFUNCTION("GOOGLETRANSLATE(A11933,""bn"",""en"")"),"Loan will be accepted")</f>
        <v>Loan will be accepted</v>
      </c>
      <c r="D11933" s="5"/>
      <c r="E11933" s="5"/>
      <c r="F11933" s="5"/>
      <c r="G11933" s="5"/>
      <c r="H11933" s="5"/>
      <c r="I11933" s="5"/>
      <c r="J11933" s="5"/>
      <c r="K11933" s="5"/>
      <c r="L11933" s="5"/>
      <c r="M11933" s="5"/>
      <c r="N11933" s="5"/>
      <c r="O11933" s="5"/>
      <c r="P11933" s="5"/>
      <c r="Q11933" s="5"/>
      <c r="R11933" s="5"/>
      <c r="S11933" s="5"/>
      <c r="T11933" s="5"/>
      <c r="U11933" s="5"/>
      <c r="V11933" s="5"/>
      <c r="W11933" s="5"/>
      <c r="X11933" s="5"/>
      <c r="Y11933" s="5"/>
      <c r="Z11933" s="5"/>
    </row>
    <row r="11934" spans="1:26" ht="15" x14ac:dyDescent="0.25">
      <c r="A11934" s="4" t="s">
        <v>11931</v>
      </c>
      <c r="B11934" s="4" t="s">
        <v>9011</v>
      </c>
      <c r="C11934" s="2" t="str">
        <f ca="1">IFERROR(__xludf.DUMMYFUNCTION("GOOGLETRANSLATE(A11934,""bn"",""en"")"),"Historical discussion will continue")</f>
        <v>Historical discussion will continue</v>
      </c>
      <c r="D11934" s="5"/>
      <c r="E11934" s="5"/>
      <c r="F11934" s="5"/>
      <c r="G11934" s="5"/>
      <c r="H11934" s="5"/>
      <c r="I11934" s="5"/>
      <c r="J11934" s="5"/>
      <c r="K11934" s="5"/>
      <c r="L11934" s="5"/>
      <c r="M11934" s="5"/>
      <c r="N11934" s="5"/>
      <c r="O11934" s="5"/>
      <c r="P11934" s="5"/>
      <c r="Q11934" s="5"/>
      <c r="R11934" s="5"/>
      <c r="S11934" s="5"/>
      <c r="T11934" s="5"/>
      <c r="U11934" s="5"/>
      <c r="V11934" s="5"/>
      <c r="W11934" s="5"/>
      <c r="X11934" s="5"/>
      <c r="Y11934" s="5"/>
      <c r="Z11934" s="5"/>
    </row>
    <row r="11935" spans="1:26" ht="15" x14ac:dyDescent="0.25">
      <c r="A11935" s="4" t="s">
        <v>11932</v>
      </c>
      <c r="B11935" s="4" t="s">
        <v>9011</v>
      </c>
      <c r="C11935" s="2" t="str">
        <f ca="1">IFERROR(__xludf.DUMMYFUNCTION("GOOGLETRANSLATE(A11935,""bn"",""en"")"),"I will give bank exam")</f>
        <v>I will give bank exam</v>
      </c>
      <c r="D11935" s="5"/>
      <c r="E11935" s="5"/>
      <c r="F11935" s="5"/>
      <c r="G11935" s="5"/>
      <c r="H11935" s="5"/>
      <c r="I11935" s="5"/>
      <c r="J11935" s="5"/>
      <c r="K11935" s="5"/>
      <c r="L11935" s="5"/>
      <c r="M11935" s="5"/>
      <c r="N11935" s="5"/>
      <c r="O11935" s="5"/>
      <c r="P11935" s="5"/>
      <c r="Q11935" s="5"/>
      <c r="R11935" s="5"/>
      <c r="S11935" s="5"/>
      <c r="T11935" s="5"/>
      <c r="U11935" s="5"/>
      <c r="V11935" s="5"/>
      <c r="W11935" s="5"/>
      <c r="X11935" s="5"/>
      <c r="Y11935" s="5"/>
      <c r="Z11935" s="5"/>
    </row>
    <row r="11936" spans="1:26" ht="15" x14ac:dyDescent="0.25">
      <c r="A11936" s="4" t="s">
        <v>11933</v>
      </c>
      <c r="B11936" s="4" t="s">
        <v>9011</v>
      </c>
      <c r="C11936" s="2" t="str">
        <f ca="1">IFERROR(__xludf.DUMMYFUNCTION("GOOGLETRANSLATE(A11936,""bn"",""en"")"),"I will continue to tell the story")</f>
        <v>I will continue to tell the story</v>
      </c>
      <c r="D11936" s="5"/>
      <c r="E11936" s="5"/>
      <c r="F11936" s="5"/>
      <c r="G11936" s="5"/>
      <c r="H11936" s="5"/>
      <c r="I11936" s="5"/>
      <c r="J11936" s="5"/>
      <c r="K11936" s="5"/>
      <c r="L11936" s="5"/>
      <c r="M11936" s="5"/>
      <c r="N11936" s="5"/>
      <c r="O11936" s="5"/>
      <c r="P11936" s="5"/>
      <c r="Q11936" s="5"/>
      <c r="R11936" s="5"/>
      <c r="S11936" s="5"/>
      <c r="T11936" s="5"/>
      <c r="U11936" s="5"/>
      <c r="V11936" s="5"/>
      <c r="W11936" s="5"/>
      <c r="X11936" s="5"/>
      <c r="Y11936" s="5"/>
      <c r="Z11936" s="5"/>
    </row>
    <row r="11937" spans="1:26" ht="15" x14ac:dyDescent="0.25">
      <c r="A11937" s="4" t="s">
        <v>11934</v>
      </c>
      <c r="B11937" s="4" t="s">
        <v>9011</v>
      </c>
      <c r="C11937" s="2" t="str">
        <f ca="1">IFERROR(__xludf.DUMMYFUNCTION("GOOGLETRANSLATE(A11937,""bn"",""en"")"),"Profits will increase")</f>
        <v>Profits will increase</v>
      </c>
      <c r="D11937" s="5"/>
      <c r="E11937" s="5"/>
      <c r="F11937" s="5"/>
      <c r="G11937" s="5"/>
      <c r="H11937" s="5"/>
      <c r="I11937" s="5"/>
      <c r="J11937" s="5"/>
      <c r="K11937" s="5"/>
      <c r="L11937" s="5"/>
      <c r="M11937" s="5"/>
      <c r="N11937" s="5"/>
      <c r="O11937" s="5"/>
      <c r="P11937" s="5"/>
      <c r="Q11937" s="5"/>
      <c r="R11937" s="5"/>
      <c r="S11937" s="5"/>
      <c r="T11937" s="5"/>
      <c r="U11937" s="5"/>
      <c r="V11937" s="5"/>
      <c r="W11937" s="5"/>
      <c r="X11937" s="5"/>
      <c r="Y11937" s="5"/>
      <c r="Z11937" s="5"/>
    </row>
    <row r="11938" spans="1:26" ht="15" x14ac:dyDescent="0.25">
      <c r="A11938" s="4" t="s">
        <v>11935</v>
      </c>
      <c r="B11938" s="4" t="s">
        <v>9011</v>
      </c>
      <c r="C11938" s="2" t="str">
        <f ca="1">IFERROR(__xludf.DUMMYFUNCTION("GOOGLETRANSLATE(A11938,""bn"",""en"")"),"I will go to Hajj")</f>
        <v>I will go to Hajj</v>
      </c>
      <c r="D11938" s="5"/>
      <c r="E11938" s="5"/>
      <c r="F11938" s="5"/>
      <c r="G11938" s="5"/>
      <c r="H11938" s="5"/>
      <c r="I11938" s="5"/>
      <c r="J11938" s="5"/>
      <c r="K11938" s="5"/>
      <c r="L11938" s="5"/>
      <c r="M11938" s="5"/>
      <c r="N11938" s="5"/>
      <c r="O11938" s="5"/>
      <c r="P11938" s="5"/>
      <c r="Q11938" s="5"/>
      <c r="R11938" s="5"/>
      <c r="S11938" s="5"/>
      <c r="T11938" s="5"/>
      <c r="U11938" s="5"/>
      <c r="V11938" s="5"/>
      <c r="W11938" s="5"/>
      <c r="X11938" s="5"/>
      <c r="Y11938" s="5"/>
      <c r="Z11938" s="5"/>
    </row>
    <row r="11939" spans="1:26" ht="15" x14ac:dyDescent="0.25">
      <c r="A11939" s="4" t="s">
        <v>11936</v>
      </c>
      <c r="B11939" s="4" t="s">
        <v>9011</v>
      </c>
      <c r="C11939" s="2" t="str">
        <f ca="1">IFERROR(__xludf.DUMMYFUNCTION("GOOGLETRANSLATE(A11939,""bn"",""en"")"),"I will save the file")</f>
        <v>I will save the file</v>
      </c>
      <c r="D11939" s="5"/>
      <c r="E11939" s="5"/>
      <c r="F11939" s="5"/>
      <c r="G11939" s="5"/>
      <c r="H11939" s="5"/>
      <c r="I11939" s="5"/>
      <c r="J11939" s="5"/>
      <c r="K11939" s="5"/>
      <c r="L11939" s="5"/>
      <c r="M11939" s="5"/>
      <c r="N11939" s="5"/>
      <c r="O11939" s="5"/>
      <c r="P11939" s="5"/>
      <c r="Q11939" s="5"/>
      <c r="R11939" s="5"/>
      <c r="S11939" s="5"/>
      <c r="T11939" s="5"/>
      <c r="U11939" s="5"/>
      <c r="V11939" s="5"/>
      <c r="W11939" s="5"/>
      <c r="X11939" s="5"/>
      <c r="Y11939" s="5"/>
      <c r="Z11939" s="5"/>
    </row>
    <row r="11940" spans="1:26" ht="15" x14ac:dyDescent="0.25">
      <c r="A11940" s="4" t="s">
        <v>11937</v>
      </c>
      <c r="B11940" s="4" t="s">
        <v>9011</v>
      </c>
      <c r="C11940" s="2" t="str">
        <f ca="1">IFERROR(__xludf.DUMMYFUNCTION("GOOGLETRANSLATE(A11940,""bn"",""en"")"),"The wood will burn")</f>
        <v>The wood will burn</v>
      </c>
      <c r="D11940" s="5"/>
      <c r="E11940" s="5"/>
      <c r="F11940" s="5"/>
      <c r="G11940" s="5"/>
      <c r="H11940" s="5"/>
      <c r="I11940" s="5"/>
      <c r="J11940" s="5"/>
      <c r="K11940" s="5"/>
      <c r="L11940" s="5"/>
      <c r="M11940" s="5"/>
      <c r="N11940" s="5"/>
      <c r="O11940" s="5"/>
      <c r="P11940" s="5"/>
      <c r="Q11940" s="5"/>
      <c r="R11940" s="5"/>
      <c r="S11940" s="5"/>
      <c r="T11940" s="5"/>
      <c r="U11940" s="5"/>
      <c r="V11940" s="5"/>
      <c r="W11940" s="5"/>
      <c r="X11940" s="5"/>
      <c r="Y11940" s="5"/>
      <c r="Z11940" s="5"/>
    </row>
    <row r="11941" spans="1:26" ht="15" x14ac:dyDescent="0.25">
      <c r="A11941" s="4" t="s">
        <v>11938</v>
      </c>
      <c r="B11941" s="4" t="s">
        <v>9011</v>
      </c>
      <c r="C11941" s="2" t="str">
        <f ca="1">IFERROR(__xludf.DUMMYFUNCTION("GOOGLETRANSLATE(A11941,""bn"",""en"")"),"I will continue to read novels")</f>
        <v>I will continue to read novels</v>
      </c>
      <c r="D11941" s="5"/>
      <c r="E11941" s="5"/>
      <c r="F11941" s="5"/>
      <c r="G11941" s="5"/>
      <c r="H11941" s="5"/>
      <c r="I11941" s="5"/>
      <c r="J11941" s="5"/>
      <c r="K11941" s="5"/>
      <c r="L11941" s="5"/>
      <c r="M11941" s="5"/>
      <c r="N11941" s="5"/>
      <c r="O11941" s="5"/>
      <c r="P11941" s="5"/>
      <c r="Q11941" s="5"/>
      <c r="R11941" s="5"/>
      <c r="S11941" s="5"/>
      <c r="T11941" s="5"/>
      <c r="U11941" s="5"/>
      <c r="V11941" s="5"/>
      <c r="W11941" s="5"/>
      <c r="X11941" s="5"/>
      <c r="Y11941" s="5"/>
      <c r="Z11941" s="5"/>
    </row>
    <row r="11942" spans="1:26" ht="15" x14ac:dyDescent="0.25">
      <c r="A11942" s="4" t="s">
        <v>11939</v>
      </c>
      <c r="B11942" s="4" t="s">
        <v>9011</v>
      </c>
      <c r="C11942" s="2" t="str">
        <f ca="1">IFERROR(__xludf.DUMMYFUNCTION("GOOGLETRANSLATE(A11942,""bn"",""en"")"),"I will like it")</f>
        <v>I will like it</v>
      </c>
      <c r="D11942" s="5"/>
      <c r="E11942" s="5"/>
      <c r="F11942" s="5"/>
      <c r="G11942" s="5"/>
      <c r="H11942" s="5"/>
      <c r="I11942" s="5"/>
      <c r="J11942" s="5"/>
      <c r="K11942" s="5"/>
      <c r="L11942" s="5"/>
      <c r="M11942" s="5"/>
      <c r="N11942" s="5"/>
      <c r="O11942" s="5"/>
      <c r="P11942" s="5"/>
      <c r="Q11942" s="5"/>
      <c r="R11942" s="5"/>
      <c r="S11942" s="5"/>
      <c r="T11942" s="5"/>
      <c r="U11942" s="5"/>
      <c r="V11942" s="5"/>
      <c r="W11942" s="5"/>
      <c r="X11942" s="5"/>
      <c r="Y11942" s="5"/>
      <c r="Z11942" s="5"/>
    </row>
    <row r="11943" spans="1:26" ht="15" x14ac:dyDescent="0.25">
      <c r="A11943" s="4" t="s">
        <v>11940</v>
      </c>
      <c r="B11943" s="4" t="s">
        <v>9011</v>
      </c>
      <c r="C11943" s="2" t="str">
        <f ca="1">IFERROR(__xludf.DUMMYFUNCTION("GOOGLETRANSLATE(A11943,""bn"",""en"")"),"Read internet email")</f>
        <v>Read internet email</v>
      </c>
      <c r="D11943" s="5"/>
      <c r="E11943" s="5"/>
      <c r="F11943" s="5"/>
      <c r="G11943" s="5"/>
      <c r="H11943" s="5"/>
      <c r="I11943" s="5"/>
      <c r="J11943" s="5"/>
      <c r="K11943" s="5"/>
      <c r="L11943" s="5"/>
      <c r="M11943" s="5"/>
      <c r="N11943" s="5"/>
      <c r="O11943" s="5"/>
      <c r="P11943" s="5"/>
      <c r="Q11943" s="5"/>
      <c r="R11943" s="5"/>
      <c r="S11943" s="5"/>
      <c r="T11943" s="5"/>
      <c r="U11943" s="5"/>
      <c r="V11943" s="5"/>
      <c r="W11943" s="5"/>
      <c r="X11943" s="5"/>
      <c r="Y11943" s="5"/>
      <c r="Z11943" s="5"/>
    </row>
    <row r="11944" spans="1:26" ht="15" x14ac:dyDescent="0.25">
      <c r="A11944" s="4" t="s">
        <v>11941</v>
      </c>
      <c r="B11944" s="4" t="s">
        <v>9011</v>
      </c>
      <c r="C11944" s="2" t="str">
        <f ca="1">IFERROR(__xludf.DUMMYFUNCTION("GOOGLETRANSLATE(A11944,""bn"",""en"")"),"Machine learning will be used")</f>
        <v>Machine learning will be used</v>
      </c>
      <c r="D11944" s="5"/>
      <c r="E11944" s="5"/>
      <c r="F11944" s="5"/>
      <c r="G11944" s="5"/>
      <c r="H11944" s="5"/>
      <c r="I11944" s="5"/>
      <c r="J11944" s="5"/>
      <c r="K11944" s="5"/>
      <c r="L11944" s="5"/>
      <c r="M11944" s="5"/>
      <c r="N11944" s="5"/>
      <c r="O11944" s="5"/>
      <c r="P11944" s="5"/>
      <c r="Q11944" s="5"/>
      <c r="R11944" s="5"/>
      <c r="S11944" s="5"/>
      <c r="T11944" s="5"/>
      <c r="U11944" s="5"/>
      <c r="V11944" s="5"/>
      <c r="W11944" s="5"/>
      <c r="X11944" s="5"/>
      <c r="Y11944" s="5"/>
      <c r="Z11944" s="5"/>
    </row>
    <row r="11945" spans="1:26" ht="15" x14ac:dyDescent="0.25">
      <c r="A11945" s="4" t="s">
        <v>11942</v>
      </c>
      <c r="B11945" s="4" t="s">
        <v>9011</v>
      </c>
      <c r="C11945" s="2" t="str">
        <f ca="1">IFERROR(__xludf.DUMMYFUNCTION("GOOGLETRANSLATE(A11945,""bn"",""en"")"),"I will continue to bathe in the sea")</f>
        <v>I will continue to bathe in the sea</v>
      </c>
      <c r="D11945" s="5"/>
      <c r="E11945" s="5"/>
      <c r="F11945" s="5"/>
      <c r="G11945" s="5"/>
      <c r="H11945" s="5"/>
      <c r="I11945" s="5"/>
      <c r="J11945" s="5"/>
      <c r="K11945" s="5"/>
      <c r="L11945" s="5"/>
      <c r="M11945" s="5"/>
      <c r="N11945" s="5"/>
      <c r="O11945" s="5"/>
      <c r="P11945" s="5"/>
      <c r="Q11945" s="5"/>
      <c r="R11945" s="5"/>
      <c r="S11945" s="5"/>
      <c r="T11945" s="5"/>
      <c r="U11945" s="5"/>
      <c r="V11945" s="5"/>
      <c r="W11945" s="5"/>
      <c r="X11945" s="5"/>
      <c r="Y11945" s="5"/>
      <c r="Z11945" s="5"/>
    </row>
    <row r="11946" spans="1:26" ht="15" x14ac:dyDescent="0.25">
      <c r="A11946" s="4" t="s">
        <v>11943</v>
      </c>
      <c r="B11946" s="4" t="s">
        <v>9011</v>
      </c>
      <c r="C11946" s="2" t="str">
        <f ca="1">IFERROR(__xludf.DUMMYFUNCTION("GOOGLETRANSLATE(A11946,""bn"",""en"")"),"I will use the card")</f>
        <v>I will use the card</v>
      </c>
      <c r="D11946" s="5"/>
      <c r="E11946" s="5"/>
      <c r="F11946" s="5"/>
      <c r="G11946" s="5"/>
      <c r="H11946" s="5"/>
      <c r="I11946" s="5"/>
      <c r="J11946" s="5"/>
      <c r="K11946" s="5"/>
      <c r="L11946" s="5"/>
      <c r="M11946" s="5"/>
      <c r="N11946" s="5"/>
      <c r="O11946" s="5"/>
      <c r="P11946" s="5"/>
      <c r="Q11946" s="5"/>
      <c r="R11946" s="5"/>
      <c r="S11946" s="5"/>
      <c r="T11946" s="5"/>
      <c r="U11946" s="5"/>
      <c r="V11946" s="5"/>
      <c r="W11946" s="5"/>
      <c r="X11946" s="5"/>
      <c r="Y11946" s="5"/>
      <c r="Z11946" s="5"/>
    </row>
    <row r="11947" spans="1:26" ht="15" x14ac:dyDescent="0.25">
      <c r="A11947" s="4" t="s">
        <v>11944</v>
      </c>
      <c r="B11947" s="4" t="s">
        <v>9011</v>
      </c>
      <c r="C11947" s="2" t="str">
        <f ca="1">IFERROR(__xludf.DUMMYFUNCTION("GOOGLETRANSLATE(A11947,""bn"",""en"")"),"Teams will replace")</f>
        <v>Teams will replace</v>
      </c>
      <c r="D11947" s="5"/>
      <c r="E11947" s="5"/>
      <c r="F11947" s="5"/>
      <c r="G11947" s="5"/>
      <c r="H11947" s="5"/>
      <c r="I11947" s="5"/>
      <c r="J11947" s="5"/>
      <c r="K11947" s="5"/>
      <c r="L11947" s="5"/>
      <c r="M11947" s="5"/>
      <c r="N11947" s="5"/>
      <c r="O11947" s="5"/>
      <c r="P11947" s="5"/>
      <c r="Q11947" s="5"/>
      <c r="R11947" s="5"/>
      <c r="S11947" s="5"/>
      <c r="T11947" s="5"/>
      <c r="U11947" s="5"/>
      <c r="V11947" s="5"/>
      <c r="W11947" s="5"/>
      <c r="X11947" s="5"/>
      <c r="Y11947" s="5"/>
      <c r="Z11947" s="5"/>
    </row>
    <row r="11948" spans="1:26" ht="15" x14ac:dyDescent="0.25">
      <c r="A11948" s="4" t="s">
        <v>11945</v>
      </c>
      <c r="B11948" s="4" t="s">
        <v>9011</v>
      </c>
      <c r="C11948" s="2" t="str">
        <f ca="1">IFERROR(__xludf.DUMMYFUNCTION("GOOGLETRANSLATE(A11948,""bn"",""en"")"),"Eat necessary food")</f>
        <v>Eat necessary food</v>
      </c>
      <c r="D11948" s="5"/>
      <c r="E11948" s="5"/>
      <c r="F11948" s="5"/>
      <c r="G11948" s="5"/>
      <c r="H11948" s="5"/>
      <c r="I11948" s="5"/>
      <c r="J11948" s="5"/>
      <c r="K11948" s="5"/>
      <c r="L11948" s="5"/>
      <c r="M11948" s="5"/>
      <c r="N11948" s="5"/>
      <c r="O11948" s="5"/>
      <c r="P11948" s="5"/>
      <c r="Q11948" s="5"/>
      <c r="R11948" s="5"/>
      <c r="S11948" s="5"/>
      <c r="T11948" s="5"/>
      <c r="U11948" s="5"/>
      <c r="V11948" s="5"/>
      <c r="W11948" s="5"/>
      <c r="X11948" s="5"/>
      <c r="Y11948" s="5"/>
      <c r="Z11948" s="5"/>
    </row>
    <row r="11949" spans="1:26" ht="15" x14ac:dyDescent="0.25">
      <c r="A11949" s="4" t="s">
        <v>11946</v>
      </c>
      <c r="B11949" s="4" t="s">
        <v>9011</v>
      </c>
      <c r="C11949" s="2" t="str">
        <f ca="1">IFERROR(__xludf.DUMMYFUNCTION("GOOGLETRANSLATE(A11949,""bn"",""en"")"),"He will play games")</f>
        <v>He will play games</v>
      </c>
      <c r="D11949" s="5"/>
      <c r="E11949" s="5"/>
      <c r="F11949" s="5"/>
      <c r="G11949" s="5"/>
      <c r="H11949" s="5"/>
      <c r="I11949" s="5"/>
      <c r="J11949" s="5"/>
      <c r="K11949" s="5"/>
      <c r="L11949" s="5"/>
      <c r="M11949" s="5"/>
      <c r="N11949" s="5"/>
      <c r="O11949" s="5"/>
      <c r="P11949" s="5"/>
      <c r="Q11949" s="5"/>
      <c r="R11949" s="5"/>
      <c r="S11949" s="5"/>
      <c r="T11949" s="5"/>
      <c r="U11949" s="5"/>
      <c r="V11949" s="5"/>
      <c r="W11949" s="5"/>
      <c r="X11949" s="5"/>
      <c r="Y11949" s="5"/>
      <c r="Z11949" s="5"/>
    </row>
    <row r="11950" spans="1:26" ht="15" x14ac:dyDescent="0.25">
      <c r="A11950" s="4" t="s">
        <v>11947</v>
      </c>
      <c r="B11950" s="4" t="s">
        <v>9011</v>
      </c>
      <c r="C11950" s="2" t="str">
        <f ca="1">IFERROR(__xludf.DUMMYFUNCTION("GOOGLETRANSLATE(A11950,""bn"",""en"")"),"Salaries of employees will increase")</f>
        <v>Salaries of employees will increase</v>
      </c>
      <c r="D11950" s="5"/>
      <c r="E11950" s="5"/>
      <c r="F11950" s="5"/>
      <c r="G11950" s="5"/>
      <c r="H11950" s="5"/>
      <c r="I11950" s="5"/>
      <c r="J11950" s="5"/>
      <c r="K11950" s="5"/>
      <c r="L11950" s="5"/>
      <c r="M11950" s="5"/>
      <c r="N11950" s="5"/>
      <c r="O11950" s="5"/>
      <c r="P11950" s="5"/>
      <c r="Q11950" s="5"/>
      <c r="R11950" s="5"/>
      <c r="S11950" s="5"/>
      <c r="T11950" s="5"/>
      <c r="U11950" s="5"/>
      <c r="V11950" s="5"/>
      <c r="W11950" s="5"/>
      <c r="X11950" s="5"/>
      <c r="Y11950" s="5"/>
      <c r="Z11950" s="5"/>
    </row>
    <row r="11951" spans="1:26" ht="15" x14ac:dyDescent="0.25">
      <c r="A11951" s="4" t="s">
        <v>11948</v>
      </c>
      <c r="B11951" s="4" t="s">
        <v>9011</v>
      </c>
      <c r="C11951" s="2" t="str">
        <f ca="1">IFERROR(__xludf.DUMMYFUNCTION("GOOGLETRANSLATE(A11951,""bn"",""en"")"),"Will test the code")</f>
        <v>Will test the code</v>
      </c>
      <c r="D11951" s="5"/>
      <c r="E11951" s="5"/>
      <c r="F11951" s="5"/>
      <c r="G11951" s="5"/>
      <c r="H11951" s="5"/>
      <c r="I11951" s="5"/>
      <c r="J11951" s="5"/>
      <c r="K11951" s="5"/>
      <c r="L11951" s="5"/>
      <c r="M11951" s="5"/>
      <c r="N11951" s="5"/>
      <c r="O11951" s="5"/>
      <c r="P11951" s="5"/>
      <c r="Q11951" s="5"/>
      <c r="R11951" s="5"/>
      <c r="S11951" s="5"/>
      <c r="T11951" s="5"/>
      <c r="U11951" s="5"/>
      <c r="V11951" s="5"/>
      <c r="W11951" s="5"/>
      <c r="X11951" s="5"/>
      <c r="Y11951" s="5"/>
      <c r="Z11951" s="5"/>
    </row>
    <row r="11952" spans="1:26" ht="15" x14ac:dyDescent="0.25">
      <c r="A11952" s="4" t="s">
        <v>11949</v>
      </c>
      <c r="B11952" s="4" t="s">
        <v>9011</v>
      </c>
      <c r="C11952" s="2" t="str">
        <f ca="1">IFERROR(__xludf.DUMMYFUNCTION("GOOGLETRANSLATE(A11952,""bn"",""en"")"),"You have to prepare")</f>
        <v>You have to prepare</v>
      </c>
      <c r="D11952" s="5"/>
      <c r="E11952" s="5"/>
      <c r="F11952" s="5"/>
      <c r="G11952" s="5"/>
      <c r="H11952" s="5"/>
      <c r="I11952" s="5"/>
      <c r="J11952" s="5"/>
      <c r="K11952" s="5"/>
      <c r="L11952" s="5"/>
      <c r="M11952" s="5"/>
      <c r="N11952" s="5"/>
      <c r="O11952" s="5"/>
      <c r="P11952" s="5"/>
      <c r="Q11952" s="5"/>
      <c r="R11952" s="5"/>
      <c r="S11952" s="5"/>
      <c r="T11952" s="5"/>
      <c r="U11952" s="5"/>
      <c r="V11952" s="5"/>
      <c r="W11952" s="5"/>
      <c r="X11952" s="5"/>
      <c r="Y11952" s="5"/>
      <c r="Z11952" s="5"/>
    </row>
    <row r="11953" spans="1:26" ht="15" x14ac:dyDescent="0.25">
      <c r="A11953" s="4" t="s">
        <v>11950</v>
      </c>
      <c r="B11953" s="4" t="s">
        <v>9011</v>
      </c>
      <c r="C11953" s="2" t="str">
        <f ca="1">IFERROR(__xludf.DUMMYFUNCTION("GOOGLETRANSLATE(A11953,""bn"",""en"")"),"Humans will go to Mars")</f>
        <v>Humans will go to Mars</v>
      </c>
      <c r="D11953" s="5"/>
      <c r="E11953" s="5"/>
      <c r="F11953" s="5"/>
      <c r="G11953" s="5"/>
      <c r="H11953" s="5"/>
      <c r="I11953" s="5"/>
      <c r="J11953" s="5"/>
      <c r="K11953" s="5"/>
      <c r="L11953" s="5"/>
      <c r="M11953" s="5"/>
      <c r="N11953" s="5"/>
      <c r="O11953" s="5"/>
      <c r="P11953" s="5"/>
      <c r="Q11953" s="5"/>
      <c r="R11953" s="5"/>
      <c r="S11953" s="5"/>
      <c r="T11953" s="5"/>
      <c r="U11953" s="5"/>
      <c r="V11953" s="5"/>
      <c r="W11953" s="5"/>
      <c r="X11953" s="5"/>
      <c r="Y11953" s="5"/>
      <c r="Z11953" s="5"/>
    </row>
    <row r="11954" spans="1:26" ht="15" x14ac:dyDescent="0.25">
      <c r="A11954" s="4" t="s">
        <v>11951</v>
      </c>
      <c r="B11954" s="4" t="s">
        <v>9011</v>
      </c>
      <c r="C11954" s="2" t="str">
        <f ca="1">IFERROR(__xludf.DUMMYFUNCTION("GOOGLETRANSLATE(A11954,""bn"",""en"")"),"You will buy chocolate")</f>
        <v>You will buy chocolate</v>
      </c>
      <c r="D11954" s="5"/>
      <c r="E11954" s="5"/>
      <c r="F11954" s="5"/>
      <c r="G11954" s="5"/>
      <c r="H11954" s="5"/>
      <c r="I11954" s="5"/>
      <c r="J11954" s="5"/>
      <c r="K11954" s="5"/>
      <c r="L11954" s="5"/>
      <c r="M11954" s="5"/>
      <c r="N11954" s="5"/>
      <c r="O11954" s="5"/>
      <c r="P11954" s="5"/>
      <c r="Q11954" s="5"/>
      <c r="R11954" s="5"/>
      <c r="S11954" s="5"/>
      <c r="T11954" s="5"/>
      <c r="U11954" s="5"/>
      <c r="V11954" s="5"/>
      <c r="W11954" s="5"/>
      <c r="X11954" s="5"/>
      <c r="Y11954" s="5"/>
      <c r="Z11954" s="5"/>
    </row>
    <row r="11955" spans="1:26" ht="15" x14ac:dyDescent="0.25">
      <c r="A11955" s="4" t="s">
        <v>11952</v>
      </c>
      <c r="B11955" s="4" t="s">
        <v>9011</v>
      </c>
      <c r="C11955" s="2" t="str">
        <f ca="1">IFERROR(__xludf.DUMMYFUNCTION("GOOGLETRANSLATE(A11955,""bn"",""en"")"),"There will be mechanical work")</f>
        <v>There will be mechanical work</v>
      </c>
      <c r="D11955" s="5"/>
      <c r="E11955" s="5"/>
      <c r="F11955" s="5"/>
      <c r="G11955" s="5"/>
      <c r="H11955" s="5"/>
      <c r="I11955" s="5"/>
      <c r="J11955" s="5"/>
      <c r="K11955" s="5"/>
      <c r="L11955" s="5"/>
      <c r="M11955" s="5"/>
      <c r="N11955" s="5"/>
      <c r="O11955" s="5"/>
      <c r="P11955" s="5"/>
      <c r="Q11955" s="5"/>
      <c r="R11955" s="5"/>
      <c r="S11955" s="5"/>
      <c r="T11955" s="5"/>
      <c r="U11955" s="5"/>
      <c r="V11955" s="5"/>
      <c r="W11955" s="5"/>
      <c r="X11955" s="5"/>
      <c r="Y11955" s="5"/>
      <c r="Z11955" s="5"/>
    </row>
    <row r="11956" spans="1:26" ht="15" x14ac:dyDescent="0.25">
      <c r="A11956" s="4" t="s">
        <v>11953</v>
      </c>
      <c r="B11956" s="4" t="s">
        <v>9011</v>
      </c>
      <c r="C11956" s="2" t="str">
        <f ca="1">IFERROR(__xludf.DUMMYFUNCTION("GOOGLETRANSLATE(A11956,""bn"",""en"")"),"I will order coffee")</f>
        <v>I will order coffee</v>
      </c>
      <c r="D11956" s="5"/>
      <c r="E11956" s="5"/>
      <c r="F11956" s="5"/>
      <c r="G11956" s="5"/>
      <c r="H11956" s="5"/>
      <c r="I11956" s="5"/>
      <c r="J11956" s="5"/>
      <c r="K11956" s="5"/>
      <c r="L11956" s="5"/>
      <c r="M11956" s="5"/>
      <c r="N11956" s="5"/>
      <c r="O11956" s="5"/>
      <c r="P11956" s="5"/>
      <c r="Q11956" s="5"/>
      <c r="R11956" s="5"/>
      <c r="S11956" s="5"/>
      <c r="T11956" s="5"/>
      <c r="U11956" s="5"/>
      <c r="V11956" s="5"/>
      <c r="W11956" s="5"/>
      <c r="X11956" s="5"/>
      <c r="Y11956" s="5"/>
      <c r="Z11956" s="5"/>
    </row>
    <row r="11957" spans="1:26" ht="15" x14ac:dyDescent="0.25">
      <c r="A11957" s="4" t="s">
        <v>11954</v>
      </c>
      <c r="B11957" s="4" t="s">
        <v>9011</v>
      </c>
      <c r="C11957" s="2" t="str">
        <f ca="1">IFERROR(__xludf.DUMMYFUNCTION("GOOGLETRANSLATE(A11957,""bn"",""en"")"),"Data will sync")</f>
        <v>Data will sync</v>
      </c>
      <c r="D11957" s="5"/>
      <c r="E11957" s="5"/>
      <c r="F11957" s="5"/>
      <c r="G11957" s="5"/>
      <c r="H11957" s="5"/>
      <c r="I11957" s="5"/>
      <c r="J11957" s="5"/>
      <c r="K11957" s="5"/>
      <c r="L11957" s="5"/>
      <c r="M11957" s="5"/>
      <c r="N11957" s="5"/>
      <c r="O11957" s="5"/>
      <c r="P11957" s="5"/>
      <c r="Q11957" s="5"/>
      <c r="R11957" s="5"/>
      <c r="S11957" s="5"/>
      <c r="T11957" s="5"/>
      <c r="U11957" s="5"/>
      <c r="V11957" s="5"/>
      <c r="W11957" s="5"/>
      <c r="X11957" s="5"/>
      <c r="Y11957" s="5"/>
      <c r="Z11957" s="5"/>
    </row>
    <row r="11958" spans="1:26" ht="15" x14ac:dyDescent="0.25">
      <c r="A11958" s="4" t="s">
        <v>11955</v>
      </c>
      <c r="B11958" s="4" t="s">
        <v>9011</v>
      </c>
      <c r="C11958" s="2" t="str">
        <f ca="1">IFERROR(__xludf.DUMMYFUNCTION("GOOGLETRANSLATE(A11958,""bn"",""en"")"),"I will waive the loan")</f>
        <v>I will waive the loan</v>
      </c>
      <c r="D11958" s="5"/>
      <c r="E11958" s="5"/>
      <c r="F11958" s="5"/>
      <c r="G11958" s="5"/>
      <c r="H11958" s="5"/>
      <c r="I11958" s="5"/>
      <c r="J11958" s="5"/>
      <c r="K11958" s="5"/>
      <c r="L11958" s="5"/>
      <c r="M11958" s="5"/>
      <c r="N11958" s="5"/>
      <c r="O11958" s="5"/>
      <c r="P11958" s="5"/>
      <c r="Q11958" s="5"/>
      <c r="R11958" s="5"/>
      <c r="S11958" s="5"/>
      <c r="T11958" s="5"/>
      <c r="U11958" s="5"/>
      <c r="V11958" s="5"/>
      <c r="W11958" s="5"/>
      <c r="X11958" s="5"/>
      <c r="Y11958" s="5"/>
      <c r="Z11958" s="5"/>
    </row>
    <row r="11959" spans="1:26" ht="15" x14ac:dyDescent="0.25">
      <c r="A11959" s="4" t="s">
        <v>11956</v>
      </c>
      <c r="B11959" s="4" t="s">
        <v>9011</v>
      </c>
      <c r="C11959" s="2" t="str">
        <f ca="1">IFERROR(__xludf.DUMMYFUNCTION("GOOGLETRANSLATE(A11959,""bn"",""en"")"),"Security will increase")</f>
        <v>Security will increase</v>
      </c>
      <c r="D11959" s="5"/>
      <c r="E11959" s="5"/>
      <c r="F11959" s="5"/>
      <c r="G11959" s="5"/>
      <c r="H11959" s="5"/>
      <c r="I11959" s="5"/>
      <c r="J11959" s="5"/>
      <c r="K11959" s="5"/>
      <c r="L11959" s="5"/>
      <c r="M11959" s="5"/>
      <c r="N11959" s="5"/>
      <c r="O11959" s="5"/>
      <c r="P11959" s="5"/>
      <c r="Q11959" s="5"/>
      <c r="R11959" s="5"/>
      <c r="S11959" s="5"/>
      <c r="T11959" s="5"/>
      <c r="U11959" s="5"/>
      <c r="V11959" s="5"/>
      <c r="W11959" s="5"/>
      <c r="X11959" s="5"/>
      <c r="Y11959" s="5"/>
      <c r="Z11959" s="5"/>
    </row>
    <row r="11960" spans="1:26" ht="15" x14ac:dyDescent="0.25">
      <c r="A11960" s="4" t="s">
        <v>11957</v>
      </c>
      <c r="B11960" s="4" t="s">
        <v>9011</v>
      </c>
      <c r="C11960" s="2" t="str">
        <f ca="1">IFERROR(__xludf.DUMMYFUNCTION("GOOGLETRANSLATE(A11960,""bn"",""en"")"),"Will bring changes in initiative")</f>
        <v>Will bring changes in initiative</v>
      </c>
      <c r="D11960" s="5"/>
      <c r="E11960" s="5"/>
      <c r="F11960" s="5"/>
      <c r="G11960" s="5"/>
      <c r="H11960" s="5"/>
      <c r="I11960" s="5"/>
      <c r="J11960" s="5"/>
      <c r="K11960" s="5"/>
      <c r="L11960" s="5"/>
      <c r="M11960" s="5"/>
      <c r="N11960" s="5"/>
      <c r="O11960" s="5"/>
      <c r="P11960" s="5"/>
      <c r="Q11960" s="5"/>
      <c r="R11960" s="5"/>
      <c r="S11960" s="5"/>
      <c r="T11960" s="5"/>
      <c r="U11960" s="5"/>
      <c r="V11960" s="5"/>
      <c r="W11960" s="5"/>
      <c r="X11960" s="5"/>
      <c r="Y11960" s="5"/>
      <c r="Z11960" s="5"/>
    </row>
    <row r="11961" spans="1:26" ht="15" x14ac:dyDescent="0.25">
      <c r="A11961" s="4" t="s">
        <v>11958</v>
      </c>
      <c r="B11961" s="4" t="s">
        <v>9011</v>
      </c>
      <c r="C11961" s="2" t="str">
        <f ca="1">IFERROR(__xludf.DUMMYFUNCTION("GOOGLETRANSLATE(A11961,""bn"",""en"")"),"I will continue to deposit the balance")</f>
        <v>I will continue to deposit the balance</v>
      </c>
      <c r="D11961" s="5"/>
      <c r="E11961" s="5"/>
      <c r="F11961" s="5"/>
      <c r="G11961" s="5"/>
      <c r="H11961" s="5"/>
      <c r="I11961" s="5"/>
      <c r="J11961" s="5"/>
      <c r="K11961" s="5"/>
      <c r="L11961" s="5"/>
      <c r="M11961" s="5"/>
      <c r="N11961" s="5"/>
      <c r="O11961" s="5"/>
      <c r="P11961" s="5"/>
      <c r="Q11961" s="5"/>
      <c r="R11961" s="5"/>
      <c r="S11961" s="5"/>
      <c r="T11961" s="5"/>
      <c r="U11961" s="5"/>
      <c r="V11961" s="5"/>
      <c r="W11961" s="5"/>
      <c r="X11961" s="5"/>
      <c r="Y11961" s="5"/>
      <c r="Z11961" s="5"/>
    </row>
    <row r="11962" spans="1:26" ht="15" x14ac:dyDescent="0.25">
      <c r="A11962" s="4" t="s">
        <v>11959</v>
      </c>
      <c r="B11962" s="4" t="s">
        <v>9011</v>
      </c>
      <c r="C11962" s="2" t="str">
        <f ca="1">IFERROR(__xludf.DUMMYFUNCTION("GOOGLETRANSLATE(A11962,""bn"",""en"")"),"Will lose weight")</f>
        <v>Will lose weight</v>
      </c>
      <c r="D11962" s="5"/>
      <c r="E11962" s="5"/>
      <c r="F11962" s="5"/>
      <c r="G11962" s="5"/>
      <c r="H11962" s="5"/>
      <c r="I11962" s="5"/>
      <c r="J11962" s="5"/>
      <c r="K11962" s="5"/>
      <c r="L11962" s="5"/>
      <c r="M11962" s="5"/>
      <c r="N11962" s="5"/>
      <c r="O11962" s="5"/>
      <c r="P11962" s="5"/>
      <c r="Q11962" s="5"/>
      <c r="R11962" s="5"/>
      <c r="S11962" s="5"/>
      <c r="T11962" s="5"/>
      <c r="U11962" s="5"/>
      <c r="V11962" s="5"/>
      <c r="W11962" s="5"/>
      <c r="X11962" s="5"/>
      <c r="Y11962" s="5"/>
      <c r="Z11962" s="5"/>
    </row>
    <row r="11963" spans="1:26" ht="15" x14ac:dyDescent="0.25">
      <c r="A11963" s="4" t="s">
        <v>11960</v>
      </c>
      <c r="B11963" s="4" t="s">
        <v>9011</v>
      </c>
      <c r="C11963" s="2" t="str">
        <f ca="1">IFERROR(__xludf.DUMMYFUNCTION("GOOGLETRANSLATE(A11963,""bn"",""en"")"),"File will be shared")</f>
        <v>File will be shared</v>
      </c>
      <c r="D11963" s="5"/>
      <c r="E11963" s="5"/>
      <c r="F11963" s="5"/>
      <c r="G11963" s="5"/>
      <c r="H11963" s="5"/>
      <c r="I11963" s="5"/>
      <c r="J11963" s="5"/>
      <c r="K11963" s="5"/>
      <c r="L11963" s="5"/>
      <c r="M11963" s="5"/>
      <c r="N11963" s="5"/>
      <c r="O11963" s="5"/>
      <c r="P11963" s="5"/>
      <c r="Q11963" s="5"/>
      <c r="R11963" s="5"/>
      <c r="S11963" s="5"/>
      <c r="T11963" s="5"/>
      <c r="U11963" s="5"/>
      <c r="V11963" s="5"/>
      <c r="W11963" s="5"/>
      <c r="X11963" s="5"/>
      <c r="Y11963" s="5"/>
      <c r="Z11963" s="5"/>
    </row>
    <row r="11964" spans="1:26" ht="15" x14ac:dyDescent="0.25">
      <c r="A11964" s="4" t="s">
        <v>11961</v>
      </c>
      <c r="B11964" s="4" t="s">
        <v>9011</v>
      </c>
      <c r="C11964" s="2" t="str">
        <f ca="1">IFERROR(__xludf.DUMMYFUNCTION("GOOGLETRANSLATE(A11964,""bn"",""en"")"),"I will open the door of knowledge")</f>
        <v>I will open the door of knowledge</v>
      </c>
      <c r="D11964" s="5"/>
      <c r="E11964" s="5"/>
      <c r="F11964" s="5"/>
      <c r="G11964" s="5"/>
      <c r="H11964" s="5"/>
      <c r="I11964" s="5"/>
      <c r="J11964" s="5"/>
      <c r="K11964" s="5"/>
      <c r="L11964" s="5"/>
      <c r="M11964" s="5"/>
      <c r="N11964" s="5"/>
      <c r="O11964" s="5"/>
      <c r="P11964" s="5"/>
      <c r="Q11964" s="5"/>
      <c r="R11964" s="5"/>
      <c r="S11964" s="5"/>
      <c r="T11964" s="5"/>
      <c r="U11964" s="5"/>
      <c r="V11964" s="5"/>
      <c r="W11964" s="5"/>
      <c r="X11964" s="5"/>
      <c r="Y11964" s="5"/>
      <c r="Z11964" s="5"/>
    </row>
    <row r="11965" spans="1:26" ht="15" x14ac:dyDescent="0.25">
      <c r="A11965" s="4" t="s">
        <v>11962</v>
      </c>
      <c r="B11965" s="4" t="s">
        <v>9011</v>
      </c>
      <c r="C11965" s="2" t="str">
        <f ca="1">IFERROR(__xludf.DUMMYFUNCTION("GOOGLETRANSLATE(A11965,""bn"",""en"")"),"I will write the sound")</f>
        <v>I will write the sound</v>
      </c>
      <c r="D11965" s="5"/>
      <c r="E11965" s="5"/>
      <c r="F11965" s="5"/>
      <c r="G11965" s="5"/>
      <c r="H11965" s="5"/>
      <c r="I11965" s="5"/>
      <c r="J11965" s="5"/>
      <c r="K11965" s="5"/>
      <c r="L11965" s="5"/>
      <c r="M11965" s="5"/>
      <c r="N11965" s="5"/>
      <c r="O11965" s="5"/>
      <c r="P11965" s="5"/>
      <c r="Q11965" s="5"/>
      <c r="R11965" s="5"/>
      <c r="S11965" s="5"/>
      <c r="T11965" s="5"/>
      <c r="U11965" s="5"/>
      <c r="V11965" s="5"/>
      <c r="W11965" s="5"/>
      <c r="X11965" s="5"/>
      <c r="Y11965" s="5"/>
      <c r="Z11965" s="5"/>
    </row>
    <row r="11966" spans="1:26" ht="15" x14ac:dyDescent="0.25">
      <c r="A11966" s="4" t="s">
        <v>11963</v>
      </c>
      <c r="B11966" s="4" t="s">
        <v>9011</v>
      </c>
      <c r="C11966" s="2" t="str">
        <f ca="1">IFERROR(__xludf.DUMMYFUNCTION("GOOGLETRANSLATE(A11966,""bn"",""en"")"),"I will run more internet")</f>
        <v>I will run more internet</v>
      </c>
      <c r="D11966" s="5"/>
      <c r="E11966" s="5"/>
      <c r="F11966" s="5"/>
      <c r="G11966" s="5"/>
      <c r="H11966" s="5"/>
      <c r="I11966" s="5"/>
      <c r="J11966" s="5"/>
      <c r="K11966" s="5"/>
      <c r="L11966" s="5"/>
      <c r="M11966" s="5"/>
      <c r="N11966" s="5"/>
      <c r="O11966" s="5"/>
      <c r="P11966" s="5"/>
      <c r="Q11966" s="5"/>
      <c r="R11966" s="5"/>
      <c r="S11966" s="5"/>
      <c r="T11966" s="5"/>
      <c r="U11966" s="5"/>
      <c r="V11966" s="5"/>
      <c r="W11966" s="5"/>
      <c r="X11966" s="5"/>
      <c r="Y11966" s="5"/>
      <c r="Z11966" s="5"/>
    </row>
    <row r="11967" spans="1:26" ht="15" x14ac:dyDescent="0.25">
      <c r="A11967" s="4" t="s">
        <v>11964</v>
      </c>
      <c r="B11967" s="4" t="s">
        <v>9011</v>
      </c>
      <c r="C11967" s="2" t="str">
        <f ca="1">IFERROR(__xludf.DUMMYFUNCTION("GOOGLETRANSLATE(A11967,""bn"",""en"")"),"I will test")</f>
        <v>I will test</v>
      </c>
      <c r="D11967" s="5"/>
      <c r="E11967" s="5"/>
      <c r="F11967" s="5"/>
      <c r="G11967" s="5"/>
      <c r="H11967" s="5"/>
      <c r="I11967" s="5"/>
      <c r="J11967" s="5"/>
      <c r="K11967" s="5"/>
      <c r="L11967" s="5"/>
      <c r="M11967" s="5"/>
      <c r="N11967" s="5"/>
      <c r="O11967" s="5"/>
      <c r="P11967" s="5"/>
      <c r="Q11967" s="5"/>
      <c r="R11967" s="5"/>
      <c r="S11967" s="5"/>
      <c r="T11967" s="5"/>
      <c r="U11967" s="5"/>
      <c r="V11967" s="5"/>
      <c r="W11967" s="5"/>
      <c r="X11967" s="5"/>
      <c r="Y11967" s="5"/>
      <c r="Z11967" s="5"/>
    </row>
    <row r="11968" spans="1:26" ht="15" x14ac:dyDescent="0.25">
      <c r="A11968" s="4" t="s">
        <v>11965</v>
      </c>
      <c r="B11968" s="4" t="s">
        <v>9011</v>
      </c>
      <c r="C11968" s="2" t="str">
        <f ca="1">IFERROR(__xludf.DUMMYFUNCTION("GOOGLETRANSLATE(A11968,""bn"",""en"")"),"The Taj Mahal will be visible")</f>
        <v>The Taj Mahal will be visible</v>
      </c>
      <c r="D11968" s="5"/>
      <c r="E11968" s="5"/>
      <c r="F11968" s="5"/>
      <c r="G11968" s="5"/>
      <c r="H11968" s="5"/>
      <c r="I11968" s="5"/>
      <c r="J11968" s="5"/>
      <c r="K11968" s="5"/>
      <c r="L11968" s="5"/>
      <c r="M11968" s="5"/>
      <c r="N11968" s="5"/>
      <c r="O11968" s="5"/>
      <c r="P11968" s="5"/>
      <c r="Q11968" s="5"/>
      <c r="R11968" s="5"/>
      <c r="S11968" s="5"/>
      <c r="T11968" s="5"/>
      <c r="U11968" s="5"/>
      <c r="V11968" s="5"/>
      <c r="W11968" s="5"/>
      <c r="X11968" s="5"/>
      <c r="Y11968" s="5"/>
      <c r="Z11968" s="5"/>
    </row>
    <row r="11969" spans="1:26" ht="15" x14ac:dyDescent="0.25">
      <c r="A11969" s="4" t="s">
        <v>11966</v>
      </c>
      <c r="B11969" s="4" t="s">
        <v>9011</v>
      </c>
      <c r="C11969" s="2" t="str">
        <f ca="1">IFERROR(__xludf.DUMMYFUNCTION("GOOGLETRANSLATE(A11969,""bn"",""en"")"),"I will eat pulses and rice")</f>
        <v>I will eat pulses and rice</v>
      </c>
      <c r="D11969" s="5"/>
      <c r="E11969" s="5"/>
      <c r="F11969" s="5"/>
      <c r="G11969" s="5"/>
      <c r="H11969" s="5"/>
      <c r="I11969" s="5"/>
      <c r="J11969" s="5"/>
      <c r="K11969" s="5"/>
      <c r="L11969" s="5"/>
      <c r="M11969" s="5"/>
      <c r="N11969" s="5"/>
      <c r="O11969" s="5"/>
      <c r="P11969" s="5"/>
      <c r="Q11969" s="5"/>
      <c r="R11969" s="5"/>
      <c r="S11969" s="5"/>
      <c r="T11969" s="5"/>
      <c r="U11969" s="5"/>
      <c r="V11969" s="5"/>
      <c r="W11969" s="5"/>
      <c r="X11969" s="5"/>
      <c r="Y11969" s="5"/>
      <c r="Z11969" s="5"/>
    </row>
    <row r="11970" spans="1:26" ht="15" x14ac:dyDescent="0.25">
      <c r="A11970" s="4" t="s">
        <v>11967</v>
      </c>
      <c r="B11970" s="4" t="s">
        <v>9011</v>
      </c>
      <c r="C11970" s="2" t="str">
        <f ca="1">IFERROR(__xludf.DUMMYFUNCTION("GOOGLETRANSLATE(A11970,""bn"",""en"")"),"I will go to the Taj Mahal")</f>
        <v>I will go to the Taj Mahal</v>
      </c>
      <c r="D11970" s="5"/>
      <c r="E11970" s="5"/>
      <c r="F11970" s="5"/>
      <c r="G11970" s="5"/>
      <c r="H11970" s="5"/>
      <c r="I11970" s="5"/>
      <c r="J11970" s="5"/>
      <c r="K11970" s="5"/>
      <c r="L11970" s="5"/>
      <c r="M11970" s="5"/>
      <c r="N11970" s="5"/>
      <c r="O11970" s="5"/>
      <c r="P11970" s="5"/>
      <c r="Q11970" s="5"/>
      <c r="R11970" s="5"/>
      <c r="S11970" s="5"/>
      <c r="T11970" s="5"/>
      <c r="U11970" s="5"/>
      <c r="V11970" s="5"/>
      <c r="W11970" s="5"/>
      <c r="X11970" s="5"/>
      <c r="Y11970" s="5"/>
      <c r="Z11970" s="5"/>
    </row>
    <row r="11971" spans="1:26" ht="15" x14ac:dyDescent="0.25">
      <c r="A11971" s="4" t="s">
        <v>11968</v>
      </c>
      <c r="B11971" s="4" t="s">
        <v>9011</v>
      </c>
      <c r="C11971" s="2" t="str">
        <f ca="1">IFERROR(__xludf.DUMMYFUNCTION("GOOGLETRANSLATE(A11971,""bn"",""en"")"),"I will perform Hajj")</f>
        <v>I will perform Hajj</v>
      </c>
      <c r="D11971" s="5"/>
      <c r="E11971" s="5"/>
      <c r="F11971" s="5"/>
      <c r="G11971" s="5"/>
      <c r="H11971" s="5"/>
      <c r="I11971" s="5"/>
      <c r="J11971" s="5"/>
      <c r="K11971" s="5"/>
      <c r="L11971" s="5"/>
      <c r="M11971" s="5"/>
      <c r="N11971" s="5"/>
      <c r="O11971" s="5"/>
      <c r="P11971" s="5"/>
      <c r="Q11971" s="5"/>
      <c r="R11971" s="5"/>
      <c r="S11971" s="5"/>
      <c r="T11971" s="5"/>
      <c r="U11971" s="5"/>
      <c r="V11971" s="5"/>
      <c r="W11971" s="5"/>
      <c r="X11971" s="5"/>
      <c r="Y11971" s="5"/>
      <c r="Z11971" s="5"/>
    </row>
    <row r="11972" spans="1:26" ht="15" x14ac:dyDescent="0.25">
      <c r="A11972" s="4" t="s">
        <v>11969</v>
      </c>
      <c r="B11972" s="4" t="s">
        <v>9011</v>
      </c>
      <c r="C11972" s="2" t="str">
        <f ca="1">IFERROR(__xludf.DUMMYFUNCTION("GOOGLETRANSLATE(A11972,""bn"",""en"")"),"System will be optimized")</f>
        <v>System will be optimized</v>
      </c>
      <c r="D11972" s="5"/>
      <c r="E11972" s="5"/>
      <c r="F11972" s="5"/>
      <c r="G11972" s="5"/>
      <c r="H11972" s="5"/>
      <c r="I11972" s="5"/>
      <c r="J11972" s="5"/>
      <c r="K11972" s="5"/>
      <c r="L11972" s="5"/>
      <c r="M11972" s="5"/>
      <c r="N11972" s="5"/>
      <c r="O11972" s="5"/>
      <c r="P11972" s="5"/>
      <c r="Q11972" s="5"/>
      <c r="R11972" s="5"/>
      <c r="S11972" s="5"/>
      <c r="T11972" s="5"/>
      <c r="U11972" s="5"/>
      <c r="V11972" s="5"/>
      <c r="W11972" s="5"/>
      <c r="X11972" s="5"/>
      <c r="Y11972" s="5"/>
      <c r="Z11972" s="5"/>
    </row>
    <row r="11973" spans="1:26" ht="15" x14ac:dyDescent="0.25">
      <c r="A11973" s="4" t="s">
        <v>11970</v>
      </c>
      <c r="B11973" s="4" t="s">
        <v>9011</v>
      </c>
      <c r="C11973" s="2" t="str">
        <f ca="1">IFERROR(__xludf.DUMMYFUNCTION("GOOGLETRANSLATE(A11973,""bn"",""en"")"),"Will continue to seek honest advice")</f>
        <v>Will continue to seek honest advice</v>
      </c>
      <c r="D11973" s="5"/>
      <c r="E11973" s="5"/>
      <c r="F11973" s="5"/>
      <c r="G11973" s="5"/>
      <c r="H11973" s="5"/>
      <c r="I11973" s="5"/>
      <c r="J11973" s="5"/>
      <c r="K11973" s="5"/>
      <c r="L11973" s="5"/>
      <c r="M11973" s="5"/>
      <c r="N11973" s="5"/>
      <c r="O11973" s="5"/>
      <c r="P11973" s="5"/>
      <c r="Q11973" s="5"/>
      <c r="R11973" s="5"/>
      <c r="S11973" s="5"/>
      <c r="T11973" s="5"/>
      <c r="U11973" s="5"/>
      <c r="V11973" s="5"/>
      <c r="W11973" s="5"/>
      <c r="X11973" s="5"/>
      <c r="Y11973" s="5"/>
      <c r="Z11973" s="5"/>
    </row>
    <row r="11974" spans="1:26" ht="15" x14ac:dyDescent="0.25">
      <c r="A11974" s="4" t="s">
        <v>11971</v>
      </c>
      <c r="B11974" s="4" t="s">
        <v>9011</v>
      </c>
      <c r="C11974" s="2" t="str">
        <f ca="1">IFERROR(__xludf.DUMMYFUNCTION("GOOGLETRANSLATE(A11974,""bn"",""en"")"),"Must go to TSC")</f>
        <v>Must go to TSC</v>
      </c>
      <c r="D11974" s="5"/>
      <c r="E11974" s="5"/>
      <c r="F11974" s="5"/>
      <c r="G11974" s="5"/>
      <c r="H11974" s="5"/>
      <c r="I11974" s="5"/>
      <c r="J11974" s="5"/>
      <c r="K11974" s="5"/>
      <c r="L11974" s="5"/>
      <c r="M11974" s="5"/>
      <c r="N11974" s="5"/>
      <c r="O11974" s="5"/>
      <c r="P11974" s="5"/>
      <c r="Q11974" s="5"/>
      <c r="R11974" s="5"/>
      <c r="S11974" s="5"/>
      <c r="T11974" s="5"/>
      <c r="U11974" s="5"/>
      <c r="V11974" s="5"/>
      <c r="W11974" s="5"/>
      <c r="X11974" s="5"/>
      <c r="Y11974" s="5"/>
      <c r="Z11974" s="5"/>
    </row>
    <row r="11975" spans="1:26" ht="15" x14ac:dyDescent="0.25">
      <c r="A11975" s="4" t="s">
        <v>11972</v>
      </c>
      <c r="B11975" s="4" t="s">
        <v>9011</v>
      </c>
      <c r="C11975" s="2" t="str">
        <f ca="1">IFERROR(__xludf.DUMMYFUNCTION("GOOGLETRANSLATE(A11975,""bn"",""en"")"),"We will eat pastry")</f>
        <v>We will eat pastry</v>
      </c>
      <c r="D11975" s="5"/>
      <c r="E11975" s="5"/>
      <c r="F11975" s="5"/>
      <c r="G11975" s="5"/>
      <c r="H11975" s="5"/>
      <c r="I11975" s="5"/>
      <c r="J11975" s="5"/>
      <c r="K11975" s="5"/>
      <c r="L11975" s="5"/>
      <c r="M11975" s="5"/>
      <c r="N11975" s="5"/>
      <c r="O11975" s="5"/>
      <c r="P11975" s="5"/>
      <c r="Q11975" s="5"/>
      <c r="R11975" s="5"/>
      <c r="S11975" s="5"/>
      <c r="T11975" s="5"/>
      <c r="U11975" s="5"/>
      <c r="V11975" s="5"/>
      <c r="W11975" s="5"/>
      <c r="X11975" s="5"/>
      <c r="Y11975" s="5"/>
      <c r="Z11975" s="5"/>
    </row>
    <row r="11976" spans="1:26" ht="15" x14ac:dyDescent="0.25">
      <c r="A11976" s="4" t="s">
        <v>11973</v>
      </c>
      <c r="B11976" s="4" t="s">
        <v>9011</v>
      </c>
      <c r="C11976" s="2" t="str">
        <f ca="1">IFERROR(__xludf.DUMMYFUNCTION("GOOGLETRANSLATE(A11976,""bn"",""en"")"),"Travel will increase wisdom")</f>
        <v>Travel will increase wisdom</v>
      </c>
      <c r="D11976" s="5"/>
      <c r="E11976" s="5"/>
      <c r="F11976" s="5"/>
      <c r="G11976" s="5"/>
      <c r="H11976" s="5"/>
      <c r="I11976" s="5"/>
      <c r="J11976" s="5"/>
      <c r="K11976" s="5"/>
      <c r="L11976" s="5"/>
      <c r="M11976" s="5"/>
      <c r="N11976" s="5"/>
      <c r="O11976" s="5"/>
      <c r="P11976" s="5"/>
      <c r="Q11976" s="5"/>
      <c r="R11976" s="5"/>
      <c r="S11976" s="5"/>
      <c r="T11976" s="5"/>
      <c r="U11976" s="5"/>
      <c r="V11976" s="5"/>
      <c r="W11976" s="5"/>
      <c r="X11976" s="5"/>
      <c r="Y11976" s="5"/>
      <c r="Z11976" s="5"/>
    </row>
    <row r="11977" spans="1:26" ht="15" x14ac:dyDescent="0.25">
      <c r="A11977" s="4" t="s">
        <v>11974</v>
      </c>
      <c r="B11977" s="4" t="s">
        <v>9011</v>
      </c>
      <c r="C11977" s="2" t="str">
        <f ca="1">IFERROR(__xludf.DUMMYFUNCTION("GOOGLETRANSLATE(A11977,""bn"",""en"")"),"We will buy chocolate")</f>
        <v>We will buy chocolate</v>
      </c>
      <c r="D11977" s="5"/>
      <c r="E11977" s="5"/>
      <c r="F11977" s="5"/>
      <c r="G11977" s="5"/>
      <c r="H11977" s="5"/>
      <c r="I11977" s="5"/>
      <c r="J11977" s="5"/>
      <c r="K11977" s="5"/>
      <c r="L11977" s="5"/>
      <c r="M11977" s="5"/>
      <c r="N11977" s="5"/>
      <c r="O11977" s="5"/>
      <c r="P11977" s="5"/>
      <c r="Q11977" s="5"/>
      <c r="R11977" s="5"/>
      <c r="S11977" s="5"/>
      <c r="T11977" s="5"/>
      <c r="U11977" s="5"/>
      <c r="V11977" s="5"/>
      <c r="W11977" s="5"/>
      <c r="X11977" s="5"/>
      <c r="Y11977" s="5"/>
      <c r="Z11977" s="5"/>
    </row>
    <row r="11978" spans="1:26" ht="15" x14ac:dyDescent="0.25">
      <c r="A11978" s="4" t="s">
        <v>11975</v>
      </c>
      <c r="B11978" s="4" t="s">
        <v>9011</v>
      </c>
      <c r="C11978" s="2" t="str">
        <f ca="1">IFERROR(__xludf.DUMMYFUNCTION("GOOGLETRANSLATE(A11978,""bn"",""en"")"),"I will work in banking")</f>
        <v>I will work in banking</v>
      </c>
      <c r="D11978" s="5"/>
      <c r="E11978" s="5"/>
      <c r="F11978" s="5"/>
      <c r="G11978" s="5"/>
      <c r="H11978" s="5"/>
      <c r="I11978" s="5"/>
      <c r="J11978" s="5"/>
      <c r="K11978" s="5"/>
      <c r="L11978" s="5"/>
      <c r="M11978" s="5"/>
      <c r="N11978" s="5"/>
      <c r="O11978" s="5"/>
      <c r="P11978" s="5"/>
      <c r="Q11978" s="5"/>
      <c r="R11978" s="5"/>
      <c r="S11978" s="5"/>
      <c r="T11978" s="5"/>
      <c r="U11978" s="5"/>
      <c r="V11978" s="5"/>
      <c r="W11978" s="5"/>
      <c r="X11978" s="5"/>
      <c r="Y11978" s="5"/>
      <c r="Z11978" s="5"/>
    </row>
    <row r="11979" spans="1:26" ht="15" x14ac:dyDescent="0.25">
      <c r="A11979" s="4" t="s">
        <v>11976</v>
      </c>
      <c r="B11979" s="4" t="s">
        <v>9011</v>
      </c>
      <c r="C11979" s="2" t="str">
        <f ca="1">IFERROR(__xludf.DUMMYFUNCTION("GOOGLETRANSLATE(A11979,""bn"",""en"")"),"Code will be integrated")</f>
        <v>Code will be integrated</v>
      </c>
      <c r="D11979" s="5"/>
      <c r="E11979" s="5"/>
      <c r="F11979" s="5"/>
      <c r="G11979" s="5"/>
      <c r="H11979" s="5"/>
      <c r="I11979" s="5"/>
      <c r="J11979" s="5"/>
      <c r="K11979" s="5"/>
      <c r="L11979" s="5"/>
      <c r="M11979" s="5"/>
      <c r="N11979" s="5"/>
      <c r="O11979" s="5"/>
      <c r="P11979" s="5"/>
      <c r="Q11979" s="5"/>
      <c r="R11979" s="5"/>
      <c r="S11979" s="5"/>
      <c r="T11979" s="5"/>
      <c r="U11979" s="5"/>
      <c r="V11979" s="5"/>
      <c r="W11979" s="5"/>
      <c r="X11979" s="5"/>
      <c r="Y11979" s="5"/>
      <c r="Z11979" s="5"/>
    </row>
    <row r="11980" spans="1:26" ht="15" x14ac:dyDescent="0.25">
      <c r="A11980" s="4" t="s">
        <v>11977</v>
      </c>
      <c r="B11980" s="4" t="s">
        <v>9011</v>
      </c>
      <c r="C11980" s="2" t="str">
        <f ca="1">IFERROR(__xludf.DUMMYFUNCTION("GOOGLETRANSLATE(A11980,""bn"",""en"")"),"I will use hub")</f>
        <v>I will use hub</v>
      </c>
      <c r="D11980" s="5"/>
      <c r="E11980" s="5"/>
      <c r="F11980" s="5"/>
      <c r="G11980" s="5"/>
      <c r="H11980" s="5"/>
      <c r="I11980" s="5"/>
      <c r="J11980" s="5"/>
      <c r="K11980" s="5"/>
      <c r="L11980" s="5"/>
      <c r="M11980" s="5"/>
      <c r="N11980" s="5"/>
      <c r="O11980" s="5"/>
      <c r="P11980" s="5"/>
      <c r="Q11980" s="5"/>
      <c r="R11980" s="5"/>
      <c r="S11980" s="5"/>
      <c r="T11980" s="5"/>
      <c r="U11980" s="5"/>
      <c r="V11980" s="5"/>
      <c r="W11980" s="5"/>
      <c r="X11980" s="5"/>
      <c r="Y11980" s="5"/>
      <c r="Z11980" s="5"/>
    </row>
    <row r="11981" spans="1:26" ht="15" x14ac:dyDescent="0.25">
      <c r="A11981" s="4" t="s">
        <v>11978</v>
      </c>
      <c r="B11981" s="4" t="s">
        <v>9011</v>
      </c>
      <c r="C11981" s="2" t="str">
        <f ca="1">IFERROR(__xludf.DUMMYFUNCTION("GOOGLETRANSLATE(A11981,""bn"",""en"")"),"I will eat chocolate milk")</f>
        <v>I will eat chocolate milk</v>
      </c>
      <c r="D11981" s="5"/>
      <c r="E11981" s="5"/>
      <c r="F11981" s="5"/>
      <c r="G11981" s="5"/>
      <c r="H11981" s="5"/>
      <c r="I11981" s="5"/>
      <c r="J11981" s="5"/>
      <c r="K11981" s="5"/>
      <c r="L11981" s="5"/>
      <c r="M11981" s="5"/>
      <c r="N11981" s="5"/>
      <c r="O11981" s="5"/>
      <c r="P11981" s="5"/>
      <c r="Q11981" s="5"/>
      <c r="R11981" s="5"/>
      <c r="S11981" s="5"/>
      <c r="T11981" s="5"/>
      <c r="U11981" s="5"/>
      <c r="V11981" s="5"/>
      <c r="W11981" s="5"/>
      <c r="X11981" s="5"/>
      <c r="Y11981" s="5"/>
      <c r="Z11981" s="5"/>
    </row>
    <row r="11982" spans="1:26" ht="15" x14ac:dyDescent="0.25">
      <c r="A11982" s="4" t="s">
        <v>11979</v>
      </c>
      <c r="B11982" s="4" t="s">
        <v>9011</v>
      </c>
      <c r="C11982" s="2" t="str">
        <f ca="1">IFERROR(__xludf.DUMMYFUNCTION("GOOGLETRANSLATE(A11982,""bn"",""en"")"),"The goalkeeper will block the ball")</f>
        <v>The goalkeeper will block the ball</v>
      </c>
      <c r="D11982" s="5"/>
      <c r="E11982" s="5"/>
      <c r="F11982" s="5"/>
      <c r="G11982" s="5"/>
      <c r="H11982" s="5"/>
      <c r="I11982" s="5"/>
      <c r="J11982" s="5"/>
      <c r="K11982" s="5"/>
      <c r="L11982" s="5"/>
      <c r="M11982" s="5"/>
      <c r="N11982" s="5"/>
      <c r="O11982" s="5"/>
      <c r="P11982" s="5"/>
      <c r="Q11982" s="5"/>
      <c r="R11982" s="5"/>
      <c r="S11982" s="5"/>
      <c r="T11982" s="5"/>
      <c r="U11982" s="5"/>
      <c r="V11982" s="5"/>
      <c r="W11982" s="5"/>
      <c r="X11982" s="5"/>
      <c r="Y11982" s="5"/>
      <c r="Z11982" s="5"/>
    </row>
    <row r="11983" spans="1:26" ht="15" x14ac:dyDescent="0.25">
      <c r="A11983" s="4" t="s">
        <v>11980</v>
      </c>
      <c r="B11983" s="4" t="s">
        <v>9011</v>
      </c>
      <c r="C11983" s="2" t="str">
        <f ca="1">IFERROR(__xludf.DUMMYFUNCTION("GOOGLETRANSLATE(A11983,""bn"",""en"")"),"You will listen to music")</f>
        <v>You will listen to music</v>
      </c>
      <c r="D11983" s="5"/>
      <c r="E11983" s="5"/>
      <c r="F11983" s="5"/>
      <c r="G11983" s="5"/>
      <c r="H11983" s="5"/>
      <c r="I11983" s="5"/>
      <c r="J11983" s="5"/>
      <c r="K11983" s="5"/>
      <c r="L11983" s="5"/>
      <c r="M11983" s="5"/>
      <c r="N11983" s="5"/>
      <c r="O11983" s="5"/>
      <c r="P11983" s="5"/>
      <c r="Q11983" s="5"/>
      <c r="R11983" s="5"/>
      <c r="S11983" s="5"/>
      <c r="T11983" s="5"/>
      <c r="U11983" s="5"/>
      <c r="V11983" s="5"/>
      <c r="W11983" s="5"/>
      <c r="X11983" s="5"/>
      <c r="Y11983" s="5"/>
      <c r="Z11983" s="5"/>
    </row>
    <row r="11984" spans="1:26" ht="15" x14ac:dyDescent="0.25">
      <c r="A11984" s="4" t="s">
        <v>11981</v>
      </c>
      <c r="B11984" s="4" t="s">
        <v>9011</v>
      </c>
      <c r="C11984" s="2" t="str">
        <f ca="1">IFERROR(__xludf.DUMMYFUNCTION("GOOGLETRANSLATE(A11984,""bn"",""en"")"),"I will cross the sea")</f>
        <v>I will cross the sea</v>
      </c>
      <c r="D11984" s="5"/>
      <c r="E11984" s="5"/>
      <c r="F11984" s="5"/>
      <c r="G11984" s="5"/>
      <c r="H11984" s="5"/>
      <c r="I11984" s="5"/>
      <c r="J11984" s="5"/>
      <c r="K11984" s="5"/>
      <c r="L11984" s="5"/>
      <c r="M11984" s="5"/>
      <c r="N11984" s="5"/>
      <c r="O11984" s="5"/>
      <c r="P11984" s="5"/>
      <c r="Q11984" s="5"/>
      <c r="R11984" s="5"/>
      <c r="S11984" s="5"/>
      <c r="T11984" s="5"/>
      <c r="U11984" s="5"/>
      <c r="V11984" s="5"/>
      <c r="W11984" s="5"/>
      <c r="X11984" s="5"/>
      <c r="Y11984" s="5"/>
      <c r="Z11984" s="5"/>
    </row>
    <row r="11985" spans="1:26" ht="15" x14ac:dyDescent="0.25">
      <c r="A11985" s="4" t="s">
        <v>11982</v>
      </c>
      <c r="B11985" s="4" t="s">
        <v>9011</v>
      </c>
      <c r="C11985" s="2" t="str">
        <f ca="1">IFERROR(__xludf.DUMMYFUNCTION("GOOGLETRANSLATE(A11985,""bn"",""en"")"),"You will learn melody")</f>
        <v>You will learn melody</v>
      </c>
      <c r="D11985" s="5"/>
      <c r="E11985" s="5"/>
      <c r="F11985" s="5"/>
      <c r="G11985" s="5"/>
      <c r="H11985" s="5"/>
      <c r="I11985" s="5"/>
      <c r="J11985" s="5"/>
      <c r="K11985" s="5"/>
      <c r="L11985" s="5"/>
      <c r="M11985" s="5"/>
      <c r="N11985" s="5"/>
      <c r="O11985" s="5"/>
      <c r="P11985" s="5"/>
      <c r="Q11985" s="5"/>
      <c r="R11985" s="5"/>
      <c r="S11985" s="5"/>
      <c r="T11985" s="5"/>
      <c r="U11985" s="5"/>
      <c r="V11985" s="5"/>
      <c r="W11985" s="5"/>
      <c r="X11985" s="5"/>
      <c r="Y11985" s="5"/>
      <c r="Z11985" s="5"/>
    </row>
    <row r="11986" spans="1:26" ht="15" x14ac:dyDescent="0.25">
      <c r="A11986" s="4" t="s">
        <v>11983</v>
      </c>
      <c r="B11986" s="4" t="s">
        <v>9011</v>
      </c>
      <c r="C11986" s="2" t="str">
        <f ca="1">IFERROR(__xludf.DUMMYFUNCTION("GOOGLETRANSLATE(A11986,""bn"",""en"")"),"I will continue to look for technology")</f>
        <v>I will continue to look for technology</v>
      </c>
      <c r="D11986" s="5"/>
      <c r="E11986" s="5"/>
      <c r="F11986" s="5"/>
      <c r="G11986" s="5"/>
      <c r="H11986" s="5"/>
      <c r="I11986" s="5"/>
      <c r="J11986" s="5"/>
      <c r="K11986" s="5"/>
      <c r="L11986" s="5"/>
      <c r="M11986" s="5"/>
      <c r="N11986" s="5"/>
      <c r="O11986" s="5"/>
      <c r="P11986" s="5"/>
      <c r="Q11986" s="5"/>
      <c r="R11986" s="5"/>
      <c r="S11986" s="5"/>
      <c r="T11986" s="5"/>
      <c r="U11986" s="5"/>
      <c r="V11986" s="5"/>
      <c r="W11986" s="5"/>
      <c r="X11986" s="5"/>
      <c r="Y11986" s="5"/>
      <c r="Z11986" s="5"/>
    </row>
    <row r="11987" spans="1:26" ht="15" x14ac:dyDescent="0.25">
      <c r="A11987" s="4" t="s">
        <v>11984</v>
      </c>
      <c r="B11987" s="4" t="s">
        <v>9011</v>
      </c>
      <c r="C11987" s="2" t="str">
        <f ca="1">IFERROR(__xludf.DUMMYFUNCTION("GOOGLETRANSLATE(A11987,""bn"",""en"")"),"I will do graphics course")</f>
        <v>I will do graphics course</v>
      </c>
      <c r="D11987" s="5"/>
      <c r="E11987" s="5"/>
      <c r="F11987" s="5"/>
      <c r="G11987" s="5"/>
      <c r="H11987" s="5"/>
      <c r="I11987" s="5"/>
      <c r="J11987" s="5"/>
      <c r="K11987" s="5"/>
      <c r="L11987" s="5"/>
      <c r="M11987" s="5"/>
      <c r="N11987" s="5"/>
      <c r="O11987" s="5"/>
      <c r="P11987" s="5"/>
      <c r="Q11987" s="5"/>
      <c r="R11987" s="5"/>
      <c r="S11987" s="5"/>
      <c r="T11987" s="5"/>
      <c r="U11987" s="5"/>
      <c r="V11987" s="5"/>
      <c r="W11987" s="5"/>
      <c r="X11987" s="5"/>
      <c r="Y11987" s="5"/>
      <c r="Z11987" s="5"/>
    </row>
    <row r="11988" spans="1:26" ht="15" x14ac:dyDescent="0.25">
      <c r="A11988" s="4" t="s">
        <v>11985</v>
      </c>
      <c r="B11988" s="4" t="s">
        <v>9011</v>
      </c>
      <c r="C11988" s="2" t="str">
        <f ca="1">IFERROR(__xludf.DUMMYFUNCTION("GOOGLETRANSLATE(A11988,""bn"",""en"")"),"Employees will be efficient")</f>
        <v>Employees will be efficient</v>
      </c>
      <c r="D11988" s="5"/>
      <c r="E11988" s="5"/>
      <c r="F11988" s="5"/>
      <c r="G11988" s="5"/>
      <c r="H11988" s="5"/>
      <c r="I11988" s="5"/>
      <c r="J11988" s="5"/>
      <c r="K11988" s="5"/>
      <c r="L11988" s="5"/>
      <c r="M11988" s="5"/>
      <c r="N11988" s="5"/>
      <c r="O11988" s="5"/>
      <c r="P11988" s="5"/>
      <c r="Q11988" s="5"/>
      <c r="R11988" s="5"/>
      <c r="S11988" s="5"/>
      <c r="T11988" s="5"/>
      <c r="U11988" s="5"/>
      <c r="V11988" s="5"/>
      <c r="W11988" s="5"/>
      <c r="X11988" s="5"/>
      <c r="Y11988" s="5"/>
      <c r="Z11988" s="5"/>
    </row>
    <row r="11989" spans="1:26" ht="15" x14ac:dyDescent="0.25">
      <c r="A11989" s="4" t="s">
        <v>11986</v>
      </c>
      <c r="B11989" s="4" t="s">
        <v>9011</v>
      </c>
      <c r="C11989" s="2" t="str">
        <f ca="1">IFERROR(__xludf.DUMMYFUNCTION("GOOGLETRANSLATE(A11989,""bn"",""en"")"),"Badminton will be played")</f>
        <v>Badminton will be played</v>
      </c>
      <c r="D11989" s="5"/>
      <c r="E11989" s="5"/>
      <c r="F11989" s="5"/>
      <c r="G11989" s="5"/>
      <c r="H11989" s="5"/>
      <c r="I11989" s="5"/>
      <c r="J11989" s="5"/>
      <c r="K11989" s="5"/>
      <c r="L11989" s="5"/>
      <c r="M11989" s="5"/>
      <c r="N11989" s="5"/>
      <c r="O11989" s="5"/>
      <c r="P11989" s="5"/>
      <c r="Q11989" s="5"/>
      <c r="R11989" s="5"/>
      <c r="S11989" s="5"/>
      <c r="T11989" s="5"/>
      <c r="U11989" s="5"/>
      <c r="V11989" s="5"/>
      <c r="W11989" s="5"/>
      <c r="X11989" s="5"/>
      <c r="Y11989" s="5"/>
      <c r="Z11989" s="5"/>
    </row>
    <row r="11990" spans="1:26" ht="15" x14ac:dyDescent="0.25">
      <c r="A11990" s="4" t="s">
        <v>11987</v>
      </c>
      <c r="B11990" s="4" t="s">
        <v>9011</v>
      </c>
      <c r="C11990" s="2" t="str">
        <f ca="1">IFERROR(__xludf.DUMMYFUNCTION("GOOGLETRANSLATE(A11990,""bn"",""en"")"),"I will give food to travelers")</f>
        <v>I will give food to travelers</v>
      </c>
      <c r="D11990" s="5"/>
      <c r="E11990" s="5"/>
      <c r="F11990" s="5"/>
      <c r="G11990" s="5"/>
      <c r="H11990" s="5"/>
      <c r="I11990" s="5"/>
      <c r="J11990" s="5"/>
      <c r="K11990" s="5"/>
      <c r="L11990" s="5"/>
      <c r="M11990" s="5"/>
      <c r="N11990" s="5"/>
      <c r="O11990" s="5"/>
      <c r="P11990" s="5"/>
      <c r="Q11990" s="5"/>
      <c r="R11990" s="5"/>
      <c r="S11990" s="5"/>
      <c r="T11990" s="5"/>
      <c r="U11990" s="5"/>
      <c r="V11990" s="5"/>
      <c r="W11990" s="5"/>
      <c r="X11990" s="5"/>
      <c r="Y11990" s="5"/>
      <c r="Z11990" s="5"/>
    </row>
    <row r="11991" spans="1:26" ht="15" x14ac:dyDescent="0.25">
      <c r="A11991" s="4" t="s">
        <v>11988</v>
      </c>
      <c r="B11991" s="4" t="s">
        <v>9011</v>
      </c>
      <c r="C11991" s="2" t="str">
        <f ca="1">IFERROR(__xludf.DUMMYFUNCTION("GOOGLETRANSLATE(A11991,""bn"",""en"")"),"I will send the money to the bank")</f>
        <v>I will send the money to the bank</v>
      </c>
      <c r="D11991" s="5"/>
      <c r="E11991" s="5"/>
      <c r="F11991" s="5"/>
      <c r="G11991" s="5"/>
      <c r="H11991" s="5"/>
      <c r="I11991" s="5"/>
      <c r="J11991" s="5"/>
      <c r="K11991" s="5"/>
      <c r="L11991" s="5"/>
      <c r="M11991" s="5"/>
      <c r="N11991" s="5"/>
      <c r="O11991" s="5"/>
      <c r="P11991" s="5"/>
      <c r="Q11991" s="5"/>
      <c r="R11991" s="5"/>
      <c r="S11991" s="5"/>
      <c r="T11991" s="5"/>
      <c r="U11991" s="5"/>
      <c r="V11991" s="5"/>
      <c r="W11991" s="5"/>
      <c r="X11991" s="5"/>
      <c r="Y11991" s="5"/>
      <c r="Z11991" s="5"/>
    </row>
    <row r="11992" spans="1:26" ht="15" x14ac:dyDescent="0.25">
      <c r="A11992" s="4" t="s">
        <v>11989</v>
      </c>
      <c r="B11992" s="4" t="s">
        <v>9011</v>
      </c>
      <c r="C11992" s="2" t="str">
        <f ca="1">IFERROR(__xludf.DUMMYFUNCTION("GOOGLETRANSLATE(A11992,""bn"",""en"")"),"Efficiency will continue to increase")</f>
        <v>Efficiency will continue to increase</v>
      </c>
      <c r="D11992" s="5"/>
      <c r="E11992" s="5"/>
      <c r="F11992" s="5"/>
      <c r="G11992" s="5"/>
      <c r="H11992" s="5"/>
      <c r="I11992" s="5"/>
      <c r="J11992" s="5"/>
      <c r="K11992" s="5"/>
      <c r="L11992" s="5"/>
      <c r="M11992" s="5"/>
      <c r="N11992" s="5"/>
      <c r="O11992" s="5"/>
      <c r="P11992" s="5"/>
      <c r="Q11992" s="5"/>
      <c r="R11992" s="5"/>
      <c r="S11992" s="5"/>
      <c r="T11992" s="5"/>
      <c r="U11992" s="5"/>
      <c r="V11992" s="5"/>
      <c r="W11992" s="5"/>
      <c r="X11992" s="5"/>
      <c r="Y11992" s="5"/>
      <c r="Z11992" s="5"/>
    </row>
    <row r="11993" spans="1:26" ht="15" x14ac:dyDescent="0.25">
      <c r="A11993" s="4" t="s">
        <v>11990</v>
      </c>
      <c r="B11993" s="4" t="s">
        <v>9011</v>
      </c>
      <c r="C11993" s="2" t="str">
        <f ca="1">IFERROR(__xludf.DUMMYFUNCTION("GOOGLETRANSLATE(A11993,""bn"",""en"")"),"I will go on a sea voyage")</f>
        <v>I will go on a sea voyage</v>
      </c>
      <c r="D11993" s="5"/>
      <c r="E11993" s="5"/>
      <c r="F11993" s="5"/>
      <c r="G11993" s="5"/>
      <c r="H11993" s="5"/>
      <c r="I11993" s="5"/>
      <c r="J11993" s="5"/>
      <c r="K11993" s="5"/>
      <c r="L11993" s="5"/>
      <c r="M11993" s="5"/>
      <c r="N11993" s="5"/>
      <c r="O11993" s="5"/>
      <c r="P11993" s="5"/>
      <c r="Q11993" s="5"/>
      <c r="R11993" s="5"/>
      <c r="S11993" s="5"/>
      <c r="T11993" s="5"/>
      <c r="U11993" s="5"/>
      <c r="V11993" s="5"/>
      <c r="W11993" s="5"/>
      <c r="X11993" s="5"/>
      <c r="Y11993" s="5"/>
      <c r="Z11993" s="5"/>
    </row>
    <row r="11994" spans="1:26" ht="15" x14ac:dyDescent="0.25">
      <c r="A11994" s="4" t="s">
        <v>11991</v>
      </c>
      <c r="B11994" s="4" t="s">
        <v>9011</v>
      </c>
      <c r="C11994" s="2" t="str">
        <f ca="1">IFERROR(__xludf.DUMMYFUNCTION("GOOGLETRANSLATE(A11994,""bn"",""en"")"),"The government will give the project")</f>
        <v>The government will give the project</v>
      </c>
      <c r="D11994" s="5"/>
      <c r="E11994" s="5"/>
      <c r="F11994" s="5"/>
      <c r="G11994" s="5"/>
      <c r="H11994" s="5"/>
      <c r="I11994" s="5"/>
      <c r="J11994" s="5"/>
      <c r="K11994" s="5"/>
      <c r="L11994" s="5"/>
      <c r="M11994" s="5"/>
      <c r="N11994" s="5"/>
      <c r="O11994" s="5"/>
      <c r="P11994" s="5"/>
      <c r="Q11994" s="5"/>
      <c r="R11994" s="5"/>
      <c r="S11994" s="5"/>
      <c r="T11994" s="5"/>
      <c r="U11994" s="5"/>
      <c r="V11994" s="5"/>
      <c r="W11994" s="5"/>
      <c r="X11994" s="5"/>
      <c r="Y11994" s="5"/>
      <c r="Z11994" s="5"/>
    </row>
    <row r="11995" spans="1:26" ht="15" x14ac:dyDescent="0.25">
      <c r="A11995" s="4" t="s">
        <v>11992</v>
      </c>
      <c r="B11995" s="4" t="s">
        <v>9011</v>
      </c>
      <c r="C11995" s="2" t="str">
        <f ca="1">IFERROR(__xludf.DUMMYFUNCTION("GOOGLETRANSLATE(A11995,""bn"",""en"")"),"I will send money to Rocket")</f>
        <v>I will send money to Rocket</v>
      </c>
      <c r="D11995" s="5"/>
      <c r="E11995" s="5"/>
      <c r="F11995" s="5"/>
      <c r="G11995" s="5"/>
      <c r="H11995" s="5"/>
      <c r="I11995" s="5"/>
      <c r="J11995" s="5"/>
      <c r="K11995" s="5"/>
      <c r="L11995" s="5"/>
      <c r="M11995" s="5"/>
      <c r="N11995" s="5"/>
      <c r="O11995" s="5"/>
      <c r="P11995" s="5"/>
      <c r="Q11995" s="5"/>
      <c r="R11995" s="5"/>
      <c r="S11995" s="5"/>
      <c r="T11995" s="5"/>
      <c r="U11995" s="5"/>
      <c r="V11995" s="5"/>
      <c r="W11995" s="5"/>
      <c r="X11995" s="5"/>
      <c r="Y11995" s="5"/>
      <c r="Z11995" s="5"/>
    </row>
    <row r="11996" spans="1:26" ht="15" x14ac:dyDescent="0.25">
      <c r="A11996" s="4" t="s">
        <v>11993</v>
      </c>
      <c r="B11996" s="4" t="s">
        <v>9011</v>
      </c>
      <c r="C11996" s="2" t="str">
        <f ca="1">IFERROR(__xludf.DUMMYFUNCTION("GOOGLETRANSLATE(A11996,""bn"",""en"")"),"They will learn on the job")</f>
        <v>They will learn on the job</v>
      </c>
      <c r="D11996" s="5"/>
      <c r="E11996" s="5"/>
      <c r="F11996" s="5"/>
      <c r="G11996" s="5"/>
      <c r="H11996" s="5"/>
      <c r="I11996" s="5"/>
      <c r="J11996" s="5"/>
      <c r="K11996" s="5"/>
      <c r="L11996" s="5"/>
      <c r="M11996" s="5"/>
      <c r="N11996" s="5"/>
      <c r="O11996" s="5"/>
      <c r="P11996" s="5"/>
      <c r="Q11996" s="5"/>
      <c r="R11996" s="5"/>
      <c r="S11996" s="5"/>
      <c r="T11996" s="5"/>
      <c r="U11996" s="5"/>
      <c r="V11996" s="5"/>
      <c r="W11996" s="5"/>
      <c r="X11996" s="5"/>
      <c r="Y11996" s="5"/>
      <c r="Z11996" s="5"/>
    </row>
    <row r="11997" spans="1:26" ht="15" x14ac:dyDescent="0.25">
      <c r="A11997" s="4" t="s">
        <v>11994</v>
      </c>
      <c r="B11997" s="4" t="s">
        <v>9011</v>
      </c>
      <c r="C11997" s="2" t="str">
        <f ca="1">IFERROR(__xludf.DUMMYFUNCTION("GOOGLETRANSLATE(A11997,""bn"",""en"")"),"I will go to Alaska")</f>
        <v>I will go to Alaska</v>
      </c>
      <c r="D11997" s="5"/>
      <c r="E11997" s="5"/>
      <c r="F11997" s="5"/>
      <c r="G11997" s="5"/>
      <c r="H11997" s="5"/>
      <c r="I11997" s="5"/>
      <c r="J11997" s="5"/>
      <c r="K11997" s="5"/>
      <c r="L11997" s="5"/>
      <c r="M11997" s="5"/>
      <c r="N11997" s="5"/>
      <c r="O11997" s="5"/>
      <c r="P11997" s="5"/>
      <c r="Q11997" s="5"/>
      <c r="R11997" s="5"/>
      <c r="S11997" s="5"/>
      <c r="T11997" s="5"/>
      <c r="U11997" s="5"/>
      <c r="V11997" s="5"/>
      <c r="W11997" s="5"/>
      <c r="X11997" s="5"/>
      <c r="Y11997" s="5"/>
      <c r="Z11997" s="5"/>
    </row>
    <row r="11998" spans="1:26" ht="15" x14ac:dyDescent="0.25">
      <c r="A11998" s="4" t="s">
        <v>11995</v>
      </c>
      <c r="B11998" s="4" t="s">
        <v>9011</v>
      </c>
      <c r="C11998" s="2" t="str">
        <f ca="1">IFERROR(__xludf.DUMMYFUNCTION("GOOGLETRANSLATE(A11998,""bn"",""en"")"),"Will continue to exercise")</f>
        <v>Will continue to exercise</v>
      </c>
      <c r="D11998" s="5"/>
      <c r="E11998" s="5"/>
      <c r="F11998" s="5"/>
      <c r="G11998" s="5"/>
      <c r="H11998" s="5"/>
      <c r="I11998" s="5"/>
      <c r="J11998" s="5"/>
      <c r="K11998" s="5"/>
      <c r="L11998" s="5"/>
      <c r="M11998" s="5"/>
      <c r="N11998" s="5"/>
      <c r="O11998" s="5"/>
      <c r="P11998" s="5"/>
      <c r="Q11998" s="5"/>
      <c r="R11998" s="5"/>
      <c r="S11998" s="5"/>
      <c r="T11998" s="5"/>
      <c r="U11998" s="5"/>
      <c r="V11998" s="5"/>
      <c r="W11998" s="5"/>
      <c r="X11998" s="5"/>
      <c r="Y11998" s="5"/>
      <c r="Z11998" s="5"/>
    </row>
    <row r="11999" spans="1:26" ht="15" x14ac:dyDescent="0.25">
      <c r="A11999" s="4" t="s">
        <v>11996</v>
      </c>
      <c r="B11999" s="4" t="s">
        <v>9011</v>
      </c>
      <c r="C11999" s="2" t="str">
        <f ca="1">IFERROR(__xludf.DUMMYFUNCTION("GOOGLETRANSLATE(A11999,""bn"",""en"")"),"I will accept banking services")</f>
        <v>I will accept banking services</v>
      </c>
      <c r="D11999" s="5"/>
      <c r="E11999" s="5"/>
      <c r="F11999" s="5"/>
      <c r="G11999" s="5"/>
      <c r="H11999" s="5"/>
      <c r="I11999" s="5"/>
      <c r="J11999" s="5"/>
      <c r="K11999" s="5"/>
      <c r="L11999" s="5"/>
      <c r="M11999" s="5"/>
      <c r="N11999" s="5"/>
      <c r="O11999" s="5"/>
      <c r="P11999" s="5"/>
      <c r="Q11999" s="5"/>
      <c r="R11999" s="5"/>
      <c r="S11999" s="5"/>
      <c r="T11999" s="5"/>
      <c r="U11999" s="5"/>
      <c r="V11999" s="5"/>
      <c r="W11999" s="5"/>
      <c r="X11999" s="5"/>
      <c r="Y11999" s="5"/>
      <c r="Z11999" s="5"/>
    </row>
    <row r="12000" spans="1:26" ht="15" x14ac:dyDescent="0.25">
      <c r="A12000" s="4" t="s">
        <v>11997</v>
      </c>
      <c r="B12000" s="4" t="s">
        <v>9011</v>
      </c>
      <c r="C12000" s="2" t="str">
        <f ca="1">IFERROR(__xludf.DUMMYFUNCTION("GOOGLETRANSLATE(A12000,""bn"",""en"")"),"Hadudu will continue to play")</f>
        <v>Hadudu will continue to play</v>
      </c>
      <c r="D12000" s="5"/>
      <c r="E12000" s="5"/>
      <c r="F12000" s="5"/>
      <c r="G12000" s="5"/>
      <c r="H12000" s="5"/>
      <c r="I12000" s="5"/>
      <c r="J12000" s="5"/>
      <c r="K12000" s="5"/>
      <c r="L12000" s="5"/>
      <c r="M12000" s="5"/>
      <c r="N12000" s="5"/>
      <c r="O12000" s="5"/>
      <c r="P12000" s="5"/>
      <c r="Q12000" s="5"/>
      <c r="R12000" s="5"/>
      <c r="S12000" s="5"/>
      <c r="T12000" s="5"/>
      <c r="U12000" s="5"/>
      <c r="V12000" s="5"/>
      <c r="W12000" s="5"/>
      <c r="X12000" s="5"/>
      <c r="Y12000" s="5"/>
      <c r="Z12000" s="5"/>
    </row>
    <row r="12001" spans="1:26" ht="15" x14ac:dyDescent="0.25">
      <c r="A12001" s="4" t="s">
        <v>11998</v>
      </c>
      <c r="B12001" s="4" t="s">
        <v>9011</v>
      </c>
      <c r="C12001" s="2" t="str">
        <f ca="1">IFERROR(__xludf.DUMMYFUNCTION("GOOGLETRANSLATE(A12001,""bn"",""en"")"),"Life will be spent in the dormitory")</f>
        <v>Life will be spent in the dormitory</v>
      </c>
      <c r="D12001" s="5"/>
      <c r="E12001" s="5"/>
      <c r="F12001" s="5"/>
      <c r="G12001" s="5"/>
      <c r="H12001" s="5"/>
      <c r="I12001" s="5"/>
      <c r="J12001" s="5"/>
      <c r="K12001" s="5"/>
      <c r="L12001" s="5"/>
      <c r="M12001" s="5"/>
      <c r="N12001" s="5"/>
      <c r="O12001" s="5"/>
      <c r="P12001" s="5"/>
      <c r="Q12001" s="5"/>
      <c r="R12001" s="5"/>
      <c r="S12001" s="5"/>
      <c r="T12001" s="5"/>
      <c r="U12001" s="5"/>
      <c r="V12001" s="5"/>
      <c r="W12001" s="5"/>
      <c r="X12001" s="5"/>
      <c r="Y12001" s="5"/>
      <c r="Z12001" s="5"/>
    </row>
    <row r="12002" spans="1:26" ht="15" x14ac:dyDescent="0.25">
      <c r="A12002" s="4" t="s">
        <v>11999</v>
      </c>
      <c r="B12002" s="4" t="s">
        <v>9011</v>
      </c>
      <c r="C12002" s="2" t="str">
        <f ca="1">IFERROR(__xludf.DUMMYFUNCTION("GOOGLETRANSLATE(A12002,""bn"",""en"")"),"College classes will start")</f>
        <v>College classes will start</v>
      </c>
      <c r="D12002" s="5"/>
      <c r="E12002" s="5"/>
      <c r="F12002" s="5"/>
      <c r="G12002" s="5"/>
      <c r="H12002" s="5"/>
      <c r="I12002" s="5"/>
      <c r="J12002" s="5"/>
      <c r="K12002" s="5"/>
      <c r="L12002" s="5"/>
      <c r="M12002" s="5"/>
      <c r="N12002" s="5"/>
      <c r="O12002" s="5"/>
      <c r="P12002" s="5"/>
      <c r="Q12002" s="5"/>
      <c r="R12002" s="5"/>
      <c r="S12002" s="5"/>
      <c r="T12002" s="5"/>
      <c r="U12002" s="5"/>
      <c r="V12002" s="5"/>
      <c r="W12002" s="5"/>
      <c r="X12002" s="5"/>
      <c r="Y12002" s="5"/>
      <c r="Z12002" s="5"/>
    </row>
    <row r="12003" spans="1:26" ht="15" x14ac:dyDescent="0.25">
      <c r="A12003" s="4" t="s">
        <v>12000</v>
      </c>
      <c r="B12003" s="4" t="s">
        <v>9011</v>
      </c>
      <c r="C12003" s="2" t="str">
        <f ca="1">IFERROR(__xludf.DUMMYFUNCTION("GOOGLETRANSLATE(A12003,""bn"",""en"")"),"I will contribute well to the organization")</f>
        <v>I will contribute well to the organization</v>
      </c>
      <c r="D12003" s="5"/>
      <c r="E12003" s="5"/>
      <c r="F12003" s="5"/>
      <c r="G12003" s="5"/>
      <c r="H12003" s="5"/>
      <c r="I12003" s="5"/>
      <c r="J12003" s="5"/>
      <c r="K12003" s="5"/>
      <c r="L12003" s="5"/>
      <c r="M12003" s="5"/>
      <c r="N12003" s="5"/>
      <c r="O12003" s="5"/>
      <c r="P12003" s="5"/>
      <c r="Q12003" s="5"/>
      <c r="R12003" s="5"/>
      <c r="S12003" s="5"/>
      <c r="T12003" s="5"/>
      <c r="U12003" s="5"/>
      <c r="V12003" s="5"/>
      <c r="W12003" s="5"/>
      <c r="X12003" s="5"/>
      <c r="Y12003" s="5"/>
      <c r="Z12003" s="5"/>
    </row>
    <row r="12004" spans="1:26" ht="15" x14ac:dyDescent="0.25">
      <c r="A12004" s="4" t="s">
        <v>12001</v>
      </c>
      <c r="B12004" s="4" t="s">
        <v>9011</v>
      </c>
      <c r="C12004" s="2" t="str">
        <f ca="1">IFERROR(__xludf.DUMMYFUNCTION("GOOGLETRANSLATE(A12004,""bn"",""en"")"),"Green grass will grow too")</f>
        <v>Green grass will grow too</v>
      </c>
      <c r="D12004" s="5"/>
      <c r="E12004" s="5"/>
      <c r="F12004" s="5"/>
      <c r="G12004" s="5"/>
      <c r="H12004" s="5"/>
      <c r="I12004" s="5"/>
      <c r="J12004" s="5"/>
      <c r="K12004" s="5"/>
      <c r="L12004" s="5"/>
      <c r="M12004" s="5"/>
      <c r="N12004" s="5"/>
      <c r="O12004" s="5"/>
      <c r="P12004" s="5"/>
      <c r="Q12004" s="5"/>
      <c r="R12004" s="5"/>
      <c r="S12004" s="5"/>
      <c r="T12004" s="5"/>
      <c r="U12004" s="5"/>
      <c r="V12004" s="5"/>
      <c r="W12004" s="5"/>
      <c r="X12004" s="5"/>
      <c r="Y12004" s="5"/>
      <c r="Z12004" s="5"/>
    </row>
    <row r="12005" spans="1:26" ht="15" x14ac:dyDescent="0.25">
      <c r="A12005" s="4" t="s">
        <v>12002</v>
      </c>
      <c r="B12005" s="4" t="s">
        <v>9011</v>
      </c>
      <c r="C12005" s="2" t="str">
        <f ca="1">IFERROR(__xludf.DUMMYFUNCTION("GOOGLETRANSLATE(A12005,""bn"",""en"")"),"Coincidental people will grow cold")</f>
        <v>Coincidental people will grow cold</v>
      </c>
      <c r="D12005" s="5"/>
      <c r="E12005" s="5"/>
      <c r="F12005" s="5"/>
      <c r="G12005" s="5"/>
      <c r="H12005" s="5"/>
      <c r="I12005" s="5"/>
      <c r="J12005" s="5"/>
      <c r="K12005" s="5"/>
      <c r="L12005" s="5"/>
      <c r="M12005" s="5"/>
      <c r="N12005" s="5"/>
      <c r="O12005" s="5"/>
      <c r="P12005" s="5"/>
      <c r="Q12005" s="5"/>
      <c r="R12005" s="5"/>
      <c r="S12005" s="5"/>
      <c r="T12005" s="5"/>
      <c r="U12005" s="5"/>
      <c r="V12005" s="5"/>
      <c r="W12005" s="5"/>
      <c r="X12005" s="5"/>
      <c r="Y12005" s="5"/>
      <c r="Z12005" s="5"/>
    </row>
    <row r="12006" spans="1:26" ht="15" x14ac:dyDescent="0.25">
      <c r="A12006" s="4" t="s">
        <v>12003</v>
      </c>
      <c r="B12006" s="4" t="s">
        <v>9011</v>
      </c>
      <c r="C12006" s="2" t="str">
        <f ca="1">IFERROR(__xludf.DUMMYFUNCTION("GOOGLETRANSLATE(A12006,""bn"",""en"")"),"Code review will be required")</f>
        <v>Code review will be required</v>
      </c>
      <c r="D12006" s="5"/>
      <c r="E12006" s="5"/>
      <c r="F12006" s="5"/>
      <c r="G12006" s="5"/>
      <c r="H12006" s="5"/>
      <c r="I12006" s="5"/>
      <c r="J12006" s="5"/>
      <c r="K12006" s="5"/>
      <c r="L12006" s="5"/>
      <c r="M12006" s="5"/>
      <c r="N12006" s="5"/>
      <c r="O12006" s="5"/>
      <c r="P12006" s="5"/>
      <c r="Q12006" s="5"/>
      <c r="R12006" s="5"/>
      <c r="S12006" s="5"/>
      <c r="T12006" s="5"/>
      <c r="U12006" s="5"/>
      <c r="V12006" s="5"/>
      <c r="W12006" s="5"/>
      <c r="X12006" s="5"/>
      <c r="Y12006" s="5"/>
      <c r="Z12006" s="5"/>
    </row>
    <row r="12007" spans="1:26" ht="15" x14ac:dyDescent="0.25">
      <c r="A12007" s="4" t="s">
        <v>12004</v>
      </c>
      <c r="B12007" s="4" t="s">
        <v>9011</v>
      </c>
      <c r="C12007" s="2" t="str">
        <f ca="1">IFERROR(__xludf.DUMMYFUNCTION("GOOGLETRANSLATE(A12007,""bn"",""en"")"),"I will continue reading drama")</f>
        <v>I will continue reading drama</v>
      </c>
      <c r="D12007" s="5"/>
      <c r="E12007" s="5"/>
      <c r="F12007" s="5"/>
      <c r="G12007" s="5"/>
      <c r="H12007" s="5"/>
      <c r="I12007" s="5"/>
      <c r="J12007" s="5"/>
      <c r="K12007" s="5"/>
      <c r="L12007" s="5"/>
      <c r="M12007" s="5"/>
      <c r="N12007" s="5"/>
      <c r="O12007" s="5"/>
      <c r="P12007" s="5"/>
      <c r="Q12007" s="5"/>
      <c r="R12007" s="5"/>
      <c r="S12007" s="5"/>
      <c r="T12007" s="5"/>
      <c r="U12007" s="5"/>
      <c r="V12007" s="5"/>
      <c r="W12007" s="5"/>
      <c r="X12007" s="5"/>
      <c r="Y12007" s="5"/>
      <c r="Z12007" s="5"/>
    </row>
    <row r="12008" spans="1:26" ht="15" x14ac:dyDescent="0.25">
      <c r="A12008" s="4" t="s">
        <v>12005</v>
      </c>
      <c r="B12008" s="4" t="s">
        <v>9011</v>
      </c>
      <c r="C12008" s="2" t="str">
        <f ca="1">IFERROR(__xludf.DUMMYFUNCTION("GOOGLETRANSLATE(A12008,""bn"",""en"")"),"Government will prove efficiency")</f>
        <v>Government will prove efficiency</v>
      </c>
      <c r="D12008" s="5"/>
      <c r="E12008" s="5"/>
      <c r="F12008" s="5"/>
      <c r="G12008" s="5"/>
      <c r="H12008" s="5"/>
      <c r="I12008" s="5"/>
      <c r="J12008" s="5"/>
      <c r="K12008" s="5"/>
      <c r="L12008" s="5"/>
      <c r="M12008" s="5"/>
      <c r="N12008" s="5"/>
      <c r="O12008" s="5"/>
      <c r="P12008" s="5"/>
      <c r="Q12008" s="5"/>
      <c r="R12008" s="5"/>
      <c r="S12008" s="5"/>
      <c r="T12008" s="5"/>
      <c r="U12008" s="5"/>
      <c r="V12008" s="5"/>
      <c r="W12008" s="5"/>
      <c r="X12008" s="5"/>
      <c r="Y12008" s="5"/>
      <c r="Z12008" s="5"/>
    </row>
    <row r="12009" spans="1:26" ht="15" x14ac:dyDescent="0.25">
      <c r="A12009" s="4" t="s">
        <v>12006</v>
      </c>
      <c r="B12009" s="4" t="s">
        <v>9011</v>
      </c>
      <c r="C12009" s="2" t="str">
        <f ca="1">IFERROR(__xludf.DUMMYFUNCTION("GOOGLETRANSLATE(A12009,""bn"",""en"")"),"Development will come with technology")</f>
        <v>Development will come with technology</v>
      </c>
      <c r="D12009" s="5"/>
      <c r="E12009" s="5"/>
      <c r="F12009" s="5"/>
      <c r="G12009" s="5"/>
      <c r="H12009" s="5"/>
      <c r="I12009" s="5"/>
      <c r="J12009" s="5"/>
      <c r="K12009" s="5"/>
      <c r="L12009" s="5"/>
      <c r="M12009" s="5"/>
      <c r="N12009" s="5"/>
      <c r="O12009" s="5"/>
      <c r="P12009" s="5"/>
      <c r="Q12009" s="5"/>
      <c r="R12009" s="5"/>
      <c r="S12009" s="5"/>
      <c r="T12009" s="5"/>
      <c r="U12009" s="5"/>
      <c r="V12009" s="5"/>
      <c r="W12009" s="5"/>
      <c r="X12009" s="5"/>
      <c r="Y12009" s="5"/>
      <c r="Z12009" s="5"/>
    </row>
    <row r="12010" spans="1:26" ht="15" x14ac:dyDescent="0.25">
      <c r="A12010" s="4" t="s">
        <v>12007</v>
      </c>
      <c r="B12010" s="4" t="s">
        <v>9011</v>
      </c>
      <c r="C12010" s="2" t="str">
        <f ca="1">IFERROR(__xludf.DUMMYFUNCTION("GOOGLETRANSLATE(A12010,""bn"",""en"")"),"The economic survey will be in the study")</f>
        <v>The economic survey will be in the study</v>
      </c>
      <c r="D12010" s="5"/>
      <c r="E12010" s="5"/>
      <c r="F12010" s="5"/>
      <c r="G12010" s="5"/>
      <c r="H12010" s="5"/>
      <c r="I12010" s="5"/>
      <c r="J12010" s="5"/>
      <c r="K12010" s="5"/>
      <c r="L12010" s="5"/>
      <c r="M12010" s="5"/>
      <c r="N12010" s="5"/>
      <c r="O12010" s="5"/>
      <c r="P12010" s="5"/>
      <c r="Q12010" s="5"/>
      <c r="R12010" s="5"/>
      <c r="S12010" s="5"/>
      <c r="T12010" s="5"/>
      <c r="U12010" s="5"/>
      <c r="V12010" s="5"/>
      <c r="W12010" s="5"/>
      <c r="X12010" s="5"/>
      <c r="Y12010" s="5"/>
      <c r="Z12010" s="5"/>
    </row>
    <row r="12011" spans="1:26" ht="15" x14ac:dyDescent="0.25">
      <c r="A12011" s="4" t="s">
        <v>12008</v>
      </c>
      <c r="B12011" s="4" t="s">
        <v>9011</v>
      </c>
      <c r="C12011" s="2" t="str">
        <f ca="1">IFERROR(__xludf.DUMMYFUNCTION("GOOGLETRANSLATE(A12011,""bn"",""en"")"),"You will study science")</f>
        <v>You will study science</v>
      </c>
      <c r="D12011" s="5"/>
      <c r="E12011" s="5"/>
      <c r="F12011" s="5"/>
      <c r="G12011" s="5"/>
      <c r="H12011" s="5"/>
      <c r="I12011" s="5"/>
      <c r="J12011" s="5"/>
      <c r="K12011" s="5"/>
      <c r="L12011" s="5"/>
      <c r="M12011" s="5"/>
      <c r="N12011" s="5"/>
      <c r="O12011" s="5"/>
      <c r="P12011" s="5"/>
      <c r="Q12011" s="5"/>
      <c r="R12011" s="5"/>
      <c r="S12011" s="5"/>
      <c r="T12011" s="5"/>
      <c r="U12011" s="5"/>
      <c r="V12011" s="5"/>
      <c r="W12011" s="5"/>
      <c r="X12011" s="5"/>
      <c r="Y12011" s="5"/>
      <c r="Z12011" s="5"/>
    </row>
    <row r="12012" spans="1:26" ht="15" x14ac:dyDescent="0.25">
      <c r="A12012" s="4" t="s">
        <v>12009</v>
      </c>
      <c r="B12012" s="4" t="s">
        <v>9011</v>
      </c>
      <c r="C12012" s="2" t="str">
        <f ca="1">IFERROR(__xludf.DUMMYFUNCTION("GOOGLETRANSLATE(A12012,""bn"",""en"")"),"Introducing new branch")</f>
        <v>Introducing new branch</v>
      </c>
      <c r="D12012" s="5"/>
      <c r="E12012" s="5"/>
      <c r="F12012" s="5"/>
      <c r="G12012" s="5"/>
      <c r="H12012" s="5"/>
      <c r="I12012" s="5"/>
      <c r="J12012" s="5"/>
      <c r="K12012" s="5"/>
      <c r="L12012" s="5"/>
      <c r="M12012" s="5"/>
      <c r="N12012" s="5"/>
      <c r="O12012" s="5"/>
      <c r="P12012" s="5"/>
      <c r="Q12012" s="5"/>
      <c r="R12012" s="5"/>
      <c r="S12012" s="5"/>
      <c r="T12012" s="5"/>
      <c r="U12012" s="5"/>
      <c r="V12012" s="5"/>
      <c r="W12012" s="5"/>
      <c r="X12012" s="5"/>
      <c r="Y12012" s="5"/>
      <c r="Z12012" s="5"/>
    </row>
    <row r="12013" spans="1:26" ht="15" x14ac:dyDescent="0.25">
      <c r="A12013" s="4" t="s">
        <v>12010</v>
      </c>
      <c r="B12013" s="4" t="s">
        <v>9011</v>
      </c>
      <c r="C12013" s="2" t="str">
        <f ca="1">IFERROR(__xludf.DUMMYFUNCTION("GOOGLETRANSLATE(A12013,""bn"",""en"")"),"We will eat historical food")</f>
        <v>We will eat historical food</v>
      </c>
      <c r="D12013" s="5"/>
      <c r="E12013" s="5"/>
      <c r="F12013" s="5"/>
      <c r="G12013" s="5"/>
      <c r="H12013" s="5"/>
      <c r="I12013" s="5"/>
      <c r="J12013" s="5"/>
      <c r="K12013" s="5"/>
      <c r="L12013" s="5"/>
      <c r="M12013" s="5"/>
      <c r="N12013" s="5"/>
      <c r="O12013" s="5"/>
      <c r="P12013" s="5"/>
      <c r="Q12013" s="5"/>
      <c r="R12013" s="5"/>
      <c r="S12013" s="5"/>
      <c r="T12013" s="5"/>
      <c r="U12013" s="5"/>
      <c r="V12013" s="5"/>
      <c r="W12013" s="5"/>
      <c r="X12013" s="5"/>
      <c r="Y12013" s="5"/>
      <c r="Z12013" s="5"/>
    </row>
    <row r="12014" spans="1:26" ht="15" x14ac:dyDescent="0.25">
      <c r="A12014" s="4" t="s">
        <v>12011</v>
      </c>
      <c r="B12014" s="4" t="s">
        <v>9011</v>
      </c>
      <c r="C12014" s="2" t="str">
        <f ca="1">IFERROR(__xludf.DUMMYFUNCTION("GOOGLETRANSLATE(A12014,""bn"",""en"")"),"Create new products")</f>
        <v>Create new products</v>
      </c>
      <c r="D12014" s="5"/>
      <c r="E12014" s="5"/>
      <c r="F12014" s="5"/>
      <c r="G12014" s="5"/>
      <c r="H12014" s="5"/>
      <c r="I12014" s="5"/>
      <c r="J12014" s="5"/>
      <c r="K12014" s="5"/>
      <c r="L12014" s="5"/>
      <c r="M12014" s="5"/>
      <c r="N12014" s="5"/>
      <c r="O12014" s="5"/>
      <c r="P12014" s="5"/>
      <c r="Q12014" s="5"/>
      <c r="R12014" s="5"/>
      <c r="S12014" s="5"/>
      <c r="T12014" s="5"/>
      <c r="U12014" s="5"/>
      <c r="V12014" s="5"/>
      <c r="W12014" s="5"/>
      <c r="X12014" s="5"/>
      <c r="Y12014" s="5"/>
      <c r="Z12014" s="5"/>
    </row>
    <row r="12015" spans="1:26" ht="15" x14ac:dyDescent="0.25">
      <c r="A12015" s="4" t="s">
        <v>12012</v>
      </c>
      <c r="B12015" s="4" t="s">
        <v>9011</v>
      </c>
      <c r="C12015" s="2" t="str">
        <f ca="1">IFERROR(__xludf.DUMMYFUNCTION("GOOGLETRANSLATE(A12015,""bn"",""en"")"),"Domain prices will increase")</f>
        <v>Domain prices will increase</v>
      </c>
      <c r="D12015" s="5"/>
      <c r="E12015" s="5"/>
      <c r="F12015" s="5"/>
      <c r="G12015" s="5"/>
      <c r="H12015" s="5"/>
      <c r="I12015" s="5"/>
      <c r="J12015" s="5"/>
      <c r="K12015" s="5"/>
      <c r="L12015" s="5"/>
      <c r="M12015" s="5"/>
      <c r="N12015" s="5"/>
      <c r="O12015" s="5"/>
      <c r="P12015" s="5"/>
      <c r="Q12015" s="5"/>
      <c r="R12015" s="5"/>
      <c r="S12015" s="5"/>
      <c r="T12015" s="5"/>
      <c r="U12015" s="5"/>
      <c r="V12015" s="5"/>
      <c r="W12015" s="5"/>
      <c r="X12015" s="5"/>
      <c r="Y12015" s="5"/>
      <c r="Z12015" s="5"/>
    </row>
    <row r="12016" spans="1:26" ht="15" x14ac:dyDescent="0.25">
      <c r="A12016" s="4" t="s">
        <v>12013</v>
      </c>
      <c r="B12016" s="4" t="s">
        <v>9011</v>
      </c>
      <c r="C12016" s="2" t="str">
        <f ca="1">IFERROR(__xludf.DUMMYFUNCTION("GOOGLETRANSLATE(A12016,""bn"",""en"")"),"He will take a new loan")</f>
        <v>He will take a new loan</v>
      </c>
      <c r="D12016" s="5"/>
      <c r="E12016" s="5"/>
      <c r="F12016" s="5"/>
      <c r="G12016" s="5"/>
      <c r="H12016" s="5"/>
      <c r="I12016" s="5"/>
      <c r="J12016" s="5"/>
      <c r="K12016" s="5"/>
      <c r="L12016" s="5"/>
      <c r="M12016" s="5"/>
      <c r="N12016" s="5"/>
      <c r="O12016" s="5"/>
      <c r="P12016" s="5"/>
      <c r="Q12016" s="5"/>
      <c r="R12016" s="5"/>
      <c r="S12016" s="5"/>
      <c r="T12016" s="5"/>
      <c r="U12016" s="5"/>
      <c r="V12016" s="5"/>
      <c r="W12016" s="5"/>
      <c r="X12016" s="5"/>
      <c r="Y12016" s="5"/>
      <c r="Z12016" s="5"/>
    </row>
    <row r="12017" spans="1:26" ht="15" x14ac:dyDescent="0.25">
      <c r="A12017" s="4" t="s">
        <v>12014</v>
      </c>
      <c r="B12017" s="4" t="s">
        <v>9011</v>
      </c>
      <c r="C12017" s="2" t="str">
        <f ca="1">IFERROR(__xludf.DUMMYFUNCTION("GOOGLETRANSLATE(A12017,""bn"",""en"")"),"The plant will look beautiful")</f>
        <v>The plant will look beautiful</v>
      </c>
      <c r="D12017" s="5"/>
      <c r="E12017" s="5"/>
      <c r="F12017" s="5"/>
      <c r="G12017" s="5"/>
      <c r="H12017" s="5"/>
      <c r="I12017" s="5"/>
      <c r="J12017" s="5"/>
      <c r="K12017" s="5"/>
      <c r="L12017" s="5"/>
      <c r="M12017" s="5"/>
      <c r="N12017" s="5"/>
      <c r="O12017" s="5"/>
      <c r="P12017" s="5"/>
      <c r="Q12017" s="5"/>
      <c r="R12017" s="5"/>
      <c r="S12017" s="5"/>
      <c r="T12017" s="5"/>
      <c r="U12017" s="5"/>
      <c r="V12017" s="5"/>
      <c r="W12017" s="5"/>
      <c r="X12017" s="5"/>
      <c r="Y12017" s="5"/>
      <c r="Z12017" s="5"/>
    </row>
    <row r="12018" spans="1:26" ht="15" x14ac:dyDescent="0.25">
      <c r="A12018" s="4" t="s">
        <v>12015</v>
      </c>
      <c r="B12018" s="4" t="s">
        <v>9011</v>
      </c>
      <c r="C12018" s="2" t="str">
        <f ca="1">IFERROR(__xludf.DUMMYFUNCTION("GOOGLETRANSLATE(A12018,""bn"",""en"")"),"Must be proficient in keyboard operation")</f>
        <v>Must be proficient in keyboard operation</v>
      </c>
      <c r="D12018" s="5"/>
      <c r="E12018" s="5"/>
      <c r="F12018" s="5"/>
      <c r="G12018" s="5"/>
      <c r="H12018" s="5"/>
      <c r="I12018" s="5"/>
      <c r="J12018" s="5"/>
      <c r="K12018" s="5"/>
      <c r="L12018" s="5"/>
      <c r="M12018" s="5"/>
      <c r="N12018" s="5"/>
      <c r="O12018" s="5"/>
      <c r="P12018" s="5"/>
      <c r="Q12018" s="5"/>
      <c r="R12018" s="5"/>
      <c r="S12018" s="5"/>
      <c r="T12018" s="5"/>
      <c r="U12018" s="5"/>
      <c r="V12018" s="5"/>
      <c r="W12018" s="5"/>
      <c r="X12018" s="5"/>
      <c r="Y12018" s="5"/>
      <c r="Z12018" s="5"/>
    </row>
    <row r="12019" spans="1:26" ht="15" x14ac:dyDescent="0.25">
      <c r="A12019" s="4" t="s">
        <v>12016</v>
      </c>
      <c r="B12019" s="4" t="s">
        <v>9011</v>
      </c>
      <c r="C12019" s="2" t="str">
        <f ca="1">IFERROR(__xludf.DUMMYFUNCTION("GOOGLETRANSLATE(A12019,""bn"",""en"")"),"Flowers will be healthy in summer")</f>
        <v>Flowers will be healthy in summer</v>
      </c>
      <c r="D12019" s="5"/>
      <c r="E12019" s="5"/>
      <c r="F12019" s="5"/>
      <c r="G12019" s="5"/>
      <c r="H12019" s="5"/>
      <c r="I12019" s="5"/>
      <c r="J12019" s="5"/>
      <c r="K12019" s="5"/>
      <c r="L12019" s="5"/>
      <c r="M12019" s="5"/>
      <c r="N12019" s="5"/>
      <c r="O12019" s="5"/>
      <c r="P12019" s="5"/>
      <c r="Q12019" s="5"/>
      <c r="R12019" s="5"/>
      <c r="S12019" s="5"/>
      <c r="T12019" s="5"/>
      <c r="U12019" s="5"/>
      <c r="V12019" s="5"/>
      <c r="W12019" s="5"/>
      <c r="X12019" s="5"/>
      <c r="Y12019" s="5"/>
      <c r="Z12019" s="5"/>
    </row>
    <row r="12020" spans="1:26" ht="15" x14ac:dyDescent="0.25">
      <c r="A12020" s="4" t="s">
        <v>12017</v>
      </c>
      <c r="B12020" s="4" t="s">
        <v>9011</v>
      </c>
      <c r="C12020" s="2" t="str">
        <f ca="1">IFERROR(__xludf.DUMMYFUNCTION("GOOGLETRANSLATE(A12020,""bn"",""en"")"),"Will provide new market")</f>
        <v>Will provide new market</v>
      </c>
      <c r="D12020" s="5"/>
      <c r="E12020" s="5"/>
      <c r="F12020" s="5"/>
      <c r="G12020" s="5"/>
      <c r="H12020" s="5"/>
      <c r="I12020" s="5"/>
      <c r="J12020" s="5"/>
      <c r="K12020" s="5"/>
      <c r="L12020" s="5"/>
      <c r="M12020" s="5"/>
      <c r="N12020" s="5"/>
      <c r="O12020" s="5"/>
      <c r="P12020" s="5"/>
      <c r="Q12020" s="5"/>
      <c r="R12020" s="5"/>
      <c r="S12020" s="5"/>
      <c r="T12020" s="5"/>
      <c r="U12020" s="5"/>
      <c r="V12020" s="5"/>
      <c r="W12020" s="5"/>
      <c r="X12020" s="5"/>
      <c r="Y12020" s="5"/>
      <c r="Z12020" s="5"/>
    </row>
    <row r="12021" spans="1:26" ht="15" x14ac:dyDescent="0.25">
      <c r="A12021" s="4" t="s">
        <v>12018</v>
      </c>
      <c r="B12021" s="4" t="s">
        <v>9011</v>
      </c>
      <c r="C12021" s="2" t="str">
        <f ca="1">IFERROR(__xludf.DUMMYFUNCTION("GOOGLETRANSLATE(A12021,""bn"",""en"")"),"will be awarded as a writer")</f>
        <v>will be awarded as a writer</v>
      </c>
      <c r="D12021" s="5"/>
      <c r="E12021" s="5"/>
      <c r="F12021" s="5"/>
      <c r="G12021" s="5"/>
      <c r="H12021" s="5"/>
      <c r="I12021" s="5"/>
      <c r="J12021" s="5"/>
      <c r="K12021" s="5"/>
      <c r="L12021" s="5"/>
      <c r="M12021" s="5"/>
      <c r="N12021" s="5"/>
      <c r="O12021" s="5"/>
      <c r="P12021" s="5"/>
      <c r="Q12021" s="5"/>
      <c r="R12021" s="5"/>
      <c r="S12021" s="5"/>
      <c r="T12021" s="5"/>
      <c r="U12021" s="5"/>
      <c r="V12021" s="5"/>
      <c r="W12021" s="5"/>
      <c r="X12021" s="5"/>
      <c r="Y12021" s="5"/>
      <c r="Z12021" s="5"/>
    </row>
    <row r="12022" spans="1:26" ht="15" x14ac:dyDescent="0.25">
      <c r="A12022" s="4" t="s">
        <v>12019</v>
      </c>
      <c r="B12022" s="4" t="s">
        <v>9011</v>
      </c>
      <c r="C12022" s="2" t="str">
        <f ca="1">IFERROR(__xludf.DUMMYFUNCTION("GOOGLETRANSLATE(A12022,""bn"",""en"")"),"Bioinformatics needs to expand")</f>
        <v>Bioinformatics needs to expand</v>
      </c>
      <c r="D12022" s="5"/>
      <c r="E12022" s="5"/>
      <c r="F12022" s="5"/>
      <c r="G12022" s="5"/>
      <c r="H12022" s="5"/>
      <c r="I12022" s="5"/>
      <c r="J12022" s="5"/>
      <c r="K12022" s="5"/>
      <c r="L12022" s="5"/>
      <c r="M12022" s="5"/>
      <c r="N12022" s="5"/>
      <c r="O12022" s="5"/>
      <c r="P12022" s="5"/>
      <c r="Q12022" s="5"/>
      <c r="R12022" s="5"/>
      <c r="S12022" s="5"/>
      <c r="T12022" s="5"/>
      <c r="U12022" s="5"/>
      <c r="V12022" s="5"/>
      <c r="W12022" s="5"/>
      <c r="X12022" s="5"/>
      <c r="Y12022" s="5"/>
      <c r="Z12022" s="5"/>
    </row>
    <row r="12023" spans="1:26" ht="15" x14ac:dyDescent="0.25">
      <c r="A12023" s="4" t="s">
        <v>12020</v>
      </c>
      <c r="B12023" s="4" t="s">
        <v>9011</v>
      </c>
      <c r="C12023" s="2" t="str">
        <f ca="1">IFERROR(__xludf.DUMMYFUNCTION("GOOGLETRANSLATE(A12023,""bn"",""en"")"),"We will introduce the market")</f>
        <v>We will introduce the market</v>
      </c>
      <c r="D12023" s="5"/>
      <c r="E12023" s="5"/>
      <c r="F12023" s="5"/>
      <c r="G12023" s="5"/>
      <c r="H12023" s="5"/>
      <c r="I12023" s="5"/>
      <c r="J12023" s="5"/>
      <c r="K12023" s="5"/>
      <c r="L12023" s="5"/>
      <c r="M12023" s="5"/>
      <c r="N12023" s="5"/>
      <c r="O12023" s="5"/>
      <c r="P12023" s="5"/>
      <c r="Q12023" s="5"/>
      <c r="R12023" s="5"/>
      <c r="S12023" s="5"/>
      <c r="T12023" s="5"/>
      <c r="U12023" s="5"/>
      <c r="V12023" s="5"/>
      <c r="W12023" s="5"/>
      <c r="X12023" s="5"/>
      <c r="Y12023" s="5"/>
      <c r="Z12023" s="5"/>
    </row>
    <row r="12024" spans="1:26" ht="15" x14ac:dyDescent="0.25">
      <c r="A12024" s="4" t="s">
        <v>12021</v>
      </c>
      <c r="B12024" s="4" t="s">
        <v>9011</v>
      </c>
      <c r="C12024" s="2" t="str">
        <f ca="1">IFERROR(__xludf.DUMMYFUNCTION("GOOGLETRANSLATE(A12024,""bn"",""en"")"),"You will get a bank card")</f>
        <v>You will get a bank card</v>
      </c>
      <c r="D12024" s="5"/>
      <c r="E12024" s="5"/>
      <c r="F12024" s="5"/>
      <c r="G12024" s="5"/>
      <c r="H12024" s="5"/>
      <c r="I12024" s="5"/>
      <c r="J12024" s="5"/>
      <c r="K12024" s="5"/>
      <c r="L12024" s="5"/>
      <c r="M12024" s="5"/>
      <c r="N12024" s="5"/>
      <c r="O12024" s="5"/>
      <c r="P12024" s="5"/>
      <c r="Q12024" s="5"/>
      <c r="R12024" s="5"/>
      <c r="S12024" s="5"/>
      <c r="T12024" s="5"/>
      <c r="U12024" s="5"/>
      <c r="V12024" s="5"/>
      <c r="W12024" s="5"/>
      <c r="X12024" s="5"/>
      <c r="Y12024" s="5"/>
      <c r="Z12024" s="5"/>
    </row>
    <row r="12025" spans="1:26" ht="15" x14ac:dyDescent="0.25">
      <c r="A12025" s="4" t="s">
        <v>12022</v>
      </c>
      <c r="B12025" s="4" t="s">
        <v>9011</v>
      </c>
      <c r="C12025" s="2" t="str">
        <f ca="1">IFERROR(__xludf.DUMMYFUNCTION("GOOGLETRANSLATE(A12025,""bn"",""en"")"),"Pest control will be at work")</f>
        <v>Pest control will be at work</v>
      </c>
      <c r="D12025" s="5"/>
      <c r="E12025" s="5"/>
      <c r="F12025" s="5"/>
      <c r="G12025" s="5"/>
      <c r="H12025" s="5"/>
      <c r="I12025" s="5"/>
      <c r="J12025" s="5"/>
      <c r="K12025" s="5"/>
      <c r="L12025" s="5"/>
      <c r="M12025" s="5"/>
      <c r="N12025" s="5"/>
      <c r="O12025" s="5"/>
      <c r="P12025" s="5"/>
      <c r="Q12025" s="5"/>
      <c r="R12025" s="5"/>
      <c r="S12025" s="5"/>
      <c r="T12025" s="5"/>
      <c r="U12025" s="5"/>
      <c r="V12025" s="5"/>
      <c r="W12025" s="5"/>
      <c r="X12025" s="5"/>
      <c r="Y12025" s="5"/>
      <c r="Z12025" s="5"/>
    </row>
    <row r="12026" spans="1:26" ht="15" x14ac:dyDescent="0.25">
      <c r="A12026" s="4" t="s">
        <v>12023</v>
      </c>
      <c r="B12026" s="4" t="s">
        <v>9011</v>
      </c>
      <c r="C12026" s="2" t="str">
        <f ca="1">IFERROR(__xludf.DUMMYFUNCTION("GOOGLETRANSLATE(A12026,""bn"",""en"")"),"will be managed between developers")</f>
        <v>will be managed between developers</v>
      </c>
      <c r="D12026" s="5"/>
      <c r="E12026" s="5"/>
      <c r="F12026" s="5"/>
      <c r="G12026" s="5"/>
      <c r="H12026" s="5"/>
      <c r="I12026" s="5"/>
      <c r="J12026" s="5"/>
      <c r="K12026" s="5"/>
      <c r="L12026" s="5"/>
      <c r="M12026" s="5"/>
      <c r="N12026" s="5"/>
      <c r="O12026" s="5"/>
      <c r="P12026" s="5"/>
      <c r="Q12026" s="5"/>
      <c r="R12026" s="5"/>
      <c r="S12026" s="5"/>
      <c r="T12026" s="5"/>
      <c r="U12026" s="5"/>
      <c r="V12026" s="5"/>
      <c r="W12026" s="5"/>
      <c r="X12026" s="5"/>
      <c r="Y12026" s="5"/>
      <c r="Z12026" s="5"/>
    </row>
    <row r="12027" spans="1:26" ht="15" x14ac:dyDescent="0.25">
      <c r="A12027" s="4" t="s">
        <v>12024</v>
      </c>
      <c r="B12027" s="4" t="s">
        <v>9011</v>
      </c>
      <c r="C12027" s="2" t="str">
        <f ca="1">IFERROR(__xludf.DUMMYFUNCTION("GOOGLETRANSLATE(A12027,""bn"",""en"")"),"People will build houses on the shore")</f>
        <v>People will build houses on the shore</v>
      </c>
      <c r="D12027" s="5"/>
      <c r="E12027" s="5"/>
      <c r="F12027" s="5"/>
      <c r="G12027" s="5"/>
      <c r="H12027" s="5"/>
      <c r="I12027" s="5"/>
      <c r="J12027" s="5"/>
      <c r="K12027" s="5"/>
      <c r="L12027" s="5"/>
      <c r="M12027" s="5"/>
      <c r="N12027" s="5"/>
      <c r="O12027" s="5"/>
      <c r="P12027" s="5"/>
      <c r="Q12027" s="5"/>
      <c r="R12027" s="5"/>
      <c r="S12027" s="5"/>
      <c r="T12027" s="5"/>
      <c r="U12027" s="5"/>
      <c r="V12027" s="5"/>
      <c r="W12027" s="5"/>
      <c r="X12027" s="5"/>
      <c r="Y12027" s="5"/>
      <c r="Z12027" s="5"/>
    </row>
    <row r="12028" spans="1:26" ht="15" x14ac:dyDescent="0.25">
      <c r="A12028" s="4" t="s">
        <v>12025</v>
      </c>
      <c r="B12028" s="4" t="s">
        <v>9011</v>
      </c>
      <c r="C12028" s="2" t="str">
        <f ca="1">IFERROR(__xludf.DUMMYFUNCTION("GOOGLETRANSLATE(A12028,""bn"",""en"")"),"You will drink milk tea")</f>
        <v>You will drink milk tea</v>
      </c>
      <c r="D12028" s="5"/>
      <c r="E12028" s="5"/>
      <c r="F12028" s="5"/>
      <c r="G12028" s="5"/>
      <c r="H12028" s="5"/>
      <c r="I12028" s="5"/>
      <c r="J12028" s="5"/>
      <c r="K12028" s="5"/>
      <c r="L12028" s="5"/>
      <c r="M12028" s="5"/>
      <c r="N12028" s="5"/>
      <c r="O12028" s="5"/>
      <c r="P12028" s="5"/>
      <c r="Q12028" s="5"/>
      <c r="R12028" s="5"/>
      <c r="S12028" s="5"/>
      <c r="T12028" s="5"/>
      <c r="U12028" s="5"/>
      <c r="V12028" s="5"/>
      <c r="W12028" s="5"/>
      <c r="X12028" s="5"/>
      <c r="Y12028" s="5"/>
      <c r="Z12028" s="5"/>
    </row>
    <row r="12029" spans="1:26" ht="15" x14ac:dyDescent="0.25">
      <c r="A12029" s="4" t="s">
        <v>12026</v>
      </c>
      <c r="B12029" s="4" t="s">
        <v>9011</v>
      </c>
      <c r="C12029" s="2" t="str">
        <f ca="1">IFERROR(__xludf.DUMMYFUNCTION("GOOGLETRANSLATE(A12029,""bn"",""en"")"),"You will learn online")</f>
        <v>You will learn online</v>
      </c>
      <c r="D12029" s="5"/>
      <c r="E12029" s="5"/>
      <c r="F12029" s="5"/>
      <c r="G12029" s="5"/>
      <c r="H12029" s="5"/>
      <c r="I12029" s="5"/>
      <c r="J12029" s="5"/>
      <c r="K12029" s="5"/>
      <c r="L12029" s="5"/>
      <c r="M12029" s="5"/>
      <c r="N12029" s="5"/>
      <c r="O12029" s="5"/>
      <c r="P12029" s="5"/>
      <c r="Q12029" s="5"/>
      <c r="R12029" s="5"/>
      <c r="S12029" s="5"/>
      <c r="T12029" s="5"/>
      <c r="U12029" s="5"/>
      <c r="V12029" s="5"/>
      <c r="W12029" s="5"/>
      <c r="X12029" s="5"/>
      <c r="Y12029" s="5"/>
      <c r="Z12029" s="5"/>
    </row>
    <row r="12030" spans="1:26" ht="15" x14ac:dyDescent="0.25">
      <c r="A12030" s="4" t="s">
        <v>12027</v>
      </c>
      <c r="B12030" s="4" t="s">
        <v>9011</v>
      </c>
      <c r="C12030" s="2" t="str">
        <f ca="1">IFERROR(__xludf.DUMMYFUNCTION("GOOGLETRANSLATE(A12030,""bn"",""en"")"),"He will build the blogging platform")</f>
        <v>He will build the blogging platform</v>
      </c>
      <c r="D12030" s="5"/>
      <c r="E12030" s="5"/>
      <c r="F12030" s="5"/>
      <c r="G12030" s="5"/>
      <c r="H12030" s="5"/>
      <c r="I12030" s="5"/>
      <c r="J12030" s="5"/>
      <c r="K12030" s="5"/>
      <c r="L12030" s="5"/>
      <c r="M12030" s="5"/>
      <c r="N12030" s="5"/>
      <c r="O12030" s="5"/>
      <c r="P12030" s="5"/>
      <c r="Q12030" s="5"/>
      <c r="R12030" s="5"/>
      <c r="S12030" s="5"/>
      <c r="T12030" s="5"/>
      <c r="U12030" s="5"/>
      <c r="V12030" s="5"/>
      <c r="W12030" s="5"/>
      <c r="X12030" s="5"/>
      <c r="Y12030" s="5"/>
      <c r="Z12030" s="5"/>
    </row>
    <row r="12031" spans="1:26" ht="15" x14ac:dyDescent="0.25">
      <c r="A12031" s="4" t="s">
        <v>12028</v>
      </c>
      <c r="B12031" s="4" t="s">
        <v>9011</v>
      </c>
      <c r="C12031" s="2" t="str">
        <f ca="1">IFERROR(__xludf.DUMMYFUNCTION("GOOGLETRANSLATE(A12031,""bn"",""en"")"),"Will develop new applications")</f>
        <v>Will develop new applications</v>
      </c>
      <c r="D12031" s="5"/>
      <c r="E12031" s="5"/>
      <c r="F12031" s="5"/>
      <c r="G12031" s="5"/>
      <c r="H12031" s="5"/>
      <c r="I12031" s="5"/>
      <c r="J12031" s="5"/>
      <c r="K12031" s="5"/>
      <c r="L12031" s="5"/>
      <c r="M12031" s="5"/>
      <c r="N12031" s="5"/>
      <c r="O12031" s="5"/>
      <c r="P12031" s="5"/>
      <c r="Q12031" s="5"/>
      <c r="R12031" s="5"/>
      <c r="S12031" s="5"/>
      <c r="T12031" s="5"/>
      <c r="U12031" s="5"/>
      <c r="V12031" s="5"/>
      <c r="W12031" s="5"/>
      <c r="X12031" s="5"/>
      <c r="Y12031" s="5"/>
      <c r="Z12031" s="5"/>
    </row>
    <row r="12032" spans="1:26" ht="15" x14ac:dyDescent="0.25">
      <c r="A12032" s="4" t="s">
        <v>12029</v>
      </c>
      <c r="B12032" s="4" t="s">
        <v>9011</v>
      </c>
      <c r="C12032" s="2" t="str">
        <f ca="1">IFERROR(__xludf.DUMMYFUNCTION("GOOGLETRANSLATE(A12032,""bn"",""en"")"),"Bugs will appear in the application")</f>
        <v>Bugs will appear in the application</v>
      </c>
      <c r="D12032" s="5"/>
      <c r="E12032" s="5"/>
      <c r="F12032" s="5"/>
      <c r="G12032" s="5"/>
      <c r="H12032" s="5"/>
      <c r="I12032" s="5"/>
      <c r="J12032" s="5"/>
      <c r="K12032" s="5"/>
      <c r="L12032" s="5"/>
      <c r="M12032" s="5"/>
      <c r="N12032" s="5"/>
      <c r="O12032" s="5"/>
      <c r="P12032" s="5"/>
      <c r="Q12032" s="5"/>
      <c r="R12032" s="5"/>
      <c r="S12032" s="5"/>
      <c r="T12032" s="5"/>
      <c r="U12032" s="5"/>
      <c r="V12032" s="5"/>
      <c r="W12032" s="5"/>
      <c r="X12032" s="5"/>
      <c r="Y12032" s="5"/>
      <c r="Z12032" s="5"/>
    </row>
    <row r="12033" spans="1:26" ht="15" x14ac:dyDescent="0.25">
      <c r="A12033" s="4" t="s">
        <v>12030</v>
      </c>
      <c r="B12033" s="4" t="s">
        <v>9011</v>
      </c>
      <c r="C12033" s="2" t="str">
        <f ca="1">IFERROR(__xludf.DUMMYFUNCTION("GOOGLETRANSLATE(A12033,""bn"",""en"")"),"New staff will come to the hospital")</f>
        <v>New staff will come to the hospital</v>
      </c>
      <c r="D12033" s="5"/>
      <c r="E12033" s="5"/>
      <c r="F12033" s="5"/>
      <c r="G12033" s="5"/>
      <c r="H12033" s="5"/>
      <c r="I12033" s="5"/>
      <c r="J12033" s="5"/>
      <c r="K12033" s="5"/>
      <c r="L12033" s="5"/>
      <c r="M12033" s="5"/>
      <c r="N12033" s="5"/>
      <c r="O12033" s="5"/>
      <c r="P12033" s="5"/>
      <c r="Q12033" s="5"/>
      <c r="R12033" s="5"/>
      <c r="S12033" s="5"/>
      <c r="T12033" s="5"/>
      <c r="U12033" s="5"/>
      <c r="V12033" s="5"/>
      <c r="W12033" s="5"/>
      <c r="X12033" s="5"/>
      <c r="Y12033" s="5"/>
      <c r="Z12033" s="5"/>
    </row>
    <row r="12034" spans="1:26" ht="15" x14ac:dyDescent="0.25">
      <c r="A12034" s="4" t="s">
        <v>12031</v>
      </c>
      <c r="B12034" s="4" t="s">
        <v>9011</v>
      </c>
      <c r="C12034" s="2" t="str">
        <f ca="1">IFERROR(__xludf.DUMMYFUNCTION("GOOGLETRANSLATE(A12034,""bn"",""en"")"),"You will make fun barfi")</f>
        <v>You will make fun barfi</v>
      </c>
      <c r="D12034" s="5"/>
      <c r="E12034" s="5"/>
      <c r="F12034" s="5"/>
      <c r="G12034" s="5"/>
      <c r="H12034" s="5"/>
      <c r="I12034" s="5"/>
      <c r="J12034" s="5"/>
      <c r="K12034" s="5"/>
      <c r="L12034" s="5"/>
      <c r="M12034" s="5"/>
      <c r="N12034" s="5"/>
      <c r="O12034" s="5"/>
      <c r="P12034" s="5"/>
      <c r="Q12034" s="5"/>
      <c r="R12034" s="5"/>
      <c r="S12034" s="5"/>
      <c r="T12034" s="5"/>
      <c r="U12034" s="5"/>
      <c r="V12034" s="5"/>
      <c r="W12034" s="5"/>
      <c r="X12034" s="5"/>
      <c r="Y12034" s="5"/>
      <c r="Z12034" s="5"/>
    </row>
    <row r="12035" spans="1:26" ht="15" x14ac:dyDescent="0.25">
      <c r="A12035" s="4" t="s">
        <v>12032</v>
      </c>
      <c r="B12035" s="4" t="s">
        <v>9011</v>
      </c>
      <c r="C12035" s="2" t="str">
        <f ca="1">IFERROR(__xludf.DUMMYFUNCTION("GOOGLETRANSLATE(A12035,""bn"",""en"")"),"You will swim in the pool")</f>
        <v>You will swim in the pool</v>
      </c>
      <c r="D12035" s="5"/>
      <c r="E12035" s="5"/>
      <c r="F12035" s="5"/>
      <c r="G12035" s="5"/>
      <c r="H12035" s="5"/>
      <c r="I12035" s="5"/>
      <c r="J12035" s="5"/>
      <c r="K12035" s="5"/>
      <c r="L12035" s="5"/>
      <c r="M12035" s="5"/>
      <c r="N12035" s="5"/>
      <c r="O12035" s="5"/>
      <c r="P12035" s="5"/>
      <c r="Q12035" s="5"/>
      <c r="R12035" s="5"/>
      <c r="S12035" s="5"/>
      <c r="T12035" s="5"/>
      <c r="U12035" s="5"/>
      <c r="V12035" s="5"/>
      <c r="W12035" s="5"/>
      <c r="X12035" s="5"/>
      <c r="Y12035" s="5"/>
      <c r="Z12035" s="5"/>
    </row>
    <row r="12036" spans="1:26" ht="15" x14ac:dyDescent="0.25">
      <c r="A12036" s="4" t="s">
        <v>12033</v>
      </c>
      <c r="B12036" s="4" t="s">
        <v>9011</v>
      </c>
      <c r="C12036" s="2" t="str">
        <f ca="1">IFERROR(__xludf.DUMMYFUNCTION("GOOGLETRANSLATE(A12036,""bn"",""en"")"),"Business will increase tomorrow")</f>
        <v>Business will increase tomorrow</v>
      </c>
      <c r="D12036" s="5"/>
      <c r="E12036" s="5"/>
      <c r="F12036" s="5"/>
      <c r="G12036" s="5"/>
      <c r="H12036" s="5"/>
      <c r="I12036" s="5"/>
      <c r="J12036" s="5"/>
      <c r="K12036" s="5"/>
      <c r="L12036" s="5"/>
      <c r="M12036" s="5"/>
      <c r="N12036" s="5"/>
      <c r="O12036" s="5"/>
      <c r="P12036" s="5"/>
      <c r="Q12036" s="5"/>
      <c r="R12036" s="5"/>
      <c r="S12036" s="5"/>
      <c r="T12036" s="5"/>
      <c r="U12036" s="5"/>
      <c r="V12036" s="5"/>
      <c r="W12036" s="5"/>
      <c r="X12036" s="5"/>
      <c r="Y12036" s="5"/>
      <c r="Z12036" s="5"/>
    </row>
    <row r="12037" spans="1:26" ht="15" x14ac:dyDescent="0.25">
      <c r="A12037" s="4" t="s">
        <v>12034</v>
      </c>
      <c r="B12037" s="4" t="s">
        <v>9011</v>
      </c>
      <c r="C12037" s="2" t="str">
        <f ca="1">IFERROR(__xludf.DUMMYFUNCTION("GOOGLETRANSLATE(A12037,""bn"",""en"")"),"They will continue to ride bicycles")</f>
        <v>They will continue to ride bicycles</v>
      </c>
      <c r="D12037" s="5"/>
      <c r="E12037" s="5"/>
      <c r="F12037" s="5"/>
      <c r="G12037" s="5"/>
      <c r="H12037" s="5"/>
      <c r="I12037" s="5"/>
      <c r="J12037" s="5"/>
      <c r="K12037" s="5"/>
      <c r="L12037" s="5"/>
      <c r="M12037" s="5"/>
      <c r="N12037" s="5"/>
      <c r="O12037" s="5"/>
      <c r="P12037" s="5"/>
      <c r="Q12037" s="5"/>
      <c r="R12037" s="5"/>
      <c r="S12037" s="5"/>
      <c r="T12037" s="5"/>
      <c r="U12037" s="5"/>
      <c r="V12037" s="5"/>
      <c r="W12037" s="5"/>
      <c r="X12037" s="5"/>
      <c r="Y12037" s="5"/>
      <c r="Z12037" s="5"/>
    </row>
    <row r="12038" spans="1:26" ht="15" x14ac:dyDescent="0.25">
      <c r="A12038" s="4" t="s">
        <v>12035</v>
      </c>
      <c r="B12038" s="4" t="s">
        <v>9011</v>
      </c>
      <c r="C12038" s="2" t="str">
        <f ca="1">IFERROR(__xludf.DUMMYFUNCTION("GOOGLETRANSLATE(A12038,""bn"",""en"")"),"Will apply to commercial banks")</f>
        <v>Will apply to commercial banks</v>
      </c>
      <c r="D12038" s="5"/>
      <c r="E12038" s="5"/>
      <c r="F12038" s="5"/>
      <c r="G12038" s="5"/>
      <c r="H12038" s="5"/>
      <c r="I12038" s="5"/>
      <c r="J12038" s="5"/>
      <c r="K12038" s="5"/>
      <c r="L12038" s="5"/>
      <c r="M12038" s="5"/>
      <c r="N12038" s="5"/>
      <c r="O12038" s="5"/>
      <c r="P12038" s="5"/>
      <c r="Q12038" s="5"/>
      <c r="R12038" s="5"/>
      <c r="S12038" s="5"/>
      <c r="T12038" s="5"/>
      <c r="U12038" s="5"/>
      <c r="V12038" s="5"/>
      <c r="W12038" s="5"/>
      <c r="X12038" s="5"/>
      <c r="Y12038" s="5"/>
      <c r="Z12038" s="5"/>
    </row>
    <row r="12039" spans="1:26" ht="15" x14ac:dyDescent="0.25">
      <c r="A12039" s="4" t="s">
        <v>12036</v>
      </c>
      <c r="B12039" s="4" t="s">
        <v>9011</v>
      </c>
      <c r="C12039" s="2" t="str">
        <f ca="1">IFERROR(__xludf.DUMMYFUNCTION("GOOGLETRANSLATE(A12039,""bn"",""en"")"),"I will come to the restaurant in the afternoon")</f>
        <v>I will come to the restaurant in the afternoon</v>
      </c>
      <c r="D12039" s="5"/>
      <c r="E12039" s="5"/>
      <c r="F12039" s="5"/>
      <c r="G12039" s="5"/>
      <c r="H12039" s="5"/>
      <c r="I12039" s="5"/>
      <c r="J12039" s="5"/>
      <c r="K12039" s="5"/>
      <c r="L12039" s="5"/>
      <c r="M12039" s="5"/>
      <c r="N12039" s="5"/>
      <c r="O12039" s="5"/>
      <c r="P12039" s="5"/>
      <c r="Q12039" s="5"/>
      <c r="R12039" s="5"/>
      <c r="S12039" s="5"/>
      <c r="T12039" s="5"/>
      <c r="U12039" s="5"/>
      <c r="V12039" s="5"/>
      <c r="W12039" s="5"/>
      <c r="X12039" s="5"/>
      <c r="Y12039" s="5"/>
      <c r="Z12039" s="5"/>
    </row>
    <row r="12040" spans="1:26" ht="15" x14ac:dyDescent="0.25">
      <c r="A12040" s="4" t="s">
        <v>12037</v>
      </c>
      <c r="B12040" s="4" t="s">
        <v>9011</v>
      </c>
      <c r="C12040" s="2" t="str">
        <f ca="1">IFERROR(__xludf.DUMMYFUNCTION("GOOGLETRANSLATE(A12040,""bn"",""en"")"),"They will build a better market")</f>
        <v>They will build a better market</v>
      </c>
      <c r="D12040" s="5"/>
      <c r="E12040" s="5"/>
      <c r="F12040" s="5"/>
      <c r="G12040" s="5"/>
      <c r="H12040" s="5"/>
      <c r="I12040" s="5"/>
      <c r="J12040" s="5"/>
      <c r="K12040" s="5"/>
      <c r="L12040" s="5"/>
      <c r="M12040" s="5"/>
      <c r="N12040" s="5"/>
      <c r="O12040" s="5"/>
      <c r="P12040" s="5"/>
      <c r="Q12040" s="5"/>
      <c r="R12040" s="5"/>
      <c r="S12040" s="5"/>
      <c r="T12040" s="5"/>
      <c r="U12040" s="5"/>
      <c r="V12040" s="5"/>
      <c r="W12040" s="5"/>
      <c r="X12040" s="5"/>
      <c r="Y12040" s="5"/>
      <c r="Z12040" s="5"/>
    </row>
    <row r="12041" spans="1:26" ht="15" x14ac:dyDescent="0.25">
      <c r="A12041" s="4" t="s">
        <v>12038</v>
      </c>
      <c r="B12041" s="4" t="s">
        <v>9011</v>
      </c>
      <c r="C12041" s="2" t="str">
        <f ca="1">IFERROR(__xludf.DUMMYFUNCTION("GOOGLETRANSLATE(A12041,""bn"",""en"")"),"They will watch the server regularly")</f>
        <v>They will watch the server regularly</v>
      </c>
      <c r="D12041" s="5"/>
      <c r="E12041" s="5"/>
      <c r="F12041" s="5"/>
      <c r="G12041" s="5"/>
      <c r="H12041" s="5"/>
      <c r="I12041" s="5"/>
      <c r="J12041" s="5"/>
      <c r="K12041" s="5"/>
      <c r="L12041" s="5"/>
      <c r="M12041" s="5"/>
      <c r="N12041" s="5"/>
      <c r="O12041" s="5"/>
      <c r="P12041" s="5"/>
      <c r="Q12041" s="5"/>
      <c r="R12041" s="5"/>
      <c r="S12041" s="5"/>
      <c r="T12041" s="5"/>
      <c r="U12041" s="5"/>
      <c r="V12041" s="5"/>
      <c r="W12041" s="5"/>
      <c r="X12041" s="5"/>
      <c r="Y12041" s="5"/>
      <c r="Z12041" s="5"/>
    </row>
    <row r="12042" spans="1:26" ht="15" x14ac:dyDescent="0.25">
      <c r="A12042" s="4" t="s">
        <v>12039</v>
      </c>
      <c r="B12042" s="4" t="s">
        <v>9011</v>
      </c>
      <c r="C12042" s="2" t="str">
        <f ca="1">IFERROR(__xludf.DUMMYFUNCTION("GOOGLETRANSLATE(A12042,""bn"",""en"")"),"Our market will grow well")</f>
        <v>Our market will grow well</v>
      </c>
      <c r="D12042" s="5"/>
      <c r="E12042" s="5"/>
      <c r="F12042" s="5"/>
      <c r="G12042" s="5"/>
      <c r="H12042" s="5"/>
      <c r="I12042" s="5"/>
      <c r="J12042" s="5"/>
      <c r="K12042" s="5"/>
      <c r="L12042" s="5"/>
      <c r="M12042" s="5"/>
      <c r="N12042" s="5"/>
      <c r="O12042" s="5"/>
      <c r="P12042" s="5"/>
      <c r="Q12042" s="5"/>
      <c r="R12042" s="5"/>
      <c r="S12042" s="5"/>
      <c r="T12042" s="5"/>
      <c r="U12042" s="5"/>
      <c r="V12042" s="5"/>
      <c r="W12042" s="5"/>
      <c r="X12042" s="5"/>
      <c r="Y12042" s="5"/>
      <c r="Z12042" s="5"/>
    </row>
    <row r="12043" spans="1:26" ht="15" x14ac:dyDescent="0.25">
      <c r="A12043" s="4" t="s">
        <v>12040</v>
      </c>
      <c r="B12043" s="4" t="s">
        <v>9011</v>
      </c>
      <c r="C12043" s="2" t="str">
        <f ca="1">IFERROR(__xludf.DUMMYFUNCTION("GOOGLETRANSLATE(A12043,""bn"",""en"")"),"Create a better market culture")</f>
        <v>Create a better market culture</v>
      </c>
      <c r="D12043" s="5"/>
      <c r="E12043" s="5"/>
      <c r="F12043" s="5"/>
      <c r="G12043" s="5"/>
      <c r="H12043" s="5"/>
      <c r="I12043" s="5"/>
      <c r="J12043" s="5"/>
      <c r="K12043" s="5"/>
      <c r="L12043" s="5"/>
      <c r="M12043" s="5"/>
      <c r="N12043" s="5"/>
      <c r="O12043" s="5"/>
      <c r="P12043" s="5"/>
      <c r="Q12043" s="5"/>
      <c r="R12043" s="5"/>
      <c r="S12043" s="5"/>
      <c r="T12043" s="5"/>
      <c r="U12043" s="5"/>
      <c r="V12043" s="5"/>
      <c r="W12043" s="5"/>
      <c r="X12043" s="5"/>
      <c r="Y12043" s="5"/>
      <c r="Z12043" s="5"/>
    </row>
    <row r="12044" spans="1:26" ht="15" x14ac:dyDescent="0.25">
      <c r="A12044" s="4" t="s">
        <v>12041</v>
      </c>
      <c r="B12044" s="4" t="s">
        <v>9011</v>
      </c>
      <c r="C12044" s="2" t="str">
        <f ca="1">IFERROR(__xludf.DUMMYFUNCTION("GOOGLETRANSLATE(A12044,""bn"",""en"")"),"You will all swim")</f>
        <v>You will all swim</v>
      </c>
      <c r="D12044" s="5"/>
      <c r="E12044" s="5"/>
      <c r="F12044" s="5"/>
      <c r="G12044" s="5"/>
      <c r="H12044" s="5"/>
      <c r="I12044" s="5"/>
      <c r="J12044" s="5"/>
      <c r="K12044" s="5"/>
      <c r="L12044" s="5"/>
      <c r="M12044" s="5"/>
      <c r="N12044" s="5"/>
      <c r="O12044" s="5"/>
      <c r="P12044" s="5"/>
      <c r="Q12044" s="5"/>
      <c r="R12044" s="5"/>
      <c r="S12044" s="5"/>
      <c r="T12044" s="5"/>
      <c r="U12044" s="5"/>
      <c r="V12044" s="5"/>
      <c r="W12044" s="5"/>
      <c r="X12044" s="5"/>
      <c r="Y12044" s="5"/>
      <c r="Z12044" s="5"/>
    </row>
    <row r="12045" spans="1:26" ht="15" x14ac:dyDescent="0.25">
      <c r="A12045" s="4" t="s">
        <v>12042</v>
      </c>
      <c r="B12045" s="4" t="s">
        <v>9011</v>
      </c>
      <c r="C12045" s="2" t="str">
        <f ca="1">IFERROR(__xludf.DUMMYFUNCTION("GOOGLETRANSLATE(A12045,""bn"",""en"")"),"He will get education incentive")</f>
        <v>He will get education incentive</v>
      </c>
      <c r="D12045" s="5"/>
      <c r="E12045" s="5"/>
      <c r="F12045" s="5"/>
      <c r="G12045" s="5"/>
      <c r="H12045" s="5"/>
      <c r="I12045" s="5"/>
      <c r="J12045" s="5"/>
      <c r="K12045" s="5"/>
      <c r="L12045" s="5"/>
      <c r="M12045" s="5"/>
      <c r="N12045" s="5"/>
      <c r="O12045" s="5"/>
      <c r="P12045" s="5"/>
      <c r="Q12045" s="5"/>
      <c r="R12045" s="5"/>
      <c r="S12045" s="5"/>
      <c r="T12045" s="5"/>
      <c r="U12045" s="5"/>
      <c r="V12045" s="5"/>
      <c r="W12045" s="5"/>
      <c r="X12045" s="5"/>
      <c r="Y12045" s="5"/>
      <c r="Z12045" s="5"/>
    </row>
    <row r="12046" spans="1:26" ht="15" x14ac:dyDescent="0.25">
      <c r="A12046" s="4" t="s">
        <v>12043</v>
      </c>
      <c r="B12046" s="4" t="s">
        <v>9011</v>
      </c>
      <c r="C12046" s="2" t="str">
        <f ca="1">IFERROR(__xludf.DUMMYFUNCTION("GOOGLETRANSLATE(A12046,""bn"",""en"")"),"The fisherman will catch fish in the pond")</f>
        <v>The fisherman will catch fish in the pond</v>
      </c>
      <c r="D12046" s="5"/>
      <c r="E12046" s="5"/>
      <c r="F12046" s="5"/>
      <c r="G12046" s="5"/>
      <c r="H12046" s="5"/>
      <c r="I12046" s="5"/>
      <c r="J12046" s="5"/>
      <c r="K12046" s="5"/>
      <c r="L12046" s="5"/>
      <c r="M12046" s="5"/>
      <c r="N12046" s="5"/>
      <c r="O12046" s="5"/>
      <c r="P12046" s="5"/>
      <c r="Q12046" s="5"/>
      <c r="R12046" s="5"/>
      <c r="S12046" s="5"/>
      <c r="T12046" s="5"/>
      <c r="U12046" s="5"/>
      <c r="V12046" s="5"/>
      <c r="W12046" s="5"/>
      <c r="X12046" s="5"/>
      <c r="Y12046" s="5"/>
      <c r="Z12046" s="5"/>
    </row>
    <row r="12047" spans="1:26" ht="15" x14ac:dyDescent="0.25">
      <c r="A12047" s="4" t="s">
        <v>12044</v>
      </c>
      <c r="B12047" s="4" t="s">
        <v>9011</v>
      </c>
      <c r="C12047" s="2" t="str">
        <f ca="1">IFERROR(__xludf.DUMMYFUNCTION("GOOGLETRANSLATE(A12047,""bn"",""en"")"),"David will apply for the card")</f>
        <v>David will apply for the card</v>
      </c>
      <c r="D12047" s="5"/>
      <c r="E12047" s="5"/>
      <c r="F12047" s="5"/>
      <c r="G12047" s="5"/>
      <c r="H12047" s="5"/>
      <c r="I12047" s="5"/>
      <c r="J12047" s="5"/>
      <c r="K12047" s="5"/>
      <c r="L12047" s="5"/>
      <c r="M12047" s="5"/>
      <c r="N12047" s="5"/>
      <c r="O12047" s="5"/>
      <c r="P12047" s="5"/>
      <c r="Q12047" s="5"/>
      <c r="R12047" s="5"/>
      <c r="S12047" s="5"/>
      <c r="T12047" s="5"/>
      <c r="U12047" s="5"/>
      <c r="V12047" s="5"/>
      <c r="W12047" s="5"/>
      <c r="X12047" s="5"/>
      <c r="Y12047" s="5"/>
      <c r="Z12047" s="5"/>
    </row>
    <row r="12048" spans="1:26" ht="15" x14ac:dyDescent="0.25">
      <c r="A12048" s="4" t="s">
        <v>12045</v>
      </c>
      <c r="B12048" s="4" t="s">
        <v>9011</v>
      </c>
      <c r="C12048" s="2" t="str">
        <f ca="1">IFERROR(__xludf.DUMMYFUNCTION("GOOGLETRANSLATE(A12048,""bn"",""en"")"),"Robots will be medical assistants")</f>
        <v>Robots will be medical assistants</v>
      </c>
      <c r="D12048" s="5"/>
      <c r="E12048" s="5"/>
      <c r="F12048" s="5"/>
      <c r="G12048" s="5"/>
      <c r="H12048" s="5"/>
      <c r="I12048" s="5"/>
      <c r="J12048" s="5"/>
      <c r="K12048" s="5"/>
      <c r="L12048" s="5"/>
      <c r="M12048" s="5"/>
      <c r="N12048" s="5"/>
      <c r="O12048" s="5"/>
      <c r="P12048" s="5"/>
      <c r="Q12048" s="5"/>
      <c r="R12048" s="5"/>
      <c r="S12048" s="5"/>
      <c r="T12048" s="5"/>
      <c r="U12048" s="5"/>
      <c r="V12048" s="5"/>
      <c r="W12048" s="5"/>
      <c r="X12048" s="5"/>
      <c r="Y12048" s="5"/>
      <c r="Z12048" s="5"/>
    </row>
    <row r="12049" spans="1:26" ht="15" x14ac:dyDescent="0.25">
      <c r="A12049" s="4" t="s">
        <v>12046</v>
      </c>
      <c r="B12049" s="4" t="s">
        <v>9011</v>
      </c>
      <c r="C12049" s="2" t="str">
        <f ca="1">IFERROR(__xludf.DUMMYFUNCTION("GOOGLETRANSLATE(A12049,""bn"",""en"")"),"You will be on campus in the future")</f>
        <v>You will be on campus in the future</v>
      </c>
      <c r="D12049" s="5"/>
      <c r="E12049" s="5"/>
      <c r="F12049" s="5"/>
      <c r="G12049" s="5"/>
      <c r="H12049" s="5"/>
      <c r="I12049" s="5"/>
      <c r="J12049" s="5"/>
      <c r="K12049" s="5"/>
      <c r="L12049" s="5"/>
      <c r="M12049" s="5"/>
      <c r="N12049" s="5"/>
      <c r="O12049" s="5"/>
      <c r="P12049" s="5"/>
      <c r="Q12049" s="5"/>
      <c r="R12049" s="5"/>
      <c r="S12049" s="5"/>
      <c r="T12049" s="5"/>
      <c r="U12049" s="5"/>
      <c r="V12049" s="5"/>
      <c r="W12049" s="5"/>
      <c r="X12049" s="5"/>
      <c r="Y12049" s="5"/>
      <c r="Z12049" s="5"/>
    </row>
    <row r="12050" spans="1:26" ht="15" x14ac:dyDescent="0.25">
      <c r="A12050" s="4" t="s">
        <v>12047</v>
      </c>
      <c r="B12050" s="4" t="s">
        <v>9011</v>
      </c>
      <c r="C12050" s="2" t="str">
        <f ca="1">IFERROR(__xludf.DUMMYFUNCTION("GOOGLETRANSLATE(A12050,""bn"",""en"")"),"You go to an economics conference")</f>
        <v>You go to an economics conference</v>
      </c>
      <c r="D12050" s="5"/>
      <c r="E12050" s="5"/>
      <c r="F12050" s="5"/>
      <c r="G12050" s="5"/>
      <c r="H12050" s="5"/>
      <c r="I12050" s="5"/>
      <c r="J12050" s="5"/>
      <c r="K12050" s="5"/>
      <c r="L12050" s="5"/>
      <c r="M12050" s="5"/>
      <c r="N12050" s="5"/>
      <c r="O12050" s="5"/>
      <c r="P12050" s="5"/>
      <c r="Q12050" s="5"/>
      <c r="R12050" s="5"/>
      <c r="S12050" s="5"/>
      <c r="T12050" s="5"/>
      <c r="U12050" s="5"/>
      <c r="V12050" s="5"/>
      <c r="W12050" s="5"/>
      <c r="X12050" s="5"/>
      <c r="Y12050" s="5"/>
      <c r="Z12050" s="5"/>
    </row>
    <row r="12051" spans="1:26" ht="15" x14ac:dyDescent="0.25">
      <c r="A12051" s="4" t="s">
        <v>12048</v>
      </c>
      <c r="B12051" s="4" t="s">
        <v>9011</v>
      </c>
      <c r="C12051" s="2" t="str">
        <f ca="1">IFERROR(__xludf.DUMMYFUNCTION("GOOGLETRANSLATE(A12051,""bn"",""en"")"),"You will propose higher education")</f>
        <v>You will propose higher education</v>
      </c>
      <c r="D12051" s="5"/>
      <c r="E12051" s="5"/>
      <c r="F12051" s="5"/>
      <c r="G12051" s="5"/>
      <c r="H12051" s="5"/>
      <c r="I12051" s="5"/>
      <c r="J12051" s="5"/>
      <c r="K12051" s="5"/>
      <c r="L12051" s="5"/>
      <c r="M12051" s="5"/>
      <c r="N12051" s="5"/>
      <c r="O12051" s="5"/>
      <c r="P12051" s="5"/>
      <c r="Q12051" s="5"/>
      <c r="R12051" s="5"/>
      <c r="S12051" s="5"/>
      <c r="T12051" s="5"/>
      <c r="U12051" s="5"/>
      <c r="V12051" s="5"/>
      <c r="W12051" s="5"/>
      <c r="X12051" s="5"/>
      <c r="Y12051" s="5"/>
      <c r="Z12051" s="5"/>
    </row>
    <row r="12052" spans="1:26" ht="15" x14ac:dyDescent="0.25">
      <c r="A12052" s="4" t="s">
        <v>12049</v>
      </c>
      <c r="B12052" s="4" t="s">
        <v>9011</v>
      </c>
      <c r="C12052" s="2" t="str">
        <f ca="1">IFERROR(__xludf.DUMMYFUNCTION("GOOGLETRANSLATE(A12052,""bn"",""en"")"),"Fruits will be planted in the garden")</f>
        <v>Fruits will be planted in the garden</v>
      </c>
      <c r="D12052" s="5"/>
      <c r="E12052" s="5"/>
      <c r="F12052" s="5"/>
      <c r="G12052" s="5"/>
      <c r="H12052" s="5"/>
      <c r="I12052" s="5"/>
      <c r="J12052" s="5"/>
      <c r="K12052" s="5"/>
      <c r="L12052" s="5"/>
      <c r="M12052" s="5"/>
      <c r="N12052" s="5"/>
      <c r="O12052" s="5"/>
      <c r="P12052" s="5"/>
      <c r="Q12052" s="5"/>
      <c r="R12052" s="5"/>
      <c r="S12052" s="5"/>
      <c r="T12052" s="5"/>
      <c r="U12052" s="5"/>
      <c r="V12052" s="5"/>
      <c r="W12052" s="5"/>
      <c r="X12052" s="5"/>
      <c r="Y12052" s="5"/>
      <c r="Z12052" s="5"/>
    </row>
    <row r="12053" spans="1:26" ht="15" x14ac:dyDescent="0.25">
      <c r="A12053" s="4" t="s">
        <v>12050</v>
      </c>
      <c r="B12053" s="4" t="s">
        <v>9011</v>
      </c>
      <c r="C12053" s="2" t="str">
        <f ca="1">IFERROR(__xludf.DUMMYFUNCTION("GOOGLETRANSLATE(A12053,""bn"",""en"")"),"Data analysis will improve")</f>
        <v>Data analysis will improve</v>
      </c>
      <c r="D12053" s="5"/>
      <c r="E12053" s="5"/>
      <c r="F12053" s="5"/>
      <c r="G12053" s="5"/>
      <c r="H12053" s="5"/>
      <c r="I12053" s="5"/>
      <c r="J12053" s="5"/>
      <c r="K12053" s="5"/>
      <c r="L12053" s="5"/>
      <c r="M12053" s="5"/>
      <c r="N12053" s="5"/>
      <c r="O12053" s="5"/>
      <c r="P12053" s="5"/>
      <c r="Q12053" s="5"/>
      <c r="R12053" s="5"/>
      <c r="S12053" s="5"/>
      <c r="T12053" s="5"/>
      <c r="U12053" s="5"/>
      <c r="V12053" s="5"/>
      <c r="W12053" s="5"/>
      <c r="X12053" s="5"/>
      <c r="Y12053" s="5"/>
      <c r="Z12053" s="5"/>
    </row>
    <row r="12054" spans="1:26" ht="15" x14ac:dyDescent="0.25">
      <c r="A12054" s="4" t="s">
        <v>12051</v>
      </c>
      <c r="B12054" s="4" t="s">
        <v>9011</v>
      </c>
      <c r="C12054" s="2" t="str">
        <f ca="1">IFERROR(__xludf.DUMMYFUNCTION("GOOGLETRANSLATE(A12054,""bn"",""en"")"),"Money should be sent to Bikash")</f>
        <v>Money should be sent to Bikash</v>
      </c>
      <c r="D12054" s="5"/>
      <c r="E12054" s="5"/>
      <c r="F12054" s="5"/>
      <c r="G12054" s="5"/>
      <c r="H12054" s="5"/>
      <c r="I12054" s="5"/>
      <c r="J12054" s="5"/>
      <c r="K12054" s="5"/>
      <c r="L12054" s="5"/>
      <c r="M12054" s="5"/>
      <c r="N12054" s="5"/>
      <c r="O12054" s="5"/>
      <c r="P12054" s="5"/>
      <c r="Q12054" s="5"/>
      <c r="R12054" s="5"/>
      <c r="S12054" s="5"/>
      <c r="T12054" s="5"/>
      <c r="U12054" s="5"/>
      <c r="V12054" s="5"/>
      <c r="W12054" s="5"/>
      <c r="X12054" s="5"/>
      <c r="Y12054" s="5"/>
      <c r="Z12054" s="5"/>
    </row>
    <row r="12055" spans="1:26" ht="15" x14ac:dyDescent="0.25">
      <c r="A12055" s="4" t="s">
        <v>12052</v>
      </c>
      <c r="B12055" s="4" t="s">
        <v>9011</v>
      </c>
      <c r="C12055" s="2" t="str">
        <f ca="1">IFERROR(__xludf.DUMMYFUNCTION("GOOGLETRANSLATE(A12055,""bn"",""en"")"),"Birds will come to Kunj garden")</f>
        <v>Birds will come to Kunj garden</v>
      </c>
      <c r="D12055" s="5"/>
      <c r="E12055" s="5"/>
      <c r="F12055" s="5"/>
      <c r="G12055" s="5"/>
      <c r="H12055" s="5"/>
      <c r="I12055" s="5"/>
      <c r="J12055" s="5"/>
      <c r="K12055" s="5"/>
      <c r="L12055" s="5"/>
      <c r="M12055" s="5"/>
      <c r="N12055" s="5"/>
      <c r="O12055" s="5"/>
      <c r="P12055" s="5"/>
      <c r="Q12055" s="5"/>
      <c r="R12055" s="5"/>
      <c r="S12055" s="5"/>
      <c r="T12055" s="5"/>
      <c r="U12055" s="5"/>
      <c r="V12055" s="5"/>
      <c r="W12055" s="5"/>
      <c r="X12055" s="5"/>
      <c r="Y12055" s="5"/>
      <c r="Z12055" s="5"/>
    </row>
    <row r="12056" spans="1:26" ht="15" x14ac:dyDescent="0.25">
      <c r="A12056" s="4" t="s">
        <v>12053</v>
      </c>
      <c r="B12056" s="4" t="s">
        <v>9011</v>
      </c>
      <c r="C12056" s="2" t="str">
        <f ca="1">IFERROR(__xludf.DUMMYFUNCTION("GOOGLETRANSLATE(A12056,""bn"",""en"")"),"He will play chess tomorrow")</f>
        <v>He will play chess tomorrow</v>
      </c>
      <c r="D12056" s="5"/>
      <c r="E12056" s="5"/>
      <c r="F12056" s="5"/>
      <c r="G12056" s="5"/>
      <c r="H12056" s="5"/>
      <c r="I12056" s="5"/>
      <c r="J12056" s="5"/>
      <c r="K12056" s="5"/>
      <c r="L12056" s="5"/>
      <c r="M12056" s="5"/>
      <c r="N12056" s="5"/>
      <c r="O12056" s="5"/>
      <c r="P12056" s="5"/>
      <c r="Q12056" s="5"/>
      <c r="R12056" s="5"/>
      <c r="S12056" s="5"/>
      <c r="T12056" s="5"/>
      <c r="U12056" s="5"/>
      <c r="V12056" s="5"/>
      <c r="W12056" s="5"/>
      <c r="X12056" s="5"/>
      <c r="Y12056" s="5"/>
      <c r="Z12056" s="5"/>
    </row>
    <row r="12057" spans="1:26" ht="15" x14ac:dyDescent="0.25">
      <c r="A12057" s="4" t="s">
        <v>12054</v>
      </c>
      <c r="B12057" s="4" t="s">
        <v>9011</v>
      </c>
      <c r="C12057" s="2" t="str">
        <f ca="1">IFERROR(__xludf.DUMMYFUNCTION("GOOGLETRANSLATE(A12057,""bn"",""en"")"),"We will build the universal robot")</f>
        <v>We will build the universal robot</v>
      </c>
      <c r="D12057" s="5"/>
      <c r="E12057" s="5"/>
      <c r="F12057" s="5"/>
      <c r="G12057" s="5"/>
      <c r="H12057" s="5"/>
      <c r="I12057" s="5"/>
      <c r="J12057" s="5"/>
      <c r="K12057" s="5"/>
      <c r="L12057" s="5"/>
      <c r="M12057" s="5"/>
      <c r="N12057" s="5"/>
      <c r="O12057" s="5"/>
      <c r="P12057" s="5"/>
      <c r="Q12057" s="5"/>
      <c r="R12057" s="5"/>
      <c r="S12057" s="5"/>
      <c r="T12057" s="5"/>
      <c r="U12057" s="5"/>
      <c r="V12057" s="5"/>
      <c r="W12057" s="5"/>
      <c r="X12057" s="5"/>
      <c r="Y12057" s="5"/>
      <c r="Z12057" s="5"/>
    </row>
    <row r="12058" spans="1:26" ht="15" x14ac:dyDescent="0.25">
      <c r="A12058" s="4" t="s">
        <v>12055</v>
      </c>
      <c r="B12058" s="4" t="s">
        <v>9011</v>
      </c>
      <c r="C12058" s="2" t="str">
        <f ca="1">IFERROR(__xludf.DUMMYFUNCTION("GOOGLETRANSLATE(A12058,""bn"",""en"")"),"You draw the picture on the board")</f>
        <v>You draw the picture on the board</v>
      </c>
      <c r="D12058" s="5"/>
      <c r="E12058" s="5"/>
      <c r="F12058" s="5"/>
      <c r="G12058" s="5"/>
      <c r="H12058" s="5"/>
      <c r="I12058" s="5"/>
      <c r="J12058" s="5"/>
      <c r="K12058" s="5"/>
      <c r="L12058" s="5"/>
      <c r="M12058" s="5"/>
      <c r="N12058" s="5"/>
      <c r="O12058" s="5"/>
      <c r="P12058" s="5"/>
      <c r="Q12058" s="5"/>
      <c r="R12058" s="5"/>
      <c r="S12058" s="5"/>
      <c r="T12058" s="5"/>
      <c r="U12058" s="5"/>
      <c r="V12058" s="5"/>
      <c r="W12058" s="5"/>
      <c r="X12058" s="5"/>
      <c r="Y12058" s="5"/>
      <c r="Z12058" s="5"/>
    </row>
    <row r="12059" spans="1:26" ht="15" x14ac:dyDescent="0.25">
      <c r="A12059" s="4" t="s">
        <v>12056</v>
      </c>
      <c r="B12059" s="4" t="s">
        <v>9011</v>
      </c>
      <c r="C12059" s="2" t="str">
        <f ca="1">IFERROR(__xludf.DUMMYFUNCTION("GOOGLETRANSLATE(A12059,""bn"",""en"")"),"I want to build a literature career")</f>
        <v>I want to build a literature career</v>
      </c>
      <c r="D12059" s="5"/>
      <c r="E12059" s="5"/>
      <c r="F12059" s="5"/>
      <c r="G12059" s="5"/>
      <c r="H12059" s="5"/>
      <c r="I12059" s="5"/>
      <c r="J12059" s="5"/>
      <c r="K12059" s="5"/>
      <c r="L12059" s="5"/>
      <c r="M12059" s="5"/>
      <c r="N12059" s="5"/>
      <c r="O12059" s="5"/>
      <c r="P12059" s="5"/>
      <c r="Q12059" s="5"/>
      <c r="R12059" s="5"/>
      <c r="S12059" s="5"/>
      <c r="T12059" s="5"/>
      <c r="U12059" s="5"/>
      <c r="V12059" s="5"/>
      <c r="W12059" s="5"/>
      <c r="X12059" s="5"/>
      <c r="Y12059" s="5"/>
      <c r="Z12059" s="5"/>
    </row>
    <row r="12060" spans="1:26" ht="15" x14ac:dyDescent="0.25">
      <c r="A12060" s="4" t="s">
        <v>12057</v>
      </c>
      <c r="B12060" s="4" t="s">
        <v>9011</v>
      </c>
      <c r="C12060" s="2" t="str">
        <f ca="1">IFERROR(__xludf.DUMMYFUNCTION("GOOGLETRANSLATE(A12060,""bn"",""en"")"),"I will create a new market")</f>
        <v>I will create a new market</v>
      </c>
      <c r="D12060" s="5"/>
      <c r="E12060" s="5"/>
      <c r="F12060" s="5"/>
      <c r="G12060" s="5"/>
      <c r="H12060" s="5"/>
      <c r="I12060" s="5"/>
      <c r="J12060" s="5"/>
      <c r="K12060" s="5"/>
      <c r="L12060" s="5"/>
      <c r="M12060" s="5"/>
      <c r="N12060" s="5"/>
      <c r="O12060" s="5"/>
      <c r="P12060" s="5"/>
      <c r="Q12060" s="5"/>
      <c r="R12060" s="5"/>
      <c r="S12060" s="5"/>
      <c r="T12060" s="5"/>
      <c r="U12060" s="5"/>
      <c r="V12060" s="5"/>
      <c r="W12060" s="5"/>
      <c r="X12060" s="5"/>
      <c r="Y12060" s="5"/>
      <c r="Z12060" s="5"/>
    </row>
    <row r="12061" spans="1:26" ht="15" x14ac:dyDescent="0.25">
      <c r="A12061" s="4" t="s">
        <v>12058</v>
      </c>
      <c r="B12061" s="4" t="s">
        <v>9011</v>
      </c>
      <c r="C12061" s="2" t="str">
        <f ca="1">IFERROR(__xludf.DUMMYFUNCTION("GOOGLETRANSLATE(A12061,""bn"",""en"")"),"Education will improve")</f>
        <v>Education will improve</v>
      </c>
      <c r="D12061" s="5"/>
      <c r="E12061" s="5"/>
      <c r="F12061" s="5"/>
      <c r="G12061" s="5"/>
      <c r="H12061" s="5"/>
      <c r="I12061" s="5"/>
      <c r="J12061" s="5"/>
      <c r="K12061" s="5"/>
      <c r="L12061" s="5"/>
      <c r="M12061" s="5"/>
      <c r="N12061" s="5"/>
      <c r="O12061" s="5"/>
      <c r="P12061" s="5"/>
      <c r="Q12061" s="5"/>
      <c r="R12061" s="5"/>
      <c r="S12061" s="5"/>
      <c r="T12061" s="5"/>
      <c r="U12061" s="5"/>
      <c r="V12061" s="5"/>
      <c r="W12061" s="5"/>
      <c r="X12061" s="5"/>
      <c r="Y12061" s="5"/>
      <c r="Z12061" s="5"/>
    </row>
    <row r="12062" spans="1:26" ht="15" x14ac:dyDescent="0.25">
      <c r="A12062" s="4" t="s">
        <v>12059</v>
      </c>
      <c r="B12062" s="4" t="s">
        <v>9011</v>
      </c>
      <c r="C12062" s="2" t="str">
        <f ca="1">IFERROR(__xludf.DUMMYFUNCTION("GOOGLETRANSLATE(A12062,""bn"",""en"")"),"The teacher training course will do")</f>
        <v>The teacher training course will do</v>
      </c>
      <c r="D12062" s="5"/>
      <c r="E12062" s="5"/>
      <c r="F12062" s="5"/>
      <c r="G12062" s="5"/>
      <c r="H12062" s="5"/>
      <c r="I12062" s="5"/>
      <c r="J12062" s="5"/>
      <c r="K12062" s="5"/>
      <c r="L12062" s="5"/>
      <c r="M12062" s="5"/>
      <c r="N12062" s="5"/>
      <c r="O12062" s="5"/>
      <c r="P12062" s="5"/>
      <c r="Q12062" s="5"/>
      <c r="R12062" s="5"/>
      <c r="S12062" s="5"/>
      <c r="T12062" s="5"/>
      <c r="U12062" s="5"/>
      <c r="V12062" s="5"/>
      <c r="W12062" s="5"/>
      <c r="X12062" s="5"/>
      <c r="Y12062" s="5"/>
      <c r="Z12062" s="5"/>
    </row>
    <row r="12063" spans="1:26" ht="15" x14ac:dyDescent="0.25">
      <c r="A12063" s="4" t="s">
        <v>12060</v>
      </c>
      <c r="B12063" s="4" t="s">
        <v>9011</v>
      </c>
      <c r="C12063" s="2" t="str">
        <f ca="1">IFERROR(__xludf.DUMMYFUNCTION("GOOGLETRANSLATE(A12063,""bn"",""en"")"),"The patient will take the prescribed medicine")</f>
        <v>The patient will take the prescribed medicine</v>
      </c>
      <c r="D12063" s="5"/>
      <c r="E12063" s="5"/>
      <c r="F12063" s="5"/>
      <c r="G12063" s="5"/>
      <c r="H12063" s="5"/>
      <c r="I12063" s="5"/>
      <c r="J12063" s="5"/>
      <c r="K12063" s="5"/>
      <c r="L12063" s="5"/>
      <c r="M12063" s="5"/>
      <c r="N12063" s="5"/>
      <c r="O12063" s="5"/>
      <c r="P12063" s="5"/>
      <c r="Q12063" s="5"/>
      <c r="R12063" s="5"/>
      <c r="S12063" s="5"/>
      <c r="T12063" s="5"/>
      <c r="U12063" s="5"/>
      <c r="V12063" s="5"/>
      <c r="W12063" s="5"/>
      <c r="X12063" s="5"/>
      <c r="Y12063" s="5"/>
      <c r="Z12063" s="5"/>
    </row>
    <row r="12064" spans="1:26" ht="15" x14ac:dyDescent="0.25">
      <c r="A12064" s="4" t="s">
        <v>12061</v>
      </c>
      <c r="B12064" s="4" t="s">
        <v>9011</v>
      </c>
      <c r="C12064" s="2" t="str">
        <f ca="1">IFERROR(__xludf.DUMMYFUNCTION("GOOGLETRANSLATE(A12064,""bn"",""en"")"),"Doctor will give new treatment")</f>
        <v>Doctor will give new treatment</v>
      </c>
      <c r="D12064" s="5"/>
      <c r="E12064" s="5"/>
      <c r="F12064" s="5"/>
      <c r="G12064" s="5"/>
      <c r="H12064" s="5"/>
      <c r="I12064" s="5"/>
      <c r="J12064" s="5"/>
      <c r="K12064" s="5"/>
      <c r="L12064" s="5"/>
      <c r="M12064" s="5"/>
      <c r="N12064" s="5"/>
      <c r="O12064" s="5"/>
      <c r="P12064" s="5"/>
      <c r="Q12064" s="5"/>
      <c r="R12064" s="5"/>
      <c r="S12064" s="5"/>
      <c r="T12064" s="5"/>
      <c r="U12064" s="5"/>
      <c r="V12064" s="5"/>
      <c r="W12064" s="5"/>
      <c r="X12064" s="5"/>
      <c r="Y12064" s="5"/>
      <c r="Z12064" s="5"/>
    </row>
    <row r="12065" spans="1:26" ht="15" x14ac:dyDescent="0.25">
      <c r="A12065" s="4" t="s">
        <v>12062</v>
      </c>
      <c r="B12065" s="4" t="s">
        <v>9011</v>
      </c>
      <c r="C12065" s="2" t="str">
        <f ca="1">IFERROR(__xludf.DUMMYFUNCTION("GOOGLETRANSLATE(A12065,""bn"",""en"")"),"The sea will be cloudy today")</f>
        <v>The sea will be cloudy today</v>
      </c>
      <c r="D12065" s="5"/>
      <c r="E12065" s="5"/>
      <c r="F12065" s="5"/>
      <c r="G12065" s="5"/>
      <c r="H12065" s="5"/>
      <c r="I12065" s="5"/>
      <c r="J12065" s="5"/>
      <c r="K12065" s="5"/>
      <c r="L12065" s="5"/>
      <c r="M12065" s="5"/>
      <c r="N12065" s="5"/>
      <c r="O12065" s="5"/>
      <c r="P12065" s="5"/>
      <c r="Q12065" s="5"/>
      <c r="R12065" s="5"/>
      <c r="S12065" s="5"/>
      <c r="T12065" s="5"/>
      <c r="U12065" s="5"/>
      <c r="V12065" s="5"/>
      <c r="W12065" s="5"/>
      <c r="X12065" s="5"/>
      <c r="Y12065" s="5"/>
      <c r="Z12065" s="5"/>
    </row>
    <row r="12066" spans="1:26" ht="15" x14ac:dyDescent="0.25">
      <c r="A12066" s="4" t="s">
        <v>12063</v>
      </c>
      <c r="B12066" s="4" t="s">
        <v>9011</v>
      </c>
      <c r="C12066" s="2" t="str">
        <f ca="1">IFERROR(__xludf.DUMMYFUNCTION("GOOGLETRANSLATE(A12066,""bn"",""en"")"),"Their economy will improve")</f>
        <v>Their economy will improve</v>
      </c>
      <c r="D12066" s="5"/>
      <c r="E12066" s="5"/>
      <c r="F12066" s="5"/>
      <c r="G12066" s="5"/>
      <c r="H12066" s="5"/>
      <c r="I12066" s="5"/>
      <c r="J12066" s="5"/>
      <c r="K12066" s="5"/>
      <c r="L12066" s="5"/>
      <c r="M12066" s="5"/>
      <c r="N12066" s="5"/>
      <c r="O12066" s="5"/>
      <c r="P12066" s="5"/>
      <c r="Q12066" s="5"/>
      <c r="R12066" s="5"/>
      <c r="S12066" s="5"/>
      <c r="T12066" s="5"/>
      <c r="U12066" s="5"/>
      <c r="V12066" s="5"/>
      <c r="W12066" s="5"/>
      <c r="X12066" s="5"/>
      <c r="Y12066" s="5"/>
      <c r="Z12066" s="5"/>
    </row>
    <row r="12067" spans="1:26" ht="15" x14ac:dyDescent="0.25">
      <c r="A12067" s="4" t="s">
        <v>12064</v>
      </c>
      <c r="B12067" s="4" t="s">
        <v>9011</v>
      </c>
      <c r="C12067" s="2" t="str">
        <f ca="1">IFERROR(__xludf.DUMMYFUNCTION("GOOGLETRANSLATE(A12067,""bn"",""en"")"),"The project will be a group work")</f>
        <v>The project will be a group work</v>
      </c>
      <c r="D12067" s="5"/>
      <c r="E12067" s="5"/>
      <c r="F12067" s="5"/>
      <c r="G12067" s="5"/>
      <c r="H12067" s="5"/>
      <c r="I12067" s="5"/>
      <c r="J12067" s="5"/>
      <c r="K12067" s="5"/>
      <c r="L12067" s="5"/>
      <c r="M12067" s="5"/>
      <c r="N12067" s="5"/>
      <c r="O12067" s="5"/>
      <c r="P12067" s="5"/>
      <c r="Q12067" s="5"/>
      <c r="R12067" s="5"/>
      <c r="S12067" s="5"/>
      <c r="T12067" s="5"/>
      <c r="U12067" s="5"/>
      <c r="V12067" s="5"/>
      <c r="W12067" s="5"/>
      <c r="X12067" s="5"/>
      <c r="Y12067" s="5"/>
      <c r="Z12067" s="5"/>
    </row>
    <row r="12068" spans="1:26" ht="15" x14ac:dyDescent="0.25">
      <c r="A12068" s="4" t="s">
        <v>12065</v>
      </c>
      <c r="B12068" s="4" t="s">
        <v>9011</v>
      </c>
      <c r="C12068" s="2" t="str">
        <f ca="1">IFERROR(__xludf.DUMMYFUNCTION("GOOGLETRANSLATE(A12068,""bn"",""en"")"),"You will rewrite the code")</f>
        <v>You will rewrite the code</v>
      </c>
      <c r="D12068" s="5"/>
      <c r="E12068" s="5"/>
      <c r="F12068" s="5"/>
      <c r="G12068" s="5"/>
      <c r="H12068" s="5"/>
      <c r="I12068" s="5"/>
      <c r="J12068" s="5"/>
      <c r="K12068" s="5"/>
      <c r="L12068" s="5"/>
      <c r="M12068" s="5"/>
      <c r="N12068" s="5"/>
      <c r="O12068" s="5"/>
      <c r="P12068" s="5"/>
      <c r="Q12068" s="5"/>
      <c r="R12068" s="5"/>
      <c r="S12068" s="5"/>
      <c r="T12068" s="5"/>
      <c r="U12068" s="5"/>
      <c r="V12068" s="5"/>
      <c r="W12068" s="5"/>
      <c r="X12068" s="5"/>
      <c r="Y12068" s="5"/>
      <c r="Z12068" s="5"/>
    </row>
    <row r="12069" spans="1:26" ht="15" x14ac:dyDescent="0.25">
      <c r="A12069" s="4" t="s">
        <v>12066</v>
      </c>
      <c r="B12069" s="4" t="s">
        <v>9011</v>
      </c>
      <c r="C12069" s="2" t="str">
        <f ca="1">IFERROR(__xludf.DUMMYFUNCTION("GOOGLETRANSLATE(A12069,""bn"",""en"")"),"He will create the framework")</f>
        <v>He will create the framework</v>
      </c>
      <c r="D12069" s="5"/>
      <c r="E12069" s="5"/>
      <c r="F12069" s="5"/>
      <c r="G12069" s="5"/>
      <c r="H12069" s="5"/>
      <c r="I12069" s="5"/>
      <c r="J12069" s="5"/>
      <c r="K12069" s="5"/>
      <c r="L12069" s="5"/>
      <c r="M12069" s="5"/>
      <c r="N12069" s="5"/>
      <c r="O12069" s="5"/>
      <c r="P12069" s="5"/>
      <c r="Q12069" s="5"/>
      <c r="R12069" s="5"/>
      <c r="S12069" s="5"/>
      <c r="T12069" s="5"/>
      <c r="U12069" s="5"/>
      <c r="V12069" s="5"/>
      <c r="W12069" s="5"/>
      <c r="X12069" s="5"/>
      <c r="Y12069" s="5"/>
      <c r="Z12069" s="5"/>
    </row>
    <row r="12070" spans="1:26" ht="15" x14ac:dyDescent="0.25">
      <c r="A12070" s="4" t="s">
        <v>12067</v>
      </c>
      <c r="B12070" s="4" t="s">
        <v>9011</v>
      </c>
      <c r="C12070" s="2" t="str">
        <f ca="1">IFERROR(__xludf.DUMMYFUNCTION("GOOGLETRANSLATE(A12070,""bn"",""en"")"),"New vaccines would be beneficial")</f>
        <v>New vaccines would be beneficial</v>
      </c>
      <c r="D12070" s="5"/>
      <c r="E12070" s="5"/>
      <c r="F12070" s="5"/>
      <c r="G12070" s="5"/>
      <c r="H12070" s="5"/>
      <c r="I12070" s="5"/>
      <c r="J12070" s="5"/>
      <c r="K12070" s="5"/>
      <c r="L12070" s="5"/>
      <c r="M12070" s="5"/>
      <c r="N12070" s="5"/>
      <c r="O12070" s="5"/>
      <c r="P12070" s="5"/>
      <c r="Q12070" s="5"/>
      <c r="R12070" s="5"/>
      <c r="S12070" s="5"/>
      <c r="T12070" s="5"/>
      <c r="U12070" s="5"/>
      <c r="V12070" s="5"/>
      <c r="W12070" s="5"/>
      <c r="X12070" s="5"/>
      <c r="Y12070" s="5"/>
      <c r="Z12070" s="5"/>
    </row>
    <row r="12071" spans="1:26" ht="15" x14ac:dyDescent="0.25">
      <c r="A12071" s="4" t="s">
        <v>12068</v>
      </c>
      <c r="B12071" s="4" t="s">
        <v>9011</v>
      </c>
      <c r="C12071" s="2" t="str">
        <f ca="1">IFERROR(__xludf.DUMMYFUNCTION("GOOGLETRANSLATE(A12071,""bn"",""en"")"),"Must learn C programming")</f>
        <v>Must learn C programming</v>
      </c>
      <c r="D12071" s="5"/>
      <c r="E12071" s="5"/>
      <c r="F12071" s="5"/>
      <c r="G12071" s="5"/>
      <c r="H12071" s="5"/>
      <c r="I12071" s="5"/>
      <c r="J12071" s="5"/>
      <c r="K12071" s="5"/>
      <c r="L12071" s="5"/>
      <c r="M12071" s="5"/>
      <c r="N12071" s="5"/>
      <c r="O12071" s="5"/>
      <c r="P12071" s="5"/>
      <c r="Q12071" s="5"/>
      <c r="R12071" s="5"/>
      <c r="S12071" s="5"/>
      <c r="T12071" s="5"/>
      <c r="U12071" s="5"/>
      <c r="V12071" s="5"/>
      <c r="W12071" s="5"/>
      <c r="X12071" s="5"/>
      <c r="Y12071" s="5"/>
      <c r="Z12071" s="5"/>
    </row>
    <row r="12072" spans="1:26" ht="15" x14ac:dyDescent="0.25">
      <c r="A12072" s="4" t="s">
        <v>12069</v>
      </c>
      <c r="B12072" s="4" t="s">
        <v>9011</v>
      </c>
      <c r="C12072" s="2" t="str">
        <f ca="1">IFERROR(__xludf.DUMMYFUNCTION("GOOGLETRANSLATE(A12072,""bn"",""en"")"),"All students will study on campus")</f>
        <v>All students will study on campus</v>
      </c>
      <c r="D12072" s="5"/>
      <c r="E12072" s="5"/>
      <c r="F12072" s="5"/>
      <c r="G12072" s="5"/>
      <c r="H12072" s="5"/>
      <c r="I12072" s="5"/>
      <c r="J12072" s="5"/>
      <c r="K12072" s="5"/>
      <c r="L12072" s="5"/>
      <c r="M12072" s="5"/>
      <c r="N12072" s="5"/>
      <c r="O12072" s="5"/>
      <c r="P12072" s="5"/>
      <c r="Q12072" s="5"/>
      <c r="R12072" s="5"/>
      <c r="S12072" s="5"/>
      <c r="T12072" s="5"/>
      <c r="U12072" s="5"/>
      <c r="V12072" s="5"/>
      <c r="W12072" s="5"/>
      <c r="X12072" s="5"/>
      <c r="Y12072" s="5"/>
      <c r="Z12072" s="5"/>
    </row>
    <row r="12073" spans="1:26" ht="15" x14ac:dyDescent="0.25">
      <c r="A12073" s="4" t="s">
        <v>12070</v>
      </c>
      <c r="B12073" s="4" t="s">
        <v>9011</v>
      </c>
      <c r="C12073" s="2" t="str">
        <f ca="1">IFERROR(__xludf.DUMMYFUNCTION("GOOGLETRANSLATE(A12073,""bn"",""en"")"),"Research work will be prefaced")</f>
        <v>Research work will be prefaced</v>
      </c>
      <c r="D12073" s="5"/>
      <c r="E12073" s="5"/>
      <c r="F12073" s="5"/>
      <c r="G12073" s="5"/>
      <c r="H12073" s="5"/>
      <c r="I12073" s="5"/>
      <c r="J12073" s="5"/>
      <c r="K12073" s="5"/>
      <c r="L12073" s="5"/>
      <c r="M12073" s="5"/>
      <c r="N12073" s="5"/>
      <c r="O12073" s="5"/>
      <c r="P12073" s="5"/>
      <c r="Q12073" s="5"/>
      <c r="R12073" s="5"/>
      <c r="S12073" s="5"/>
      <c r="T12073" s="5"/>
      <c r="U12073" s="5"/>
      <c r="V12073" s="5"/>
      <c r="W12073" s="5"/>
      <c r="X12073" s="5"/>
      <c r="Y12073" s="5"/>
      <c r="Z12073" s="5"/>
    </row>
    <row r="12074" spans="1:26" ht="15" x14ac:dyDescent="0.25">
      <c r="A12074" s="4" t="s">
        <v>12071</v>
      </c>
      <c r="B12074" s="4" t="s">
        <v>9011</v>
      </c>
      <c r="C12074" s="2" t="str">
        <f ca="1">IFERROR(__xludf.DUMMYFUNCTION("GOOGLETRANSLATE(A12074,""bn"",""en"")"),"Water will be ice in winter")</f>
        <v>Water will be ice in winter</v>
      </c>
      <c r="D12074" s="5"/>
      <c r="E12074" s="5"/>
      <c r="F12074" s="5"/>
      <c r="G12074" s="5"/>
      <c r="H12074" s="5"/>
      <c r="I12074" s="5"/>
      <c r="J12074" s="5"/>
      <c r="K12074" s="5"/>
      <c r="L12074" s="5"/>
      <c r="M12074" s="5"/>
      <c r="N12074" s="5"/>
      <c r="O12074" s="5"/>
      <c r="P12074" s="5"/>
      <c r="Q12074" s="5"/>
      <c r="R12074" s="5"/>
      <c r="S12074" s="5"/>
      <c r="T12074" s="5"/>
      <c r="U12074" s="5"/>
      <c r="V12074" s="5"/>
      <c r="W12074" s="5"/>
      <c r="X12074" s="5"/>
      <c r="Y12074" s="5"/>
      <c r="Z12074" s="5"/>
    </row>
    <row r="12075" spans="1:26" ht="15" x14ac:dyDescent="0.25">
      <c r="A12075" s="4" t="s">
        <v>12072</v>
      </c>
      <c r="B12075" s="4" t="s">
        <v>9011</v>
      </c>
      <c r="C12075" s="2" t="str">
        <f ca="1">IFERROR(__xludf.DUMMYFUNCTION("GOOGLETRANSLATE(A12075,""bn"",""en"")"),"I will join the machine learning project")</f>
        <v>I will join the machine learning project</v>
      </c>
      <c r="D12075" s="5"/>
      <c r="E12075" s="5"/>
      <c r="F12075" s="5"/>
      <c r="G12075" s="5"/>
      <c r="H12075" s="5"/>
      <c r="I12075" s="5"/>
      <c r="J12075" s="5"/>
      <c r="K12075" s="5"/>
      <c r="L12075" s="5"/>
      <c r="M12075" s="5"/>
      <c r="N12075" s="5"/>
      <c r="O12075" s="5"/>
      <c r="P12075" s="5"/>
      <c r="Q12075" s="5"/>
      <c r="R12075" s="5"/>
      <c r="S12075" s="5"/>
      <c r="T12075" s="5"/>
      <c r="U12075" s="5"/>
      <c r="V12075" s="5"/>
      <c r="W12075" s="5"/>
      <c r="X12075" s="5"/>
      <c r="Y12075" s="5"/>
      <c r="Z12075" s="5"/>
    </row>
    <row r="12076" spans="1:26" ht="15" x14ac:dyDescent="0.25">
      <c r="A12076" s="4" t="s">
        <v>12073</v>
      </c>
      <c r="B12076" s="4" t="s">
        <v>9011</v>
      </c>
      <c r="C12076" s="2" t="str">
        <f ca="1">IFERROR(__xludf.DUMMYFUNCTION("GOOGLETRANSLATE(A12076,""bn"",""en"")"),"Sit by the sea")</f>
        <v>Sit by the sea</v>
      </c>
      <c r="D12076" s="5"/>
      <c r="E12076" s="5"/>
      <c r="F12076" s="5"/>
      <c r="G12076" s="5"/>
      <c r="H12076" s="5"/>
      <c r="I12076" s="5"/>
      <c r="J12076" s="5"/>
      <c r="K12076" s="5"/>
      <c r="L12076" s="5"/>
      <c r="M12076" s="5"/>
      <c r="N12076" s="5"/>
      <c r="O12076" s="5"/>
      <c r="P12076" s="5"/>
      <c r="Q12076" s="5"/>
      <c r="R12076" s="5"/>
      <c r="S12076" s="5"/>
      <c r="T12076" s="5"/>
      <c r="U12076" s="5"/>
      <c r="V12076" s="5"/>
      <c r="W12076" s="5"/>
      <c r="X12076" s="5"/>
      <c r="Y12076" s="5"/>
      <c r="Z12076" s="5"/>
    </row>
    <row r="12077" spans="1:26" ht="15" x14ac:dyDescent="0.25">
      <c r="A12077" s="4" t="s">
        <v>12074</v>
      </c>
      <c r="B12077" s="4" t="s">
        <v>9011</v>
      </c>
      <c r="C12077" s="2" t="str">
        <f ca="1">IFERROR(__xludf.DUMMYFUNCTION("GOOGLETRANSLATE(A12077,""bn"",""en"")"),"This trip will be dangerous")</f>
        <v>This trip will be dangerous</v>
      </c>
      <c r="D12077" s="5"/>
      <c r="E12077" s="5"/>
      <c r="F12077" s="5"/>
      <c r="G12077" s="5"/>
      <c r="H12077" s="5"/>
      <c r="I12077" s="5"/>
      <c r="J12077" s="5"/>
      <c r="K12077" s="5"/>
      <c r="L12077" s="5"/>
      <c r="M12077" s="5"/>
      <c r="N12077" s="5"/>
      <c r="O12077" s="5"/>
      <c r="P12077" s="5"/>
      <c r="Q12077" s="5"/>
      <c r="R12077" s="5"/>
      <c r="S12077" s="5"/>
      <c r="T12077" s="5"/>
      <c r="U12077" s="5"/>
      <c r="V12077" s="5"/>
      <c r="W12077" s="5"/>
      <c r="X12077" s="5"/>
      <c r="Y12077" s="5"/>
      <c r="Z12077" s="5"/>
    </row>
    <row r="12078" spans="1:26" ht="15" x14ac:dyDescent="0.25">
      <c r="A12078" s="4" t="s">
        <v>12075</v>
      </c>
      <c r="B12078" s="4" t="s">
        <v>9011</v>
      </c>
      <c r="C12078" s="2" t="str">
        <f ca="1">IFERROR(__xludf.DUMMYFUNCTION("GOOGLETRANSLATE(A12078,""bn"",""en"")"),"You will get bank gold card")</f>
        <v>You will get bank gold card</v>
      </c>
      <c r="D12078" s="5"/>
      <c r="E12078" s="5"/>
      <c r="F12078" s="5"/>
      <c r="G12078" s="5"/>
      <c r="H12078" s="5"/>
      <c r="I12078" s="5"/>
      <c r="J12078" s="5"/>
      <c r="K12078" s="5"/>
      <c r="L12078" s="5"/>
      <c r="M12078" s="5"/>
      <c r="N12078" s="5"/>
      <c r="O12078" s="5"/>
      <c r="P12078" s="5"/>
      <c r="Q12078" s="5"/>
      <c r="R12078" s="5"/>
      <c r="S12078" s="5"/>
      <c r="T12078" s="5"/>
      <c r="U12078" s="5"/>
      <c r="V12078" s="5"/>
      <c r="W12078" s="5"/>
      <c r="X12078" s="5"/>
      <c r="Y12078" s="5"/>
      <c r="Z12078" s="5"/>
    </row>
    <row r="12079" spans="1:26" ht="15" x14ac:dyDescent="0.25">
      <c r="A12079" s="4" t="s">
        <v>12076</v>
      </c>
      <c r="B12079" s="4" t="s">
        <v>9011</v>
      </c>
      <c r="C12079" s="2" t="str">
        <f ca="1">IFERROR(__xludf.DUMMYFUNCTION("GOOGLETRANSLATE(A12079,""bn"",""en"")"),"Robotic assisted treatment")</f>
        <v>Robotic assisted treatment</v>
      </c>
      <c r="D12079" s="5"/>
      <c r="E12079" s="5"/>
      <c r="F12079" s="5"/>
      <c r="G12079" s="5"/>
      <c r="H12079" s="5"/>
      <c r="I12079" s="5"/>
      <c r="J12079" s="5"/>
      <c r="K12079" s="5"/>
      <c r="L12079" s="5"/>
      <c r="M12079" s="5"/>
      <c r="N12079" s="5"/>
      <c r="O12079" s="5"/>
      <c r="P12079" s="5"/>
      <c r="Q12079" s="5"/>
      <c r="R12079" s="5"/>
      <c r="S12079" s="5"/>
      <c r="T12079" s="5"/>
      <c r="U12079" s="5"/>
      <c r="V12079" s="5"/>
      <c r="W12079" s="5"/>
      <c r="X12079" s="5"/>
      <c r="Y12079" s="5"/>
      <c r="Z12079" s="5"/>
    </row>
    <row r="12080" spans="1:26" ht="15" x14ac:dyDescent="0.25">
      <c r="A12080" s="4" t="s">
        <v>12077</v>
      </c>
      <c r="B12080" s="4" t="s">
        <v>9011</v>
      </c>
      <c r="C12080" s="2" t="str">
        <f ca="1">IFERROR(__xludf.DUMMYFUNCTION("GOOGLETRANSLATE(A12080,""bn"",""en"")"),"Crops should be tended")</f>
        <v>Crops should be tended</v>
      </c>
      <c r="D12080" s="5"/>
      <c r="E12080" s="5"/>
      <c r="F12080" s="5"/>
      <c r="G12080" s="5"/>
      <c r="H12080" s="5"/>
      <c r="I12080" s="5"/>
      <c r="J12080" s="5"/>
      <c r="K12080" s="5"/>
      <c r="L12080" s="5"/>
      <c r="M12080" s="5"/>
      <c r="N12080" s="5"/>
      <c r="O12080" s="5"/>
      <c r="P12080" s="5"/>
      <c r="Q12080" s="5"/>
      <c r="R12080" s="5"/>
      <c r="S12080" s="5"/>
      <c r="T12080" s="5"/>
      <c r="U12080" s="5"/>
      <c r="V12080" s="5"/>
      <c r="W12080" s="5"/>
      <c r="X12080" s="5"/>
      <c r="Y12080" s="5"/>
      <c r="Z12080" s="5"/>
    </row>
    <row r="12081" spans="1:26" ht="15" x14ac:dyDescent="0.25">
      <c r="A12081" s="4" t="s">
        <v>12078</v>
      </c>
      <c r="B12081" s="4" t="s">
        <v>9011</v>
      </c>
      <c r="C12081" s="2" t="str">
        <f ca="1">IFERROR(__xludf.DUMMYFUNCTION("GOOGLETRANSLATE(A12081,""bn"",""en"")"),"Experts will discuss the new stimulus")</f>
        <v>Experts will discuss the new stimulus</v>
      </c>
      <c r="D12081" s="5"/>
      <c r="E12081" s="5"/>
      <c r="F12081" s="5"/>
      <c r="G12081" s="5"/>
      <c r="H12081" s="5"/>
      <c r="I12081" s="5"/>
      <c r="J12081" s="5"/>
      <c r="K12081" s="5"/>
      <c r="L12081" s="5"/>
      <c r="M12081" s="5"/>
      <c r="N12081" s="5"/>
      <c r="O12081" s="5"/>
      <c r="P12081" s="5"/>
      <c r="Q12081" s="5"/>
      <c r="R12081" s="5"/>
      <c r="S12081" s="5"/>
      <c r="T12081" s="5"/>
      <c r="U12081" s="5"/>
      <c r="V12081" s="5"/>
      <c r="W12081" s="5"/>
      <c r="X12081" s="5"/>
      <c r="Y12081" s="5"/>
      <c r="Z12081" s="5"/>
    </row>
    <row r="12082" spans="1:26" ht="15" x14ac:dyDescent="0.25">
      <c r="A12082" s="4" t="s">
        <v>12079</v>
      </c>
      <c r="B12082" s="4" t="s">
        <v>9011</v>
      </c>
      <c r="C12082" s="2" t="str">
        <f ca="1">IFERROR(__xludf.DUMMYFUNCTION("GOOGLETRANSLATE(A12082,""bn"",""en"")"),"Experts will call a meeting to discuss")</f>
        <v>Experts will call a meeting to discuss</v>
      </c>
      <c r="D12082" s="5"/>
      <c r="E12082" s="5"/>
      <c r="F12082" s="5"/>
      <c r="G12082" s="5"/>
      <c r="H12082" s="5"/>
      <c r="I12082" s="5"/>
      <c r="J12082" s="5"/>
      <c r="K12082" s="5"/>
      <c r="L12082" s="5"/>
      <c r="M12082" s="5"/>
      <c r="N12082" s="5"/>
      <c r="O12082" s="5"/>
      <c r="P12082" s="5"/>
      <c r="Q12082" s="5"/>
      <c r="R12082" s="5"/>
      <c r="S12082" s="5"/>
      <c r="T12082" s="5"/>
      <c r="U12082" s="5"/>
      <c r="V12082" s="5"/>
      <c r="W12082" s="5"/>
      <c r="X12082" s="5"/>
      <c r="Y12082" s="5"/>
      <c r="Z12082" s="5"/>
    </row>
    <row r="12083" spans="1:26" ht="15" x14ac:dyDescent="0.25">
      <c r="A12083" s="4" t="s">
        <v>12080</v>
      </c>
      <c r="B12083" s="4" t="s">
        <v>9011</v>
      </c>
      <c r="C12083" s="2" t="str">
        <f ca="1">IFERROR(__xludf.DUMMYFUNCTION("GOOGLETRANSLATE(A12083,""bn"",""en"")"),"The movie will inspire everyone")</f>
        <v>The movie will inspire everyone</v>
      </c>
      <c r="D12083" s="5"/>
      <c r="E12083" s="5"/>
      <c r="F12083" s="5"/>
      <c r="G12083" s="5"/>
      <c r="H12083" s="5"/>
      <c r="I12083" s="5"/>
      <c r="J12083" s="5"/>
      <c r="K12083" s="5"/>
      <c r="L12083" s="5"/>
      <c r="M12083" s="5"/>
      <c r="N12083" s="5"/>
      <c r="O12083" s="5"/>
      <c r="P12083" s="5"/>
      <c r="Q12083" s="5"/>
      <c r="R12083" s="5"/>
      <c r="S12083" s="5"/>
      <c r="T12083" s="5"/>
      <c r="U12083" s="5"/>
      <c r="V12083" s="5"/>
      <c r="W12083" s="5"/>
      <c r="X12083" s="5"/>
      <c r="Y12083" s="5"/>
      <c r="Z12083" s="5"/>
    </row>
    <row r="12084" spans="1:26" ht="15" x14ac:dyDescent="0.25">
      <c r="A12084" s="4" t="s">
        <v>12081</v>
      </c>
      <c r="B12084" s="4" t="s">
        <v>9011</v>
      </c>
      <c r="C12084" s="2" t="str">
        <f ca="1">IFERROR(__xludf.DUMMYFUNCTION("GOOGLETRANSLATE(A12084,""bn"",""en"")"),"He will see the ancient temple")</f>
        <v>He will see the ancient temple</v>
      </c>
      <c r="D12084" s="5"/>
      <c r="E12084" s="5"/>
      <c r="F12084" s="5"/>
      <c r="G12084" s="5"/>
      <c r="H12084" s="5"/>
      <c r="I12084" s="5"/>
      <c r="J12084" s="5"/>
      <c r="K12084" s="5"/>
      <c r="L12084" s="5"/>
      <c r="M12084" s="5"/>
      <c r="N12084" s="5"/>
      <c r="O12084" s="5"/>
      <c r="P12084" s="5"/>
      <c r="Q12084" s="5"/>
      <c r="R12084" s="5"/>
      <c r="S12084" s="5"/>
      <c r="T12084" s="5"/>
      <c r="U12084" s="5"/>
      <c r="V12084" s="5"/>
      <c r="W12084" s="5"/>
      <c r="X12084" s="5"/>
      <c r="Y12084" s="5"/>
      <c r="Z12084" s="5"/>
    </row>
    <row r="12085" spans="1:26" ht="15" x14ac:dyDescent="0.25">
      <c r="A12085" s="4" t="s">
        <v>12082</v>
      </c>
      <c r="B12085" s="4" t="s">
        <v>9011</v>
      </c>
      <c r="C12085" s="2" t="str">
        <f ca="1">IFERROR(__xludf.DUMMYFUNCTION("GOOGLETRANSLATE(A12085,""bn"",""en"")"),"Code bugs should be reported")</f>
        <v>Code bugs should be reported</v>
      </c>
      <c r="D12085" s="5"/>
      <c r="E12085" s="5"/>
      <c r="F12085" s="5"/>
      <c r="G12085" s="5"/>
      <c r="H12085" s="5"/>
      <c r="I12085" s="5"/>
      <c r="J12085" s="5"/>
      <c r="K12085" s="5"/>
      <c r="L12085" s="5"/>
      <c r="M12085" s="5"/>
      <c r="N12085" s="5"/>
      <c r="O12085" s="5"/>
      <c r="P12085" s="5"/>
      <c r="Q12085" s="5"/>
      <c r="R12085" s="5"/>
      <c r="S12085" s="5"/>
      <c r="T12085" s="5"/>
      <c r="U12085" s="5"/>
      <c r="V12085" s="5"/>
      <c r="W12085" s="5"/>
      <c r="X12085" s="5"/>
      <c r="Y12085" s="5"/>
      <c r="Z12085" s="5"/>
    </row>
    <row r="12086" spans="1:26" ht="15" x14ac:dyDescent="0.25">
      <c r="A12086" s="4" t="s">
        <v>12083</v>
      </c>
      <c r="B12086" s="4" t="s">
        <v>9011</v>
      </c>
      <c r="C12086" s="2" t="str">
        <f ca="1">IFERROR(__xludf.DUMMYFUNCTION("GOOGLETRANSLATE(A12086,""bn"",""en"")"),"Students will read old stories")</f>
        <v>Students will read old stories</v>
      </c>
      <c r="D12086" s="5"/>
      <c r="E12086" s="5"/>
      <c r="F12086" s="5"/>
      <c r="G12086" s="5"/>
      <c r="H12086" s="5"/>
      <c r="I12086" s="5"/>
      <c r="J12086" s="5"/>
      <c r="K12086" s="5"/>
      <c r="L12086" s="5"/>
      <c r="M12086" s="5"/>
      <c r="N12086" s="5"/>
      <c r="O12086" s="5"/>
      <c r="P12086" s="5"/>
      <c r="Q12086" s="5"/>
      <c r="R12086" s="5"/>
      <c r="S12086" s="5"/>
      <c r="T12086" s="5"/>
      <c r="U12086" s="5"/>
      <c r="V12086" s="5"/>
      <c r="W12086" s="5"/>
      <c r="X12086" s="5"/>
      <c r="Y12086" s="5"/>
      <c r="Z12086" s="5"/>
    </row>
    <row r="12087" spans="1:26" ht="15" x14ac:dyDescent="0.25">
      <c r="A12087" s="4" t="s">
        <v>12084</v>
      </c>
      <c r="B12087" s="4" t="s">
        <v>9011</v>
      </c>
      <c r="C12087" s="2" t="str">
        <f ca="1">IFERROR(__xludf.DUMMYFUNCTION("GOOGLETRANSLATE(A12087,""bn"",""en"")"),"They will go to literary places")</f>
        <v>They will go to literary places</v>
      </c>
      <c r="D12087" s="5"/>
      <c r="E12087" s="5"/>
      <c r="F12087" s="5"/>
      <c r="G12087" s="5"/>
      <c r="H12087" s="5"/>
      <c r="I12087" s="5"/>
      <c r="J12087" s="5"/>
      <c r="K12087" s="5"/>
      <c r="L12087" s="5"/>
      <c r="M12087" s="5"/>
      <c r="N12087" s="5"/>
      <c r="O12087" s="5"/>
      <c r="P12087" s="5"/>
      <c r="Q12087" s="5"/>
      <c r="R12087" s="5"/>
      <c r="S12087" s="5"/>
      <c r="T12087" s="5"/>
      <c r="U12087" s="5"/>
      <c r="V12087" s="5"/>
      <c r="W12087" s="5"/>
      <c r="X12087" s="5"/>
      <c r="Y12087" s="5"/>
      <c r="Z12087" s="5"/>
    </row>
    <row r="12088" spans="1:26" ht="15" x14ac:dyDescent="0.25">
      <c r="A12088" s="4" t="s">
        <v>12085</v>
      </c>
      <c r="B12088" s="4" t="s">
        <v>9011</v>
      </c>
      <c r="C12088" s="2" t="str">
        <f ca="1">IFERROR(__xludf.DUMMYFUNCTION("GOOGLETRANSLATE(A12088,""bn"",""en"")"),"Culture will play a role in the economy")</f>
        <v>Culture will play a role in the economy</v>
      </c>
      <c r="D12088" s="5"/>
      <c r="E12088" s="5"/>
      <c r="F12088" s="5"/>
      <c r="G12088" s="5"/>
      <c r="H12088" s="5"/>
      <c r="I12088" s="5"/>
      <c r="J12088" s="5"/>
      <c r="K12088" s="5"/>
      <c r="L12088" s="5"/>
      <c r="M12088" s="5"/>
      <c r="N12088" s="5"/>
      <c r="O12088" s="5"/>
      <c r="P12088" s="5"/>
      <c r="Q12088" s="5"/>
      <c r="R12088" s="5"/>
      <c r="S12088" s="5"/>
      <c r="T12088" s="5"/>
      <c r="U12088" s="5"/>
      <c r="V12088" s="5"/>
      <c r="W12088" s="5"/>
      <c r="X12088" s="5"/>
      <c r="Y12088" s="5"/>
      <c r="Z12088" s="5"/>
    </row>
    <row r="12089" spans="1:26" ht="15" x14ac:dyDescent="0.25">
      <c r="A12089" s="4" t="s">
        <v>12086</v>
      </c>
      <c r="B12089" s="4" t="s">
        <v>9011</v>
      </c>
      <c r="C12089" s="2" t="str">
        <f ca="1">IFERROR(__xludf.DUMMYFUNCTION("GOOGLETRANSLATE(A12089,""bn"",""en"")"),"They will all go for a walk")</f>
        <v>They will all go for a walk</v>
      </c>
      <c r="D12089" s="5"/>
      <c r="E12089" s="5"/>
      <c r="F12089" s="5"/>
      <c r="G12089" s="5"/>
      <c r="H12089" s="5"/>
      <c r="I12089" s="5"/>
      <c r="J12089" s="5"/>
      <c r="K12089" s="5"/>
      <c r="L12089" s="5"/>
      <c r="M12089" s="5"/>
      <c r="N12089" s="5"/>
      <c r="O12089" s="5"/>
      <c r="P12089" s="5"/>
      <c r="Q12089" s="5"/>
      <c r="R12089" s="5"/>
      <c r="S12089" s="5"/>
      <c r="T12089" s="5"/>
      <c r="U12089" s="5"/>
      <c r="V12089" s="5"/>
      <c r="W12089" s="5"/>
      <c r="X12089" s="5"/>
      <c r="Y12089" s="5"/>
      <c r="Z12089" s="5"/>
    </row>
    <row r="12090" spans="1:26" ht="15" x14ac:dyDescent="0.25">
      <c r="A12090" s="4" t="s">
        <v>12087</v>
      </c>
      <c r="B12090" s="4" t="s">
        <v>9011</v>
      </c>
      <c r="C12090" s="2" t="str">
        <f ca="1">IFERROR(__xludf.DUMMYFUNCTION("GOOGLETRANSLATE(A12090,""bn"",""en"")"),"Will go to annual sports competition")</f>
        <v>Will go to annual sports competition</v>
      </c>
      <c r="D12090" s="5"/>
      <c r="E12090" s="5"/>
      <c r="F12090" s="5"/>
      <c r="G12090" s="5"/>
      <c r="H12090" s="5"/>
      <c r="I12090" s="5"/>
      <c r="J12090" s="5"/>
      <c r="K12090" s="5"/>
      <c r="L12090" s="5"/>
      <c r="M12090" s="5"/>
      <c r="N12090" s="5"/>
      <c r="O12090" s="5"/>
      <c r="P12090" s="5"/>
      <c r="Q12090" s="5"/>
      <c r="R12090" s="5"/>
      <c r="S12090" s="5"/>
      <c r="T12090" s="5"/>
      <c r="U12090" s="5"/>
      <c r="V12090" s="5"/>
      <c r="W12090" s="5"/>
      <c r="X12090" s="5"/>
      <c r="Y12090" s="5"/>
      <c r="Z12090" s="5"/>
    </row>
    <row r="12091" spans="1:26" ht="15" x14ac:dyDescent="0.25">
      <c r="A12091" s="4" t="s">
        <v>12088</v>
      </c>
      <c r="B12091" s="4" t="s">
        <v>9011</v>
      </c>
      <c r="C12091" s="2" t="str">
        <f ca="1">IFERROR(__xludf.DUMMYFUNCTION("GOOGLETRANSLATE(A12091,""bn"",""en"")"),"The situation will improve with observation")</f>
        <v>The situation will improve with observation</v>
      </c>
      <c r="D12091" s="5"/>
      <c r="E12091" s="5"/>
      <c r="F12091" s="5"/>
      <c r="G12091" s="5"/>
      <c r="H12091" s="5"/>
      <c r="I12091" s="5"/>
      <c r="J12091" s="5"/>
      <c r="K12091" s="5"/>
      <c r="L12091" s="5"/>
      <c r="M12091" s="5"/>
      <c r="N12091" s="5"/>
      <c r="O12091" s="5"/>
      <c r="P12091" s="5"/>
      <c r="Q12091" s="5"/>
      <c r="R12091" s="5"/>
      <c r="S12091" s="5"/>
      <c r="T12091" s="5"/>
      <c r="U12091" s="5"/>
      <c r="V12091" s="5"/>
      <c r="W12091" s="5"/>
      <c r="X12091" s="5"/>
      <c r="Y12091" s="5"/>
      <c r="Z12091" s="5"/>
    </row>
    <row r="12092" spans="1:26" ht="15" x14ac:dyDescent="0.25">
      <c r="A12092" s="4" t="s">
        <v>12089</v>
      </c>
      <c r="B12092" s="4" t="s">
        <v>9011</v>
      </c>
      <c r="C12092" s="2" t="str">
        <f ca="1">IFERROR(__xludf.DUMMYFUNCTION("GOOGLETRANSLATE(A12092,""bn"",""en"")"),"I will start a new project")</f>
        <v>I will start a new project</v>
      </c>
      <c r="D12092" s="5"/>
      <c r="E12092" s="5"/>
      <c r="F12092" s="5"/>
      <c r="G12092" s="5"/>
      <c r="H12092" s="5"/>
      <c r="I12092" s="5"/>
      <c r="J12092" s="5"/>
      <c r="K12092" s="5"/>
      <c r="L12092" s="5"/>
      <c r="M12092" s="5"/>
      <c r="N12092" s="5"/>
      <c r="O12092" s="5"/>
      <c r="P12092" s="5"/>
      <c r="Q12092" s="5"/>
      <c r="R12092" s="5"/>
      <c r="S12092" s="5"/>
      <c r="T12092" s="5"/>
      <c r="U12092" s="5"/>
      <c r="V12092" s="5"/>
      <c r="W12092" s="5"/>
      <c r="X12092" s="5"/>
      <c r="Y12092" s="5"/>
      <c r="Z12092" s="5"/>
    </row>
    <row r="12093" spans="1:26" ht="15" x14ac:dyDescent="0.25">
      <c r="A12093" s="4" t="s">
        <v>12090</v>
      </c>
      <c r="B12093" s="4" t="s">
        <v>9011</v>
      </c>
      <c r="C12093" s="2" t="str">
        <f ca="1">IFERROR(__xludf.DUMMYFUNCTION("GOOGLETRANSLATE(A12093,""bn"",""en"")"),"It will rain a lot at night")</f>
        <v>It will rain a lot at night</v>
      </c>
      <c r="D12093" s="5"/>
      <c r="E12093" s="5"/>
      <c r="F12093" s="5"/>
      <c r="G12093" s="5"/>
      <c r="H12093" s="5"/>
      <c r="I12093" s="5"/>
      <c r="J12093" s="5"/>
      <c r="K12093" s="5"/>
      <c r="L12093" s="5"/>
      <c r="M12093" s="5"/>
      <c r="N12093" s="5"/>
      <c r="O12093" s="5"/>
      <c r="P12093" s="5"/>
      <c r="Q12093" s="5"/>
      <c r="R12093" s="5"/>
      <c r="S12093" s="5"/>
      <c r="T12093" s="5"/>
      <c r="U12093" s="5"/>
      <c r="V12093" s="5"/>
      <c r="W12093" s="5"/>
      <c r="X12093" s="5"/>
      <c r="Y12093" s="5"/>
      <c r="Z12093" s="5"/>
    </row>
    <row r="12094" spans="1:26" ht="15" x14ac:dyDescent="0.25">
      <c r="A12094" s="4" t="s">
        <v>12091</v>
      </c>
      <c r="B12094" s="4" t="s">
        <v>9011</v>
      </c>
      <c r="C12094" s="2" t="str">
        <f ca="1">IFERROR(__xludf.DUMMYFUNCTION("GOOGLETRANSLATE(A12094,""bn"",""en"")"),"He will be surfing tomorrow")</f>
        <v>He will be surfing tomorrow</v>
      </c>
      <c r="D12094" s="5"/>
      <c r="E12094" s="5"/>
      <c r="F12094" s="5"/>
      <c r="G12094" s="5"/>
      <c r="H12094" s="5"/>
      <c r="I12094" s="5"/>
      <c r="J12094" s="5"/>
      <c r="K12094" s="5"/>
      <c r="L12094" s="5"/>
      <c r="M12094" s="5"/>
      <c r="N12094" s="5"/>
      <c r="O12094" s="5"/>
      <c r="P12094" s="5"/>
      <c r="Q12094" s="5"/>
      <c r="R12094" s="5"/>
      <c r="S12094" s="5"/>
      <c r="T12094" s="5"/>
      <c r="U12094" s="5"/>
      <c r="V12094" s="5"/>
      <c r="W12094" s="5"/>
      <c r="X12094" s="5"/>
      <c r="Y12094" s="5"/>
      <c r="Z12094" s="5"/>
    </row>
    <row r="12095" spans="1:26" ht="15" x14ac:dyDescent="0.25">
      <c r="A12095" s="4" t="s">
        <v>12092</v>
      </c>
      <c r="B12095" s="4" t="s">
        <v>9011</v>
      </c>
      <c r="C12095" s="2" t="str">
        <f ca="1">IFERROR(__xludf.DUMMYFUNCTION("GOOGLETRANSLATE(A12095,""bn"",""en"")"),"Apply for passport online")</f>
        <v>Apply for passport online</v>
      </c>
      <c r="D12095" s="5"/>
      <c r="E12095" s="5"/>
      <c r="F12095" s="5"/>
      <c r="G12095" s="5"/>
      <c r="H12095" s="5"/>
      <c r="I12095" s="5"/>
      <c r="J12095" s="5"/>
      <c r="K12095" s="5"/>
      <c r="L12095" s="5"/>
      <c r="M12095" s="5"/>
      <c r="N12095" s="5"/>
      <c r="O12095" s="5"/>
      <c r="P12095" s="5"/>
      <c r="Q12095" s="5"/>
      <c r="R12095" s="5"/>
      <c r="S12095" s="5"/>
      <c r="T12095" s="5"/>
      <c r="U12095" s="5"/>
      <c r="V12095" s="5"/>
      <c r="W12095" s="5"/>
      <c r="X12095" s="5"/>
      <c r="Y12095" s="5"/>
      <c r="Z12095" s="5"/>
    </row>
    <row r="12096" spans="1:26" ht="15" x14ac:dyDescent="0.25">
      <c r="A12096" s="4" t="s">
        <v>12093</v>
      </c>
      <c r="B12096" s="4" t="s">
        <v>9011</v>
      </c>
      <c r="C12096" s="2" t="str">
        <f ca="1">IFERROR(__xludf.DUMMYFUNCTION("GOOGLETRANSLATE(A12096,""bn"",""en"")"),"I will wait for three hours")</f>
        <v>I will wait for three hours</v>
      </c>
      <c r="D12096" s="5"/>
      <c r="E12096" s="5"/>
      <c r="F12096" s="5"/>
      <c r="G12096" s="5"/>
      <c r="H12096" s="5"/>
      <c r="I12096" s="5"/>
      <c r="J12096" s="5"/>
      <c r="K12096" s="5"/>
      <c r="L12096" s="5"/>
      <c r="M12096" s="5"/>
      <c r="N12096" s="5"/>
      <c r="O12096" s="5"/>
      <c r="P12096" s="5"/>
      <c r="Q12096" s="5"/>
      <c r="R12096" s="5"/>
      <c r="S12096" s="5"/>
      <c r="T12096" s="5"/>
      <c r="U12096" s="5"/>
      <c r="V12096" s="5"/>
      <c r="W12096" s="5"/>
      <c r="X12096" s="5"/>
      <c r="Y12096" s="5"/>
      <c r="Z12096" s="5"/>
    </row>
    <row r="12097" spans="1:26" ht="15" x14ac:dyDescent="0.25">
      <c r="A12097" s="4" t="s">
        <v>12094</v>
      </c>
      <c r="B12097" s="4" t="s">
        <v>9011</v>
      </c>
      <c r="C12097" s="2" t="str">
        <f ca="1">IFERROR(__xludf.DUMMYFUNCTION("GOOGLETRANSLATE(A12097,""bn"",""en"")"),"Crop production will increase soon")</f>
        <v>Crop production will increase soon</v>
      </c>
      <c r="D12097" s="5"/>
      <c r="E12097" s="5"/>
      <c r="F12097" s="5"/>
      <c r="G12097" s="5"/>
      <c r="H12097" s="5"/>
      <c r="I12097" s="5"/>
      <c r="J12097" s="5"/>
      <c r="K12097" s="5"/>
      <c r="L12097" s="5"/>
      <c r="M12097" s="5"/>
      <c r="N12097" s="5"/>
      <c r="O12097" s="5"/>
      <c r="P12097" s="5"/>
      <c r="Q12097" s="5"/>
      <c r="R12097" s="5"/>
      <c r="S12097" s="5"/>
      <c r="T12097" s="5"/>
      <c r="U12097" s="5"/>
      <c r="V12097" s="5"/>
      <c r="W12097" s="5"/>
      <c r="X12097" s="5"/>
      <c r="Y12097" s="5"/>
      <c r="Z12097" s="5"/>
    </row>
    <row r="12098" spans="1:26" ht="15" x14ac:dyDescent="0.25">
      <c r="A12098" s="4" t="s">
        <v>12095</v>
      </c>
      <c r="B12098" s="4" t="s">
        <v>9011</v>
      </c>
      <c r="C12098" s="2" t="str">
        <f ca="1">IFERROR(__xludf.DUMMYFUNCTION("GOOGLETRANSLATE(A12098,""bn"",""en"")"),"Must ask to see the menu")</f>
        <v>Must ask to see the menu</v>
      </c>
      <c r="D12098" s="5"/>
      <c r="E12098" s="5"/>
      <c r="F12098" s="5"/>
      <c r="G12098" s="5"/>
      <c r="H12098" s="5"/>
      <c r="I12098" s="5"/>
      <c r="J12098" s="5"/>
      <c r="K12098" s="5"/>
      <c r="L12098" s="5"/>
      <c r="M12098" s="5"/>
      <c r="N12098" s="5"/>
      <c r="O12098" s="5"/>
      <c r="P12098" s="5"/>
      <c r="Q12098" s="5"/>
      <c r="R12098" s="5"/>
      <c r="S12098" s="5"/>
      <c r="T12098" s="5"/>
      <c r="U12098" s="5"/>
      <c r="V12098" s="5"/>
      <c r="W12098" s="5"/>
      <c r="X12098" s="5"/>
      <c r="Y12098" s="5"/>
      <c r="Z12098" s="5"/>
    </row>
    <row r="12099" spans="1:26" ht="15" x14ac:dyDescent="0.25">
      <c r="A12099" s="4" t="s">
        <v>12096</v>
      </c>
      <c r="B12099" s="4" t="s">
        <v>9011</v>
      </c>
      <c r="C12099" s="2" t="str">
        <f ca="1">IFERROR(__xludf.DUMMYFUNCTION("GOOGLETRANSLATE(A12099,""bn"",""en"")"),"Will talk through notes")</f>
        <v>Will talk through notes</v>
      </c>
      <c r="D12099" s="5"/>
      <c r="E12099" s="5"/>
      <c r="F12099" s="5"/>
      <c r="G12099" s="5"/>
      <c r="H12099" s="5"/>
      <c r="I12099" s="5"/>
      <c r="J12099" s="5"/>
      <c r="K12099" s="5"/>
      <c r="L12099" s="5"/>
      <c r="M12099" s="5"/>
      <c r="N12099" s="5"/>
      <c r="O12099" s="5"/>
      <c r="P12099" s="5"/>
      <c r="Q12099" s="5"/>
      <c r="R12099" s="5"/>
      <c r="S12099" s="5"/>
      <c r="T12099" s="5"/>
      <c r="U12099" s="5"/>
      <c r="V12099" s="5"/>
      <c r="W12099" s="5"/>
      <c r="X12099" s="5"/>
      <c r="Y12099" s="5"/>
      <c r="Z12099" s="5"/>
    </row>
    <row r="12100" spans="1:26" ht="15" x14ac:dyDescent="0.25">
      <c r="A12100" s="4" t="s">
        <v>12097</v>
      </c>
      <c r="B12100" s="4" t="s">
        <v>9011</v>
      </c>
      <c r="C12100" s="2" t="str">
        <f ca="1">IFERROR(__xludf.DUMMYFUNCTION("GOOGLETRANSLATE(A12100,""bn"",""en"")"),"Robots will provide assistance")</f>
        <v>Robots will provide assistance</v>
      </c>
      <c r="D12100" s="5"/>
      <c r="E12100" s="5"/>
      <c r="F12100" s="5"/>
      <c r="G12100" s="5"/>
      <c r="H12100" s="5"/>
      <c r="I12100" s="5"/>
      <c r="J12100" s="5"/>
      <c r="K12100" s="5"/>
      <c r="L12100" s="5"/>
      <c r="M12100" s="5"/>
      <c r="N12100" s="5"/>
      <c r="O12100" s="5"/>
      <c r="P12100" s="5"/>
      <c r="Q12100" s="5"/>
      <c r="R12100" s="5"/>
      <c r="S12100" s="5"/>
      <c r="T12100" s="5"/>
      <c r="U12100" s="5"/>
      <c r="V12100" s="5"/>
      <c r="W12100" s="5"/>
      <c r="X12100" s="5"/>
      <c r="Y12100" s="5"/>
      <c r="Z12100" s="5"/>
    </row>
    <row r="12101" spans="1:26" ht="15" x14ac:dyDescent="0.25">
      <c r="A12101" s="4" t="s">
        <v>12098</v>
      </c>
      <c r="B12101" s="4" t="s">
        <v>9011</v>
      </c>
      <c r="C12101" s="2" t="str">
        <f ca="1">IFERROR(__xludf.DUMMYFUNCTION("GOOGLETRANSLATE(A12101,""bn"",""en"")"),"Need to buy robots to help")</f>
        <v>Need to buy robots to help</v>
      </c>
      <c r="D12101" s="5"/>
      <c r="E12101" s="5"/>
      <c r="F12101" s="5"/>
      <c r="G12101" s="5"/>
      <c r="H12101" s="5"/>
      <c r="I12101" s="5"/>
      <c r="J12101" s="5"/>
      <c r="K12101" s="5"/>
      <c r="L12101" s="5"/>
      <c r="M12101" s="5"/>
      <c r="N12101" s="5"/>
      <c r="O12101" s="5"/>
      <c r="P12101" s="5"/>
      <c r="Q12101" s="5"/>
      <c r="R12101" s="5"/>
      <c r="S12101" s="5"/>
      <c r="T12101" s="5"/>
      <c r="U12101" s="5"/>
      <c r="V12101" s="5"/>
      <c r="W12101" s="5"/>
      <c r="X12101" s="5"/>
      <c r="Y12101" s="5"/>
      <c r="Z12101" s="5"/>
    </row>
    <row r="12102" spans="1:26" ht="15" x14ac:dyDescent="0.25">
      <c r="A12102" s="4" t="s">
        <v>12099</v>
      </c>
      <c r="B12102" s="4" t="s">
        <v>9011</v>
      </c>
      <c r="C12102" s="2" t="str">
        <f ca="1">IFERROR(__xludf.DUMMYFUNCTION("GOOGLETRANSLATE(A12102,""bn"",""en"")"),"He will make fixed deposit")</f>
        <v>He will make fixed deposit</v>
      </c>
      <c r="D12102" s="5"/>
      <c r="E12102" s="5"/>
      <c r="F12102" s="5"/>
      <c r="G12102" s="5"/>
      <c r="H12102" s="5"/>
      <c r="I12102" s="5"/>
      <c r="J12102" s="5"/>
      <c r="K12102" s="5"/>
      <c r="L12102" s="5"/>
      <c r="M12102" s="5"/>
      <c r="N12102" s="5"/>
      <c r="O12102" s="5"/>
      <c r="P12102" s="5"/>
      <c r="Q12102" s="5"/>
      <c r="R12102" s="5"/>
      <c r="S12102" s="5"/>
      <c r="T12102" s="5"/>
      <c r="U12102" s="5"/>
      <c r="V12102" s="5"/>
      <c r="W12102" s="5"/>
      <c r="X12102" s="5"/>
      <c r="Y12102" s="5"/>
      <c r="Z12102" s="5"/>
    </row>
    <row r="12103" spans="1:26" ht="15" x14ac:dyDescent="0.25">
      <c r="A12103" s="4" t="s">
        <v>12100</v>
      </c>
      <c r="B12103" s="4" t="s">
        <v>9011</v>
      </c>
      <c r="C12103" s="2" t="str">
        <f ca="1">IFERROR(__xludf.DUMMYFUNCTION("GOOGLETRANSLATE(A12103,""bn"",""en"")"),"Commercial engineering will grow in the future")</f>
        <v>Commercial engineering will grow in the future</v>
      </c>
      <c r="D12103" s="5"/>
      <c r="E12103" s="5"/>
      <c r="F12103" s="5"/>
      <c r="G12103" s="5"/>
      <c r="H12103" s="5"/>
      <c r="I12103" s="5"/>
      <c r="J12103" s="5"/>
      <c r="K12103" s="5"/>
      <c r="L12103" s="5"/>
      <c r="M12103" s="5"/>
      <c r="N12103" s="5"/>
      <c r="O12103" s="5"/>
      <c r="P12103" s="5"/>
      <c r="Q12103" s="5"/>
      <c r="R12103" s="5"/>
      <c r="S12103" s="5"/>
      <c r="T12103" s="5"/>
      <c r="U12103" s="5"/>
      <c r="V12103" s="5"/>
      <c r="W12103" s="5"/>
      <c r="X12103" s="5"/>
      <c r="Y12103" s="5"/>
      <c r="Z12103" s="5"/>
    </row>
    <row r="12104" spans="1:26" ht="15" x14ac:dyDescent="0.25">
      <c r="A12104" s="4" t="s">
        <v>12101</v>
      </c>
      <c r="B12104" s="4" t="s">
        <v>9011</v>
      </c>
      <c r="C12104" s="2" t="str">
        <f ca="1">IFERROR(__xludf.DUMMYFUNCTION("GOOGLETRANSLATE(A12104,""bn"",""en"")"),"Special must be made")</f>
        <v>Special must be made</v>
      </c>
      <c r="D12104" s="5"/>
      <c r="E12104" s="5"/>
      <c r="F12104" s="5"/>
      <c r="G12104" s="5"/>
      <c r="H12104" s="5"/>
      <c r="I12104" s="5"/>
      <c r="J12104" s="5"/>
      <c r="K12104" s="5"/>
      <c r="L12104" s="5"/>
      <c r="M12104" s="5"/>
      <c r="N12104" s="5"/>
      <c r="O12104" s="5"/>
      <c r="P12104" s="5"/>
      <c r="Q12104" s="5"/>
      <c r="R12104" s="5"/>
      <c r="S12104" s="5"/>
      <c r="T12104" s="5"/>
      <c r="U12104" s="5"/>
      <c r="V12104" s="5"/>
      <c r="W12104" s="5"/>
      <c r="X12104" s="5"/>
      <c r="Y12104" s="5"/>
      <c r="Z12104" s="5"/>
    </row>
    <row r="12105" spans="1:26" ht="15" x14ac:dyDescent="0.25">
      <c r="A12105" s="4" t="s">
        <v>12102</v>
      </c>
      <c r="B12105" s="4" t="s">
        <v>9011</v>
      </c>
      <c r="C12105" s="2" t="str">
        <f ca="1">IFERROR(__xludf.DUMMYFUNCTION("GOOGLETRANSLATE(A12105,""bn"",""en"")"),"The ship will float in the sea")</f>
        <v>The ship will float in the sea</v>
      </c>
      <c r="D12105" s="5"/>
      <c r="E12105" s="5"/>
      <c r="F12105" s="5"/>
      <c r="G12105" s="5"/>
      <c r="H12105" s="5"/>
      <c r="I12105" s="5"/>
      <c r="J12105" s="5"/>
      <c r="K12105" s="5"/>
      <c r="L12105" s="5"/>
      <c r="M12105" s="5"/>
      <c r="N12105" s="5"/>
      <c r="O12105" s="5"/>
      <c r="P12105" s="5"/>
      <c r="Q12105" s="5"/>
      <c r="R12105" s="5"/>
      <c r="S12105" s="5"/>
      <c r="T12105" s="5"/>
      <c r="U12105" s="5"/>
      <c r="V12105" s="5"/>
      <c r="W12105" s="5"/>
      <c r="X12105" s="5"/>
      <c r="Y12105" s="5"/>
      <c r="Z12105" s="5"/>
    </row>
    <row r="12106" spans="1:26" ht="15" x14ac:dyDescent="0.25">
      <c r="A12106" s="4" t="s">
        <v>12103</v>
      </c>
      <c r="B12106" s="4" t="s">
        <v>9011</v>
      </c>
      <c r="C12106" s="2" t="str">
        <f ca="1">IFERROR(__xludf.DUMMYFUNCTION("GOOGLETRANSLATE(A12106,""bn"",""en"")"),"Border violence will increase tomorrow")</f>
        <v>Border violence will increase tomorrow</v>
      </c>
      <c r="D12106" s="5"/>
      <c r="E12106" s="5"/>
      <c r="F12106" s="5"/>
      <c r="G12106" s="5"/>
      <c r="H12106" s="5"/>
      <c r="I12106" s="5"/>
      <c r="J12106" s="5"/>
      <c r="K12106" s="5"/>
      <c r="L12106" s="5"/>
      <c r="M12106" s="5"/>
      <c r="N12106" s="5"/>
      <c r="O12106" s="5"/>
      <c r="P12106" s="5"/>
      <c r="Q12106" s="5"/>
      <c r="R12106" s="5"/>
      <c r="S12106" s="5"/>
      <c r="T12106" s="5"/>
      <c r="U12106" s="5"/>
      <c r="V12106" s="5"/>
      <c r="W12106" s="5"/>
      <c r="X12106" s="5"/>
      <c r="Y12106" s="5"/>
      <c r="Z12106" s="5"/>
    </row>
    <row r="12107" spans="1:26" ht="15" x14ac:dyDescent="0.25">
      <c r="A12107" s="4" t="s">
        <v>12104</v>
      </c>
      <c r="B12107" s="4" t="s">
        <v>9011</v>
      </c>
      <c r="C12107" s="2" t="str">
        <f ca="1">IFERROR(__xludf.DUMMYFUNCTION("GOOGLETRANSLATE(A12107,""bn"",""en"")"),"Annual flowers will be on display")</f>
        <v>Annual flowers will be on display</v>
      </c>
      <c r="D12107" s="5"/>
      <c r="E12107" s="5"/>
      <c r="F12107" s="5"/>
      <c r="G12107" s="5"/>
      <c r="H12107" s="5"/>
      <c r="I12107" s="5"/>
      <c r="J12107" s="5"/>
      <c r="K12107" s="5"/>
      <c r="L12107" s="5"/>
      <c r="M12107" s="5"/>
      <c r="N12107" s="5"/>
      <c r="O12107" s="5"/>
      <c r="P12107" s="5"/>
      <c r="Q12107" s="5"/>
      <c r="R12107" s="5"/>
      <c r="S12107" s="5"/>
      <c r="T12107" s="5"/>
      <c r="U12107" s="5"/>
      <c r="V12107" s="5"/>
      <c r="W12107" s="5"/>
      <c r="X12107" s="5"/>
      <c r="Y12107" s="5"/>
      <c r="Z12107" s="5"/>
    </row>
    <row r="12108" spans="1:26" ht="15" x14ac:dyDescent="0.25">
      <c r="A12108" s="4" t="s">
        <v>12105</v>
      </c>
      <c r="B12108" s="4" t="s">
        <v>9011</v>
      </c>
      <c r="C12108" s="2" t="str">
        <f ca="1">IFERROR(__xludf.DUMMYFUNCTION("GOOGLETRANSLATE(A12108,""bn"",""en"")"),"Research will be part of technology")</f>
        <v>Research will be part of technology</v>
      </c>
      <c r="D12108" s="5"/>
      <c r="E12108" s="5"/>
      <c r="F12108" s="5"/>
      <c r="G12108" s="5"/>
      <c r="H12108" s="5"/>
      <c r="I12108" s="5"/>
      <c r="J12108" s="5"/>
      <c r="K12108" s="5"/>
      <c r="L12108" s="5"/>
      <c r="M12108" s="5"/>
      <c r="N12108" s="5"/>
      <c r="O12108" s="5"/>
      <c r="P12108" s="5"/>
      <c r="Q12108" s="5"/>
      <c r="R12108" s="5"/>
      <c r="S12108" s="5"/>
      <c r="T12108" s="5"/>
      <c r="U12108" s="5"/>
      <c r="V12108" s="5"/>
      <c r="W12108" s="5"/>
      <c r="X12108" s="5"/>
      <c r="Y12108" s="5"/>
      <c r="Z12108" s="5"/>
    </row>
    <row r="12109" spans="1:26" ht="15" x14ac:dyDescent="0.25">
      <c r="A12109" s="4" t="s">
        <v>12106</v>
      </c>
      <c r="B12109" s="4" t="s">
        <v>9011</v>
      </c>
      <c r="C12109" s="2" t="str">
        <f ca="1">IFERROR(__xludf.DUMMYFUNCTION("GOOGLETRANSLATE(A12109,""bn"",""en"")"),"Clay material will be created")</f>
        <v>Clay material will be created</v>
      </c>
      <c r="D12109" s="5"/>
      <c r="E12109" s="5"/>
      <c r="F12109" s="5"/>
      <c r="G12109" s="5"/>
      <c r="H12109" s="5"/>
      <c r="I12109" s="5"/>
      <c r="J12109" s="5"/>
      <c r="K12109" s="5"/>
      <c r="L12109" s="5"/>
      <c r="M12109" s="5"/>
      <c r="N12109" s="5"/>
      <c r="O12109" s="5"/>
      <c r="P12109" s="5"/>
      <c r="Q12109" s="5"/>
      <c r="R12109" s="5"/>
      <c r="S12109" s="5"/>
      <c r="T12109" s="5"/>
      <c r="U12109" s="5"/>
      <c r="V12109" s="5"/>
      <c r="W12109" s="5"/>
      <c r="X12109" s="5"/>
      <c r="Y12109" s="5"/>
      <c r="Z12109" s="5"/>
    </row>
    <row r="12110" spans="1:26" ht="15" x14ac:dyDescent="0.25">
      <c r="A12110" s="4" t="s">
        <v>12107</v>
      </c>
      <c r="B12110" s="4" t="s">
        <v>9011</v>
      </c>
      <c r="C12110" s="2" t="str">
        <f ca="1">IFERROR(__xludf.DUMMYFUNCTION("GOOGLETRANSLATE(A12110,""bn"",""en"")"),"Biometrics technology will be used")</f>
        <v>Biometrics technology will be used</v>
      </c>
      <c r="D12110" s="5"/>
      <c r="E12110" s="5"/>
      <c r="F12110" s="5"/>
      <c r="G12110" s="5"/>
      <c r="H12110" s="5"/>
      <c r="I12110" s="5"/>
      <c r="J12110" s="5"/>
      <c r="K12110" s="5"/>
      <c r="L12110" s="5"/>
      <c r="M12110" s="5"/>
      <c r="N12110" s="5"/>
      <c r="O12110" s="5"/>
      <c r="P12110" s="5"/>
      <c r="Q12110" s="5"/>
      <c r="R12110" s="5"/>
      <c r="S12110" s="5"/>
      <c r="T12110" s="5"/>
      <c r="U12110" s="5"/>
      <c r="V12110" s="5"/>
      <c r="W12110" s="5"/>
      <c r="X12110" s="5"/>
      <c r="Y12110" s="5"/>
      <c r="Z12110" s="5"/>
    </row>
    <row r="12111" spans="1:26" ht="15" x14ac:dyDescent="0.25">
      <c r="A12111" s="4" t="s">
        <v>12108</v>
      </c>
      <c r="B12111" s="4" t="s">
        <v>9011</v>
      </c>
      <c r="C12111" s="2" t="str">
        <f ca="1">IFERROR(__xludf.DUMMYFUNCTION("GOOGLETRANSLATE(A12111,""bn"",""en"")"),"The sweet melody will make everyone smile")</f>
        <v>The sweet melody will make everyone smile</v>
      </c>
      <c r="D12111" s="5"/>
      <c r="E12111" s="5"/>
      <c r="F12111" s="5"/>
      <c r="G12111" s="5"/>
      <c r="H12111" s="5"/>
      <c r="I12111" s="5"/>
      <c r="J12111" s="5"/>
      <c r="K12111" s="5"/>
      <c r="L12111" s="5"/>
      <c r="M12111" s="5"/>
      <c r="N12111" s="5"/>
      <c r="O12111" s="5"/>
      <c r="P12111" s="5"/>
      <c r="Q12111" s="5"/>
      <c r="R12111" s="5"/>
      <c r="S12111" s="5"/>
      <c r="T12111" s="5"/>
      <c r="U12111" s="5"/>
      <c r="V12111" s="5"/>
      <c r="W12111" s="5"/>
      <c r="X12111" s="5"/>
      <c r="Y12111" s="5"/>
      <c r="Z12111" s="5"/>
    </row>
    <row r="12112" spans="1:26" ht="15" x14ac:dyDescent="0.25">
      <c r="A12112" s="4" t="s">
        <v>12109</v>
      </c>
      <c r="B12112" s="4" t="s">
        <v>9011</v>
      </c>
      <c r="C12112" s="2" t="str">
        <f ca="1">IFERROR(__xludf.DUMMYFUNCTION("GOOGLETRANSLATE(A12112,""bn"",""en"")"),"Enemies' military preparations will continue")</f>
        <v>Enemies' military preparations will continue</v>
      </c>
      <c r="D12112" s="5"/>
      <c r="E12112" s="5"/>
      <c r="F12112" s="5"/>
      <c r="G12112" s="5"/>
      <c r="H12112" s="5"/>
      <c r="I12112" s="5"/>
      <c r="J12112" s="5"/>
      <c r="K12112" s="5"/>
      <c r="L12112" s="5"/>
      <c r="M12112" s="5"/>
      <c r="N12112" s="5"/>
      <c r="O12112" s="5"/>
      <c r="P12112" s="5"/>
      <c r="Q12112" s="5"/>
      <c r="R12112" s="5"/>
      <c r="S12112" s="5"/>
      <c r="T12112" s="5"/>
      <c r="U12112" s="5"/>
      <c r="V12112" s="5"/>
      <c r="W12112" s="5"/>
      <c r="X12112" s="5"/>
      <c r="Y12112" s="5"/>
      <c r="Z12112" s="5"/>
    </row>
    <row r="12113" spans="1:26" ht="15" x14ac:dyDescent="0.25">
      <c r="A12113" s="4" t="s">
        <v>12110</v>
      </c>
      <c r="B12113" s="4" t="s">
        <v>9011</v>
      </c>
      <c r="C12113" s="2" t="str">
        <f ca="1">IFERROR(__xludf.DUMMYFUNCTION("GOOGLETRANSLATE(A12113,""bn"",""en"")"),"Will build a house on the banks of the estuary")</f>
        <v>Will build a house on the banks of the estuary</v>
      </c>
      <c r="D12113" s="5"/>
      <c r="E12113" s="5"/>
      <c r="F12113" s="5"/>
      <c r="G12113" s="5"/>
      <c r="H12113" s="5"/>
      <c r="I12113" s="5"/>
      <c r="J12113" s="5"/>
      <c r="K12113" s="5"/>
      <c r="L12113" s="5"/>
      <c r="M12113" s="5"/>
      <c r="N12113" s="5"/>
      <c r="O12113" s="5"/>
      <c r="P12113" s="5"/>
      <c r="Q12113" s="5"/>
      <c r="R12113" s="5"/>
      <c r="S12113" s="5"/>
      <c r="T12113" s="5"/>
      <c r="U12113" s="5"/>
      <c r="V12113" s="5"/>
      <c r="W12113" s="5"/>
      <c r="X12113" s="5"/>
      <c r="Y12113" s="5"/>
      <c r="Z12113" s="5"/>
    </row>
    <row r="12114" spans="1:26" ht="15" x14ac:dyDescent="0.25">
      <c r="A12114" s="4" t="s">
        <v>12111</v>
      </c>
      <c r="B12114" s="4" t="s">
        <v>9011</v>
      </c>
      <c r="C12114" s="2" t="str">
        <f ca="1">IFERROR(__xludf.DUMMYFUNCTION("GOOGLETRANSLATE(A12114,""bn"",""en"")"),"Enthusiasm for bravery will increase in the future")</f>
        <v>Enthusiasm for bravery will increase in the future</v>
      </c>
      <c r="D12114" s="5"/>
      <c r="E12114" s="5"/>
      <c r="F12114" s="5"/>
      <c r="G12114" s="5"/>
      <c r="H12114" s="5"/>
      <c r="I12114" s="5"/>
      <c r="J12114" s="5"/>
      <c r="K12114" s="5"/>
      <c r="L12114" s="5"/>
      <c r="M12114" s="5"/>
      <c r="N12114" s="5"/>
      <c r="O12114" s="5"/>
      <c r="P12114" s="5"/>
      <c r="Q12114" s="5"/>
      <c r="R12114" s="5"/>
      <c r="S12114" s="5"/>
      <c r="T12114" s="5"/>
      <c r="U12114" s="5"/>
      <c r="V12114" s="5"/>
      <c r="W12114" s="5"/>
      <c r="X12114" s="5"/>
      <c r="Y12114" s="5"/>
      <c r="Z12114" s="5"/>
    </row>
    <row r="12115" spans="1:26" ht="15" x14ac:dyDescent="0.25">
      <c r="A12115" s="4" t="s">
        <v>12112</v>
      </c>
      <c r="B12115" s="4" t="s">
        <v>9011</v>
      </c>
      <c r="C12115" s="2" t="str">
        <f ca="1">IFERROR(__xludf.DUMMYFUNCTION("GOOGLETRANSLATE(A12115,""bn"",""en"")"),"Technology will be expensive to use")</f>
        <v>Technology will be expensive to use</v>
      </c>
      <c r="D12115" s="5"/>
      <c r="E12115" s="5"/>
      <c r="F12115" s="5"/>
      <c r="G12115" s="5"/>
      <c r="H12115" s="5"/>
      <c r="I12115" s="5"/>
      <c r="J12115" s="5"/>
      <c r="K12115" s="5"/>
      <c r="L12115" s="5"/>
      <c r="M12115" s="5"/>
      <c r="N12115" s="5"/>
      <c r="O12115" s="5"/>
      <c r="P12115" s="5"/>
      <c r="Q12115" s="5"/>
      <c r="R12115" s="5"/>
      <c r="S12115" s="5"/>
      <c r="T12115" s="5"/>
      <c r="U12115" s="5"/>
      <c r="V12115" s="5"/>
      <c r="W12115" s="5"/>
      <c r="X12115" s="5"/>
      <c r="Y12115" s="5"/>
      <c r="Z12115" s="5"/>
    </row>
    <row r="12116" spans="1:26" ht="15" x14ac:dyDescent="0.25">
      <c r="A12116" s="4" t="s">
        <v>12113</v>
      </c>
      <c r="B12116" s="4" t="s">
        <v>9011</v>
      </c>
      <c r="C12116" s="2" t="str">
        <f ca="1">IFERROR(__xludf.DUMMYFUNCTION("GOOGLETRANSLATE(A12116,""bn"",""en"")"),"Cyber ​​security will increase")</f>
        <v>Cyber ​​security will increase</v>
      </c>
      <c r="D12116" s="5"/>
      <c r="E12116" s="5"/>
      <c r="F12116" s="5"/>
      <c r="G12116" s="5"/>
      <c r="H12116" s="5"/>
      <c r="I12116" s="5"/>
      <c r="J12116" s="5"/>
      <c r="K12116" s="5"/>
      <c r="L12116" s="5"/>
      <c r="M12116" s="5"/>
      <c r="N12116" s="5"/>
      <c r="O12116" s="5"/>
      <c r="P12116" s="5"/>
      <c r="Q12116" s="5"/>
      <c r="R12116" s="5"/>
      <c r="S12116" s="5"/>
      <c r="T12116" s="5"/>
      <c r="U12116" s="5"/>
      <c r="V12116" s="5"/>
      <c r="W12116" s="5"/>
      <c r="X12116" s="5"/>
      <c r="Y12116" s="5"/>
      <c r="Z12116" s="5"/>
    </row>
    <row r="12117" spans="1:26" ht="15" x14ac:dyDescent="0.25">
      <c r="A12117" s="4" t="s">
        <v>12114</v>
      </c>
      <c r="B12117" s="4" t="s">
        <v>9011</v>
      </c>
      <c r="C12117" s="2" t="str">
        <f ca="1">IFERROR(__xludf.DUMMYFUNCTION("GOOGLETRANSLATE(A12117,""bn"",""en"")"),"Everyone will laugh at the same time")</f>
        <v>Everyone will laugh at the same time</v>
      </c>
      <c r="D12117" s="5"/>
      <c r="E12117" s="5"/>
      <c r="F12117" s="5"/>
      <c r="G12117" s="5"/>
      <c r="H12117" s="5"/>
      <c r="I12117" s="5"/>
      <c r="J12117" s="5"/>
      <c r="K12117" s="5"/>
      <c r="L12117" s="5"/>
      <c r="M12117" s="5"/>
      <c r="N12117" s="5"/>
      <c r="O12117" s="5"/>
      <c r="P12117" s="5"/>
      <c r="Q12117" s="5"/>
      <c r="R12117" s="5"/>
      <c r="S12117" s="5"/>
      <c r="T12117" s="5"/>
      <c r="U12117" s="5"/>
      <c r="V12117" s="5"/>
      <c r="W12117" s="5"/>
      <c r="X12117" s="5"/>
      <c r="Y12117" s="5"/>
      <c r="Z12117" s="5"/>
    </row>
    <row r="12118" spans="1:26" ht="15" x14ac:dyDescent="0.25">
      <c r="A12118" s="4" t="s">
        <v>12115</v>
      </c>
      <c r="B12118" s="4" t="s">
        <v>9011</v>
      </c>
      <c r="C12118" s="2" t="str">
        <f ca="1">IFERROR(__xludf.DUMMYFUNCTION("GOOGLETRANSLATE(A12118,""bn"",""en"")"),"I will work on correcting the mistake")</f>
        <v>I will work on correcting the mistake</v>
      </c>
      <c r="D12118" s="5"/>
      <c r="E12118" s="5"/>
      <c r="F12118" s="5"/>
      <c r="G12118" s="5"/>
      <c r="H12118" s="5"/>
      <c r="I12118" s="5"/>
      <c r="J12118" s="5"/>
      <c r="K12118" s="5"/>
      <c r="L12118" s="5"/>
      <c r="M12118" s="5"/>
      <c r="N12118" s="5"/>
      <c r="O12118" s="5"/>
      <c r="P12118" s="5"/>
      <c r="Q12118" s="5"/>
      <c r="R12118" s="5"/>
      <c r="S12118" s="5"/>
      <c r="T12118" s="5"/>
      <c r="U12118" s="5"/>
      <c r="V12118" s="5"/>
      <c r="W12118" s="5"/>
      <c r="X12118" s="5"/>
      <c r="Y12118" s="5"/>
      <c r="Z12118" s="5"/>
    </row>
    <row r="12119" spans="1:26" ht="15" x14ac:dyDescent="0.25">
      <c r="A12119" s="4" t="s">
        <v>12116</v>
      </c>
      <c r="B12119" s="4" t="s">
        <v>9011</v>
      </c>
      <c r="C12119" s="2" t="str">
        <f ca="1">IFERROR(__xludf.DUMMYFUNCTION("GOOGLETRANSLATE(A12119,""bn"",""en"")"),"I will work with you in the organization")</f>
        <v>I will work with you in the organization</v>
      </c>
      <c r="D12119" s="5"/>
      <c r="E12119" s="5"/>
      <c r="F12119" s="5"/>
      <c r="G12119" s="5"/>
      <c r="H12119" s="5"/>
      <c r="I12119" s="5"/>
      <c r="J12119" s="5"/>
      <c r="K12119" s="5"/>
      <c r="L12119" s="5"/>
      <c r="M12119" s="5"/>
      <c r="N12119" s="5"/>
      <c r="O12119" s="5"/>
      <c r="P12119" s="5"/>
      <c r="Q12119" s="5"/>
      <c r="R12119" s="5"/>
      <c r="S12119" s="5"/>
      <c r="T12119" s="5"/>
      <c r="U12119" s="5"/>
      <c r="V12119" s="5"/>
      <c r="W12119" s="5"/>
      <c r="X12119" s="5"/>
      <c r="Y12119" s="5"/>
      <c r="Z12119" s="5"/>
    </row>
    <row r="12120" spans="1:26" ht="15" x14ac:dyDescent="0.25">
      <c r="A12120" s="4" t="s">
        <v>12117</v>
      </c>
      <c r="B12120" s="4" t="s">
        <v>9011</v>
      </c>
      <c r="C12120" s="2" t="str">
        <f ca="1">IFERROR(__xludf.DUMMYFUNCTION("GOOGLETRANSLATE(A12120,""bn"",""en"")"),"You will read the file")</f>
        <v>You will read the file</v>
      </c>
      <c r="D12120" s="5"/>
      <c r="E12120" s="5"/>
      <c r="F12120" s="5"/>
      <c r="G12120" s="5"/>
      <c r="H12120" s="5"/>
      <c r="I12120" s="5"/>
      <c r="J12120" s="5"/>
      <c r="K12120" s="5"/>
      <c r="L12120" s="5"/>
      <c r="M12120" s="5"/>
      <c r="N12120" s="5"/>
      <c r="O12120" s="5"/>
      <c r="P12120" s="5"/>
      <c r="Q12120" s="5"/>
      <c r="R12120" s="5"/>
      <c r="S12120" s="5"/>
      <c r="T12120" s="5"/>
      <c r="U12120" s="5"/>
      <c r="V12120" s="5"/>
      <c r="W12120" s="5"/>
      <c r="X12120" s="5"/>
      <c r="Y12120" s="5"/>
      <c r="Z12120" s="5"/>
    </row>
    <row r="12121" spans="1:26" ht="15" x14ac:dyDescent="0.25">
      <c r="A12121" s="4" t="s">
        <v>12118</v>
      </c>
      <c r="B12121" s="4" t="s">
        <v>9011</v>
      </c>
      <c r="C12121" s="2" t="str">
        <f ca="1">IFERROR(__xludf.DUMMYFUNCTION("GOOGLETRANSLATE(A12121,""bn"",""en"")"),"The soil will be fertile in the garden")</f>
        <v>The soil will be fertile in the garden</v>
      </c>
      <c r="D12121" s="5"/>
      <c r="E12121" s="5"/>
      <c r="F12121" s="5"/>
      <c r="G12121" s="5"/>
      <c r="H12121" s="5"/>
      <c r="I12121" s="5"/>
      <c r="J12121" s="5"/>
      <c r="K12121" s="5"/>
      <c r="L12121" s="5"/>
      <c r="M12121" s="5"/>
      <c r="N12121" s="5"/>
      <c r="O12121" s="5"/>
      <c r="P12121" s="5"/>
      <c r="Q12121" s="5"/>
      <c r="R12121" s="5"/>
      <c r="S12121" s="5"/>
      <c r="T12121" s="5"/>
      <c r="U12121" s="5"/>
      <c r="V12121" s="5"/>
      <c r="W12121" s="5"/>
      <c r="X12121" s="5"/>
      <c r="Y12121" s="5"/>
      <c r="Z12121" s="5"/>
    </row>
    <row r="12122" spans="1:26" ht="15" x14ac:dyDescent="0.25">
      <c r="A12122" s="4" t="s">
        <v>12119</v>
      </c>
      <c r="B12122" s="4" t="s">
        <v>9011</v>
      </c>
      <c r="C12122" s="2" t="str">
        <f ca="1">IFERROR(__xludf.DUMMYFUNCTION("GOOGLETRANSLATE(A12122,""bn"",""en"")"),"My book will be at the book fair")</f>
        <v>My book will be at the book fair</v>
      </c>
      <c r="D12122" s="5"/>
      <c r="E12122" s="5"/>
      <c r="F12122" s="5"/>
      <c r="G12122" s="5"/>
      <c r="H12122" s="5"/>
      <c r="I12122" s="5"/>
      <c r="J12122" s="5"/>
      <c r="K12122" s="5"/>
      <c r="L12122" s="5"/>
      <c r="M12122" s="5"/>
      <c r="N12122" s="5"/>
      <c r="O12122" s="5"/>
      <c r="P12122" s="5"/>
      <c r="Q12122" s="5"/>
      <c r="R12122" s="5"/>
      <c r="S12122" s="5"/>
      <c r="T12122" s="5"/>
      <c r="U12122" s="5"/>
      <c r="V12122" s="5"/>
      <c r="W12122" s="5"/>
      <c r="X12122" s="5"/>
      <c r="Y12122" s="5"/>
      <c r="Z12122" s="5"/>
    </row>
    <row r="12123" spans="1:26" ht="15" x14ac:dyDescent="0.25">
      <c r="A12123" s="4" t="s">
        <v>12120</v>
      </c>
      <c r="B12123" s="4" t="s">
        <v>9011</v>
      </c>
      <c r="C12123" s="2" t="str">
        <f ca="1">IFERROR(__xludf.DUMMYFUNCTION("GOOGLETRANSLATE(A12123,""bn"",""en"")"),"I will read economics books")</f>
        <v>I will read economics books</v>
      </c>
      <c r="D12123" s="5"/>
      <c r="E12123" s="5"/>
      <c r="F12123" s="5"/>
      <c r="G12123" s="5"/>
      <c r="H12123" s="5"/>
      <c r="I12123" s="5"/>
      <c r="J12123" s="5"/>
      <c r="K12123" s="5"/>
      <c r="L12123" s="5"/>
      <c r="M12123" s="5"/>
      <c r="N12123" s="5"/>
      <c r="O12123" s="5"/>
      <c r="P12123" s="5"/>
      <c r="Q12123" s="5"/>
      <c r="R12123" s="5"/>
      <c r="S12123" s="5"/>
      <c r="T12123" s="5"/>
      <c r="U12123" s="5"/>
      <c r="V12123" s="5"/>
      <c r="W12123" s="5"/>
      <c r="X12123" s="5"/>
      <c r="Y12123" s="5"/>
      <c r="Z12123" s="5"/>
    </row>
    <row r="12124" spans="1:26" ht="15" x14ac:dyDescent="0.25">
      <c r="A12124" s="4" t="s">
        <v>12121</v>
      </c>
      <c r="B12124" s="4" t="s">
        <v>9011</v>
      </c>
      <c r="C12124" s="2" t="str">
        <f ca="1">IFERROR(__xludf.DUMMYFUNCTION("GOOGLETRANSLATE(A12124,""bn"",""en"")"),"You play football on campus")</f>
        <v>You play football on campus</v>
      </c>
      <c r="D12124" s="5"/>
      <c r="E12124" s="5"/>
      <c r="F12124" s="5"/>
      <c r="G12124" s="5"/>
      <c r="H12124" s="5"/>
      <c r="I12124" s="5"/>
      <c r="J12124" s="5"/>
      <c r="K12124" s="5"/>
      <c r="L12124" s="5"/>
      <c r="M12124" s="5"/>
      <c r="N12124" s="5"/>
      <c r="O12124" s="5"/>
      <c r="P12124" s="5"/>
      <c r="Q12124" s="5"/>
      <c r="R12124" s="5"/>
      <c r="S12124" s="5"/>
      <c r="T12124" s="5"/>
      <c r="U12124" s="5"/>
      <c r="V12124" s="5"/>
      <c r="W12124" s="5"/>
      <c r="X12124" s="5"/>
      <c r="Y12124" s="5"/>
      <c r="Z12124" s="5"/>
    </row>
    <row r="12125" spans="1:26" ht="15" x14ac:dyDescent="0.25">
      <c r="A12125" s="4" t="s">
        <v>12122</v>
      </c>
      <c r="B12125" s="4" t="s">
        <v>9011</v>
      </c>
      <c r="C12125" s="2" t="str">
        <f ca="1">IFERROR(__xludf.DUMMYFUNCTION("GOOGLETRANSLATE(A12125,""bn"",""en"")"),"You will go to the hospital again")</f>
        <v>You will go to the hospital again</v>
      </c>
      <c r="D12125" s="5"/>
      <c r="E12125" s="5"/>
      <c r="F12125" s="5"/>
      <c r="G12125" s="5"/>
      <c r="H12125" s="5"/>
      <c r="I12125" s="5"/>
      <c r="J12125" s="5"/>
      <c r="K12125" s="5"/>
      <c r="L12125" s="5"/>
      <c r="M12125" s="5"/>
      <c r="N12125" s="5"/>
      <c r="O12125" s="5"/>
      <c r="P12125" s="5"/>
      <c r="Q12125" s="5"/>
      <c r="R12125" s="5"/>
      <c r="S12125" s="5"/>
      <c r="T12125" s="5"/>
      <c r="U12125" s="5"/>
      <c r="V12125" s="5"/>
      <c r="W12125" s="5"/>
      <c r="X12125" s="5"/>
      <c r="Y12125" s="5"/>
      <c r="Z12125" s="5"/>
    </row>
    <row r="12126" spans="1:26" ht="15" x14ac:dyDescent="0.25">
      <c r="A12126" s="4" t="s">
        <v>12123</v>
      </c>
      <c r="B12126" s="4" t="s">
        <v>9011</v>
      </c>
      <c r="C12126" s="2" t="str">
        <f ca="1">IFERROR(__xludf.DUMMYFUNCTION("GOOGLETRANSLATE(A12126,""bn"",""en"")"),"Writing in Excel will be easier")</f>
        <v>Writing in Excel will be easier</v>
      </c>
      <c r="D12126" s="5"/>
      <c r="E12126" s="5"/>
      <c r="F12126" s="5"/>
      <c r="G12126" s="5"/>
      <c r="H12126" s="5"/>
      <c r="I12126" s="5"/>
      <c r="J12126" s="5"/>
      <c r="K12126" s="5"/>
      <c r="L12126" s="5"/>
      <c r="M12126" s="5"/>
      <c r="N12126" s="5"/>
      <c r="O12126" s="5"/>
      <c r="P12126" s="5"/>
      <c r="Q12126" s="5"/>
      <c r="R12126" s="5"/>
      <c r="S12126" s="5"/>
      <c r="T12126" s="5"/>
      <c r="U12126" s="5"/>
      <c r="V12126" s="5"/>
      <c r="W12126" s="5"/>
      <c r="X12126" s="5"/>
      <c r="Y12126" s="5"/>
      <c r="Z12126" s="5"/>
    </row>
    <row r="12127" spans="1:26" ht="15" x14ac:dyDescent="0.25">
      <c r="A12127" s="4" t="s">
        <v>12124</v>
      </c>
      <c r="B12127" s="4" t="s">
        <v>9011</v>
      </c>
      <c r="C12127" s="2" t="str">
        <f ca="1">IFERROR(__xludf.DUMMYFUNCTION("GOOGLETRANSLATE(A12127,""bn"",""en"")"),"We will tour the campus")</f>
        <v>We will tour the campus</v>
      </c>
      <c r="D12127" s="5"/>
      <c r="E12127" s="5"/>
      <c r="F12127" s="5"/>
      <c r="G12127" s="5"/>
      <c r="H12127" s="5"/>
      <c r="I12127" s="5"/>
      <c r="J12127" s="5"/>
      <c r="K12127" s="5"/>
      <c r="L12127" s="5"/>
      <c r="M12127" s="5"/>
      <c r="N12127" s="5"/>
      <c r="O12127" s="5"/>
      <c r="P12127" s="5"/>
      <c r="Q12127" s="5"/>
      <c r="R12127" s="5"/>
      <c r="S12127" s="5"/>
      <c r="T12127" s="5"/>
      <c r="U12127" s="5"/>
      <c r="V12127" s="5"/>
      <c r="W12127" s="5"/>
      <c r="X12127" s="5"/>
      <c r="Y12127" s="5"/>
      <c r="Z12127" s="5"/>
    </row>
    <row r="12128" spans="1:26" ht="15" x14ac:dyDescent="0.25">
      <c r="A12128" s="4" t="s">
        <v>12125</v>
      </c>
      <c r="B12128" s="4" t="s">
        <v>9011</v>
      </c>
      <c r="C12128" s="2" t="str">
        <f ca="1">IFERROR(__xludf.DUMMYFUNCTION("GOOGLETRANSLATE(A12128,""bn"",""en"")"),"Hands will be cold in winter")</f>
        <v>Hands will be cold in winter</v>
      </c>
      <c r="D12128" s="5"/>
      <c r="E12128" s="5"/>
      <c r="F12128" s="5"/>
      <c r="G12128" s="5"/>
      <c r="H12128" s="5"/>
      <c r="I12128" s="5"/>
      <c r="J12128" s="5"/>
      <c r="K12128" s="5"/>
      <c r="L12128" s="5"/>
      <c r="M12128" s="5"/>
      <c r="N12128" s="5"/>
      <c r="O12128" s="5"/>
      <c r="P12128" s="5"/>
      <c r="Q12128" s="5"/>
      <c r="R12128" s="5"/>
      <c r="S12128" s="5"/>
      <c r="T12128" s="5"/>
      <c r="U12128" s="5"/>
      <c r="V12128" s="5"/>
      <c r="W12128" s="5"/>
      <c r="X12128" s="5"/>
      <c r="Y12128" s="5"/>
      <c r="Z12128" s="5"/>
    </row>
    <row r="12129" spans="1:26" ht="15" x14ac:dyDescent="0.25">
      <c r="A12129" s="4" t="s">
        <v>12126</v>
      </c>
      <c r="B12129" s="4" t="s">
        <v>9011</v>
      </c>
      <c r="C12129" s="2" t="str">
        <f ca="1">IFERROR(__xludf.DUMMYFUNCTION("GOOGLETRANSLATE(A12129,""bn"",""en"")"),"They will swim for a long time")</f>
        <v>They will swim for a long time</v>
      </c>
      <c r="D12129" s="5"/>
      <c r="E12129" s="5"/>
      <c r="F12129" s="5"/>
      <c r="G12129" s="5"/>
      <c r="H12129" s="5"/>
      <c r="I12129" s="5"/>
      <c r="J12129" s="5"/>
      <c r="K12129" s="5"/>
      <c r="L12129" s="5"/>
      <c r="M12129" s="5"/>
      <c r="N12129" s="5"/>
      <c r="O12129" s="5"/>
      <c r="P12129" s="5"/>
      <c r="Q12129" s="5"/>
      <c r="R12129" s="5"/>
      <c r="S12129" s="5"/>
      <c r="T12129" s="5"/>
      <c r="U12129" s="5"/>
      <c r="V12129" s="5"/>
      <c r="W12129" s="5"/>
      <c r="X12129" s="5"/>
      <c r="Y12129" s="5"/>
      <c r="Z12129" s="5"/>
    </row>
    <row r="12130" spans="1:26" ht="15" x14ac:dyDescent="0.25">
      <c r="A12130" s="4" t="s">
        <v>12127</v>
      </c>
      <c r="B12130" s="4" t="s">
        <v>9011</v>
      </c>
      <c r="C12130" s="2" t="str">
        <f ca="1">IFERROR(__xludf.DUMMYFUNCTION("GOOGLETRANSLATE(A12130,""bn"",""en"")"),"You will continue to see the menu")</f>
        <v>You will continue to see the menu</v>
      </c>
      <c r="D12130" s="5"/>
      <c r="E12130" s="5"/>
      <c r="F12130" s="5"/>
      <c r="G12130" s="5"/>
      <c r="H12130" s="5"/>
      <c r="I12130" s="5"/>
      <c r="J12130" s="5"/>
      <c r="K12130" s="5"/>
      <c r="L12130" s="5"/>
      <c r="M12130" s="5"/>
      <c r="N12130" s="5"/>
      <c r="O12130" s="5"/>
      <c r="P12130" s="5"/>
      <c r="Q12130" s="5"/>
      <c r="R12130" s="5"/>
      <c r="S12130" s="5"/>
      <c r="T12130" s="5"/>
      <c r="U12130" s="5"/>
      <c r="V12130" s="5"/>
      <c r="W12130" s="5"/>
      <c r="X12130" s="5"/>
      <c r="Y12130" s="5"/>
      <c r="Z12130" s="5"/>
    </row>
    <row r="12131" spans="1:26" ht="15" x14ac:dyDescent="0.25">
      <c r="A12131" s="4" t="s">
        <v>12128</v>
      </c>
      <c r="B12131" s="4" t="s">
        <v>9011</v>
      </c>
      <c r="C12131" s="2" t="str">
        <f ca="1">IFERROR(__xludf.DUMMYFUNCTION("GOOGLETRANSLATE(A12131,""bn"",""en"")"),"Computer viruses will spread")</f>
        <v>Computer viruses will spread</v>
      </c>
      <c r="D12131" s="5"/>
      <c r="E12131" s="5"/>
      <c r="F12131" s="5"/>
      <c r="G12131" s="5"/>
      <c r="H12131" s="5"/>
      <c r="I12131" s="5"/>
      <c r="J12131" s="5"/>
      <c r="K12131" s="5"/>
      <c r="L12131" s="5"/>
      <c r="M12131" s="5"/>
      <c r="N12131" s="5"/>
      <c r="O12131" s="5"/>
      <c r="P12131" s="5"/>
      <c r="Q12131" s="5"/>
      <c r="R12131" s="5"/>
      <c r="S12131" s="5"/>
      <c r="T12131" s="5"/>
      <c r="U12131" s="5"/>
      <c r="V12131" s="5"/>
      <c r="W12131" s="5"/>
      <c r="X12131" s="5"/>
      <c r="Y12131" s="5"/>
      <c r="Z12131" s="5"/>
    </row>
    <row r="12132" spans="1:26" ht="15" x14ac:dyDescent="0.25">
      <c r="A12132" s="4" t="s">
        <v>12129</v>
      </c>
      <c r="B12132" s="4" t="s">
        <v>9011</v>
      </c>
      <c r="C12132" s="2" t="str">
        <f ca="1">IFERROR(__xludf.DUMMYFUNCTION("GOOGLETRANSLATE(A12132,""bn"",""en"")"),"You will drink Bengali tea")</f>
        <v>You will drink Bengali tea</v>
      </c>
      <c r="D12132" s="5"/>
      <c r="E12132" s="5"/>
      <c r="F12132" s="5"/>
      <c r="G12132" s="5"/>
      <c r="H12132" s="5"/>
      <c r="I12132" s="5"/>
      <c r="J12132" s="5"/>
      <c r="K12132" s="5"/>
      <c r="L12132" s="5"/>
      <c r="M12132" s="5"/>
      <c r="N12132" s="5"/>
      <c r="O12132" s="5"/>
      <c r="P12132" s="5"/>
      <c r="Q12132" s="5"/>
      <c r="R12132" s="5"/>
      <c r="S12132" s="5"/>
      <c r="T12132" s="5"/>
      <c r="U12132" s="5"/>
      <c r="V12132" s="5"/>
      <c r="W12132" s="5"/>
      <c r="X12132" s="5"/>
      <c r="Y12132" s="5"/>
      <c r="Z12132" s="5"/>
    </row>
    <row r="12133" spans="1:26" ht="15" x14ac:dyDescent="0.25">
      <c r="A12133" s="4" t="s">
        <v>12130</v>
      </c>
      <c r="B12133" s="4" t="s">
        <v>9011</v>
      </c>
      <c r="C12133" s="2" t="str">
        <f ca="1">IFERROR(__xludf.DUMMYFUNCTION("GOOGLETRANSLATE(A12133,""bn"",""en"")"),"Create PDF in PDF Expert")</f>
        <v>Create PDF in PDF Expert</v>
      </c>
      <c r="D12133" s="5"/>
      <c r="E12133" s="5"/>
      <c r="F12133" s="5"/>
      <c r="G12133" s="5"/>
      <c r="H12133" s="5"/>
      <c r="I12133" s="5"/>
      <c r="J12133" s="5"/>
      <c r="K12133" s="5"/>
      <c r="L12133" s="5"/>
      <c r="M12133" s="5"/>
      <c r="N12133" s="5"/>
      <c r="O12133" s="5"/>
      <c r="P12133" s="5"/>
      <c r="Q12133" s="5"/>
      <c r="R12133" s="5"/>
      <c r="S12133" s="5"/>
      <c r="T12133" s="5"/>
      <c r="U12133" s="5"/>
      <c r="V12133" s="5"/>
      <c r="W12133" s="5"/>
      <c r="X12133" s="5"/>
      <c r="Y12133" s="5"/>
      <c r="Z12133" s="5"/>
    </row>
    <row r="12134" spans="1:26" ht="15" x14ac:dyDescent="0.25">
      <c r="A12134" s="4" t="s">
        <v>12131</v>
      </c>
      <c r="B12134" s="4" t="s">
        <v>9011</v>
      </c>
      <c r="C12134" s="2" t="str">
        <f ca="1">IFERROR(__xludf.DUMMYFUNCTION("GOOGLETRANSLATE(A12134,""bn"",""en"")"),"We will go to the book fair")</f>
        <v>We will go to the book fair</v>
      </c>
      <c r="D12134" s="5"/>
      <c r="E12134" s="5"/>
      <c r="F12134" s="5"/>
      <c r="G12134" s="5"/>
      <c r="H12134" s="5"/>
      <c r="I12134" s="5"/>
      <c r="J12134" s="5"/>
      <c r="K12134" s="5"/>
      <c r="L12134" s="5"/>
      <c r="M12134" s="5"/>
      <c r="N12134" s="5"/>
      <c r="O12134" s="5"/>
      <c r="P12134" s="5"/>
      <c r="Q12134" s="5"/>
      <c r="R12134" s="5"/>
      <c r="S12134" s="5"/>
      <c r="T12134" s="5"/>
      <c r="U12134" s="5"/>
      <c r="V12134" s="5"/>
      <c r="W12134" s="5"/>
      <c r="X12134" s="5"/>
      <c r="Y12134" s="5"/>
      <c r="Z12134" s="5"/>
    </row>
    <row r="12135" spans="1:26" ht="15" x14ac:dyDescent="0.25">
      <c r="A12135" s="4" t="s">
        <v>12132</v>
      </c>
      <c r="B12135" s="4" t="s">
        <v>9011</v>
      </c>
      <c r="C12135" s="2" t="str">
        <f ca="1">IFERROR(__xludf.DUMMYFUNCTION("GOOGLETRANSLATE(A12135,""bn"",""en"")"),"Robotic technology will grow tomorrow")</f>
        <v>Robotic technology will grow tomorrow</v>
      </c>
      <c r="D12135" s="5"/>
      <c r="E12135" s="5"/>
      <c r="F12135" s="5"/>
      <c r="G12135" s="5"/>
      <c r="H12135" s="5"/>
      <c r="I12135" s="5"/>
      <c r="J12135" s="5"/>
      <c r="K12135" s="5"/>
      <c r="L12135" s="5"/>
      <c r="M12135" s="5"/>
      <c r="N12135" s="5"/>
      <c r="O12135" s="5"/>
      <c r="P12135" s="5"/>
      <c r="Q12135" s="5"/>
      <c r="R12135" s="5"/>
      <c r="S12135" s="5"/>
      <c r="T12135" s="5"/>
      <c r="U12135" s="5"/>
      <c r="V12135" s="5"/>
      <c r="W12135" s="5"/>
      <c r="X12135" s="5"/>
      <c r="Y12135" s="5"/>
      <c r="Z12135" s="5"/>
    </row>
    <row r="12136" spans="1:26" ht="15" x14ac:dyDescent="0.25">
      <c r="A12136" s="4" t="s">
        <v>12133</v>
      </c>
      <c r="B12136" s="4" t="s">
        <v>9011</v>
      </c>
      <c r="C12136" s="2" t="str">
        <f ca="1">IFERROR(__xludf.DUMMYFUNCTION("GOOGLETRANSLATE(A12136,""bn"",""en"")"),"A new tune must be played")</f>
        <v>A new tune must be played</v>
      </c>
      <c r="D12136" s="5"/>
      <c r="E12136" s="5"/>
      <c r="F12136" s="5"/>
      <c r="G12136" s="5"/>
      <c r="H12136" s="5"/>
      <c r="I12136" s="5"/>
      <c r="J12136" s="5"/>
      <c r="K12136" s="5"/>
      <c r="L12136" s="5"/>
      <c r="M12136" s="5"/>
      <c r="N12136" s="5"/>
      <c r="O12136" s="5"/>
      <c r="P12136" s="5"/>
      <c r="Q12136" s="5"/>
      <c r="R12136" s="5"/>
      <c r="S12136" s="5"/>
      <c r="T12136" s="5"/>
      <c r="U12136" s="5"/>
      <c r="V12136" s="5"/>
      <c r="W12136" s="5"/>
      <c r="X12136" s="5"/>
      <c r="Y12136" s="5"/>
      <c r="Z12136" s="5"/>
    </row>
    <row r="12137" spans="1:26" ht="15" x14ac:dyDescent="0.25">
      <c r="A12137" s="4" t="s">
        <v>12134</v>
      </c>
      <c r="B12137" s="4" t="s">
        <v>9011</v>
      </c>
      <c r="C12137" s="2" t="str">
        <f ca="1">IFERROR(__xludf.DUMMYFUNCTION("GOOGLETRANSLATE(A12137,""bn"",""en"")"),"I will be present at the restaurant")</f>
        <v>I will be present at the restaurant</v>
      </c>
      <c r="D12137" s="5"/>
      <c r="E12137" s="5"/>
      <c r="F12137" s="5"/>
      <c r="G12137" s="5"/>
      <c r="H12137" s="5"/>
      <c r="I12137" s="5"/>
      <c r="J12137" s="5"/>
      <c r="K12137" s="5"/>
      <c r="L12137" s="5"/>
      <c r="M12137" s="5"/>
      <c r="N12137" s="5"/>
      <c r="O12137" s="5"/>
      <c r="P12137" s="5"/>
      <c r="Q12137" s="5"/>
      <c r="R12137" s="5"/>
      <c r="S12137" s="5"/>
      <c r="T12137" s="5"/>
      <c r="U12137" s="5"/>
      <c r="V12137" s="5"/>
      <c r="W12137" s="5"/>
      <c r="X12137" s="5"/>
      <c r="Y12137" s="5"/>
      <c r="Z12137" s="5"/>
    </row>
    <row r="12138" spans="1:26" ht="15" x14ac:dyDescent="0.25">
      <c r="A12138" s="4" t="s">
        <v>12135</v>
      </c>
      <c r="B12138" s="4" t="s">
        <v>9011</v>
      </c>
      <c r="C12138" s="2" t="str">
        <f ca="1">IFERROR(__xludf.DUMMYFUNCTION("GOOGLETRANSLATE(A12138,""bn"",""en"")"),"The new bank will invest")</f>
        <v>The new bank will invest</v>
      </c>
      <c r="D12138" s="5"/>
      <c r="E12138" s="5"/>
      <c r="F12138" s="5"/>
      <c r="G12138" s="5"/>
      <c r="H12138" s="5"/>
      <c r="I12138" s="5"/>
      <c r="J12138" s="5"/>
      <c r="K12138" s="5"/>
      <c r="L12138" s="5"/>
      <c r="M12138" s="5"/>
      <c r="N12138" s="5"/>
      <c r="O12138" s="5"/>
      <c r="P12138" s="5"/>
      <c r="Q12138" s="5"/>
      <c r="R12138" s="5"/>
      <c r="S12138" s="5"/>
      <c r="T12138" s="5"/>
      <c r="U12138" s="5"/>
      <c r="V12138" s="5"/>
      <c r="W12138" s="5"/>
      <c r="X12138" s="5"/>
      <c r="Y12138" s="5"/>
      <c r="Z12138" s="5"/>
    </row>
    <row r="12139" spans="1:26" ht="15" x14ac:dyDescent="0.25">
      <c r="A12139" s="4" t="s">
        <v>12136</v>
      </c>
      <c r="B12139" s="4" t="s">
        <v>9011</v>
      </c>
      <c r="C12139" s="2" t="str">
        <f ca="1">IFERROR(__xludf.DUMMYFUNCTION("GOOGLETRANSLATE(A12139,""bn"",""en"")"),"Medical support will be key")</f>
        <v>Medical support will be key</v>
      </c>
      <c r="D12139" s="5"/>
      <c r="E12139" s="5"/>
      <c r="F12139" s="5"/>
      <c r="G12139" s="5"/>
      <c r="H12139" s="5"/>
      <c r="I12139" s="5"/>
      <c r="J12139" s="5"/>
      <c r="K12139" s="5"/>
      <c r="L12139" s="5"/>
      <c r="M12139" s="5"/>
      <c r="N12139" s="5"/>
      <c r="O12139" s="5"/>
      <c r="P12139" s="5"/>
      <c r="Q12139" s="5"/>
      <c r="R12139" s="5"/>
      <c r="S12139" s="5"/>
      <c r="T12139" s="5"/>
      <c r="U12139" s="5"/>
      <c r="V12139" s="5"/>
      <c r="W12139" s="5"/>
      <c r="X12139" s="5"/>
      <c r="Y12139" s="5"/>
      <c r="Z12139" s="5"/>
    </row>
    <row r="12140" spans="1:26" ht="15" x14ac:dyDescent="0.25">
      <c r="A12140" s="4" t="s">
        <v>12137</v>
      </c>
      <c r="B12140" s="4" t="s">
        <v>9011</v>
      </c>
      <c r="C12140" s="2" t="str">
        <f ca="1">IFERROR(__xludf.DUMMYFUNCTION("GOOGLETRANSLATE(A12140,""bn"",""en"")"),"Stay in a nice hotel")</f>
        <v>Stay in a nice hotel</v>
      </c>
      <c r="D12140" s="5"/>
      <c r="E12140" s="5"/>
      <c r="F12140" s="5"/>
      <c r="G12140" s="5"/>
      <c r="H12140" s="5"/>
      <c r="I12140" s="5"/>
      <c r="J12140" s="5"/>
      <c r="K12140" s="5"/>
      <c r="L12140" s="5"/>
      <c r="M12140" s="5"/>
      <c r="N12140" s="5"/>
      <c r="O12140" s="5"/>
      <c r="P12140" s="5"/>
      <c r="Q12140" s="5"/>
      <c r="R12140" s="5"/>
      <c r="S12140" s="5"/>
      <c r="T12140" s="5"/>
      <c r="U12140" s="5"/>
      <c r="V12140" s="5"/>
      <c r="W12140" s="5"/>
      <c r="X12140" s="5"/>
      <c r="Y12140" s="5"/>
      <c r="Z12140" s="5"/>
    </row>
    <row r="12141" spans="1:26" ht="15" x14ac:dyDescent="0.25">
      <c r="A12141" s="4" t="s">
        <v>12138</v>
      </c>
      <c r="B12141" s="4" t="s">
        <v>9011</v>
      </c>
      <c r="C12141" s="2" t="str">
        <f ca="1">IFERROR(__xludf.DUMMYFUNCTION("GOOGLETRANSLATE(A12141,""bn"",""en"")"),"Learn PowerPoint well")</f>
        <v>Learn PowerPoint well</v>
      </c>
      <c r="D12141" s="5"/>
      <c r="E12141" s="5"/>
      <c r="F12141" s="5"/>
      <c r="G12141" s="5"/>
      <c r="H12141" s="5"/>
      <c r="I12141" s="5"/>
      <c r="J12141" s="5"/>
      <c r="K12141" s="5"/>
      <c r="L12141" s="5"/>
      <c r="M12141" s="5"/>
      <c r="N12141" s="5"/>
      <c r="O12141" s="5"/>
      <c r="P12141" s="5"/>
      <c r="Q12141" s="5"/>
      <c r="R12141" s="5"/>
      <c r="S12141" s="5"/>
      <c r="T12141" s="5"/>
      <c r="U12141" s="5"/>
      <c r="V12141" s="5"/>
      <c r="W12141" s="5"/>
      <c r="X12141" s="5"/>
      <c r="Y12141" s="5"/>
      <c r="Z12141" s="5"/>
    </row>
    <row r="12142" spans="1:26" ht="15" x14ac:dyDescent="0.25">
      <c r="A12142" s="4" t="s">
        <v>12139</v>
      </c>
      <c r="B12142" s="4" t="s">
        <v>9011</v>
      </c>
      <c r="C12142" s="2" t="str">
        <f ca="1">IFERROR(__xludf.DUMMYFUNCTION("GOOGLETRANSLATE(A12142,""bn"",""en"")"),"Government market will grow")</f>
        <v>Government market will grow</v>
      </c>
      <c r="D12142" s="5"/>
      <c r="E12142" s="5"/>
      <c r="F12142" s="5"/>
      <c r="G12142" s="5"/>
      <c r="H12142" s="5"/>
      <c r="I12142" s="5"/>
      <c r="J12142" s="5"/>
      <c r="K12142" s="5"/>
      <c r="L12142" s="5"/>
      <c r="M12142" s="5"/>
      <c r="N12142" s="5"/>
      <c r="O12142" s="5"/>
      <c r="P12142" s="5"/>
      <c r="Q12142" s="5"/>
      <c r="R12142" s="5"/>
      <c r="S12142" s="5"/>
      <c r="T12142" s="5"/>
      <c r="U12142" s="5"/>
      <c r="V12142" s="5"/>
      <c r="W12142" s="5"/>
      <c r="X12142" s="5"/>
      <c r="Y12142" s="5"/>
      <c r="Z12142" s="5"/>
    </row>
    <row r="12143" spans="1:26" ht="15" x14ac:dyDescent="0.25">
      <c r="A12143" s="4" t="s">
        <v>12140</v>
      </c>
      <c r="B12143" s="4" t="s">
        <v>9011</v>
      </c>
      <c r="C12143" s="2" t="str">
        <f ca="1">IFERROR(__xludf.DUMMYFUNCTION("GOOGLETRANSLATE(A12143,""bn"",""en"")"),"We will be new customers")</f>
        <v>We will be new customers</v>
      </c>
      <c r="D12143" s="5"/>
      <c r="E12143" s="5"/>
      <c r="F12143" s="5"/>
      <c r="G12143" s="5"/>
      <c r="H12143" s="5"/>
      <c r="I12143" s="5"/>
      <c r="J12143" s="5"/>
      <c r="K12143" s="5"/>
      <c r="L12143" s="5"/>
      <c r="M12143" s="5"/>
      <c r="N12143" s="5"/>
      <c r="O12143" s="5"/>
      <c r="P12143" s="5"/>
      <c r="Q12143" s="5"/>
      <c r="R12143" s="5"/>
      <c r="S12143" s="5"/>
      <c r="T12143" s="5"/>
      <c r="U12143" s="5"/>
      <c r="V12143" s="5"/>
      <c r="W12143" s="5"/>
      <c r="X12143" s="5"/>
      <c r="Y12143" s="5"/>
      <c r="Z12143" s="5"/>
    </row>
    <row r="12144" spans="1:26" ht="15" x14ac:dyDescent="0.25">
      <c r="A12144" s="4" t="s">
        <v>12141</v>
      </c>
      <c r="B12144" s="4" t="s">
        <v>9011</v>
      </c>
      <c r="C12144" s="2" t="str">
        <f ca="1">IFERROR(__xludf.DUMMYFUNCTION("GOOGLETRANSLATE(A12144,""bn"",""en"")"),"The service will be assisted by robots")</f>
        <v>The service will be assisted by robots</v>
      </c>
      <c r="D12144" s="5"/>
      <c r="E12144" s="5"/>
      <c r="F12144" s="5"/>
      <c r="G12144" s="5"/>
      <c r="H12144" s="5"/>
      <c r="I12144" s="5"/>
      <c r="J12144" s="5"/>
      <c r="K12144" s="5"/>
      <c r="L12144" s="5"/>
      <c r="M12144" s="5"/>
      <c r="N12144" s="5"/>
      <c r="O12144" s="5"/>
      <c r="P12144" s="5"/>
      <c r="Q12144" s="5"/>
      <c r="R12144" s="5"/>
      <c r="S12144" s="5"/>
      <c r="T12144" s="5"/>
      <c r="U12144" s="5"/>
      <c r="V12144" s="5"/>
      <c r="W12144" s="5"/>
      <c r="X12144" s="5"/>
      <c r="Y12144" s="5"/>
      <c r="Z12144" s="5"/>
    </row>
    <row r="12145" spans="1:26" ht="15" x14ac:dyDescent="0.25">
      <c r="A12145" s="4" t="s">
        <v>12142</v>
      </c>
      <c r="B12145" s="4" t="s">
        <v>9011</v>
      </c>
      <c r="C12145" s="2" t="str">
        <f ca="1">IFERROR(__xludf.DUMMYFUNCTION("GOOGLETRANSLATE(A12145,""bn"",""en"")"),"I want to sell flowers")</f>
        <v>I want to sell flowers</v>
      </c>
      <c r="D12145" s="5"/>
      <c r="E12145" s="5"/>
      <c r="F12145" s="5"/>
      <c r="G12145" s="5"/>
      <c r="H12145" s="5"/>
      <c r="I12145" s="5"/>
      <c r="J12145" s="5"/>
      <c r="K12145" s="5"/>
      <c r="L12145" s="5"/>
      <c r="M12145" s="5"/>
      <c r="N12145" s="5"/>
      <c r="O12145" s="5"/>
      <c r="P12145" s="5"/>
      <c r="Q12145" s="5"/>
      <c r="R12145" s="5"/>
      <c r="S12145" s="5"/>
      <c r="T12145" s="5"/>
      <c r="U12145" s="5"/>
      <c r="V12145" s="5"/>
      <c r="W12145" s="5"/>
      <c r="X12145" s="5"/>
      <c r="Y12145" s="5"/>
      <c r="Z12145" s="5"/>
    </row>
    <row r="12146" spans="1:26" ht="15" x14ac:dyDescent="0.25">
      <c r="A12146" s="4" t="s">
        <v>12143</v>
      </c>
      <c r="B12146" s="4" t="s">
        <v>9011</v>
      </c>
      <c r="C12146" s="2" t="str">
        <f ca="1">IFERROR(__xludf.DUMMYFUNCTION("GOOGLETRANSLATE(A12146,""bn"",""en"")"),"I will open a Facebook account")</f>
        <v>I will open a Facebook account</v>
      </c>
      <c r="D12146" s="5"/>
      <c r="E12146" s="5"/>
      <c r="F12146" s="5"/>
      <c r="G12146" s="5"/>
      <c r="H12146" s="5"/>
      <c r="I12146" s="5"/>
      <c r="J12146" s="5"/>
      <c r="K12146" s="5"/>
      <c r="L12146" s="5"/>
      <c r="M12146" s="5"/>
      <c r="N12146" s="5"/>
      <c r="O12146" s="5"/>
      <c r="P12146" s="5"/>
      <c r="Q12146" s="5"/>
      <c r="R12146" s="5"/>
      <c r="S12146" s="5"/>
      <c r="T12146" s="5"/>
      <c r="U12146" s="5"/>
      <c r="V12146" s="5"/>
      <c r="W12146" s="5"/>
      <c r="X12146" s="5"/>
      <c r="Y12146" s="5"/>
      <c r="Z12146" s="5"/>
    </row>
    <row r="12147" spans="1:26" ht="15" x14ac:dyDescent="0.25">
      <c r="A12147" s="4" t="s">
        <v>12144</v>
      </c>
      <c r="B12147" s="4" t="s">
        <v>9011</v>
      </c>
      <c r="C12147" s="2" t="str">
        <f ca="1">IFERROR(__xludf.DUMMYFUNCTION("GOOGLETRANSLATE(A12147,""bn"",""en"")"),"I will stay in the forest at night")</f>
        <v>I will stay in the forest at night</v>
      </c>
      <c r="D12147" s="5"/>
      <c r="E12147" s="5"/>
      <c r="F12147" s="5"/>
      <c r="G12147" s="5"/>
      <c r="H12147" s="5"/>
      <c r="I12147" s="5"/>
      <c r="J12147" s="5"/>
      <c r="K12147" s="5"/>
      <c r="L12147" s="5"/>
      <c r="M12147" s="5"/>
      <c r="N12147" s="5"/>
      <c r="O12147" s="5"/>
      <c r="P12147" s="5"/>
      <c r="Q12147" s="5"/>
      <c r="R12147" s="5"/>
      <c r="S12147" s="5"/>
      <c r="T12147" s="5"/>
      <c r="U12147" s="5"/>
      <c r="V12147" s="5"/>
      <c r="W12147" s="5"/>
      <c r="X12147" s="5"/>
      <c r="Y12147" s="5"/>
      <c r="Z12147" s="5"/>
    </row>
    <row r="12148" spans="1:26" ht="15" x14ac:dyDescent="0.25">
      <c r="A12148" s="4" t="s">
        <v>12145</v>
      </c>
      <c r="B12148" s="4" t="s">
        <v>9011</v>
      </c>
      <c r="C12148" s="2" t="str">
        <f ca="1">IFERROR(__xludf.DUMMYFUNCTION("GOOGLETRANSLATE(A12148,""bn"",""en"")"),"The bank will go bankrupt")</f>
        <v>The bank will go bankrupt</v>
      </c>
      <c r="D12148" s="5"/>
      <c r="E12148" s="5"/>
      <c r="F12148" s="5"/>
      <c r="G12148" s="5"/>
      <c r="H12148" s="5"/>
      <c r="I12148" s="5"/>
      <c r="J12148" s="5"/>
      <c r="K12148" s="5"/>
      <c r="L12148" s="5"/>
      <c r="M12148" s="5"/>
      <c r="N12148" s="5"/>
      <c r="O12148" s="5"/>
      <c r="P12148" s="5"/>
      <c r="Q12148" s="5"/>
      <c r="R12148" s="5"/>
      <c r="S12148" s="5"/>
      <c r="T12148" s="5"/>
      <c r="U12148" s="5"/>
      <c r="V12148" s="5"/>
      <c r="W12148" s="5"/>
      <c r="X12148" s="5"/>
      <c r="Y12148" s="5"/>
      <c r="Z12148" s="5"/>
    </row>
    <row r="12149" spans="1:26" ht="15" x14ac:dyDescent="0.25">
      <c r="A12149" s="4" t="s">
        <v>12146</v>
      </c>
      <c r="B12149" s="4" t="s">
        <v>9011</v>
      </c>
      <c r="C12149" s="2" t="str">
        <f ca="1">IFERROR(__xludf.DUMMYFUNCTION("GOOGLETRANSLATE(A12149,""bn"",""en"")"),"Voting will now be done in EVMs")</f>
        <v>Voting will now be done in EVMs</v>
      </c>
      <c r="D12149" s="5"/>
      <c r="E12149" s="5"/>
      <c r="F12149" s="5"/>
      <c r="G12149" s="5"/>
      <c r="H12149" s="5"/>
      <c r="I12149" s="5"/>
      <c r="J12149" s="5"/>
      <c r="K12149" s="5"/>
      <c r="L12149" s="5"/>
      <c r="M12149" s="5"/>
      <c r="N12149" s="5"/>
      <c r="O12149" s="5"/>
      <c r="P12149" s="5"/>
      <c r="Q12149" s="5"/>
      <c r="R12149" s="5"/>
      <c r="S12149" s="5"/>
      <c r="T12149" s="5"/>
      <c r="U12149" s="5"/>
      <c r="V12149" s="5"/>
      <c r="W12149" s="5"/>
      <c r="X12149" s="5"/>
      <c r="Y12149" s="5"/>
      <c r="Z12149" s="5"/>
    </row>
    <row r="12150" spans="1:26" ht="15" x14ac:dyDescent="0.25">
      <c r="A12150" s="4" t="s">
        <v>12147</v>
      </c>
      <c r="B12150" s="4" t="s">
        <v>9011</v>
      </c>
      <c r="C12150" s="2" t="str">
        <f ca="1">IFERROR(__xludf.DUMMYFUNCTION("GOOGLETRANSLATE(A12150,""bn"",""en"")"),"He will make new hardware")</f>
        <v>He will make new hardware</v>
      </c>
      <c r="D12150" s="5"/>
      <c r="E12150" s="5"/>
      <c r="F12150" s="5"/>
      <c r="G12150" s="5"/>
      <c r="H12150" s="5"/>
      <c r="I12150" s="5"/>
      <c r="J12150" s="5"/>
      <c r="K12150" s="5"/>
      <c r="L12150" s="5"/>
      <c r="M12150" s="5"/>
      <c r="N12150" s="5"/>
      <c r="O12150" s="5"/>
      <c r="P12150" s="5"/>
      <c r="Q12150" s="5"/>
      <c r="R12150" s="5"/>
      <c r="S12150" s="5"/>
      <c r="T12150" s="5"/>
      <c r="U12150" s="5"/>
      <c r="V12150" s="5"/>
      <c r="W12150" s="5"/>
      <c r="X12150" s="5"/>
      <c r="Y12150" s="5"/>
      <c r="Z12150" s="5"/>
    </row>
    <row r="12151" spans="1:26" ht="15" x14ac:dyDescent="0.25">
      <c r="A12151" s="4" t="s">
        <v>12148</v>
      </c>
      <c r="B12151" s="4" t="s">
        <v>9011</v>
      </c>
      <c r="C12151" s="2" t="str">
        <f ca="1">IFERROR(__xludf.DUMMYFUNCTION("GOOGLETRANSLATE(A12151,""bn"",""en"")"),"We will run new projects")</f>
        <v>We will run new projects</v>
      </c>
      <c r="D12151" s="5"/>
      <c r="E12151" s="5"/>
      <c r="F12151" s="5"/>
      <c r="G12151" s="5"/>
      <c r="H12151" s="5"/>
      <c r="I12151" s="5"/>
      <c r="J12151" s="5"/>
      <c r="K12151" s="5"/>
      <c r="L12151" s="5"/>
      <c r="M12151" s="5"/>
      <c r="N12151" s="5"/>
      <c r="O12151" s="5"/>
      <c r="P12151" s="5"/>
      <c r="Q12151" s="5"/>
      <c r="R12151" s="5"/>
      <c r="S12151" s="5"/>
      <c r="T12151" s="5"/>
      <c r="U12151" s="5"/>
      <c r="V12151" s="5"/>
      <c r="W12151" s="5"/>
      <c r="X12151" s="5"/>
      <c r="Y12151" s="5"/>
      <c r="Z12151" s="5"/>
    </row>
    <row r="12152" spans="1:26" ht="15" x14ac:dyDescent="0.25">
      <c r="A12152" s="4" t="s">
        <v>12149</v>
      </c>
      <c r="B12152" s="4" t="s">
        <v>9011</v>
      </c>
      <c r="C12152" s="2" t="str">
        <f ca="1">IFERROR(__xludf.DUMMYFUNCTION("GOOGLETRANSLATE(A12152,""bn"",""en"")"),"The troops will surrender completely")</f>
        <v>The troops will surrender completely</v>
      </c>
      <c r="D12152" s="5"/>
      <c r="E12152" s="5"/>
      <c r="F12152" s="5"/>
      <c r="G12152" s="5"/>
      <c r="H12152" s="5"/>
      <c r="I12152" s="5"/>
      <c r="J12152" s="5"/>
      <c r="K12152" s="5"/>
      <c r="L12152" s="5"/>
      <c r="M12152" s="5"/>
      <c r="N12152" s="5"/>
      <c r="O12152" s="5"/>
      <c r="P12152" s="5"/>
      <c r="Q12152" s="5"/>
      <c r="R12152" s="5"/>
      <c r="S12152" s="5"/>
      <c r="T12152" s="5"/>
      <c r="U12152" s="5"/>
      <c r="V12152" s="5"/>
      <c r="W12152" s="5"/>
      <c r="X12152" s="5"/>
      <c r="Y12152" s="5"/>
      <c r="Z12152" s="5"/>
    </row>
    <row r="12153" spans="1:26" ht="15" x14ac:dyDescent="0.25">
      <c r="A12153" s="4" t="s">
        <v>12150</v>
      </c>
      <c r="B12153" s="4" t="s">
        <v>9011</v>
      </c>
      <c r="C12153" s="2" t="str">
        <f ca="1">IFERROR(__xludf.DUMMYFUNCTION("GOOGLETRANSLATE(A12153,""bn"",""en"")"),"Bank will take home loan")</f>
        <v>Bank will take home loan</v>
      </c>
      <c r="D12153" s="5"/>
      <c r="E12153" s="5"/>
      <c r="F12153" s="5"/>
      <c r="G12153" s="5"/>
      <c r="H12153" s="5"/>
      <c r="I12153" s="5"/>
      <c r="J12153" s="5"/>
      <c r="K12153" s="5"/>
      <c r="L12153" s="5"/>
      <c r="M12153" s="5"/>
      <c r="N12153" s="5"/>
      <c r="O12153" s="5"/>
      <c r="P12153" s="5"/>
      <c r="Q12153" s="5"/>
      <c r="R12153" s="5"/>
      <c r="S12153" s="5"/>
      <c r="T12153" s="5"/>
      <c r="U12153" s="5"/>
      <c r="V12153" s="5"/>
      <c r="W12153" s="5"/>
      <c r="X12153" s="5"/>
      <c r="Y12153" s="5"/>
      <c r="Z12153" s="5"/>
    </row>
    <row r="12154" spans="1:26" ht="15" x14ac:dyDescent="0.25">
      <c r="A12154" s="4" t="s">
        <v>12151</v>
      </c>
      <c r="B12154" s="4" t="s">
        <v>9011</v>
      </c>
      <c r="C12154" s="2" t="str">
        <f ca="1">IFERROR(__xludf.DUMMYFUNCTION("GOOGLETRANSLATE(A12154,""bn"",""en"")"),"You will make bank investments")</f>
        <v>You will make bank investments</v>
      </c>
      <c r="D12154" s="5"/>
      <c r="E12154" s="5"/>
      <c r="F12154" s="5"/>
      <c r="G12154" s="5"/>
      <c r="H12154" s="5"/>
      <c r="I12154" s="5"/>
      <c r="J12154" s="5"/>
      <c r="K12154" s="5"/>
      <c r="L12154" s="5"/>
      <c r="M12154" s="5"/>
      <c r="N12154" s="5"/>
      <c r="O12154" s="5"/>
      <c r="P12154" s="5"/>
      <c r="Q12154" s="5"/>
      <c r="R12154" s="5"/>
      <c r="S12154" s="5"/>
      <c r="T12154" s="5"/>
      <c r="U12154" s="5"/>
      <c r="V12154" s="5"/>
      <c r="W12154" s="5"/>
      <c r="X12154" s="5"/>
      <c r="Y12154" s="5"/>
      <c r="Z12154" s="5"/>
    </row>
    <row r="12155" spans="1:26" ht="15" x14ac:dyDescent="0.25">
      <c r="A12155" s="4" t="s">
        <v>12152</v>
      </c>
      <c r="B12155" s="4" t="s">
        <v>9011</v>
      </c>
      <c r="C12155" s="2" t="str">
        <f ca="1">IFERROR(__xludf.DUMMYFUNCTION("GOOGLETRANSLATE(A12155,""bn"",""en"")"),"We will take new cooperation")</f>
        <v>We will take new cooperation</v>
      </c>
      <c r="D12155" s="5"/>
      <c r="E12155" s="5"/>
      <c r="F12155" s="5"/>
      <c r="G12155" s="5"/>
      <c r="H12155" s="5"/>
      <c r="I12155" s="5"/>
      <c r="J12155" s="5"/>
      <c r="K12155" s="5"/>
      <c r="L12155" s="5"/>
      <c r="M12155" s="5"/>
      <c r="N12155" s="5"/>
      <c r="O12155" s="5"/>
      <c r="P12155" s="5"/>
      <c r="Q12155" s="5"/>
      <c r="R12155" s="5"/>
      <c r="S12155" s="5"/>
      <c r="T12155" s="5"/>
      <c r="U12155" s="5"/>
      <c r="V12155" s="5"/>
      <c r="W12155" s="5"/>
      <c r="X12155" s="5"/>
      <c r="Y12155" s="5"/>
      <c r="Z12155" s="5"/>
    </row>
    <row r="12156" spans="1:26" ht="15" x14ac:dyDescent="0.25">
      <c r="A12156" s="4" t="s">
        <v>12153</v>
      </c>
      <c r="B12156" s="4" t="s">
        <v>9011</v>
      </c>
      <c r="C12156" s="2" t="str">
        <f ca="1">IFERROR(__xludf.DUMMYFUNCTION("GOOGLETRANSLATE(A12156,""bn"",""en"")"),"Everyone will swim in the sea")</f>
        <v>Everyone will swim in the sea</v>
      </c>
      <c r="D12156" s="5"/>
      <c r="E12156" s="5"/>
      <c r="F12156" s="5"/>
      <c r="G12156" s="5"/>
      <c r="H12156" s="5"/>
      <c r="I12156" s="5"/>
      <c r="J12156" s="5"/>
      <c r="K12156" s="5"/>
      <c r="L12156" s="5"/>
      <c r="M12156" s="5"/>
      <c r="N12156" s="5"/>
      <c r="O12156" s="5"/>
      <c r="P12156" s="5"/>
      <c r="Q12156" s="5"/>
      <c r="R12156" s="5"/>
      <c r="S12156" s="5"/>
      <c r="T12156" s="5"/>
      <c r="U12156" s="5"/>
      <c r="V12156" s="5"/>
      <c r="W12156" s="5"/>
      <c r="X12156" s="5"/>
      <c r="Y12156" s="5"/>
      <c r="Z12156" s="5"/>
    </row>
    <row r="12157" spans="1:26" ht="15" x14ac:dyDescent="0.25">
      <c r="A12157" s="4" t="s">
        <v>12154</v>
      </c>
      <c r="B12157" s="4" t="s">
        <v>9011</v>
      </c>
      <c r="C12157" s="2" t="str">
        <f ca="1">IFERROR(__xludf.DUMMYFUNCTION("GOOGLETRANSLATE(A12157,""bn"",""en"")"),"The tune will always be there")</f>
        <v>The tune will always be there</v>
      </c>
      <c r="D12157" s="5"/>
      <c r="E12157" s="5"/>
      <c r="F12157" s="5"/>
      <c r="G12157" s="5"/>
      <c r="H12157" s="5"/>
      <c r="I12157" s="5"/>
      <c r="J12157" s="5"/>
      <c r="K12157" s="5"/>
      <c r="L12157" s="5"/>
      <c r="M12157" s="5"/>
      <c r="N12157" s="5"/>
      <c r="O12157" s="5"/>
      <c r="P12157" s="5"/>
      <c r="Q12157" s="5"/>
      <c r="R12157" s="5"/>
      <c r="S12157" s="5"/>
      <c r="T12157" s="5"/>
      <c r="U12157" s="5"/>
      <c r="V12157" s="5"/>
      <c r="W12157" s="5"/>
      <c r="X12157" s="5"/>
      <c r="Y12157" s="5"/>
      <c r="Z12157" s="5"/>
    </row>
    <row r="12158" spans="1:26" ht="15" x14ac:dyDescent="0.25">
      <c r="A12158" s="4" t="s">
        <v>12155</v>
      </c>
      <c r="B12158" s="4" t="s">
        <v>9011</v>
      </c>
      <c r="C12158" s="2" t="str">
        <f ca="1">IFERROR(__xludf.DUMMYFUNCTION("GOOGLETRANSLATE(A12158,""bn"",""en"")"),"You will visit the Himalayas")</f>
        <v>You will visit the Himalayas</v>
      </c>
      <c r="D12158" s="5"/>
      <c r="E12158" s="5"/>
      <c r="F12158" s="5"/>
      <c r="G12158" s="5"/>
      <c r="H12158" s="5"/>
      <c r="I12158" s="5"/>
      <c r="J12158" s="5"/>
      <c r="K12158" s="5"/>
      <c r="L12158" s="5"/>
      <c r="M12158" s="5"/>
      <c r="N12158" s="5"/>
      <c r="O12158" s="5"/>
      <c r="P12158" s="5"/>
      <c r="Q12158" s="5"/>
      <c r="R12158" s="5"/>
      <c r="S12158" s="5"/>
      <c r="T12158" s="5"/>
      <c r="U12158" s="5"/>
      <c r="V12158" s="5"/>
      <c r="W12158" s="5"/>
      <c r="X12158" s="5"/>
      <c r="Y12158" s="5"/>
      <c r="Z12158" s="5"/>
    </row>
    <row r="12159" spans="1:26" ht="15" x14ac:dyDescent="0.25">
      <c r="A12159" s="4" t="s">
        <v>12156</v>
      </c>
      <c r="B12159" s="4" t="s">
        <v>9011</v>
      </c>
      <c r="C12159" s="2" t="str">
        <f ca="1">IFERROR(__xludf.DUMMYFUNCTION("GOOGLETRANSLATE(A12159,""bn"",""en"")"),"The message will be in the language of music")</f>
        <v>The message will be in the language of music</v>
      </c>
      <c r="D12159" s="5"/>
      <c r="E12159" s="5"/>
      <c r="F12159" s="5"/>
      <c r="G12159" s="5"/>
      <c r="H12159" s="5"/>
      <c r="I12159" s="5"/>
      <c r="J12159" s="5"/>
      <c r="K12159" s="5"/>
      <c r="L12159" s="5"/>
      <c r="M12159" s="5"/>
      <c r="N12159" s="5"/>
      <c r="O12159" s="5"/>
      <c r="P12159" s="5"/>
      <c r="Q12159" s="5"/>
      <c r="R12159" s="5"/>
      <c r="S12159" s="5"/>
      <c r="T12159" s="5"/>
      <c r="U12159" s="5"/>
      <c r="V12159" s="5"/>
      <c r="W12159" s="5"/>
      <c r="X12159" s="5"/>
      <c r="Y12159" s="5"/>
      <c r="Z12159" s="5"/>
    </row>
    <row r="12160" spans="1:26" ht="15" x14ac:dyDescent="0.25">
      <c r="A12160" s="4" t="s">
        <v>12157</v>
      </c>
      <c r="B12160" s="4" t="s">
        <v>9011</v>
      </c>
      <c r="C12160" s="2" t="str">
        <f ca="1">IFERROR(__xludf.DUMMYFUNCTION("GOOGLETRANSLATE(A12160,""bn"",""en"")"),"In summer I will ask for rain")</f>
        <v>In summer I will ask for rain</v>
      </c>
      <c r="D12160" s="5"/>
      <c r="E12160" s="5"/>
      <c r="F12160" s="5"/>
      <c r="G12160" s="5"/>
      <c r="H12160" s="5"/>
      <c r="I12160" s="5"/>
      <c r="J12160" s="5"/>
      <c r="K12160" s="5"/>
      <c r="L12160" s="5"/>
      <c r="M12160" s="5"/>
      <c r="N12160" s="5"/>
      <c r="O12160" s="5"/>
      <c r="P12160" s="5"/>
      <c r="Q12160" s="5"/>
      <c r="R12160" s="5"/>
      <c r="S12160" s="5"/>
      <c r="T12160" s="5"/>
      <c r="U12160" s="5"/>
      <c r="V12160" s="5"/>
      <c r="W12160" s="5"/>
      <c r="X12160" s="5"/>
      <c r="Y12160" s="5"/>
      <c r="Z12160" s="5"/>
    </row>
    <row r="12161" spans="1:26" ht="15" x14ac:dyDescent="0.25">
      <c r="A12161" s="4" t="s">
        <v>12158</v>
      </c>
      <c r="B12161" s="4" t="s">
        <v>9011</v>
      </c>
      <c r="C12161" s="2" t="str">
        <f ca="1">IFERROR(__xludf.DUMMYFUNCTION("GOOGLETRANSLATE(A12161,""bn"",""en"")"),"I will come to the restaurant next week")</f>
        <v>I will come to the restaurant next week</v>
      </c>
      <c r="D12161" s="5"/>
      <c r="E12161" s="5"/>
      <c r="F12161" s="5"/>
      <c r="G12161" s="5"/>
      <c r="H12161" s="5"/>
      <c r="I12161" s="5"/>
      <c r="J12161" s="5"/>
      <c r="K12161" s="5"/>
      <c r="L12161" s="5"/>
      <c r="M12161" s="5"/>
      <c r="N12161" s="5"/>
      <c r="O12161" s="5"/>
      <c r="P12161" s="5"/>
      <c r="Q12161" s="5"/>
      <c r="R12161" s="5"/>
      <c r="S12161" s="5"/>
      <c r="T12161" s="5"/>
      <c r="U12161" s="5"/>
      <c r="V12161" s="5"/>
      <c r="W12161" s="5"/>
      <c r="X12161" s="5"/>
      <c r="Y12161" s="5"/>
      <c r="Z12161" s="5"/>
    </row>
    <row r="12162" spans="1:26" ht="15" x14ac:dyDescent="0.25">
      <c r="A12162" s="4" t="s">
        <v>12159</v>
      </c>
      <c r="B12162" s="4" t="s">
        <v>9011</v>
      </c>
      <c r="C12162" s="2" t="str">
        <f ca="1">IFERROR(__xludf.DUMMYFUNCTION("GOOGLETRANSLATE(A12162,""bn"",""en"")"),"Will make some new inventions")</f>
        <v>Will make some new inventions</v>
      </c>
      <c r="D12162" s="5"/>
      <c r="E12162" s="5"/>
      <c r="F12162" s="5"/>
      <c r="G12162" s="5"/>
      <c r="H12162" s="5"/>
      <c r="I12162" s="5"/>
      <c r="J12162" s="5"/>
      <c r="K12162" s="5"/>
      <c r="L12162" s="5"/>
      <c r="M12162" s="5"/>
      <c r="N12162" s="5"/>
      <c r="O12162" s="5"/>
      <c r="P12162" s="5"/>
      <c r="Q12162" s="5"/>
      <c r="R12162" s="5"/>
      <c r="S12162" s="5"/>
      <c r="T12162" s="5"/>
      <c r="U12162" s="5"/>
      <c r="V12162" s="5"/>
      <c r="W12162" s="5"/>
      <c r="X12162" s="5"/>
      <c r="Y12162" s="5"/>
      <c r="Z12162" s="5"/>
    </row>
    <row r="12163" spans="1:26" ht="15" x14ac:dyDescent="0.25">
      <c r="A12163" s="4" t="s">
        <v>12160</v>
      </c>
      <c r="B12163" s="4" t="s">
        <v>9011</v>
      </c>
      <c r="C12163" s="2" t="str">
        <f ca="1">IFERROR(__xludf.DUMMYFUNCTION("GOOGLETRANSLATE(A12163,""bn"",""en"")"),"You will come to Prakash Campus")</f>
        <v>You will come to Prakash Campus</v>
      </c>
      <c r="D12163" s="5"/>
      <c r="E12163" s="5"/>
      <c r="F12163" s="5"/>
      <c r="G12163" s="5"/>
      <c r="H12163" s="5"/>
      <c r="I12163" s="5"/>
      <c r="J12163" s="5"/>
      <c r="K12163" s="5"/>
      <c r="L12163" s="5"/>
      <c r="M12163" s="5"/>
      <c r="N12163" s="5"/>
      <c r="O12163" s="5"/>
      <c r="P12163" s="5"/>
      <c r="Q12163" s="5"/>
      <c r="R12163" s="5"/>
      <c r="S12163" s="5"/>
      <c r="T12163" s="5"/>
      <c r="U12163" s="5"/>
      <c r="V12163" s="5"/>
      <c r="W12163" s="5"/>
      <c r="X12163" s="5"/>
      <c r="Y12163" s="5"/>
      <c r="Z12163" s="5"/>
    </row>
    <row r="12164" spans="1:26" ht="15" x14ac:dyDescent="0.25">
      <c r="A12164" s="4" t="s">
        <v>12161</v>
      </c>
      <c r="B12164" s="4" t="s">
        <v>9011</v>
      </c>
      <c r="C12164" s="2" t="str">
        <f ca="1">IFERROR(__xludf.DUMMYFUNCTION("GOOGLETRANSLATE(A12164,""bn"",""en"")"),"A better economy will make the species")</f>
        <v>A better economy will make the species</v>
      </c>
      <c r="D12164" s="5"/>
      <c r="E12164" s="5"/>
      <c r="F12164" s="5"/>
      <c r="G12164" s="5"/>
      <c r="H12164" s="5"/>
      <c r="I12164" s="5"/>
      <c r="J12164" s="5"/>
      <c r="K12164" s="5"/>
      <c r="L12164" s="5"/>
      <c r="M12164" s="5"/>
      <c r="N12164" s="5"/>
      <c r="O12164" s="5"/>
      <c r="P12164" s="5"/>
      <c r="Q12164" s="5"/>
      <c r="R12164" s="5"/>
      <c r="S12164" s="5"/>
      <c r="T12164" s="5"/>
      <c r="U12164" s="5"/>
      <c r="V12164" s="5"/>
      <c r="W12164" s="5"/>
      <c r="X12164" s="5"/>
      <c r="Y12164" s="5"/>
      <c r="Z12164" s="5"/>
    </row>
    <row r="12165" spans="1:26" ht="15" x14ac:dyDescent="0.25">
      <c r="A12165" s="4" t="s">
        <v>12162</v>
      </c>
      <c r="B12165" s="4" t="s">
        <v>9011</v>
      </c>
      <c r="C12165" s="2" t="str">
        <f ca="1">IFERROR(__xludf.DUMMYFUNCTION("GOOGLETRANSLATE(A12165,""bn"",""en"")"),"Robots will do space research")</f>
        <v>Robots will do space research</v>
      </c>
      <c r="D12165" s="5"/>
      <c r="E12165" s="5"/>
      <c r="F12165" s="5"/>
      <c r="G12165" s="5"/>
      <c r="H12165" s="5"/>
      <c r="I12165" s="5"/>
      <c r="J12165" s="5"/>
      <c r="K12165" s="5"/>
      <c r="L12165" s="5"/>
      <c r="M12165" s="5"/>
      <c r="N12165" s="5"/>
      <c r="O12165" s="5"/>
      <c r="P12165" s="5"/>
      <c r="Q12165" s="5"/>
      <c r="R12165" s="5"/>
      <c r="S12165" s="5"/>
      <c r="T12165" s="5"/>
      <c r="U12165" s="5"/>
      <c r="V12165" s="5"/>
      <c r="W12165" s="5"/>
      <c r="X12165" s="5"/>
      <c r="Y12165" s="5"/>
      <c r="Z12165" s="5"/>
    </row>
    <row r="12166" spans="1:26" ht="15" x14ac:dyDescent="0.25">
      <c r="A12166" s="4" t="s">
        <v>12163</v>
      </c>
      <c r="B12166" s="4" t="s">
        <v>9011</v>
      </c>
      <c r="C12166" s="2" t="str">
        <f ca="1">IFERROR(__xludf.DUMMYFUNCTION("GOOGLETRANSLATE(A12166,""bn"",""en"")"),"The candidate will provide public opinion in the election")</f>
        <v>The candidate will provide public opinion in the election</v>
      </c>
      <c r="D12166" s="5"/>
      <c r="E12166" s="5"/>
      <c r="F12166" s="5"/>
      <c r="G12166" s="5"/>
      <c r="H12166" s="5"/>
      <c r="I12166" s="5"/>
      <c r="J12166" s="5"/>
      <c r="K12166" s="5"/>
      <c r="L12166" s="5"/>
      <c r="M12166" s="5"/>
      <c r="N12166" s="5"/>
      <c r="O12166" s="5"/>
      <c r="P12166" s="5"/>
      <c r="Q12166" s="5"/>
      <c r="R12166" s="5"/>
      <c r="S12166" s="5"/>
      <c r="T12166" s="5"/>
      <c r="U12166" s="5"/>
      <c r="V12166" s="5"/>
      <c r="W12166" s="5"/>
      <c r="X12166" s="5"/>
      <c r="Y12166" s="5"/>
      <c r="Z12166" s="5"/>
    </row>
    <row r="12167" spans="1:26" ht="15" x14ac:dyDescent="0.25">
      <c r="A12167" s="4" t="s">
        <v>12164</v>
      </c>
      <c r="B12167" s="4" t="s">
        <v>9011</v>
      </c>
      <c r="C12167" s="2" t="str">
        <f ca="1">IFERROR(__xludf.DUMMYFUNCTION("GOOGLETRANSLATE(A12167,""bn"",""en"")"),"Mobile technology will increase")</f>
        <v>Mobile technology will increase</v>
      </c>
      <c r="D12167" s="5"/>
      <c r="E12167" s="5"/>
      <c r="F12167" s="5"/>
      <c r="G12167" s="5"/>
      <c r="H12167" s="5"/>
      <c r="I12167" s="5"/>
      <c r="J12167" s="5"/>
      <c r="K12167" s="5"/>
      <c r="L12167" s="5"/>
      <c r="M12167" s="5"/>
      <c r="N12167" s="5"/>
      <c r="O12167" s="5"/>
      <c r="P12167" s="5"/>
      <c r="Q12167" s="5"/>
      <c r="R12167" s="5"/>
      <c r="S12167" s="5"/>
      <c r="T12167" s="5"/>
      <c r="U12167" s="5"/>
      <c r="V12167" s="5"/>
      <c r="W12167" s="5"/>
      <c r="X12167" s="5"/>
      <c r="Y12167" s="5"/>
      <c r="Z12167" s="5"/>
    </row>
    <row r="12168" spans="1:26" ht="15" x14ac:dyDescent="0.25">
      <c r="A12168" s="4" t="s">
        <v>12165</v>
      </c>
      <c r="B12168" s="4" t="s">
        <v>9011</v>
      </c>
      <c r="C12168" s="2" t="str">
        <f ca="1">IFERROR(__xludf.DUMMYFUNCTION("GOOGLETRANSLATE(A12168,""bn"",""en"")"),"We will have better economy")</f>
        <v>We will have better economy</v>
      </c>
      <c r="D12168" s="5"/>
      <c r="E12168" s="5"/>
      <c r="F12168" s="5"/>
      <c r="G12168" s="5"/>
      <c r="H12168" s="5"/>
      <c r="I12168" s="5"/>
      <c r="J12168" s="5"/>
      <c r="K12168" s="5"/>
      <c r="L12168" s="5"/>
      <c r="M12168" s="5"/>
      <c r="N12168" s="5"/>
      <c r="O12168" s="5"/>
      <c r="P12168" s="5"/>
      <c r="Q12168" s="5"/>
      <c r="R12168" s="5"/>
      <c r="S12168" s="5"/>
      <c r="T12168" s="5"/>
      <c r="U12168" s="5"/>
      <c r="V12168" s="5"/>
      <c r="W12168" s="5"/>
      <c r="X12168" s="5"/>
      <c r="Y12168" s="5"/>
      <c r="Z12168" s="5"/>
    </row>
    <row r="12169" spans="1:26" ht="15" x14ac:dyDescent="0.25">
      <c r="A12169" s="4" t="s">
        <v>12166</v>
      </c>
      <c r="B12169" s="4" t="s">
        <v>9011</v>
      </c>
      <c r="C12169" s="2" t="str">
        <f ca="1">IFERROR(__xludf.DUMMYFUNCTION("GOOGLETRANSLATE(A12169,""bn"",""en"")"),"Flowers will meet soon")</f>
        <v>Flowers will meet soon</v>
      </c>
      <c r="D12169" s="5"/>
      <c r="E12169" s="5"/>
      <c r="F12169" s="5"/>
      <c r="G12169" s="5"/>
      <c r="H12169" s="5"/>
      <c r="I12169" s="5"/>
      <c r="J12169" s="5"/>
      <c r="K12169" s="5"/>
      <c r="L12169" s="5"/>
      <c r="M12169" s="5"/>
      <c r="N12169" s="5"/>
      <c r="O12169" s="5"/>
      <c r="P12169" s="5"/>
      <c r="Q12169" s="5"/>
      <c r="R12169" s="5"/>
      <c r="S12169" s="5"/>
      <c r="T12169" s="5"/>
      <c r="U12169" s="5"/>
      <c r="V12169" s="5"/>
      <c r="W12169" s="5"/>
      <c r="X12169" s="5"/>
      <c r="Y12169" s="5"/>
      <c r="Z12169" s="5"/>
    </row>
    <row r="12170" spans="1:26" ht="15" x14ac:dyDescent="0.25">
      <c r="A12170" s="4" t="s">
        <v>12167</v>
      </c>
      <c r="B12170" s="4" t="s">
        <v>9011</v>
      </c>
      <c r="C12170" s="2" t="str">
        <f ca="1">IFERROR(__xludf.DUMMYFUNCTION("GOOGLETRANSLATE(A12170,""bn"",""en"")"),"Data analysis will be further")</f>
        <v>Data analysis will be further</v>
      </c>
      <c r="D12170" s="5"/>
      <c r="E12170" s="5"/>
      <c r="F12170" s="5"/>
      <c r="G12170" s="5"/>
      <c r="H12170" s="5"/>
      <c r="I12170" s="5"/>
      <c r="J12170" s="5"/>
      <c r="K12170" s="5"/>
      <c r="L12170" s="5"/>
      <c r="M12170" s="5"/>
      <c r="N12170" s="5"/>
      <c r="O12170" s="5"/>
      <c r="P12170" s="5"/>
      <c r="Q12170" s="5"/>
      <c r="R12170" s="5"/>
      <c r="S12170" s="5"/>
      <c r="T12170" s="5"/>
      <c r="U12170" s="5"/>
      <c r="V12170" s="5"/>
      <c r="W12170" s="5"/>
      <c r="X12170" s="5"/>
      <c r="Y12170" s="5"/>
      <c r="Z12170" s="5"/>
    </row>
    <row r="12171" spans="1:26" ht="15" x14ac:dyDescent="0.25">
      <c r="A12171" s="4" t="s">
        <v>12168</v>
      </c>
      <c r="B12171" s="4" t="s">
        <v>9011</v>
      </c>
      <c r="C12171" s="2" t="str">
        <f ca="1">IFERROR(__xludf.DUMMYFUNCTION("GOOGLETRANSLATE(A12171,""bn"",""en"")"),"Data will be stored in the database")</f>
        <v>Data will be stored in the database</v>
      </c>
      <c r="D12171" s="5"/>
      <c r="E12171" s="5"/>
      <c r="F12171" s="5"/>
      <c r="G12171" s="5"/>
      <c r="H12171" s="5"/>
      <c r="I12171" s="5"/>
      <c r="J12171" s="5"/>
      <c r="K12171" s="5"/>
      <c r="L12171" s="5"/>
      <c r="M12171" s="5"/>
      <c r="N12171" s="5"/>
      <c r="O12171" s="5"/>
      <c r="P12171" s="5"/>
      <c r="Q12171" s="5"/>
      <c r="R12171" s="5"/>
      <c r="S12171" s="5"/>
      <c r="T12171" s="5"/>
      <c r="U12171" s="5"/>
      <c r="V12171" s="5"/>
      <c r="W12171" s="5"/>
      <c r="X12171" s="5"/>
      <c r="Y12171" s="5"/>
      <c r="Z12171" s="5"/>
    </row>
    <row r="12172" spans="1:26" ht="15" x14ac:dyDescent="0.25">
      <c r="A12172" s="4" t="s">
        <v>12169</v>
      </c>
      <c r="B12172" s="4" t="s">
        <v>9011</v>
      </c>
      <c r="C12172" s="2" t="str">
        <f ca="1">IFERROR(__xludf.DUMMYFUNCTION("GOOGLETRANSLATE(A12172,""bn"",""en"")"),"Robots will assist in treatment")</f>
        <v>Robots will assist in treatment</v>
      </c>
      <c r="D12172" s="5"/>
      <c r="E12172" s="5"/>
      <c r="F12172" s="5"/>
      <c r="G12172" s="5"/>
      <c r="H12172" s="5"/>
      <c r="I12172" s="5"/>
      <c r="J12172" s="5"/>
      <c r="K12172" s="5"/>
      <c r="L12172" s="5"/>
      <c r="M12172" s="5"/>
      <c r="N12172" s="5"/>
      <c r="O12172" s="5"/>
      <c r="P12172" s="5"/>
      <c r="Q12172" s="5"/>
      <c r="R12172" s="5"/>
      <c r="S12172" s="5"/>
      <c r="T12172" s="5"/>
      <c r="U12172" s="5"/>
      <c r="V12172" s="5"/>
      <c r="W12172" s="5"/>
      <c r="X12172" s="5"/>
      <c r="Y12172" s="5"/>
      <c r="Z12172" s="5"/>
    </row>
    <row r="12173" spans="1:26" ht="15" x14ac:dyDescent="0.25">
      <c r="A12173" s="4" t="s">
        <v>12170</v>
      </c>
      <c r="B12173" s="4" t="s">
        <v>9011</v>
      </c>
      <c r="C12173" s="2" t="str">
        <f ca="1">IFERROR(__xludf.DUMMYFUNCTION("GOOGLETRANSLATE(A12173,""bn"",""en"")"),"We will march together")</f>
        <v>We will march together</v>
      </c>
      <c r="D12173" s="5"/>
      <c r="E12173" s="5"/>
      <c r="F12173" s="5"/>
      <c r="G12173" s="5"/>
      <c r="H12173" s="5"/>
      <c r="I12173" s="5"/>
      <c r="J12173" s="5"/>
      <c r="K12173" s="5"/>
      <c r="L12173" s="5"/>
      <c r="M12173" s="5"/>
      <c r="N12173" s="5"/>
      <c r="O12173" s="5"/>
      <c r="P12173" s="5"/>
      <c r="Q12173" s="5"/>
      <c r="R12173" s="5"/>
      <c r="S12173" s="5"/>
      <c r="T12173" s="5"/>
      <c r="U12173" s="5"/>
      <c r="V12173" s="5"/>
      <c r="W12173" s="5"/>
      <c r="X12173" s="5"/>
      <c r="Y12173" s="5"/>
      <c r="Z12173" s="5"/>
    </row>
    <row r="12174" spans="1:26" ht="15" x14ac:dyDescent="0.25">
      <c r="A12174" s="4" t="s">
        <v>12171</v>
      </c>
      <c r="B12174" s="4" t="s">
        <v>9011</v>
      </c>
      <c r="C12174" s="2" t="str">
        <f ca="1">IFERROR(__xludf.DUMMYFUNCTION("GOOGLETRANSLATE(A12174,""bn"",""en"")"),"Their economy will be good")</f>
        <v>Their economy will be good</v>
      </c>
      <c r="D12174" s="5"/>
      <c r="E12174" s="5"/>
      <c r="F12174" s="5"/>
      <c r="G12174" s="5"/>
      <c r="H12174" s="5"/>
      <c r="I12174" s="5"/>
      <c r="J12174" s="5"/>
      <c r="K12174" s="5"/>
      <c r="L12174" s="5"/>
      <c r="M12174" s="5"/>
      <c r="N12174" s="5"/>
      <c r="O12174" s="5"/>
      <c r="P12174" s="5"/>
      <c r="Q12174" s="5"/>
      <c r="R12174" s="5"/>
      <c r="S12174" s="5"/>
      <c r="T12174" s="5"/>
      <c r="U12174" s="5"/>
      <c r="V12174" s="5"/>
      <c r="W12174" s="5"/>
      <c r="X12174" s="5"/>
      <c r="Y12174" s="5"/>
      <c r="Z12174" s="5"/>
    </row>
    <row r="12175" spans="1:26" ht="15" x14ac:dyDescent="0.25">
      <c r="A12175" s="4" t="s">
        <v>12172</v>
      </c>
      <c r="B12175" s="4" t="s">
        <v>9011</v>
      </c>
      <c r="C12175" s="2" t="str">
        <f ca="1">IFERROR(__xludf.DUMMYFUNCTION("GOOGLETRANSLATE(A12175,""bn"",""en"")"),"I will be programming all night")</f>
        <v>I will be programming all night</v>
      </c>
      <c r="D12175" s="5"/>
      <c r="E12175" s="5"/>
      <c r="F12175" s="5"/>
      <c r="G12175" s="5"/>
      <c r="H12175" s="5"/>
      <c r="I12175" s="5"/>
      <c r="J12175" s="5"/>
      <c r="K12175" s="5"/>
      <c r="L12175" s="5"/>
      <c r="M12175" s="5"/>
      <c r="N12175" s="5"/>
      <c r="O12175" s="5"/>
      <c r="P12175" s="5"/>
      <c r="Q12175" s="5"/>
      <c r="R12175" s="5"/>
      <c r="S12175" s="5"/>
      <c r="T12175" s="5"/>
      <c r="U12175" s="5"/>
      <c r="V12175" s="5"/>
      <c r="W12175" s="5"/>
      <c r="X12175" s="5"/>
      <c r="Y12175" s="5"/>
      <c r="Z12175" s="5"/>
    </row>
    <row r="12176" spans="1:26" ht="15" x14ac:dyDescent="0.25">
      <c r="A12176" s="4" t="s">
        <v>12173</v>
      </c>
      <c r="B12176" s="4" t="s">
        <v>9011</v>
      </c>
      <c r="C12176" s="2" t="str">
        <f ca="1">IFERROR(__xludf.DUMMYFUNCTION("GOOGLETRANSLATE(A12176,""bn"",""en"")"),"Robots will help the situation")</f>
        <v>Robots will help the situation</v>
      </c>
      <c r="D12176" s="5"/>
      <c r="E12176" s="5"/>
      <c r="F12176" s="5"/>
      <c r="G12176" s="5"/>
      <c r="H12176" s="5"/>
      <c r="I12176" s="5"/>
      <c r="J12176" s="5"/>
      <c r="K12176" s="5"/>
      <c r="L12176" s="5"/>
      <c r="M12176" s="5"/>
      <c r="N12176" s="5"/>
      <c r="O12176" s="5"/>
      <c r="P12176" s="5"/>
      <c r="Q12176" s="5"/>
      <c r="R12176" s="5"/>
      <c r="S12176" s="5"/>
      <c r="T12176" s="5"/>
      <c r="U12176" s="5"/>
      <c r="V12176" s="5"/>
      <c r="W12176" s="5"/>
      <c r="X12176" s="5"/>
      <c r="Y12176" s="5"/>
      <c r="Z12176" s="5"/>
    </row>
    <row r="12177" spans="1:26" ht="15" x14ac:dyDescent="0.25">
      <c r="A12177" s="4" t="s">
        <v>12174</v>
      </c>
      <c r="B12177" s="4" t="s">
        <v>9011</v>
      </c>
      <c r="C12177" s="2" t="str">
        <f ca="1">IFERROR(__xludf.DUMMYFUNCTION("GOOGLETRANSLATE(A12177,""bn"",""en"")"),"They will optimize the code")</f>
        <v>They will optimize the code</v>
      </c>
      <c r="D12177" s="5"/>
      <c r="E12177" s="5"/>
      <c r="F12177" s="5"/>
      <c r="G12177" s="5"/>
      <c r="H12177" s="5"/>
      <c r="I12177" s="5"/>
      <c r="J12177" s="5"/>
      <c r="K12177" s="5"/>
      <c r="L12177" s="5"/>
      <c r="M12177" s="5"/>
      <c r="N12177" s="5"/>
      <c r="O12177" s="5"/>
      <c r="P12177" s="5"/>
      <c r="Q12177" s="5"/>
      <c r="R12177" s="5"/>
      <c r="S12177" s="5"/>
      <c r="T12177" s="5"/>
      <c r="U12177" s="5"/>
      <c r="V12177" s="5"/>
      <c r="W12177" s="5"/>
      <c r="X12177" s="5"/>
      <c r="Y12177" s="5"/>
      <c r="Z12177" s="5"/>
    </row>
    <row r="12178" spans="1:26" ht="15" x14ac:dyDescent="0.25">
      <c r="A12178" s="4" t="s">
        <v>12175</v>
      </c>
      <c r="B12178" s="4" t="s">
        <v>9011</v>
      </c>
      <c r="C12178" s="2" t="str">
        <f ca="1">IFERROR(__xludf.DUMMYFUNCTION("GOOGLETRANSLATE(A12178,""bn"",""en"")"),"The robot will plan the journey")</f>
        <v>The robot will plan the journey</v>
      </c>
      <c r="D12178" s="5"/>
      <c r="E12178" s="5"/>
      <c r="F12178" s="5"/>
      <c r="G12178" s="5"/>
      <c r="H12178" s="5"/>
      <c r="I12178" s="5"/>
      <c r="J12178" s="5"/>
      <c r="K12178" s="5"/>
      <c r="L12178" s="5"/>
      <c r="M12178" s="5"/>
      <c r="N12178" s="5"/>
      <c r="O12178" s="5"/>
      <c r="P12178" s="5"/>
      <c r="Q12178" s="5"/>
      <c r="R12178" s="5"/>
      <c r="S12178" s="5"/>
      <c r="T12178" s="5"/>
      <c r="U12178" s="5"/>
      <c r="V12178" s="5"/>
      <c r="W12178" s="5"/>
      <c r="X12178" s="5"/>
      <c r="Y12178" s="5"/>
      <c r="Z12178" s="5"/>
    </row>
    <row r="12179" spans="1:26" ht="15" x14ac:dyDescent="0.25">
      <c r="A12179" s="4" t="s">
        <v>12176</v>
      </c>
      <c r="B12179" s="4" t="s">
        <v>9011</v>
      </c>
      <c r="C12179" s="2" t="str">
        <f ca="1">IFERROR(__xludf.DUMMYFUNCTION("GOOGLETRANSLATE(A12179,""bn"",""en"")"),"I will excel in the exam")</f>
        <v>I will excel in the exam</v>
      </c>
      <c r="D12179" s="5"/>
      <c r="E12179" s="5"/>
      <c r="F12179" s="5"/>
      <c r="G12179" s="5"/>
      <c r="H12179" s="5"/>
      <c r="I12179" s="5"/>
      <c r="J12179" s="5"/>
      <c r="K12179" s="5"/>
      <c r="L12179" s="5"/>
      <c r="M12179" s="5"/>
      <c r="N12179" s="5"/>
      <c r="O12179" s="5"/>
      <c r="P12179" s="5"/>
      <c r="Q12179" s="5"/>
      <c r="R12179" s="5"/>
      <c r="S12179" s="5"/>
      <c r="T12179" s="5"/>
      <c r="U12179" s="5"/>
      <c r="V12179" s="5"/>
      <c r="W12179" s="5"/>
      <c r="X12179" s="5"/>
      <c r="Y12179" s="5"/>
      <c r="Z12179" s="5"/>
    </row>
    <row r="12180" spans="1:26" ht="15" x14ac:dyDescent="0.25">
      <c r="A12180" s="4" t="s">
        <v>12177</v>
      </c>
      <c r="B12180" s="4" t="s">
        <v>9011</v>
      </c>
      <c r="C12180" s="2" t="str">
        <f ca="1">IFERROR(__xludf.DUMMYFUNCTION("GOOGLETRANSLATE(A12180,""bn"",""en"")"),"We have to read novels")</f>
        <v>We have to read novels</v>
      </c>
      <c r="D12180" s="5"/>
      <c r="E12180" s="5"/>
      <c r="F12180" s="5"/>
      <c r="G12180" s="5"/>
      <c r="H12180" s="5"/>
      <c r="I12180" s="5"/>
      <c r="J12180" s="5"/>
      <c r="K12180" s="5"/>
      <c r="L12180" s="5"/>
      <c r="M12180" s="5"/>
      <c r="N12180" s="5"/>
      <c r="O12180" s="5"/>
      <c r="P12180" s="5"/>
      <c r="Q12180" s="5"/>
      <c r="R12180" s="5"/>
      <c r="S12180" s="5"/>
      <c r="T12180" s="5"/>
      <c r="U12180" s="5"/>
      <c r="V12180" s="5"/>
      <c r="W12180" s="5"/>
      <c r="X12180" s="5"/>
      <c r="Y12180" s="5"/>
      <c r="Z12180" s="5"/>
    </row>
    <row r="12181" spans="1:26" ht="15" x14ac:dyDescent="0.25">
      <c r="A12181" s="4" t="s">
        <v>12178</v>
      </c>
      <c r="B12181" s="4" t="s">
        <v>9011</v>
      </c>
      <c r="C12181" s="2" t="str">
        <f ca="1">IFERROR(__xludf.DUMMYFUNCTION("GOOGLETRANSLATE(A12181,""bn"",""en"")"),"We will attend the meeting")</f>
        <v>We will attend the meeting</v>
      </c>
      <c r="D12181" s="5"/>
      <c r="E12181" s="5"/>
      <c r="F12181" s="5"/>
      <c r="G12181" s="5"/>
      <c r="H12181" s="5"/>
      <c r="I12181" s="5"/>
      <c r="J12181" s="5"/>
      <c r="K12181" s="5"/>
      <c r="L12181" s="5"/>
      <c r="M12181" s="5"/>
      <c r="N12181" s="5"/>
      <c r="O12181" s="5"/>
      <c r="P12181" s="5"/>
      <c r="Q12181" s="5"/>
      <c r="R12181" s="5"/>
      <c r="S12181" s="5"/>
      <c r="T12181" s="5"/>
      <c r="U12181" s="5"/>
      <c r="V12181" s="5"/>
      <c r="W12181" s="5"/>
      <c r="X12181" s="5"/>
      <c r="Y12181" s="5"/>
      <c r="Z12181" s="5"/>
    </row>
    <row r="12182" spans="1:26" ht="15" x14ac:dyDescent="0.25">
      <c r="A12182" s="4" t="s">
        <v>12179</v>
      </c>
      <c r="B12182" s="4" t="s">
        <v>9011</v>
      </c>
      <c r="C12182" s="2" t="str">
        <f ca="1">IFERROR(__xludf.DUMMYFUNCTION("GOOGLETRANSLATE(A12182,""bn"",""en"")"),"The source code will be written in the notebook")</f>
        <v>The source code will be written in the notebook</v>
      </c>
      <c r="D12182" s="5"/>
      <c r="E12182" s="5"/>
      <c r="F12182" s="5"/>
      <c r="G12182" s="5"/>
      <c r="H12182" s="5"/>
      <c r="I12182" s="5"/>
      <c r="J12182" s="5"/>
      <c r="K12182" s="5"/>
      <c r="L12182" s="5"/>
      <c r="M12182" s="5"/>
      <c r="N12182" s="5"/>
      <c r="O12182" s="5"/>
      <c r="P12182" s="5"/>
      <c r="Q12182" s="5"/>
      <c r="R12182" s="5"/>
      <c r="S12182" s="5"/>
      <c r="T12182" s="5"/>
      <c r="U12182" s="5"/>
      <c r="V12182" s="5"/>
      <c r="W12182" s="5"/>
      <c r="X12182" s="5"/>
      <c r="Y12182" s="5"/>
      <c r="Z12182" s="5"/>
    </row>
    <row r="12183" spans="1:26" ht="15" x14ac:dyDescent="0.25">
      <c r="A12183" s="4" t="s">
        <v>12180</v>
      </c>
      <c r="B12183" s="4" t="s">
        <v>9011</v>
      </c>
      <c r="C12183" s="2" t="str">
        <f ca="1">IFERROR(__xludf.DUMMYFUNCTION("GOOGLETRANSLATE(A12183,""bn"",""en"")"),"They need financial help")</f>
        <v>They need financial help</v>
      </c>
      <c r="D12183" s="5"/>
      <c r="E12183" s="5"/>
      <c r="F12183" s="5"/>
      <c r="G12183" s="5"/>
      <c r="H12183" s="5"/>
      <c r="I12183" s="5"/>
      <c r="J12183" s="5"/>
      <c r="K12183" s="5"/>
      <c r="L12183" s="5"/>
      <c r="M12183" s="5"/>
      <c r="N12183" s="5"/>
      <c r="O12183" s="5"/>
      <c r="P12183" s="5"/>
      <c r="Q12183" s="5"/>
      <c r="R12183" s="5"/>
      <c r="S12183" s="5"/>
      <c r="T12183" s="5"/>
      <c r="U12183" s="5"/>
      <c r="V12183" s="5"/>
      <c r="W12183" s="5"/>
      <c r="X12183" s="5"/>
      <c r="Y12183" s="5"/>
      <c r="Z12183" s="5"/>
    </row>
    <row r="12184" spans="1:26" ht="15" x14ac:dyDescent="0.25">
      <c r="A12184" s="4" t="s">
        <v>12181</v>
      </c>
      <c r="B12184" s="4" t="s">
        <v>9011</v>
      </c>
      <c r="C12184" s="2" t="str">
        <f ca="1">IFERROR(__xludf.DUMMYFUNCTION("GOOGLETRANSLATE(A12184,""bn"",""en"")"),"Everyone will sing together")</f>
        <v>Everyone will sing together</v>
      </c>
      <c r="D12184" s="5"/>
      <c r="E12184" s="5"/>
      <c r="F12184" s="5"/>
      <c r="G12184" s="5"/>
      <c r="H12184" s="5"/>
      <c r="I12184" s="5"/>
      <c r="J12184" s="5"/>
      <c r="K12184" s="5"/>
      <c r="L12184" s="5"/>
      <c r="M12184" s="5"/>
      <c r="N12184" s="5"/>
      <c r="O12184" s="5"/>
      <c r="P12184" s="5"/>
      <c r="Q12184" s="5"/>
      <c r="R12184" s="5"/>
      <c r="S12184" s="5"/>
      <c r="T12184" s="5"/>
      <c r="U12184" s="5"/>
      <c r="V12184" s="5"/>
      <c r="W12184" s="5"/>
      <c r="X12184" s="5"/>
      <c r="Y12184" s="5"/>
      <c r="Z12184" s="5"/>
    </row>
    <row r="12185" spans="1:26" ht="15" x14ac:dyDescent="0.25">
      <c r="A12185" s="4" t="s">
        <v>12182</v>
      </c>
      <c r="B12185" s="4" t="s">
        <v>9011</v>
      </c>
      <c r="C12185" s="2" t="str">
        <f ca="1">IFERROR(__xludf.DUMMYFUNCTION("GOOGLETRANSLATE(A12185,""bn"",""en"")"),"The museum will be closed on holidays")</f>
        <v>The museum will be closed on holidays</v>
      </c>
      <c r="D12185" s="5"/>
      <c r="E12185" s="5"/>
      <c r="F12185" s="5"/>
      <c r="G12185" s="5"/>
      <c r="H12185" s="5"/>
      <c r="I12185" s="5"/>
      <c r="J12185" s="5"/>
      <c r="K12185" s="5"/>
      <c r="L12185" s="5"/>
      <c r="M12185" s="5"/>
      <c r="N12185" s="5"/>
      <c r="O12185" s="5"/>
      <c r="P12185" s="5"/>
      <c r="Q12185" s="5"/>
      <c r="R12185" s="5"/>
      <c r="S12185" s="5"/>
      <c r="T12185" s="5"/>
      <c r="U12185" s="5"/>
      <c r="V12185" s="5"/>
      <c r="W12185" s="5"/>
      <c r="X12185" s="5"/>
      <c r="Y12185" s="5"/>
      <c r="Z12185" s="5"/>
    </row>
    <row r="12186" spans="1:26" ht="15" x14ac:dyDescent="0.25">
      <c r="A12186" s="4" t="s">
        <v>12183</v>
      </c>
      <c r="B12186" s="4" t="s">
        <v>9011</v>
      </c>
      <c r="C12186" s="2" t="str">
        <f ca="1">IFERROR(__xludf.DUMMYFUNCTION("GOOGLETRANSLATE(A12186,""bn"",""en"")"),"There will be new advancements in coding")</f>
        <v>There will be new advancements in coding</v>
      </c>
      <c r="D12186" s="5"/>
      <c r="E12186" s="5"/>
      <c r="F12186" s="5"/>
      <c r="G12186" s="5"/>
      <c r="H12186" s="5"/>
      <c r="I12186" s="5"/>
      <c r="J12186" s="5"/>
      <c r="K12186" s="5"/>
      <c r="L12186" s="5"/>
      <c r="M12186" s="5"/>
      <c r="N12186" s="5"/>
      <c r="O12186" s="5"/>
      <c r="P12186" s="5"/>
      <c r="Q12186" s="5"/>
      <c r="R12186" s="5"/>
      <c r="S12186" s="5"/>
      <c r="T12186" s="5"/>
      <c r="U12186" s="5"/>
      <c r="V12186" s="5"/>
      <c r="W12186" s="5"/>
      <c r="X12186" s="5"/>
      <c r="Y12186" s="5"/>
      <c r="Z12186" s="5"/>
    </row>
    <row r="12187" spans="1:26" ht="15" x14ac:dyDescent="0.25">
      <c r="A12187" s="4" t="s">
        <v>12184</v>
      </c>
      <c r="B12187" s="4" t="s">
        <v>9011</v>
      </c>
      <c r="C12187" s="2" t="str">
        <f ca="1">IFERROR(__xludf.DUMMYFUNCTION("GOOGLETRANSLATE(A12187,""bn"",""en"")"),"There will be new additions to the coding")</f>
        <v>There will be new additions to the coding</v>
      </c>
      <c r="D12187" s="5"/>
      <c r="E12187" s="5"/>
      <c r="F12187" s="5"/>
      <c r="G12187" s="5"/>
      <c r="H12187" s="5"/>
      <c r="I12187" s="5"/>
      <c r="J12187" s="5"/>
      <c r="K12187" s="5"/>
      <c r="L12187" s="5"/>
      <c r="M12187" s="5"/>
      <c r="N12187" s="5"/>
      <c r="O12187" s="5"/>
      <c r="P12187" s="5"/>
      <c r="Q12187" s="5"/>
      <c r="R12187" s="5"/>
      <c r="S12187" s="5"/>
      <c r="T12187" s="5"/>
      <c r="U12187" s="5"/>
      <c r="V12187" s="5"/>
      <c r="W12187" s="5"/>
      <c r="X12187" s="5"/>
      <c r="Y12187" s="5"/>
      <c r="Z12187" s="5"/>
    </row>
    <row r="12188" spans="1:26" ht="15" x14ac:dyDescent="0.25">
      <c r="A12188" s="4" t="s">
        <v>12185</v>
      </c>
      <c r="B12188" s="4" t="s">
        <v>9011</v>
      </c>
      <c r="C12188" s="2" t="str">
        <f ca="1">IFERROR(__xludf.DUMMYFUNCTION("GOOGLETRANSLATE(A12188,""bn"",""en"")"),"New students should be interested in coding")</f>
        <v>New students should be interested in coding</v>
      </c>
      <c r="D12188" s="5"/>
      <c r="E12188" s="5"/>
      <c r="F12188" s="5"/>
      <c r="G12188" s="5"/>
      <c r="H12188" s="5"/>
      <c r="I12188" s="5"/>
      <c r="J12188" s="5"/>
      <c r="K12188" s="5"/>
      <c r="L12188" s="5"/>
      <c r="M12188" s="5"/>
      <c r="N12188" s="5"/>
      <c r="O12188" s="5"/>
      <c r="P12188" s="5"/>
      <c r="Q12188" s="5"/>
      <c r="R12188" s="5"/>
      <c r="S12188" s="5"/>
      <c r="T12188" s="5"/>
      <c r="U12188" s="5"/>
      <c r="V12188" s="5"/>
      <c r="W12188" s="5"/>
      <c r="X12188" s="5"/>
      <c r="Y12188" s="5"/>
      <c r="Z12188" s="5"/>
    </row>
    <row r="12189" spans="1:26" ht="15" x14ac:dyDescent="0.25">
      <c r="A12189" s="4" t="s">
        <v>12186</v>
      </c>
      <c r="B12189" s="4" t="s">
        <v>9011</v>
      </c>
      <c r="C12189" s="2" t="str">
        <f ca="1">IFERROR(__xludf.DUMMYFUNCTION("GOOGLETRANSLATE(A12189,""bn"",""en"")"),"Write a movie review")</f>
        <v>Write a movie review</v>
      </c>
      <c r="D12189" s="5"/>
      <c r="E12189" s="5"/>
      <c r="F12189" s="5"/>
      <c r="G12189" s="5"/>
      <c r="H12189" s="5"/>
      <c r="I12189" s="5"/>
      <c r="J12189" s="5"/>
      <c r="K12189" s="5"/>
      <c r="L12189" s="5"/>
      <c r="M12189" s="5"/>
      <c r="N12189" s="5"/>
      <c r="O12189" s="5"/>
      <c r="P12189" s="5"/>
      <c r="Q12189" s="5"/>
      <c r="R12189" s="5"/>
      <c r="S12189" s="5"/>
      <c r="T12189" s="5"/>
      <c r="U12189" s="5"/>
      <c r="V12189" s="5"/>
      <c r="W12189" s="5"/>
      <c r="X12189" s="5"/>
      <c r="Y12189" s="5"/>
      <c r="Z12189" s="5"/>
    </row>
    <row r="12190" spans="1:26" ht="15" x14ac:dyDescent="0.25">
      <c r="A12190" s="4" t="s">
        <v>12187</v>
      </c>
      <c r="B12190" s="4" t="s">
        <v>9011</v>
      </c>
      <c r="C12190" s="2" t="str">
        <f ca="1">IFERROR(__xludf.DUMMYFUNCTION("GOOGLETRANSLATE(A12190,""bn"",""en"")"),"All will improve in time")</f>
        <v>All will improve in time</v>
      </c>
      <c r="D12190" s="5"/>
      <c r="E12190" s="5"/>
      <c r="F12190" s="5"/>
      <c r="G12190" s="5"/>
      <c r="H12190" s="5"/>
      <c r="I12190" s="5"/>
      <c r="J12190" s="5"/>
      <c r="K12190" s="5"/>
      <c r="L12190" s="5"/>
      <c r="M12190" s="5"/>
      <c r="N12190" s="5"/>
      <c r="O12190" s="5"/>
      <c r="P12190" s="5"/>
      <c r="Q12190" s="5"/>
      <c r="R12190" s="5"/>
      <c r="S12190" s="5"/>
      <c r="T12190" s="5"/>
      <c r="U12190" s="5"/>
      <c r="V12190" s="5"/>
      <c r="W12190" s="5"/>
      <c r="X12190" s="5"/>
      <c r="Y12190" s="5"/>
      <c r="Z12190" s="5"/>
    </row>
    <row r="12191" spans="1:26" ht="15" x14ac:dyDescent="0.25">
      <c r="A12191" s="4" t="s">
        <v>12188</v>
      </c>
      <c r="B12191" s="4" t="s">
        <v>9011</v>
      </c>
      <c r="C12191" s="2" t="str">
        <f ca="1">IFERROR(__xludf.DUMMYFUNCTION("GOOGLETRANSLATE(A12191,""bn"",""en"")"),"Relatives will go to the swimming pool")</f>
        <v>Relatives will go to the swimming pool</v>
      </c>
      <c r="D12191" s="5"/>
      <c r="E12191" s="5"/>
      <c r="F12191" s="5"/>
      <c r="G12191" s="5"/>
      <c r="H12191" s="5"/>
      <c r="I12191" s="5"/>
      <c r="J12191" s="5"/>
      <c r="K12191" s="5"/>
      <c r="L12191" s="5"/>
      <c r="M12191" s="5"/>
      <c r="N12191" s="5"/>
      <c r="O12191" s="5"/>
      <c r="P12191" s="5"/>
      <c r="Q12191" s="5"/>
      <c r="R12191" s="5"/>
      <c r="S12191" s="5"/>
      <c r="T12191" s="5"/>
      <c r="U12191" s="5"/>
      <c r="V12191" s="5"/>
      <c r="W12191" s="5"/>
      <c r="X12191" s="5"/>
      <c r="Y12191" s="5"/>
      <c r="Z12191" s="5"/>
    </row>
    <row r="12192" spans="1:26" ht="15" x14ac:dyDescent="0.25">
      <c r="A12192" s="4" t="s">
        <v>12189</v>
      </c>
      <c r="B12192" s="4" t="s">
        <v>9011</v>
      </c>
      <c r="C12192" s="2" t="str">
        <f ca="1">IFERROR(__xludf.DUMMYFUNCTION("GOOGLETRANSLATE(A12192,""bn"",""en"")"),"This application will be installed")</f>
        <v>This application will be installed</v>
      </c>
      <c r="D12192" s="5"/>
      <c r="E12192" s="5"/>
      <c r="F12192" s="5"/>
      <c r="G12192" s="5"/>
      <c r="H12192" s="5"/>
      <c r="I12192" s="5"/>
      <c r="J12192" s="5"/>
      <c r="K12192" s="5"/>
      <c r="L12192" s="5"/>
      <c r="M12192" s="5"/>
      <c r="N12192" s="5"/>
      <c r="O12192" s="5"/>
      <c r="P12192" s="5"/>
      <c r="Q12192" s="5"/>
      <c r="R12192" s="5"/>
      <c r="S12192" s="5"/>
      <c r="T12192" s="5"/>
      <c r="U12192" s="5"/>
      <c r="V12192" s="5"/>
      <c r="W12192" s="5"/>
      <c r="X12192" s="5"/>
      <c r="Y12192" s="5"/>
      <c r="Z12192" s="5"/>
    </row>
    <row r="12193" spans="1:26" ht="15" x14ac:dyDescent="0.25">
      <c r="A12193" s="4" t="s">
        <v>12190</v>
      </c>
      <c r="B12193" s="4" t="s">
        <v>9011</v>
      </c>
      <c r="C12193" s="2" t="str">
        <f ca="1">IFERROR(__xludf.DUMMYFUNCTION("GOOGLETRANSLATE(A12193,""bn"",""en"")"),"Clouds will be covered with snow")</f>
        <v>Clouds will be covered with snow</v>
      </c>
      <c r="D12193" s="5"/>
      <c r="E12193" s="5"/>
      <c r="F12193" s="5"/>
      <c r="G12193" s="5"/>
      <c r="H12193" s="5"/>
      <c r="I12193" s="5"/>
      <c r="J12193" s="5"/>
      <c r="K12193" s="5"/>
      <c r="L12193" s="5"/>
      <c r="M12193" s="5"/>
      <c r="N12193" s="5"/>
      <c r="O12193" s="5"/>
      <c r="P12193" s="5"/>
      <c r="Q12193" s="5"/>
      <c r="R12193" s="5"/>
      <c r="S12193" s="5"/>
      <c r="T12193" s="5"/>
      <c r="U12193" s="5"/>
      <c r="V12193" s="5"/>
      <c r="W12193" s="5"/>
      <c r="X12193" s="5"/>
      <c r="Y12193" s="5"/>
      <c r="Z12193" s="5"/>
    </row>
    <row r="12194" spans="1:26" ht="15" x14ac:dyDescent="0.25">
      <c r="A12194" s="4" t="s">
        <v>12191</v>
      </c>
      <c r="B12194" s="4" t="s">
        <v>9011</v>
      </c>
      <c r="C12194" s="2" t="str">
        <f ca="1">IFERROR(__xludf.DUMMYFUNCTION("GOOGLETRANSLATE(A12194,""bn"",""en"")"),"Agricultural synthesis will increase in future")</f>
        <v>Agricultural synthesis will increase in future</v>
      </c>
      <c r="D12194" s="5"/>
      <c r="E12194" s="5"/>
      <c r="F12194" s="5"/>
      <c r="G12194" s="5"/>
      <c r="H12194" s="5"/>
      <c r="I12194" s="5"/>
      <c r="J12194" s="5"/>
      <c r="K12194" s="5"/>
      <c r="L12194" s="5"/>
      <c r="M12194" s="5"/>
      <c r="N12194" s="5"/>
      <c r="O12194" s="5"/>
      <c r="P12194" s="5"/>
      <c r="Q12194" s="5"/>
      <c r="R12194" s="5"/>
      <c r="S12194" s="5"/>
      <c r="T12194" s="5"/>
      <c r="U12194" s="5"/>
      <c r="V12194" s="5"/>
      <c r="W12194" s="5"/>
      <c r="X12194" s="5"/>
      <c r="Y12194" s="5"/>
      <c r="Z12194" s="5"/>
    </row>
    <row r="12195" spans="1:26" ht="15" x14ac:dyDescent="0.25">
      <c r="A12195" s="4" t="s">
        <v>12192</v>
      </c>
      <c r="B12195" s="4" t="s">
        <v>9011</v>
      </c>
      <c r="C12195" s="2" t="str">
        <f ca="1">IFERROR(__xludf.DUMMYFUNCTION("GOOGLETRANSLATE(A12195,""bn"",""en"")"),"Pesticides will be applied to the soil")</f>
        <v>Pesticides will be applied to the soil</v>
      </c>
      <c r="D12195" s="5"/>
      <c r="E12195" s="5"/>
      <c r="F12195" s="5"/>
      <c r="G12195" s="5"/>
      <c r="H12195" s="5"/>
      <c r="I12195" s="5"/>
      <c r="J12195" s="5"/>
      <c r="K12195" s="5"/>
      <c r="L12195" s="5"/>
      <c r="M12195" s="5"/>
      <c r="N12195" s="5"/>
      <c r="O12195" s="5"/>
      <c r="P12195" s="5"/>
      <c r="Q12195" s="5"/>
      <c r="R12195" s="5"/>
      <c r="S12195" s="5"/>
      <c r="T12195" s="5"/>
      <c r="U12195" s="5"/>
      <c r="V12195" s="5"/>
      <c r="W12195" s="5"/>
      <c r="X12195" s="5"/>
      <c r="Y12195" s="5"/>
      <c r="Z12195" s="5"/>
    </row>
    <row r="12196" spans="1:26" ht="15" x14ac:dyDescent="0.25">
      <c r="A12196" s="4" t="s">
        <v>12193</v>
      </c>
      <c r="B12196" s="4" t="s">
        <v>9011</v>
      </c>
      <c r="C12196" s="2" t="str">
        <f ca="1">IFERROR(__xludf.DUMMYFUNCTION("GOOGLETRANSLATE(A12196,""bn"",""en"")"),"The weatherman says it will rain")</f>
        <v>The weatherman says it will rain</v>
      </c>
      <c r="D12196" s="5"/>
      <c r="E12196" s="5"/>
      <c r="F12196" s="5"/>
      <c r="G12196" s="5"/>
      <c r="H12196" s="5"/>
      <c r="I12196" s="5"/>
      <c r="J12196" s="5"/>
      <c r="K12196" s="5"/>
      <c r="L12196" s="5"/>
      <c r="M12196" s="5"/>
      <c r="N12196" s="5"/>
      <c r="O12196" s="5"/>
      <c r="P12196" s="5"/>
      <c r="Q12196" s="5"/>
      <c r="R12196" s="5"/>
      <c r="S12196" s="5"/>
      <c r="T12196" s="5"/>
      <c r="U12196" s="5"/>
      <c r="V12196" s="5"/>
      <c r="W12196" s="5"/>
      <c r="X12196" s="5"/>
      <c r="Y12196" s="5"/>
      <c r="Z12196" s="5"/>
    </row>
    <row r="12197" spans="1:26" ht="15" x14ac:dyDescent="0.25">
      <c r="A12197" s="4" t="s">
        <v>12194</v>
      </c>
      <c r="B12197" s="4" t="s">
        <v>9011</v>
      </c>
      <c r="C12197" s="2" t="str">
        <f ca="1">IFERROR(__xludf.DUMMYFUNCTION("GOOGLETRANSLATE(A12197,""bn"",""en"")"),"The situation will create danger")</f>
        <v>The situation will create danger</v>
      </c>
      <c r="D12197" s="5"/>
      <c r="E12197" s="5"/>
      <c r="F12197" s="5"/>
      <c r="G12197" s="5"/>
      <c r="H12197" s="5"/>
      <c r="I12197" s="5"/>
      <c r="J12197" s="5"/>
      <c r="K12197" s="5"/>
      <c r="L12197" s="5"/>
      <c r="M12197" s="5"/>
      <c r="N12197" s="5"/>
      <c r="O12197" s="5"/>
      <c r="P12197" s="5"/>
      <c r="Q12197" s="5"/>
      <c r="R12197" s="5"/>
      <c r="S12197" s="5"/>
      <c r="T12197" s="5"/>
      <c r="U12197" s="5"/>
      <c r="V12197" s="5"/>
      <c r="W12197" s="5"/>
      <c r="X12197" s="5"/>
      <c r="Y12197" s="5"/>
      <c r="Z12197" s="5"/>
    </row>
    <row r="12198" spans="1:26" ht="15" x14ac:dyDescent="0.25">
      <c r="A12198" s="4" t="s">
        <v>12195</v>
      </c>
      <c r="B12198" s="4" t="s">
        <v>9011</v>
      </c>
      <c r="C12198" s="2" t="str">
        <f ca="1">IFERROR(__xludf.DUMMYFUNCTION("GOOGLETRANSLATE(A12198,""bn"",""en"")"),"We will be hiking tomorrow")</f>
        <v>We will be hiking tomorrow</v>
      </c>
      <c r="D12198" s="5"/>
      <c r="E12198" s="5"/>
      <c r="F12198" s="5"/>
      <c r="G12198" s="5"/>
      <c r="H12198" s="5"/>
      <c r="I12198" s="5"/>
      <c r="J12198" s="5"/>
      <c r="K12198" s="5"/>
      <c r="L12198" s="5"/>
      <c r="M12198" s="5"/>
      <c r="N12198" s="5"/>
      <c r="O12198" s="5"/>
      <c r="P12198" s="5"/>
      <c r="Q12198" s="5"/>
      <c r="R12198" s="5"/>
      <c r="S12198" s="5"/>
      <c r="T12198" s="5"/>
      <c r="U12198" s="5"/>
      <c r="V12198" s="5"/>
      <c r="W12198" s="5"/>
      <c r="X12198" s="5"/>
      <c r="Y12198" s="5"/>
      <c r="Z12198" s="5"/>
    </row>
    <row r="12199" spans="1:26" ht="15" x14ac:dyDescent="0.25">
      <c r="A12199" s="4" t="s">
        <v>12196</v>
      </c>
      <c r="B12199" s="4" t="s">
        <v>9011</v>
      </c>
      <c r="C12199" s="2" t="str">
        <f ca="1">IFERROR(__xludf.DUMMYFUNCTION("GOOGLETRANSLATE(A12199,""bn"",""en"")"),"We will come to the campus soon")</f>
        <v>We will come to the campus soon</v>
      </c>
      <c r="D12199" s="5"/>
      <c r="E12199" s="5"/>
      <c r="F12199" s="5"/>
      <c r="G12199" s="5"/>
      <c r="H12199" s="5"/>
      <c r="I12199" s="5"/>
      <c r="J12199" s="5"/>
      <c r="K12199" s="5"/>
      <c r="L12199" s="5"/>
      <c r="M12199" s="5"/>
      <c r="N12199" s="5"/>
      <c r="O12199" s="5"/>
      <c r="P12199" s="5"/>
      <c r="Q12199" s="5"/>
      <c r="R12199" s="5"/>
      <c r="S12199" s="5"/>
      <c r="T12199" s="5"/>
      <c r="U12199" s="5"/>
      <c r="V12199" s="5"/>
      <c r="W12199" s="5"/>
      <c r="X12199" s="5"/>
      <c r="Y12199" s="5"/>
      <c r="Z12199" s="5"/>
    </row>
    <row r="12200" spans="1:26" ht="15" x14ac:dyDescent="0.25">
      <c r="A12200" s="4" t="s">
        <v>12197</v>
      </c>
      <c r="B12200" s="4" t="s">
        <v>9011</v>
      </c>
      <c r="C12200" s="2" t="str">
        <f ca="1">IFERROR(__xludf.DUMMYFUNCTION("GOOGLETRANSLATE(A12200,""bn"",""en"")"),"Your studies will be on campus")</f>
        <v>Your studies will be on campus</v>
      </c>
      <c r="D12200" s="5"/>
      <c r="E12200" s="5"/>
      <c r="F12200" s="5"/>
      <c r="G12200" s="5"/>
      <c r="H12200" s="5"/>
      <c r="I12200" s="5"/>
      <c r="J12200" s="5"/>
      <c r="K12200" s="5"/>
      <c r="L12200" s="5"/>
      <c r="M12200" s="5"/>
      <c r="N12200" s="5"/>
      <c r="O12200" s="5"/>
      <c r="P12200" s="5"/>
      <c r="Q12200" s="5"/>
      <c r="R12200" s="5"/>
      <c r="S12200" s="5"/>
      <c r="T12200" s="5"/>
      <c r="U12200" s="5"/>
      <c r="V12200" s="5"/>
      <c r="W12200" s="5"/>
      <c r="X12200" s="5"/>
      <c r="Y12200" s="5"/>
      <c r="Z12200" s="5"/>
    </row>
    <row r="12201" spans="1:26" ht="15" x14ac:dyDescent="0.25">
      <c r="A12201" s="4" t="s">
        <v>12198</v>
      </c>
      <c r="B12201" s="4" t="s">
        <v>9011</v>
      </c>
      <c r="C12201" s="2" t="str">
        <f ca="1">IFERROR(__xludf.DUMMYFUNCTION("GOOGLETRANSLATE(A12201,""bn"",""en"")"),"We will learn new language")</f>
        <v>We will learn new language</v>
      </c>
      <c r="D12201" s="5"/>
      <c r="E12201" s="5"/>
      <c r="F12201" s="5"/>
      <c r="G12201" s="5"/>
      <c r="H12201" s="5"/>
      <c r="I12201" s="5"/>
      <c r="J12201" s="5"/>
      <c r="K12201" s="5"/>
      <c r="L12201" s="5"/>
      <c r="M12201" s="5"/>
      <c r="N12201" s="5"/>
      <c r="O12201" s="5"/>
      <c r="P12201" s="5"/>
      <c r="Q12201" s="5"/>
      <c r="R12201" s="5"/>
      <c r="S12201" s="5"/>
      <c r="T12201" s="5"/>
      <c r="U12201" s="5"/>
      <c r="V12201" s="5"/>
      <c r="W12201" s="5"/>
      <c r="X12201" s="5"/>
      <c r="Y12201" s="5"/>
      <c r="Z12201" s="5"/>
    </row>
    <row r="12202" spans="1:26" ht="15" x14ac:dyDescent="0.25">
      <c r="A12202" s="4" t="s">
        <v>12199</v>
      </c>
      <c r="B12202" s="4" t="s">
        <v>9011</v>
      </c>
      <c r="C12202" s="2" t="str">
        <f ca="1">IFERROR(__xludf.DUMMYFUNCTION("GOOGLETRANSLATE(A12202,""bn"",""en"")"),"The demand for electronics devices will increase")</f>
        <v>The demand for electronics devices will increase</v>
      </c>
      <c r="D12202" s="5"/>
      <c r="E12202" s="5"/>
      <c r="F12202" s="5"/>
      <c r="G12202" s="5"/>
      <c r="H12202" s="5"/>
      <c r="I12202" s="5"/>
      <c r="J12202" s="5"/>
      <c r="K12202" s="5"/>
      <c r="L12202" s="5"/>
      <c r="M12202" s="5"/>
      <c r="N12202" s="5"/>
      <c r="O12202" s="5"/>
      <c r="P12202" s="5"/>
      <c r="Q12202" s="5"/>
      <c r="R12202" s="5"/>
      <c r="S12202" s="5"/>
      <c r="T12202" s="5"/>
      <c r="U12202" s="5"/>
      <c r="V12202" s="5"/>
      <c r="W12202" s="5"/>
      <c r="X12202" s="5"/>
      <c r="Y12202" s="5"/>
      <c r="Z12202" s="5"/>
    </row>
    <row r="12203" spans="1:26" ht="15" x14ac:dyDescent="0.25">
      <c r="A12203" s="4" t="s">
        <v>12200</v>
      </c>
      <c r="B12203" s="4" t="s">
        <v>9011</v>
      </c>
      <c r="C12203" s="2" t="str">
        <f ca="1">IFERROR(__xludf.DUMMYFUNCTION("GOOGLETRANSLATE(A12203,""bn"",""en"")"),"The night will be sunny in the snow")</f>
        <v>The night will be sunny in the snow</v>
      </c>
      <c r="D12203" s="5"/>
      <c r="E12203" s="5"/>
      <c r="F12203" s="5"/>
      <c r="G12203" s="5"/>
      <c r="H12203" s="5"/>
      <c r="I12203" s="5"/>
      <c r="J12203" s="5"/>
      <c r="K12203" s="5"/>
      <c r="L12203" s="5"/>
      <c r="M12203" s="5"/>
      <c r="N12203" s="5"/>
      <c r="O12203" s="5"/>
      <c r="P12203" s="5"/>
      <c r="Q12203" s="5"/>
      <c r="R12203" s="5"/>
      <c r="S12203" s="5"/>
      <c r="T12203" s="5"/>
      <c r="U12203" s="5"/>
      <c r="V12203" s="5"/>
      <c r="W12203" s="5"/>
      <c r="X12203" s="5"/>
      <c r="Y12203" s="5"/>
      <c r="Z12203" s="5"/>
    </row>
    <row r="12204" spans="1:26" ht="15" x14ac:dyDescent="0.25">
      <c r="A12204" s="4" t="s">
        <v>12201</v>
      </c>
      <c r="B12204" s="4" t="s">
        <v>9011</v>
      </c>
      <c r="C12204" s="2" t="str">
        <f ca="1">IFERROR(__xludf.DUMMYFUNCTION("GOOGLETRANSLATE(A12204,""bn"",""en"")"),"Principles will determine technology")</f>
        <v>Principles will determine technology</v>
      </c>
      <c r="D12204" s="5"/>
      <c r="E12204" s="5"/>
      <c r="F12204" s="5"/>
      <c r="G12204" s="5"/>
      <c r="H12204" s="5"/>
      <c r="I12204" s="5"/>
      <c r="J12204" s="5"/>
      <c r="K12204" s="5"/>
      <c r="L12204" s="5"/>
      <c r="M12204" s="5"/>
      <c r="N12204" s="5"/>
      <c r="O12204" s="5"/>
      <c r="P12204" s="5"/>
      <c r="Q12204" s="5"/>
      <c r="R12204" s="5"/>
      <c r="S12204" s="5"/>
      <c r="T12204" s="5"/>
      <c r="U12204" s="5"/>
      <c r="V12204" s="5"/>
      <c r="W12204" s="5"/>
      <c r="X12204" s="5"/>
      <c r="Y12204" s="5"/>
      <c r="Z12204" s="5"/>
    </row>
    <row r="12205" spans="1:26" ht="15" x14ac:dyDescent="0.25">
      <c r="A12205" s="4" t="s">
        <v>12202</v>
      </c>
      <c r="B12205" s="4" t="s">
        <v>9011</v>
      </c>
      <c r="C12205" s="2" t="str">
        <f ca="1">IFERROR(__xludf.DUMMYFUNCTION("GOOGLETRANSLATE(A12205,""bn"",""en"")"),"There will be many types of mouse")</f>
        <v>There will be many types of mouse</v>
      </c>
      <c r="D12205" s="5"/>
      <c r="E12205" s="5"/>
      <c r="F12205" s="5"/>
      <c r="G12205" s="5"/>
      <c r="H12205" s="5"/>
      <c r="I12205" s="5"/>
      <c r="J12205" s="5"/>
      <c r="K12205" s="5"/>
      <c r="L12205" s="5"/>
      <c r="M12205" s="5"/>
      <c r="N12205" s="5"/>
      <c r="O12205" s="5"/>
      <c r="P12205" s="5"/>
      <c r="Q12205" s="5"/>
      <c r="R12205" s="5"/>
      <c r="S12205" s="5"/>
      <c r="T12205" s="5"/>
      <c r="U12205" s="5"/>
      <c r="V12205" s="5"/>
      <c r="W12205" s="5"/>
      <c r="X12205" s="5"/>
      <c r="Y12205" s="5"/>
      <c r="Z12205" s="5"/>
    </row>
    <row r="12206" spans="1:26" ht="15" x14ac:dyDescent="0.25">
      <c r="A12206" s="4" t="s">
        <v>12203</v>
      </c>
      <c r="B12206" s="4" t="s">
        <v>9011</v>
      </c>
      <c r="C12206" s="2" t="str">
        <f ca="1">IFERROR(__xludf.DUMMYFUNCTION("GOOGLETRANSLATE(A12206,""bn"",""en"")"),"Literary construction must be done")</f>
        <v>Literary construction must be done</v>
      </c>
      <c r="D12206" s="5"/>
      <c r="E12206" s="5"/>
      <c r="F12206" s="5"/>
      <c r="G12206" s="5"/>
      <c r="H12206" s="5"/>
      <c r="I12206" s="5"/>
      <c r="J12206" s="5"/>
      <c r="K12206" s="5"/>
      <c r="L12206" s="5"/>
      <c r="M12206" s="5"/>
      <c r="N12206" s="5"/>
      <c r="O12206" s="5"/>
      <c r="P12206" s="5"/>
      <c r="Q12206" s="5"/>
      <c r="R12206" s="5"/>
      <c r="S12206" s="5"/>
      <c r="T12206" s="5"/>
      <c r="U12206" s="5"/>
      <c r="V12206" s="5"/>
      <c r="W12206" s="5"/>
      <c r="X12206" s="5"/>
      <c r="Y12206" s="5"/>
      <c r="Z12206" s="5"/>
    </row>
    <row r="12207" spans="1:26" ht="15" x14ac:dyDescent="0.25">
      <c r="A12207" s="4" t="s">
        <v>12204</v>
      </c>
      <c r="B12207" s="4" t="s">
        <v>9011</v>
      </c>
      <c r="C12207" s="2" t="str">
        <f ca="1">IFERROR(__xludf.DUMMYFUNCTION("GOOGLETRANSLATE(A12207,""bn"",""en"")"),"Fruits will fall after rain")</f>
        <v>Fruits will fall after rain</v>
      </c>
      <c r="D12207" s="5"/>
      <c r="E12207" s="5"/>
      <c r="F12207" s="5"/>
      <c r="G12207" s="5"/>
      <c r="H12207" s="5"/>
      <c r="I12207" s="5"/>
      <c r="J12207" s="5"/>
      <c r="K12207" s="5"/>
      <c r="L12207" s="5"/>
      <c r="M12207" s="5"/>
      <c r="N12207" s="5"/>
      <c r="O12207" s="5"/>
      <c r="P12207" s="5"/>
      <c r="Q12207" s="5"/>
      <c r="R12207" s="5"/>
      <c r="S12207" s="5"/>
      <c r="T12207" s="5"/>
      <c r="U12207" s="5"/>
      <c r="V12207" s="5"/>
      <c r="W12207" s="5"/>
      <c r="X12207" s="5"/>
      <c r="Y12207" s="5"/>
      <c r="Z12207" s="5"/>
    </row>
    <row r="12208" spans="1:26" ht="15" x14ac:dyDescent="0.25">
      <c r="A12208" s="4" t="s">
        <v>12205</v>
      </c>
      <c r="B12208" s="4" t="s">
        <v>9011</v>
      </c>
      <c r="C12208" s="2" t="str">
        <f ca="1">IFERROR(__xludf.DUMMYFUNCTION("GOOGLETRANSLATE(A12208,""bn"",""en"")"),"He will book the hotel")</f>
        <v>He will book the hotel</v>
      </c>
      <c r="D12208" s="5"/>
      <c r="E12208" s="5"/>
      <c r="F12208" s="5"/>
      <c r="G12208" s="5"/>
      <c r="H12208" s="5"/>
      <c r="I12208" s="5"/>
      <c r="J12208" s="5"/>
      <c r="K12208" s="5"/>
      <c r="L12208" s="5"/>
      <c r="M12208" s="5"/>
      <c r="N12208" s="5"/>
      <c r="O12208" s="5"/>
      <c r="P12208" s="5"/>
      <c r="Q12208" s="5"/>
      <c r="R12208" s="5"/>
      <c r="S12208" s="5"/>
      <c r="T12208" s="5"/>
      <c r="U12208" s="5"/>
      <c r="V12208" s="5"/>
      <c r="W12208" s="5"/>
      <c r="X12208" s="5"/>
      <c r="Y12208" s="5"/>
      <c r="Z12208" s="5"/>
    </row>
    <row r="12209" spans="1:26" ht="15" x14ac:dyDescent="0.25">
      <c r="A12209" s="4" t="s">
        <v>12206</v>
      </c>
      <c r="B12209" s="4" t="s">
        <v>9011</v>
      </c>
      <c r="C12209" s="2" t="str">
        <f ca="1">IFERROR(__xludf.DUMMYFUNCTION("GOOGLETRANSLATE(A12209,""bn"",""en"")"),"The winner will win the war")</f>
        <v>The winner will win the war</v>
      </c>
      <c r="D12209" s="5"/>
      <c r="E12209" s="5"/>
      <c r="F12209" s="5"/>
      <c r="G12209" s="5"/>
      <c r="H12209" s="5"/>
      <c r="I12209" s="5"/>
      <c r="J12209" s="5"/>
      <c r="K12209" s="5"/>
      <c r="L12209" s="5"/>
      <c r="M12209" s="5"/>
      <c r="N12209" s="5"/>
      <c r="O12209" s="5"/>
      <c r="P12209" s="5"/>
      <c r="Q12209" s="5"/>
      <c r="R12209" s="5"/>
      <c r="S12209" s="5"/>
      <c r="T12209" s="5"/>
      <c r="U12209" s="5"/>
      <c r="V12209" s="5"/>
      <c r="W12209" s="5"/>
      <c r="X12209" s="5"/>
      <c r="Y12209" s="5"/>
      <c r="Z12209" s="5"/>
    </row>
    <row r="12210" spans="1:26" ht="15" x14ac:dyDescent="0.25">
      <c r="A12210" s="4" t="s">
        <v>12207</v>
      </c>
      <c r="B12210" s="4" t="s">
        <v>9011</v>
      </c>
      <c r="C12210" s="2" t="str">
        <f ca="1">IFERROR(__xludf.DUMMYFUNCTION("GOOGLETRANSLATE(A12210,""bn"",""en"")"),"Must use iOS")</f>
        <v>Must use iOS</v>
      </c>
      <c r="D12210" s="5"/>
      <c r="E12210" s="5"/>
      <c r="F12210" s="5"/>
      <c r="G12210" s="5"/>
      <c r="H12210" s="5"/>
      <c r="I12210" s="5"/>
      <c r="J12210" s="5"/>
      <c r="K12210" s="5"/>
      <c r="L12210" s="5"/>
      <c r="M12210" s="5"/>
      <c r="N12210" s="5"/>
      <c r="O12210" s="5"/>
      <c r="P12210" s="5"/>
      <c r="Q12210" s="5"/>
      <c r="R12210" s="5"/>
      <c r="S12210" s="5"/>
      <c r="T12210" s="5"/>
      <c r="U12210" s="5"/>
      <c r="V12210" s="5"/>
      <c r="W12210" s="5"/>
      <c r="X12210" s="5"/>
      <c r="Y12210" s="5"/>
      <c r="Z12210" s="5"/>
    </row>
    <row r="12211" spans="1:26" ht="15" x14ac:dyDescent="0.25">
      <c r="A12211" s="4" t="s">
        <v>12208</v>
      </c>
      <c r="B12211" s="4" t="s">
        <v>9011</v>
      </c>
      <c r="C12211" s="2" t="str">
        <f ca="1">IFERROR(__xludf.DUMMYFUNCTION("GOOGLETRANSLATE(A12211,""bn"",""en"")"),"I will learn about data mining")</f>
        <v>I will learn about data mining</v>
      </c>
      <c r="D12211" s="5"/>
      <c r="E12211" s="5"/>
      <c r="F12211" s="5"/>
      <c r="G12211" s="5"/>
      <c r="H12211" s="5"/>
      <c r="I12211" s="5"/>
      <c r="J12211" s="5"/>
      <c r="K12211" s="5"/>
      <c r="L12211" s="5"/>
      <c r="M12211" s="5"/>
      <c r="N12211" s="5"/>
      <c r="O12211" s="5"/>
      <c r="P12211" s="5"/>
      <c r="Q12211" s="5"/>
      <c r="R12211" s="5"/>
      <c r="S12211" s="5"/>
      <c r="T12211" s="5"/>
      <c r="U12211" s="5"/>
      <c r="V12211" s="5"/>
      <c r="W12211" s="5"/>
      <c r="X12211" s="5"/>
      <c r="Y12211" s="5"/>
      <c r="Z12211" s="5"/>
    </row>
    <row r="12212" spans="1:26" ht="15" x14ac:dyDescent="0.25">
      <c r="A12212" s="4" t="s">
        <v>12209</v>
      </c>
      <c r="B12212" s="4" t="s">
        <v>9011</v>
      </c>
      <c r="C12212" s="2" t="str">
        <f ca="1">IFERROR(__xludf.DUMMYFUNCTION("GOOGLETRANSLATE(A12212,""bn"",""en"")"),"He will explore cyberspace")</f>
        <v>He will explore cyberspace</v>
      </c>
      <c r="D12212" s="5"/>
      <c r="E12212" s="5"/>
      <c r="F12212" s="5"/>
      <c r="G12212" s="5"/>
      <c r="H12212" s="5"/>
      <c r="I12212" s="5"/>
      <c r="J12212" s="5"/>
      <c r="K12212" s="5"/>
      <c r="L12212" s="5"/>
      <c r="M12212" s="5"/>
      <c r="N12212" s="5"/>
      <c r="O12212" s="5"/>
      <c r="P12212" s="5"/>
      <c r="Q12212" s="5"/>
      <c r="R12212" s="5"/>
      <c r="S12212" s="5"/>
      <c r="T12212" s="5"/>
      <c r="U12212" s="5"/>
      <c r="V12212" s="5"/>
      <c r="W12212" s="5"/>
      <c r="X12212" s="5"/>
      <c r="Y12212" s="5"/>
      <c r="Z12212" s="5"/>
    </row>
    <row r="12213" spans="1:26" ht="15" x14ac:dyDescent="0.25">
      <c r="A12213" s="4" t="s">
        <v>12210</v>
      </c>
      <c r="B12213" s="4" t="s">
        <v>9011</v>
      </c>
      <c r="C12213" s="2" t="str">
        <f ca="1">IFERROR(__xludf.DUMMYFUNCTION("GOOGLETRANSLATE(A12213,""bn"",""en"")"),"Gradually the trend of hacking will increase")</f>
        <v>Gradually the trend of hacking will increase</v>
      </c>
      <c r="D12213" s="5"/>
      <c r="E12213" s="5"/>
      <c r="F12213" s="5"/>
      <c r="G12213" s="5"/>
      <c r="H12213" s="5"/>
      <c r="I12213" s="5"/>
      <c r="J12213" s="5"/>
      <c r="K12213" s="5"/>
      <c r="L12213" s="5"/>
      <c r="M12213" s="5"/>
      <c r="N12213" s="5"/>
      <c r="O12213" s="5"/>
      <c r="P12213" s="5"/>
      <c r="Q12213" s="5"/>
      <c r="R12213" s="5"/>
      <c r="S12213" s="5"/>
      <c r="T12213" s="5"/>
      <c r="U12213" s="5"/>
      <c r="V12213" s="5"/>
      <c r="W12213" s="5"/>
      <c r="X12213" s="5"/>
      <c r="Y12213" s="5"/>
      <c r="Z12213" s="5"/>
    </row>
    <row r="12214" spans="1:26" ht="15" x14ac:dyDescent="0.25">
      <c r="A12214" s="4" t="s">
        <v>12211</v>
      </c>
      <c r="B12214" s="4" t="s">
        <v>9011</v>
      </c>
      <c r="C12214" s="2" t="str">
        <f ca="1">IFERROR(__xludf.DUMMYFUNCTION("GOOGLETRANSLATE(A12214,""bn"",""en"")"),"I will have cold coffee")</f>
        <v>I will have cold coffee</v>
      </c>
      <c r="D12214" s="5"/>
      <c r="E12214" s="5"/>
      <c r="F12214" s="5"/>
      <c r="G12214" s="5"/>
      <c r="H12214" s="5"/>
      <c r="I12214" s="5"/>
      <c r="J12214" s="5"/>
      <c r="K12214" s="5"/>
      <c r="L12214" s="5"/>
      <c r="M12214" s="5"/>
      <c r="N12214" s="5"/>
      <c r="O12214" s="5"/>
      <c r="P12214" s="5"/>
      <c r="Q12214" s="5"/>
      <c r="R12214" s="5"/>
      <c r="S12214" s="5"/>
      <c r="T12214" s="5"/>
      <c r="U12214" s="5"/>
      <c r="V12214" s="5"/>
      <c r="W12214" s="5"/>
      <c r="X12214" s="5"/>
      <c r="Y12214" s="5"/>
      <c r="Z12214" s="5"/>
    </row>
    <row r="12215" spans="1:26" ht="15" x14ac:dyDescent="0.25">
      <c r="A12215" s="4" t="s">
        <v>12212</v>
      </c>
      <c r="B12215" s="4" t="s">
        <v>9011</v>
      </c>
      <c r="C12215" s="2" t="str">
        <f ca="1">IFERROR(__xludf.DUMMYFUNCTION("GOOGLETRANSLATE(A12215,""bn"",""en"")"),"The party will be for campaigning")</f>
        <v>The party will be for campaigning</v>
      </c>
      <c r="D12215" s="5"/>
      <c r="E12215" s="5"/>
      <c r="F12215" s="5"/>
      <c r="G12215" s="5"/>
      <c r="H12215" s="5"/>
      <c r="I12215" s="5"/>
      <c r="J12215" s="5"/>
      <c r="K12215" s="5"/>
      <c r="L12215" s="5"/>
      <c r="M12215" s="5"/>
      <c r="N12215" s="5"/>
      <c r="O12215" s="5"/>
      <c r="P12215" s="5"/>
      <c r="Q12215" s="5"/>
      <c r="R12215" s="5"/>
      <c r="S12215" s="5"/>
      <c r="T12215" s="5"/>
      <c r="U12215" s="5"/>
      <c r="V12215" s="5"/>
      <c r="W12215" s="5"/>
      <c r="X12215" s="5"/>
      <c r="Y12215" s="5"/>
      <c r="Z12215" s="5"/>
    </row>
    <row r="12216" spans="1:26" ht="15" x14ac:dyDescent="0.25">
      <c r="A12216" s="4" t="s">
        <v>12213</v>
      </c>
      <c r="B12216" s="4" t="s">
        <v>9011</v>
      </c>
      <c r="C12216" s="2" t="str">
        <f ca="1">IFERROR(__xludf.DUMMYFUNCTION("GOOGLETRANSLATE(A12216,""bn"",""en"")"),"Get their credit card")</f>
        <v>Get their credit card</v>
      </c>
      <c r="D12216" s="5"/>
      <c r="E12216" s="5"/>
      <c r="F12216" s="5"/>
      <c r="G12216" s="5"/>
      <c r="H12216" s="5"/>
      <c r="I12216" s="5"/>
      <c r="J12216" s="5"/>
      <c r="K12216" s="5"/>
      <c r="L12216" s="5"/>
      <c r="M12216" s="5"/>
      <c r="N12216" s="5"/>
      <c r="O12216" s="5"/>
      <c r="P12216" s="5"/>
      <c r="Q12216" s="5"/>
      <c r="R12216" s="5"/>
      <c r="S12216" s="5"/>
      <c r="T12216" s="5"/>
      <c r="U12216" s="5"/>
      <c r="V12216" s="5"/>
      <c r="W12216" s="5"/>
      <c r="X12216" s="5"/>
      <c r="Y12216" s="5"/>
      <c r="Z12216" s="5"/>
    </row>
    <row r="12217" spans="1:26" ht="15" x14ac:dyDescent="0.25">
      <c r="A12217" s="4" t="s">
        <v>12214</v>
      </c>
      <c r="B12217" s="4" t="s">
        <v>9011</v>
      </c>
      <c r="C12217" s="2" t="str">
        <f ca="1">IFERROR(__xludf.DUMMYFUNCTION("GOOGLETRANSLATE(A12217,""bn"",""en"")"),"Can talk on skype")</f>
        <v>Can talk on skype</v>
      </c>
      <c r="D12217" s="5"/>
      <c r="E12217" s="5"/>
      <c r="F12217" s="5"/>
      <c r="G12217" s="5"/>
      <c r="H12217" s="5"/>
      <c r="I12217" s="5"/>
      <c r="J12217" s="5"/>
      <c r="K12217" s="5"/>
      <c r="L12217" s="5"/>
      <c r="M12217" s="5"/>
      <c r="N12217" s="5"/>
      <c r="O12217" s="5"/>
      <c r="P12217" s="5"/>
      <c r="Q12217" s="5"/>
      <c r="R12217" s="5"/>
      <c r="S12217" s="5"/>
      <c r="T12217" s="5"/>
      <c r="U12217" s="5"/>
      <c r="V12217" s="5"/>
      <c r="W12217" s="5"/>
      <c r="X12217" s="5"/>
      <c r="Y12217" s="5"/>
      <c r="Z12217" s="5"/>
    </row>
    <row r="12218" spans="1:26" ht="15" x14ac:dyDescent="0.25">
      <c r="A12218" s="4" t="s">
        <v>12215</v>
      </c>
      <c r="B12218" s="4" t="s">
        <v>9011</v>
      </c>
      <c r="C12218" s="2" t="str">
        <f ca="1">IFERROR(__xludf.DUMMYFUNCTION("GOOGLETRANSLATE(A12218,""bn"",""en"")"),"Self-reliance will be achieved in the country")</f>
        <v>Self-reliance will be achieved in the country</v>
      </c>
      <c r="D12218" s="5"/>
      <c r="E12218" s="5"/>
      <c r="F12218" s="5"/>
      <c r="G12218" s="5"/>
      <c r="H12218" s="5"/>
      <c r="I12218" s="5"/>
      <c r="J12218" s="5"/>
      <c r="K12218" s="5"/>
      <c r="L12218" s="5"/>
      <c r="M12218" s="5"/>
      <c r="N12218" s="5"/>
      <c r="O12218" s="5"/>
      <c r="P12218" s="5"/>
      <c r="Q12218" s="5"/>
      <c r="R12218" s="5"/>
      <c r="S12218" s="5"/>
      <c r="T12218" s="5"/>
      <c r="U12218" s="5"/>
      <c r="V12218" s="5"/>
      <c r="W12218" s="5"/>
      <c r="X12218" s="5"/>
      <c r="Y12218" s="5"/>
      <c r="Z12218" s="5"/>
    </row>
    <row r="12219" spans="1:26" ht="15" x14ac:dyDescent="0.25">
      <c r="A12219" s="4" t="s">
        <v>12216</v>
      </c>
      <c r="B12219" s="4" t="s">
        <v>9011</v>
      </c>
      <c r="C12219" s="2" t="str">
        <f ca="1">IFERROR(__xludf.DUMMYFUNCTION("GOOGLETRANSLATE(A12219,""bn"",""en"")"),"Technology will be aimed at public welfare")</f>
        <v>Technology will be aimed at public welfare</v>
      </c>
      <c r="D12219" s="5"/>
      <c r="E12219" s="5"/>
      <c r="F12219" s="5"/>
      <c r="G12219" s="5"/>
      <c r="H12219" s="5"/>
      <c r="I12219" s="5"/>
      <c r="J12219" s="5"/>
      <c r="K12219" s="5"/>
      <c r="L12219" s="5"/>
      <c r="M12219" s="5"/>
      <c r="N12219" s="5"/>
      <c r="O12219" s="5"/>
      <c r="P12219" s="5"/>
      <c r="Q12219" s="5"/>
      <c r="R12219" s="5"/>
      <c r="S12219" s="5"/>
      <c r="T12219" s="5"/>
      <c r="U12219" s="5"/>
      <c r="V12219" s="5"/>
      <c r="W12219" s="5"/>
      <c r="X12219" s="5"/>
      <c r="Y12219" s="5"/>
      <c r="Z12219" s="5"/>
    </row>
    <row r="12220" spans="1:26" ht="15" x14ac:dyDescent="0.25">
      <c r="A12220" s="4" t="s">
        <v>12217</v>
      </c>
      <c r="B12220" s="4" t="s">
        <v>9011</v>
      </c>
      <c r="C12220" s="2" t="str">
        <f ca="1">IFERROR(__xludf.DUMMYFUNCTION("GOOGLETRANSLATE(A12220,""bn"",""en"")"),"Army strength will increase in future")</f>
        <v>Army strength will increase in future</v>
      </c>
      <c r="D12220" s="5"/>
      <c r="E12220" s="5"/>
      <c r="F12220" s="5"/>
      <c r="G12220" s="5"/>
      <c r="H12220" s="5"/>
      <c r="I12220" s="5"/>
      <c r="J12220" s="5"/>
      <c r="K12220" s="5"/>
      <c r="L12220" s="5"/>
      <c r="M12220" s="5"/>
      <c r="N12220" s="5"/>
      <c r="O12220" s="5"/>
      <c r="P12220" s="5"/>
      <c r="Q12220" s="5"/>
      <c r="R12220" s="5"/>
      <c r="S12220" s="5"/>
      <c r="T12220" s="5"/>
      <c r="U12220" s="5"/>
      <c r="V12220" s="5"/>
      <c r="W12220" s="5"/>
      <c r="X12220" s="5"/>
      <c r="Y12220" s="5"/>
      <c r="Z12220" s="5"/>
    </row>
    <row r="12221" spans="1:26" ht="15" x14ac:dyDescent="0.25">
      <c r="A12221" s="4" t="s">
        <v>12218</v>
      </c>
      <c r="B12221" s="4" t="s">
        <v>9011</v>
      </c>
      <c r="C12221" s="2" t="str">
        <f ca="1">IFERROR(__xludf.DUMMYFUNCTION("GOOGLETRANSLATE(A12221,""bn"",""en"")"),"They will form research groups")</f>
        <v>They will form research groups</v>
      </c>
      <c r="D12221" s="5"/>
      <c r="E12221" s="5"/>
      <c r="F12221" s="5"/>
      <c r="G12221" s="5"/>
      <c r="H12221" s="5"/>
      <c r="I12221" s="5"/>
      <c r="J12221" s="5"/>
      <c r="K12221" s="5"/>
      <c r="L12221" s="5"/>
      <c r="M12221" s="5"/>
      <c r="N12221" s="5"/>
      <c r="O12221" s="5"/>
      <c r="P12221" s="5"/>
      <c r="Q12221" s="5"/>
      <c r="R12221" s="5"/>
      <c r="S12221" s="5"/>
      <c r="T12221" s="5"/>
      <c r="U12221" s="5"/>
      <c r="V12221" s="5"/>
      <c r="W12221" s="5"/>
      <c r="X12221" s="5"/>
      <c r="Y12221" s="5"/>
      <c r="Z12221" s="5"/>
    </row>
    <row r="12222" spans="1:26" ht="15" x14ac:dyDescent="0.25">
      <c r="A12222" s="4" t="s">
        <v>12219</v>
      </c>
      <c r="B12222" s="4" t="s">
        <v>9011</v>
      </c>
      <c r="C12222" s="2" t="str">
        <f ca="1">IFERROR(__xludf.DUMMYFUNCTION("GOOGLETRANSLATE(A12222,""bn"",""en"")"),"Across the sea you will see the sea lions")</f>
        <v>Across the sea you will see the sea lions</v>
      </c>
      <c r="D12222" s="5"/>
      <c r="E12222" s="5"/>
      <c r="F12222" s="5"/>
      <c r="G12222" s="5"/>
      <c r="H12222" s="5"/>
      <c r="I12222" s="5"/>
      <c r="J12222" s="5"/>
      <c r="K12222" s="5"/>
      <c r="L12222" s="5"/>
      <c r="M12222" s="5"/>
      <c r="N12222" s="5"/>
      <c r="O12222" s="5"/>
      <c r="P12222" s="5"/>
      <c r="Q12222" s="5"/>
      <c r="R12222" s="5"/>
      <c r="S12222" s="5"/>
      <c r="T12222" s="5"/>
      <c r="U12222" s="5"/>
      <c r="V12222" s="5"/>
      <c r="W12222" s="5"/>
      <c r="X12222" s="5"/>
      <c r="Y12222" s="5"/>
      <c r="Z12222" s="5"/>
    </row>
    <row r="12223" spans="1:26" ht="15" x14ac:dyDescent="0.25">
      <c r="A12223" s="4" t="s">
        <v>12220</v>
      </c>
      <c r="B12223" s="4" t="s">
        <v>9011</v>
      </c>
      <c r="C12223" s="2" t="str">
        <f ca="1">IFERROR(__xludf.DUMMYFUNCTION("GOOGLETRANSLATE(A12223,""bn"",""en"")"),"Buy bus tickets online")</f>
        <v>Buy bus tickets online</v>
      </c>
      <c r="D12223" s="5"/>
      <c r="E12223" s="5"/>
      <c r="F12223" s="5"/>
      <c r="G12223" s="5"/>
      <c r="H12223" s="5"/>
      <c r="I12223" s="5"/>
      <c r="J12223" s="5"/>
      <c r="K12223" s="5"/>
      <c r="L12223" s="5"/>
      <c r="M12223" s="5"/>
      <c r="N12223" s="5"/>
      <c r="O12223" s="5"/>
      <c r="P12223" s="5"/>
      <c r="Q12223" s="5"/>
      <c r="R12223" s="5"/>
      <c r="S12223" s="5"/>
      <c r="T12223" s="5"/>
      <c r="U12223" s="5"/>
      <c r="V12223" s="5"/>
      <c r="W12223" s="5"/>
      <c r="X12223" s="5"/>
      <c r="Y12223" s="5"/>
      <c r="Z12223" s="5"/>
    </row>
    <row r="12224" spans="1:26" ht="15" x14ac:dyDescent="0.25">
      <c r="A12224" s="4" t="s">
        <v>12221</v>
      </c>
      <c r="B12224" s="4" t="s">
        <v>9011</v>
      </c>
      <c r="C12224" s="2" t="str">
        <f ca="1">IFERROR(__xludf.DUMMYFUNCTION("GOOGLETRANSLATE(A12224,""bn"",""en"")"),"The software will require coding")</f>
        <v>The software will require coding</v>
      </c>
      <c r="D12224" s="5"/>
      <c r="E12224" s="5"/>
      <c r="F12224" s="5"/>
      <c r="G12224" s="5"/>
      <c r="H12224" s="5"/>
      <c r="I12224" s="5"/>
      <c r="J12224" s="5"/>
      <c r="K12224" s="5"/>
      <c r="L12224" s="5"/>
      <c r="M12224" s="5"/>
      <c r="N12224" s="5"/>
      <c r="O12224" s="5"/>
      <c r="P12224" s="5"/>
      <c r="Q12224" s="5"/>
      <c r="R12224" s="5"/>
      <c r="S12224" s="5"/>
      <c r="T12224" s="5"/>
      <c r="U12224" s="5"/>
      <c r="V12224" s="5"/>
      <c r="W12224" s="5"/>
      <c r="X12224" s="5"/>
      <c r="Y12224" s="5"/>
      <c r="Z12224" s="5"/>
    </row>
    <row r="12225" spans="1:26" ht="15" x14ac:dyDescent="0.25">
      <c r="A12225" s="4" t="s">
        <v>12222</v>
      </c>
      <c r="B12225" s="4" t="s">
        <v>9011</v>
      </c>
      <c r="C12225" s="2" t="str">
        <f ca="1">IFERROR(__xludf.DUMMYFUNCTION("GOOGLETRANSLATE(A12225,""bn"",""en"")"),"Will handle my bug")</f>
        <v>Will handle my bug</v>
      </c>
      <c r="D12225" s="5"/>
      <c r="E12225" s="5"/>
      <c r="F12225" s="5"/>
      <c r="G12225" s="5"/>
      <c r="H12225" s="5"/>
      <c r="I12225" s="5"/>
      <c r="J12225" s="5"/>
      <c r="K12225" s="5"/>
      <c r="L12225" s="5"/>
      <c r="M12225" s="5"/>
      <c r="N12225" s="5"/>
      <c r="O12225" s="5"/>
      <c r="P12225" s="5"/>
      <c r="Q12225" s="5"/>
      <c r="R12225" s="5"/>
      <c r="S12225" s="5"/>
      <c r="T12225" s="5"/>
      <c r="U12225" s="5"/>
      <c r="V12225" s="5"/>
      <c r="W12225" s="5"/>
      <c r="X12225" s="5"/>
      <c r="Y12225" s="5"/>
      <c r="Z12225" s="5"/>
    </row>
    <row r="12226" spans="1:26" ht="15" x14ac:dyDescent="0.25">
      <c r="A12226" s="4" t="s">
        <v>12223</v>
      </c>
      <c r="B12226" s="4" t="s">
        <v>9011</v>
      </c>
      <c r="C12226" s="2" t="str">
        <f ca="1">IFERROR(__xludf.DUMMYFUNCTION("GOOGLETRANSLATE(A12226,""bn"",""en"")"),"The boat will travel in the sea")</f>
        <v>The boat will travel in the sea</v>
      </c>
      <c r="D12226" s="5"/>
      <c r="E12226" s="5"/>
      <c r="F12226" s="5"/>
      <c r="G12226" s="5"/>
      <c r="H12226" s="5"/>
      <c r="I12226" s="5"/>
      <c r="J12226" s="5"/>
      <c r="K12226" s="5"/>
      <c r="L12226" s="5"/>
      <c r="M12226" s="5"/>
      <c r="N12226" s="5"/>
      <c r="O12226" s="5"/>
      <c r="P12226" s="5"/>
      <c r="Q12226" s="5"/>
      <c r="R12226" s="5"/>
      <c r="S12226" s="5"/>
      <c r="T12226" s="5"/>
      <c r="U12226" s="5"/>
      <c r="V12226" s="5"/>
      <c r="W12226" s="5"/>
      <c r="X12226" s="5"/>
      <c r="Y12226" s="5"/>
      <c r="Z12226" s="5"/>
    </row>
    <row r="12227" spans="1:26" ht="15" x14ac:dyDescent="0.25">
      <c r="A12227" s="4" t="s">
        <v>12224</v>
      </c>
      <c r="B12227" s="4" t="s">
        <v>9011</v>
      </c>
      <c r="C12227" s="2" t="str">
        <f ca="1">IFERROR(__xludf.DUMMYFUNCTION("GOOGLETRANSLATE(A12227,""bn"",""en"")"),"We will see the night sky")</f>
        <v>We will see the night sky</v>
      </c>
      <c r="D12227" s="5"/>
      <c r="E12227" s="5"/>
      <c r="F12227" s="5"/>
      <c r="G12227" s="5"/>
      <c r="H12227" s="5"/>
      <c r="I12227" s="5"/>
      <c r="J12227" s="5"/>
      <c r="K12227" s="5"/>
      <c r="L12227" s="5"/>
      <c r="M12227" s="5"/>
      <c r="N12227" s="5"/>
      <c r="O12227" s="5"/>
      <c r="P12227" s="5"/>
      <c r="Q12227" s="5"/>
      <c r="R12227" s="5"/>
      <c r="S12227" s="5"/>
      <c r="T12227" s="5"/>
      <c r="U12227" s="5"/>
      <c r="V12227" s="5"/>
      <c r="W12227" s="5"/>
      <c r="X12227" s="5"/>
      <c r="Y12227" s="5"/>
      <c r="Z12227" s="5"/>
    </row>
    <row r="12228" spans="1:26" ht="15" x14ac:dyDescent="0.25">
      <c r="A12228" s="4" t="s">
        <v>12225</v>
      </c>
      <c r="B12228" s="4" t="s">
        <v>9011</v>
      </c>
      <c r="C12228" s="2" t="str">
        <f ca="1">IFERROR(__xludf.DUMMYFUNCTION("GOOGLETRANSLATE(A12228,""bn"",""en"")"),"Technology will improve rapidly")</f>
        <v>Technology will improve rapidly</v>
      </c>
      <c r="D12228" s="5"/>
      <c r="E12228" s="5"/>
      <c r="F12228" s="5"/>
      <c r="G12228" s="5"/>
      <c r="H12228" s="5"/>
      <c r="I12228" s="5"/>
      <c r="J12228" s="5"/>
      <c r="K12228" s="5"/>
      <c r="L12228" s="5"/>
      <c r="M12228" s="5"/>
      <c r="N12228" s="5"/>
      <c r="O12228" s="5"/>
      <c r="P12228" s="5"/>
      <c r="Q12228" s="5"/>
      <c r="R12228" s="5"/>
      <c r="S12228" s="5"/>
      <c r="T12228" s="5"/>
      <c r="U12228" s="5"/>
      <c r="V12228" s="5"/>
      <c r="W12228" s="5"/>
      <c r="X12228" s="5"/>
      <c r="Y12228" s="5"/>
      <c r="Z12228" s="5"/>
    </row>
    <row r="12229" spans="1:26" ht="15" x14ac:dyDescent="0.25">
      <c r="A12229" s="4" t="s">
        <v>12226</v>
      </c>
      <c r="B12229" s="4" t="s">
        <v>9011</v>
      </c>
      <c r="C12229" s="2" t="str">
        <f ca="1">IFERROR(__xludf.DUMMYFUNCTION("GOOGLETRANSLATE(A12229,""bn"",""en"")"),"Islamic songs will be played during Ramadan")</f>
        <v>Islamic songs will be played during Ramadan</v>
      </c>
      <c r="D12229" s="5"/>
      <c r="E12229" s="5"/>
      <c r="F12229" s="5"/>
      <c r="G12229" s="5"/>
      <c r="H12229" s="5"/>
      <c r="I12229" s="5"/>
      <c r="J12229" s="5"/>
      <c r="K12229" s="5"/>
      <c r="L12229" s="5"/>
      <c r="M12229" s="5"/>
      <c r="N12229" s="5"/>
      <c r="O12229" s="5"/>
      <c r="P12229" s="5"/>
      <c r="Q12229" s="5"/>
      <c r="R12229" s="5"/>
      <c r="S12229" s="5"/>
      <c r="T12229" s="5"/>
      <c r="U12229" s="5"/>
      <c r="V12229" s="5"/>
      <c r="W12229" s="5"/>
      <c r="X12229" s="5"/>
      <c r="Y12229" s="5"/>
      <c r="Z12229" s="5"/>
    </row>
    <row r="12230" spans="1:26" ht="15" x14ac:dyDescent="0.25">
      <c r="A12230" s="4" t="s">
        <v>12227</v>
      </c>
      <c r="B12230" s="4" t="s">
        <v>9011</v>
      </c>
      <c r="C12230" s="2" t="str">
        <f ca="1">IFERROR(__xludf.DUMMYFUNCTION("GOOGLETRANSLATE(A12230,""bn"",""en"")"),"Commercial circulation will be very high")</f>
        <v>Commercial circulation will be very high</v>
      </c>
      <c r="D12230" s="5"/>
      <c r="E12230" s="5"/>
      <c r="F12230" s="5"/>
      <c r="G12230" s="5"/>
      <c r="H12230" s="5"/>
      <c r="I12230" s="5"/>
      <c r="J12230" s="5"/>
      <c r="K12230" s="5"/>
      <c r="L12230" s="5"/>
      <c r="M12230" s="5"/>
      <c r="N12230" s="5"/>
      <c r="O12230" s="5"/>
      <c r="P12230" s="5"/>
      <c r="Q12230" s="5"/>
      <c r="R12230" s="5"/>
      <c r="S12230" s="5"/>
      <c r="T12230" s="5"/>
      <c r="U12230" s="5"/>
      <c r="V12230" s="5"/>
      <c r="W12230" s="5"/>
      <c r="X12230" s="5"/>
      <c r="Y12230" s="5"/>
      <c r="Z12230" s="5"/>
    </row>
    <row r="12231" spans="1:26" ht="15" x14ac:dyDescent="0.25">
      <c r="A12231" s="4" t="s">
        <v>12228</v>
      </c>
      <c r="B12231" s="4" t="s">
        <v>9011</v>
      </c>
      <c r="C12231" s="2" t="str">
        <f ca="1">IFERROR(__xludf.DUMMYFUNCTION("GOOGLETRANSLATE(A12231,""bn"",""en"")"),"A pond will be built in the garden")</f>
        <v>A pond will be built in the garden</v>
      </c>
      <c r="D12231" s="5"/>
      <c r="E12231" s="5"/>
      <c r="F12231" s="5"/>
      <c r="G12231" s="5"/>
      <c r="H12231" s="5"/>
      <c r="I12231" s="5"/>
      <c r="J12231" s="5"/>
      <c r="K12231" s="5"/>
      <c r="L12231" s="5"/>
      <c r="M12231" s="5"/>
      <c r="N12231" s="5"/>
      <c r="O12231" s="5"/>
      <c r="P12231" s="5"/>
      <c r="Q12231" s="5"/>
      <c r="R12231" s="5"/>
      <c r="S12231" s="5"/>
      <c r="T12231" s="5"/>
      <c r="U12231" s="5"/>
      <c r="V12231" s="5"/>
      <c r="W12231" s="5"/>
      <c r="X12231" s="5"/>
      <c r="Y12231" s="5"/>
      <c r="Z12231" s="5"/>
    </row>
    <row r="12232" spans="1:26" ht="15" x14ac:dyDescent="0.25">
      <c r="A12232" s="4" t="s">
        <v>12229</v>
      </c>
      <c r="B12232" s="4" t="s">
        <v>9011</v>
      </c>
      <c r="C12232" s="2" t="str">
        <f ca="1">IFERROR(__xludf.DUMMYFUNCTION("GOOGLETRANSLATE(A12232,""bn"",""en"")"),"He will learn ghost stories")</f>
        <v>He will learn ghost stories</v>
      </c>
      <c r="D12232" s="5"/>
      <c r="E12232" s="5"/>
      <c r="F12232" s="5"/>
      <c r="G12232" s="5"/>
      <c r="H12232" s="5"/>
      <c r="I12232" s="5"/>
      <c r="J12232" s="5"/>
      <c r="K12232" s="5"/>
      <c r="L12232" s="5"/>
      <c r="M12232" s="5"/>
      <c r="N12232" s="5"/>
      <c r="O12232" s="5"/>
      <c r="P12232" s="5"/>
      <c r="Q12232" s="5"/>
      <c r="R12232" s="5"/>
      <c r="S12232" s="5"/>
      <c r="T12232" s="5"/>
      <c r="U12232" s="5"/>
      <c r="V12232" s="5"/>
      <c r="W12232" s="5"/>
      <c r="X12232" s="5"/>
      <c r="Y12232" s="5"/>
      <c r="Z12232" s="5"/>
    </row>
    <row r="12233" spans="1:26" ht="15" x14ac:dyDescent="0.25">
      <c r="A12233" s="4" t="s">
        <v>12230</v>
      </c>
      <c r="B12233" s="4" t="s">
        <v>9011</v>
      </c>
      <c r="C12233" s="2" t="str">
        <f ca="1">IFERROR(__xludf.DUMMYFUNCTION("GOOGLETRANSLATE(A12233,""bn"",""en"")"),"Testing will correct mistakes")</f>
        <v>Testing will correct mistakes</v>
      </c>
      <c r="D12233" s="5"/>
      <c r="E12233" s="5"/>
      <c r="F12233" s="5"/>
      <c r="G12233" s="5"/>
      <c r="H12233" s="5"/>
      <c r="I12233" s="5"/>
      <c r="J12233" s="5"/>
      <c r="K12233" s="5"/>
      <c r="L12233" s="5"/>
      <c r="M12233" s="5"/>
      <c r="N12233" s="5"/>
      <c r="O12233" s="5"/>
      <c r="P12233" s="5"/>
      <c r="Q12233" s="5"/>
      <c r="R12233" s="5"/>
      <c r="S12233" s="5"/>
      <c r="T12233" s="5"/>
      <c r="U12233" s="5"/>
      <c r="V12233" s="5"/>
      <c r="W12233" s="5"/>
      <c r="X12233" s="5"/>
      <c r="Y12233" s="5"/>
      <c r="Z12233" s="5"/>
    </row>
    <row r="12234" spans="1:26" ht="15" x14ac:dyDescent="0.25">
      <c r="A12234" s="4" t="s">
        <v>12231</v>
      </c>
      <c r="B12234" s="4" t="s">
        <v>9011</v>
      </c>
      <c r="C12234" s="2" t="str">
        <f ca="1">IFERROR(__xludf.DUMMYFUNCTION("GOOGLETRANSLATE(A12234,""bn"",""en"")"),"DevC will be programming on PlusPlus")</f>
        <v>DevC will be programming on PlusPlus</v>
      </c>
      <c r="D12234" s="5"/>
      <c r="E12234" s="5"/>
      <c r="F12234" s="5"/>
      <c r="G12234" s="5"/>
      <c r="H12234" s="5"/>
      <c r="I12234" s="5"/>
      <c r="J12234" s="5"/>
      <c r="K12234" s="5"/>
      <c r="L12234" s="5"/>
      <c r="M12234" s="5"/>
      <c r="N12234" s="5"/>
      <c r="O12234" s="5"/>
      <c r="P12234" s="5"/>
      <c r="Q12234" s="5"/>
      <c r="R12234" s="5"/>
      <c r="S12234" s="5"/>
      <c r="T12234" s="5"/>
      <c r="U12234" s="5"/>
      <c r="V12234" s="5"/>
      <c r="W12234" s="5"/>
      <c r="X12234" s="5"/>
      <c r="Y12234" s="5"/>
      <c r="Z12234" s="5"/>
    </row>
    <row r="12235" spans="1:26" ht="15" x14ac:dyDescent="0.25">
      <c r="A12235" s="4" t="s">
        <v>12232</v>
      </c>
      <c r="B12235" s="4" t="s">
        <v>9011</v>
      </c>
      <c r="C12235" s="2" t="str">
        <f ca="1">IFERROR(__xludf.DUMMYFUNCTION("GOOGLETRANSLATE(A12235,""bn"",""en"")"),"Students will join the university")</f>
        <v>Students will join the university</v>
      </c>
      <c r="D12235" s="5"/>
      <c r="E12235" s="5"/>
      <c r="F12235" s="5"/>
      <c r="G12235" s="5"/>
      <c r="H12235" s="5"/>
      <c r="I12235" s="5"/>
      <c r="J12235" s="5"/>
      <c r="K12235" s="5"/>
      <c r="L12235" s="5"/>
      <c r="M12235" s="5"/>
      <c r="N12235" s="5"/>
      <c r="O12235" s="5"/>
      <c r="P12235" s="5"/>
      <c r="Q12235" s="5"/>
      <c r="R12235" s="5"/>
      <c r="S12235" s="5"/>
      <c r="T12235" s="5"/>
      <c r="U12235" s="5"/>
      <c r="V12235" s="5"/>
      <c r="W12235" s="5"/>
      <c r="X12235" s="5"/>
      <c r="Y12235" s="5"/>
      <c r="Z12235" s="5"/>
    </row>
    <row r="12236" spans="1:26" ht="15" x14ac:dyDescent="0.25">
      <c r="A12236" s="4" t="s">
        <v>12233</v>
      </c>
      <c r="B12236" s="4" t="s">
        <v>9011</v>
      </c>
      <c r="C12236" s="2" t="str">
        <f ca="1">IFERROR(__xludf.DUMMYFUNCTION("GOOGLETRANSLATE(A12236,""bn"",""en"")"),"The database will contain a lot of information")</f>
        <v>The database will contain a lot of information</v>
      </c>
      <c r="D12236" s="5"/>
      <c r="E12236" s="5"/>
      <c r="F12236" s="5"/>
      <c r="G12236" s="5"/>
      <c r="H12236" s="5"/>
      <c r="I12236" s="5"/>
      <c r="J12236" s="5"/>
      <c r="K12236" s="5"/>
      <c r="L12236" s="5"/>
      <c r="M12236" s="5"/>
      <c r="N12236" s="5"/>
      <c r="O12236" s="5"/>
      <c r="P12236" s="5"/>
      <c r="Q12236" s="5"/>
      <c r="R12236" s="5"/>
      <c r="S12236" s="5"/>
      <c r="T12236" s="5"/>
      <c r="U12236" s="5"/>
      <c r="V12236" s="5"/>
      <c r="W12236" s="5"/>
      <c r="X12236" s="5"/>
      <c r="Y12236" s="5"/>
      <c r="Z12236" s="5"/>
    </row>
    <row r="12237" spans="1:26" ht="15" x14ac:dyDescent="0.25">
      <c r="A12237" s="4" t="s">
        <v>12234</v>
      </c>
      <c r="B12237" s="4" t="s">
        <v>9011</v>
      </c>
      <c r="C12237" s="2" t="str">
        <f ca="1">IFERROR(__xludf.DUMMYFUNCTION("GOOGLETRANSLATE(A12237,""bn"",""en"")"),"The revolution will be made in the future")</f>
        <v>The revolution will be made in the future</v>
      </c>
      <c r="D12237" s="5"/>
      <c r="E12237" s="5"/>
      <c r="F12237" s="5"/>
      <c r="G12237" s="5"/>
      <c r="H12237" s="5"/>
      <c r="I12237" s="5"/>
      <c r="J12237" s="5"/>
      <c r="K12237" s="5"/>
      <c r="L12237" s="5"/>
      <c r="M12237" s="5"/>
      <c r="N12237" s="5"/>
      <c r="O12237" s="5"/>
      <c r="P12237" s="5"/>
      <c r="Q12237" s="5"/>
      <c r="R12237" s="5"/>
      <c r="S12237" s="5"/>
      <c r="T12237" s="5"/>
      <c r="U12237" s="5"/>
      <c r="V12237" s="5"/>
      <c r="W12237" s="5"/>
      <c r="X12237" s="5"/>
      <c r="Y12237" s="5"/>
      <c r="Z12237" s="5"/>
    </row>
    <row r="12238" spans="1:26" ht="15" x14ac:dyDescent="0.25">
      <c r="A12238" s="4" t="s">
        <v>12235</v>
      </c>
      <c r="B12238" s="4" t="s">
        <v>9011</v>
      </c>
      <c r="C12238" s="2" t="str">
        <f ca="1">IFERROR(__xludf.DUMMYFUNCTION("GOOGLETRANSLATE(A12238,""bn"",""en"")"),"All children will swim")</f>
        <v>All children will swim</v>
      </c>
      <c r="D12238" s="5"/>
      <c r="E12238" s="5"/>
      <c r="F12238" s="5"/>
      <c r="G12238" s="5"/>
      <c r="H12238" s="5"/>
      <c r="I12238" s="5"/>
      <c r="J12238" s="5"/>
      <c r="K12238" s="5"/>
      <c r="L12238" s="5"/>
      <c r="M12238" s="5"/>
      <c r="N12238" s="5"/>
      <c r="O12238" s="5"/>
      <c r="P12238" s="5"/>
      <c r="Q12238" s="5"/>
      <c r="R12238" s="5"/>
      <c r="S12238" s="5"/>
      <c r="T12238" s="5"/>
      <c r="U12238" s="5"/>
      <c r="V12238" s="5"/>
      <c r="W12238" s="5"/>
      <c r="X12238" s="5"/>
      <c r="Y12238" s="5"/>
      <c r="Z12238" s="5"/>
    </row>
    <row r="12239" spans="1:26" ht="15" x14ac:dyDescent="0.25">
      <c r="A12239" s="4" t="s">
        <v>12236</v>
      </c>
      <c r="B12239" s="4" t="s">
        <v>9011</v>
      </c>
      <c r="C12239" s="2" t="str">
        <f ca="1">IFERROR(__xludf.DUMMYFUNCTION("GOOGLETRANSLATE(A12239,""bn"",""en"")"),"The rain will be sweet in the snow")</f>
        <v>The rain will be sweet in the snow</v>
      </c>
      <c r="D12239" s="5"/>
      <c r="E12239" s="5"/>
      <c r="F12239" s="5"/>
      <c r="G12239" s="5"/>
      <c r="H12239" s="5"/>
      <c r="I12239" s="5"/>
      <c r="J12239" s="5"/>
      <c r="K12239" s="5"/>
      <c r="L12239" s="5"/>
      <c r="M12239" s="5"/>
      <c r="N12239" s="5"/>
      <c r="O12239" s="5"/>
      <c r="P12239" s="5"/>
      <c r="Q12239" s="5"/>
      <c r="R12239" s="5"/>
      <c r="S12239" s="5"/>
      <c r="T12239" s="5"/>
      <c r="U12239" s="5"/>
      <c r="V12239" s="5"/>
      <c r="W12239" s="5"/>
      <c r="X12239" s="5"/>
      <c r="Y12239" s="5"/>
      <c r="Z12239" s="5"/>
    </row>
    <row r="12240" spans="1:26" ht="15" x14ac:dyDescent="0.25">
      <c r="A12240" s="4" t="s">
        <v>12237</v>
      </c>
      <c r="B12240" s="4" t="s">
        <v>9011</v>
      </c>
      <c r="C12240" s="2" t="str">
        <f ca="1">IFERROR(__xludf.DUMMYFUNCTION("GOOGLETRANSLATE(A12240,""bn"",""en"")"),"There will be new genetic treatments")</f>
        <v>There will be new genetic treatments</v>
      </c>
      <c r="D12240" s="5"/>
      <c r="E12240" s="5"/>
      <c r="F12240" s="5"/>
      <c r="G12240" s="5"/>
      <c r="H12240" s="5"/>
      <c r="I12240" s="5"/>
      <c r="J12240" s="5"/>
      <c r="K12240" s="5"/>
      <c r="L12240" s="5"/>
      <c r="M12240" s="5"/>
      <c r="N12240" s="5"/>
      <c r="O12240" s="5"/>
      <c r="P12240" s="5"/>
      <c r="Q12240" s="5"/>
      <c r="R12240" s="5"/>
      <c r="S12240" s="5"/>
      <c r="T12240" s="5"/>
      <c r="U12240" s="5"/>
      <c r="V12240" s="5"/>
      <c r="W12240" s="5"/>
      <c r="X12240" s="5"/>
      <c r="Y12240" s="5"/>
      <c r="Z12240" s="5"/>
    </row>
    <row r="12241" spans="1:26" ht="15" x14ac:dyDescent="0.25">
      <c r="A12241" s="4" t="s">
        <v>12238</v>
      </c>
      <c r="B12241" s="4" t="s">
        <v>9011</v>
      </c>
      <c r="C12241" s="2" t="str">
        <f ca="1">IFERROR(__xludf.DUMMYFUNCTION("GOOGLETRANSLATE(A12241,""bn"",""en"")"),"He will manage the project")</f>
        <v>He will manage the project</v>
      </c>
      <c r="D12241" s="5"/>
      <c r="E12241" s="5"/>
      <c r="F12241" s="5"/>
      <c r="G12241" s="5"/>
      <c r="H12241" s="5"/>
      <c r="I12241" s="5"/>
      <c r="J12241" s="5"/>
      <c r="K12241" s="5"/>
      <c r="L12241" s="5"/>
      <c r="M12241" s="5"/>
      <c r="N12241" s="5"/>
      <c r="O12241" s="5"/>
      <c r="P12241" s="5"/>
      <c r="Q12241" s="5"/>
      <c r="R12241" s="5"/>
      <c r="S12241" s="5"/>
      <c r="T12241" s="5"/>
      <c r="U12241" s="5"/>
      <c r="V12241" s="5"/>
      <c r="W12241" s="5"/>
      <c r="X12241" s="5"/>
      <c r="Y12241" s="5"/>
      <c r="Z12241" s="5"/>
    </row>
    <row r="12242" spans="1:26" ht="15" x14ac:dyDescent="0.25">
      <c r="A12242" s="4" t="s">
        <v>12239</v>
      </c>
      <c r="B12242" s="4" t="s">
        <v>9011</v>
      </c>
      <c r="C12242" s="2" t="str">
        <f ca="1">IFERROR(__xludf.DUMMYFUNCTION("GOOGLETRANSLATE(A12242,""bn"",""en"")"),"Everyone will walk through the tune")</f>
        <v>Everyone will walk through the tune</v>
      </c>
      <c r="D12242" s="5"/>
      <c r="E12242" s="5"/>
      <c r="F12242" s="5"/>
      <c r="G12242" s="5"/>
      <c r="H12242" s="5"/>
      <c r="I12242" s="5"/>
      <c r="J12242" s="5"/>
      <c r="K12242" s="5"/>
      <c r="L12242" s="5"/>
      <c r="M12242" s="5"/>
      <c r="N12242" s="5"/>
      <c r="O12242" s="5"/>
      <c r="P12242" s="5"/>
      <c r="Q12242" s="5"/>
      <c r="R12242" s="5"/>
      <c r="S12242" s="5"/>
      <c r="T12242" s="5"/>
      <c r="U12242" s="5"/>
      <c r="V12242" s="5"/>
      <c r="W12242" s="5"/>
      <c r="X12242" s="5"/>
      <c r="Y12242" s="5"/>
      <c r="Z12242" s="5"/>
    </row>
    <row r="12243" spans="1:26" ht="15" x14ac:dyDescent="0.25">
      <c r="A12243" s="4" t="s">
        <v>12240</v>
      </c>
      <c r="B12243" s="4" t="s">
        <v>9011</v>
      </c>
      <c r="C12243" s="2" t="str">
        <f ca="1">IFERROR(__xludf.DUMMYFUNCTION("GOOGLETRANSLATE(A12243,""bn"",""en"")"),"Integrate an API")</f>
        <v>Integrate an API</v>
      </c>
      <c r="D12243" s="5"/>
      <c r="E12243" s="5"/>
      <c r="F12243" s="5"/>
      <c r="G12243" s="5"/>
      <c r="H12243" s="5"/>
      <c r="I12243" s="5"/>
      <c r="J12243" s="5"/>
      <c r="K12243" s="5"/>
      <c r="L12243" s="5"/>
      <c r="M12243" s="5"/>
      <c r="N12243" s="5"/>
      <c r="O12243" s="5"/>
      <c r="P12243" s="5"/>
      <c r="Q12243" s="5"/>
      <c r="R12243" s="5"/>
      <c r="S12243" s="5"/>
      <c r="T12243" s="5"/>
      <c r="U12243" s="5"/>
      <c r="V12243" s="5"/>
      <c r="W12243" s="5"/>
      <c r="X12243" s="5"/>
      <c r="Y12243" s="5"/>
      <c r="Z12243" s="5"/>
    </row>
    <row r="12244" spans="1:26" ht="15" x14ac:dyDescent="0.25">
      <c r="A12244" s="4" t="s">
        <v>12241</v>
      </c>
      <c r="B12244" s="4" t="s">
        <v>9011</v>
      </c>
      <c r="C12244" s="2" t="str">
        <f ca="1">IFERROR(__xludf.DUMMYFUNCTION("GOOGLETRANSLATE(A12244,""bn"",""en"")"),"You will design the hologram")</f>
        <v>You will design the hologram</v>
      </c>
      <c r="D12244" s="5"/>
      <c r="E12244" s="5"/>
      <c r="F12244" s="5"/>
      <c r="G12244" s="5"/>
      <c r="H12244" s="5"/>
      <c r="I12244" s="5"/>
      <c r="J12244" s="5"/>
      <c r="K12244" s="5"/>
      <c r="L12244" s="5"/>
      <c r="M12244" s="5"/>
      <c r="N12244" s="5"/>
      <c r="O12244" s="5"/>
      <c r="P12244" s="5"/>
      <c r="Q12244" s="5"/>
      <c r="R12244" s="5"/>
      <c r="S12244" s="5"/>
      <c r="T12244" s="5"/>
      <c r="U12244" s="5"/>
      <c r="V12244" s="5"/>
      <c r="W12244" s="5"/>
      <c r="X12244" s="5"/>
      <c r="Y12244" s="5"/>
      <c r="Z12244" s="5"/>
    </row>
    <row r="12245" spans="1:26" ht="15" x14ac:dyDescent="0.25">
      <c r="A12245" s="4" t="s">
        <v>12242</v>
      </c>
      <c r="B12245" s="4" t="s">
        <v>9011</v>
      </c>
      <c r="C12245" s="2" t="str">
        <f ca="1">IFERROR(__xludf.DUMMYFUNCTION("GOOGLETRANSLATE(A12245,""bn"",""en"")"),"I will make coconut pudding")</f>
        <v>I will make coconut pudding</v>
      </c>
      <c r="D12245" s="5"/>
      <c r="E12245" s="5"/>
      <c r="F12245" s="5"/>
      <c r="G12245" s="5"/>
      <c r="H12245" s="5"/>
      <c r="I12245" s="5"/>
      <c r="J12245" s="5"/>
      <c r="K12245" s="5"/>
      <c r="L12245" s="5"/>
      <c r="M12245" s="5"/>
      <c r="N12245" s="5"/>
      <c r="O12245" s="5"/>
      <c r="P12245" s="5"/>
      <c r="Q12245" s="5"/>
      <c r="R12245" s="5"/>
      <c r="S12245" s="5"/>
      <c r="T12245" s="5"/>
      <c r="U12245" s="5"/>
      <c r="V12245" s="5"/>
      <c r="W12245" s="5"/>
      <c r="X12245" s="5"/>
      <c r="Y12245" s="5"/>
      <c r="Z12245" s="5"/>
    </row>
    <row r="12246" spans="1:26" ht="15" x14ac:dyDescent="0.25">
      <c r="A12246" s="4" t="s">
        <v>12243</v>
      </c>
      <c r="B12246" s="4" t="s">
        <v>9011</v>
      </c>
      <c r="C12246" s="2" t="str">
        <f ca="1">IFERROR(__xludf.DUMMYFUNCTION("GOOGLETRANSLATE(A12246,""bn"",""en"")"),"The company will launch mobile")</f>
        <v>The company will launch mobile</v>
      </c>
      <c r="D12246" s="5"/>
      <c r="E12246" s="5"/>
      <c r="F12246" s="5"/>
      <c r="G12246" s="5"/>
      <c r="H12246" s="5"/>
      <c r="I12246" s="5"/>
      <c r="J12246" s="5"/>
      <c r="K12246" s="5"/>
      <c r="L12246" s="5"/>
      <c r="M12246" s="5"/>
      <c r="N12246" s="5"/>
      <c r="O12246" s="5"/>
      <c r="P12246" s="5"/>
      <c r="Q12246" s="5"/>
      <c r="R12246" s="5"/>
      <c r="S12246" s="5"/>
      <c r="T12246" s="5"/>
      <c r="U12246" s="5"/>
      <c r="V12246" s="5"/>
      <c r="W12246" s="5"/>
      <c r="X12246" s="5"/>
      <c r="Y12246" s="5"/>
      <c r="Z12246" s="5"/>
    </row>
    <row r="12247" spans="1:26" ht="15" x14ac:dyDescent="0.25">
      <c r="A12247" s="4" t="s">
        <v>12244</v>
      </c>
      <c r="B12247" s="4" t="s">
        <v>9011</v>
      </c>
      <c r="C12247" s="2" t="str">
        <f ca="1">IFERROR(__xludf.DUMMYFUNCTION("GOOGLETRANSLATE(A12247,""bn"",""en"")"),"You will skate tomorrow")</f>
        <v>You will skate tomorrow</v>
      </c>
      <c r="D12247" s="5"/>
      <c r="E12247" s="5"/>
      <c r="F12247" s="5"/>
      <c r="G12247" s="5"/>
      <c r="H12247" s="5"/>
      <c r="I12247" s="5"/>
      <c r="J12247" s="5"/>
      <c r="K12247" s="5"/>
      <c r="L12247" s="5"/>
      <c r="M12247" s="5"/>
      <c r="N12247" s="5"/>
      <c r="O12247" s="5"/>
      <c r="P12247" s="5"/>
      <c r="Q12247" s="5"/>
      <c r="R12247" s="5"/>
      <c r="S12247" s="5"/>
      <c r="T12247" s="5"/>
      <c r="U12247" s="5"/>
      <c r="V12247" s="5"/>
      <c r="W12247" s="5"/>
      <c r="X12247" s="5"/>
      <c r="Y12247" s="5"/>
      <c r="Z12247" s="5"/>
    </row>
    <row r="12248" spans="1:26" ht="15" x14ac:dyDescent="0.25">
      <c r="A12248" s="4" t="s">
        <v>12245</v>
      </c>
      <c r="B12248" s="4" t="s">
        <v>9011</v>
      </c>
      <c r="C12248" s="2" t="str">
        <f ca="1">IFERROR(__xludf.DUMMYFUNCTION("GOOGLETRANSLATE(A12248,""bn"",""en"")"),"Will perform advanced market analysis")</f>
        <v>Will perform advanced market analysis</v>
      </c>
      <c r="D12248" s="5"/>
      <c r="E12248" s="5"/>
      <c r="F12248" s="5"/>
      <c r="G12248" s="5"/>
      <c r="H12248" s="5"/>
      <c r="I12248" s="5"/>
      <c r="J12248" s="5"/>
      <c r="K12248" s="5"/>
      <c r="L12248" s="5"/>
      <c r="M12248" s="5"/>
      <c r="N12248" s="5"/>
      <c r="O12248" s="5"/>
      <c r="P12248" s="5"/>
      <c r="Q12248" s="5"/>
      <c r="R12248" s="5"/>
      <c r="S12248" s="5"/>
      <c r="T12248" s="5"/>
      <c r="U12248" s="5"/>
      <c r="V12248" s="5"/>
      <c r="W12248" s="5"/>
      <c r="X12248" s="5"/>
      <c r="Y12248" s="5"/>
      <c r="Z12248" s="5"/>
    </row>
    <row r="12249" spans="1:26" ht="15" x14ac:dyDescent="0.25">
      <c r="A12249" s="4" t="s">
        <v>12246</v>
      </c>
      <c r="B12249" s="4" t="s">
        <v>9011</v>
      </c>
      <c r="C12249" s="2" t="str">
        <f ca="1">IFERROR(__xludf.DUMMYFUNCTION("GOOGLETRANSLATE(A12249,""bn"",""en"")"),"Cuckoo will say it will rain")</f>
        <v>Cuckoo will say it will rain</v>
      </c>
      <c r="D12249" s="5"/>
      <c r="E12249" s="5"/>
      <c r="F12249" s="5"/>
      <c r="G12249" s="5"/>
      <c r="H12249" s="5"/>
      <c r="I12249" s="5"/>
      <c r="J12249" s="5"/>
      <c r="K12249" s="5"/>
      <c r="L12249" s="5"/>
      <c r="M12249" s="5"/>
      <c r="N12249" s="5"/>
      <c r="O12249" s="5"/>
      <c r="P12249" s="5"/>
      <c r="Q12249" s="5"/>
      <c r="R12249" s="5"/>
      <c r="S12249" s="5"/>
      <c r="T12249" s="5"/>
      <c r="U12249" s="5"/>
      <c r="V12249" s="5"/>
      <c r="W12249" s="5"/>
      <c r="X12249" s="5"/>
      <c r="Y12249" s="5"/>
      <c r="Z12249" s="5"/>
    </row>
    <row r="12250" spans="1:26" ht="15" x14ac:dyDescent="0.25">
      <c r="A12250" s="4" t="s">
        <v>12247</v>
      </c>
      <c r="B12250" s="4" t="s">
        <v>9011</v>
      </c>
      <c r="C12250" s="2" t="str">
        <f ca="1">IFERROR(__xludf.DUMMYFUNCTION("GOOGLETRANSLATE(A12250,""bn"",""en"")"),"I will give good news soon")</f>
        <v>I will give good news soon</v>
      </c>
      <c r="D12250" s="5"/>
      <c r="E12250" s="5"/>
      <c r="F12250" s="5"/>
      <c r="G12250" s="5"/>
      <c r="H12250" s="5"/>
      <c r="I12250" s="5"/>
      <c r="J12250" s="5"/>
      <c r="K12250" s="5"/>
      <c r="L12250" s="5"/>
      <c r="M12250" s="5"/>
      <c r="N12250" s="5"/>
      <c r="O12250" s="5"/>
      <c r="P12250" s="5"/>
      <c r="Q12250" s="5"/>
      <c r="R12250" s="5"/>
      <c r="S12250" s="5"/>
      <c r="T12250" s="5"/>
      <c r="U12250" s="5"/>
      <c r="V12250" s="5"/>
      <c r="W12250" s="5"/>
      <c r="X12250" s="5"/>
      <c r="Y12250" s="5"/>
      <c r="Z12250" s="5"/>
    </row>
    <row r="12251" spans="1:26" ht="15" x14ac:dyDescent="0.25">
      <c r="A12251" s="4" t="s">
        <v>12248</v>
      </c>
      <c r="B12251" s="4" t="s">
        <v>9011</v>
      </c>
      <c r="C12251" s="2" t="str">
        <f ca="1">IFERROR(__xludf.DUMMYFUNCTION("GOOGLETRANSLATE(A12251,""bn"",""en"")"),"Security cell will be increased")</f>
        <v>Security cell will be increased</v>
      </c>
      <c r="D12251" s="5"/>
      <c r="E12251" s="5"/>
      <c r="F12251" s="5"/>
      <c r="G12251" s="5"/>
      <c r="H12251" s="5"/>
      <c r="I12251" s="5"/>
      <c r="J12251" s="5"/>
      <c r="K12251" s="5"/>
      <c r="L12251" s="5"/>
      <c r="M12251" s="5"/>
      <c r="N12251" s="5"/>
      <c r="O12251" s="5"/>
      <c r="P12251" s="5"/>
      <c r="Q12251" s="5"/>
      <c r="R12251" s="5"/>
      <c r="S12251" s="5"/>
      <c r="T12251" s="5"/>
      <c r="U12251" s="5"/>
      <c r="V12251" s="5"/>
      <c r="W12251" s="5"/>
      <c r="X12251" s="5"/>
      <c r="Y12251" s="5"/>
      <c r="Z12251" s="5"/>
    </row>
    <row r="12252" spans="1:26" ht="15" x14ac:dyDescent="0.25">
      <c r="A12252" s="4" t="s">
        <v>12249</v>
      </c>
      <c r="B12252" s="4" t="s">
        <v>9011</v>
      </c>
      <c r="C12252" s="2" t="str">
        <f ca="1">IFERROR(__xludf.DUMMYFUNCTION("GOOGLETRANSLATE(A12252,""bn"",""en"")"),"Training will be required to increase the security cell")</f>
        <v>Training will be required to increase the security cell</v>
      </c>
      <c r="D12252" s="5"/>
      <c r="E12252" s="5"/>
      <c r="F12252" s="5"/>
      <c r="G12252" s="5"/>
      <c r="H12252" s="5"/>
      <c r="I12252" s="5"/>
      <c r="J12252" s="5"/>
      <c r="K12252" s="5"/>
      <c r="L12252" s="5"/>
      <c r="M12252" s="5"/>
      <c r="N12252" s="5"/>
      <c r="O12252" s="5"/>
      <c r="P12252" s="5"/>
      <c r="Q12252" s="5"/>
      <c r="R12252" s="5"/>
      <c r="S12252" s="5"/>
      <c r="T12252" s="5"/>
      <c r="U12252" s="5"/>
      <c r="V12252" s="5"/>
      <c r="W12252" s="5"/>
      <c r="X12252" s="5"/>
      <c r="Y12252" s="5"/>
      <c r="Z12252" s="5"/>
    </row>
    <row r="12253" spans="1:26" ht="15" x14ac:dyDescent="0.25">
      <c r="A12253" s="4" t="s">
        <v>12250</v>
      </c>
      <c r="B12253" s="4" t="s">
        <v>9011</v>
      </c>
      <c r="C12253" s="2" t="str">
        <f ca="1">IFERROR(__xludf.DUMMYFUNCTION("GOOGLETRANSLATE(A12253,""bn"",""en"")"),"New teachers will be appointed")</f>
        <v>New teachers will be appointed</v>
      </c>
      <c r="D12253" s="5"/>
      <c r="E12253" s="5"/>
      <c r="F12253" s="5"/>
      <c r="G12253" s="5"/>
      <c r="H12253" s="5"/>
      <c r="I12253" s="5"/>
      <c r="J12253" s="5"/>
      <c r="K12253" s="5"/>
      <c r="L12253" s="5"/>
      <c r="M12253" s="5"/>
      <c r="N12253" s="5"/>
      <c r="O12253" s="5"/>
      <c r="P12253" s="5"/>
      <c r="Q12253" s="5"/>
      <c r="R12253" s="5"/>
      <c r="S12253" s="5"/>
      <c r="T12253" s="5"/>
      <c r="U12253" s="5"/>
      <c r="V12253" s="5"/>
      <c r="W12253" s="5"/>
      <c r="X12253" s="5"/>
      <c r="Y12253" s="5"/>
      <c r="Z12253" s="5"/>
    </row>
    <row r="12254" spans="1:26" ht="15" x14ac:dyDescent="0.25">
      <c r="A12254" s="4" t="s">
        <v>12251</v>
      </c>
      <c r="B12254" s="4" t="s">
        <v>9011</v>
      </c>
      <c r="C12254" s="2" t="str">
        <f ca="1">IFERROR(__xludf.DUMMYFUNCTION("GOOGLETRANSLATE(A12254,""bn"",""en"")"),"I will open a new bank")</f>
        <v>I will open a new bank</v>
      </c>
      <c r="D12254" s="5"/>
      <c r="E12254" s="5"/>
      <c r="F12254" s="5"/>
      <c r="G12254" s="5"/>
      <c r="H12254" s="5"/>
      <c r="I12254" s="5"/>
      <c r="J12254" s="5"/>
      <c r="K12254" s="5"/>
      <c r="L12254" s="5"/>
      <c r="M12254" s="5"/>
      <c r="N12254" s="5"/>
      <c r="O12254" s="5"/>
      <c r="P12254" s="5"/>
      <c r="Q12254" s="5"/>
      <c r="R12254" s="5"/>
      <c r="S12254" s="5"/>
      <c r="T12254" s="5"/>
      <c r="U12254" s="5"/>
      <c r="V12254" s="5"/>
      <c r="W12254" s="5"/>
      <c r="X12254" s="5"/>
      <c r="Y12254" s="5"/>
      <c r="Z12254" s="5"/>
    </row>
    <row r="12255" spans="1:26" ht="15" x14ac:dyDescent="0.25">
      <c r="A12255" s="4" t="s">
        <v>12252</v>
      </c>
      <c r="B12255" s="4" t="s">
        <v>9011</v>
      </c>
      <c r="C12255" s="2" t="str">
        <f ca="1">IFERROR(__xludf.DUMMYFUNCTION("GOOGLETRANSLATE(A12255,""bn"",""en"")"),"It will improve the economy")</f>
        <v>It will improve the economy</v>
      </c>
      <c r="D12255" s="5"/>
      <c r="E12255" s="5"/>
      <c r="F12255" s="5"/>
      <c r="G12255" s="5"/>
      <c r="H12255" s="5"/>
      <c r="I12255" s="5"/>
      <c r="J12255" s="5"/>
      <c r="K12255" s="5"/>
      <c r="L12255" s="5"/>
      <c r="M12255" s="5"/>
      <c r="N12255" s="5"/>
      <c r="O12255" s="5"/>
      <c r="P12255" s="5"/>
      <c r="Q12255" s="5"/>
      <c r="R12255" s="5"/>
      <c r="S12255" s="5"/>
      <c r="T12255" s="5"/>
      <c r="U12255" s="5"/>
      <c r="V12255" s="5"/>
      <c r="W12255" s="5"/>
      <c r="X12255" s="5"/>
      <c r="Y12255" s="5"/>
      <c r="Z12255" s="5"/>
    </row>
    <row r="12256" spans="1:26" ht="15" x14ac:dyDescent="0.25">
      <c r="A12256" s="4" t="s">
        <v>12253</v>
      </c>
      <c r="B12256" s="4" t="s">
        <v>9011</v>
      </c>
      <c r="C12256" s="2" t="str">
        <f ca="1">IFERROR(__xludf.DUMMYFUNCTION("GOOGLETRANSLATE(A12256,""bn"",""en"")"),"The defense will be prepared to a high standard")</f>
        <v>The defense will be prepared to a high standard</v>
      </c>
      <c r="D12256" s="5"/>
      <c r="E12256" s="5"/>
      <c r="F12256" s="5"/>
      <c r="G12256" s="5"/>
      <c r="H12256" s="5"/>
      <c r="I12256" s="5"/>
      <c r="J12256" s="5"/>
      <c r="K12256" s="5"/>
      <c r="L12256" s="5"/>
      <c r="M12256" s="5"/>
      <c r="N12256" s="5"/>
      <c r="O12256" s="5"/>
      <c r="P12256" s="5"/>
      <c r="Q12256" s="5"/>
      <c r="R12256" s="5"/>
      <c r="S12256" s="5"/>
      <c r="T12256" s="5"/>
      <c r="U12256" s="5"/>
      <c r="V12256" s="5"/>
      <c r="W12256" s="5"/>
      <c r="X12256" s="5"/>
      <c r="Y12256" s="5"/>
      <c r="Z12256" s="5"/>
    </row>
    <row r="12257" spans="1:26" ht="15" x14ac:dyDescent="0.25">
      <c r="A12257" s="4" t="s">
        <v>12254</v>
      </c>
      <c r="B12257" s="4" t="s">
        <v>9011</v>
      </c>
      <c r="C12257" s="2" t="str">
        <f ca="1">IFERROR(__xludf.DUMMYFUNCTION("GOOGLETRANSLATE(A12257,""bn"",""en"")"),"I will continue to write books")</f>
        <v>I will continue to write books</v>
      </c>
      <c r="D12257" s="5"/>
      <c r="E12257" s="5"/>
      <c r="F12257" s="5"/>
      <c r="G12257" s="5"/>
      <c r="H12257" s="5"/>
      <c r="I12257" s="5"/>
      <c r="J12257" s="5"/>
      <c r="K12257" s="5"/>
      <c r="L12257" s="5"/>
      <c r="M12257" s="5"/>
      <c r="N12257" s="5"/>
      <c r="O12257" s="5"/>
      <c r="P12257" s="5"/>
      <c r="Q12257" s="5"/>
      <c r="R12257" s="5"/>
      <c r="S12257" s="5"/>
      <c r="T12257" s="5"/>
      <c r="U12257" s="5"/>
      <c r="V12257" s="5"/>
      <c r="W12257" s="5"/>
      <c r="X12257" s="5"/>
      <c r="Y12257" s="5"/>
      <c r="Z12257" s="5"/>
    </row>
    <row r="12258" spans="1:26" ht="15" x14ac:dyDescent="0.25">
      <c r="A12258" s="4" t="s">
        <v>12255</v>
      </c>
      <c r="B12258" s="4" t="s">
        <v>9011</v>
      </c>
      <c r="C12258" s="2" t="str">
        <f ca="1">IFERROR(__xludf.DUMMYFUNCTION("GOOGLETRANSLATE(A12258,""bn"",""en"")"),"Bioinformatics Technology will be the event")</f>
        <v>Bioinformatics Technology will be the event</v>
      </c>
      <c r="D12258" s="5"/>
      <c r="E12258" s="5"/>
      <c r="F12258" s="5"/>
      <c r="G12258" s="5"/>
      <c r="H12258" s="5"/>
      <c r="I12258" s="5"/>
      <c r="J12258" s="5"/>
      <c r="K12258" s="5"/>
      <c r="L12258" s="5"/>
      <c r="M12258" s="5"/>
      <c r="N12258" s="5"/>
      <c r="O12258" s="5"/>
      <c r="P12258" s="5"/>
      <c r="Q12258" s="5"/>
      <c r="R12258" s="5"/>
      <c r="S12258" s="5"/>
      <c r="T12258" s="5"/>
      <c r="U12258" s="5"/>
      <c r="V12258" s="5"/>
      <c r="W12258" s="5"/>
      <c r="X12258" s="5"/>
      <c r="Y12258" s="5"/>
      <c r="Z12258" s="5"/>
    </row>
    <row r="12259" spans="1:26" ht="15" x14ac:dyDescent="0.25">
      <c r="A12259" s="4" t="s">
        <v>12256</v>
      </c>
      <c r="B12259" s="4" t="s">
        <v>9011</v>
      </c>
      <c r="C12259" s="2" t="str">
        <f ca="1">IFERROR(__xludf.DUMMYFUNCTION("GOOGLETRANSLATE(A12259,""bn"",""en"")"),"Ravi will always sing")</f>
        <v>Ravi will always sing</v>
      </c>
      <c r="D12259" s="5"/>
      <c r="E12259" s="5"/>
      <c r="F12259" s="5"/>
      <c r="G12259" s="5"/>
      <c r="H12259" s="5"/>
      <c r="I12259" s="5"/>
      <c r="J12259" s="5"/>
      <c r="K12259" s="5"/>
      <c r="L12259" s="5"/>
      <c r="M12259" s="5"/>
      <c r="N12259" s="5"/>
      <c r="O12259" s="5"/>
      <c r="P12259" s="5"/>
      <c r="Q12259" s="5"/>
      <c r="R12259" s="5"/>
      <c r="S12259" s="5"/>
      <c r="T12259" s="5"/>
      <c r="U12259" s="5"/>
      <c r="V12259" s="5"/>
      <c r="W12259" s="5"/>
      <c r="X12259" s="5"/>
      <c r="Y12259" s="5"/>
      <c r="Z12259" s="5"/>
    </row>
    <row r="12260" spans="1:26" ht="15" x14ac:dyDescent="0.25">
      <c r="A12260" s="4" t="s">
        <v>12257</v>
      </c>
      <c r="B12260" s="4" t="s">
        <v>9011</v>
      </c>
      <c r="C12260" s="2" t="str">
        <f ca="1">IFERROR(__xludf.DUMMYFUNCTION("GOOGLETRANSLATE(A12260,""bn"",""en"")"),"Border violence will reduce tomorrow")</f>
        <v>Border violence will reduce tomorrow</v>
      </c>
      <c r="D12260" s="5"/>
      <c r="E12260" s="5"/>
      <c r="F12260" s="5"/>
      <c r="G12260" s="5"/>
      <c r="H12260" s="5"/>
      <c r="I12260" s="5"/>
      <c r="J12260" s="5"/>
      <c r="K12260" s="5"/>
      <c r="L12260" s="5"/>
      <c r="M12260" s="5"/>
      <c r="N12260" s="5"/>
      <c r="O12260" s="5"/>
      <c r="P12260" s="5"/>
      <c r="Q12260" s="5"/>
      <c r="R12260" s="5"/>
      <c r="S12260" s="5"/>
      <c r="T12260" s="5"/>
      <c r="U12260" s="5"/>
      <c r="V12260" s="5"/>
      <c r="W12260" s="5"/>
      <c r="X12260" s="5"/>
      <c r="Y12260" s="5"/>
      <c r="Z12260" s="5"/>
    </row>
    <row r="12261" spans="1:26" ht="15" x14ac:dyDescent="0.25">
      <c r="A12261" s="4" t="s">
        <v>12258</v>
      </c>
      <c r="B12261" s="4" t="s">
        <v>9011</v>
      </c>
      <c r="C12261" s="2" t="str">
        <f ca="1">IFERROR(__xludf.DUMMYFUNCTION("GOOGLETRANSLATE(A12261,""bn"",""en"")"),"I will design an interface")</f>
        <v>I will design an interface</v>
      </c>
      <c r="D12261" s="5"/>
      <c r="E12261" s="5"/>
      <c r="F12261" s="5"/>
      <c r="G12261" s="5"/>
      <c r="H12261" s="5"/>
      <c r="I12261" s="5"/>
      <c r="J12261" s="5"/>
      <c r="K12261" s="5"/>
      <c r="L12261" s="5"/>
      <c r="M12261" s="5"/>
      <c r="N12261" s="5"/>
      <c r="O12261" s="5"/>
      <c r="P12261" s="5"/>
      <c r="Q12261" s="5"/>
      <c r="R12261" s="5"/>
      <c r="S12261" s="5"/>
      <c r="T12261" s="5"/>
      <c r="U12261" s="5"/>
      <c r="V12261" s="5"/>
      <c r="W12261" s="5"/>
      <c r="X12261" s="5"/>
      <c r="Y12261" s="5"/>
      <c r="Z12261" s="5"/>
    </row>
    <row r="12262" spans="1:26" ht="15" x14ac:dyDescent="0.25">
      <c r="A12262" s="4" t="s">
        <v>12259</v>
      </c>
      <c r="B12262" s="4" t="s">
        <v>9011</v>
      </c>
      <c r="C12262" s="2" t="str">
        <f ca="1">IFERROR(__xludf.DUMMYFUNCTION("GOOGLETRANSLATE(A12262,""bn"",""en"")"),"There will be new buildings soon")</f>
        <v>There will be new buildings soon</v>
      </c>
      <c r="D12262" s="5"/>
      <c r="E12262" s="5"/>
      <c r="F12262" s="5"/>
      <c r="G12262" s="5"/>
      <c r="H12262" s="5"/>
      <c r="I12262" s="5"/>
      <c r="J12262" s="5"/>
      <c r="K12262" s="5"/>
      <c r="L12262" s="5"/>
      <c r="M12262" s="5"/>
      <c r="N12262" s="5"/>
      <c r="O12262" s="5"/>
      <c r="P12262" s="5"/>
      <c r="Q12262" s="5"/>
      <c r="R12262" s="5"/>
      <c r="S12262" s="5"/>
      <c r="T12262" s="5"/>
      <c r="U12262" s="5"/>
      <c r="V12262" s="5"/>
      <c r="W12262" s="5"/>
      <c r="X12262" s="5"/>
      <c r="Y12262" s="5"/>
      <c r="Z12262" s="5"/>
    </row>
    <row r="12263" spans="1:26" ht="15" x14ac:dyDescent="0.25">
      <c r="A12263" s="4" t="s">
        <v>12260</v>
      </c>
      <c r="B12263" s="4" t="s">
        <v>9011</v>
      </c>
      <c r="C12263" s="2" t="str">
        <f ca="1">IFERROR(__xludf.DUMMYFUNCTION("GOOGLETRANSLATE(A12263,""bn"",""en"")"),"New treatments will improve")</f>
        <v>New treatments will improve</v>
      </c>
      <c r="D12263" s="5"/>
      <c r="E12263" s="5"/>
      <c r="F12263" s="5"/>
      <c r="G12263" s="5"/>
      <c r="H12263" s="5"/>
      <c r="I12263" s="5"/>
      <c r="J12263" s="5"/>
      <c r="K12263" s="5"/>
      <c r="L12263" s="5"/>
      <c r="M12263" s="5"/>
      <c r="N12263" s="5"/>
      <c r="O12263" s="5"/>
      <c r="P12263" s="5"/>
      <c r="Q12263" s="5"/>
      <c r="R12263" s="5"/>
      <c r="S12263" s="5"/>
      <c r="T12263" s="5"/>
      <c r="U12263" s="5"/>
      <c r="V12263" s="5"/>
      <c r="W12263" s="5"/>
      <c r="X12263" s="5"/>
      <c r="Y12263" s="5"/>
      <c r="Z12263" s="5"/>
    </row>
    <row r="12264" spans="1:26" ht="15" x14ac:dyDescent="0.25">
      <c r="A12264" s="4" t="s">
        <v>12261</v>
      </c>
      <c r="B12264" s="4" t="s">
        <v>9011</v>
      </c>
      <c r="C12264" s="2" t="str">
        <f ca="1">IFERROR(__xludf.DUMMYFUNCTION("GOOGLETRANSLATE(A12264,""bn"",""en"")"),"I will manage the plant")</f>
        <v>I will manage the plant</v>
      </c>
      <c r="D12264" s="5"/>
      <c r="E12264" s="5"/>
      <c r="F12264" s="5"/>
      <c r="G12264" s="5"/>
      <c r="H12264" s="5"/>
      <c r="I12264" s="5"/>
      <c r="J12264" s="5"/>
      <c r="K12264" s="5"/>
      <c r="L12264" s="5"/>
      <c r="M12264" s="5"/>
      <c r="N12264" s="5"/>
      <c r="O12264" s="5"/>
      <c r="P12264" s="5"/>
      <c r="Q12264" s="5"/>
      <c r="R12264" s="5"/>
      <c r="S12264" s="5"/>
      <c r="T12264" s="5"/>
      <c r="U12264" s="5"/>
      <c r="V12264" s="5"/>
      <c r="W12264" s="5"/>
      <c r="X12264" s="5"/>
      <c r="Y12264" s="5"/>
      <c r="Z12264" s="5"/>
    </row>
    <row r="12265" spans="1:26" ht="15" x14ac:dyDescent="0.25">
      <c r="A12265" s="4" t="s">
        <v>12262</v>
      </c>
      <c r="B12265" s="4" t="s">
        <v>9011</v>
      </c>
      <c r="C12265" s="2" t="str">
        <f ca="1">IFERROR(__xludf.DUMMYFUNCTION("GOOGLETRANSLATE(A12265,""bn"",""en"")"),"We will create organizations")</f>
        <v>We will create organizations</v>
      </c>
      <c r="D12265" s="5"/>
      <c r="E12265" s="5"/>
      <c r="F12265" s="5"/>
      <c r="G12265" s="5"/>
      <c r="H12265" s="5"/>
      <c r="I12265" s="5"/>
      <c r="J12265" s="5"/>
      <c r="K12265" s="5"/>
      <c r="L12265" s="5"/>
      <c r="M12265" s="5"/>
      <c r="N12265" s="5"/>
      <c r="O12265" s="5"/>
      <c r="P12265" s="5"/>
      <c r="Q12265" s="5"/>
      <c r="R12265" s="5"/>
      <c r="S12265" s="5"/>
      <c r="T12265" s="5"/>
      <c r="U12265" s="5"/>
      <c r="V12265" s="5"/>
      <c r="W12265" s="5"/>
      <c r="X12265" s="5"/>
      <c r="Y12265" s="5"/>
      <c r="Z12265" s="5"/>
    </row>
    <row r="12266" spans="1:26" ht="15" x14ac:dyDescent="0.25">
      <c r="A12266" s="4" t="s">
        <v>12263</v>
      </c>
      <c r="B12266" s="4" t="s">
        <v>9011</v>
      </c>
      <c r="C12266" s="2" t="str">
        <f ca="1">IFERROR(__xludf.DUMMYFUNCTION("GOOGLETRANSLATE(A12266,""bn"",""en"")"),"You have to drink tea")</f>
        <v>You have to drink tea</v>
      </c>
      <c r="D12266" s="5"/>
      <c r="E12266" s="5"/>
      <c r="F12266" s="5"/>
      <c r="G12266" s="5"/>
      <c r="H12266" s="5"/>
      <c r="I12266" s="5"/>
      <c r="J12266" s="5"/>
      <c r="K12266" s="5"/>
      <c r="L12266" s="5"/>
      <c r="M12266" s="5"/>
      <c r="N12266" s="5"/>
      <c r="O12266" s="5"/>
      <c r="P12266" s="5"/>
      <c r="Q12266" s="5"/>
      <c r="R12266" s="5"/>
      <c r="S12266" s="5"/>
      <c r="T12266" s="5"/>
      <c r="U12266" s="5"/>
      <c r="V12266" s="5"/>
      <c r="W12266" s="5"/>
      <c r="X12266" s="5"/>
      <c r="Y12266" s="5"/>
      <c r="Z12266" s="5"/>
    </row>
    <row r="12267" spans="1:26" ht="15" x14ac:dyDescent="0.25">
      <c r="A12267" s="4" t="s">
        <v>12264</v>
      </c>
      <c r="B12267" s="4" t="s">
        <v>9011</v>
      </c>
      <c r="C12267" s="2" t="str">
        <f ca="1">IFERROR(__xludf.DUMMYFUNCTION("GOOGLETRANSLATE(A12267,""bn"",""en"")"),"We will survey first")</f>
        <v>We will survey first</v>
      </c>
      <c r="D12267" s="5"/>
      <c r="E12267" s="5"/>
      <c r="F12267" s="5"/>
      <c r="G12267" s="5"/>
      <c r="H12267" s="5"/>
      <c r="I12267" s="5"/>
      <c r="J12267" s="5"/>
      <c r="K12267" s="5"/>
      <c r="L12267" s="5"/>
      <c r="M12267" s="5"/>
      <c r="N12267" s="5"/>
      <c r="O12267" s="5"/>
      <c r="P12267" s="5"/>
      <c r="Q12267" s="5"/>
      <c r="R12267" s="5"/>
      <c r="S12267" s="5"/>
      <c r="T12267" s="5"/>
      <c r="U12267" s="5"/>
      <c r="V12267" s="5"/>
      <c r="W12267" s="5"/>
      <c r="X12267" s="5"/>
      <c r="Y12267" s="5"/>
      <c r="Z12267" s="5"/>
    </row>
    <row r="12268" spans="1:26" ht="15" x14ac:dyDescent="0.25">
      <c r="A12268" s="4" t="s">
        <v>12265</v>
      </c>
      <c r="B12268" s="4" t="s">
        <v>9011</v>
      </c>
      <c r="C12268" s="2" t="str">
        <f ca="1">IFERROR(__xludf.DUMMYFUNCTION("GOOGLETRANSLATE(A12268,""bn"",""en"")"),"I will grow my company")</f>
        <v>I will grow my company</v>
      </c>
      <c r="D12268" s="5"/>
      <c r="E12268" s="5"/>
      <c r="F12268" s="5"/>
      <c r="G12268" s="5"/>
      <c r="H12268" s="5"/>
      <c r="I12268" s="5"/>
      <c r="J12268" s="5"/>
      <c r="K12268" s="5"/>
      <c r="L12268" s="5"/>
      <c r="M12268" s="5"/>
      <c r="N12268" s="5"/>
      <c r="O12268" s="5"/>
      <c r="P12268" s="5"/>
      <c r="Q12268" s="5"/>
      <c r="R12268" s="5"/>
      <c r="S12268" s="5"/>
      <c r="T12268" s="5"/>
      <c r="U12268" s="5"/>
      <c r="V12268" s="5"/>
      <c r="W12268" s="5"/>
      <c r="X12268" s="5"/>
      <c r="Y12268" s="5"/>
      <c r="Z12268" s="5"/>
    </row>
    <row r="12269" spans="1:26" ht="15" x14ac:dyDescent="0.25">
      <c r="A12269" s="4" t="s">
        <v>12266</v>
      </c>
      <c r="B12269" s="4" t="s">
        <v>9011</v>
      </c>
      <c r="C12269" s="2" t="str">
        <f ca="1">IFERROR(__xludf.DUMMYFUNCTION("GOOGLETRANSLATE(A12269,""bn"",""en"")"),"Technology will be the slave of man")</f>
        <v>Technology will be the slave of man</v>
      </c>
      <c r="D12269" s="5"/>
      <c r="E12269" s="5"/>
      <c r="F12269" s="5"/>
      <c r="G12269" s="5"/>
      <c r="H12269" s="5"/>
      <c r="I12269" s="5"/>
      <c r="J12269" s="5"/>
      <c r="K12269" s="5"/>
      <c r="L12269" s="5"/>
      <c r="M12269" s="5"/>
      <c r="N12269" s="5"/>
      <c r="O12269" s="5"/>
      <c r="P12269" s="5"/>
      <c r="Q12269" s="5"/>
      <c r="R12269" s="5"/>
      <c r="S12269" s="5"/>
      <c r="T12269" s="5"/>
      <c r="U12269" s="5"/>
      <c r="V12269" s="5"/>
      <c r="W12269" s="5"/>
      <c r="X12269" s="5"/>
      <c r="Y12269" s="5"/>
      <c r="Z12269" s="5"/>
    </row>
    <row r="12270" spans="1:26" ht="15" x14ac:dyDescent="0.25">
      <c r="A12270" s="4" t="s">
        <v>12267</v>
      </c>
      <c r="B12270" s="4" t="s">
        <v>9011</v>
      </c>
      <c r="C12270" s="2" t="str">
        <f ca="1">IFERROR(__xludf.DUMMYFUNCTION("GOOGLETRANSLATE(A12270,""bn"",""en"")"),"The situation will make sense soon")</f>
        <v>The situation will make sense soon</v>
      </c>
      <c r="D12270" s="5"/>
      <c r="E12270" s="5"/>
      <c r="F12270" s="5"/>
      <c r="G12270" s="5"/>
      <c r="H12270" s="5"/>
      <c r="I12270" s="5"/>
      <c r="J12270" s="5"/>
      <c r="K12270" s="5"/>
      <c r="L12270" s="5"/>
      <c r="M12270" s="5"/>
      <c r="N12270" s="5"/>
      <c r="O12270" s="5"/>
      <c r="P12270" s="5"/>
      <c r="Q12270" s="5"/>
      <c r="R12270" s="5"/>
      <c r="S12270" s="5"/>
      <c r="T12270" s="5"/>
      <c r="U12270" s="5"/>
      <c r="V12270" s="5"/>
      <c r="W12270" s="5"/>
      <c r="X12270" s="5"/>
      <c r="Y12270" s="5"/>
      <c r="Z12270" s="5"/>
    </row>
    <row r="12271" spans="1:26" ht="15" x14ac:dyDescent="0.25">
      <c r="A12271" s="4" t="s">
        <v>12268</v>
      </c>
      <c r="B12271" s="4" t="s">
        <v>9011</v>
      </c>
      <c r="C12271" s="2" t="str">
        <f ca="1">IFERROR(__xludf.DUMMYFUNCTION("GOOGLETRANSLATE(A12271,""bn"",""en"")"),"You will learn cyber security")</f>
        <v>You will learn cyber security</v>
      </c>
      <c r="D12271" s="5"/>
      <c r="E12271" s="5"/>
      <c r="F12271" s="5"/>
      <c r="G12271" s="5"/>
      <c r="H12271" s="5"/>
      <c r="I12271" s="5"/>
      <c r="J12271" s="5"/>
      <c r="K12271" s="5"/>
      <c r="L12271" s="5"/>
      <c r="M12271" s="5"/>
      <c r="N12271" s="5"/>
      <c r="O12271" s="5"/>
      <c r="P12271" s="5"/>
      <c r="Q12271" s="5"/>
      <c r="R12271" s="5"/>
      <c r="S12271" s="5"/>
      <c r="T12271" s="5"/>
      <c r="U12271" s="5"/>
      <c r="V12271" s="5"/>
      <c r="W12271" s="5"/>
      <c r="X12271" s="5"/>
      <c r="Y12271" s="5"/>
      <c r="Z12271" s="5"/>
    </row>
    <row r="12272" spans="1:26" ht="15" x14ac:dyDescent="0.25">
      <c r="A12272" s="4" t="s">
        <v>12269</v>
      </c>
      <c r="B12272" s="4" t="s">
        <v>9011</v>
      </c>
      <c r="C12272" s="2" t="str">
        <f ca="1">IFERROR(__xludf.DUMMYFUNCTION("GOOGLETRANSLATE(A12272,""bn"",""en"")"),"I will go to a new country")</f>
        <v>I will go to a new country</v>
      </c>
      <c r="D12272" s="5"/>
      <c r="E12272" s="5"/>
      <c r="F12272" s="5"/>
      <c r="G12272" s="5"/>
      <c r="H12272" s="5"/>
      <c r="I12272" s="5"/>
      <c r="J12272" s="5"/>
      <c r="K12272" s="5"/>
      <c r="L12272" s="5"/>
      <c r="M12272" s="5"/>
      <c r="N12272" s="5"/>
      <c r="O12272" s="5"/>
      <c r="P12272" s="5"/>
      <c r="Q12272" s="5"/>
      <c r="R12272" s="5"/>
      <c r="S12272" s="5"/>
      <c r="T12272" s="5"/>
      <c r="U12272" s="5"/>
      <c r="V12272" s="5"/>
      <c r="W12272" s="5"/>
      <c r="X12272" s="5"/>
      <c r="Y12272" s="5"/>
      <c r="Z12272" s="5"/>
    </row>
    <row r="12273" spans="1:26" ht="15" x14ac:dyDescent="0.25">
      <c r="A12273" s="4" t="s">
        <v>12270</v>
      </c>
      <c r="B12273" s="4" t="s">
        <v>9011</v>
      </c>
      <c r="C12273" s="2" t="str">
        <f ca="1">IFERROR(__xludf.DUMMYFUNCTION("GOOGLETRANSLATE(A12273,""bn"",""en"")"),"I will practice reading books")</f>
        <v>I will practice reading books</v>
      </c>
      <c r="D12273" s="5"/>
      <c r="E12273" s="5"/>
      <c r="F12273" s="5"/>
      <c r="G12273" s="5"/>
      <c r="H12273" s="5"/>
      <c r="I12273" s="5"/>
      <c r="J12273" s="5"/>
      <c r="K12273" s="5"/>
      <c r="L12273" s="5"/>
      <c r="M12273" s="5"/>
      <c r="N12273" s="5"/>
      <c r="O12273" s="5"/>
      <c r="P12273" s="5"/>
      <c r="Q12273" s="5"/>
      <c r="R12273" s="5"/>
      <c r="S12273" s="5"/>
      <c r="T12273" s="5"/>
      <c r="U12273" s="5"/>
      <c r="V12273" s="5"/>
      <c r="W12273" s="5"/>
      <c r="X12273" s="5"/>
      <c r="Y12273" s="5"/>
      <c r="Z12273" s="5"/>
    </row>
    <row r="12274" spans="1:26" ht="15" x14ac:dyDescent="0.25">
      <c r="A12274" s="4" t="s">
        <v>12271</v>
      </c>
      <c r="B12274" s="4" t="s">
        <v>9011</v>
      </c>
      <c r="C12274" s="2" t="str">
        <f ca="1">IFERROR(__xludf.DUMMYFUNCTION("GOOGLETRANSLATE(A12274,""bn"",""en"")"),"I will buy poetry books at the book fair")</f>
        <v>I will buy poetry books at the book fair</v>
      </c>
      <c r="D12274" s="5"/>
      <c r="E12274" s="5"/>
      <c r="F12274" s="5"/>
      <c r="G12274" s="5"/>
      <c r="H12274" s="5"/>
      <c r="I12274" s="5"/>
      <c r="J12274" s="5"/>
      <c r="K12274" s="5"/>
      <c r="L12274" s="5"/>
      <c r="M12274" s="5"/>
      <c r="N12274" s="5"/>
      <c r="O12274" s="5"/>
      <c r="P12274" s="5"/>
      <c r="Q12274" s="5"/>
      <c r="R12274" s="5"/>
      <c r="S12274" s="5"/>
      <c r="T12274" s="5"/>
      <c r="U12274" s="5"/>
      <c r="V12274" s="5"/>
      <c r="W12274" s="5"/>
      <c r="X12274" s="5"/>
      <c r="Y12274" s="5"/>
      <c r="Z12274" s="5"/>
    </row>
    <row r="12275" spans="1:26" ht="15" x14ac:dyDescent="0.25">
      <c r="A12275" s="4" t="s">
        <v>12272</v>
      </c>
      <c r="B12275" s="4" t="s">
        <v>9011</v>
      </c>
      <c r="C12275" s="2" t="str">
        <f ca="1">IFERROR(__xludf.DUMMYFUNCTION("GOOGLETRANSLATE(A12275,""bn"",""en"")"),"you will come to attend")</f>
        <v>you will come to attend</v>
      </c>
      <c r="D12275" s="5"/>
      <c r="E12275" s="5"/>
      <c r="F12275" s="5"/>
      <c r="G12275" s="5"/>
      <c r="H12275" s="5"/>
      <c r="I12275" s="5"/>
      <c r="J12275" s="5"/>
      <c r="K12275" s="5"/>
      <c r="L12275" s="5"/>
      <c r="M12275" s="5"/>
      <c r="N12275" s="5"/>
      <c r="O12275" s="5"/>
      <c r="P12275" s="5"/>
      <c r="Q12275" s="5"/>
      <c r="R12275" s="5"/>
      <c r="S12275" s="5"/>
      <c r="T12275" s="5"/>
      <c r="U12275" s="5"/>
      <c r="V12275" s="5"/>
      <c r="W12275" s="5"/>
      <c r="X12275" s="5"/>
      <c r="Y12275" s="5"/>
      <c r="Z12275" s="5"/>
    </row>
    <row r="12276" spans="1:26" ht="15" x14ac:dyDescent="0.25">
      <c r="A12276" s="4" t="s">
        <v>12273</v>
      </c>
      <c r="B12276" s="4" t="s">
        <v>9011</v>
      </c>
      <c r="C12276" s="2" t="str">
        <f ca="1">IFERROR(__xludf.DUMMYFUNCTION("GOOGLETRANSLATE(A12276,""bn"",""en"")"),"Will swim far")</f>
        <v>Will swim far</v>
      </c>
      <c r="D12276" s="5"/>
      <c r="E12276" s="5"/>
      <c r="F12276" s="5"/>
      <c r="G12276" s="5"/>
      <c r="H12276" s="5"/>
      <c r="I12276" s="5"/>
      <c r="J12276" s="5"/>
      <c r="K12276" s="5"/>
      <c r="L12276" s="5"/>
      <c r="M12276" s="5"/>
      <c r="N12276" s="5"/>
      <c r="O12276" s="5"/>
      <c r="P12276" s="5"/>
      <c r="Q12276" s="5"/>
      <c r="R12276" s="5"/>
      <c r="S12276" s="5"/>
      <c r="T12276" s="5"/>
      <c r="U12276" s="5"/>
      <c r="V12276" s="5"/>
      <c r="W12276" s="5"/>
      <c r="X12276" s="5"/>
      <c r="Y12276" s="5"/>
      <c r="Z12276" s="5"/>
    </row>
    <row r="12277" spans="1:26" ht="15" x14ac:dyDescent="0.25">
      <c r="A12277" s="4" t="s">
        <v>12274</v>
      </c>
      <c r="B12277" s="4" t="s">
        <v>9011</v>
      </c>
      <c r="C12277" s="2" t="str">
        <f ca="1">IFERROR(__xludf.DUMMYFUNCTION("GOOGLETRANSLATE(A12277,""bn"",""en"")"),"Must go sightseeing")</f>
        <v>Must go sightseeing</v>
      </c>
      <c r="D12277" s="5"/>
      <c r="E12277" s="5"/>
      <c r="F12277" s="5"/>
      <c r="G12277" s="5"/>
      <c r="H12277" s="5"/>
      <c r="I12277" s="5"/>
      <c r="J12277" s="5"/>
      <c r="K12277" s="5"/>
      <c r="L12277" s="5"/>
      <c r="M12277" s="5"/>
      <c r="N12277" s="5"/>
      <c r="O12277" s="5"/>
      <c r="P12277" s="5"/>
      <c r="Q12277" s="5"/>
      <c r="R12277" s="5"/>
      <c r="S12277" s="5"/>
      <c r="T12277" s="5"/>
      <c r="U12277" s="5"/>
      <c r="V12277" s="5"/>
      <c r="W12277" s="5"/>
      <c r="X12277" s="5"/>
      <c r="Y12277" s="5"/>
      <c r="Z12277" s="5"/>
    </row>
    <row r="12278" spans="1:26" ht="15" x14ac:dyDescent="0.25">
      <c r="A12278" s="4" t="s">
        <v>12275</v>
      </c>
      <c r="B12278" s="4" t="s">
        <v>9011</v>
      </c>
      <c r="C12278" s="2" t="str">
        <f ca="1">IFERROR(__xludf.DUMMYFUNCTION("GOOGLETRANSLATE(A12278,""bn"",""en"")"),"Bugs will clear up in the winter")</f>
        <v>Bugs will clear up in the winter</v>
      </c>
      <c r="D12278" s="5"/>
      <c r="E12278" s="5"/>
      <c r="F12278" s="5"/>
      <c r="G12278" s="5"/>
      <c r="H12278" s="5"/>
      <c r="I12278" s="5"/>
      <c r="J12278" s="5"/>
      <c r="K12278" s="5"/>
      <c r="L12278" s="5"/>
      <c r="M12278" s="5"/>
      <c r="N12278" s="5"/>
      <c r="O12278" s="5"/>
      <c r="P12278" s="5"/>
      <c r="Q12278" s="5"/>
      <c r="R12278" s="5"/>
      <c r="S12278" s="5"/>
      <c r="T12278" s="5"/>
      <c r="U12278" s="5"/>
      <c r="V12278" s="5"/>
      <c r="W12278" s="5"/>
      <c r="X12278" s="5"/>
      <c r="Y12278" s="5"/>
      <c r="Z12278" s="5"/>
    </row>
    <row r="12279" spans="1:26" ht="15" x14ac:dyDescent="0.25">
      <c r="A12279" s="4" t="s">
        <v>12276</v>
      </c>
      <c r="B12279" s="4" t="s">
        <v>9011</v>
      </c>
      <c r="C12279" s="2" t="str">
        <f ca="1">IFERROR(__xludf.DUMMYFUNCTION("GOOGLETRANSLATE(A12279,""bn"",""en"")"),"They will come to research")</f>
        <v>They will come to research</v>
      </c>
      <c r="D12279" s="5"/>
      <c r="E12279" s="5"/>
      <c r="F12279" s="5"/>
      <c r="G12279" s="5"/>
      <c r="H12279" s="5"/>
      <c r="I12279" s="5"/>
      <c r="J12279" s="5"/>
      <c r="K12279" s="5"/>
      <c r="L12279" s="5"/>
      <c r="M12279" s="5"/>
      <c r="N12279" s="5"/>
      <c r="O12279" s="5"/>
      <c r="P12279" s="5"/>
      <c r="Q12279" s="5"/>
      <c r="R12279" s="5"/>
      <c r="S12279" s="5"/>
      <c r="T12279" s="5"/>
      <c r="U12279" s="5"/>
      <c r="V12279" s="5"/>
      <c r="W12279" s="5"/>
      <c r="X12279" s="5"/>
      <c r="Y12279" s="5"/>
      <c r="Z12279" s="5"/>
    </row>
    <row r="12280" spans="1:26" ht="15" x14ac:dyDescent="0.25">
      <c r="A12280" s="4" t="s">
        <v>12277</v>
      </c>
      <c r="B12280" s="4" t="s">
        <v>9011</v>
      </c>
      <c r="C12280" s="2" t="str">
        <f ca="1">IFERROR(__xludf.DUMMYFUNCTION("GOOGLETRANSLATE(A12280,""bn"",""en"")"),"Learn machine learning")</f>
        <v>Learn machine learning</v>
      </c>
      <c r="D12280" s="5"/>
      <c r="E12280" s="5"/>
      <c r="F12280" s="5"/>
      <c r="G12280" s="5"/>
      <c r="H12280" s="5"/>
      <c r="I12280" s="5"/>
      <c r="J12280" s="5"/>
      <c r="K12280" s="5"/>
      <c r="L12280" s="5"/>
      <c r="M12280" s="5"/>
      <c r="N12280" s="5"/>
      <c r="O12280" s="5"/>
      <c r="P12280" s="5"/>
      <c r="Q12280" s="5"/>
      <c r="R12280" s="5"/>
      <c r="S12280" s="5"/>
      <c r="T12280" s="5"/>
      <c r="U12280" s="5"/>
      <c r="V12280" s="5"/>
      <c r="W12280" s="5"/>
      <c r="X12280" s="5"/>
      <c r="Y12280" s="5"/>
      <c r="Z12280" s="5"/>
    </row>
    <row r="12281" spans="1:26" ht="15" x14ac:dyDescent="0.25">
      <c r="A12281" s="4" t="s">
        <v>12278</v>
      </c>
      <c r="B12281" s="4" t="s">
        <v>9011</v>
      </c>
      <c r="C12281" s="2" t="str">
        <f ca="1">IFERROR(__xludf.DUMMYFUNCTION("GOOGLETRANSLATE(A12281,""bn"",""en"")"),"I will study engineering on campus")</f>
        <v>I will study engineering on campus</v>
      </c>
      <c r="D12281" s="5"/>
      <c r="E12281" s="5"/>
      <c r="F12281" s="5"/>
      <c r="G12281" s="5"/>
      <c r="H12281" s="5"/>
      <c r="I12281" s="5"/>
      <c r="J12281" s="5"/>
      <c r="K12281" s="5"/>
      <c r="L12281" s="5"/>
      <c r="M12281" s="5"/>
      <c r="N12281" s="5"/>
      <c r="O12281" s="5"/>
      <c r="P12281" s="5"/>
      <c r="Q12281" s="5"/>
      <c r="R12281" s="5"/>
      <c r="S12281" s="5"/>
      <c r="T12281" s="5"/>
      <c r="U12281" s="5"/>
      <c r="V12281" s="5"/>
      <c r="W12281" s="5"/>
      <c r="X12281" s="5"/>
      <c r="Y12281" s="5"/>
      <c r="Z12281" s="5"/>
    </row>
    <row r="12282" spans="1:26" ht="15" x14ac:dyDescent="0.25">
      <c r="A12282" s="4" t="s">
        <v>12279</v>
      </c>
      <c r="B12282" s="4" t="s">
        <v>9011</v>
      </c>
      <c r="C12282" s="2" t="str">
        <f ca="1">IFERROR(__xludf.DUMMYFUNCTION("GOOGLETRANSLATE(A12282,""bn"",""en"")"),"Robots will give ideas of the future")</f>
        <v>Robots will give ideas of the future</v>
      </c>
      <c r="D12282" s="5"/>
      <c r="E12282" s="5"/>
      <c r="F12282" s="5"/>
      <c r="G12282" s="5"/>
      <c r="H12282" s="5"/>
      <c r="I12282" s="5"/>
      <c r="J12282" s="5"/>
      <c r="K12282" s="5"/>
      <c r="L12282" s="5"/>
      <c r="M12282" s="5"/>
      <c r="N12282" s="5"/>
      <c r="O12282" s="5"/>
      <c r="P12282" s="5"/>
      <c r="Q12282" s="5"/>
      <c r="R12282" s="5"/>
      <c r="S12282" s="5"/>
      <c r="T12282" s="5"/>
      <c r="U12282" s="5"/>
      <c r="V12282" s="5"/>
      <c r="W12282" s="5"/>
      <c r="X12282" s="5"/>
      <c r="Y12282" s="5"/>
      <c r="Z12282" s="5"/>
    </row>
    <row r="12283" spans="1:26" ht="15" x14ac:dyDescent="0.25">
      <c r="A12283" s="4" t="s">
        <v>12280</v>
      </c>
      <c r="B12283" s="4" t="s">
        <v>9011</v>
      </c>
      <c r="C12283" s="2" t="str">
        <f ca="1">IFERROR(__xludf.DUMMYFUNCTION("GOOGLETRANSLATE(A12283,""bn"",""en"")"),"There will be economic problems in the war")</f>
        <v>There will be economic problems in the war</v>
      </c>
      <c r="D12283" s="5"/>
      <c r="E12283" s="5"/>
      <c r="F12283" s="5"/>
      <c r="G12283" s="5"/>
      <c r="H12283" s="5"/>
      <c r="I12283" s="5"/>
      <c r="J12283" s="5"/>
      <c r="K12283" s="5"/>
      <c r="L12283" s="5"/>
      <c r="M12283" s="5"/>
      <c r="N12283" s="5"/>
      <c r="O12283" s="5"/>
      <c r="P12283" s="5"/>
      <c r="Q12283" s="5"/>
      <c r="R12283" s="5"/>
      <c r="S12283" s="5"/>
      <c r="T12283" s="5"/>
      <c r="U12283" s="5"/>
      <c r="V12283" s="5"/>
      <c r="W12283" s="5"/>
      <c r="X12283" s="5"/>
      <c r="Y12283" s="5"/>
      <c r="Z12283" s="5"/>
    </row>
    <row r="12284" spans="1:26" ht="15" x14ac:dyDescent="0.25">
      <c r="A12284" s="4" t="s">
        <v>12281</v>
      </c>
      <c r="B12284" s="4" t="s">
        <v>9011</v>
      </c>
      <c r="C12284" s="2" t="str">
        <f ca="1">IFERROR(__xludf.DUMMYFUNCTION("GOOGLETRANSLATE(A12284,""bn"",""en"")"),"A wall of ice will form")</f>
        <v>A wall of ice will form</v>
      </c>
      <c r="D12284" s="5"/>
      <c r="E12284" s="5"/>
      <c r="F12284" s="5"/>
      <c r="G12284" s="5"/>
      <c r="H12284" s="5"/>
      <c r="I12284" s="5"/>
      <c r="J12284" s="5"/>
      <c r="K12284" s="5"/>
      <c r="L12284" s="5"/>
      <c r="M12284" s="5"/>
      <c r="N12284" s="5"/>
      <c r="O12284" s="5"/>
      <c r="P12284" s="5"/>
      <c r="Q12284" s="5"/>
      <c r="R12284" s="5"/>
      <c r="S12284" s="5"/>
      <c r="T12284" s="5"/>
      <c r="U12284" s="5"/>
      <c r="V12284" s="5"/>
      <c r="W12284" s="5"/>
      <c r="X12284" s="5"/>
      <c r="Y12284" s="5"/>
      <c r="Z12284" s="5"/>
    </row>
    <row r="12285" spans="1:26" ht="15" x14ac:dyDescent="0.25">
      <c r="A12285" s="4" t="s">
        <v>12282</v>
      </c>
      <c r="B12285" s="4" t="s">
        <v>9011</v>
      </c>
      <c r="C12285" s="2" t="str">
        <f ca="1">IFERROR(__xludf.DUMMYFUNCTION("GOOGLETRANSLATE(A12285,""bn"",""en"")"),"The economy will grow in the market")</f>
        <v>The economy will grow in the market</v>
      </c>
      <c r="D12285" s="5"/>
      <c r="E12285" s="5"/>
      <c r="F12285" s="5"/>
      <c r="G12285" s="5"/>
      <c r="H12285" s="5"/>
      <c r="I12285" s="5"/>
      <c r="J12285" s="5"/>
      <c r="K12285" s="5"/>
      <c r="L12285" s="5"/>
      <c r="M12285" s="5"/>
      <c r="N12285" s="5"/>
      <c r="O12285" s="5"/>
      <c r="P12285" s="5"/>
      <c r="Q12285" s="5"/>
      <c r="R12285" s="5"/>
      <c r="S12285" s="5"/>
      <c r="T12285" s="5"/>
      <c r="U12285" s="5"/>
      <c r="V12285" s="5"/>
      <c r="W12285" s="5"/>
      <c r="X12285" s="5"/>
      <c r="Y12285" s="5"/>
      <c r="Z12285" s="5"/>
    </row>
    <row r="12286" spans="1:26" ht="15" x14ac:dyDescent="0.25">
      <c r="A12286" s="4" t="s">
        <v>12283</v>
      </c>
      <c r="B12286" s="4" t="s">
        <v>9011</v>
      </c>
      <c r="C12286" s="2" t="str">
        <f ca="1">IFERROR(__xludf.DUMMYFUNCTION("GOOGLETRANSLATE(A12286,""bn"",""en"")"),"Mukul will comment on the Republic")</f>
        <v>Mukul will comment on the Republic</v>
      </c>
      <c r="D12286" s="5"/>
      <c r="E12286" s="5"/>
      <c r="F12286" s="5"/>
      <c r="G12286" s="5"/>
      <c r="H12286" s="5"/>
      <c r="I12286" s="5"/>
      <c r="J12286" s="5"/>
      <c r="K12286" s="5"/>
      <c r="L12286" s="5"/>
      <c r="M12286" s="5"/>
      <c r="N12286" s="5"/>
      <c r="O12286" s="5"/>
      <c r="P12286" s="5"/>
      <c r="Q12286" s="5"/>
      <c r="R12286" s="5"/>
      <c r="S12286" s="5"/>
      <c r="T12286" s="5"/>
      <c r="U12286" s="5"/>
      <c r="V12286" s="5"/>
      <c r="W12286" s="5"/>
      <c r="X12286" s="5"/>
      <c r="Y12286" s="5"/>
      <c r="Z12286" s="5"/>
    </row>
    <row r="12287" spans="1:26" ht="15" x14ac:dyDescent="0.25">
      <c r="A12287" s="4" t="s">
        <v>12284</v>
      </c>
      <c r="B12287" s="4" t="s">
        <v>9011</v>
      </c>
      <c r="C12287" s="2" t="str">
        <f ca="1">IFERROR(__xludf.DUMMYFUNCTION("GOOGLETRANSLATE(A12287,""bn"",""en"")"),"They will watch the game on TV")</f>
        <v>They will watch the game on TV</v>
      </c>
      <c r="D12287" s="5"/>
      <c r="E12287" s="5"/>
      <c r="F12287" s="5"/>
      <c r="G12287" s="5"/>
      <c r="H12287" s="5"/>
      <c r="I12287" s="5"/>
      <c r="J12287" s="5"/>
      <c r="K12287" s="5"/>
      <c r="L12287" s="5"/>
      <c r="M12287" s="5"/>
      <c r="N12287" s="5"/>
      <c r="O12287" s="5"/>
      <c r="P12287" s="5"/>
      <c r="Q12287" s="5"/>
      <c r="R12287" s="5"/>
      <c r="S12287" s="5"/>
      <c r="T12287" s="5"/>
      <c r="U12287" s="5"/>
      <c r="V12287" s="5"/>
      <c r="W12287" s="5"/>
      <c r="X12287" s="5"/>
      <c r="Y12287" s="5"/>
      <c r="Z12287" s="5"/>
    </row>
    <row r="12288" spans="1:26" ht="15" x14ac:dyDescent="0.25">
      <c r="A12288" s="4" t="s">
        <v>12285</v>
      </c>
      <c r="B12288" s="4" t="s">
        <v>9011</v>
      </c>
      <c r="C12288" s="2" t="str">
        <f ca="1">IFERROR(__xludf.DUMMYFUNCTION("GOOGLETRANSLATE(A12288,""bn"",""en"")"),"The world conference will be organized")</f>
        <v>The world conference will be organized</v>
      </c>
      <c r="D12288" s="5"/>
      <c r="E12288" s="5"/>
      <c r="F12288" s="5"/>
      <c r="G12288" s="5"/>
      <c r="H12288" s="5"/>
      <c r="I12288" s="5"/>
      <c r="J12288" s="5"/>
      <c r="K12288" s="5"/>
      <c r="L12288" s="5"/>
      <c r="M12288" s="5"/>
      <c r="N12288" s="5"/>
      <c r="O12288" s="5"/>
      <c r="P12288" s="5"/>
      <c r="Q12288" s="5"/>
      <c r="R12288" s="5"/>
      <c r="S12288" s="5"/>
      <c r="T12288" s="5"/>
      <c r="U12288" s="5"/>
      <c r="V12288" s="5"/>
      <c r="W12288" s="5"/>
      <c r="X12288" s="5"/>
      <c r="Y12288" s="5"/>
      <c r="Z12288" s="5"/>
    </row>
    <row r="12289" spans="1:26" ht="15" x14ac:dyDescent="0.25">
      <c r="A12289" s="4" t="s">
        <v>12286</v>
      </c>
      <c r="B12289" s="4" t="s">
        <v>9011</v>
      </c>
      <c r="C12289" s="2" t="str">
        <f ca="1">IFERROR(__xludf.DUMMYFUNCTION("GOOGLETRANSLATE(A12289,""bn"",""en"")"),"I will be a doctor in future")</f>
        <v>I will be a doctor in future</v>
      </c>
      <c r="D12289" s="5"/>
      <c r="E12289" s="5"/>
      <c r="F12289" s="5"/>
      <c r="G12289" s="5"/>
      <c r="H12289" s="5"/>
      <c r="I12289" s="5"/>
      <c r="J12289" s="5"/>
      <c r="K12289" s="5"/>
      <c r="L12289" s="5"/>
      <c r="M12289" s="5"/>
      <c r="N12289" s="5"/>
      <c r="O12289" s="5"/>
      <c r="P12289" s="5"/>
      <c r="Q12289" s="5"/>
      <c r="R12289" s="5"/>
      <c r="S12289" s="5"/>
      <c r="T12289" s="5"/>
      <c r="U12289" s="5"/>
      <c r="V12289" s="5"/>
      <c r="W12289" s="5"/>
      <c r="X12289" s="5"/>
      <c r="Y12289" s="5"/>
      <c r="Z12289" s="5"/>
    </row>
    <row r="12290" spans="1:26" ht="15" x14ac:dyDescent="0.25">
      <c r="A12290" s="4" t="s">
        <v>12287</v>
      </c>
      <c r="B12290" s="4" t="s">
        <v>9011</v>
      </c>
      <c r="C12290" s="2" t="str">
        <f ca="1">IFERROR(__xludf.DUMMYFUNCTION("GOOGLETRANSLATE(A12290,""bn"",""en"")"),"He will see the GPS")</f>
        <v>He will see the GPS</v>
      </c>
      <c r="D12290" s="5"/>
      <c r="E12290" s="5"/>
      <c r="F12290" s="5"/>
      <c r="G12290" s="5"/>
      <c r="H12290" s="5"/>
      <c r="I12290" s="5"/>
      <c r="J12290" s="5"/>
      <c r="K12290" s="5"/>
      <c r="L12290" s="5"/>
      <c r="M12290" s="5"/>
      <c r="N12290" s="5"/>
      <c r="O12290" s="5"/>
      <c r="P12290" s="5"/>
      <c r="Q12290" s="5"/>
      <c r="R12290" s="5"/>
      <c r="S12290" s="5"/>
      <c r="T12290" s="5"/>
      <c r="U12290" s="5"/>
      <c r="V12290" s="5"/>
      <c r="W12290" s="5"/>
      <c r="X12290" s="5"/>
      <c r="Y12290" s="5"/>
      <c r="Z12290" s="5"/>
    </row>
    <row r="12291" spans="1:26" ht="15" x14ac:dyDescent="0.25">
      <c r="A12291" s="4" t="s">
        <v>12288</v>
      </c>
      <c r="B12291" s="4" t="s">
        <v>9011</v>
      </c>
      <c r="C12291" s="2" t="str">
        <f ca="1">IFERROR(__xludf.DUMMYFUNCTION("GOOGLETRANSLATE(A12291,""bn"",""en"")"),"He will be addicted online")</f>
        <v>He will be addicted online</v>
      </c>
      <c r="D12291" s="5"/>
      <c r="E12291" s="5"/>
      <c r="F12291" s="5"/>
      <c r="G12291" s="5"/>
      <c r="H12291" s="5"/>
      <c r="I12291" s="5"/>
      <c r="J12291" s="5"/>
      <c r="K12291" s="5"/>
      <c r="L12291" s="5"/>
      <c r="M12291" s="5"/>
      <c r="N12291" s="5"/>
      <c r="O12291" s="5"/>
      <c r="P12291" s="5"/>
      <c r="Q12291" s="5"/>
      <c r="R12291" s="5"/>
      <c r="S12291" s="5"/>
      <c r="T12291" s="5"/>
      <c r="U12291" s="5"/>
      <c r="V12291" s="5"/>
      <c r="W12291" s="5"/>
      <c r="X12291" s="5"/>
      <c r="Y12291" s="5"/>
      <c r="Z12291" s="5"/>
    </row>
    <row r="12292" spans="1:26" ht="15" x14ac:dyDescent="0.25">
      <c r="A12292" s="4" t="s">
        <v>12289</v>
      </c>
      <c r="B12292" s="4" t="s">
        <v>9011</v>
      </c>
      <c r="C12292" s="2" t="str">
        <f ca="1">IFERROR(__xludf.DUMMYFUNCTION("GOOGLETRANSLATE(A12292,""bn"",""en"")"),"The Prime Minister will hold a meeting")</f>
        <v>The Prime Minister will hold a meeting</v>
      </c>
      <c r="D12292" s="5"/>
      <c r="E12292" s="5"/>
      <c r="F12292" s="5"/>
      <c r="G12292" s="5"/>
      <c r="H12292" s="5"/>
      <c r="I12292" s="5"/>
      <c r="J12292" s="5"/>
      <c r="K12292" s="5"/>
      <c r="L12292" s="5"/>
      <c r="M12292" s="5"/>
      <c r="N12292" s="5"/>
      <c r="O12292" s="5"/>
      <c r="P12292" s="5"/>
      <c r="Q12292" s="5"/>
      <c r="R12292" s="5"/>
      <c r="S12292" s="5"/>
      <c r="T12292" s="5"/>
      <c r="U12292" s="5"/>
      <c r="V12292" s="5"/>
      <c r="W12292" s="5"/>
      <c r="X12292" s="5"/>
      <c r="Y12292" s="5"/>
      <c r="Z12292" s="5"/>
    </row>
    <row r="12293" spans="1:26" ht="15" x14ac:dyDescent="0.25">
      <c r="A12293" s="4" t="s">
        <v>12290</v>
      </c>
      <c r="B12293" s="4" t="s">
        <v>9011</v>
      </c>
      <c r="C12293" s="2" t="str">
        <f ca="1">IFERROR(__xludf.DUMMYFUNCTION("GOOGLETRANSLATE(A12293,""bn"",""en"")"),"The game will be played at the stadium tomorrow")</f>
        <v>The game will be played at the stadium tomorrow</v>
      </c>
      <c r="D12293" s="5"/>
      <c r="E12293" s="5"/>
      <c r="F12293" s="5"/>
      <c r="G12293" s="5"/>
      <c r="H12293" s="5"/>
      <c r="I12293" s="5"/>
      <c r="J12293" s="5"/>
      <c r="K12293" s="5"/>
      <c r="L12293" s="5"/>
      <c r="M12293" s="5"/>
      <c r="N12293" s="5"/>
      <c r="O12293" s="5"/>
      <c r="P12293" s="5"/>
      <c r="Q12293" s="5"/>
      <c r="R12293" s="5"/>
      <c r="S12293" s="5"/>
      <c r="T12293" s="5"/>
      <c r="U12293" s="5"/>
      <c r="V12293" s="5"/>
      <c r="W12293" s="5"/>
      <c r="X12293" s="5"/>
      <c r="Y12293" s="5"/>
      <c r="Z12293" s="5"/>
    </row>
    <row r="12294" spans="1:26" ht="15" x14ac:dyDescent="0.25">
      <c r="A12294" s="4" t="s">
        <v>12291</v>
      </c>
      <c r="B12294" s="4" t="s">
        <v>9011</v>
      </c>
      <c r="C12294" s="2" t="str">
        <f ca="1">IFERROR(__xludf.DUMMYFUNCTION("GOOGLETRANSLATE(A12294,""bn"",""en"")"),"Tesla will be an expensive company")</f>
        <v>Tesla will be an expensive company</v>
      </c>
      <c r="D12294" s="5"/>
      <c r="E12294" s="5"/>
      <c r="F12294" s="5"/>
      <c r="G12294" s="5"/>
      <c r="H12294" s="5"/>
      <c r="I12294" s="5"/>
      <c r="J12294" s="5"/>
      <c r="K12294" s="5"/>
      <c r="L12294" s="5"/>
      <c r="M12294" s="5"/>
      <c r="N12294" s="5"/>
      <c r="O12294" s="5"/>
      <c r="P12294" s="5"/>
      <c r="Q12294" s="5"/>
      <c r="R12294" s="5"/>
      <c r="S12294" s="5"/>
      <c r="T12294" s="5"/>
      <c r="U12294" s="5"/>
      <c r="V12294" s="5"/>
      <c r="W12294" s="5"/>
      <c r="X12294" s="5"/>
      <c r="Y12294" s="5"/>
      <c r="Z12294" s="5"/>
    </row>
    <row r="12295" spans="1:26" ht="15" x14ac:dyDescent="0.25">
      <c r="A12295" s="4" t="s">
        <v>12292</v>
      </c>
      <c r="B12295" s="4" t="s">
        <v>9011</v>
      </c>
      <c r="C12295" s="2" t="str">
        <f ca="1">IFERROR(__xludf.DUMMYFUNCTION("GOOGLETRANSLATE(A12295,""bn"",""en"")"),"Bank Manager will be added")</f>
        <v>Bank Manager will be added</v>
      </c>
      <c r="D12295" s="5"/>
      <c r="E12295" s="5"/>
      <c r="F12295" s="5"/>
      <c r="G12295" s="5"/>
      <c r="H12295" s="5"/>
      <c r="I12295" s="5"/>
      <c r="J12295" s="5"/>
      <c r="K12295" s="5"/>
      <c r="L12295" s="5"/>
      <c r="M12295" s="5"/>
      <c r="N12295" s="5"/>
      <c r="O12295" s="5"/>
      <c r="P12295" s="5"/>
      <c r="Q12295" s="5"/>
      <c r="R12295" s="5"/>
      <c r="S12295" s="5"/>
      <c r="T12295" s="5"/>
      <c r="U12295" s="5"/>
      <c r="V12295" s="5"/>
      <c r="W12295" s="5"/>
      <c r="X12295" s="5"/>
      <c r="Y12295" s="5"/>
      <c r="Z12295" s="5"/>
    </row>
    <row r="12296" spans="1:26" ht="15" x14ac:dyDescent="0.25">
      <c r="A12296" s="4" t="s">
        <v>12293</v>
      </c>
      <c r="B12296" s="4" t="s">
        <v>9011</v>
      </c>
      <c r="C12296" s="2" t="str">
        <f ca="1">IFERROR(__xludf.DUMMYFUNCTION("GOOGLETRANSLATE(A12296,""bn"",""en"")"),"He will go to buy fruit")</f>
        <v>He will go to buy fruit</v>
      </c>
      <c r="D12296" s="5"/>
      <c r="E12296" s="5"/>
      <c r="F12296" s="5"/>
      <c r="G12296" s="5"/>
      <c r="H12296" s="5"/>
      <c r="I12296" s="5"/>
      <c r="J12296" s="5"/>
      <c r="K12296" s="5"/>
      <c r="L12296" s="5"/>
      <c r="M12296" s="5"/>
      <c r="N12296" s="5"/>
      <c r="O12296" s="5"/>
      <c r="P12296" s="5"/>
      <c r="Q12296" s="5"/>
      <c r="R12296" s="5"/>
      <c r="S12296" s="5"/>
      <c r="T12296" s="5"/>
      <c r="U12296" s="5"/>
      <c r="V12296" s="5"/>
      <c r="W12296" s="5"/>
      <c r="X12296" s="5"/>
      <c r="Y12296" s="5"/>
      <c r="Z12296" s="5"/>
    </row>
    <row r="12297" spans="1:26" ht="15" x14ac:dyDescent="0.25">
      <c r="A12297" s="4" t="s">
        <v>12294</v>
      </c>
      <c r="B12297" s="4" t="s">
        <v>9011</v>
      </c>
      <c r="C12297" s="2" t="str">
        <f ca="1">IFERROR(__xludf.DUMMYFUNCTION("GOOGLETRANSLATE(A12297,""bn"",""en"")"),"I will enjoy traveling by train")</f>
        <v>I will enjoy traveling by train</v>
      </c>
      <c r="D12297" s="5"/>
      <c r="E12297" s="5"/>
      <c r="F12297" s="5"/>
      <c r="G12297" s="5"/>
      <c r="H12297" s="5"/>
      <c r="I12297" s="5"/>
      <c r="J12297" s="5"/>
      <c r="K12297" s="5"/>
      <c r="L12297" s="5"/>
      <c r="M12297" s="5"/>
      <c r="N12297" s="5"/>
      <c r="O12297" s="5"/>
      <c r="P12297" s="5"/>
      <c r="Q12297" s="5"/>
      <c r="R12297" s="5"/>
      <c r="S12297" s="5"/>
      <c r="T12297" s="5"/>
      <c r="U12297" s="5"/>
      <c r="V12297" s="5"/>
      <c r="W12297" s="5"/>
      <c r="X12297" s="5"/>
      <c r="Y12297" s="5"/>
      <c r="Z12297" s="5"/>
    </row>
    <row r="12298" spans="1:26" ht="15" x14ac:dyDescent="0.25">
      <c r="A12298" s="4" t="s">
        <v>12295</v>
      </c>
      <c r="B12298" s="4" t="s">
        <v>9011</v>
      </c>
      <c r="C12298" s="2" t="str">
        <f ca="1">IFERROR(__xludf.DUMMYFUNCTION("GOOGLETRANSLATE(A12298,""bn"",""en"")"),"The bank will seize the property")</f>
        <v>The bank will seize the property</v>
      </c>
      <c r="D12298" s="5"/>
      <c r="E12298" s="5"/>
      <c r="F12298" s="5"/>
      <c r="G12298" s="5"/>
      <c r="H12298" s="5"/>
      <c r="I12298" s="5"/>
      <c r="J12298" s="5"/>
      <c r="K12298" s="5"/>
      <c r="L12298" s="5"/>
      <c r="M12298" s="5"/>
      <c r="N12298" s="5"/>
      <c r="O12298" s="5"/>
      <c r="P12298" s="5"/>
      <c r="Q12298" s="5"/>
      <c r="R12298" s="5"/>
      <c r="S12298" s="5"/>
      <c r="T12298" s="5"/>
      <c r="U12298" s="5"/>
      <c r="V12298" s="5"/>
      <c r="W12298" s="5"/>
      <c r="X12298" s="5"/>
      <c r="Y12298" s="5"/>
      <c r="Z12298" s="5"/>
    </row>
    <row r="12299" spans="1:26" ht="15" x14ac:dyDescent="0.25">
      <c r="A12299" s="4" t="s">
        <v>12296</v>
      </c>
      <c r="B12299" s="4" t="s">
        <v>9011</v>
      </c>
      <c r="C12299" s="2" t="str">
        <f ca="1">IFERROR(__xludf.DUMMYFUNCTION("GOOGLETRANSLATE(A12299,""bn"",""en"")"),"Entrepreneurs will get easy loans")</f>
        <v>Entrepreneurs will get easy loans</v>
      </c>
      <c r="D12299" s="5"/>
      <c r="E12299" s="5"/>
      <c r="F12299" s="5"/>
      <c r="G12299" s="5"/>
      <c r="H12299" s="5"/>
      <c r="I12299" s="5"/>
      <c r="J12299" s="5"/>
      <c r="K12299" s="5"/>
      <c r="L12299" s="5"/>
      <c r="M12299" s="5"/>
      <c r="N12299" s="5"/>
      <c r="O12299" s="5"/>
      <c r="P12299" s="5"/>
      <c r="Q12299" s="5"/>
      <c r="R12299" s="5"/>
      <c r="S12299" s="5"/>
      <c r="T12299" s="5"/>
      <c r="U12299" s="5"/>
      <c r="V12299" s="5"/>
      <c r="W12299" s="5"/>
      <c r="X12299" s="5"/>
      <c r="Y12299" s="5"/>
      <c r="Z12299" s="5"/>
    </row>
    <row r="12300" spans="1:26" ht="15" x14ac:dyDescent="0.25">
      <c r="A12300" s="4" t="s">
        <v>12297</v>
      </c>
      <c r="B12300" s="4" t="s">
        <v>9011</v>
      </c>
      <c r="C12300" s="2" t="str">
        <f ca="1">IFERROR(__xludf.DUMMYFUNCTION("GOOGLETRANSLATE(A12300,""bn"",""en"")"),"Viral diseases will be released")</f>
        <v>Viral diseases will be released</v>
      </c>
      <c r="D12300" s="5"/>
      <c r="E12300" s="5"/>
      <c r="F12300" s="5"/>
      <c r="G12300" s="5"/>
      <c r="H12300" s="5"/>
      <c r="I12300" s="5"/>
      <c r="J12300" s="5"/>
      <c r="K12300" s="5"/>
      <c r="L12300" s="5"/>
      <c r="M12300" s="5"/>
      <c r="N12300" s="5"/>
      <c r="O12300" s="5"/>
      <c r="P12300" s="5"/>
      <c r="Q12300" s="5"/>
      <c r="R12300" s="5"/>
      <c r="S12300" s="5"/>
      <c r="T12300" s="5"/>
      <c r="U12300" s="5"/>
      <c r="V12300" s="5"/>
      <c r="W12300" s="5"/>
      <c r="X12300" s="5"/>
      <c r="Y12300" s="5"/>
      <c r="Z12300" s="5"/>
    </row>
    <row r="12301" spans="1:26" ht="15" x14ac:dyDescent="0.25">
      <c r="A12301" s="4" t="s">
        <v>12298</v>
      </c>
      <c r="B12301" s="4" t="s">
        <v>9011</v>
      </c>
      <c r="C12301" s="2" t="str">
        <f ca="1">IFERROR(__xludf.DUMMYFUNCTION("GOOGLETRANSLATE(A12301,""bn"",""en"")"),"New prices will be determined")</f>
        <v>New prices will be determined</v>
      </c>
      <c r="D12301" s="5"/>
      <c r="E12301" s="5"/>
      <c r="F12301" s="5"/>
      <c r="G12301" s="5"/>
      <c r="H12301" s="5"/>
      <c r="I12301" s="5"/>
      <c r="J12301" s="5"/>
      <c r="K12301" s="5"/>
      <c r="L12301" s="5"/>
      <c r="M12301" s="5"/>
      <c r="N12301" s="5"/>
      <c r="O12301" s="5"/>
      <c r="P12301" s="5"/>
      <c r="Q12301" s="5"/>
      <c r="R12301" s="5"/>
      <c r="S12301" s="5"/>
      <c r="T12301" s="5"/>
      <c r="U12301" s="5"/>
      <c r="V12301" s="5"/>
      <c r="W12301" s="5"/>
      <c r="X12301" s="5"/>
      <c r="Y12301" s="5"/>
      <c r="Z12301" s="5"/>
    </row>
    <row r="12302" spans="1:26" ht="15" x14ac:dyDescent="0.25">
      <c r="A12302" s="4" t="s">
        <v>12299</v>
      </c>
      <c r="B12302" s="4" t="s">
        <v>9011</v>
      </c>
      <c r="C12302" s="2" t="str">
        <f ca="1">IFERROR(__xludf.DUMMYFUNCTION("GOOGLETRANSLATE(A12302,""bn"",""en"")"),"Banks will be closed on holidays")</f>
        <v>Banks will be closed on holidays</v>
      </c>
      <c r="D12302" s="5"/>
      <c r="E12302" s="5"/>
      <c r="F12302" s="5"/>
      <c r="G12302" s="5"/>
      <c r="H12302" s="5"/>
      <c r="I12302" s="5"/>
      <c r="J12302" s="5"/>
      <c r="K12302" s="5"/>
      <c r="L12302" s="5"/>
      <c r="M12302" s="5"/>
      <c r="N12302" s="5"/>
      <c r="O12302" s="5"/>
      <c r="P12302" s="5"/>
      <c r="Q12302" s="5"/>
      <c r="R12302" s="5"/>
      <c r="S12302" s="5"/>
      <c r="T12302" s="5"/>
      <c r="U12302" s="5"/>
      <c r="V12302" s="5"/>
      <c r="W12302" s="5"/>
      <c r="X12302" s="5"/>
      <c r="Y12302" s="5"/>
      <c r="Z12302" s="5"/>
    </row>
    <row r="12303" spans="1:26" ht="15" x14ac:dyDescent="0.25">
      <c r="A12303" s="4" t="s">
        <v>12300</v>
      </c>
      <c r="B12303" s="4" t="s">
        <v>9011</v>
      </c>
      <c r="C12303" s="2" t="str">
        <f ca="1">IFERROR(__xludf.DUMMYFUNCTION("GOOGLETRANSLATE(A12303,""bn"",""en"")"),"Clothing production will increase a lot")</f>
        <v>Clothing production will increase a lot</v>
      </c>
      <c r="D12303" s="5"/>
      <c r="E12303" s="5"/>
      <c r="F12303" s="5"/>
      <c r="G12303" s="5"/>
      <c r="H12303" s="5"/>
      <c r="I12303" s="5"/>
      <c r="J12303" s="5"/>
      <c r="K12303" s="5"/>
      <c r="L12303" s="5"/>
      <c r="M12303" s="5"/>
      <c r="N12303" s="5"/>
      <c r="O12303" s="5"/>
      <c r="P12303" s="5"/>
      <c r="Q12303" s="5"/>
      <c r="R12303" s="5"/>
      <c r="S12303" s="5"/>
      <c r="T12303" s="5"/>
      <c r="U12303" s="5"/>
      <c r="V12303" s="5"/>
      <c r="W12303" s="5"/>
      <c r="X12303" s="5"/>
      <c r="Y12303" s="5"/>
      <c r="Z12303" s="5"/>
    </row>
    <row r="12304" spans="1:26" ht="15" x14ac:dyDescent="0.25">
      <c r="A12304" s="4" t="s">
        <v>12301</v>
      </c>
      <c r="B12304" s="4" t="s">
        <v>9011</v>
      </c>
      <c r="C12304" s="2" t="str">
        <f ca="1">IFERROR(__xludf.DUMMYFUNCTION("GOOGLETRANSLATE(A12304,""bn"",""en"")"),"The commercial sector will grow rapidly")</f>
        <v>The commercial sector will grow rapidly</v>
      </c>
      <c r="D12304" s="5"/>
      <c r="E12304" s="5"/>
      <c r="F12304" s="5"/>
      <c r="G12304" s="5"/>
      <c r="H12304" s="5"/>
      <c r="I12304" s="5"/>
      <c r="J12304" s="5"/>
      <c r="K12304" s="5"/>
      <c r="L12304" s="5"/>
      <c r="M12304" s="5"/>
      <c r="N12304" s="5"/>
      <c r="O12304" s="5"/>
      <c r="P12304" s="5"/>
      <c r="Q12304" s="5"/>
      <c r="R12304" s="5"/>
      <c r="S12304" s="5"/>
      <c r="T12304" s="5"/>
      <c r="U12304" s="5"/>
      <c r="V12304" s="5"/>
      <c r="W12304" s="5"/>
      <c r="X12304" s="5"/>
      <c r="Y12304" s="5"/>
      <c r="Z12304" s="5"/>
    </row>
    <row r="12305" spans="1:26" ht="15" x14ac:dyDescent="0.25">
      <c r="A12305" s="4" t="s">
        <v>12302</v>
      </c>
      <c r="B12305" s="4" t="s">
        <v>9011</v>
      </c>
      <c r="C12305" s="2" t="str">
        <f ca="1">IFERROR(__xludf.DUMMYFUNCTION("GOOGLETRANSLATE(A12305,""bn"",""en"")"),"We will test the function")</f>
        <v>We will test the function</v>
      </c>
      <c r="D12305" s="5"/>
      <c r="E12305" s="5"/>
      <c r="F12305" s="5"/>
      <c r="G12305" s="5"/>
      <c r="H12305" s="5"/>
      <c r="I12305" s="5"/>
      <c r="J12305" s="5"/>
      <c r="K12305" s="5"/>
      <c r="L12305" s="5"/>
      <c r="M12305" s="5"/>
      <c r="N12305" s="5"/>
      <c r="O12305" s="5"/>
      <c r="P12305" s="5"/>
      <c r="Q12305" s="5"/>
      <c r="R12305" s="5"/>
      <c r="S12305" s="5"/>
      <c r="T12305" s="5"/>
      <c r="U12305" s="5"/>
      <c r="V12305" s="5"/>
      <c r="W12305" s="5"/>
      <c r="X12305" s="5"/>
      <c r="Y12305" s="5"/>
      <c r="Z12305" s="5"/>
    </row>
    <row r="12306" spans="1:26" ht="15" x14ac:dyDescent="0.25">
      <c r="A12306" s="4" t="s">
        <v>12303</v>
      </c>
      <c r="B12306" s="4" t="s">
        <v>9011</v>
      </c>
      <c r="C12306" s="2" t="str">
        <f ca="1">IFERROR(__xludf.DUMMYFUNCTION("GOOGLETRANSLATE(A12306,""bn"",""en"")"),"Teams will climb the mountain")</f>
        <v>Teams will climb the mountain</v>
      </c>
      <c r="D12306" s="5"/>
      <c r="E12306" s="5"/>
      <c r="F12306" s="5"/>
      <c r="G12306" s="5"/>
      <c r="H12306" s="5"/>
      <c r="I12306" s="5"/>
      <c r="J12306" s="5"/>
      <c r="K12306" s="5"/>
      <c r="L12306" s="5"/>
      <c r="M12306" s="5"/>
      <c r="N12306" s="5"/>
      <c r="O12306" s="5"/>
      <c r="P12306" s="5"/>
      <c r="Q12306" s="5"/>
      <c r="R12306" s="5"/>
      <c r="S12306" s="5"/>
      <c r="T12306" s="5"/>
      <c r="U12306" s="5"/>
      <c r="V12306" s="5"/>
      <c r="W12306" s="5"/>
      <c r="X12306" s="5"/>
      <c r="Y12306" s="5"/>
      <c r="Z12306" s="5"/>
    </row>
    <row r="12307" spans="1:26" ht="15" x14ac:dyDescent="0.25">
      <c r="A12307" s="4" t="s">
        <v>12304</v>
      </c>
      <c r="B12307" s="4" t="s">
        <v>9011</v>
      </c>
      <c r="C12307" s="2" t="str">
        <f ca="1">IFERROR(__xludf.DUMMYFUNCTION("GOOGLETRANSLATE(A12307,""bn"",""en"")"),"I will wait on the shore")</f>
        <v>I will wait on the shore</v>
      </c>
      <c r="D12307" s="5"/>
      <c r="E12307" s="5"/>
      <c r="F12307" s="5"/>
      <c r="G12307" s="5"/>
      <c r="H12307" s="5"/>
      <c r="I12307" s="5"/>
      <c r="J12307" s="5"/>
      <c r="K12307" s="5"/>
      <c r="L12307" s="5"/>
      <c r="M12307" s="5"/>
      <c r="N12307" s="5"/>
      <c r="O12307" s="5"/>
      <c r="P12307" s="5"/>
      <c r="Q12307" s="5"/>
      <c r="R12307" s="5"/>
      <c r="S12307" s="5"/>
      <c r="T12307" s="5"/>
      <c r="U12307" s="5"/>
      <c r="V12307" s="5"/>
      <c r="W12307" s="5"/>
      <c r="X12307" s="5"/>
      <c r="Y12307" s="5"/>
      <c r="Z12307" s="5"/>
    </row>
    <row r="12308" spans="1:26" ht="15" x14ac:dyDescent="0.25">
      <c r="A12308" s="4" t="s">
        <v>12305</v>
      </c>
      <c r="B12308" s="4" t="s">
        <v>9011</v>
      </c>
      <c r="C12308" s="2" t="str">
        <f ca="1">IFERROR(__xludf.DUMMYFUNCTION("GOOGLETRANSLATE(A12308,""bn"",""en"")"),"Will take up new economic projects")</f>
        <v>Will take up new economic projects</v>
      </c>
      <c r="D12308" s="5"/>
      <c r="E12308" s="5"/>
      <c r="F12308" s="5"/>
      <c r="G12308" s="5"/>
      <c r="H12308" s="5"/>
      <c r="I12308" s="5"/>
      <c r="J12308" s="5"/>
      <c r="K12308" s="5"/>
      <c r="L12308" s="5"/>
      <c r="M12308" s="5"/>
      <c r="N12308" s="5"/>
      <c r="O12308" s="5"/>
      <c r="P12308" s="5"/>
      <c r="Q12308" s="5"/>
      <c r="R12308" s="5"/>
      <c r="S12308" s="5"/>
      <c r="T12308" s="5"/>
      <c r="U12308" s="5"/>
      <c r="V12308" s="5"/>
      <c r="W12308" s="5"/>
      <c r="X12308" s="5"/>
      <c r="Y12308" s="5"/>
      <c r="Z12308" s="5"/>
    </row>
    <row r="12309" spans="1:26" ht="15" x14ac:dyDescent="0.25">
      <c r="A12309" s="4" t="s">
        <v>12306</v>
      </c>
      <c r="B12309" s="4" t="s">
        <v>9011</v>
      </c>
      <c r="C12309" s="2" t="str">
        <f ca="1">IFERROR(__xludf.DUMMYFUNCTION("GOOGLETRANSLATE(A12309,""bn"",""en"")"),"Typewriter will disappear")</f>
        <v>Typewriter will disappear</v>
      </c>
      <c r="D12309" s="5"/>
      <c r="E12309" s="5"/>
      <c r="F12309" s="5"/>
      <c r="G12309" s="5"/>
      <c r="H12309" s="5"/>
      <c r="I12309" s="5"/>
      <c r="J12309" s="5"/>
      <c r="K12309" s="5"/>
      <c r="L12309" s="5"/>
      <c r="M12309" s="5"/>
      <c r="N12309" s="5"/>
      <c r="O12309" s="5"/>
      <c r="P12309" s="5"/>
      <c r="Q12309" s="5"/>
      <c r="R12309" s="5"/>
      <c r="S12309" s="5"/>
      <c r="T12309" s="5"/>
      <c r="U12309" s="5"/>
      <c r="V12309" s="5"/>
      <c r="W12309" s="5"/>
      <c r="X12309" s="5"/>
      <c r="Y12309" s="5"/>
      <c r="Z12309" s="5"/>
    </row>
    <row r="12310" spans="1:26" ht="15" x14ac:dyDescent="0.25">
      <c r="A12310" s="4" t="s">
        <v>12307</v>
      </c>
      <c r="B12310" s="4" t="s">
        <v>9011</v>
      </c>
      <c r="C12310" s="2" t="str">
        <f ca="1">IFERROR(__xludf.DUMMYFUNCTION("GOOGLETRANSLATE(A12310,""bn"",""en"")"),"Attend lectures")</f>
        <v>Attend lectures</v>
      </c>
      <c r="D12310" s="5"/>
      <c r="E12310" s="5"/>
      <c r="F12310" s="5"/>
      <c r="G12310" s="5"/>
      <c r="H12310" s="5"/>
      <c r="I12310" s="5"/>
      <c r="J12310" s="5"/>
      <c r="K12310" s="5"/>
      <c r="L12310" s="5"/>
      <c r="M12310" s="5"/>
      <c r="N12310" s="5"/>
      <c r="O12310" s="5"/>
      <c r="P12310" s="5"/>
      <c r="Q12310" s="5"/>
      <c r="R12310" s="5"/>
      <c r="S12310" s="5"/>
      <c r="T12310" s="5"/>
      <c r="U12310" s="5"/>
      <c r="V12310" s="5"/>
      <c r="W12310" s="5"/>
      <c r="X12310" s="5"/>
      <c r="Y12310" s="5"/>
      <c r="Z12310" s="5"/>
    </row>
    <row r="12311" spans="1:26" ht="15" x14ac:dyDescent="0.25">
      <c r="A12311" s="4" t="s">
        <v>12308</v>
      </c>
      <c r="B12311" s="4" t="s">
        <v>9011</v>
      </c>
      <c r="C12311" s="2" t="str">
        <f ca="1">IFERROR(__xludf.DUMMYFUNCTION("GOOGLETRANSLATE(A12311,""bn"",""en"")"),"I will sit on the shore and watch the sea")</f>
        <v>I will sit on the shore and watch the sea</v>
      </c>
      <c r="D12311" s="5"/>
      <c r="E12311" s="5"/>
      <c r="F12311" s="5"/>
      <c r="G12311" s="5"/>
      <c r="H12311" s="5"/>
      <c r="I12311" s="5"/>
      <c r="J12311" s="5"/>
      <c r="K12311" s="5"/>
      <c r="L12311" s="5"/>
      <c r="M12311" s="5"/>
      <c r="N12311" s="5"/>
      <c r="O12311" s="5"/>
      <c r="P12311" s="5"/>
      <c r="Q12311" s="5"/>
      <c r="R12311" s="5"/>
      <c r="S12311" s="5"/>
      <c r="T12311" s="5"/>
      <c r="U12311" s="5"/>
      <c r="V12311" s="5"/>
      <c r="W12311" s="5"/>
      <c r="X12311" s="5"/>
      <c r="Y12311" s="5"/>
      <c r="Z12311" s="5"/>
    </row>
    <row r="12312" spans="1:26" ht="15" x14ac:dyDescent="0.25">
      <c r="A12312" s="4" t="s">
        <v>12309</v>
      </c>
      <c r="B12312" s="4" t="s">
        <v>9011</v>
      </c>
      <c r="C12312" s="2" t="str">
        <f ca="1">IFERROR(__xludf.DUMMYFUNCTION("GOOGLETRANSLATE(A12312,""bn"",""en"")"),"He will write economic reports")</f>
        <v>He will write economic reports</v>
      </c>
      <c r="D12312" s="5"/>
      <c r="E12312" s="5"/>
      <c r="F12312" s="5"/>
      <c r="G12312" s="5"/>
      <c r="H12312" s="5"/>
      <c r="I12312" s="5"/>
      <c r="J12312" s="5"/>
      <c r="K12312" s="5"/>
      <c r="L12312" s="5"/>
      <c r="M12312" s="5"/>
      <c r="N12312" s="5"/>
      <c r="O12312" s="5"/>
      <c r="P12312" s="5"/>
      <c r="Q12312" s="5"/>
      <c r="R12312" s="5"/>
      <c r="S12312" s="5"/>
      <c r="T12312" s="5"/>
      <c r="U12312" s="5"/>
      <c r="V12312" s="5"/>
      <c r="W12312" s="5"/>
      <c r="X12312" s="5"/>
      <c r="Y12312" s="5"/>
      <c r="Z12312" s="5"/>
    </row>
    <row r="12313" spans="1:26" ht="15" x14ac:dyDescent="0.25">
      <c r="A12313" s="4" t="s">
        <v>12310</v>
      </c>
      <c r="B12313" s="4" t="s">
        <v>9011</v>
      </c>
      <c r="C12313" s="2" t="str">
        <f ca="1">IFERROR(__xludf.DUMMYFUNCTION("GOOGLETRANSLATE(A12313,""bn"",""en"")"),"Tesla's new car will arrive")</f>
        <v>Tesla's new car will arrive</v>
      </c>
      <c r="D12313" s="5"/>
      <c r="E12313" s="5"/>
      <c r="F12313" s="5"/>
      <c r="G12313" s="5"/>
      <c r="H12313" s="5"/>
      <c r="I12313" s="5"/>
      <c r="J12313" s="5"/>
      <c r="K12313" s="5"/>
      <c r="L12313" s="5"/>
      <c r="M12313" s="5"/>
      <c r="N12313" s="5"/>
      <c r="O12313" s="5"/>
      <c r="P12313" s="5"/>
      <c r="Q12313" s="5"/>
      <c r="R12313" s="5"/>
      <c r="S12313" s="5"/>
      <c r="T12313" s="5"/>
      <c r="U12313" s="5"/>
      <c r="V12313" s="5"/>
      <c r="W12313" s="5"/>
      <c r="X12313" s="5"/>
      <c r="Y12313" s="5"/>
      <c r="Z12313" s="5"/>
    </row>
    <row r="12314" spans="1:26" ht="15" x14ac:dyDescent="0.25">
      <c r="A12314" s="4" t="s">
        <v>12311</v>
      </c>
      <c r="B12314" s="4" t="s">
        <v>9011</v>
      </c>
      <c r="C12314" s="2" t="str">
        <f ca="1">IFERROR(__xludf.DUMMYFUNCTION("GOOGLETRANSLATE(A12314,""bn"",""en"")"),"I will write classic poetry")</f>
        <v>I will write classic poetry</v>
      </c>
      <c r="D12314" s="5"/>
      <c r="E12314" s="5"/>
      <c r="F12314" s="5"/>
      <c r="G12314" s="5"/>
      <c r="H12314" s="5"/>
      <c r="I12314" s="5"/>
      <c r="J12314" s="5"/>
      <c r="K12314" s="5"/>
      <c r="L12314" s="5"/>
      <c r="M12314" s="5"/>
      <c r="N12314" s="5"/>
      <c r="O12314" s="5"/>
      <c r="P12314" s="5"/>
      <c r="Q12314" s="5"/>
      <c r="R12314" s="5"/>
      <c r="S12314" s="5"/>
      <c r="T12314" s="5"/>
      <c r="U12314" s="5"/>
      <c r="V12314" s="5"/>
      <c r="W12314" s="5"/>
      <c r="X12314" s="5"/>
      <c r="Y12314" s="5"/>
      <c r="Z12314" s="5"/>
    </row>
    <row r="12315" spans="1:26" ht="15" x14ac:dyDescent="0.25">
      <c r="A12315" s="4" t="s">
        <v>12312</v>
      </c>
      <c r="B12315" s="4" t="s">
        <v>9011</v>
      </c>
      <c r="C12315" s="2" t="str">
        <f ca="1">IFERROR(__xludf.DUMMYFUNCTION("GOOGLETRANSLATE(A12315,""bn"",""en"")"),"There will be development in the banking sector")</f>
        <v>There will be development in the banking sector</v>
      </c>
      <c r="D12315" s="5"/>
      <c r="E12315" s="5"/>
      <c r="F12315" s="5"/>
      <c r="G12315" s="5"/>
      <c r="H12315" s="5"/>
      <c r="I12315" s="5"/>
      <c r="J12315" s="5"/>
      <c r="K12315" s="5"/>
      <c r="L12315" s="5"/>
      <c r="M12315" s="5"/>
      <c r="N12315" s="5"/>
      <c r="O12315" s="5"/>
      <c r="P12315" s="5"/>
      <c r="Q12315" s="5"/>
      <c r="R12315" s="5"/>
      <c r="S12315" s="5"/>
      <c r="T12315" s="5"/>
      <c r="U12315" s="5"/>
      <c r="V12315" s="5"/>
      <c r="W12315" s="5"/>
      <c r="X12315" s="5"/>
      <c r="Y12315" s="5"/>
      <c r="Z12315" s="5"/>
    </row>
    <row r="12316" spans="1:26" ht="15" x14ac:dyDescent="0.25">
      <c r="A12316" s="4" t="s">
        <v>12313</v>
      </c>
      <c r="B12316" s="4" t="s">
        <v>9011</v>
      </c>
      <c r="C12316" s="2" t="str">
        <f ca="1">IFERROR(__xludf.DUMMYFUNCTION("GOOGLETRANSLATE(A12316,""bn"",""en"")"),"Participate in cyber sports")</f>
        <v>Participate in cyber sports</v>
      </c>
      <c r="D12316" s="5"/>
      <c r="E12316" s="5"/>
      <c r="F12316" s="5"/>
      <c r="G12316" s="5"/>
      <c r="H12316" s="5"/>
      <c r="I12316" s="5"/>
      <c r="J12316" s="5"/>
      <c r="K12316" s="5"/>
      <c r="L12316" s="5"/>
      <c r="M12316" s="5"/>
      <c r="N12316" s="5"/>
      <c r="O12316" s="5"/>
      <c r="P12316" s="5"/>
      <c r="Q12316" s="5"/>
      <c r="R12316" s="5"/>
      <c r="S12316" s="5"/>
      <c r="T12316" s="5"/>
      <c r="U12316" s="5"/>
      <c r="V12316" s="5"/>
      <c r="W12316" s="5"/>
      <c r="X12316" s="5"/>
      <c r="Y12316" s="5"/>
      <c r="Z12316" s="5"/>
    </row>
    <row r="12317" spans="1:26" ht="15" x14ac:dyDescent="0.25">
      <c r="A12317" s="4" t="s">
        <v>12314</v>
      </c>
      <c r="B12317" s="4" t="s">
        <v>9011</v>
      </c>
      <c r="C12317" s="2" t="str">
        <f ca="1">IFERROR(__xludf.DUMMYFUNCTION("GOOGLETRANSLATE(A12317,""bn"",""en"")"),"You will play football tomorrow")</f>
        <v>You will play football tomorrow</v>
      </c>
      <c r="D12317" s="5"/>
      <c r="E12317" s="5"/>
      <c r="F12317" s="5"/>
      <c r="G12317" s="5"/>
      <c r="H12317" s="5"/>
      <c r="I12317" s="5"/>
      <c r="J12317" s="5"/>
      <c r="K12317" s="5"/>
      <c r="L12317" s="5"/>
      <c r="M12317" s="5"/>
      <c r="N12317" s="5"/>
      <c r="O12317" s="5"/>
      <c r="P12317" s="5"/>
      <c r="Q12317" s="5"/>
      <c r="R12317" s="5"/>
      <c r="S12317" s="5"/>
      <c r="T12317" s="5"/>
      <c r="U12317" s="5"/>
      <c r="V12317" s="5"/>
      <c r="W12317" s="5"/>
      <c r="X12317" s="5"/>
      <c r="Y12317" s="5"/>
      <c r="Z12317" s="5"/>
    </row>
    <row r="12318" spans="1:26" ht="15" x14ac:dyDescent="0.25">
      <c r="A12318" s="4" t="s">
        <v>12315</v>
      </c>
      <c r="B12318" s="4" t="s">
        <v>9011</v>
      </c>
      <c r="C12318" s="2" t="str">
        <f ca="1">IFERROR(__xludf.DUMMYFUNCTION("GOOGLETRANSLATE(A12318,""bn"",""en"")"),"You go to coding camp")</f>
        <v>You go to coding camp</v>
      </c>
      <c r="D12318" s="5"/>
      <c r="E12318" s="5"/>
      <c r="F12318" s="5"/>
      <c r="G12318" s="5"/>
      <c r="H12318" s="5"/>
      <c r="I12318" s="5"/>
      <c r="J12318" s="5"/>
      <c r="K12318" s="5"/>
      <c r="L12318" s="5"/>
      <c r="M12318" s="5"/>
      <c r="N12318" s="5"/>
      <c r="O12318" s="5"/>
      <c r="P12318" s="5"/>
      <c r="Q12318" s="5"/>
      <c r="R12318" s="5"/>
      <c r="S12318" s="5"/>
      <c r="T12318" s="5"/>
      <c r="U12318" s="5"/>
      <c r="V12318" s="5"/>
      <c r="W12318" s="5"/>
      <c r="X12318" s="5"/>
      <c r="Y12318" s="5"/>
      <c r="Z12318" s="5"/>
    </row>
    <row r="12319" spans="1:26" ht="15" x14ac:dyDescent="0.25">
      <c r="A12319" s="4" t="s">
        <v>12316</v>
      </c>
      <c r="B12319" s="4" t="s">
        <v>9011</v>
      </c>
      <c r="C12319" s="2" t="str">
        <f ca="1">IFERROR(__xludf.DUMMYFUNCTION("GOOGLETRANSLATE(A12319,""bn"",""en"")"),"Classic tunes will be heard")</f>
        <v>Classic tunes will be heard</v>
      </c>
      <c r="D12319" s="5"/>
      <c r="E12319" s="5"/>
      <c r="F12319" s="5"/>
      <c r="G12319" s="5"/>
      <c r="H12319" s="5"/>
      <c r="I12319" s="5"/>
      <c r="J12319" s="5"/>
      <c r="K12319" s="5"/>
      <c r="L12319" s="5"/>
      <c r="M12319" s="5"/>
      <c r="N12319" s="5"/>
      <c r="O12319" s="5"/>
      <c r="P12319" s="5"/>
      <c r="Q12319" s="5"/>
      <c r="R12319" s="5"/>
      <c r="S12319" s="5"/>
      <c r="T12319" s="5"/>
      <c r="U12319" s="5"/>
      <c r="V12319" s="5"/>
      <c r="W12319" s="5"/>
      <c r="X12319" s="5"/>
      <c r="Y12319" s="5"/>
      <c r="Z12319" s="5"/>
    </row>
    <row r="12320" spans="1:26" ht="15" x14ac:dyDescent="0.25">
      <c r="A12320" s="4" t="s">
        <v>12317</v>
      </c>
      <c r="B12320" s="4" t="s">
        <v>9011</v>
      </c>
      <c r="C12320" s="2" t="str">
        <f ca="1">IFERROR(__xludf.DUMMYFUNCTION("GOOGLETRANSLATE(A12320,""bn"",""en"")"),"They will manage the deployment")</f>
        <v>They will manage the deployment</v>
      </c>
      <c r="D12320" s="5"/>
      <c r="E12320" s="5"/>
      <c r="F12320" s="5"/>
      <c r="G12320" s="5"/>
      <c r="H12320" s="5"/>
      <c r="I12320" s="5"/>
      <c r="J12320" s="5"/>
      <c r="K12320" s="5"/>
      <c r="L12320" s="5"/>
      <c r="M12320" s="5"/>
      <c r="N12320" s="5"/>
      <c r="O12320" s="5"/>
      <c r="P12320" s="5"/>
      <c r="Q12320" s="5"/>
      <c r="R12320" s="5"/>
      <c r="S12320" s="5"/>
      <c r="T12320" s="5"/>
      <c r="U12320" s="5"/>
      <c r="V12320" s="5"/>
      <c r="W12320" s="5"/>
      <c r="X12320" s="5"/>
      <c r="Y12320" s="5"/>
      <c r="Z12320" s="5"/>
    </row>
    <row r="12321" spans="1:26" ht="15" x14ac:dyDescent="0.25">
      <c r="A12321" s="4" t="s">
        <v>12318</v>
      </c>
      <c r="B12321" s="4" t="s">
        <v>9011</v>
      </c>
      <c r="C12321" s="2" t="str">
        <f ca="1">IFERROR(__xludf.DUMMYFUNCTION("GOOGLETRANSLATE(A12321,""bn"",""en"")"),"The operation will be next week")</f>
        <v>The operation will be next week</v>
      </c>
      <c r="D12321" s="5"/>
      <c r="E12321" s="5"/>
      <c r="F12321" s="5"/>
      <c r="G12321" s="5"/>
      <c r="H12321" s="5"/>
      <c r="I12321" s="5"/>
      <c r="J12321" s="5"/>
      <c r="K12321" s="5"/>
      <c r="L12321" s="5"/>
      <c r="M12321" s="5"/>
      <c r="N12321" s="5"/>
      <c r="O12321" s="5"/>
      <c r="P12321" s="5"/>
      <c r="Q12321" s="5"/>
      <c r="R12321" s="5"/>
      <c r="S12321" s="5"/>
      <c r="T12321" s="5"/>
      <c r="U12321" s="5"/>
      <c r="V12321" s="5"/>
      <c r="W12321" s="5"/>
      <c r="X12321" s="5"/>
      <c r="Y12321" s="5"/>
      <c r="Z12321" s="5"/>
    </row>
    <row r="12322" spans="1:26" ht="15" x14ac:dyDescent="0.25">
      <c r="A12322" s="4" t="s">
        <v>12319</v>
      </c>
      <c r="B12322" s="4" t="s">
        <v>9011</v>
      </c>
      <c r="C12322" s="2" t="str">
        <f ca="1">IFERROR(__xludf.DUMMYFUNCTION("GOOGLETRANSLATE(A12322,""bn"",""en"")"),"There will be checking at the entrance")</f>
        <v>There will be checking at the entrance</v>
      </c>
      <c r="D12322" s="5"/>
      <c r="E12322" s="5"/>
      <c r="F12322" s="5"/>
      <c r="G12322" s="5"/>
      <c r="H12322" s="5"/>
      <c r="I12322" s="5"/>
      <c r="J12322" s="5"/>
      <c r="K12322" s="5"/>
      <c r="L12322" s="5"/>
      <c r="M12322" s="5"/>
      <c r="N12322" s="5"/>
      <c r="O12322" s="5"/>
      <c r="P12322" s="5"/>
      <c r="Q12322" s="5"/>
      <c r="R12322" s="5"/>
      <c r="S12322" s="5"/>
      <c r="T12322" s="5"/>
      <c r="U12322" s="5"/>
      <c r="V12322" s="5"/>
      <c r="W12322" s="5"/>
      <c r="X12322" s="5"/>
      <c r="Y12322" s="5"/>
      <c r="Z12322" s="5"/>
    </row>
    <row r="12323" spans="1:26" ht="15" x14ac:dyDescent="0.25">
      <c r="A12323" s="4" t="s">
        <v>12320</v>
      </c>
      <c r="B12323" s="4" t="s">
        <v>9011</v>
      </c>
      <c r="C12323" s="2" t="str">
        <f ca="1">IFERROR(__xludf.DUMMYFUNCTION("GOOGLETRANSLATE(A12323,""bn"",""en"")"),"Everyone will search the internet")</f>
        <v>Everyone will search the internet</v>
      </c>
      <c r="D12323" s="5"/>
      <c r="E12323" s="5"/>
      <c r="F12323" s="5"/>
      <c r="G12323" s="5"/>
      <c r="H12323" s="5"/>
      <c r="I12323" s="5"/>
      <c r="J12323" s="5"/>
      <c r="K12323" s="5"/>
      <c r="L12323" s="5"/>
      <c r="M12323" s="5"/>
      <c r="N12323" s="5"/>
      <c r="O12323" s="5"/>
      <c r="P12323" s="5"/>
      <c r="Q12323" s="5"/>
      <c r="R12323" s="5"/>
      <c r="S12323" s="5"/>
      <c r="T12323" s="5"/>
      <c r="U12323" s="5"/>
      <c r="V12323" s="5"/>
      <c r="W12323" s="5"/>
      <c r="X12323" s="5"/>
      <c r="Y12323" s="5"/>
      <c r="Z12323" s="5"/>
    </row>
    <row r="12324" spans="1:26" ht="15" x14ac:dyDescent="0.25">
      <c r="A12324" s="4" t="s">
        <v>12321</v>
      </c>
      <c r="B12324" s="4" t="s">
        <v>9011</v>
      </c>
      <c r="C12324" s="2" t="str">
        <f ca="1">IFERROR(__xludf.DUMMYFUNCTION("GOOGLETRANSLATE(A12324,""bn"",""en"")"),"I will sail")</f>
        <v>I will sail</v>
      </c>
      <c r="D12324" s="5"/>
      <c r="E12324" s="5"/>
      <c r="F12324" s="5"/>
      <c r="G12324" s="5"/>
      <c r="H12324" s="5"/>
      <c r="I12324" s="5"/>
      <c r="J12324" s="5"/>
      <c r="K12324" s="5"/>
      <c r="L12324" s="5"/>
      <c r="M12324" s="5"/>
      <c r="N12324" s="5"/>
      <c r="O12324" s="5"/>
      <c r="P12324" s="5"/>
      <c r="Q12324" s="5"/>
      <c r="R12324" s="5"/>
      <c r="S12324" s="5"/>
      <c r="T12324" s="5"/>
      <c r="U12324" s="5"/>
      <c r="V12324" s="5"/>
      <c r="W12324" s="5"/>
      <c r="X12324" s="5"/>
      <c r="Y12324" s="5"/>
      <c r="Z12324" s="5"/>
    </row>
    <row r="12325" spans="1:26" ht="15" x14ac:dyDescent="0.25">
      <c r="A12325" s="4" t="s">
        <v>12322</v>
      </c>
      <c r="B12325" s="4" t="s">
        <v>9011</v>
      </c>
      <c r="C12325" s="2" t="str">
        <f ca="1">IFERROR(__xludf.DUMMYFUNCTION("GOOGLETRANSLATE(A12325,""bn"",""en"")"),"I have to prepare for the sea voyage")</f>
        <v>I have to prepare for the sea voyage</v>
      </c>
      <c r="D12325" s="5"/>
      <c r="E12325" s="5"/>
      <c r="F12325" s="5"/>
      <c r="G12325" s="5"/>
      <c r="H12325" s="5"/>
      <c r="I12325" s="5"/>
      <c r="J12325" s="5"/>
      <c r="K12325" s="5"/>
      <c r="L12325" s="5"/>
      <c r="M12325" s="5"/>
      <c r="N12325" s="5"/>
      <c r="O12325" s="5"/>
      <c r="P12325" s="5"/>
      <c r="Q12325" s="5"/>
      <c r="R12325" s="5"/>
      <c r="S12325" s="5"/>
      <c r="T12325" s="5"/>
      <c r="U12325" s="5"/>
      <c r="V12325" s="5"/>
      <c r="W12325" s="5"/>
      <c r="X12325" s="5"/>
      <c r="Y12325" s="5"/>
      <c r="Z12325" s="5"/>
    </row>
    <row r="12326" spans="1:26" ht="15" x14ac:dyDescent="0.25">
      <c r="A12326" s="4" t="s">
        <v>12323</v>
      </c>
      <c r="B12326" s="4" t="s">
        <v>9011</v>
      </c>
      <c r="C12326" s="2" t="str">
        <f ca="1">IFERROR(__xludf.DUMMYFUNCTION("GOOGLETRANSLATE(A12326,""bn"",""en"")"),"I will make a profit")</f>
        <v>I will make a profit</v>
      </c>
      <c r="D12326" s="5"/>
      <c r="E12326" s="5"/>
      <c r="F12326" s="5"/>
      <c r="G12326" s="5"/>
      <c r="H12326" s="5"/>
      <c r="I12326" s="5"/>
      <c r="J12326" s="5"/>
      <c r="K12326" s="5"/>
      <c r="L12326" s="5"/>
      <c r="M12326" s="5"/>
      <c r="N12326" s="5"/>
      <c r="O12326" s="5"/>
      <c r="P12326" s="5"/>
      <c r="Q12326" s="5"/>
      <c r="R12326" s="5"/>
      <c r="S12326" s="5"/>
      <c r="T12326" s="5"/>
      <c r="U12326" s="5"/>
      <c r="V12326" s="5"/>
      <c r="W12326" s="5"/>
      <c r="X12326" s="5"/>
      <c r="Y12326" s="5"/>
      <c r="Z12326" s="5"/>
    </row>
    <row r="12327" spans="1:26" ht="15" x14ac:dyDescent="0.25">
      <c r="A12327" s="4" t="s">
        <v>12324</v>
      </c>
      <c r="B12327" s="4" t="s">
        <v>9011</v>
      </c>
      <c r="C12327" s="2" t="str">
        <f ca="1">IFERROR(__xludf.DUMMYFUNCTION("GOOGLETRANSLATE(A12327,""bn"",""en"")"),"We will have an educational trip in the winter")</f>
        <v>We will have an educational trip in the winter</v>
      </c>
      <c r="D12327" s="5"/>
      <c r="E12327" s="5"/>
      <c r="F12327" s="5"/>
      <c r="G12327" s="5"/>
      <c r="H12327" s="5"/>
      <c r="I12327" s="5"/>
      <c r="J12327" s="5"/>
      <c r="K12327" s="5"/>
      <c r="L12327" s="5"/>
      <c r="M12327" s="5"/>
      <c r="N12327" s="5"/>
      <c r="O12327" s="5"/>
      <c r="P12327" s="5"/>
      <c r="Q12327" s="5"/>
      <c r="R12327" s="5"/>
      <c r="S12327" s="5"/>
      <c r="T12327" s="5"/>
      <c r="U12327" s="5"/>
      <c r="V12327" s="5"/>
      <c r="W12327" s="5"/>
      <c r="X12327" s="5"/>
      <c r="Y12327" s="5"/>
      <c r="Z12327" s="5"/>
    </row>
    <row r="12328" spans="1:26" ht="15" x14ac:dyDescent="0.25">
      <c r="A12328" s="4" t="s">
        <v>12325</v>
      </c>
      <c r="B12328" s="4" t="s">
        <v>9011</v>
      </c>
      <c r="C12328" s="2" t="str">
        <f ca="1">IFERROR(__xludf.DUMMYFUNCTION("GOOGLETRANSLATE(A12328,""bn"",""en"")"),"They will all swim")</f>
        <v>They will all swim</v>
      </c>
      <c r="D12328" s="5"/>
      <c r="E12328" s="5"/>
      <c r="F12328" s="5"/>
      <c r="G12328" s="5"/>
      <c r="H12328" s="5"/>
      <c r="I12328" s="5"/>
      <c r="J12328" s="5"/>
      <c r="K12328" s="5"/>
      <c r="L12328" s="5"/>
      <c r="M12328" s="5"/>
      <c r="N12328" s="5"/>
      <c r="O12328" s="5"/>
      <c r="P12328" s="5"/>
      <c r="Q12328" s="5"/>
      <c r="R12328" s="5"/>
      <c r="S12328" s="5"/>
      <c r="T12328" s="5"/>
      <c r="U12328" s="5"/>
      <c r="V12328" s="5"/>
      <c r="W12328" s="5"/>
      <c r="X12328" s="5"/>
      <c r="Y12328" s="5"/>
      <c r="Z12328" s="5"/>
    </row>
    <row r="12329" spans="1:26" ht="15" x14ac:dyDescent="0.25">
      <c r="A12329" s="4" t="s">
        <v>12326</v>
      </c>
      <c r="B12329" s="4" t="s">
        <v>9011</v>
      </c>
      <c r="C12329" s="2" t="str">
        <f ca="1">IFERROR(__xludf.DUMMYFUNCTION("GOOGLETRANSLATE(A12329,""bn"",""en"")"),"Their projects will be on campus")</f>
        <v>Their projects will be on campus</v>
      </c>
      <c r="D12329" s="5"/>
      <c r="E12329" s="5"/>
      <c r="F12329" s="5"/>
      <c r="G12329" s="5"/>
      <c r="H12329" s="5"/>
      <c r="I12329" s="5"/>
      <c r="J12329" s="5"/>
      <c r="K12329" s="5"/>
      <c r="L12329" s="5"/>
      <c r="M12329" s="5"/>
      <c r="N12329" s="5"/>
      <c r="O12329" s="5"/>
      <c r="P12329" s="5"/>
      <c r="Q12329" s="5"/>
      <c r="R12329" s="5"/>
      <c r="S12329" s="5"/>
      <c r="T12329" s="5"/>
      <c r="U12329" s="5"/>
      <c r="V12329" s="5"/>
      <c r="W12329" s="5"/>
      <c r="X12329" s="5"/>
      <c r="Y12329" s="5"/>
      <c r="Z12329" s="5"/>
    </row>
    <row r="12330" spans="1:26" ht="15" x14ac:dyDescent="0.25">
      <c r="A12330" s="4" t="s">
        <v>12327</v>
      </c>
      <c r="B12330" s="4" t="s">
        <v>9011</v>
      </c>
      <c r="C12330" s="2" t="str">
        <f ca="1">IFERROR(__xludf.DUMMYFUNCTION("GOOGLETRANSLATE(A12330,""bn"",""en"")"),"Birthday will be organized in the restaurant")</f>
        <v>Birthday will be organized in the restaurant</v>
      </c>
      <c r="D12330" s="5"/>
      <c r="E12330" s="5"/>
      <c r="F12330" s="5"/>
      <c r="G12330" s="5"/>
      <c r="H12330" s="5"/>
      <c r="I12330" s="5"/>
      <c r="J12330" s="5"/>
      <c r="K12330" s="5"/>
      <c r="L12330" s="5"/>
      <c r="M12330" s="5"/>
      <c r="N12330" s="5"/>
      <c r="O12330" s="5"/>
      <c r="P12330" s="5"/>
      <c r="Q12330" s="5"/>
      <c r="R12330" s="5"/>
      <c r="S12330" s="5"/>
      <c r="T12330" s="5"/>
      <c r="U12330" s="5"/>
      <c r="V12330" s="5"/>
      <c r="W12330" s="5"/>
      <c r="X12330" s="5"/>
      <c r="Y12330" s="5"/>
      <c r="Z12330" s="5"/>
    </row>
    <row r="12331" spans="1:26" ht="15" x14ac:dyDescent="0.25">
      <c r="A12331" s="4" t="s">
        <v>12328</v>
      </c>
      <c r="B12331" s="4" t="s">
        <v>9011</v>
      </c>
      <c r="C12331" s="2" t="str">
        <f ca="1">IFERROR(__xludf.DUMMYFUNCTION("GOOGLETRANSLATE(A12331,""bn"",""en"")"),"Investments will improve rapidly")</f>
        <v>Investments will improve rapidly</v>
      </c>
      <c r="D12331" s="5"/>
      <c r="E12331" s="5"/>
      <c r="F12331" s="5"/>
      <c r="G12331" s="5"/>
      <c r="H12331" s="5"/>
      <c r="I12331" s="5"/>
      <c r="J12331" s="5"/>
      <c r="K12331" s="5"/>
      <c r="L12331" s="5"/>
      <c r="M12331" s="5"/>
      <c r="N12331" s="5"/>
      <c r="O12331" s="5"/>
      <c r="P12331" s="5"/>
      <c r="Q12331" s="5"/>
      <c r="R12331" s="5"/>
      <c r="S12331" s="5"/>
      <c r="T12331" s="5"/>
      <c r="U12331" s="5"/>
      <c r="V12331" s="5"/>
      <c r="W12331" s="5"/>
      <c r="X12331" s="5"/>
      <c r="Y12331" s="5"/>
      <c r="Z12331" s="5"/>
    </row>
    <row r="12332" spans="1:26" ht="15" x14ac:dyDescent="0.25">
      <c r="A12332" s="4" t="s">
        <v>12329</v>
      </c>
      <c r="B12332" s="4" t="s">
        <v>9011</v>
      </c>
      <c r="C12332" s="2" t="str">
        <f ca="1">IFERROR(__xludf.DUMMYFUNCTION("GOOGLETRANSLATE(A12332,""bn"",""en"")"),"The fruit will ripen in the garden")</f>
        <v>The fruit will ripen in the garden</v>
      </c>
      <c r="D12332" s="5"/>
      <c r="E12332" s="5"/>
      <c r="F12332" s="5"/>
      <c r="G12332" s="5"/>
      <c r="H12332" s="5"/>
      <c r="I12332" s="5"/>
      <c r="J12332" s="5"/>
      <c r="K12332" s="5"/>
      <c r="L12332" s="5"/>
      <c r="M12332" s="5"/>
      <c r="N12332" s="5"/>
      <c r="O12332" s="5"/>
      <c r="P12332" s="5"/>
      <c r="Q12332" s="5"/>
      <c r="R12332" s="5"/>
      <c r="S12332" s="5"/>
      <c r="T12332" s="5"/>
      <c r="U12332" s="5"/>
      <c r="V12332" s="5"/>
      <c r="W12332" s="5"/>
      <c r="X12332" s="5"/>
      <c r="Y12332" s="5"/>
      <c r="Z12332" s="5"/>
    </row>
    <row r="12333" spans="1:26" ht="15" x14ac:dyDescent="0.25">
      <c r="A12333" s="4" t="s">
        <v>12330</v>
      </c>
      <c r="B12333" s="4" t="s">
        <v>9011</v>
      </c>
      <c r="C12333" s="2" t="str">
        <f ca="1">IFERROR(__xludf.DUMMYFUNCTION("GOOGLETRANSLATE(A12333,""bn"",""en"")"),"We will market the product")</f>
        <v>We will market the product</v>
      </c>
      <c r="D12333" s="5"/>
      <c r="E12333" s="5"/>
      <c r="F12333" s="5"/>
      <c r="G12333" s="5"/>
      <c r="H12333" s="5"/>
      <c r="I12333" s="5"/>
      <c r="J12333" s="5"/>
      <c r="K12333" s="5"/>
      <c r="L12333" s="5"/>
      <c r="M12333" s="5"/>
      <c r="N12333" s="5"/>
      <c r="O12333" s="5"/>
      <c r="P12333" s="5"/>
      <c r="Q12333" s="5"/>
      <c r="R12333" s="5"/>
      <c r="S12333" s="5"/>
      <c r="T12333" s="5"/>
      <c r="U12333" s="5"/>
      <c r="V12333" s="5"/>
      <c r="W12333" s="5"/>
      <c r="X12333" s="5"/>
      <c r="Y12333" s="5"/>
      <c r="Z12333" s="5"/>
    </row>
    <row r="12334" spans="1:26" ht="15" x14ac:dyDescent="0.25">
      <c r="A12334" s="4" t="s">
        <v>12331</v>
      </c>
      <c r="B12334" s="4" t="s">
        <v>9011</v>
      </c>
      <c r="C12334" s="2" t="str">
        <f ca="1">IFERROR(__xludf.DUMMYFUNCTION("GOOGLETRANSLATE(A12334,""bn"",""en"")"),"I will go to the sea to see the sunset")</f>
        <v>I will go to the sea to see the sunset</v>
      </c>
      <c r="D12334" s="5"/>
      <c r="E12334" s="5"/>
      <c r="F12334" s="5"/>
      <c r="G12334" s="5"/>
      <c r="H12334" s="5"/>
      <c r="I12334" s="5"/>
      <c r="J12334" s="5"/>
      <c r="K12334" s="5"/>
      <c r="L12334" s="5"/>
      <c r="M12334" s="5"/>
      <c r="N12334" s="5"/>
      <c r="O12334" s="5"/>
      <c r="P12334" s="5"/>
      <c r="Q12334" s="5"/>
      <c r="R12334" s="5"/>
      <c r="S12334" s="5"/>
      <c r="T12334" s="5"/>
      <c r="U12334" s="5"/>
      <c r="V12334" s="5"/>
      <c r="W12334" s="5"/>
      <c r="X12334" s="5"/>
      <c r="Y12334" s="5"/>
      <c r="Z12334" s="5"/>
    </row>
    <row r="12335" spans="1:26" ht="15" x14ac:dyDescent="0.25">
      <c r="A12335" s="4" t="s">
        <v>12332</v>
      </c>
      <c r="B12335" s="4" t="s">
        <v>9011</v>
      </c>
      <c r="C12335" s="2" t="str">
        <f ca="1">IFERROR(__xludf.DUMMYFUNCTION("GOOGLETRANSLATE(A12335,""bn"",""en"")"),"We will go for a walk in the park")</f>
        <v>We will go for a walk in the park</v>
      </c>
      <c r="D12335" s="5"/>
      <c r="E12335" s="5"/>
      <c r="F12335" s="5"/>
      <c r="G12335" s="5"/>
      <c r="H12335" s="5"/>
      <c r="I12335" s="5"/>
      <c r="J12335" s="5"/>
      <c r="K12335" s="5"/>
      <c r="L12335" s="5"/>
      <c r="M12335" s="5"/>
      <c r="N12335" s="5"/>
      <c r="O12335" s="5"/>
      <c r="P12335" s="5"/>
      <c r="Q12335" s="5"/>
      <c r="R12335" s="5"/>
      <c r="S12335" s="5"/>
      <c r="T12335" s="5"/>
      <c r="U12335" s="5"/>
      <c r="V12335" s="5"/>
      <c r="W12335" s="5"/>
      <c r="X12335" s="5"/>
      <c r="Y12335" s="5"/>
      <c r="Z12335" s="5"/>
    </row>
    <row r="12336" spans="1:26" ht="15" x14ac:dyDescent="0.25">
      <c r="A12336" s="4" t="s">
        <v>12333</v>
      </c>
      <c r="B12336" s="4" t="s">
        <v>9011</v>
      </c>
      <c r="C12336" s="2" t="str">
        <f ca="1">IFERROR(__xludf.DUMMYFUNCTION("GOOGLETRANSLATE(A12336,""bn"",""en"")"),"Follow technology trends")</f>
        <v>Follow technology trends</v>
      </c>
      <c r="D12336" s="5"/>
      <c r="E12336" s="5"/>
      <c r="F12336" s="5"/>
      <c r="G12336" s="5"/>
      <c r="H12336" s="5"/>
      <c r="I12336" s="5"/>
      <c r="J12336" s="5"/>
      <c r="K12336" s="5"/>
      <c r="L12336" s="5"/>
      <c r="M12336" s="5"/>
      <c r="N12336" s="5"/>
      <c r="O12336" s="5"/>
      <c r="P12336" s="5"/>
      <c r="Q12336" s="5"/>
      <c r="R12336" s="5"/>
      <c r="S12336" s="5"/>
      <c r="T12336" s="5"/>
      <c r="U12336" s="5"/>
      <c r="V12336" s="5"/>
      <c r="W12336" s="5"/>
      <c r="X12336" s="5"/>
      <c r="Y12336" s="5"/>
      <c r="Z12336" s="5"/>
    </row>
    <row r="12337" spans="1:26" ht="15" x14ac:dyDescent="0.25">
      <c r="A12337" s="4" t="s">
        <v>12334</v>
      </c>
      <c r="B12337" s="4" t="s">
        <v>9011</v>
      </c>
      <c r="C12337" s="2" t="str">
        <f ca="1">IFERROR(__xludf.DUMMYFUNCTION("GOOGLETRANSLATE(A12337,""bn"",""en"")"),"We will perform at the festival")</f>
        <v>We will perform at the festival</v>
      </c>
      <c r="D12337" s="5"/>
      <c r="E12337" s="5"/>
      <c r="F12337" s="5"/>
      <c r="G12337" s="5"/>
      <c r="H12337" s="5"/>
      <c r="I12337" s="5"/>
      <c r="J12337" s="5"/>
      <c r="K12337" s="5"/>
      <c r="L12337" s="5"/>
      <c r="M12337" s="5"/>
      <c r="N12337" s="5"/>
      <c r="O12337" s="5"/>
      <c r="P12337" s="5"/>
      <c r="Q12337" s="5"/>
      <c r="R12337" s="5"/>
      <c r="S12337" s="5"/>
      <c r="T12337" s="5"/>
      <c r="U12337" s="5"/>
      <c r="V12337" s="5"/>
      <c r="W12337" s="5"/>
      <c r="X12337" s="5"/>
      <c r="Y12337" s="5"/>
      <c r="Z12337" s="5"/>
    </row>
    <row r="12338" spans="1:26" ht="15" x14ac:dyDescent="0.25">
      <c r="A12338" s="4" t="s">
        <v>12335</v>
      </c>
      <c r="B12338" s="4" t="s">
        <v>9011</v>
      </c>
      <c r="C12338" s="2" t="str">
        <f ca="1">IFERROR(__xludf.DUMMYFUNCTION("GOOGLETRANSLATE(A12338,""bn"",""en"")"),"School will be closed tomorrow")</f>
        <v>School will be closed tomorrow</v>
      </c>
      <c r="D12338" s="5"/>
      <c r="E12338" s="5"/>
      <c r="F12338" s="5"/>
      <c r="G12338" s="5"/>
      <c r="H12338" s="5"/>
      <c r="I12338" s="5"/>
      <c r="J12338" s="5"/>
      <c r="K12338" s="5"/>
      <c r="L12338" s="5"/>
      <c r="M12338" s="5"/>
      <c r="N12338" s="5"/>
      <c r="O12338" s="5"/>
      <c r="P12338" s="5"/>
      <c r="Q12338" s="5"/>
      <c r="R12338" s="5"/>
      <c r="S12338" s="5"/>
      <c r="T12338" s="5"/>
      <c r="U12338" s="5"/>
      <c r="V12338" s="5"/>
      <c r="W12338" s="5"/>
      <c r="X12338" s="5"/>
      <c r="Y12338" s="5"/>
      <c r="Z12338" s="5"/>
    </row>
    <row r="12339" spans="1:26" ht="15" x14ac:dyDescent="0.25">
      <c r="A12339" s="4" t="s">
        <v>12336</v>
      </c>
      <c r="B12339" s="4" t="s">
        <v>9011</v>
      </c>
      <c r="C12339" s="2" t="str">
        <f ca="1">IFERROR(__xludf.DUMMYFUNCTION("GOOGLETRANSLATE(A12339,""bn"",""en"")"),"Produce new products")</f>
        <v>Produce new products</v>
      </c>
      <c r="D12339" s="5"/>
      <c r="E12339" s="5"/>
      <c r="F12339" s="5"/>
      <c r="G12339" s="5"/>
      <c r="H12339" s="5"/>
      <c r="I12339" s="5"/>
      <c r="J12339" s="5"/>
      <c r="K12339" s="5"/>
      <c r="L12339" s="5"/>
      <c r="M12339" s="5"/>
      <c r="N12339" s="5"/>
      <c r="O12339" s="5"/>
      <c r="P12339" s="5"/>
      <c r="Q12339" s="5"/>
      <c r="R12339" s="5"/>
      <c r="S12339" s="5"/>
      <c r="T12339" s="5"/>
      <c r="U12339" s="5"/>
      <c r="V12339" s="5"/>
      <c r="W12339" s="5"/>
      <c r="X12339" s="5"/>
      <c r="Y12339" s="5"/>
      <c r="Z12339" s="5"/>
    </row>
    <row r="12340" spans="1:26" ht="15" x14ac:dyDescent="0.25">
      <c r="A12340" s="4" t="s">
        <v>12337</v>
      </c>
      <c r="B12340" s="4" t="s">
        <v>9011</v>
      </c>
      <c r="C12340" s="2" t="str">
        <f ca="1">IFERROR(__xludf.DUMMYFUNCTION("GOOGLETRANSLATE(A12340,""bn"",""en"")"),"Political content will be practiced")</f>
        <v>Political content will be practiced</v>
      </c>
      <c r="D12340" s="5"/>
      <c r="E12340" s="5"/>
      <c r="F12340" s="5"/>
      <c r="G12340" s="5"/>
      <c r="H12340" s="5"/>
      <c r="I12340" s="5"/>
      <c r="J12340" s="5"/>
      <c r="K12340" s="5"/>
      <c r="L12340" s="5"/>
      <c r="M12340" s="5"/>
      <c r="N12340" s="5"/>
      <c r="O12340" s="5"/>
      <c r="P12340" s="5"/>
      <c r="Q12340" s="5"/>
      <c r="R12340" s="5"/>
      <c r="S12340" s="5"/>
      <c r="T12340" s="5"/>
      <c r="U12340" s="5"/>
      <c r="V12340" s="5"/>
      <c r="W12340" s="5"/>
      <c r="X12340" s="5"/>
      <c r="Y12340" s="5"/>
      <c r="Z12340" s="5"/>
    </row>
    <row r="12341" spans="1:26" ht="15" x14ac:dyDescent="0.25">
      <c r="A12341" s="4" t="s">
        <v>12338</v>
      </c>
      <c r="B12341" s="4" t="s">
        <v>9011</v>
      </c>
      <c r="C12341" s="2" t="str">
        <f ca="1">IFERROR(__xludf.DUMMYFUNCTION("GOOGLETRANSLATE(A12341,""bn"",""en"")"),"Market expansion will increase")</f>
        <v>Market expansion will increase</v>
      </c>
      <c r="D12341" s="5"/>
      <c r="E12341" s="5"/>
      <c r="F12341" s="5"/>
      <c r="G12341" s="5"/>
      <c r="H12341" s="5"/>
      <c r="I12341" s="5"/>
      <c r="J12341" s="5"/>
      <c r="K12341" s="5"/>
      <c r="L12341" s="5"/>
      <c r="M12341" s="5"/>
      <c r="N12341" s="5"/>
      <c r="O12341" s="5"/>
      <c r="P12341" s="5"/>
      <c r="Q12341" s="5"/>
      <c r="R12341" s="5"/>
      <c r="S12341" s="5"/>
      <c r="T12341" s="5"/>
      <c r="U12341" s="5"/>
      <c r="V12341" s="5"/>
      <c r="W12341" s="5"/>
      <c r="X12341" s="5"/>
      <c r="Y12341" s="5"/>
      <c r="Z12341" s="5"/>
    </row>
    <row r="12342" spans="1:26" ht="15" x14ac:dyDescent="0.25">
      <c r="A12342" s="4" t="s">
        <v>12339</v>
      </c>
      <c r="B12342" s="4" t="s">
        <v>9011</v>
      </c>
      <c r="C12342" s="2" t="str">
        <f ca="1">IFERROR(__xludf.DUMMYFUNCTION("GOOGLETRANSLATE(A12342,""bn"",""en"")"),"We will add new functions")</f>
        <v>We will add new functions</v>
      </c>
      <c r="D12342" s="5"/>
      <c r="E12342" s="5"/>
      <c r="F12342" s="5"/>
      <c r="G12342" s="5"/>
      <c r="H12342" s="5"/>
      <c r="I12342" s="5"/>
      <c r="J12342" s="5"/>
      <c r="K12342" s="5"/>
      <c r="L12342" s="5"/>
      <c r="M12342" s="5"/>
      <c r="N12342" s="5"/>
      <c r="O12342" s="5"/>
      <c r="P12342" s="5"/>
      <c r="Q12342" s="5"/>
      <c r="R12342" s="5"/>
      <c r="S12342" s="5"/>
      <c r="T12342" s="5"/>
      <c r="U12342" s="5"/>
      <c r="V12342" s="5"/>
      <c r="W12342" s="5"/>
      <c r="X12342" s="5"/>
      <c r="Y12342" s="5"/>
      <c r="Z12342" s="5"/>
    </row>
    <row r="12343" spans="1:26" ht="15" x14ac:dyDescent="0.25">
      <c r="A12343" s="4" t="s">
        <v>12340</v>
      </c>
      <c r="B12343" s="4" t="s">
        <v>9011</v>
      </c>
      <c r="C12343" s="2" t="str">
        <f ca="1">IFERROR(__xludf.DUMMYFUNCTION("GOOGLETRANSLATE(A12343,""bn"",""en"")"),"Will create better economic generation")</f>
        <v>Will create better economic generation</v>
      </c>
      <c r="D12343" s="5"/>
      <c r="E12343" s="5"/>
      <c r="F12343" s="5"/>
      <c r="G12343" s="5"/>
      <c r="H12343" s="5"/>
      <c r="I12343" s="5"/>
      <c r="J12343" s="5"/>
      <c r="K12343" s="5"/>
      <c r="L12343" s="5"/>
      <c r="M12343" s="5"/>
      <c r="N12343" s="5"/>
      <c r="O12343" s="5"/>
      <c r="P12343" s="5"/>
      <c r="Q12343" s="5"/>
      <c r="R12343" s="5"/>
      <c r="S12343" s="5"/>
      <c r="T12343" s="5"/>
      <c r="U12343" s="5"/>
      <c r="V12343" s="5"/>
      <c r="W12343" s="5"/>
      <c r="X12343" s="5"/>
      <c r="Y12343" s="5"/>
      <c r="Z12343" s="5"/>
    </row>
    <row r="12344" spans="1:26" ht="15" x14ac:dyDescent="0.25">
      <c r="A12344" s="4" t="s">
        <v>12341</v>
      </c>
      <c r="B12344" s="4" t="s">
        <v>9011</v>
      </c>
      <c r="C12344" s="2" t="str">
        <f ca="1">IFERROR(__xludf.DUMMYFUNCTION("GOOGLETRANSLATE(A12344,""bn"",""en"")"),"He will swim in the pool")</f>
        <v>He will swim in the pool</v>
      </c>
      <c r="D12344" s="5"/>
      <c r="E12344" s="5"/>
      <c r="F12344" s="5"/>
      <c r="G12344" s="5"/>
      <c r="H12344" s="5"/>
      <c r="I12344" s="5"/>
      <c r="J12344" s="5"/>
      <c r="K12344" s="5"/>
      <c r="L12344" s="5"/>
      <c r="M12344" s="5"/>
      <c r="N12344" s="5"/>
      <c r="O12344" s="5"/>
      <c r="P12344" s="5"/>
      <c r="Q12344" s="5"/>
      <c r="R12344" s="5"/>
      <c r="S12344" s="5"/>
      <c r="T12344" s="5"/>
      <c r="U12344" s="5"/>
      <c r="V12344" s="5"/>
      <c r="W12344" s="5"/>
      <c r="X12344" s="5"/>
      <c r="Y12344" s="5"/>
      <c r="Z12344" s="5"/>
    </row>
    <row r="12345" spans="1:26" ht="15" x14ac:dyDescent="0.25">
      <c r="A12345" s="4" t="s">
        <v>12342</v>
      </c>
      <c r="B12345" s="4" t="s">
        <v>9011</v>
      </c>
      <c r="C12345" s="2" t="str">
        <f ca="1">IFERROR(__xludf.DUMMYFUNCTION("GOOGLETRANSLATE(A12345,""bn"",""en"")"),"I will write the story of the English film")</f>
        <v>I will write the story of the English film</v>
      </c>
      <c r="D12345" s="5"/>
      <c r="E12345" s="5"/>
      <c r="F12345" s="5"/>
      <c r="G12345" s="5"/>
      <c r="H12345" s="5"/>
      <c r="I12345" s="5"/>
      <c r="J12345" s="5"/>
      <c r="K12345" s="5"/>
      <c r="L12345" s="5"/>
      <c r="M12345" s="5"/>
      <c r="N12345" s="5"/>
      <c r="O12345" s="5"/>
      <c r="P12345" s="5"/>
      <c r="Q12345" s="5"/>
      <c r="R12345" s="5"/>
      <c r="S12345" s="5"/>
      <c r="T12345" s="5"/>
      <c r="U12345" s="5"/>
      <c r="V12345" s="5"/>
      <c r="W12345" s="5"/>
      <c r="X12345" s="5"/>
      <c r="Y12345" s="5"/>
      <c r="Z12345" s="5"/>
    </row>
    <row r="12346" spans="1:26" ht="15" x14ac:dyDescent="0.25">
      <c r="A12346" s="4" t="s">
        <v>12343</v>
      </c>
      <c r="B12346" s="4" t="s">
        <v>9011</v>
      </c>
      <c r="C12346" s="2" t="str">
        <f ca="1">IFERROR(__xludf.DUMMYFUNCTION("GOOGLETRANSLATE(A12346,""bn"",""en"")"),"Learn data science well")</f>
        <v>Learn data science well</v>
      </c>
      <c r="D12346" s="5"/>
      <c r="E12346" s="5"/>
      <c r="F12346" s="5"/>
      <c r="G12346" s="5"/>
      <c r="H12346" s="5"/>
      <c r="I12346" s="5"/>
      <c r="J12346" s="5"/>
      <c r="K12346" s="5"/>
      <c r="L12346" s="5"/>
      <c r="M12346" s="5"/>
      <c r="N12346" s="5"/>
      <c r="O12346" s="5"/>
      <c r="P12346" s="5"/>
      <c r="Q12346" s="5"/>
      <c r="R12346" s="5"/>
      <c r="S12346" s="5"/>
      <c r="T12346" s="5"/>
      <c r="U12346" s="5"/>
      <c r="V12346" s="5"/>
      <c r="W12346" s="5"/>
      <c r="X12346" s="5"/>
      <c r="Y12346" s="5"/>
      <c r="Z12346" s="5"/>
    </row>
    <row r="12347" spans="1:26" ht="15" x14ac:dyDescent="0.25">
      <c r="A12347" s="4" t="s">
        <v>12344</v>
      </c>
      <c r="B12347" s="4" t="s">
        <v>9011</v>
      </c>
      <c r="C12347" s="2" t="str">
        <f ca="1">IFERROR(__xludf.DUMMYFUNCTION("GOOGLETRANSLATE(A12347,""bn"",""en"")"),"I will have a bachelor party at the restaurant")</f>
        <v>I will have a bachelor party at the restaurant</v>
      </c>
      <c r="D12347" s="5"/>
      <c r="E12347" s="5"/>
      <c r="F12347" s="5"/>
      <c r="G12347" s="5"/>
      <c r="H12347" s="5"/>
      <c r="I12347" s="5"/>
      <c r="J12347" s="5"/>
      <c r="K12347" s="5"/>
      <c r="L12347" s="5"/>
      <c r="M12347" s="5"/>
      <c r="N12347" s="5"/>
      <c r="O12347" s="5"/>
      <c r="P12347" s="5"/>
      <c r="Q12347" s="5"/>
      <c r="R12347" s="5"/>
      <c r="S12347" s="5"/>
      <c r="T12347" s="5"/>
      <c r="U12347" s="5"/>
      <c r="V12347" s="5"/>
      <c r="W12347" s="5"/>
      <c r="X12347" s="5"/>
      <c r="Y12347" s="5"/>
      <c r="Z12347" s="5"/>
    </row>
    <row r="12348" spans="1:26" ht="15" x14ac:dyDescent="0.25">
      <c r="A12348" s="4" t="s">
        <v>12345</v>
      </c>
      <c r="B12348" s="4" t="s">
        <v>9011</v>
      </c>
      <c r="C12348" s="2" t="str">
        <f ca="1">IFERROR(__xludf.DUMMYFUNCTION("GOOGLETRANSLATE(A12348,""bn"",""en"")"),"You will learn culture in future")</f>
        <v>You will learn culture in future</v>
      </c>
      <c r="D12348" s="5"/>
      <c r="E12348" s="5"/>
      <c r="F12348" s="5"/>
      <c r="G12348" s="5"/>
      <c r="H12348" s="5"/>
      <c r="I12348" s="5"/>
      <c r="J12348" s="5"/>
      <c r="K12348" s="5"/>
      <c r="L12348" s="5"/>
      <c r="M12348" s="5"/>
      <c r="N12348" s="5"/>
      <c r="O12348" s="5"/>
      <c r="P12348" s="5"/>
      <c r="Q12348" s="5"/>
      <c r="R12348" s="5"/>
      <c r="S12348" s="5"/>
      <c r="T12348" s="5"/>
      <c r="U12348" s="5"/>
      <c r="V12348" s="5"/>
      <c r="W12348" s="5"/>
      <c r="X12348" s="5"/>
      <c r="Y12348" s="5"/>
      <c r="Z12348" s="5"/>
    </row>
    <row r="12349" spans="1:26" ht="15" x14ac:dyDescent="0.25">
      <c r="A12349" s="4" t="s">
        <v>12346</v>
      </c>
      <c r="B12349" s="4" t="s">
        <v>9011</v>
      </c>
      <c r="C12349" s="2" t="str">
        <f ca="1">IFERROR(__xludf.DUMMYFUNCTION("GOOGLETRANSLATE(A12349,""bn"",""en"")"),"They will buy books in the market")</f>
        <v>They will buy books in the market</v>
      </c>
      <c r="D12349" s="5"/>
      <c r="E12349" s="5"/>
      <c r="F12349" s="5"/>
      <c r="G12349" s="5"/>
      <c r="H12349" s="5"/>
      <c r="I12349" s="5"/>
      <c r="J12349" s="5"/>
      <c r="K12349" s="5"/>
      <c r="L12349" s="5"/>
      <c r="M12349" s="5"/>
      <c r="N12349" s="5"/>
      <c r="O12349" s="5"/>
      <c r="P12349" s="5"/>
      <c r="Q12349" s="5"/>
      <c r="R12349" s="5"/>
      <c r="S12349" s="5"/>
      <c r="T12349" s="5"/>
      <c r="U12349" s="5"/>
      <c r="V12349" s="5"/>
      <c r="W12349" s="5"/>
      <c r="X12349" s="5"/>
      <c r="Y12349" s="5"/>
      <c r="Z12349" s="5"/>
    </row>
    <row r="12350" spans="1:26" ht="15" x14ac:dyDescent="0.25">
      <c r="A12350" s="4" t="s">
        <v>12347</v>
      </c>
      <c r="B12350" s="4" t="s">
        <v>9011</v>
      </c>
      <c r="C12350" s="2" t="str">
        <f ca="1">IFERROR(__xludf.DUMMYFUNCTION("GOOGLETRANSLATE(A12350,""bn"",""en"")"),"Robots will work in industry")</f>
        <v>Robots will work in industry</v>
      </c>
      <c r="D12350" s="5"/>
      <c r="E12350" s="5"/>
      <c r="F12350" s="5"/>
      <c r="G12350" s="5"/>
      <c r="H12350" s="5"/>
      <c r="I12350" s="5"/>
      <c r="J12350" s="5"/>
      <c r="K12350" s="5"/>
      <c r="L12350" s="5"/>
      <c r="M12350" s="5"/>
      <c r="N12350" s="5"/>
      <c r="O12350" s="5"/>
      <c r="P12350" s="5"/>
      <c r="Q12350" s="5"/>
      <c r="R12350" s="5"/>
      <c r="S12350" s="5"/>
      <c r="T12350" s="5"/>
      <c r="U12350" s="5"/>
      <c r="V12350" s="5"/>
      <c r="W12350" s="5"/>
      <c r="X12350" s="5"/>
      <c r="Y12350" s="5"/>
      <c r="Z12350" s="5"/>
    </row>
    <row r="12351" spans="1:26" ht="15" x14ac:dyDescent="0.25">
      <c r="A12351" s="4" t="s">
        <v>12348</v>
      </c>
      <c r="B12351" s="4" t="s">
        <v>9011</v>
      </c>
      <c r="C12351" s="2" t="str">
        <f ca="1">IFERROR(__xludf.DUMMYFUNCTION("GOOGLETRANSLATE(A12351,""bn"",""en"")"),"The harvest will bring a smile on the face of the farmer")</f>
        <v>The harvest will bring a smile on the face of the farmer</v>
      </c>
      <c r="D12351" s="5"/>
      <c r="E12351" s="5"/>
      <c r="F12351" s="5"/>
      <c r="G12351" s="5"/>
      <c r="H12351" s="5"/>
      <c r="I12351" s="5"/>
      <c r="J12351" s="5"/>
      <c r="K12351" s="5"/>
      <c r="L12351" s="5"/>
      <c r="M12351" s="5"/>
      <c r="N12351" s="5"/>
      <c r="O12351" s="5"/>
      <c r="P12351" s="5"/>
      <c r="Q12351" s="5"/>
      <c r="R12351" s="5"/>
      <c r="S12351" s="5"/>
      <c r="T12351" s="5"/>
      <c r="U12351" s="5"/>
      <c r="V12351" s="5"/>
      <c r="W12351" s="5"/>
      <c r="X12351" s="5"/>
      <c r="Y12351" s="5"/>
      <c r="Z12351" s="5"/>
    </row>
    <row r="12352" spans="1:26" ht="15" x14ac:dyDescent="0.25">
      <c r="A12352" s="4" t="s">
        <v>12349</v>
      </c>
      <c r="B12352" s="4" t="s">
        <v>9011</v>
      </c>
      <c r="C12352" s="2" t="str">
        <f ca="1">IFERROR(__xludf.DUMMYFUNCTION("GOOGLETRANSLATE(A12352,""bn"",""en"")"),"Care should be taken to improve crop conditions")</f>
        <v>Care should be taken to improve crop conditions</v>
      </c>
      <c r="D12352" s="5"/>
      <c r="E12352" s="5"/>
      <c r="F12352" s="5"/>
      <c r="G12352" s="5"/>
      <c r="H12352" s="5"/>
      <c r="I12352" s="5"/>
      <c r="J12352" s="5"/>
      <c r="K12352" s="5"/>
      <c r="L12352" s="5"/>
      <c r="M12352" s="5"/>
      <c r="N12352" s="5"/>
      <c r="O12352" s="5"/>
      <c r="P12352" s="5"/>
      <c r="Q12352" s="5"/>
      <c r="R12352" s="5"/>
      <c r="S12352" s="5"/>
      <c r="T12352" s="5"/>
      <c r="U12352" s="5"/>
      <c r="V12352" s="5"/>
      <c r="W12352" s="5"/>
      <c r="X12352" s="5"/>
      <c r="Y12352" s="5"/>
      <c r="Z12352" s="5"/>
    </row>
    <row r="12353" spans="1:26" ht="15" x14ac:dyDescent="0.25">
      <c r="A12353" s="4" t="s">
        <v>12350</v>
      </c>
      <c r="B12353" s="4" t="s">
        <v>9011</v>
      </c>
      <c r="C12353" s="2" t="str">
        <f ca="1">IFERROR(__xludf.DUMMYFUNCTION("GOOGLETRANSLATE(A12353,""bn"",""en"")"),"Crop conditions will be good")</f>
        <v>Crop conditions will be good</v>
      </c>
      <c r="D12353" s="5"/>
      <c r="E12353" s="5"/>
      <c r="F12353" s="5"/>
      <c r="G12353" s="5"/>
      <c r="H12353" s="5"/>
      <c r="I12353" s="5"/>
      <c r="J12353" s="5"/>
      <c r="K12353" s="5"/>
      <c r="L12353" s="5"/>
      <c r="M12353" s="5"/>
      <c r="N12353" s="5"/>
      <c r="O12353" s="5"/>
      <c r="P12353" s="5"/>
      <c r="Q12353" s="5"/>
      <c r="R12353" s="5"/>
      <c r="S12353" s="5"/>
      <c r="T12353" s="5"/>
      <c r="U12353" s="5"/>
      <c r="V12353" s="5"/>
      <c r="W12353" s="5"/>
      <c r="X12353" s="5"/>
      <c r="Y12353" s="5"/>
      <c r="Z12353" s="5"/>
    </row>
    <row r="12354" spans="1:26" ht="15" x14ac:dyDescent="0.25">
      <c r="A12354" s="4" t="s">
        <v>12351</v>
      </c>
      <c r="B12354" s="4" t="s">
        <v>9011</v>
      </c>
      <c r="C12354" s="2" t="str">
        <f ca="1">IFERROR(__xludf.DUMMYFUNCTION("GOOGLETRANSLATE(A12354,""bn"",""en"")"),"If crop conditions are good, money will be earned")</f>
        <v>If crop conditions are good, money will be earned</v>
      </c>
      <c r="D12354" s="5"/>
      <c r="E12354" s="5"/>
      <c r="F12354" s="5"/>
      <c r="G12354" s="5"/>
      <c r="H12354" s="5"/>
      <c r="I12354" s="5"/>
      <c r="J12354" s="5"/>
      <c r="K12354" s="5"/>
      <c r="L12354" s="5"/>
      <c r="M12354" s="5"/>
      <c r="N12354" s="5"/>
      <c r="O12354" s="5"/>
      <c r="P12354" s="5"/>
      <c r="Q12354" s="5"/>
      <c r="R12354" s="5"/>
      <c r="S12354" s="5"/>
      <c r="T12354" s="5"/>
      <c r="U12354" s="5"/>
      <c r="V12354" s="5"/>
      <c r="W12354" s="5"/>
      <c r="X12354" s="5"/>
      <c r="Y12354" s="5"/>
      <c r="Z12354" s="5"/>
    </row>
    <row r="12355" spans="1:26" ht="15" x14ac:dyDescent="0.25">
      <c r="A12355" s="4" t="s">
        <v>12352</v>
      </c>
      <c r="B12355" s="4" t="s">
        <v>9011</v>
      </c>
      <c r="C12355" s="2" t="str">
        <f ca="1">IFERROR(__xludf.DUMMYFUNCTION("GOOGLETRANSLATE(A12355,""bn"",""en"")"),"Resurgence of technology will lead to growth")</f>
        <v>Resurgence of technology will lead to growth</v>
      </c>
      <c r="D12355" s="5"/>
      <c r="E12355" s="5"/>
      <c r="F12355" s="5"/>
      <c r="G12355" s="5"/>
      <c r="H12355" s="5"/>
      <c r="I12355" s="5"/>
      <c r="J12355" s="5"/>
      <c r="K12355" s="5"/>
      <c r="L12355" s="5"/>
      <c r="M12355" s="5"/>
      <c r="N12355" s="5"/>
      <c r="O12355" s="5"/>
      <c r="P12355" s="5"/>
      <c r="Q12355" s="5"/>
      <c r="R12355" s="5"/>
      <c r="S12355" s="5"/>
      <c r="T12355" s="5"/>
      <c r="U12355" s="5"/>
      <c r="V12355" s="5"/>
      <c r="W12355" s="5"/>
      <c r="X12355" s="5"/>
      <c r="Y12355" s="5"/>
      <c r="Z12355" s="5"/>
    </row>
    <row r="12356" spans="1:26" ht="15" x14ac:dyDescent="0.25">
      <c r="A12356" s="4" t="s">
        <v>12353</v>
      </c>
      <c r="B12356" s="4" t="s">
        <v>9011</v>
      </c>
      <c r="C12356" s="2" t="str">
        <f ca="1">IFERROR(__xludf.DUMMYFUNCTION("GOOGLETRANSLATE(A12356,""bn"",""en"")"),"We will do a debug")</f>
        <v>We will do a debug</v>
      </c>
      <c r="D12356" s="5"/>
      <c r="E12356" s="5"/>
      <c r="F12356" s="5"/>
      <c r="G12356" s="5"/>
      <c r="H12356" s="5"/>
      <c r="I12356" s="5"/>
      <c r="J12356" s="5"/>
      <c r="K12356" s="5"/>
      <c r="L12356" s="5"/>
      <c r="M12356" s="5"/>
      <c r="N12356" s="5"/>
      <c r="O12356" s="5"/>
      <c r="P12356" s="5"/>
      <c r="Q12356" s="5"/>
      <c r="R12356" s="5"/>
      <c r="S12356" s="5"/>
      <c r="T12356" s="5"/>
      <c r="U12356" s="5"/>
      <c r="V12356" s="5"/>
      <c r="W12356" s="5"/>
      <c r="X12356" s="5"/>
      <c r="Y12356" s="5"/>
      <c r="Z12356" s="5"/>
    </row>
    <row r="12357" spans="1:26" ht="15" x14ac:dyDescent="0.25">
      <c r="A12357" s="4" t="s">
        <v>12354</v>
      </c>
      <c r="B12357" s="4" t="s">
        <v>9011</v>
      </c>
      <c r="C12357" s="2" t="str">
        <f ca="1">IFERROR(__xludf.DUMMYFUNCTION("GOOGLETRANSLATE(A12357,""bn"",""en"")"),"Pirates will prepare at sea")</f>
        <v>Pirates will prepare at sea</v>
      </c>
      <c r="D12357" s="5"/>
      <c r="E12357" s="5"/>
      <c r="F12357" s="5"/>
      <c r="G12357" s="5"/>
      <c r="H12357" s="5"/>
      <c r="I12357" s="5"/>
      <c r="J12357" s="5"/>
      <c r="K12357" s="5"/>
      <c r="L12357" s="5"/>
      <c r="M12357" s="5"/>
      <c r="N12357" s="5"/>
      <c r="O12357" s="5"/>
      <c r="P12357" s="5"/>
      <c r="Q12357" s="5"/>
      <c r="R12357" s="5"/>
      <c r="S12357" s="5"/>
      <c r="T12357" s="5"/>
      <c r="U12357" s="5"/>
      <c r="V12357" s="5"/>
      <c r="W12357" s="5"/>
      <c r="X12357" s="5"/>
      <c r="Y12357" s="5"/>
      <c r="Z12357" s="5"/>
    </row>
    <row r="12358" spans="1:26" ht="15" x14ac:dyDescent="0.25">
      <c r="A12358" s="4" t="s">
        <v>12355</v>
      </c>
      <c r="B12358" s="4" t="s">
        <v>9011</v>
      </c>
      <c r="C12358" s="2" t="str">
        <f ca="1">IFERROR(__xludf.DUMMYFUNCTION("GOOGLETRANSLATE(A12358,""bn"",""en"")"),"Robots will help jobs")</f>
        <v>Robots will help jobs</v>
      </c>
      <c r="D12358" s="5"/>
      <c r="E12358" s="5"/>
      <c r="F12358" s="5"/>
      <c r="G12358" s="5"/>
      <c r="H12358" s="5"/>
      <c r="I12358" s="5"/>
      <c r="J12358" s="5"/>
      <c r="K12358" s="5"/>
      <c r="L12358" s="5"/>
      <c r="M12358" s="5"/>
      <c r="N12358" s="5"/>
      <c r="O12358" s="5"/>
      <c r="P12358" s="5"/>
      <c r="Q12358" s="5"/>
      <c r="R12358" s="5"/>
      <c r="S12358" s="5"/>
      <c r="T12358" s="5"/>
      <c r="U12358" s="5"/>
      <c r="V12358" s="5"/>
      <c r="W12358" s="5"/>
      <c r="X12358" s="5"/>
      <c r="Y12358" s="5"/>
      <c r="Z12358" s="5"/>
    </row>
    <row r="12359" spans="1:26" ht="15" x14ac:dyDescent="0.25">
      <c r="A12359" s="4" t="s">
        <v>12356</v>
      </c>
      <c r="B12359" s="4" t="s">
        <v>9011</v>
      </c>
      <c r="C12359" s="2" t="str">
        <f ca="1">IFERROR(__xludf.DUMMYFUNCTION("GOOGLETRANSLATE(A12359,""bn"",""en"")"),"They will bathe in the fountain")</f>
        <v>They will bathe in the fountain</v>
      </c>
      <c r="D12359" s="5"/>
      <c r="E12359" s="5"/>
      <c r="F12359" s="5"/>
      <c r="G12359" s="5"/>
      <c r="H12359" s="5"/>
      <c r="I12359" s="5"/>
      <c r="J12359" s="5"/>
      <c r="K12359" s="5"/>
      <c r="L12359" s="5"/>
      <c r="M12359" s="5"/>
      <c r="N12359" s="5"/>
      <c r="O12359" s="5"/>
      <c r="P12359" s="5"/>
      <c r="Q12359" s="5"/>
      <c r="R12359" s="5"/>
      <c r="S12359" s="5"/>
      <c r="T12359" s="5"/>
      <c r="U12359" s="5"/>
      <c r="V12359" s="5"/>
      <c r="W12359" s="5"/>
      <c r="X12359" s="5"/>
      <c r="Y12359" s="5"/>
      <c r="Z12359" s="5"/>
    </row>
    <row r="12360" spans="1:26" ht="15" x14ac:dyDescent="0.25">
      <c r="A12360" s="4" t="s">
        <v>12357</v>
      </c>
      <c r="B12360" s="4" t="s">
        <v>9011</v>
      </c>
      <c r="C12360" s="2" t="str">
        <f ca="1">IFERROR(__xludf.DUMMYFUNCTION("GOOGLETRANSLATE(A12360,""bn"",""en"")"),"The school will need a website")</f>
        <v>The school will need a website</v>
      </c>
      <c r="D12360" s="5"/>
      <c r="E12360" s="5"/>
      <c r="F12360" s="5"/>
      <c r="G12360" s="5"/>
      <c r="H12360" s="5"/>
      <c r="I12360" s="5"/>
      <c r="J12360" s="5"/>
      <c r="K12360" s="5"/>
      <c r="L12360" s="5"/>
      <c r="M12360" s="5"/>
      <c r="N12360" s="5"/>
      <c r="O12360" s="5"/>
      <c r="P12360" s="5"/>
      <c r="Q12360" s="5"/>
      <c r="R12360" s="5"/>
      <c r="S12360" s="5"/>
      <c r="T12360" s="5"/>
      <c r="U12360" s="5"/>
      <c r="V12360" s="5"/>
      <c r="W12360" s="5"/>
      <c r="X12360" s="5"/>
      <c r="Y12360" s="5"/>
      <c r="Z12360" s="5"/>
    </row>
    <row r="12361" spans="1:26" ht="15" x14ac:dyDescent="0.25">
      <c r="A12361" s="4" t="s">
        <v>12358</v>
      </c>
      <c r="B12361" s="4" t="s">
        <v>9011</v>
      </c>
      <c r="C12361" s="2" t="str">
        <f ca="1">IFERROR(__xludf.DUMMYFUNCTION("GOOGLETRANSLATE(A12361,""bn"",""en"")"),"Once the internet will crash")</f>
        <v>Once the internet will crash</v>
      </c>
      <c r="D12361" s="5"/>
      <c r="E12361" s="5"/>
      <c r="F12361" s="5"/>
      <c r="G12361" s="5"/>
      <c r="H12361" s="5"/>
      <c r="I12361" s="5"/>
      <c r="J12361" s="5"/>
      <c r="K12361" s="5"/>
      <c r="L12361" s="5"/>
      <c r="M12361" s="5"/>
      <c r="N12361" s="5"/>
      <c r="O12361" s="5"/>
      <c r="P12361" s="5"/>
      <c r="Q12361" s="5"/>
      <c r="R12361" s="5"/>
      <c r="S12361" s="5"/>
      <c r="T12361" s="5"/>
      <c r="U12361" s="5"/>
      <c r="V12361" s="5"/>
      <c r="W12361" s="5"/>
      <c r="X12361" s="5"/>
      <c r="Y12361" s="5"/>
      <c r="Z12361" s="5"/>
    </row>
    <row r="12362" spans="1:26" ht="15" x14ac:dyDescent="0.25">
      <c r="A12362" s="4" t="s">
        <v>12359</v>
      </c>
      <c r="B12362" s="4" t="s">
        <v>9011</v>
      </c>
      <c r="C12362" s="2" t="str">
        <f ca="1">IFERROR(__xludf.DUMMYFUNCTION("GOOGLETRANSLATE(A12362,""bn"",""en"")"),"A research committee will be formed")</f>
        <v>A research committee will be formed</v>
      </c>
      <c r="D12362" s="5"/>
      <c r="E12362" s="5"/>
      <c r="F12362" s="5"/>
      <c r="G12362" s="5"/>
      <c r="H12362" s="5"/>
      <c r="I12362" s="5"/>
      <c r="J12362" s="5"/>
      <c r="K12362" s="5"/>
      <c r="L12362" s="5"/>
      <c r="M12362" s="5"/>
      <c r="N12362" s="5"/>
      <c r="O12362" s="5"/>
      <c r="P12362" s="5"/>
      <c r="Q12362" s="5"/>
      <c r="R12362" s="5"/>
      <c r="S12362" s="5"/>
      <c r="T12362" s="5"/>
      <c r="U12362" s="5"/>
      <c r="V12362" s="5"/>
      <c r="W12362" s="5"/>
      <c r="X12362" s="5"/>
      <c r="Y12362" s="5"/>
      <c r="Z12362" s="5"/>
    </row>
    <row r="12363" spans="1:26" ht="15" x14ac:dyDescent="0.25">
      <c r="A12363" s="4" t="s">
        <v>12360</v>
      </c>
      <c r="B12363" s="4" t="s">
        <v>9011</v>
      </c>
      <c r="C12363" s="2" t="str">
        <f ca="1">IFERROR(__xludf.DUMMYFUNCTION("GOOGLETRANSLATE(A12363,""bn"",""en"")"),"Popularity will be gained in elections")</f>
        <v>Popularity will be gained in elections</v>
      </c>
      <c r="D12363" s="5"/>
      <c r="E12363" s="5"/>
      <c r="F12363" s="5"/>
      <c r="G12363" s="5"/>
      <c r="H12363" s="5"/>
      <c r="I12363" s="5"/>
      <c r="J12363" s="5"/>
      <c r="K12363" s="5"/>
      <c r="L12363" s="5"/>
      <c r="M12363" s="5"/>
      <c r="N12363" s="5"/>
      <c r="O12363" s="5"/>
      <c r="P12363" s="5"/>
      <c r="Q12363" s="5"/>
      <c r="R12363" s="5"/>
      <c r="S12363" s="5"/>
      <c r="T12363" s="5"/>
      <c r="U12363" s="5"/>
      <c r="V12363" s="5"/>
      <c r="W12363" s="5"/>
      <c r="X12363" s="5"/>
      <c r="Y12363" s="5"/>
      <c r="Z12363" s="5"/>
    </row>
    <row r="12364" spans="1:26" ht="15" x14ac:dyDescent="0.25">
      <c r="A12364" s="4" t="s">
        <v>12361</v>
      </c>
      <c r="B12364" s="4" t="s">
        <v>9011</v>
      </c>
      <c r="C12364" s="2" t="str">
        <f ca="1">IFERROR(__xludf.DUMMYFUNCTION("GOOGLETRANSLATE(A12364,""bn"",""en"")"),"They will play hockey tomorrow")</f>
        <v>They will play hockey tomorrow</v>
      </c>
      <c r="D12364" s="5"/>
      <c r="E12364" s="5"/>
      <c r="F12364" s="5"/>
      <c r="G12364" s="5"/>
      <c r="H12364" s="5"/>
      <c r="I12364" s="5"/>
      <c r="J12364" s="5"/>
      <c r="K12364" s="5"/>
      <c r="L12364" s="5"/>
      <c r="M12364" s="5"/>
      <c r="N12364" s="5"/>
      <c r="O12364" s="5"/>
      <c r="P12364" s="5"/>
      <c r="Q12364" s="5"/>
      <c r="R12364" s="5"/>
      <c r="S12364" s="5"/>
      <c r="T12364" s="5"/>
      <c r="U12364" s="5"/>
      <c r="V12364" s="5"/>
      <c r="W12364" s="5"/>
      <c r="X12364" s="5"/>
      <c r="Y12364" s="5"/>
      <c r="Z12364" s="5"/>
    </row>
    <row r="12365" spans="1:26" ht="15" x14ac:dyDescent="0.25">
      <c r="A12365" s="4" t="s">
        <v>12362</v>
      </c>
      <c r="B12365" s="4" t="s">
        <v>9011</v>
      </c>
      <c r="C12365" s="2" t="str">
        <f ca="1">IFERROR(__xludf.DUMMYFUNCTION("GOOGLETRANSLATE(A12365,""bn"",""en"")"),"Mobile banking will start")</f>
        <v>Mobile banking will start</v>
      </c>
      <c r="D12365" s="5"/>
      <c r="E12365" s="5"/>
      <c r="F12365" s="5"/>
      <c r="G12365" s="5"/>
      <c r="H12365" s="5"/>
      <c r="I12365" s="5"/>
      <c r="J12365" s="5"/>
      <c r="K12365" s="5"/>
      <c r="L12365" s="5"/>
      <c r="M12365" s="5"/>
      <c r="N12365" s="5"/>
      <c r="O12365" s="5"/>
      <c r="P12365" s="5"/>
      <c r="Q12365" s="5"/>
      <c r="R12365" s="5"/>
      <c r="S12365" s="5"/>
      <c r="T12365" s="5"/>
      <c r="U12365" s="5"/>
      <c r="V12365" s="5"/>
      <c r="W12365" s="5"/>
      <c r="X12365" s="5"/>
      <c r="Y12365" s="5"/>
      <c r="Z12365" s="5"/>
    </row>
    <row r="12366" spans="1:26" ht="15" x14ac:dyDescent="0.25">
      <c r="A12366" s="4" t="s">
        <v>12363</v>
      </c>
      <c r="B12366" s="4" t="s">
        <v>9011</v>
      </c>
      <c r="C12366" s="2" t="str">
        <f ca="1">IFERROR(__xludf.DUMMYFUNCTION("GOOGLETRANSLATE(A12366,""bn"",""en"")"),"National Film Award")</f>
        <v>National Film Award</v>
      </c>
      <c r="D12366" s="5"/>
      <c r="E12366" s="5"/>
      <c r="F12366" s="5"/>
      <c r="G12366" s="5"/>
      <c r="H12366" s="5"/>
      <c r="I12366" s="5"/>
      <c r="J12366" s="5"/>
      <c r="K12366" s="5"/>
      <c r="L12366" s="5"/>
      <c r="M12366" s="5"/>
      <c r="N12366" s="5"/>
      <c r="O12366" s="5"/>
      <c r="P12366" s="5"/>
      <c r="Q12366" s="5"/>
      <c r="R12366" s="5"/>
      <c r="S12366" s="5"/>
      <c r="T12366" s="5"/>
      <c r="U12366" s="5"/>
      <c r="V12366" s="5"/>
      <c r="W12366" s="5"/>
      <c r="X12366" s="5"/>
      <c r="Y12366" s="5"/>
      <c r="Z12366" s="5"/>
    </row>
    <row r="12367" spans="1:26" ht="15" x14ac:dyDescent="0.25">
      <c r="A12367" s="4" t="s">
        <v>12364</v>
      </c>
      <c r="B12367" s="4" t="s">
        <v>9011</v>
      </c>
      <c r="C12367" s="2" t="str">
        <f ca="1">IFERROR(__xludf.DUMMYFUNCTION("GOOGLETRANSLATE(A12367,""bn"",""en"")"),"Explore new technologies")</f>
        <v>Explore new technologies</v>
      </c>
      <c r="D12367" s="5"/>
      <c r="E12367" s="5"/>
      <c r="F12367" s="5"/>
      <c r="G12367" s="5"/>
      <c r="H12367" s="5"/>
      <c r="I12367" s="5"/>
      <c r="J12367" s="5"/>
      <c r="K12367" s="5"/>
      <c r="L12367" s="5"/>
      <c r="M12367" s="5"/>
      <c r="N12367" s="5"/>
      <c r="O12367" s="5"/>
      <c r="P12367" s="5"/>
      <c r="Q12367" s="5"/>
      <c r="R12367" s="5"/>
      <c r="S12367" s="5"/>
      <c r="T12367" s="5"/>
      <c r="U12367" s="5"/>
      <c r="V12367" s="5"/>
      <c r="W12367" s="5"/>
      <c r="X12367" s="5"/>
      <c r="Y12367" s="5"/>
      <c r="Z12367" s="5"/>
    </row>
    <row r="12368" spans="1:26" ht="15" x14ac:dyDescent="0.25">
      <c r="A12368" s="4" t="s">
        <v>12365</v>
      </c>
      <c r="B12368" s="4" t="s">
        <v>9011</v>
      </c>
      <c r="C12368" s="2" t="str">
        <f ca="1">IFERROR(__xludf.DUMMYFUNCTION("GOOGLETRANSLATE(A12368,""bn"",""en"")"),"New technologies have to be found")</f>
        <v>New technologies have to be found</v>
      </c>
      <c r="D12368" s="5"/>
      <c r="E12368" s="5"/>
      <c r="F12368" s="5"/>
      <c r="G12368" s="5"/>
      <c r="H12368" s="5"/>
      <c r="I12368" s="5"/>
      <c r="J12368" s="5"/>
      <c r="K12368" s="5"/>
      <c r="L12368" s="5"/>
      <c r="M12368" s="5"/>
      <c r="N12368" s="5"/>
      <c r="O12368" s="5"/>
      <c r="P12368" s="5"/>
      <c r="Q12368" s="5"/>
      <c r="R12368" s="5"/>
      <c r="S12368" s="5"/>
      <c r="T12368" s="5"/>
      <c r="U12368" s="5"/>
      <c r="V12368" s="5"/>
      <c r="W12368" s="5"/>
      <c r="X12368" s="5"/>
      <c r="Y12368" s="5"/>
      <c r="Z12368" s="5"/>
    </row>
    <row r="12369" spans="1:26" ht="15" x14ac:dyDescent="0.25">
      <c r="A12369" s="4" t="s">
        <v>12366</v>
      </c>
      <c r="B12369" s="4" t="s">
        <v>9011</v>
      </c>
      <c r="C12369" s="2" t="str">
        <f ca="1">IFERROR(__xludf.DUMMYFUNCTION("GOOGLETRANSLATE(A12369,""bn"",""en"")"),"I will get the result with the test")</f>
        <v>I will get the result with the test</v>
      </c>
      <c r="D12369" s="5"/>
      <c r="E12369" s="5"/>
      <c r="F12369" s="5"/>
      <c r="G12369" s="5"/>
      <c r="H12369" s="5"/>
      <c r="I12369" s="5"/>
      <c r="J12369" s="5"/>
      <c r="K12369" s="5"/>
      <c r="L12369" s="5"/>
      <c r="M12369" s="5"/>
      <c r="N12369" s="5"/>
      <c r="O12369" s="5"/>
      <c r="P12369" s="5"/>
      <c r="Q12369" s="5"/>
      <c r="R12369" s="5"/>
      <c r="S12369" s="5"/>
      <c r="T12369" s="5"/>
      <c r="U12369" s="5"/>
      <c r="V12369" s="5"/>
      <c r="W12369" s="5"/>
      <c r="X12369" s="5"/>
      <c r="Y12369" s="5"/>
      <c r="Z12369" s="5"/>
    </row>
    <row r="12370" spans="1:26" ht="15" x14ac:dyDescent="0.25">
      <c r="A12370" s="4" t="s">
        <v>12367</v>
      </c>
      <c r="B12370" s="4" t="s">
        <v>9011</v>
      </c>
      <c r="C12370" s="2" t="str">
        <f ca="1">IFERROR(__xludf.DUMMYFUNCTION("GOOGLETRANSLATE(A12370,""bn"",""en"")"),"He will teach the new framework")</f>
        <v>He will teach the new framework</v>
      </c>
      <c r="D12370" s="5"/>
      <c r="E12370" s="5"/>
      <c r="F12370" s="5"/>
      <c r="G12370" s="5"/>
      <c r="H12370" s="5"/>
      <c r="I12370" s="5"/>
      <c r="J12370" s="5"/>
      <c r="K12370" s="5"/>
      <c r="L12370" s="5"/>
      <c r="M12370" s="5"/>
      <c r="N12370" s="5"/>
      <c r="O12370" s="5"/>
      <c r="P12370" s="5"/>
      <c r="Q12370" s="5"/>
      <c r="R12370" s="5"/>
      <c r="S12370" s="5"/>
      <c r="T12370" s="5"/>
      <c r="U12370" s="5"/>
      <c r="V12370" s="5"/>
      <c r="W12370" s="5"/>
      <c r="X12370" s="5"/>
      <c r="Y12370" s="5"/>
      <c r="Z12370" s="5"/>
    </row>
    <row r="12371" spans="1:26" ht="15" x14ac:dyDescent="0.25">
      <c r="A12371" s="4" t="s">
        <v>12368</v>
      </c>
      <c r="B12371" s="4" t="s">
        <v>9011</v>
      </c>
      <c r="C12371" s="2" t="str">
        <f ca="1">IFERROR(__xludf.DUMMYFUNCTION("GOOGLETRANSLATE(A12371,""bn"",""en"")"),"I will see blue waves in the sea")</f>
        <v>I will see blue waves in the sea</v>
      </c>
      <c r="D12371" s="5"/>
      <c r="E12371" s="5"/>
      <c r="F12371" s="5"/>
      <c r="G12371" s="5"/>
      <c r="H12371" s="5"/>
      <c r="I12371" s="5"/>
      <c r="J12371" s="5"/>
      <c r="K12371" s="5"/>
      <c r="L12371" s="5"/>
      <c r="M12371" s="5"/>
      <c r="N12371" s="5"/>
      <c r="O12371" s="5"/>
      <c r="P12371" s="5"/>
      <c r="Q12371" s="5"/>
      <c r="R12371" s="5"/>
      <c r="S12371" s="5"/>
      <c r="T12371" s="5"/>
      <c r="U12371" s="5"/>
      <c r="V12371" s="5"/>
      <c r="W12371" s="5"/>
      <c r="X12371" s="5"/>
      <c r="Y12371" s="5"/>
      <c r="Z12371" s="5"/>
    </row>
    <row r="12372" spans="1:26" ht="15" x14ac:dyDescent="0.25">
      <c r="A12372" s="4" t="s">
        <v>12369</v>
      </c>
      <c r="B12372" s="4" t="s">
        <v>9011</v>
      </c>
      <c r="C12372" s="2" t="str">
        <f ca="1">IFERROR(__xludf.DUMMYFUNCTION("GOOGLETRANSLATE(A12372,""bn"",""en"")"),"He will buy a pen")</f>
        <v>He will buy a pen</v>
      </c>
      <c r="D12372" s="5"/>
      <c r="E12372" s="5"/>
      <c r="F12372" s="5"/>
      <c r="G12372" s="5"/>
      <c r="H12372" s="5"/>
      <c r="I12372" s="5"/>
      <c r="J12372" s="5"/>
      <c r="K12372" s="5"/>
      <c r="L12372" s="5"/>
      <c r="M12372" s="5"/>
      <c r="N12372" s="5"/>
      <c r="O12372" s="5"/>
      <c r="P12372" s="5"/>
      <c r="Q12372" s="5"/>
      <c r="R12372" s="5"/>
      <c r="S12372" s="5"/>
      <c r="T12372" s="5"/>
      <c r="U12372" s="5"/>
      <c r="V12372" s="5"/>
      <c r="W12372" s="5"/>
      <c r="X12372" s="5"/>
      <c r="Y12372" s="5"/>
      <c r="Z12372" s="5"/>
    </row>
    <row r="12373" spans="1:26" ht="15" x14ac:dyDescent="0.25">
      <c r="A12373" s="4" t="s">
        <v>12370</v>
      </c>
      <c r="B12373" s="4" t="s">
        <v>9011</v>
      </c>
      <c r="C12373" s="2" t="str">
        <f ca="1">IFERROR(__xludf.DUMMYFUNCTION("GOOGLETRANSLATE(A12373,""bn"",""en"")"),"Everyone will support the election")</f>
        <v>Everyone will support the election</v>
      </c>
      <c r="D12373" s="5"/>
      <c r="E12373" s="5"/>
      <c r="F12373" s="5"/>
      <c r="G12373" s="5"/>
      <c r="H12373" s="5"/>
      <c r="I12373" s="5"/>
      <c r="J12373" s="5"/>
      <c r="K12373" s="5"/>
      <c r="L12373" s="5"/>
      <c r="M12373" s="5"/>
      <c r="N12373" s="5"/>
      <c r="O12373" s="5"/>
      <c r="P12373" s="5"/>
      <c r="Q12373" s="5"/>
      <c r="R12373" s="5"/>
      <c r="S12373" s="5"/>
      <c r="T12373" s="5"/>
      <c r="U12373" s="5"/>
      <c r="V12373" s="5"/>
      <c r="W12373" s="5"/>
      <c r="X12373" s="5"/>
      <c r="Y12373" s="5"/>
      <c r="Z12373" s="5"/>
    </row>
    <row r="12374" spans="1:26" ht="15" x14ac:dyDescent="0.25">
      <c r="A12374" s="4" t="s">
        <v>12371</v>
      </c>
      <c r="B12374" s="4" t="s">
        <v>9011</v>
      </c>
      <c r="C12374" s="2" t="str">
        <f ca="1">IFERROR(__xludf.DUMMYFUNCTION("GOOGLETRANSLATE(A12374,""bn"",""en"")"),"You will write new songs")</f>
        <v>You will write new songs</v>
      </c>
      <c r="D12374" s="5"/>
      <c r="E12374" s="5"/>
      <c r="F12374" s="5"/>
      <c r="G12374" s="5"/>
      <c r="H12374" s="5"/>
      <c r="I12374" s="5"/>
      <c r="J12374" s="5"/>
      <c r="K12374" s="5"/>
      <c r="L12374" s="5"/>
      <c r="M12374" s="5"/>
      <c r="N12374" s="5"/>
      <c r="O12374" s="5"/>
      <c r="P12374" s="5"/>
      <c r="Q12374" s="5"/>
      <c r="R12374" s="5"/>
      <c r="S12374" s="5"/>
      <c r="T12374" s="5"/>
      <c r="U12374" s="5"/>
      <c r="V12374" s="5"/>
      <c r="W12374" s="5"/>
      <c r="X12374" s="5"/>
      <c r="Y12374" s="5"/>
      <c r="Z12374" s="5"/>
    </row>
    <row r="12375" spans="1:26" ht="15" x14ac:dyDescent="0.25">
      <c r="A12375" s="4" t="s">
        <v>12372</v>
      </c>
      <c r="B12375" s="4" t="s">
        <v>9011</v>
      </c>
      <c r="C12375" s="2" t="str">
        <f ca="1">IFERROR(__xludf.DUMMYFUNCTION("GOOGLETRANSLATE(A12375,""bn"",""en"")"),"Combat power will increase more than one")</f>
        <v>Combat power will increase more than one</v>
      </c>
      <c r="D12375" s="5"/>
      <c r="E12375" s="5"/>
      <c r="F12375" s="5"/>
      <c r="G12375" s="5"/>
      <c r="H12375" s="5"/>
      <c r="I12375" s="5"/>
      <c r="J12375" s="5"/>
      <c r="K12375" s="5"/>
      <c r="L12375" s="5"/>
      <c r="M12375" s="5"/>
      <c r="N12375" s="5"/>
      <c r="O12375" s="5"/>
      <c r="P12375" s="5"/>
      <c r="Q12375" s="5"/>
      <c r="R12375" s="5"/>
      <c r="S12375" s="5"/>
      <c r="T12375" s="5"/>
      <c r="U12375" s="5"/>
      <c r="V12375" s="5"/>
      <c r="W12375" s="5"/>
      <c r="X12375" s="5"/>
      <c r="Y12375" s="5"/>
      <c r="Z12375" s="5"/>
    </row>
    <row r="12376" spans="1:26" ht="15" x14ac:dyDescent="0.25">
      <c r="A12376" s="4" t="s">
        <v>12373</v>
      </c>
      <c r="B12376" s="4" t="s">
        <v>9011</v>
      </c>
      <c r="C12376" s="2" t="str">
        <f ca="1">IFERROR(__xludf.DUMMYFUNCTION("GOOGLETRANSLATE(A12376,""bn"",""en"")"),"I will always read novels")</f>
        <v>I will always read novels</v>
      </c>
      <c r="D12376" s="5"/>
      <c r="E12376" s="5"/>
      <c r="F12376" s="5"/>
      <c r="G12376" s="5"/>
      <c r="H12376" s="5"/>
      <c r="I12376" s="5"/>
      <c r="J12376" s="5"/>
      <c r="K12376" s="5"/>
      <c r="L12376" s="5"/>
      <c r="M12376" s="5"/>
      <c r="N12376" s="5"/>
      <c r="O12376" s="5"/>
      <c r="P12376" s="5"/>
      <c r="Q12376" s="5"/>
      <c r="R12376" s="5"/>
      <c r="S12376" s="5"/>
      <c r="T12376" s="5"/>
      <c r="U12376" s="5"/>
      <c r="V12376" s="5"/>
      <c r="W12376" s="5"/>
      <c r="X12376" s="5"/>
      <c r="Y12376" s="5"/>
      <c r="Z12376" s="5"/>
    </row>
    <row r="12377" spans="1:26" ht="15" x14ac:dyDescent="0.25">
      <c r="A12377" s="4" t="s">
        <v>12374</v>
      </c>
      <c r="B12377" s="4" t="s">
        <v>9011</v>
      </c>
      <c r="C12377" s="2" t="str">
        <f ca="1">IFERROR(__xludf.DUMMYFUNCTION("GOOGLETRANSLATE(A12377,""bn"",""en"")"),"Robotic preparations will be taken")</f>
        <v>Robotic preparations will be taken</v>
      </c>
      <c r="D12377" s="5"/>
      <c r="E12377" s="5"/>
      <c r="F12377" s="5"/>
      <c r="G12377" s="5"/>
      <c r="H12377" s="5"/>
      <c r="I12377" s="5"/>
      <c r="J12377" s="5"/>
      <c r="K12377" s="5"/>
      <c r="L12377" s="5"/>
      <c r="M12377" s="5"/>
      <c r="N12377" s="5"/>
      <c r="O12377" s="5"/>
      <c r="P12377" s="5"/>
      <c r="Q12377" s="5"/>
      <c r="R12377" s="5"/>
      <c r="S12377" s="5"/>
      <c r="T12377" s="5"/>
      <c r="U12377" s="5"/>
      <c r="V12377" s="5"/>
      <c r="W12377" s="5"/>
      <c r="X12377" s="5"/>
      <c r="Y12377" s="5"/>
      <c r="Z12377" s="5"/>
    </row>
    <row r="12378" spans="1:26" ht="15" x14ac:dyDescent="0.25">
      <c r="A12378" s="4" t="s">
        <v>12375</v>
      </c>
      <c r="B12378" s="4" t="s">
        <v>9011</v>
      </c>
      <c r="C12378" s="2" t="str">
        <f ca="1">IFERROR(__xludf.DUMMYFUNCTION("GOOGLETRANSLATE(A12378,""bn"",""en"")"),"Robots will help with transportation")</f>
        <v>Robots will help with transportation</v>
      </c>
      <c r="D12378" s="5"/>
      <c r="E12378" s="5"/>
      <c r="F12378" s="5"/>
      <c r="G12378" s="5"/>
      <c r="H12378" s="5"/>
      <c r="I12378" s="5"/>
      <c r="J12378" s="5"/>
      <c r="K12378" s="5"/>
      <c r="L12378" s="5"/>
      <c r="M12378" s="5"/>
      <c r="N12378" s="5"/>
      <c r="O12378" s="5"/>
      <c r="P12378" s="5"/>
      <c r="Q12378" s="5"/>
      <c r="R12378" s="5"/>
      <c r="S12378" s="5"/>
      <c r="T12378" s="5"/>
      <c r="U12378" s="5"/>
      <c r="V12378" s="5"/>
      <c r="W12378" s="5"/>
      <c r="X12378" s="5"/>
      <c r="Y12378" s="5"/>
      <c r="Z12378" s="5"/>
    </row>
    <row r="12379" spans="1:26" ht="15" x14ac:dyDescent="0.25">
      <c r="A12379" s="4" t="s">
        <v>12376</v>
      </c>
      <c r="B12379" s="4" t="s">
        <v>9011</v>
      </c>
      <c r="C12379" s="2" t="str">
        <f ca="1">IFERROR(__xludf.DUMMYFUNCTION("GOOGLETRANSLATE(A12379,""bn"",""en"")"),"I will dress my bug")</f>
        <v>I will dress my bug</v>
      </c>
      <c r="D12379" s="5"/>
      <c r="E12379" s="5"/>
      <c r="F12379" s="5"/>
      <c r="G12379" s="5"/>
      <c r="H12379" s="5"/>
      <c r="I12379" s="5"/>
      <c r="J12379" s="5"/>
      <c r="K12379" s="5"/>
      <c r="L12379" s="5"/>
      <c r="M12379" s="5"/>
      <c r="N12379" s="5"/>
      <c r="O12379" s="5"/>
      <c r="P12379" s="5"/>
      <c r="Q12379" s="5"/>
      <c r="R12379" s="5"/>
      <c r="S12379" s="5"/>
      <c r="T12379" s="5"/>
      <c r="U12379" s="5"/>
      <c r="V12379" s="5"/>
      <c r="W12379" s="5"/>
      <c r="X12379" s="5"/>
      <c r="Y12379" s="5"/>
      <c r="Z12379" s="5"/>
    </row>
    <row r="12380" spans="1:26" ht="15" x14ac:dyDescent="0.25">
      <c r="A12380" s="4" t="s">
        <v>12377</v>
      </c>
      <c r="B12380" s="4" t="s">
        <v>9011</v>
      </c>
      <c r="C12380" s="2" t="str">
        <f ca="1">IFERROR(__xludf.DUMMYFUNCTION("GOOGLETRANSLATE(A12380,""bn"",""en"")"),"Economic prosperity will increase tomorrow")</f>
        <v>Economic prosperity will increase tomorrow</v>
      </c>
      <c r="D12380" s="5"/>
      <c r="E12380" s="5"/>
      <c r="F12380" s="5"/>
      <c r="G12380" s="5"/>
      <c r="H12380" s="5"/>
      <c r="I12380" s="5"/>
      <c r="J12380" s="5"/>
      <c r="K12380" s="5"/>
      <c r="L12380" s="5"/>
      <c r="M12380" s="5"/>
      <c r="N12380" s="5"/>
      <c r="O12380" s="5"/>
      <c r="P12380" s="5"/>
      <c r="Q12380" s="5"/>
      <c r="R12380" s="5"/>
      <c r="S12380" s="5"/>
      <c r="T12380" s="5"/>
      <c r="U12380" s="5"/>
      <c r="V12380" s="5"/>
      <c r="W12380" s="5"/>
      <c r="X12380" s="5"/>
      <c r="Y12380" s="5"/>
      <c r="Z12380" s="5"/>
    </row>
    <row r="12381" spans="1:26" ht="15" x14ac:dyDescent="0.25">
      <c r="A12381" s="4" t="s">
        <v>12378</v>
      </c>
      <c r="B12381" s="4" t="s">
        <v>9011</v>
      </c>
      <c r="C12381" s="2" t="str">
        <f ca="1">IFERROR(__xludf.DUMMYFUNCTION("GOOGLETRANSLATE(A12381,""bn"",""en"")"),"Everyone can do C programming")</f>
        <v>Everyone can do C programming</v>
      </c>
      <c r="D12381" s="5"/>
      <c r="E12381" s="5"/>
      <c r="F12381" s="5"/>
      <c r="G12381" s="5"/>
      <c r="H12381" s="5"/>
      <c r="I12381" s="5"/>
      <c r="J12381" s="5"/>
      <c r="K12381" s="5"/>
      <c r="L12381" s="5"/>
      <c r="M12381" s="5"/>
      <c r="N12381" s="5"/>
      <c r="O12381" s="5"/>
      <c r="P12381" s="5"/>
      <c r="Q12381" s="5"/>
      <c r="R12381" s="5"/>
      <c r="S12381" s="5"/>
      <c r="T12381" s="5"/>
      <c r="U12381" s="5"/>
      <c r="V12381" s="5"/>
      <c r="W12381" s="5"/>
      <c r="X12381" s="5"/>
      <c r="Y12381" s="5"/>
      <c r="Z12381" s="5"/>
    </row>
    <row r="12382" spans="1:26" ht="15" x14ac:dyDescent="0.25">
      <c r="A12382" s="4" t="s">
        <v>12379</v>
      </c>
      <c r="B12382" s="4" t="s">
        <v>9011</v>
      </c>
      <c r="C12382" s="2" t="str">
        <f ca="1">IFERROR(__xludf.DUMMYFUNCTION("GOOGLETRANSLATE(A12382,""bn"",""en"")"),"It will be discussed in the political meeting")</f>
        <v>It will be discussed in the political meeting</v>
      </c>
      <c r="D12382" s="5"/>
      <c r="E12382" s="5"/>
      <c r="F12382" s="5"/>
      <c r="G12382" s="5"/>
      <c r="H12382" s="5"/>
      <c r="I12382" s="5"/>
      <c r="J12382" s="5"/>
      <c r="K12382" s="5"/>
      <c r="L12382" s="5"/>
      <c r="M12382" s="5"/>
      <c r="N12382" s="5"/>
      <c r="O12382" s="5"/>
      <c r="P12382" s="5"/>
      <c r="Q12382" s="5"/>
      <c r="R12382" s="5"/>
      <c r="S12382" s="5"/>
      <c r="T12382" s="5"/>
      <c r="U12382" s="5"/>
      <c r="V12382" s="5"/>
      <c r="W12382" s="5"/>
      <c r="X12382" s="5"/>
      <c r="Y12382" s="5"/>
      <c r="Z12382" s="5"/>
    </row>
    <row r="12383" spans="1:26" ht="15" x14ac:dyDescent="0.25">
      <c r="A12383" s="4" t="s">
        <v>12380</v>
      </c>
      <c r="B12383" s="4" t="s">
        <v>9011</v>
      </c>
      <c r="C12383" s="2" t="str">
        <f ca="1">IFERROR(__xludf.DUMMYFUNCTION("GOOGLETRANSLATE(A12383,""bn"",""en"")"),"We will provide new markets")</f>
        <v>We will provide new markets</v>
      </c>
      <c r="D12383" s="5"/>
      <c r="E12383" s="5"/>
      <c r="F12383" s="5"/>
      <c r="G12383" s="5"/>
      <c r="H12383" s="5"/>
      <c r="I12383" s="5"/>
      <c r="J12383" s="5"/>
      <c r="K12383" s="5"/>
      <c r="L12383" s="5"/>
      <c r="M12383" s="5"/>
      <c r="N12383" s="5"/>
      <c r="O12383" s="5"/>
      <c r="P12383" s="5"/>
      <c r="Q12383" s="5"/>
      <c r="R12383" s="5"/>
      <c r="S12383" s="5"/>
      <c r="T12383" s="5"/>
      <c r="U12383" s="5"/>
      <c r="V12383" s="5"/>
      <c r="W12383" s="5"/>
      <c r="X12383" s="5"/>
      <c r="Y12383" s="5"/>
      <c r="Z12383" s="5"/>
    </row>
    <row r="12384" spans="1:26" ht="15" x14ac:dyDescent="0.25">
      <c r="A12384" s="4" t="s">
        <v>12381</v>
      </c>
      <c r="B12384" s="4" t="s">
        <v>9011</v>
      </c>
      <c r="C12384" s="2" t="str">
        <f ca="1">IFERROR(__xludf.DUMMYFUNCTION("GOOGLETRANSLATE(A12384,""bn"",""en"")"),"Research will be done now")</f>
        <v>Research will be done now</v>
      </c>
      <c r="D12384" s="5"/>
      <c r="E12384" s="5"/>
      <c r="F12384" s="5"/>
      <c r="G12384" s="5"/>
      <c r="H12384" s="5"/>
      <c r="I12384" s="5"/>
      <c r="J12384" s="5"/>
      <c r="K12384" s="5"/>
      <c r="L12384" s="5"/>
      <c r="M12384" s="5"/>
      <c r="N12384" s="5"/>
      <c r="O12384" s="5"/>
      <c r="P12384" s="5"/>
      <c r="Q12384" s="5"/>
      <c r="R12384" s="5"/>
      <c r="S12384" s="5"/>
      <c r="T12384" s="5"/>
      <c r="U12384" s="5"/>
      <c r="V12384" s="5"/>
      <c r="W12384" s="5"/>
      <c r="X12384" s="5"/>
      <c r="Y12384" s="5"/>
      <c r="Z12384" s="5"/>
    </row>
    <row r="12385" spans="1:26" ht="15" x14ac:dyDescent="0.25">
      <c r="A12385" s="4" t="s">
        <v>12382</v>
      </c>
      <c r="B12385" s="4" t="s">
        <v>9011</v>
      </c>
      <c r="C12385" s="2" t="str">
        <f ca="1">IFERROR(__xludf.DUMMYFUNCTION("GOOGLETRANSLATE(A12385,""bn"",""en"")"),"Health workers will assist the service")</f>
        <v>Health workers will assist the service</v>
      </c>
      <c r="D12385" s="5"/>
      <c r="E12385" s="5"/>
      <c r="F12385" s="5"/>
      <c r="G12385" s="5"/>
      <c r="H12385" s="5"/>
      <c r="I12385" s="5"/>
      <c r="J12385" s="5"/>
      <c r="K12385" s="5"/>
      <c r="L12385" s="5"/>
      <c r="M12385" s="5"/>
      <c r="N12385" s="5"/>
      <c r="O12385" s="5"/>
      <c r="P12385" s="5"/>
      <c r="Q12385" s="5"/>
      <c r="R12385" s="5"/>
      <c r="S12385" s="5"/>
      <c r="T12385" s="5"/>
      <c r="U12385" s="5"/>
      <c r="V12385" s="5"/>
      <c r="W12385" s="5"/>
      <c r="X12385" s="5"/>
      <c r="Y12385" s="5"/>
      <c r="Z12385" s="5"/>
    </row>
    <row r="12386" spans="1:26" ht="15" x14ac:dyDescent="0.25">
      <c r="A12386" s="4" t="s">
        <v>12383</v>
      </c>
      <c r="B12386" s="4" t="s">
        <v>9011</v>
      </c>
      <c r="C12386" s="2" t="str">
        <f ca="1">IFERROR(__xludf.DUMMYFUNCTION("GOOGLETRANSLATE(A12386,""bn"",""en"")"),"There will be a new campus library")</f>
        <v>There will be a new campus library</v>
      </c>
      <c r="D12386" s="5"/>
      <c r="E12386" s="5"/>
      <c r="F12386" s="5"/>
      <c r="G12386" s="5"/>
      <c r="H12386" s="5"/>
      <c r="I12386" s="5"/>
      <c r="J12386" s="5"/>
      <c r="K12386" s="5"/>
      <c r="L12386" s="5"/>
      <c r="M12386" s="5"/>
      <c r="N12386" s="5"/>
      <c r="O12386" s="5"/>
      <c r="P12386" s="5"/>
      <c r="Q12386" s="5"/>
      <c r="R12386" s="5"/>
      <c r="S12386" s="5"/>
      <c r="T12386" s="5"/>
      <c r="U12386" s="5"/>
      <c r="V12386" s="5"/>
      <c r="W12386" s="5"/>
      <c r="X12386" s="5"/>
      <c r="Y12386" s="5"/>
      <c r="Z12386" s="5"/>
    </row>
    <row r="12387" spans="1:26" ht="15" x14ac:dyDescent="0.25">
      <c r="A12387" s="4" t="s">
        <v>12384</v>
      </c>
      <c r="B12387" s="4" t="s">
        <v>9011</v>
      </c>
      <c r="C12387" s="2" t="str">
        <f ca="1">IFERROR(__xludf.DUMMYFUNCTION("GOOGLETRANSLATE(A12387,""bn"",""en"")"),"We will eat the new beefburger")</f>
        <v>We will eat the new beefburger</v>
      </c>
      <c r="D12387" s="5"/>
      <c r="E12387" s="5"/>
      <c r="F12387" s="5"/>
      <c r="G12387" s="5"/>
      <c r="H12387" s="5"/>
      <c r="I12387" s="5"/>
      <c r="J12387" s="5"/>
      <c r="K12387" s="5"/>
      <c r="L12387" s="5"/>
      <c r="M12387" s="5"/>
      <c r="N12387" s="5"/>
      <c r="O12387" s="5"/>
      <c r="P12387" s="5"/>
      <c r="Q12387" s="5"/>
      <c r="R12387" s="5"/>
      <c r="S12387" s="5"/>
      <c r="T12387" s="5"/>
      <c r="U12387" s="5"/>
      <c r="V12387" s="5"/>
      <c r="W12387" s="5"/>
      <c r="X12387" s="5"/>
      <c r="Y12387" s="5"/>
      <c r="Z12387" s="5"/>
    </row>
    <row r="12388" spans="1:26" ht="15" x14ac:dyDescent="0.25">
      <c r="A12388" s="4" t="s">
        <v>12385</v>
      </c>
      <c r="B12388" s="4" t="s">
        <v>9011</v>
      </c>
      <c r="C12388" s="2" t="str">
        <f ca="1">IFERROR(__xludf.DUMMYFUNCTION("GOOGLETRANSLATE(A12388,""bn"",""en"")"),"Eat at the restaurant and go to the roof")</f>
        <v>Eat at the restaurant and go to the roof</v>
      </c>
      <c r="D12388" s="5"/>
      <c r="E12388" s="5"/>
      <c r="F12388" s="5"/>
      <c r="G12388" s="5"/>
      <c r="H12388" s="5"/>
      <c r="I12388" s="5"/>
      <c r="J12388" s="5"/>
      <c r="K12388" s="5"/>
      <c r="L12388" s="5"/>
      <c r="M12388" s="5"/>
      <c r="N12388" s="5"/>
      <c r="O12388" s="5"/>
      <c r="P12388" s="5"/>
      <c r="Q12388" s="5"/>
      <c r="R12388" s="5"/>
      <c r="S12388" s="5"/>
      <c r="T12388" s="5"/>
      <c r="U12388" s="5"/>
      <c r="V12388" s="5"/>
      <c r="W12388" s="5"/>
      <c r="X12388" s="5"/>
      <c r="Y12388" s="5"/>
      <c r="Z12388" s="5"/>
    </row>
    <row r="12389" spans="1:26" ht="15" x14ac:dyDescent="0.25">
      <c r="A12389" s="4" t="s">
        <v>12386</v>
      </c>
      <c r="B12389" s="4" t="s">
        <v>9011</v>
      </c>
      <c r="C12389" s="2" t="str">
        <f ca="1">IFERROR(__xludf.DUMMYFUNCTION("GOOGLETRANSLATE(A12389,""bn"",""en"")"),"Education system will prosper")</f>
        <v>Education system will prosper</v>
      </c>
      <c r="D12389" s="5"/>
      <c r="E12389" s="5"/>
      <c r="F12389" s="5"/>
      <c r="G12389" s="5"/>
      <c r="H12389" s="5"/>
      <c r="I12389" s="5"/>
      <c r="J12389" s="5"/>
      <c r="K12389" s="5"/>
      <c r="L12389" s="5"/>
      <c r="M12389" s="5"/>
      <c r="N12389" s="5"/>
      <c r="O12389" s="5"/>
      <c r="P12389" s="5"/>
      <c r="Q12389" s="5"/>
      <c r="R12389" s="5"/>
      <c r="S12389" s="5"/>
      <c r="T12389" s="5"/>
      <c r="U12389" s="5"/>
      <c r="V12389" s="5"/>
      <c r="W12389" s="5"/>
      <c r="X12389" s="5"/>
      <c r="Y12389" s="5"/>
      <c r="Z12389" s="5"/>
    </row>
    <row r="12390" spans="1:26" ht="15" x14ac:dyDescent="0.25">
      <c r="A12390" s="4" t="s">
        <v>12387</v>
      </c>
      <c r="B12390" s="4" t="s">
        <v>9011</v>
      </c>
      <c r="C12390" s="2" t="str">
        <f ca="1">IFERROR(__xludf.DUMMYFUNCTION("GOOGLETRANSLATE(A12390,""bn"",""en"")"),"Sports will be more in winter")</f>
        <v>Sports will be more in winter</v>
      </c>
      <c r="D12390" s="5"/>
      <c r="E12390" s="5"/>
      <c r="F12390" s="5"/>
      <c r="G12390" s="5"/>
      <c r="H12390" s="5"/>
      <c r="I12390" s="5"/>
      <c r="J12390" s="5"/>
      <c r="K12390" s="5"/>
      <c r="L12390" s="5"/>
      <c r="M12390" s="5"/>
      <c r="N12390" s="5"/>
      <c r="O12390" s="5"/>
      <c r="P12390" s="5"/>
      <c r="Q12390" s="5"/>
      <c r="R12390" s="5"/>
      <c r="S12390" s="5"/>
      <c r="T12390" s="5"/>
      <c r="U12390" s="5"/>
      <c r="V12390" s="5"/>
      <c r="W12390" s="5"/>
      <c r="X12390" s="5"/>
      <c r="Y12390" s="5"/>
      <c r="Z12390" s="5"/>
    </row>
    <row r="12391" spans="1:26" ht="15" x14ac:dyDescent="0.25">
      <c r="A12391" s="4" t="s">
        <v>12388</v>
      </c>
      <c r="B12391" s="4" t="s">
        <v>9011</v>
      </c>
      <c r="C12391" s="2" t="str">
        <f ca="1">IFERROR(__xludf.DUMMYFUNCTION("GOOGLETRANSLATE(A12391,""bn"",""en"")"),"The situation will determine soon")</f>
        <v>The situation will determine soon</v>
      </c>
      <c r="D12391" s="5"/>
      <c r="E12391" s="5"/>
      <c r="F12391" s="5"/>
      <c r="G12391" s="5"/>
      <c r="H12391" s="5"/>
      <c r="I12391" s="5"/>
      <c r="J12391" s="5"/>
      <c r="K12391" s="5"/>
      <c r="L12391" s="5"/>
      <c r="M12391" s="5"/>
      <c r="N12391" s="5"/>
      <c r="O12391" s="5"/>
      <c r="P12391" s="5"/>
      <c r="Q12391" s="5"/>
      <c r="R12391" s="5"/>
      <c r="S12391" s="5"/>
      <c r="T12391" s="5"/>
      <c r="U12391" s="5"/>
      <c r="V12391" s="5"/>
      <c r="W12391" s="5"/>
      <c r="X12391" s="5"/>
      <c r="Y12391" s="5"/>
      <c r="Z12391" s="5"/>
    </row>
    <row r="12392" spans="1:26" ht="15" x14ac:dyDescent="0.25">
      <c r="A12392" s="4" t="s">
        <v>12389</v>
      </c>
      <c r="B12392" s="4" t="s">
        <v>9011</v>
      </c>
      <c r="C12392" s="2" t="str">
        <f ca="1">IFERROR(__xludf.DUMMYFUNCTION("GOOGLETRANSLATE(A12392,""bn"",""en"")"),"Will get sweet weather in winter")</f>
        <v>Will get sweet weather in winter</v>
      </c>
      <c r="D12392" s="5"/>
      <c r="E12392" s="5"/>
      <c r="F12392" s="5"/>
      <c r="G12392" s="5"/>
      <c r="H12392" s="5"/>
      <c r="I12392" s="5"/>
      <c r="J12392" s="5"/>
      <c r="K12392" s="5"/>
      <c r="L12392" s="5"/>
      <c r="M12392" s="5"/>
      <c r="N12392" s="5"/>
      <c r="O12392" s="5"/>
      <c r="P12392" s="5"/>
      <c r="Q12392" s="5"/>
      <c r="R12392" s="5"/>
      <c r="S12392" s="5"/>
      <c r="T12392" s="5"/>
      <c r="U12392" s="5"/>
      <c r="V12392" s="5"/>
      <c r="W12392" s="5"/>
      <c r="X12392" s="5"/>
      <c r="Y12392" s="5"/>
      <c r="Z12392" s="5"/>
    </row>
    <row r="12393" spans="1:26" ht="15" x14ac:dyDescent="0.25">
      <c r="A12393" s="4" t="s">
        <v>12390</v>
      </c>
      <c r="B12393" s="4" t="s">
        <v>9011</v>
      </c>
      <c r="C12393" s="2" t="str">
        <f ca="1">IFERROR(__xludf.DUMMYFUNCTION("GOOGLETRANSLATE(A12393,""bn"",""en"")"),"The cook will cook the food in the restaurant")</f>
        <v>The cook will cook the food in the restaurant</v>
      </c>
      <c r="D12393" s="5"/>
      <c r="E12393" s="5"/>
      <c r="F12393" s="5"/>
      <c r="G12393" s="5"/>
      <c r="H12393" s="5"/>
      <c r="I12393" s="5"/>
      <c r="J12393" s="5"/>
      <c r="K12393" s="5"/>
      <c r="L12393" s="5"/>
      <c r="M12393" s="5"/>
      <c r="N12393" s="5"/>
      <c r="O12393" s="5"/>
      <c r="P12393" s="5"/>
      <c r="Q12393" s="5"/>
      <c r="R12393" s="5"/>
      <c r="S12393" s="5"/>
      <c r="T12393" s="5"/>
      <c r="U12393" s="5"/>
      <c r="V12393" s="5"/>
      <c r="W12393" s="5"/>
      <c r="X12393" s="5"/>
      <c r="Y12393" s="5"/>
      <c r="Z12393" s="5"/>
    </row>
    <row r="12394" spans="1:26" ht="15" x14ac:dyDescent="0.25">
      <c r="A12394" s="4" t="s">
        <v>12391</v>
      </c>
      <c r="B12394" s="4" t="s">
        <v>9011</v>
      </c>
      <c r="C12394" s="2" t="str">
        <f ca="1">IFERROR(__xludf.DUMMYFUNCTION("GOOGLETRANSLATE(A12394,""bn"",""en"")"),"I will go to business tomorrow")</f>
        <v>I will go to business tomorrow</v>
      </c>
      <c r="D12394" s="5"/>
      <c r="E12394" s="5"/>
      <c r="F12394" s="5"/>
      <c r="G12394" s="5"/>
      <c r="H12394" s="5"/>
      <c r="I12394" s="5"/>
      <c r="J12394" s="5"/>
      <c r="K12394" s="5"/>
      <c r="L12394" s="5"/>
      <c r="M12394" s="5"/>
      <c r="N12394" s="5"/>
      <c r="O12394" s="5"/>
      <c r="P12394" s="5"/>
      <c r="Q12394" s="5"/>
      <c r="R12394" s="5"/>
      <c r="S12394" s="5"/>
      <c r="T12394" s="5"/>
      <c r="U12394" s="5"/>
      <c r="V12394" s="5"/>
      <c r="W12394" s="5"/>
      <c r="X12394" s="5"/>
      <c r="Y12394" s="5"/>
      <c r="Z12394" s="5"/>
    </row>
    <row r="12395" spans="1:26" ht="15" x14ac:dyDescent="0.25">
      <c r="A12395" s="4" t="s">
        <v>12392</v>
      </c>
      <c r="B12395" s="4" t="s">
        <v>9011</v>
      </c>
      <c r="C12395" s="2" t="str">
        <f ca="1">IFERROR(__xludf.DUMMYFUNCTION("GOOGLETRANSLATE(A12395,""bn"",""en"")"),"Will write new articles in research")</f>
        <v>Will write new articles in research</v>
      </c>
      <c r="D12395" s="5"/>
      <c r="E12395" s="5"/>
      <c r="F12395" s="5"/>
      <c r="G12395" s="5"/>
      <c r="H12395" s="5"/>
      <c r="I12395" s="5"/>
      <c r="J12395" s="5"/>
      <c r="K12395" s="5"/>
      <c r="L12395" s="5"/>
      <c r="M12395" s="5"/>
      <c r="N12395" s="5"/>
      <c r="O12395" s="5"/>
      <c r="P12395" s="5"/>
      <c r="Q12395" s="5"/>
      <c r="R12395" s="5"/>
      <c r="S12395" s="5"/>
      <c r="T12395" s="5"/>
      <c r="U12395" s="5"/>
      <c r="V12395" s="5"/>
      <c r="W12395" s="5"/>
      <c r="X12395" s="5"/>
      <c r="Y12395" s="5"/>
      <c r="Z12395" s="5"/>
    </row>
    <row r="12396" spans="1:26" ht="15" x14ac:dyDescent="0.25">
      <c r="A12396" s="4" t="s">
        <v>12393</v>
      </c>
      <c r="B12396" s="4" t="s">
        <v>9011</v>
      </c>
      <c r="C12396" s="2" t="str">
        <f ca="1">IFERROR(__xludf.DUMMYFUNCTION("GOOGLETRANSLATE(A12396,""bn"",""en"")"),"Big data will be used")</f>
        <v>Big data will be used</v>
      </c>
      <c r="D12396" s="5"/>
      <c r="E12396" s="5"/>
      <c r="F12396" s="5"/>
      <c r="G12396" s="5"/>
      <c r="H12396" s="5"/>
      <c r="I12396" s="5"/>
      <c r="J12396" s="5"/>
      <c r="K12396" s="5"/>
      <c r="L12396" s="5"/>
      <c r="M12396" s="5"/>
      <c r="N12396" s="5"/>
      <c r="O12396" s="5"/>
      <c r="P12396" s="5"/>
      <c r="Q12396" s="5"/>
      <c r="R12396" s="5"/>
      <c r="S12396" s="5"/>
      <c r="T12396" s="5"/>
      <c r="U12396" s="5"/>
      <c r="V12396" s="5"/>
      <c r="W12396" s="5"/>
      <c r="X12396" s="5"/>
      <c r="Y12396" s="5"/>
      <c r="Z12396" s="5"/>
    </row>
    <row r="12397" spans="1:26" ht="15" x14ac:dyDescent="0.25">
      <c r="A12397" s="4" t="s">
        <v>12394</v>
      </c>
      <c r="B12397" s="4" t="s">
        <v>9011</v>
      </c>
      <c r="C12397" s="2" t="str">
        <f ca="1">IFERROR(__xludf.DUMMYFUNCTION("GOOGLETRANSLATE(A12397,""bn"",""en"")"),"There will be good situation in implementation")</f>
        <v>There will be good situation in implementation</v>
      </c>
      <c r="D12397" s="5"/>
      <c r="E12397" s="5"/>
      <c r="F12397" s="5"/>
      <c r="G12397" s="5"/>
      <c r="H12397" s="5"/>
      <c r="I12397" s="5"/>
      <c r="J12397" s="5"/>
      <c r="K12397" s="5"/>
      <c r="L12397" s="5"/>
      <c r="M12397" s="5"/>
      <c r="N12397" s="5"/>
      <c r="O12397" s="5"/>
      <c r="P12397" s="5"/>
      <c r="Q12397" s="5"/>
      <c r="R12397" s="5"/>
      <c r="S12397" s="5"/>
      <c r="T12397" s="5"/>
      <c r="U12397" s="5"/>
      <c r="V12397" s="5"/>
      <c r="W12397" s="5"/>
      <c r="X12397" s="5"/>
      <c r="Y12397" s="5"/>
      <c r="Z12397" s="5"/>
    </row>
    <row r="12398" spans="1:26" ht="15" x14ac:dyDescent="0.25">
      <c r="A12398" s="4" t="s">
        <v>12395</v>
      </c>
      <c r="B12398" s="4" t="s">
        <v>9011</v>
      </c>
      <c r="C12398" s="2" t="str">
        <f ca="1">IFERROR(__xludf.DUMMYFUNCTION("GOOGLETRANSLATE(A12398,""bn"",""en"")"),"Medicines will be prepared in research")</f>
        <v>Medicines will be prepared in research</v>
      </c>
      <c r="D12398" s="5"/>
      <c r="E12398" s="5"/>
      <c r="F12398" s="5"/>
      <c r="G12398" s="5"/>
      <c r="H12398" s="5"/>
      <c r="I12398" s="5"/>
      <c r="J12398" s="5"/>
      <c r="K12398" s="5"/>
      <c r="L12398" s="5"/>
      <c r="M12398" s="5"/>
      <c r="N12398" s="5"/>
      <c r="O12398" s="5"/>
      <c r="P12398" s="5"/>
      <c r="Q12398" s="5"/>
      <c r="R12398" s="5"/>
      <c r="S12398" s="5"/>
      <c r="T12398" s="5"/>
      <c r="U12398" s="5"/>
      <c r="V12398" s="5"/>
      <c r="W12398" s="5"/>
      <c r="X12398" s="5"/>
      <c r="Y12398" s="5"/>
      <c r="Z12398" s="5"/>
    </row>
    <row r="12399" spans="1:26" ht="15" x14ac:dyDescent="0.25">
      <c r="A12399" s="4" t="s">
        <v>12396</v>
      </c>
      <c r="B12399" s="4" t="s">
        <v>9011</v>
      </c>
      <c r="C12399" s="2" t="str">
        <f ca="1">IFERROR(__xludf.DUMMYFUNCTION("GOOGLETRANSLATE(A12399,""bn"",""en"")"),"The blue sky will be covered with snow")</f>
        <v>The blue sky will be covered with snow</v>
      </c>
      <c r="D12399" s="5"/>
      <c r="E12399" s="5"/>
      <c r="F12399" s="5"/>
      <c r="G12399" s="5"/>
      <c r="H12399" s="5"/>
      <c r="I12399" s="5"/>
      <c r="J12399" s="5"/>
      <c r="K12399" s="5"/>
      <c r="L12399" s="5"/>
      <c r="M12399" s="5"/>
      <c r="N12399" s="5"/>
      <c r="O12399" s="5"/>
      <c r="P12399" s="5"/>
      <c r="Q12399" s="5"/>
      <c r="R12399" s="5"/>
      <c r="S12399" s="5"/>
      <c r="T12399" s="5"/>
      <c r="U12399" s="5"/>
      <c r="V12399" s="5"/>
      <c r="W12399" s="5"/>
      <c r="X12399" s="5"/>
      <c r="Y12399" s="5"/>
      <c r="Z12399" s="5"/>
    </row>
    <row r="12400" spans="1:26" ht="15" x14ac:dyDescent="0.25">
      <c r="A12400" s="4" t="s">
        <v>12397</v>
      </c>
      <c r="B12400" s="4" t="s">
        <v>9011</v>
      </c>
      <c r="C12400" s="2" t="str">
        <f ca="1">IFERROR(__xludf.DUMMYFUNCTION("GOOGLETRANSLATE(A12400,""bn"",""en"")"),"The hospital will have new facilities")</f>
        <v>The hospital will have new facilities</v>
      </c>
      <c r="D12400" s="5"/>
      <c r="E12400" s="5"/>
      <c r="F12400" s="5"/>
      <c r="G12400" s="5"/>
      <c r="H12400" s="5"/>
      <c r="I12400" s="5"/>
      <c r="J12400" s="5"/>
      <c r="K12400" s="5"/>
      <c r="L12400" s="5"/>
      <c r="M12400" s="5"/>
      <c r="N12400" s="5"/>
      <c r="O12400" s="5"/>
      <c r="P12400" s="5"/>
      <c r="Q12400" s="5"/>
      <c r="R12400" s="5"/>
      <c r="S12400" s="5"/>
      <c r="T12400" s="5"/>
      <c r="U12400" s="5"/>
      <c r="V12400" s="5"/>
      <c r="W12400" s="5"/>
      <c r="X12400" s="5"/>
      <c r="Y12400" s="5"/>
      <c r="Z12400" s="5"/>
    </row>
    <row r="12401" spans="1:26" ht="15" x14ac:dyDescent="0.25">
      <c r="A12401" s="4" t="s">
        <v>12398</v>
      </c>
      <c r="B12401" s="4" t="s">
        <v>9011</v>
      </c>
      <c r="C12401" s="2" t="str">
        <f ca="1">IFERROR(__xludf.DUMMYFUNCTION("GOOGLETRANSLATE(A12401,""bn"",""en"")"),"There will be no classes on public holidays")</f>
        <v>There will be no classes on public holidays</v>
      </c>
      <c r="D12401" s="5"/>
      <c r="E12401" s="5"/>
      <c r="F12401" s="5"/>
      <c r="G12401" s="5"/>
      <c r="H12401" s="5"/>
      <c r="I12401" s="5"/>
      <c r="J12401" s="5"/>
      <c r="K12401" s="5"/>
      <c r="L12401" s="5"/>
      <c r="M12401" s="5"/>
      <c r="N12401" s="5"/>
      <c r="O12401" s="5"/>
      <c r="P12401" s="5"/>
      <c r="Q12401" s="5"/>
      <c r="R12401" s="5"/>
      <c r="S12401" s="5"/>
      <c r="T12401" s="5"/>
      <c r="U12401" s="5"/>
      <c r="V12401" s="5"/>
      <c r="W12401" s="5"/>
      <c r="X12401" s="5"/>
      <c r="Y12401" s="5"/>
      <c r="Z12401" s="5"/>
    </row>
    <row r="12402" spans="1:26" ht="15" x14ac:dyDescent="0.25">
      <c r="A12402" s="4" t="s">
        <v>12399</v>
      </c>
      <c r="B12402" s="4" t="s">
        <v>9011</v>
      </c>
      <c r="C12402" s="2" t="str">
        <f ca="1">IFERROR(__xludf.DUMMYFUNCTION("GOOGLETRANSLATE(A12402,""bn"",""en"")"),"I will visit historical places")</f>
        <v>I will visit historical places</v>
      </c>
      <c r="D12402" s="5"/>
      <c r="E12402" s="5"/>
      <c r="F12402" s="5"/>
      <c r="G12402" s="5"/>
      <c r="H12402" s="5"/>
      <c r="I12402" s="5"/>
      <c r="J12402" s="5"/>
      <c r="K12402" s="5"/>
      <c r="L12402" s="5"/>
      <c r="M12402" s="5"/>
      <c r="N12402" s="5"/>
      <c r="O12402" s="5"/>
      <c r="P12402" s="5"/>
      <c r="Q12402" s="5"/>
      <c r="R12402" s="5"/>
      <c r="S12402" s="5"/>
      <c r="T12402" s="5"/>
      <c r="U12402" s="5"/>
      <c r="V12402" s="5"/>
      <c r="W12402" s="5"/>
      <c r="X12402" s="5"/>
      <c r="Y12402" s="5"/>
      <c r="Z12402" s="5"/>
    </row>
    <row r="12403" spans="1:26" ht="15" x14ac:dyDescent="0.25">
      <c r="A12403" s="4" t="s">
        <v>12400</v>
      </c>
      <c r="B12403" s="4" t="s">
        <v>9011</v>
      </c>
      <c r="C12403" s="2" t="str">
        <f ca="1">IFERROR(__xludf.DUMMYFUNCTION("GOOGLETRANSLATE(A12403,""bn"",""en"")"),"There will be many dishes on the menu")</f>
        <v>There will be many dishes on the menu</v>
      </c>
      <c r="D12403" s="5"/>
      <c r="E12403" s="5"/>
      <c r="F12403" s="5"/>
      <c r="G12403" s="5"/>
      <c r="H12403" s="5"/>
      <c r="I12403" s="5"/>
      <c r="J12403" s="5"/>
      <c r="K12403" s="5"/>
      <c r="L12403" s="5"/>
      <c r="M12403" s="5"/>
      <c r="N12403" s="5"/>
      <c r="O12403" s="5"/>
      <c r="P12403" s="5"/>
      <c r="Q12403" s="5"/>
      <c r="R12403" s="5"/>
      <c r="S12403" s="5"/>
      <c r="T12403" s="5"/>
      <c r="U12403" s="5"/>
      <c r="V12403" s="5"/>
      <c r="W12403" s="5"/>
      <c r="X12403" s="5"/>
      <c r="Y12403" s="5"/>
      <c r="Z12403" s="5"/>
    </row>
    <row r="12404" spans="1:26" ht="15" x14ac:dyDescent="0.25">
      <c r="A12404" s="4" t="s">
        <v>12401</v>
      </c>
      <c r="B12404" s="4" t="s">
        <v>9011</v>
      </c>
      <c r="C12404" s="2" t="str">
        <f ca="1">IFERROR(__xludf.DUMMYFUNCTION("GOOGLETRANSLATE(A12404,""bn"",""en"")"),"The country's population will continue to grow")</f>
        <v>The country's population will continue to grow</v>
      </c>
      <c r="D12404" s="5"/>
      <c r="E12404" s="5"/>
      <c r="F12404" s="5"/>
      <c r="G12404" s="5"/>
      <c r="H12404" s="5"/>
      <c r="I12404" s="5"/>
      <c r="J12404" s="5"/>
      <c r="K12404" s="5"/>
      <c r="L12404" s="5"/>
      <c r="M12404" s="5"/>
      <c r="N12404" s="5"/>
      <c r="O12404" s="5"/>
      <c r="P12404" s="5"/>
      <c r="Q12404" s="5"/>
      <c r="R12404" s="5"/>
      <c r="S12404" s="5"/>
      <c r="T12404" s="5"/>
      <c r="U12404" s="5"/>
      <c r="V12404" s="5"/>
      <c r="W12404" s="5"/>
      <c r="X12404" s="5"/>
      <c r="Y12404" s="5"/>
      <c r="Z12404" s="5"/>
    </row>
    <row r="12405" spans="1:26" ht="15" x14ac:dyDescent="0.25">
      <c r="A12405" s="4" t="s">
        <v>12402</v>
      </c>
      <c r="B12405" s="4" t="s">
        <v>9011</v>
      </c>
      <c r="C12405" s="2" t="str">
        <f ca="1">IFERROR(__xludf.DUMMYFUNCTION("GOOGLETRANSLATE(A12405,""bn"",""en"")"),"I will do software testing course")</f>
        <v>I will do software testing course</v>
      </c>
      <c r="D12405" s="5"/>
      <c r="E12405" s="5"/>
      <c r="F12405" s="5"/>
      <c r="G12405" s="5"/>
      <c r="H12405" s="5"/>
      <c r="I12405" s="5"/>
      <c r="J12405" s="5"/>
      <c r="K12405" s="5"/>
      <c r="L12405" s="5"/>
      <c r="M12405" s="5"/>
      <c r="N12405" s="5"/>
      <c r="O12405" s="5"/>
      <c r="P12405" s="5"/>
      <c r="Q12405" s="5"/>
      <c r="R12405" s="5"/>
      <c r="S12405" s="5"/>
      <c r="T12405" s="5"/>
      <c r="U12405" s="5"/>
      <c r="V12405" s="5"/>
      <c r="W12405" s="5"/>
      <c r="X12405" s="5"/>
      <c r="Y12405" s="5"/>
      <c r="Z12405" s="5"/>
    </row>
    <row r="12406" spans="1:26" ht="15" x14ac:dyDescent="0.25">
      <c r="A12406" s="4" t="s">
        <v>12403</v>
      </c>
      <c r="B12406" s="4" t="s">
        <v>9011</v>
      </c>
      <c r="C12406" s="2" t="str">
        <f ca="1">IFERROR(__xludf.DUMMYFUNCTION("GOOGLETRANSLATE(A12406,""bn"",""en"")"),"Food will be arranged in the restaurant")</f>
        <v>Food will be arranged in the restaurant</v>
      </c>
      <c r="D12406" s="5"/>
      <c r="E12406" s="5"/>
      <c r="F12406" s="5"/>
      <c r="G12406" s="5"/>
      <c r="H12406" s="5"/>
      <c r="I12406" s="5"/>
      <c r="J12406" s="5"/>
      <c r="K12406" s="5"/>
      <c r="L12406" s="5"/>
      <c r="M12406" s="5"/>
      <c r="N12406" s="5"/>
      <c r="O12406" s="5"/>
      <c r="P12406" s="5"/>
      <c r="Q12406" s="5"/>
      <c r="R12406" s="5"/>
      <c r="S12406" s="5"/>
      <c r="T12406" s="5"/>
      <c r="U12406" s="5"/>
      <c r="V12406" s="5"/>
      <c r="W12406" s="5"/>
      <c r="X12406" s="5"/>
      <c r="Y12406" s="5"/>
      <c r="Z12406" s="5"/>
    </row>
    <row r="12407" spans="1:26" ht="15" x14ac:dyDescent="0.25">
      <c r="A12407" s="4" t="s">
        <v>12404</v>
      </c>
      <c r="B12407" s="4" t="s">
        <v>9011</v>
      </c>
      <c r="C12407" s="2" t="str">
        <f ca="1">IFERROR(__xludf.DUMMYFUNCTION("GOOGLETRANSLATE(A12407,""bn"",""en"")"),"Let's look at social media analytics")</f>
        <v>Let's look at social media analytics</v>
      </c>
      <c r="D12407" s="5"/>
      <c r="E12407" s="5"/>
      <c r="F12407" s="5"/>
      <c r="G12407" s="5"/>
      <c r="H12407" s="5"/>
      <c r="I12407" s="5"/>
      <c r="J12407" s="5"/>
      <c r="K12407" s="5"/>
      <c r="L12407" s="5"/>
      <c r="M12407" s="5"/>
      <c r="N12407" s="5"/>
      <c r="O12407" s="5"/>
      <c r="P12407" s="5"/>
      <c r="Q12407" s="5"/>
      <c r="R12407" s="5"/>
      <c r="S12407" s="5"/>
      <c r="T12407" s="5"/>
      <c r="U12407" s="5"/>
      <c r="V12407" s="5"/>
      <c r="W12407" s="5"/>
      <c r="X12407" s="5"/>
      <c r="Y12407" s="5"/>
      <c r="Z12407" s="5"/>
    </row>
    <row r="12408" spans="1:26" ht="15" x14ac:dyDescent="0.25">
      <c r="A12408" s="4" t="s">
        <v>12405</v>
      </c>
      <c r="B12408" s="4" t="s">
        <v>9011</v>
      </c>
      <c r="C12408" s="2" t="str">
        <f ca="1">IFERROR(__xludf.DUMMYFUNCTION("GOOGLETRANSLATE(A12408,""bn"",""en"")"),"Social media will be closed for everyone")</f>
        <v>Social media will be closed for everyone</v>
      </c>
      <c r="D12408" s="5"/>
      <c r="E12408" s="5"/>
      <c r="F12408" s="5"/>
      <c r="G12408" s="5"/>
      <c r="H12408" s="5"/>
      <c r="I12408" s="5"/>
      <c r="J12408" s="5"/>
      <c r="K12408" s="5"/>
      <c r="L12408" s="5"/>
      <c r="M12408" s="5"/>
      <c r="N12408" s="5"/>
      <c r="O12408" s="5"/>
      <c r="P12408" s="5"/>
      <c r="Q12408" s="5"/>
      <c r="R12408" s="5"/>
      <c r="S12408" s="5"/>
      <c r="T12408" s="5"/>
      <c r="U12408" s="5"/>
      <c r="V12408" s="5"/>
      <c r="W12408" s="5"/>
      <c r="X12408" s="5"/>
      <c r="Y12408" s="5"/>
      <c r="Z12408" s="5"/>
    </row>
    <row r="12409" spans="1:26" ht="15" x14ac:dyDescent="0.25">
      <c r="A12409" s="4" t="s">
        <v>12406</v>
      </c>
      <c r="B12409" s="4" t="s">
        <v>9011</v>
      </c>
      <c r="C12409" s="2" t="str">
        <f ca="1">IFERROR(__xludf.DUMMYFUNCTION("GOOGLETRANSLATE(A12409,""bn"",""en"")"),"He'll be looking for a gaming laptop")</f>
        <v>He'll be looking for a gaming laptop</v>
      </c>
      <c r="D12409" s="5"/>
      <c r="E12409" s="5"/>
      <c r="F12409" s="5"/>
      <c r="G12409" s="5"/>
      <c r="H12409" s="5"/>
      <c r="I12409" s="5"/>
      <c r="J12409" s="5"/>
      <c r="K12409" s="5"/>
      <c r="L12409" s="5"/>
      <c r="M12409" s="5"/>
      <c r="N12409" s="5"/>
      <c r="O12409" s="5"/>
      <c r="P12409" s="5"/>
      <c r="Q12409" s="5"/>
      <c r="R12409" s="5"/>
      <c r="S12409" s="5"/>
      <c r="T12409" s="5"/>
      <c r="U12409" s="5"/>
      <c r="V12409" s="5"/>
      <c r="W12409" s="5"/>
      <c r="X12409" s="5"/>
      <c r="Y12409" s="5"/>
      <c r="Z12409" s="5"/>
    </row>
    <row r="12410" spans="1:26" ht="15" x14ac:dyDescent="0.25">
      <c r="A12410" s="4" t="s">
        <v>12407</v>
      </c>
      <c r="B12410" s="4" t="s">
        <v>9011</v>
      </c>
      <c r="C12410" s="2" t="str">
        <f ca="1">IFERROR(__xludf.DUMMYFUNCTION("GOOGLETRANSLATE(A12410,""bn"",""en"")"),"The doctor will take full precautions")</f>
        <v>The doctor will take full precautions</v>
      </c>
      <c r="D12410" s="5"/>
      <c r="E12410" s="5"/>
      <c r="F12410" s="5"/>
      <c r="G12410" s="5"/>
      <c r="H12410" s="5"/>
      <c r="I12410" s="5"/>
      <c r="J12410" s="5"/>
      <c r="K12410" s="5"/>
      <c r="L12410" s="5"/>
      <c r="M12410" s="5"/>
      <c r="N12410" s="5"/>
      <c r="O12410" s="5"/>
      <c r="P12410" s="5"/>
      <c r="Q12410" s="5"/>
      <c r="R12410" s="5"/>
      <c r="S12410" s="5"/>
      <c r="T12410" s="5"/>
      <c r="U12410" s="5"/>
      <c r="V12410" s="5"/>
      <c r="W12410" s="5"/>
      <c r="X12410" s="5"/>
      <c r="Y12410" s="5"/>
      <c r="Z12410" s="5"/>
    </row>
    <row r="12411" spans="1:26" ht="15" x14ac:dyDescent="0.25">
      <c r="A12411" s="4" t="s">
        <v>12408</v>
      </c>
      <c r="B12411" s="4" t="s">
        <v>9011</v>
      </c>
      <c r="C12411" s="2" t="str">
        <f ca="1">IFERROR(__xludf.DUMMYFUNCTION("GOOGLETRANSLATE(A12411,""bn"",""en"")"),"Any illness will be resolved")</f>
        <v>Any illness will be resolved</v>
      </c>
      <c r="D12411" s="5"/>
      <c r="E12411" s="5"/>
      <c r="F12411" s="5"/>
      <c r="G12411" s="5"/>
      <c r="H12411" s="5"/>
      <c r="I12411" s="5"/>
      <c r="J12411" s="5"/>
      <c r="K12411" s="5"/>
      <c r="L12411" s="5"/>
      <c r="M12411" s="5"/>
      <c r="N12411" s="5"/>
      <c r="O12411" s="5"/>
      <c r="P12411" s="5"/>
      <c r="Q12411" s="5"/>
      <c r="R12411" s="5"/>
      <c r="S12411" s="5"/>
      <c r="T12411" s="5"/>
      <c r="U12411" s="5"/>
      <c r="V12411" s="5"/>
      <c r="W12411" s="5"/>
      <c r="X12411" s="5"/>
      <c r="Y12411" s="5"/>
      <c r="Z12411" s="5"/>
    </row>
    <row r="12412" spans="1:26" ht="15" x14ac:dyDescent="0.25">
      <c r="A12412" s="4" t="s">
        <v>12409</v>
      </c>
      <c r="B12412" s="4" t="s">
        <v>9011</v>
      </c>
      <c r="C12412" s="2" t="str">
        <f ca="1">IFERROR(__xludf.DUMMYFUNCTION("GOOGLETRANSLATE(A12412,""bn"",""en"")"),"They will watch super hit movies")</f>
        <v>They will watch super hit movies</v>
      </c>
      <c r="D12412" s="5"/>
      <c r="E12412" s="5"/>
      <c r="F12412" s="5"/>
      <c r="G12412" s="5"/>
      <c r="H12412" s="5"/>
      <c r="I12412" s="5"/>
      <c r="J12412" s="5"/>
      <c r="K12412" s="5"/>
      <c r="L12412" s="5"/>
      <c r="M12412" s="5"/>
      <c r="N12412" s="5"/>
      <c r="O12412" s="5"/>
      <c r="P12412" s="5"/>
      <c r="Q12412" s="5"/>
      <c r="R12412" s="5"/>
      <c r="S12412" s="5"/>
      <c r="T12412" s="5"/>
      <c r="U12412" s="5"/>
      <c r="V12412" s="5"/>
      <c r="W12412" s="5"/>
      <c r="X12412" s="5"/>
      <c r="Y12412" s="5"/>
      <c r="Z12412" s="5"/>
    </row>
    <row r="12413" spans="1:26" ht="15" x14ac:dyDescent="0.25">
      <c r="A12413" s="4" t="s">
        <v>12410</v>
      </c>
      <c r="B12413" s="4" t="s">
        <v>9011</v>
      </c>
      <c r="C12413" s="2" t="str">
        <f ca="1">IFERROR(__xludf.DUMMYFUNCTION("GOOGLETRANSLATE(A12413,""bn"",""en"")"),"Windows alone can provide it")</f>
        <v>Windows alone can provide it</v>
      </c>
      <c r="D12413" s="5"/>
      <c r="E12413" s="5"/>
      <c r="F12413" s="5"/>
      <c r="G12413" s="5"/>
      <c r="H12413" s="5"/>
      <c r="I12413" s="5"/>
      <c r="J12413" s="5"/>
      <c r="K12413" s="5"/>
      <c r="L12413" s="5"/>
      <c r="M12413" s="5"/>
      <c r="N12413" s="5"/>
      <c r="O12413" s="5"/>
      <c r="P12413" s="5"/>
      <c r="Q12413" s="5"/>
      <c r="R12413" s="5"/>
      <c r="S12413" s="5"/>
      <c r="T12413" s="5"/>
      <c r="U12413" s="5"/>
      <c r="V12413" s="5"/>
      <c r="W12413" s="5"/>
      <c r="X12413" s="5"/>
      <c r="Y12413" s="5"/>
      <c r="Z12413" s="5"/>
    </row>
    <row r="12414" spans="1:26" ht="15" x14ac:dyDescent="0.25">
      <c r="A12414" s="4" t="s">
        <v>12411</v>
      </c>
      <c r="B12414" s="4" t="s">
        <v>9011</v>
      </c>
      <c r="C12414" s="2" t="str">
        <f ca="1">IFERROR(__xludf.DUMMYFUNCTION("GOOGLETRANSLATE(A12414,""bn"",""en"")"),"Leaves will fall in winter")</f>
        <v>Leaves will fall in winter</v>
      </c>
      <c r="D12414" s="5"/>
      <c r="E12414" s="5"/>
      <c r="F12414" s="5"/>
      <c r="G12414" s="5"/>
      <c r="H12414" s="5"/>
      <c r="I12414" s="5"/>
      <c r="J12414" s="5"/>
      <c r="K12414" s="5"/>
      <c r="L12414" s="5"/>
      <c r="M12414" s="5"/>
      <c r="N12414" s="5"/>
      <c r="O12414" s="5"/>
      <c r="P12414" s="5"/>
      <c r="Q12414" s="5"/>
      <c r="R12414" s="5"/>
      <c r="S12414" s="5"/>
      <c r="T12414" s="5"/>
      <c r="U12414" s="5"/>
      <c r="V12414" s="5"/>
      <c r="W12414" s="5"/>
      <c r="X12414" s="5"/>
      <c r="Y12414" s="5"/>
      <c r="Z12414" s="5"/>
    </row>
    <row r="12415" spans="1:26" ht="15" x14ac:dyDescent="0.25">
      <c r="A12415" s="4" t="s">
        <v>12412</v>
      </c>
      <c r="B12415" s="4" t="s">
        <v>9011</v>
      </c>
      <c r="C12415" s="2" t="str">
        <f ca="1">IFERROR(__xludf.DUMMYFUNCTION("GOOGLETRANSLATE(A12415,""bn"",""en"")"),"Plantation will be a new crop")</f>
        <v>Plantation will be a new crop</v>
      </c>
      <c r="D12415" s="5"/>
      <c r="E12415" s="5"/>
      <c r="F12415" s="5"/>
      <c r="G12415" s="5"/>
      <c r="H12415" s="5"/>
      <c r="I12415" s="5"/>
      <c r="J12415" s="5"/>
      <c r="K12415" s="5"/>
      <c r="L12415" s="5"/>
      <c r="M12415" s="5"/>
      <c r="N12415" s="5"/>
      <c r="O12415" s="5"/>
      <c r="P12415" s="5"/>
      <c r="Q12415" s="5"/>
      <c r="R12415" s="5"/>
      <c r="S12415" s="5"/>
      <c r="T12415" s="5"/>
      <c r="U12415" s="5"/>
      <c r="V12415" s="5"/>
      <c r="W12415" s="5"/>
      <c r="X12415" s="5"/>
      <c r="Y12415" s="5"/>
      <c r="Z12415" s="5"/>
    </row>
    <row r="12416" spans="1:26" ht="15" x14ac:dyDescent="0.25">
      <c r="A12416" s="4" t="s">
        <v>12413</v>
      </c>
      <c r="B12416" s="4" t="s">
        <v>9011</v>
      </c>
      <c r="C12416" s="2" t="str">
        <f ca="1">IFERROR(__xludf.DUMMYFUNCTION("GOOGLETRANSLATE(A12416,""bn"",""en"")"),"The silent sea will cool")</f>
        <v>The silent sea will cool</v>
      </c>
      <c r="D12416" s="5"/>
      <c r="E12416" s="5"/>
      <c r="F12416" s="5"/>
      <c r="G12416" s="5"/>
      <c r="H12416" s="5"/>
      <c r="I12416" s="5"/>
      <c r="J12416" s="5"/>
      <c r="K12416" s="5"/>
      <c r="L12416" s="5"/>
      <c r="M12416" s="5"/>
      <c r="N12416" s="5"/>
      <c r="O12416" s="5"/>
      <c r="P12416" s="5"/>
      <c r="Q12416" s="5"/>
      <c r="R12416" s="5"/>
      <c r="S12416" s="5"/>
      <c r="T12416" s="5"/>
      <c r="U12416" s="5"/>
      <c r="V12416" s="5"/>
      <c r="W12416" s="5"/>
      <c r="X12416" s="5"/>
      <c r="Y12416" s="5"/>
      <c r="Z12416" s="5"/>
    </row>
    <row r="12417" spans="1:26" ht="15" x14ac:dyDescent="0.25">
      <c r="A12417" s="4" t="s">
        <v>12414</v>
      </c>
      <c r="B12417" s="4" t="s">
        <v>9011</v>
      </c>
      <c r="C12417" s="2" t="str">
        <f ca="1">IFERROR(__xludf.DUMMYFUNCTION("GOOGLETRANSLATE(A12417,""bn"",""en"")"),"We will produce new")</f>
        <v>We will produce new</v>
      </c>
      <c r="D12417" s="5"/>
      <c r="E12417" s="5"/>
      <c r="F12417" s="5"/>
      <c r="G12417" s="5"/>
      <c r="H12417" s="5"/>
      <c r="I12417" s="5"/>
      <c r="J12417" s="5"/>
      <c r="K12417" s="5"/>
      <c r="L12417" s="5"/>
      <c r="M12417" s="5"/>
      <c r="N12417" s="5"/>
      <c r="O12417" s="5"/>
      <c r="P12417" s="5"/>
      <c r="Q12417" s="5"/>
      <c r="R12417" s="5"/>
      <c r="S12417" s="5"/>
      <c r="T12417" s="5"/>
      <c r="U12417" s="5"/>
      <c r="V12417" s="5"/>
      <c r="W12417" s="5"/>
      <c r="X12417" s="5"/>
      <c r="Y12417" s="5"/>
      <c r="Z12417" s="5"/>
    </row>
    <row r="12418" spans="1:26" ht="15" x14ac:dyDescent="0.25">
      <c r="A12418" s="4" t="s">
        <v>12415</v>
      </c>
      <c r="B12418" s="4" t="s">
        <v>9011</v>
      </c>
      <c r="C12418" s="2" t="str">
        <f ca="1">IFERROR(__xludf.DUMMYFUNCTION("GOOGLETRANSLATE(A12418,""bn"",""en"")"),"We will give time to new production")</f>
        <v>We will give time to new production</v>
      </c>
      <c r="D12418" s="5"/>
      <c r="E12418" s="5"/>
      <c r="F12418" s="5"/>
      <c r="G12418" s="5"/>
      <c r="H12418" s="5"/>
      <c r="I12418" s="5"/>
      <c r="J12418" s="5"/>
      <c r="K12418" s="5"/>
      <c r="L12418" s="5"/>
      <c r="M12418" s="5"/>
      <c r="N12418" s="5"/>
      <c r="O12418" s="5"/>
      <c r="P12418" s="5"/>
      <c r="Q12418" s="5"/>
      <c r="R12418" s="5"/>
      <c r="S12418" s="5"/>
      <c r="T12418" s="5"/>
      <c r="U12418" s="5"/>
      <c r="V12418" s="5"/>
      <c r="W12418" s="5"/>
      <c r="X12418" s="5"/>
      <c r="Y12418" s="5"/>
      <c r="Z12418" s="5"/>
    </row>
    <row r="12419" spans="1:26" ht="15" x14ac:dyDescent="0.25">
      <c r="A12419" s="4" t="s">
        <v>12416</v>
      </c>
      <c r="B12419" s="4" t="s">
        <v>9011</v>
      </c>
      <c r="C12419" s="2" t="str">
        <f ca="1">IFERROR(__xludf.DUMMYFUNCTION("GOOGLETRANSLATE(A12419,""bn"",""en"")"),"You will watch the athletics championship")</f>
        <v>You will watch the athletics championship</v>
      </c>
      <c r="D12419" s="5"/>
      <c r="E12419" s="5"/>
      <c r="F12419" s="5"/>
      <c r="G12419" s="5"/>
      <c r="H12419" s="5"/>
      <c r="I12419" s="5"/>
      <c r="J12419" s="5"/>
      <c r="K12419" s="5"/>
      <c r="L12419" s="5"/>
      <c r="M12419" s="5"/>
      <c r="N12419" s="5"/>
      <c r="O12419" s="5"/>
      <c r="P12419" s="5"/>
      <c r="Q12419" s="5"/>
      <c r="R12419" s="5"/>
      <c r="S12419" s="5"/>
      <c r="T12419" s="5"/>
      <c r="U12419" s="5"/>
      <c r="V12419" s="5"/>
      <c r="W12419" s="5"/>
      <c r="X12419" s="5"/>
      <c r="Y12419" s="5"/>
      <c r="Z12419" s="5"/>
    </row>
    <row r="12420" spans="1:26" ht="15" x14ac:dyDescent="0.25">
      <c r="A12420" s="4" t="s">
        <v>12417</v>
      </c>
      <c r="B12420" s="4" t="s">
        <v>9011</v>
      </c>
      <c r="C12420" s="2" t="str">
        <f ca="1">IFERROR(__xludf.DUMMYFUNCTION("GOOGLETRANSLATE(A12420,""bn"",""en"")"),"I will study for a month")</f>
        <v>I will study for a month</v>
      </c>
      <c r="D12420" s="5"/>
      <c r="E12420" s="5"/>
      <c r="F12420" s="5"/>
      <c r="G12420" s="5"/>
      <c r="H12420" s="5"/>
      <c r="I12420" s="5"/>
      <c r="J12420" s="5"/>
      <c r="K12420" s="5"/>
      <c r="L12420" s="5"/>
      <c r="M12420" s="5"/>
      <c r="N12420" s="5"/>
      <c r="O12420" s="5"/>
      <c r="P12420" s="5"/>
      <c r="Q12420" s="5"/>
      <c r="R12420" s="5"/>
      <c r="S12420" s="5"/>
      <c r="T12420" s="5"/>
      <c r="U12420" s="5"/>
      <c r="V12420" s="5"/>
      <c r="W12420" s="5"/>
      <c r="X12420" s="5"/>
      <c r="Y12420" s="5"/>
      <c r="Z12420" s="5"/>
    </row>
    <row r="12421" spans="1:26" ht="15" x14ac:dyDescent="0.25">
      <c r="A12421" s="4" t="s">
        <v>12418</v>
      </c>
      <c r="B12421" s="4" t="s">
        <v>9011</v>
      </c>
      <c r="C12421" s="2" t="str">
        <f ca="1">IFERROR(__xludf.DUMMYFUNCTION("GOOGLETRANSLATE(A12421,""bn"",""en"")"),"I will buy tickets on Railseva app")</f>
        <v>I will buy tickets on Railseva app</v>
      </c>
      <c r="D12421" s="5"/>
      <c r="E12421" s="5"/>
      <c r="F12421" s="5"/>
      <c r="G12421" s="5"/>
      <c r="H12421" s="5"/>
      <c r="I12421" s="5"/>
      <c r="J12421" s="5"/>
      <c r="K12421" s="5"/>
      <c r="L12421" s="5"/>
      <c r="M12421" s="5"/>
      <c r="N12421" s="5"/>
      <c r="O12421" s="5"/>
      <c r="P12421" s="5"/>
      <c r="Q12421" s="5"/>
      <c r="R12421" s="5"/>
      <c r="S12421" s="5"/>
      <c r="T12421" s="5"/>
      <c r="U12421" s="5"/>
      <c r="V12421" s="5"/>
      <c r="W12421" s="5"/>
      <c r="X12421" s="5"/>
      <c r="Y12421" s="5"/>
      <c r="Z12421" s="5"/>
    </row>
    <row r="12422" spans="1:26" ht="15" x14ac:dyDescent="0.25">
      <c r="A12422" s="4" t="s">
        <v>12419</v>
      </c>
      <c r="B12422" s="4" t="s">
        <v>9011</v>
      </c>
      <c r="C12422" s="2" t="str">
        <f ca="1">IFERROR(__xludf.DUMMYFUNCTION("GOOGLETRANSLATE(A12422,""bn"",""en"")"),"The number of troops will increase")</f>
        <v>The number of troops will increase</v>
      </c>
      <c r="D12422" s="5"/>
      <c r="E12422" s="5"/>
      <c r="F12422" s="5"/>
      <c r="G12422" s="5"/>
      <c r="H12422" s="5"/>
      <c r="I12422" s="5"/>
      <c r="J12422" s="5"/>
      <c r="K12422" s="5"/>
      <c r="L12422" s="5"/>
      <c r="M12422" s="5"/>
      <c r="N12422" s="5"/>
      <c r="O12422" s="5"/>
      <c r="P12422" s="5"/>
      <c r="Q12422" s="5"/>
      <c r="R12422" s="5"/>
      <c r="S12422" s="5"/>
      <c r="T12422" s="5"/>
      <c r="U12422" s="5"/>
      <c r="V12422" s="5"/>
      <c r="W12422" s="5"/>
      <c r="X12422" s="5"/>
      <c r="Y12422" s="5"/>
      <c r="Z12422" s="5"/>
    </row>
    <row r="12423" spans="1:26" ht="15" x14ac:dyDescent="0.25">
      <c r="A12423" s="4" t="s">
        <v>12420</v>
      </c>
      <c r="B12423" s="4" t="s">
        <v>9011</v>
      </c>
      <c r="C12423" s="2" t="str">
        <f ca="1">IFERROR(__xludf.DUMMYFUNCTION("GOOGLETRANSLATE(A12423,""bn"",""en"")"),"Will see the advanced market poster")</f>
        <v>Will see the advanced market poster</v>
      </c>
      <c r="D12423" s="5"/>
      <c r="E12423" s="5"/>
      <c r="F12423" s="5"/>
      <c r="G12423" s="5"/>
      <c r="H12423" s="5"/>
      <c r="I12423" s="5"/>
      <c r="J12423" s="5"/>
      <c r="K12423" s="5"/>
      <c r="L12423" s="5"/>
      <c r="M12423" s="5"/>
      <c r="N12423" s="5"/>
      <c r="O12423" s="5"/>
      <c r="P12423" s="5"/>
      <c r="Q12423" s="5"/>
      <c r="R12423" s="5"/>
      <c r="S12423" s="5"/>
      <c r="T12423" s="5"/>
      <c r="U12423" s="5"/>
      <c r="V12423" s="5"/>
      <c r="W12423" s="5"/>
      <c r="X12423" s="5"/>
      <c r="Y12423" s="5"/>
      <c r="Z12423" s="5"/>
    </row>
    <row r="12424" spans="1:26" ht="15" x14ac:dyDescent="0.25">
      <c r="A12424" s="4" t="s">
        <v>12421</v>
      </c>
      <c r="B12424" s="4" t="s">
        <v>9011</v>
      </c>
      <c r="C12424" s="2" t="str">
        <f ca="1">IFERROR(__xludf.DUMMYFUNCTION("GOOGLETRANSLATE(A12424,""bn"",""en"")"),"Machine learning will be discussed")</f>
        <v>Machine learning will be discussed</v>
      </c>
      <c r="D12424" s="5"/>
      <c r="E12424" s="5"/>
      <c r="F12424" s="5"/>
      <c r="G12424" s="5"/>
      <c r="H12424" s="5"/>
      <c r="I12424" s="5"/>
      <c r="J12424" s="5"/>
      <c r="K12424" s="5"/>
      <c r="L12424" s="5"/>
      <c r="M12424" s="5"/>
      <c r="N12424" s="5"/>
      <c r="O12424" s="5"/>
      <c r="P12424" s="5"/>
      <c r="Q12424" s="5"/>
      <c r="R12424" s="5"/>
      <c r="S12424" s="5"/>
      <c r="T12424" s="5"/>
      <c r="U12424" s="5"/>
      <c r="V12424" s="5"/>
      <c r="W12424" s="5"/>
      <c r="X12424" s="5"/>
      <c r="Y12424" s="5"/>
      <c r="Z12424" s="5"/>
    </row>
    <row r="12425" spans="1:26" ht="15" x14ac:dyDescent="0.25">
      <c r="A12425" s="4" t="s">
        <v>12422</v>
      </c>
      <c r="B12425" s="4" t="s">
        <v>9011</v>
      </c>
      <c r="C12425" s="2" t="str">
        <f ca="1">IFERROR(__xludf.DUMMYFUNCTION("GOOGLETRANSLATE(A12425,""bn"",""en"")"),"Their economy will grow")</f>
        <v>Their economy will grow</v>
      </c>
      <c r="D12425" s="5"/>
      <c r="E12425" s="5"/>
      <c r="F12425" s="5"/>
      <c r="G12425" s="5"/>
      <c r="H12425" s="5"/>
      <c r="I12425" s="5"/>
      <c r="J12425" s="5"/>
      <c r="K12425" s="5"/>
      <c r="L12425" s="5"/>
      <c r="M12425" s="5"/>
      <c r="N12425" s="5"/>
      <c r="O12425" s="5"/>
      <c r="P12425" s="5"/>
      <c r="Q12425" s="5"/>
      <c r="R12425" s="5"/>
      <c r="S12425" s="5"/>
      <c r="T12425" s="5"/>
      <c r="U12425" s="5"/>
      <c r="V12425" s="5"/>
      <c r="W12425" s="5"/>
      <c r="X12425" s="5"/>
      <c r="Y12425" s="5"/>
      <c r="Z12425" s="5"/>
    </row>
    <row r="12426" spans="1:26" ht="15" x14ac:dyDescent="0.25">
      <c r="A12426" s="4" t="s">
        <v>12423</v>
      </c>
      <c r="B12426" s="4" t="s">
        <v>9011</v>
      </c>
      <c r="C12426" s="2" t="str">
        <f ca="1">IFERROR(__xludf.DUMMYFUNCTION("GOOGLETRANSLATE(A12426,""bn"",""en"")"),"I will look for poetry books at the book fair")</f>
        <v>I will look for poetry books at the book fair</v>
      </c>
      <c r="D12426" s="5"/>
      <c r="E12426" s="5"/>
      <c r="F12426" s="5"/>
      <c r="G12426" s="5"/>
      <c r="H12426" s="5"/>
      <c r="I12426" s="5"/>
      <c r="J12426" s="5"/>
      <c r="K12426" s="5"/>
      <c r="L12426" s="5"/>
      <c r="M12426" s="5"/>
      <c r="N12426" s="5"/>
      <c r="O12426" s="5"/>
      <c r="P12426" s="5"/>
      <c r="Q12426" s="5"/>
      <c r="R12426" s="5"/>
      <c r="S12426" s="5"/>
      <c r="T12426" s="5"/>
      <c r="U12426" s="5"/>
      <c r="V12426" s="5"/>
      <c r="W12426" s="5"/>
      <c r="X12426" s="5"/>
      <c r="Y12426" s="5"/>
      <c r="Z12426" s="5"/>
    </row>
    <row r="12427" spans="1:26" ht="15" x14ac:dyDescent="0.25">
      <c r="A12427" s="4" t="s">
        <v>12424</v>
      </c>
      <c r="B12427" s="4" t="s">
        <v>9011</v>
      </c>
      <c r="C12427" s="2" t="str">
        <f ca="1">IFERROR(__xludf.DUMMYFUNCTION("GOOGLETRANSLATE(A12427,""bn"",""en"")"),"Programming courses will be taught")</f>
        <v>Programming courses will be taught</v>
      </c>
      <c r="D12427" s="5"/>
      <c r="E12427" s="5"/>
      <c r="F12427" s="5"/>
      <c r="G12427" s="5"/>
      <c r="H12427" s="5"/>
      <c r="I12427" s="5"/>
      <c r="J12427" s="5"/>
      <c r="K12427" s="5"/>
      <c r="L12427" s="5"/>
      <c r="M12427" s="5"/>
      <c r="N12427" s="5"/>
      <c r="O12427" s="5"/>
      <c r="P12427" s="5"/>
      <c r="Q12427" s="5"/>
      <c r="R12427" s="5"/>
      <c r="S12427" s="5"/>
      <c r="T12427" s="5"/>
      <c r="U12427" s="5"/>
      <c r="V12427" s="5"/>
      <c r="W12427" s="5"/>
      <c r="X12427" s="5"/>
      <c r="Y12427" s="5"/>
      <c r="Z12427" s="5"/>
    </row>
    <row r="12428" spans="1:26" ht="15" x14ac:dyDescent="0.25">
      <c r="A12428" s="4" t="s">
        <v>12425</v>
      </c>
      <c r="B12428" s="4" t="s">
        <v>9011</v>
      </c>
      <c r="C12428" s="2" t="str">
        <f ca="1">IFERROR(__xludf.DUMMYFUNCTION("GOOGLETRANSLATE(A12428,""bn"",""en"")"),"There will be snowfall in winter")</f>
        <v>There will be snowfall in winter</v>
      </c>
      <c r="D12428" s="5"/>
      <c r="E12428" s="5"/>
      <c r="F12428" s="5"/>
      <c r="G12428" s="5"/>
      <c r="H12428" s="5"/>
      <c r="I12428" s="5"/>
      <c r="J12428" s="5"/>
      <c r="K12428" s="5"/>
      <c r="L12428" s="5"/>
      <c r="M12428" s="5"/>
      <c r="N12428" s="5"/>
      <c r="O12428" s="5"/>
      <c r="P12428" s="5"/>
      <c r="Q12428" s="5"/>
      <c r="R12428" s="5"/>
      <c r="S12428" s="5"/>
      <c r="T12428" s="5"/>
      <c r="U12428" s="5"/>
      <c r="V12428" s="5"/>
      <c r="W12428" s="5"/>
      <c r="X12428" s="5"/>
      <c r="Y12428" s="5"/>
      <c r="Z12428" s="5"/>
    </row>
    <row r="12429" spans="1:26" ht="15" x14ac:dyDescent="0.25">
      <c r="A12429" s="4" t="s">
        <v>12426</v>
      </c>
      <c r="B12429" s="4" t="s">
        <v>9011</v>
      </c>
      <c r="C12429" s="2" t="str">
        <f ca="1">IFERROR(__xludf.DUMMYFUNCTION("GOOGLETRANSLATE(A12429,""bn"",""en"")"),"Insects will help farmers")</f>
        <v>Insects will help farmers</v>
      </c>
      <c r="D12429" s="5"/>
      <c r="E12429" s="5"/>
      <c r="F12429" s="5"/>
      <c r="G12429" s="5"/>
      <c r="H12429" s="5"/>
      <c r="I12429" s="5"/>
      <c r="J12429" s="5"/>
      <c r="K12429" s="5"/>
      <c r="L12429" s="5"/>
      <c r="M12429" s="5"/>
      <c r="N12429" s="5"/>
      <c r="O12429" s="5"/>
      <c r="P12429" s="5"/>
      <c r="Q12429" s="5"/>
      <c r="R12429" s="5"/>
      <c r="S12429" s="5"/>
      <c r="T12429" s="5"/>
      <c r="U12429" s="5"/>
      <c r="V12429" s="5"/>
      <c r="W12429" s="5"/>
      <c r="X12429" s="5"/>
      <c r="Y12429" s="5"/>
      <c r="Z12429" s="5"/>
    </row>
    <row r="12430" spans="1:26" ht="15" x14ac:dyDescent="0.25">
      <c r="A12430" s="4" t="s">
        <v>12427</v>
      </c>
      <c r="B12430" s="4" t="s">
        <v>9011</v>
      </c>
      <c r="C12430" s="2" t="str">
        <f ca="1">IFERROR(__xludf.DUMMYFUNCTION("GOOGLETRANSLATE(A12430,""bn"",""en"")"),"Education will be authorized quickly")</f>
        <v>Education will be authorized quickly</v>
      </c>
      <c r="D12430" s="5"/>
      <c r="E12430" s="5"/>
      <c r="F12430" s="5"/>
      <c r="G12430" s="5"/>
      <c r="H12430" s="5"/>
      <c r="I12430" s="5"/>
      <c r="J12430" s="5"/>
      <c r="K12430" s="5"/>
      <c r="L12430" s="5"/>
      <c r="M12430" s="5"/>
      <c r="N12430" s="5"/>
      <c r="O12430" s="5"/>
      <c r="P12430" s="5"/>
      <c r="Q12430" s="5"/>
      <c r="R12430" s="5"/>
      <c r="S12430" s="5"/>
      <c r="T12430" s="5"/>
      <c r="U12430" s="5"/>
      <c r="V12430" s="5"/>
      <c r="W12430" s="5"/>
      <c r="X12430" s="5"/>
      <c r="Y12430" s="5"/>
      <c r="Z12430" s="5"/>
    </row>
    <row r="12431" spans="1:26" ht="15" x14ac:dyDescent="0.25">
      <c r="A12431" s="4" t="s">
        <v>12428</v>
      </c>
      <c r="B12431" s="4" t="s">
        <v>9011</v>
      </c>
      <c r="C12431" s="2" t="str">
        <f ca="1">IFERROR(__xludf.DUMMYFUNCTION("GOOGLETRANSLATE(A12431,""bn"",""en"")"),"I will continue with the economy project")</f>
        <v>I will continue with the economy project</v>
      </c>
      <c r="D12431" s="5"/>
      <c r="E12431" s="5"/>
      <c r="F12431" s="5"/>
      <c r="G12431" s="5"/>
      <c r="H12431" s="5"/>
      <c r="I12431" s="5"/>
      <c r="J12431" s="5"/>
      <c r="K12431" s="5"/>
      <c r="L12431" s="5"/>
      <c r="M12431" s="5"/>
      <c r="N12431" s="5"/>
      <c r="O12431" s="5"/>
      <c r="P12431" s="5"/>
      <c r="Q12431" s="5"/>
      <c r="R12431" s="5"/>
      <c r="S12431" s="5"/>
      <c r="T12431" s="5"/>
      <c r="U12431" s="5"/>
      <c r="V12431" s="5"/>
      <c r="W12431" s="5"/>
      <c r="X12431" s="5"/>
      <c r="Y12431" s="5"/>
      <c r="Z12431" s="5"/>
    </row>
    <row r="12432" spans="1:26" ht="15" x14ac:dyDescent="0.25">
      <c r="A12432" s="4" t="s">
        <v>12429</v>
      </c>
      <c r="B12432" s="4" t="s">
        <v>9011</v>
      </c>
      <c r="C12432" s="2" t="str">
        <f ca="1">IFERROR(__xludf.DUMMYFUNCTION("GOOGLETRANSLATE(A12432,""bn"",""en"")"),"I will travel to new countries")</f>
        <v>I will travel to new countries</v>
      </c>
      <c r="D12432" s="5"/>
      <c r="E12432" s="5"/>
      <c r="F12432" s="5"/>
      <c r="G12432" s="5"/>
      <c r="H12432" s="5"/>
      <c r="I12432" s="5"/>
      <c r="J12432" s="5"/>
      <c r="K12432" s="5"/>
      <c r="L12432" s="5"/>
      <c r="M12432" s="5"/>
      <c r="N12432" s="5"/>
      <c r="O12432" s="5"/>
      <c r="P12432" s="5"/>
      <c r="Q12432" s="5"/>
      <c r="R12432" s="5"/>
      <c r="S12432" s="5"/>
      <c r="T12432" s="5"/>
      <c r="U12432" s="5"/>
      <c r="V12432" s="5"/>
      <c r="W12432" s="5"/>
      <c r="X12432" s="5"/>
      <c r="Y12432" s="5"/>
      <c r="Z12432" s="5"/>
    </row>
    <row r="12433" spans="1:26" ht="15" x14ac:dyDescent="0.25">
      <c r="A12433" s="4" t="s">
        <v>12430</v>
      </c>
      <c r="B12433" s="4" t="s">
        <v>9011</v>
      </c>
      <c r="C12433" s="2" t="str">
        <f ca="1">IFERROR(__xludf.DUMMYFUNCTION("GOOGLETRANSLATE(A12433,""bn"",""en"")"),"I will develop mobile app")</f>
        <v>I will develop mobile app</v>
      </c>
      <c r="D12433" s="5"/>
      <c r="E12433" s="5"/>
      <c r="F12433" s="5"/>
      <c r="G12433" s="5"/>
      <c r="H12433" s="5"/>
      <c r="I12433" s="5"/>
      <c r="J12433" s="5"/>
      <c r="K12433" s="5"/>
      <c r="L12433" s="5"/>
      <c r="M12433" s="5"/>
      <c r="N12433" s="5"/>
      <c r="O12433" s="5"/>
      <c r="P12433" s="5"/>
      <c r="Q12433" s="5"/>
      <c r="R12433" s="5"/>
      <c r="S12433" s="5"/>
      <c r="T12433" s="5"/>
      <c r="U12433" s="5"/>
      <c r="V12433" s="5"/>
      <c r="W12433" s="5"/>
      <c r="X12433" s="5"/>
      <c r="Y12433" s="5"/>
      <c r="Z12433" s="5"/>
    </row>
    <row r="12434" spans="1:26" ht="15" x14ac:dyDescent="0.25">
      <c r="A12434" s="4" t="s">
        <v>12431</v>
      </c>
      <c r="B12434" s="4" t="s">
        <v>9011</v>
      </c>
      <c r="C12434" s="2" t="str">
        <f ca="1">IFERROR(__xludf.DUMMYFUNCTION("GOOGLETRANSLATE(A12434,""bn"",""en"")"),"Movie ticket prices will increase")</f>
        <v>Movie ticket prices will increase</v>
      </c>
      <c r="D12434" s="5"/>
      <c r="E12434" s="5"/>
      <c r="F12434" s="5"/>
      <c r="G12434" s="5"/>
      <c r="H12434" s="5"/>
      <c r="I12434" s="5"/>
      <c r="J12434" s="5"/>
      <c r="K12434" s="5"/>
      <c r="L12434" s="5"/>
      <c r="M12434" s="5"/>
      <c r="N12434" s="5"/>
      <c r="O12434" s="5"/>
      <c r="P12434" s="5"/>
      <c r="Q12434" s="5"/>
      <c r="R12434" s="5"/>
      <c r="S12434" s="5"/>
      <c r="T12434" s="5"/>
      <c r="U12434" s="5"/>
      <c r="V12434" s="5"/>
      <c r="W12434" s="5"/>
      <c r="X12434" s="5"/>
      <c r="Y12434" s="5"/>
      <c r="Z12434" s="5"/>
    </row>
    <row r="12435" spans="1:26" ht="15" x14ac:dyDescent="0.25">
      <c r="A12435" s="4" t="s">
        <v>12432</v>
      </c>
      <c r="B12435" s="4" t="s">
        <v>9011</v>
      </c>
      <c r="C12435" s="2" t="str">
        <f ca="1">IFERROR(__xludf.DUMMYFUNCTION("GOOGLETRANSLATE(A12435,""bn"",""en"")"),"I will have a library of books")</f>
        <v>I will have a library of books</v>
      </c>
      <c r="D12435" s="5"/>
      <c r="E12435" s="5"/>
      <c r="F12435" s="5"/>
      <c r="G12435" s="5"/>
      <c r="H12435" s="5"/>
      <c r="I12435" s="5"/>
      <c r="J12435" s="5"/>
      <c r="K12435" s="5"/>
      <c r="L12435" s="5"/>
      <c r="M12435" s="5"/>
      <c r="N12435" s="5"/>
      <c r="O12435" s="5"/>
      <c r="P12435" s="5"/>
      <c r="Q12435" s="5"/>
      <c r="R12435" s="5"/>
      <c r="S12435" s="5"/>
      <c r="T12435" s="5"/>
      <c r="U12435" s="5"/>
      <c r="V12435" s="5"/>
      <c r="W12435" s="5"/>
      <c r="X12435" s="5"/>
      <c r="Y12435" s="5"/>
      <c r="Z12435" s="5"/>
    </row>
    <row r="12436" spans="1:26" ht="15" x14ac:dyDescent="0.25">
      <c r="A12436" s="4" t="s">
        <v>12433</v>
      </c>
      <c r="B12436" s="4" t="s">
        <v>9011</v>
      </c>
      <c r="C12436" s="2" t="str">
        <f ca="1">IFERROR(__xludf.DUMMYFUNCTION("GOOGLETRANSLATE(A12436,""bn"",""en"")"),"Robots will teach in the future")</f>
        <v>Robots will teach in the future</v>
      </c>
      <c r="D12436" s="5"/>
      <c r="E12436" s="5"/>
      <c r="F12436" s="5"/>
      <c r="G12436" s="5"/>
      <c r="H12436" s="5"/>
      <c r="I12436" s="5"/>
      <c r="J12436" s="5"/>
      <c r="K12436" s="5"/>
      <c r="L12436" s="5"/>
      <c r="M12436" s="5"/>
      <c r="N12436" s="5"/>
      <c r="O12436" s="5"/>
      <c r="P12436" s="5"/>
      <c r="Q12436" s="5"/>
      <c r="R12436" s="5"/>
      <c r="S12436" s="5"/>
      <c r="T12436" s="5"/>
      <c r="U12436" s="5"/>
      <c r="V12436" s="5"/>
      <c r="W12436" s="5"/>
      <c r="X12436" s="5"/>
      <c r="Y12436" s="5"/>
      <c r="Z12436" s="5"/>
    </row>
    <row r="12437" spans="1:26" ht="15" x14ac:dyDescent="0.25">
      <c r="A12437" s="4" t="s">
        <v>12434</v>
      </c>
      <c r="B12437" s="4" t="s">
        <v>9011</v>
      </c>
      <c r="C12437" s="2" t="str">
        <f ca="1">IFERROR(__xludf.DUMMYFUNCTION("GOOGLETRANSLATE(A12437,""bn"",""en"")"),"Everyone will have to teach robotics in the future")</f>
        <v>Everyone will have to teach robotics in the future</v>
      </c>
      <c r="D12437" s="5"/>
      <c r="E12437" s="5"/>
      <c r="F12437" s="5"/>
      <c r="G12437" s="5"/>
      <c r="H12437" s="5"/>
      <c r="I12437" s="5"/>
      <c r="J12437" s="5"/>
      <c r="K12437" s="5"/>
      <c r="L12437" s="5"/>
      <c r="M12437" s="5"/>
      <c r="N12437" s="5"/>
      <c r="O12437" s="5"/>
      <c r="P12437" s="5"/>
      <c r="Q12437" s="5"/>
      <c r="R12437" s="5"/>
      <c r="S12437" s="5"/>
      <c r="T12437" s="5"/>
      <c r="U12437" s="5"/>
      <c r="V12437" s="5"/>
      <c r="W12437" s="5"/>
      <c r="X12437" s="5"/>
      <c r="Y12437" s="5"/>
      <c r="Z12437" s="5"/>
    </row>
    <row r="12438" spans="1:26" ht="15" x14ac:dyDescent="0.25">
      <c r="A12438" s="4" t="s">
        <v>12435</v>
      </c>
      <c r="B12438" s="4" t="s">
        <v>9011</v>
      </c>
      <c r="C12438" s="2" t="str">
        <f ca="1">IFERROR(__xludf.DUMMYFUNCTION("GOOGLETRANSLATE(A12438,""bn"",""en"")"),"He will learn technology quickly")</f>
        <v>He will learn technology quickly</v>
      </c>
      <c r="D12438" s="5"/>
      <c r="E12438" s="5"/>
      <c r="F12438" s="5"/>
      <c r="G12438" s="5"/>
      <c r="H12438" s="5"/>
      <c r="I12438" s="5"/>
      <c r="J12438" s="5"/>
      <c r="K12438" s="5"/>
      <c r="L12438" s="5"/>
      <c r="M12438" s="5"/>
      <c r="N12438" s="5"/>
      <c r="O12438" s="5"/>
      <c r="P12438" s="5"/>
      <c r="Q12438" s="5"/>
      <c r="R12438" s="5"/>
      <c r="S12438" s="5"/>
      <c r="T12438" s="5"/>
      <c r="U12438" s="5"/>
      <c r="V12438" s="5"/>
      <c r="W12438" s="5"/>
      <c r="X12438" s="5"/>
      <c r="Y12438" s="5"/>
      <c r="Z12438" s="5"/>
    </row>
    <row r="12439" spans="1:26" ht="15" x14ac:dyDescent="0.25">
      <c r="A12439" s="4" t="s">
        <v>12436</v>
      </c>
      <c r="B12439" s="4" t="s">
        <v>9011</v>
      </c>
      <c r="C12439" s="2" t="str">
        <f ca="1">IFERROR(__xludf.DUMMYFUNCTION("GOOGLETRANSLATE(A12439,""bn"",""en"")"),"The situation will be identified soon")</f>
        <v>The situation will be identified soon</v>
      </c>
      <c r="D12439" s="5"/>
      <c r="E12439" s="5"/>
      <c r="F12439" s="5"/>
      <c r="G12439" s="5"/>
      <c r="H12439" s="5"/>
      <c r="I12439" s="5"/>
      <c r="J12439" s="5"/>
      <c r="K12439" s="5"/>
      <c r="L12439" s="5"/>
      <c r="M12439" s="5"/>
      <c r="N12439" s="5"/>
      <c r="O12439" s="5"/>
      <c r="P12439" s="5"/>
      <c r="Q12439" s="5"/>
      <c r="R12439" s="5"/>
      <c r="S12439" s="5"/>
      <c r="T12439" s="5"/>
      <c r="U12439" s="5"/>
      <c r="V12439" s="5"/>
      <c r="W12439" s="5"/>
      <c r="X12439" s="5"/>
      <c r="Y12439" s="5"/>
      <c r="Z12439" s="5"/>
    </row>
    <row r="12440" spans="1:26" ht="15" x14ac:dyDescent="0.25">
      <c r="A12440" s="4" t="s">
        <v>12437</v>
      </c>
      <c r="B12440" s="4" t="s">
        <v>9011</v>
      </c>
      <c r="C12440" s="2" t="str">
        <f ca="1">IFERROR(__xludf.DUMMYFUNCTION("GOOGLETRANSLATE(A12440,""bn"",""en"")"),"Programming will increase thinking power")</f>
        <v>Programming will increase thinking power</v>
      </c>
      <c r="D12440" s="5"/>
      <c r="E12440" s="5"/>
      <c r="F12440" s="5"/>
      <c r="G12440" s="5"/>
      <c r="H12440" s="5"/>
      <c r="I12440" s="5"/>
      <c r="J12440" s="5"/>
      <c r="K12440" s="5"/>
      <c r="L12440" s="5"/>
      <c r="M12440" s="5"/>
      <c r="N12440" s="5"/>
      <c r="O12440" s="5"/>
      <c r="P12440" s="5"/>
      <c r="Q12440" s="5"/>
      <c r="R12440" s="5"/>
      <c r="S12440" s="5"/>
      <c r="T12440" s="5"/>
      <c r="U12440" s="5"/>
      <c r="V12440" s="5"/>
      <c r="W12440" s="5"/>
      <c r="X12440" s="5"/>
      <c r="Y12440" s="5"/>
      <c r="Z12440" s="5"/>
    </row>
    <row r="12441" spans="1:26" ht="15" x14ac:dyDescent="0.25">
      <c r="A12441" s="4" t="s">
        <v>12438</v>
      </c>
      <c r="B12441" s="4" t="s">
        <v>9011</v>
      </c>
      <c r="C12441" s="2" t="str">
        <f ca="1">IFERROR(__xludf.DUMMYFUNCTION("GOOGLETRANSLATE(A12441,""bn"",""en"")"),"Crop helpers will be needed")</f>
        <v>Crop helpers will be needed</v>
      </c>
      <c r="D12441" s="5"/>
      <c r="E12441" s="5"/>
      <c r="F12441" s="5"/>
      <c r="G12441" s="5"/>
      <c r="H12441" s="5"/>
      <c r="I12441" s="5"/>
      <c r="J12441" s="5"/>
      <c r="K12441" s="5"/>
      <c r="L12441" s="5"/>
      <c r="M12441" s="5"/>
      <c r="N12441" s="5"/>
      <c r="O12441" s="5"/>
      <c r="P12441" s="5"/>
      <c r="Q12441" s="5"/>
      <c r="R12441" s="5"/>
      <c r="S12441" s="5"/>
      <c r="T12441" s="5"/>
      <c r="U12441" s="5"/>
      <c r="V12441" s="5"/>
      <c r="W12441" s="5"/>
      <c r="X12441" s="5"/>
      <c r="Y12441" s="5"/>
      <c r="Z12441" s="5"/>
    </row>
    <row r="12442" spans="1:26" ht="15" x14ac:dyDescent="0.25">
      <c r="A12442" s="4" t="s">
        <v>12439</v>
      </c>
      <c r="B12442" s="4" t="s">
        <v>9011</v>
      </c>
      <c r="C12442" s="2" t="str">
        <f ca="1">IFERROR(__xludf.DUMMYFUNCTION("GOOGLETRANSLATE(A12442,""bn"",""en"")"),"You will design holographic")</f>
        <v>You will design holographic</v>
      </c>
      <c r="D12442" s="5"/>
      <c r="E12442" s="5"/>
      <c r="F12442" s="5"/>
      <c r="G12442" s="5"/>
      <c r="H12442" s="5"/>
      <c r="I12442" s="5"/>
      <c r="J12442" s="5"/>
      <c r="K12442" s="5"/>
      <c r="L12442" s="5"/>
      <c r="M12442" s="5"/>
      <c r="N12442" s="5"/>
      <c r="O12442" s="5"/>
      <c r="P12442" s="5"/>
      <c r="Q12442" s="5"/>
      <c r="R12442" s="5"/>
      <c r="S12442" s="5"/>
      <c r="T12442" s="5"/>
      <c r="U12442" s="5"/>
      <c r="V12442" s="5"/>
      <c r="W12442" s="5"/>
      <c r="X12442" s="5"/>
      <c r="Y12442" s="5"/>
      <c r="Z12442" s="5"/>
    </row>
    <row r="12443" spans="1:26" ht="15" x14ac:dyDescent="0.25">
      <c r="A12443" s="4" t="s">
        <v>12440</v>
      </c>
      <c r="B12443" s="4" t="s">
        <v>9011</v>
      </c>
      <c r="C12443" s="2" t="str">
        <f ca="1">IFERROR(__xludf.DUMMYFUNCTION("GOOGLETRANSLATE(A12443,""bn"",""en"")"),"People will make robots now")</f>
        <v>People will make robots now</v>
      </c>
      <c r="D12443" s="5"/>
      <c r="E12443" s="5"/>
      <c r="F12443" s="5"/>
      <c r="G12443" s="5"/>
      <c r="H12443" s="5"/>
      <c r="I12443" s="5"/>
      <c r="J12443" s="5"/>
      <c r="K12443" s="5"/>
      <c r="L12443" s="5"/>
      <c r="M12443" s="5"/>
      <c r="N12443" s="5"/>
      <c r="O12443" s="5"/>
      <c r="P12443" s="5"/>
      <c r="Q12443" s="5"/>
      <c r="R12443" s="5"/>
      <c r="S12443" s="5"/>
      <c r="T12443" s="5"/>
      <c r="U12443" s="5"/>
      <c r="V12443" s="5"/>
      <c r="W12443" s="5"/>
      <c r="X12443" s="5"/>
      <c r="Y12443" s="5"/>
      <c r="Z12443" s="5"/>
    </row>
    <row r="12444" spans="1:26" ht="15" x14ac:dyDescent="0.25">
      <c r="A12444" s="4" t="s">
        <v>12441</v>
      </c>
      <c r="B12444" s="4" t="s">
        <v>9011</v>
      </c>
      <c r="C12444" s="2" t="str">
        <f ca="1">IFERROR(__xludf.DUMMYFUNCTION("GOOGLETRANSLATE(A12444,""bn"",""en"")"),"We will swim in season")</f>
        <v>We will swim in season</v>
      </c>
      <c r="D12444" s="5"/>
      <c r="E12444" s="5"/>
      <c r="F12444" s="5"/>
      <c r="G12444" s="5"/>
      <c r="H12444" s="5"/>
      <c r="I12444" s="5"/>
      <c r="J12444" s="5"/>
      <c r="K12444" s="5"/>
      <c r="L12444" s="5"/>
      <c r="M12444" s="5"/>
      <c r="N12444" s="5"/>
      <c r="O12444" s="5"/>
      <c r="P12444" s="5"/>
      <c r="Q12444" s="5"/>
      <c r="R12444" s="5"/>
      <c r="S12444" s="5"/>
      <c r="T12444" s="5"/>
      <c r="U12444" s="5"/>
      <c r="V12444" s="5"/>
      <c r="W12444" s="5"/>
      <c r="X12444" s="5"/>
      <c r="Y12444" s="5"/>
      <c r="Z12444" s="5"/>
    </row>
    <row r="12445" spans="1:26" ht="15" x14ac:dyDescent="0.25">
      <c r="A12445" s="4" t="s">
        <v>12442</v>
      </c>
      <c r="B12445" s="4" t="s">
        <v>9011</v>
      </c>
      <c r="C12445" s="2" t="str">
        <f ca="1">IFERROR(__xludf.DUMMYFUNCTION("GOOGLETRANSLATE(A12445,""bn"",""en"")"),"The hospital will always be ready")</f>
        <v>The hospital will always be ready</v>
      </c>
      <c r="D12445" s="5"/>
      <c r="E12445" s="5"/>
      <c r="F12445" s="5"/>
      <c r="G12445" s="5"/>
      <c r="H12445" s="5"/>
      <c r="I12445" s="5"/>
      <c r="J12445" s="5"/>
      <c r="K12445" s="5"/>
      <c r="L12445" s="5"/>
      <c r="M12445" s="5"/>
      <c r="N12445" s="5"/>
      <c r="O12445" s="5"/>
      <c r="P12445" s="5"/>
      <c r="Q12445" s="5"/>
      <c r="R12445" s="5"/>
      <c r="S12445" s="5"/>
      <c r="T12445" s="5"/>
      <c r="U12445" s="5"/>
      <c r="V12445" s="5"/>
      <c r="W12445" s="5"/>
      <c r="X12445" s="5"/>
      <c r="Y12445" s="5"/>
      <c r="Z12445" s="5"/>
    </row>
    <row r="12446" spans="1:26" ht="15" x14ac:dyDescent="0.25">
      <c r="A12446" s="4" t="s">
        <v>12443</v>
      </c>
      <c r="B12446" s="4" t="s">
        <v>9011</v>
      </c>
      <c r="C12446" s="2" t="str">
        <f ca="1">IFERROR(__xludf.DUMMYFUNCTION("GOOGLETRANSLATE(A12446,""bn"",""en"")"),"You buy soup and eat it")</f>
        <v>You buy soup and eat it</v>
      </c>
      <c r="D12446" s="5"/>
      <c r="E12446" s="5"/>
      <c r="F12446" s="5"/>
      <c r="G12446" s="5"/>
      <c r="H12446" s="5"/>
      <c r="I12446" s="5"/>
      <c r="J12446" s="5"/>
      <c r="K12446" s="5"/>
      <c r="L12446" s="5"/>
      <c r="M12446" s="5"/>
      <c r="N12446" s="5"/>
      <c r="O12446" s="5"/>
      <c r="P12446" s="5"/>
      <c r="Q12446" s="5"/>
      <c r="R12446" s="5"/>
      <c r="S12446" s="5"/>
      <c r="T12446" s="5"/>
      <c r="U12446" s="5"/>
      <c r="V12446" s="5"/>
      <c r="W12446" s="5"/>
      <c r="X12446" s="5"/>
      <c r="Y12446" s="5"/>
      <c r="Z12446" s="5"/>
    </row>
    <row r="12447" spans="1:26" ht="15" x14ac:dyDescent="0.25">
      <c r="A12447" s="4" t="s">
        <v>12444</v>
      </c>
      <c r="B12447" s="4" t="s">
        <v>9011</v>
      </c>
      <c r="C12447" s="2" t="str">
        <f ca="1">IFERROR(__xludf.DUMMYFUNCTION("GOOGLETRANSLATE(A12447,""bn"",""en"")"),"New markets will be created")</f>
        <v>New markets will be created</v>
      </c>
      <c r="D12447" s="5"/>
      <c r="E12447" s="5"/>
      <c r="F12447" s="5"/>
      <c r="G12447" s="5"/>
      <c r="H12447" s="5"/>
      <c r="I12447" s="5"/>
      <c r="J12447" s="5"/>
      <c r="K12447" s="5"/>
      <c r="L12447" s="5"/>
      <c r="M12447" s="5"/>
      <c r="N12447" s="5"/>
      <c r="O12447" s="5"/>
      <c r="P12447" s="5"/>
      <c r="Q12447" s="5"/>
      <c r="R12447" s="5"/>
      <c r="S12447" s="5"/>
      <c r="T12447" s="5"/>
      <c r="U12447" s="5"/>
      <c r="V12447" s="5"/>
      <c r="W12447" s="5"/>
      <c r="X12447" s="5"/>
      <c r="Y12447" s="5"/>
      <c r="Z12447" s="5"/>
    </row>
    <row r="12448" spans="1:26" ht="15" x14ac:dyDescent="0.25">
      <c r="A12448" s="4" t="s">
        <v>12445</v>
      </c>
      <c r="B12448" s="4" t="s">
        <v>9011</v>
      </c>
      <c r="C12448" s="2" t="str">
        <f ca="1">IFERROR(__xludf.DUMMYFUNCTION("GOOGLETRANSLATE(A12448,""bn"",""en"")"),"You will attend the inauguration")</f>
        <v>You will attend the inauguration</v>
      </c>
      <c r="D12448" s="5"/>
      <c r="E12448" s="5"/>
      <c r="F12448" s="5"/>
      <c r="G12448" s="5"/>
      <c r="H12448" s="5"/>
      <c r="I12448" s="5"/>
      <c r="J12448" s="5"/>
      <c r="K12448" s="5"/>
      <c r="L12448" s="5"/>
      <c r="M12448" s="5"/>
      <c r="N12448" s="5"/>
      <c r="O12448" s="5"/>
      <c r="P12448" s="5"/>
      <c r="Q12448" s="5"/>
      <c r="R12448" s="5"/>
      <c r="S12448" s="5"/>
      <c r="T12448" s="5"/>
      <c r="U12448" s="5"/>
      <c r="V12448" s="5"/>
      <c r="W12448" s="5"/>
      <c r="X12448" s="5"/>
      <c r="Y12448" s="5"/>
      <c r="Z12448" s="5"/>
    </row>
    <row r="12449" spans="1:26" ht="15" x14ac:dyDescent="0.25">
      <c r="A12449" s="4" t="s">
        <v>12446</v>
      </c>
      <c r="B12449" s="4" t="s">
        <v>9011</v>
      </c>
      <c r="C12449" s="2" t="str">
        <f ca="1">IFERROR(__xludf.DUMMYFUNCTION("GOOGLETRANSLATE(A12449,""bn"",""en"")"),"Will be ready to increase security")</f>
        <v>Will be ready to increase security</v>
      </c>
      <c r="D12449" s="5"/>
      <c r="E12449" s="5"/>
      <c r="F12449" s="5"/>
      <c r="G12449" s="5"/>
      <c r="H12449" s="5"/>
      <c r="I12449" s="5"/>
      <c r="J12449" s="5"/>
      <c r="K12449" s="5"/>
      <c r="L12449" s="5"/>
      <c r="M12449" s="5"/>
      <c r="N12449" s="5"/>
      <c r="O12449" s="5"/>
      <c r="P12449" s="5"/>
      <c r="Q12449" s="5"/>
      <c r="R12449" s="5"/>
      <c r="S12449" s="5"/>
      <c r="T12449" s="5"/>
      <c r="U12449" s="5"/>
      <c r="V12449" s="5"/>
      <c r="W12449" s="5"/>
      <c r="X12449" s="5"/>
      <c r="Y12449" s="5"/>
      <c r="Z12449" s="5"/>
    </row>
    <row r="12450" spans="1:26" ht="15" x14ac:dyDescent="0.25">
      <c r="A12450" s="4" t="s">
        <v>12447</v>
      </c>
      <c r="B12450" s="4" t="s">
        <v>9011</v>
      </c>
      <c r="C12450" s="2" t="str">
        <f ca="1">IFERROR(__xludf.DUMMYFUNCTION("GOOGLETRANSLATE(A12450,""bn"",""en"")"),"We will come to swim")</f>
        <v>We will come to swim</v>
      </c>
      <c r="D12450" s="5"/>
      <c r="E12450" s="5"/>
      <c r="F12450" s="5"/>
      <c r="G12450" s="5"/>
      <c r="H12450" s="5"/>
      <c r="I12450" s="5"/>
      <c r="J12450" s="5"/>
      <c r="K12450" s="5"/>
      <c r="L12450" s="5"/>
      <c r="M12450" s="5"/>
      <c r="N12450" s="5"/>
      <c r="O12450" s="5"/>
      <c r="P12450" s="5"/>
      <c r="Q12450" s="5"/>
      <c r="R12450" s="5"/>
      <c r="S12450" s="5"/>
      <c r="T12450" s="5"/>
      <c r="U12450" s="5"/>
      <c r="V12450" s="5"/>
      <c r="W12450" s="5"/>
      <c r="X12450" s="5"/>
      <c r="Y12450" s="5"/>
      <c r="Z12450" s="5"/>
    </row>
    <row r="12451" spans="1:26" ht="15" x14ac:dyDescent="0.25">
      <c r="A12451" s="4" t="s">
        <v>12448</v>
      </c>
      <c r="B12451" s="4" t="s">
        <v>9011</v>
      </c>
      <c r="C12451" s="2" t="str">
        <f ca="1">IFERROR(__xludf.DUMMYFUNCTION("GOOGLETRANSLATE(A12451,""bn"",""en"")"),"People will catch fish on the shore")</f>
        <v>People will catch fish on the shore</v>
      </c>
      <c r="D12451" s="5"/>
      <c r="E12451" s="5"/>
      <c r="F12451" s="5"/>
      <c r="G12451" s="5"/>
      <c r="H12451" s="5"/>
      <c r="I12451" s="5"/>
      <c r="J12451" s="5"/>
      <c r="K12451" s="5"/>
      <c r="L12451" s="5"/>
      <c r="M12451" s="5"/>
      <c r="N12451" s="5"/>
      <c r="O12451" s="5"/>
      <c r="P12451" s="5"/>
      <c r="Q12451" s="5"/>
      <c r="R12451" s="5"/>
      <c r="S12451" s="5"/>
      <c r="T12451" s="5"/>
      <c r="U12451" s="5"/>
      <c r="V12451" s="5"/>
      <c r="W12451" s="5"/>
      <c r="X12451" s="5"/>
      <c r="Y12451" s="5"/>
      <c r="Z12451" s="5"/>
    </row>
    <row r="12452" spans="1:26" ht="15" x14ac:dyDescent="0.25">
      <c r="A12452" s="4" t="s">
        <v>12449</v>
      </c>
      <c r="B12452" s="4" t="s">
        <v>9011</v>
      </c>
      <c r="C12452" s="2" t="str">
        <f ca="1">IFERROR(__xludf.DUMMYFUNCTION("GOOGLETRANSLATE(A12452,""bn"",""en"")"),"The management system will be upgraded")</f>
        <v>The management system will be upgraded</v>
      </c>
      <c r="D12452" s="5"/>
      <c r="E12452" s="5"/>
      <c r="F12452" s="5"/>
      <c r="G12452" s="5"/>
      <c r="H12452" s="5"/>
      <c r="I12452" s="5"/>
      <c r="J12452" s="5"/>
      <c r="K12452" s="5"/>
      <c r="L12452" s="5"/>
      <c r="M12452" s="5"/>
      <c r="N12452" s="5"/>
      <c r="O12452" s="5"/>
      <c r="P12452" s="5"/>
      <c r="Q12452" s="5"/>
      <c r="R12452" s="5"/>
      <c r="S12452" s="5"/>
      <c r="T12452" s="5"/>
      <c r="U12452" s="5"/>
      <c r="V12452" s="5"/>
      <c r="W12452" s="5"/>
      <c r="X12452" s="5"/>
      <c r="Y12452" s="5"/>
      <c r="Z12452" s="5"/>
    </row>
    <row r="12453" spans="1:26" ht="15" x14ac:dyDescent="0.25">
      <c r="A12453" s="4" t="s">
        <v>12450</v>
      </c>
      <c r="B12453" s="4" t="s">
        <v>9011</v>
      </c>
      <c r="C12453" s="2" t="str">
        <f ca="1">IFERROR(__xludf.DUMMYFUNCTION("GOOGLETRANSLATE(A12453,""bn"",""en"")"),"You will learn to swim quickly")</f>
        <v>You will learn to swim quickly</v>
      </c>
      <c r="D12453" s="5"/>
      <c r="E12453" s="5"/>
      <c r="F12453" s="5"/>
      <c r="G12453" s="5"/>
      <c r="H12453" s="5"/>
      <c r="I12453" s="5"/>
      <c r="J12453" s="5"/>
      <c r="K12453" s="5"/>
      <c r="L12453" s="5"/>
      <c r="M12453" s="5"/>
      <c r="N12453" s="5"/>
      <c r="O12453" s="5"/>
      <c r="P12453" s="5"/>
      <c r="Q12453" s="5"/>
      <c r="R12453" s="5"/>
      <c r="S12453" s="5"/>
      <c r="T12453" s="5"/>
      <c r="U12453" s="5"/>
      <c r="V12453" s="5"/>
      <c r="W12453" s="5"/>
      <c r="X12453" s="5"/>
      <c r="Y12453" s="5"/>
      <c r="Z12453" s="5"/>
    </row>
    <row r="12454" spans="1:26" ht="15" x14ac:dyDescent="0.25">
      <c r="A12454" s="4" t="s">
        <v>12451</v>
      </c>
      <c r="B12454" s="4" t="s">
        <v>9011</v>
      </c>
      <c r="C12454" s="2" t="str">
        <f ca="1">IFERROR(__xludf.DUMMYFUNCTION("GOOGLETRANSLATE(A12454,""bn"",""en"")"),"Educational incentives will be abundant")</f>
        <v>Educational incentives will be abundant</v>
      </c>
      <c r="D12454" s="5"/>
      <c r="E12454" s="5"/>
      <c r="F12454" s="5"/>
      <c r="G12454" s="5"/>
      <c r="H12454" s="5"/>
      <c r="I12454" s="5"/>
      <c r="J12454" s="5"/>
      <c r="K12454" s="5"/>
      <c r="L12454" s="5"/>
      <c r="M12454" s="5"/>
      <c r="N12454" s="5"/>
      <c r="O12454" s="5"/>
      <c r="P12454" s="5"/>
      <c r="Q12454" s="5"/>
      <c r="R12454" s="5"/>
      <c r="S12454" s="5"/>
      <c r="T12454" s="5"/>
      <c r="U12454" s="5"/>
      <c r="V12454" s="5"/>
      <c r="W12454" s="5"/>
      <c r="X12454" s="5"/>
      <c r="Y12454" s="5"/>
      <c r="Z12454" s="5"/>
    </row>
    <row r="12455" spans="1:26" ht="15" x14ac:dyDescent="0.25">
      <c r="A12455" s="4" t="s">
        <v>12452</v>
      </c>
      <c r="B12455" s="4" t="s">
        <v>9011</v>
      </c>
      <c r="C12455" s="2" t="str">
        <f ca="1">IFERROR(__xludf.DUMMYFUNCTION("GOOGLETRANSLATE(A12455,""bn"",""en"")"),"Advances will improve the project")</f>
        <v>Advances will improve the project</v>
      </c>
      <c r="D12455" s="5"/>
      <c r="E12455" s="5"/>
      <c r="F12455" s="5"/>
      <c r="G12455" s="5"/>
      <c r="H12455" s="5"/>
      <c r="I12455" s="5"/>
      <c r="J12455" s="5"/>
      <c r="K12455" s="5"/>
      <c r="L12455" s="5"/>
      <c r="M12455" s="5"/>
      <c r="N12455" s="5"/>
      <c r="O12455" s="5"/>
      <c r="P12455" s="5"/>
      <c r="Q12455" s="5"/>
      <c r="R12455" s="5"/>
      <c r="S12455" s="5"/>
      <c r="T12455" s="5"/>
      <c r="U12455" s="5"/>
      <c r="V12455" s="5"/>
      <c r="W12455" s="5"/>
      <c r="X12455" s="5"/>
      <c r="Y12455" s="5"/>
      <c r="Z12455" s="5"/>
    </row>
    <row r="12456" spans="1:26" ht="15" x14ac:dyDescent="0.25">
      <c r="A12456" s="4" t="s">
        <v>12453</v>
      </c>
      <c r="B12456" s="4" t="s">
        <v>9011</v>
      </c>
      <c r="C12456" s="2" t="str">
        <f ca="1">IFERROR(__xludf.DUMMYFUNCTION("GOOGLETRANSLATE(A12456,""bn"",""en"")"),"Students will be programming in Python")</f>
        <v>Students will be programming in Python</v>
      </c>
      <c r="D12456" s="5"/>
      <c r="E12456" s="5"/>
      <c r="F12456" s="5"/>
      <c r="G12456" s="5"/>
      <c r="H12456" s="5"/>
      <c r="I12456" s="5"/>
      <c r="J12456" s="5"/>
      <c r="K12456" s="5"/>
      <c r="L12456" s="5"/>
      <c r="M12456" s="5"/>
      <c r="N12456" s="5"/>
      <c r="O12456" s="5"/>
      <c r="P12456" s="5"/>
      <c r="Q12456" s="5"/>
      <c r="R12456" s="5"/>
      <c r="S12456" s="5"/>
      <c r="T12456" s="5"/>
      <c r="U12456" s="5"/>
      <c r="V12456" s="5"/>
      <c r="W12456" s="5"/>
      <c r="X12456" s="5"/>
      <c r="Y12456" s="5"/>
      <c r="Z12456" s="5"/>
    </row>
    <row r="12457" spans="1:26" ht="15" x14ac:dyDescent="0.25">
      <c r="A12457" s="4" t="s">
        <v>12454</v>
      </c>
      <c r="B12457" s="4" t="s">
        <v>9011</v>
      </c>
      <c r="C12457" s="2" t="str">
        <f ca="1">IFERROR(__xludf.DUMMYFUNCTION("GOOGLETRANSLATE(A12457,""bn"",""en"")"),"The research committee will work")</f>
        <v>The research committee will work</v>
      </c>
      <c r="D12457" s="5"/>
      <c r="E12457" s="5"/>
      <c r="F12457" s="5"/>
      <c r="G12457" s="5"/>
      <c r="H12457" s="5"/>
      <c r="I12457" s="5"/>
      <c r="J12457" s="5"/>
      <c r="K12457" s="5"/>
      <c r="L12457" s="5"/>
      <c r="M12457" s="5"/>
      <c r="N12457" s="5"/>
      <c r="O12457" s="5"/>
      <c r="P12457" s="5"/>
      <c r="Q12457" s="5"/>
      <c r="R12457" s="5"/>
      <c r="S12457" s="5"/>
      <c r="T12457" s="5"/>
      <c r="U12457" s="5"/>
      <c r="V12457" s="5"/>
      <c r="W12457" s="5"/>
      <c r="X12457" s="5"/>
      <c r="Y12457" s="5"/>
      <c r="Z12457" s="5"/>
    </row>
    <row r="12458" spans="1:26" ht="15" x14ac:dyDescent="0.25">
      <c r="A12458" s="4" t="s">
        <v>12455</v>
      </c>
      <c r="B12458" s="4" t="s">
        <v>9011</v>
      </c>
      <c r="C12458" s="2" t="str">
        <f ca="1">IFERROR(__xludf.DUMMYFUNCTION("GOOGLETRANSLATE(A12458,""bn"",""en"")"),"He will go cycling tomorrow")</f>
        <v>He will go cycling tomorrow</v>
      </c>
      <c r="D12458" s="5"/>
      <c r="E12458" s="5"/>
      <c r="F12458" s="5"/>
      <c r="G12458" s="5"/>
      <c r="H12458" s="5"/>
      <c r="I12458" s="5"/>
      <c r="J12458" s="5"/>
      <c r="K12458" s="5"/>
      <c r="L12458" s="5"/>
      <c r="M12458" s="5"/>
      <c r="N12458" s="5"/>
      <c r="O12458" s="5"/>
      <c r="P12458" s="5"/>
      <c r="Q12458" s="5"/>
      <c r="R12458" s="5"/>
      <c r="S12458" s="5"/>
      <c r="T12458" s="5"/>
      <c r="U12458" s="5"/>
      <c r="V12458" s="5"/>
      <c r="W12458" s="5"/>
      <c r="X12458" s="5"/>
      <c r="Y12458" s="5"/>
      <c r="Z12458" s="5"/>
    </row>
    <row r="12459" spans="1:26" ht="15" x14ac:dyDescent="0.25">
      <c r="A12459" s="4" t="s">
        <v>12456</v>
      </c>
      <c r="B12459" s="4" t="s">
        <v>9011</v>
      </c>
      <c r="C12459" s="2" t="str">
        <f ca="1">IFERROR(__xludf.DUMMYFUNCTION("GOOGLETRANSLATE(A12459,""bn"",""en"")"),"They will play ice hockey")</f>
        <v>They will play ice hockey</v>
      </c>
      <c r="D12459" s="5"/>
      <c r="E12459" s="5"/>
      <c r="F12459" s="5"/>
      <c r="G12459" s="5"/>
      <c r="H12459" s="5"/>
      <c r="I12459" s="5"/>
      <c r="J12459" s="5"/>
      <c r="K12459" s="5"/>
      <c r="L12459" s="5"/>
      <c r="M12459" s="5"/>
      <c r="N12459" s="5"/>
      <c r="O12459" s="5"/>
      <c r="P12459" s="5"/>
      <c r="Q12459" s="5"/>
      <c r="R12459" s="5"/>
      <c r="S12459" s="5"/>
      <c r="T12459" s="5"/>
      <c r="U12459" s="5"/>
      <c r="V12459" s="5"/>
      <c r="W12459" s="5"/>
      <c r="X12459" s="5"/>
      <c r="Y12459" s="5"/>
      <c r="Z12459" s="5"/>
    </row>
    <row r="12460" spans="1:26" ht="15" x14ac:dyDescent="0.25">
      <c r="A12460" s="4" t="s">
        <v>12457</v>
      </c>
      <c r="B12460" s="4" t="s">
        <v>9011</v>
      </c>
      <c r="C12460" s="2" t="str">
        <f ca="1">IFERROR(__xludf.DUMMYFUNCTION("GOOGLETRANSLATE(A12460,""bn"",""en"")"),"We will go sky diving")</f>
        <v>We will go sky diving</v>
      </c>
      <c r="D12460" s="5"/>
      <c r="E12460" s="5"/>
      <c r="F12460" s="5"/>
      <c r="G12460" s="5"/>
      <c r="H12460" s="5"/>
      <c r="I12460" s="5"/>
      <c r="J12460" s="5"/>
      <c r="K12460" s="5"/>
      <c r="L12460" s="5"/>
      <c r="M12460" s="5"/>
      <c r="N12460" s="5"/>
      <c r="O12460" s="5"/>
      <c r="P12460" s="5"/>
      <c r="Q12460" s="5"/>
      <c r="R12460" s="5"/>
      <c r="S12460" s="5"/>
      <c r="T12460" s="5"/>
      <c r="U12460" s="5"/>
      <c r="V12460" s="5"/>
      <c r="W12460" s="5"/>
      <c r="X12460" s="5"/>
      <c r="Y12460" s="5"/>
      <c r="Z12460" s="5"/>
    </row>
    <row r="12461" spans="1:26" ht="15" x14ac:dyDescent="0.25">
      <c r="A12461" s="4" t="s">
        <v>12458</v>
      </c>
      <c r="B12461" s="4" t="s">
        <v>9011</v>
      </c>
      <c r="C12461" s="2" t="str">
        <f ca="1">IFERROR(__xludf.DUMMYFUNCTION("GOOGLETRANSLATE(A12461,""bn"",""en"")"),"He will land on the beach")</f>
        <v>He will land on the beach</v>
      </c>
      <c r="D12461" s="5"/>
      <c r="E12461" s="5"/>
      <c r="F12461" s="5"/>
      <c r="G12461" s="5"/>
      <c r="H12461" s="5"/>
      <c r="I12461" s="5"/>
      <c r="J12461" s="5"/>
      <c r="K12461" s="5"/>
      <c r="L12461" s="5"/>
      <c r="M12461" s="5"/>
      <c r="N12461" s="5"/>
      <c r="O12461" s="5"/>
      <c r="P12461" s="5"/>
      <c r="Q12461" s="5"/>
      <c r="R12461" s="5"/>
      <c r="S12461" s="5"/>
      <c r="T12461" s="5"/>
      <c r="U12461" s="5"/>
      <c r="V12461" s="5"/>
      <c r="W12461" s="5"/>
      <c r="X12461" s="5"/>
      <c r="Y12461" s="5"/>
      <c r="Z12461" s="5"/>
    </row>
    <row r="12462" spans="1:26" ht="15" x14ac:dyDescent="0.25">
      <c r="A12462" s="4" t="s">
        <v>12459</v>
      </c>
      <c r="B12462" s="4" t="s">
        <v>9011</v>
      </c>
      <c r="C12462" s="2" t="str">
        <f ca="1">IFERROR(__xludf.DUMMYFUNCTION("GOOGLETRANSLATE(A12462,""bn"",""en"")"),"New medical software will arrive")</f>
        <v>New medical software will arrive</v>
      </c>
      <c r="D12462" s="5"/>
      <c r="E12462" s="5"/>
      <c r="F12462" s="5"/>
      <c r="G12462" s="5"/>
      <c r="H12462" s="5"/>
      <c r="I12462" s="5"/>
      <c r="J12462" s="5"/>
      <c r="K12462" s="5"/>
      <c r="L12462" s="5"/>
      <c r="M12462" s="5"/>
      <c r="N12462" s="5"/>
      <c r="O12462" s="5"/>
      <c r="P12462" s="5"/>
      <c r="Q12462" s="5"/>
      <c r="R12462" s="5"/>
      <c r="S12462" s="5"/>
      <c r="T12462" s="5"/>
      <c r="U12462" s="5"/>
      <c r="V12462" s="5"/>
      <c r="W12462" s="5"/>
      <c r="X12462" s="5"/>
      <c r="Y12462" s="5"/>
      <c r="Z12462" s="5"/>
    </row>
    <row r="12463" spans="1:26" ht="15" x14ac:dyDescent="0.25">
      <c r="A12463" s="4" t="s">
        <v>12460</v>
      </c>
      <c r="B12463" s="4" t="s">
        <v>9011</v>
      </c>
      <c r="C12463" s="2" t="str">
        <f ca="1">IFERROR(__xludf.DUMMYFUNCTION("GOOGLETRANSLATE(A12463,""bn"",""en"")"),"You will launch the application")</f>
        <v>You will launch the application</v>
      </c>
      <c r="D12463" s="5"/>
      <c r="E12463" s="5"/>
      <c r="F12463" s="5"/>
      <c r="G12463" s="5"/>
      <c r="H12463" s="5"/>
      <c r="I12463" s="5"/>
      <c r="J12463" s="5"/>
      <c r="K12463" s="5"/>
      <c r="L12463" s="5"/>
      <c r="M12463" s="5"/>
      <c r="N12463" s="5"/>
      <c r="O12463" s="5"/>
      <c r="P12463" s="5"/>
      <c r="Q12463" s="5"/>
      <c r="R12463" s="5"/>
      <c r="S12463" s="5"/>
      <c r="T12463" s="5"/>
      <c r="U12463" s="5"/>
      <c r="V12463" s="5"/>
      <c r="W12463" s="5"/>
      <c r="X12463" s="5"/>
      <c r="Y12463" s="5"/>
      <c r="Z12463" s="5"/>
    </row>
    <row r="12464" spans="1:26" ht="15" x14ac:dyDescent="0.25">
      <c r="A12464" s="4" t="s">
        <v>12461</v>
      </c>
      <c r="B12464" s="4" t="s">
        <v>9011</v>
      </c>
      <c r="C12464" s="2" t="str">
        <f ca="1">IFERROR(__xludf.DUMMYFUNCTION("GOOGLETRANSLATE(A12464,""bn"",""en"")"),"The mountains will be covered with snow")</f>
        <v>The mountains will be covered with snow</v>
      </c>
      <c r="D12464" s="5"/>
      <c r="E12464" s="5"/>
      <c r="F12464" s="5"/>
      <c r="G12464" s="5"/>
      <c r="H12464" s="5"/>
      <c r="I12464" s="5"/>
      <c r="J12464" s="5"/>
      <c r="K12464" s="5"/>
      <c r="L12464" s="5"/>
      <c r="M12464" s="5"/>
      <c r="N12464" s="5"/>
      <c r="O12464" s="5"/>
      <c r="P12464" s="5"/>
      <c r="Q12464" s="5"/>
      <c r="R12464" s="5"/>
      <c r="S12464" s="5"/>
      <c r="T12464" s="5"/>
      <c r="U12464" s="5"/>
      <c r="V12464" s="5"/>
      <c r="W12464" s="5"/>
      <c r="X12464" s="5"/>
      <c r="Y12464" s="5"/>
      <c r="Z12464" s="5"/>
    </row>
    <row r="12465" spans="1:26" ht="15" x14ac:dyDescent="0.25">
      <c r="A12465" s="4" t="s">
        <v>12462</v>
      </c>
      <c r="B12465" s="4" t="s">
        <v>9011</v>
      </c>
      <c r="C12465" s="2" t="str">
        <f ca="1">IFERROR(__xludf.DUMMYFUNCTION("GOOGLETRANSLATE(A12465,""bn"",""en"")"),"A new teacher will take")</f>
        <v>A new teacher will take</v>
      </c>
      <c r="D12465" s="5"/>
      <c r="E12465" s="5"/>
      <c r="F12465" s="5"/>
      <c r="G12465" s="5"/>
      <c r="H12465" s="5"/>
      <c r="I12465" s="5"/>
      <c r="J12465" s="5"/>
      <c r="K12465" s="5"/>
      <c r="L12465" s="5"/>
      <c r="M12465" s="5"/>
      <c r="N12465" s="5"/>
      <c r="O12465" s="5"/>
      <c r="P12465" s="5"/>
      <c r="Q12465" s="5"/>
      <c r="R12465" s="5"/>
      <c r="S12465" s="5"/>
      <c r="T12465" s="5"/>
      <c r="U12465" s="5"/>
      <c r="V12465" s="5"/>
      <c r="W12465" s="5"/>
      <c r="X12465" s="5"/>
      <c r="Y12465" s="5"/>
      <c r="Z12465" s="5"/>
    </row>
    <row r="12466" spans="1:26" ht="15" x14ac:dyDescent="0.25">
      <c r="A12466" s="4" t="s">
        <v>12463</v>
      </c>
      <c r="B12466" s="4" t="s">
        <v>9011</v>
      </c>
      <c r="C12466" s="2" t="str">
        <f ca="1">IFERROR(__xludf.DUMMYFUNCTION("GOOGLETRANSLATE(A12466,""bn"",""en"")"),"Learn advanced economics")</f>
        <v>Learn advanced economics</v>
      </c>
      <c r="D12466" s="5"/>
      <c r="E12466" s="5"/>
      <c r="F12466" s="5"/>
      <c r="G12466" s="5"/>
      <c r="H12466" s="5"/>
      <c r="I12466" s="5"/>
      <c r="J12466" s="5"/>
      <c r="K12466" s="5"/>
      <c r="L12466" s="5"/>
      <c r="M12466" s="5"/>
      <c r="N12466" s="5"/>
      <c r="O12466" s="5"/>
      <c r="P12466" s="5"/>
      <c r="Q12466" s="5"/>
      <c r="R12466" s="5"/>
      <c r="S12466" s="5"/>
      <c r="T12466" s="5"/>
      <c r="U12466" s="5"/>
      <c r="V12466" s="5"/>
      <c r="W12466" s="5"/>
      <c r="X12466" s="5"/>
      <c r="Y12466" s="5"/>
      <c r="Z12466" s="5"/>
    </row>
    <row r="12467" spans="1:26" ht="15" x14ac:dyDescent="0.25">
      <c r="A12467" s="4" t="s">
        <v>12464</v>
      </c>
      <c r="B12467" s="4" t="s">
        <v>9011</v>
      </c>
      <c r="C12467" s="2" t="str">
        <f ca="1">IFERROR(__xludf.DUMMYFUNCTION("GOOGLETRANSLATE(A12467,""bn"",""en"")"),"Fish will be cultivated in the pond")</f>
        <v>Fish will be cultivated in the pond</v>
      </c>
      <c r="D12467" s="5"/>
      <c r="E12467" s="5"/>
      <c r="F12467" s="5"/>
      <c r="G12467" s="5"/>
      <c r="H12467" s="5"/>
      <c r="I12467" s="5"/>
      <c r="J12467" s="5"/>
      <c r="K12467" s="5"/>
      <c r="L12467" s="5"/>
      <c r="M12467" s="5"/>
      <c r="N12467" s="5"/>
      <c r="O12467" s="5"/>
      <c r="P12467" s="5"/>
      <c r="Q12467" s="5"/>
      <c r="R12467" s="5"/>
      <c r="S12467" s="5"/>
      <c r="T12467" s="5"/>
      <c r="U12467" s="5"/>
      <c r="V12467" s="5"/>
      <c r="W12467" s="5"/>
      <c r="X12467" s="5"/>
      <c r="Y12467" s="5"/>
      <c r="Z12467" s="5"/>
    </row>
    <row r="12468" spans="1:26" ht="15" x14ac:dyDescent="0.25">
      <c r="A12468" s="4" t="s">
        <v>12465</v>
      </c>
      <c r="B12468" s="4" t="s">
        <v>9011</v>
      </c>
      <c r="C12468" s="2" t="str">
        <f ca="1">IFERROR(__xludf.DUMMYFUNCTION("GOOGLETRANSLATE(A12468,""bn"",""en"")"),"I will form a new partnership")</f>
        <v>I will form a new partnership</v>
      </c>
      <c r="D12468" s="5"/>
      <c r="E12468" s="5"/>
      <c r="F12468" s="5"/>
      <c r="G12468" s="5"/>
      <c r="H12468" s="5"/>
      <c r="I12468" s="5"/>
      <c r="J12468" s="5"/>
      <c r="K12468" s="5"/>
      <c r="L12468" s="5"/>
      <c r="M12468" s="5"/>
      <c r="N12468" s="5"/>
      <c r="O12468" s="5"/>
      <c r="P12468" s="5"/>
      <c r="Q12468" s="5"/>
      <c r="R12468" s="5"/>
      <c r="S12468" s="5"/>
      <c r="T12468" s="5"/>
      <c r="U12468" s="5"/>
      <c r="V12468" s="5"/>
      <c r="W12468" s="5"/>
      <c r="X12468" s="5"/>
      <c r="Y12468" s="5"/>
      <c r="Z12468" s="5"/>
    </row>
    <row r="12469" spans="1:26" ht="15" x14ac:dyDescent="0.25">
      <c r="A12469" s="4" t="s">
        <v>12466</v>
      </c>
      <c r="B12469" s="4" t="s">
        <v>9011</v>
      </c>
      <c r="C12469" s="2" t="str">
        <f ca="1">IFERROR(__xludf.DUMMYFUNCTION("GOOGLETRANSLATE(A12469,""bn"",""en"")"),"You will play golf tomorrow")</f>
        <v>You will play golf tomorrow</v>
      </c>
      <c r="D12469" s="5"/>
      <c r="E12469" s="5"/>
      <c r="F12469" s="5"/>
      <c r="G12469" s="5"/>
      <c r="H12469" s="5"/>
      <c r="I12469" s="5"/>
      <c r="J12469" s="5"/>
      <c r="K12469" s="5"/>
      <c r="L12469" s="5"/>
      <c r="M12469" s="5"/>
      <c r="N12469" s="5"/>
      <c r="O12469" s="5"/>
      <c r="P12469" s="5"/>
      <c r="Q12469" s="5"/>
      <c r="R12469" s="5"/>
      <c r="S12469" s="5"/>
      <c r="T12469" s="5"/>
      <c r="U12469" s="5"/>
      <c r="V12469" s="5"/>
      <c r="W12469" s="5"/>
      <c r="X12469" s="5"/>
      <c r="Y12469" s="5"/>
      <c r="Z12469" s="5"/>
    </row>
    <row r="12470" spans="1:26" ht="15" x14ac:dyDescent="0.25">
      <c r="A12470" s="4" t="s">
        <v>12467</v>
      </c>
      <c r="B12470" s="4" t="s">
        <v>9011</v>
      </c>
      <c r="C12470" s="2" t="str">
        <f ca="1">IFERROR(__xludf.DUMMYFUNCTION("GOOGLETRANSLATE(A12470,""bn"",""en"")"),"The research project will be successful")</f>
        <v>The research project will be successful</v>
      </c>
      <c r="D12470" s="5"/>
      <c r="E12470" s="5"/>
      <c r="F12470" s="5"/>
      <c r="G12470" s="5"/>
      <c r="H12470" s="5"/>
      <c r="I12470" s="5"/>
      <c r="J12470" s="5"/>
      <c r="K12470" s="5"/>
      <c r="L12470" s="5"/>
      <c r="M12470" s="5"/>
      <c r="N12470" s="5"/>
      <c r="O12470" s="5"/>
      <c r="P12470" s="5"/>
      <c r="Q12470" s="5"/>
      <c r="R12470" s="5"/>
      <c r="S12470" s="5"/>
      <c r="T12470" s="5"/>
      <c r="U12470" s="5"/>
      <c r="V12470" s="5"/>
      <c r="W12470" s="5"/>
      <c r="X12470" s="5"/>
      <c r="Y12470" s="5"/>
      <c r="Z12470" s="5"/>
    </row>
    <row r="12471" spans="1:26" ht="15" x14ac:dyDescent="0.25">
      <c r="A12471" s="4" t="s">
        <v>12468</v>
      </c>
      <c r="B12471" s="4" t="s">
        <v>9011</v>
      </c>
      <c r="C12471" s="2" t="str">
        <f ca="1">IFERROR(__xludf.DUMMYFUNCTION("GOOGLETRANSLATE(A12471,""bn"",""en"")"),"You make sandwiches at the restaurant")</f>
        <v>You make sandwiches at the restaurant</v>
      </c>
      <c r="D12471" s="5"/>
      <c r="E12471" s="5"/>
      <c r="F12471" s="5"/>
      <c r="G12471" s="5"/>
      <c r="H12471" s="5"/>
      <c r="I12471" s="5"/>
      <c r="J12471" s="5"/>
      <c r="K12471" s="5"/>
      <c r="L12471" s="5"/>
      <c r="M12471" s="5"/>
      <c r="N12471" s="5"/>
      <c r="O12471" s="5"/>
      <c r="P12471" s="5"/>
      <c r="Q12471" s="5"/>
      <c r="R12471" s="5"/>
      <c r="S12471" s="5"/>
      <c r="T12471" s="5"/>
      <c r="U12471" s="5"/>
      <c r="V12471" s="5"/>
      <c r="W12471" s="5"/>
      <c r="X12471" s="5"/>
      <c r="Y12471" s="5"/>
      <c r="Z12471" s="5"/>
    </row>
    <row r="12472" spans="1:26" ht="15" x14ac:dyDescent="0.25">
      <c r="A12472" s="4" t="s">
        <v>12469</v>
      </c>
      <c r="B12472" s="4" t="s">
        <v>9011</v>
      </c>
      <c r="C12472" s="2" t="str">
        <f ca="1">IFERROR(__xludf.DUMMYFUNCTION("GOOGLETRANSLATE(A12472,""bn"",""en"")"),"Will participate in the marathon tomorrow")</f>
        <v>Will participate in the marathon tomorrow</v>
      </c>
      <c r="D12472" s="5"/>
      <c r="E12472" s="5"/>
      <c r="F12472" s="5"/>
      <c r="G12472" s="5"/>
      <c r="H12472" s="5"/>
      <c r="I12472" s="5"/>
      <c r="J12472" s="5"/>
      <c r="K12472" s="5"/>
      <c r="L12472" s="5"/>
      <c r="M12472" s="5"/>
      <c r="N12472" s="5"/>
      <c r="O12472" s="5"/>
      <c r="P12472" s="5"/>
      <c r="Q12472" s="5"/>
      <c r="R12472" s="5"/>
      <c r="S12472" s="5"/>
      <c r="T12472" s="5"/>
      <c r="U12472" s="5"/>
      <c r="V12472" s="5"/>
      <c r="W12472" s="5"/>
      <c r="X12472" s="5"/>
      <c r="Y12472" s="5"/>
      <c r="Z12472" s="5"/>
    </row>
    <row r="12473" spans="1:26" ht="15" x14ac:dyDescent="0.25">
      <c r="A12473" s="4" t="s">
        <v>12470</v>
      </c>
      <c r="B12473" s="4" t="s">
        <v>9011</v>
      </c>
      <c r="C12473" s="2" t="str">
        <f ca="1">IFERROR(__xludf.DUMMYFUNCTION("GOOGLETRANSLATE(A12473,""bn"",""en"")"),"There will be more projects on GitHub")</f>
        <v>There will be more projects on GitHub</v>
      </c>
      <c r="D12473" s="5"/>
      <c r="E12473" s="5"/>
      <c r="F12473" s="5"/>
      <c r="G12473" s="5"/>
      <c r="H12473" s="5"/>
      <c r="I12473" s="5"/>
      <c r="J12473" s="5"/>
      <c r="K12473" s="5"/>
      <c r="L12473" s="5"/>
      <c r="M12473" s="5"/>
      <c r="N12473" s="5"/>
      <c r="O12473" s="5"/>
      <c r="P12473" s="5"/>
      <c r="Q12473" s="5"/>
      <c r="R12473" s="5"/>
      <c r="S12473" s="5"/>
      <c r="T12473" s="5"/>
      <c r="U12473" s="5"/>
      <c r="V12473" s="5"/>
      <c r="W12473" s="5"/>
      <c r="X12473" s="5"/>
      <c r="Y12473" s="5"/>
      <c r="Z12473" s="5"/>
    </row>
    <row r="12474" spans="1:26" ht="15" x14ac:dyDescent="0.25">
      <c r="A12474" s="4" t="s">
        <v>12471</v>
      </c>
      <c r="B12474" s="4" t="s">
        <v>9011</v>
      </c>
      <c r="C12474" s="2" t="str">
        <f ca="1">IFERROR(__xludf.DUMMYFUNCTION("GOOGLETRANSLATE(A12474,""bn"",""en"")"),"Will be effective in destroying enemies")</f>
        <v>Will be effective in destroying enemies</v>
      </c>
      <c r="D12474" s="5"/>
      <c r="E12474" s="5"/>
      <c r="F12474" s="5"/>
      <c r="G12474" s="5"/>
      <c r="H12474" s="5"/>
      <c r="I12474" s="5"/>
      <c r="J12474" s="5"/>
      <c r="K12474" s="5"/>
      <c r="L12474" s="5"/>
      <c r="M12474" s="5"/>
      <c r="N12474" s="5"/>
      <c r="O12474" s="5"/>
      <c r="P12474" s="5"/>
      <c r="Q12474" s="5"/>
      <c r="R12474" s="5"/>
      <c r="S12474" s="5"/>
      <c r="T12474" s="5"/>
      <c r="U12474" s="5"/>
      <c r="V12474" s="5"/>
      <c r="W12474" s="5"/>
      <c r="X12474" s="5"/>
      <c r="Y12474" s="5"/>
      <c r="Z12474" s="5"/>
    </row>
    <row r="12475" spans="1:26" ht="15" x14ac:dyDescent="0.25">
      <c r="A12475" s="4" t="s">
        <v>12472</v>
      </c>
      <c r="B12475" s="4" t="s">
        <v>9011</v>
      </c>
      <c r="C12475" s="2" t="str">
        <f ca="1">IFERROR(__xludf.DUMMYFUNCTION("GOOGLETRANSLATE(A12475,""bn"",""en"")"),"Farmers will increase coolie land")</f>
        <v>Farmers will increase coolie land</v>
      </c>
      <c r="D12475" s="5"/>
      <c r="E12475" s="5"/>
      <c r="F12475" s="5"/>
      <c r="G12475" s="5"/>
      <c r="H12475" s="5"/>
      <c r="I12475" s="5"/>
      <c r="J12475" s="5"/>
      <c r="K12475" s="5"/>
      <c r="L12475" s="5"/>
      <c r="M12475" s="5"/>
      <c r="N12475" s="5"/>
      <c r="O12475" s="5"/>
      <c r="P12475" s="5"/>
      <c r="Q12475" s="5"/>
      <c r="R12475" s="5"/>
      <c r="S12475" s="5"/>
      <c r="T12475" s="5"/>
      <c r="U12475" s="5"/>
      <c r="V12475" s="5"/>
      <c r="W12475" s="5"/>
      <c r="X12475" s="5"/>
      <c r="Y12475" s="5"/>
      <c r="Z12475" s="5"/>
    </row>
    <row r="12476" spans="1:26" ht="15" x14ac:dyDescent="0.25">
      <c r="A12476" s="4" t="s">
        <v>12473</v>
      </c>
      <c r="B12476" s="4" t="s">
        <v>9011</v>
      </c>
      <c r="C12476" s="2" t="str">
        <f ca="1">IFERROR(__xludf.DUMMYFUNCTION("GOOGLETRANSLATE(A12476,""bn"",""en"")"),"You will apply biometrics")</f>
        <v>You will apply biometrics</v>
      </c>
      <c r="D12476" s="5"/>
      <c r="E12476" s="5"/>
      <c r="F12476" s="5"/>
      <c r="G12476" s="5"/>
      <c r="H12476" s="5"/>
      <c r="I12476" s="5"/>
      <c r="J12476" s="5"/>
      <c r="K12476" s="5"/>
      <c r="L12476" s="5"/>
      <c r="M12476" s="5"/>
      <c r="N12476" s="5"/>
      <c r="O12476" s="5"/>
      <c r="P12476" s="5"/>
      <c r="Q12476" s="5"/>
      <c r="R12476" s="5"/>
      <c r="S12476" s="5"/>
      <c r="T12476" s="5"/>
      <c r="U12476" s="5"/>
      <c r="V12476" s="5"/>
      <c r="W12476" s="5"/>
      <c r="X12476" s="5"/>
      <c r="Y12476" s="5"/>
      <c r="Z12476" s="5"/>
    </row>
    <row r="12477" spans="1:26" ht="15" x14ac:dyDescent="0.25">
      <c r="A12477" s="4" t="s">
        <v>12474</v>
      </c>
      <c r="B12477" s="4" t="s">
        <v>9011</v>
      </c>
      <c r="C12477" s="2" t="str">
        <f ca="1">IFERROR(__xludf.DUMMYFUNCTION("GOOGLETRANSLATE(A12477,""bn"",""en"")"),"You will prepare the project")</f>
        <v>You will prepare the project</v>
      </c>
      <c r="D12477" s="5"/>
      <c r="E12477" s="5"/>
      <c r="F12477" s="5"/>
      <c r="G12477" s="5"/>
      <c r="H12477" s="5"/>
      <c r="I12477" s="5"/>
      <c r="J12477" s="5"/>
      <c r="K12477" s="5"/>
      <c r="L12477" s="5"/>
      <c r="M12477" s="5"/>
      <c r="N12477" s="5"/>
      <c r="O12477" s="5"/>
      <c r="P12477" s="5"/>
      <c r="Q12477" s="5"/>
      <c r="R12477" s="5"/>
      <c r="S12477" s="5"/>
      <c r="T12477" s="5"/>
      <c r="U12477" s="5"/>
      <c r="V12477" s="5"/>
      <c r="W12477" s="5"/>
      <c r="X12477" s="5"/>
      <c r="Y12477" s="5"/>
      <c r="Z12477" s="5"/>
    </row>
    <row r="12478" spans="1:26" ht="15" x14ac:dyDescent="0.25">
      <c r="A12478" s="4" t="s">
        <v>12475</v>
      </c>
      <c r="B12478" s="4" t="s">
        <v>9011</v>
      </c>
      <c r="C12478" s="2" t="str">
        <f ca="1">IFERROR(__xludf.DUMMYFUNCTION("GOOGLETRANSLATE(A12478,""bn"",""en"")"),"Create a new database")</f>
        <v>Create a new database</v>
      </c>
      <c r="D12478" s="5"/>
      <c r="E12478" s="5"/>
      <c r="F12478" s="5"/>
      <c r="G12478" s="5"/>
      <c r="H12478" s="5"/>
      <c r="I12478" s="5"/>
      <c r="J12478" s="5"/>
      <c r="K12478" s="5"/>
      <c r="L12478" s="5"/>
      <c r="M12478" s="5"/>
      <c r="N12478" s="5"/>
      <c r="O12478" s="5"/>
      <c r="P12478" s="5"/>
      <c r="Q12478" s="5"/>
      <c r="R12478" s="5"/>
      <c r="S12478" s="5"/>
      <c r="T12478" s="5"/>
      <c r="U12478" s="5"/>
      <c r="V12478" s="5"/>
      <c r="W12478" s="5"/>
      <c r="X12478" s="5"/>
      <c r="Y12478" s="5"/>
      <c r="Z12478" s="5"/>
    </row>
    <row r="12479" spans="1:26" ht="15" x14ac:dyDescent="0.25">
      <c r="A12479" s="4" t="s">
        <v>12476</v>
      </c>
      <c r="B12479" s="4" t="s">
        <v>9011</v>
      </c>
      <c r="C12479" s="2" t="str">
        <f ca="1">IFERROR(__xludf.DUMMYFUNCTION("GOOGLETRANSLATE(A12479,""bn"",""en"")"),"You will discuss on campus")</f>
        <v>You will discuss on campus</v>
      </c>
      <c r="D12479" s="5"/>
      <c r="E12479" s="5"/>
      <c r="F12479" s="5"/>
      <c r="G12479" s="5"/>
      <c r="H12479" s="5"/>
      <c r="I12479" s="5"/>
      <c r="J12479" s="5"/>
      <c r="K12479" s="5"/>
      <c r="L12479" s="5"/>
      <c r="M12479" s="5"/>
      <c r="N12479" s="5"/>
      <c r="O12479" s="5"/>
      <c r="P12479" s="5"/>
      <c r="Q12479" s="5"/>
      <c r="R12479" s="5"/>
      <c r="S12479" s="5"/>
      <c r="T12479" s="5"/>
      <c r="U12479" s="5"/>
      <c r="V12479" s="5"/>
      <c r="W12479" s="5"/>
      <c r="X12479" s="5"/>
      <c r="Y12479" s="5"/>
      <c r="Z12479" s="5"/>
    </row>
    <row r="12480" spans="1:26" ht="15" x14ac:dyDescent="0.25">
      <c r="A12480" s="4" t="s">
        <v>12477</v>
      </c>
      <c r="B12480" s="4" t="s">
        <v>9011</v>
      </c>
      <c r="C12480" s="2" t="str">
        <f ca="1">IFERROR(__xludf.DUMMYFUNCTION("GOOGLETRANSLATE(A12480,""bn"",""en"")"),"Life will be like poetry")</f>
        <v>Life will be like poetry</v>
      </c>
      <c r="D12480" s="5"/>
      <c r="E12480" s="5"/>
      <c r="F12480" s="5"/>
      <c r="G12480" s="5"/>
      <c r="H12480" s="5"/>
      <c r="I12480" s="5"/>
      <c r="J12480" s="5"/>
      <c r="K12480" s="5"/>
      <c r="L12480" s="5"/>
      <c r="M12480" s="5"/>
      <c r="N12480" s="5"/>
      <c r="O12480" s="5"/>
      <c r="P12480" s="5"/>
      <c r="Q12480" s="5"/>
      <c r="R12480" s="5"/>
      <c r="S12480" s="5"/>
      <c r="T12480" s="5"/>
      <c r="U12480" s="5"/>
      <c r="V12480" s="5"/>
      <c r="W12480" s="5"/>
      <c r="X12480" s="5"/>
      <c r="Y12480" s="5"/>
      <c r="Z12480" s="5"/>
    </row>
    <row r="12481" spans="1:26" ht="15" x14ac:dyDescent="0.25">
      <c r="A12481" s="4" t="s">
        <v>12478</v>
      </c>
      <c r="B12481" s="4" t="s">
        <v>9011</v>
      </c>
      <c r="C12481" s="2" t="str">
        <f ca="1">IFERROR(__xludf.DUMMYFUNCTION("GOOGLETRANSLATE(A12481,""bn"",""en"")"),"Robots will help students")</f>
        <v>Robots will help students</v>
      </c>
      <c r="D12481" s="5"/>
      <c r="E12481" s="5"/>
      <c r="F12481" s="5"/>
      <c r="G12481" s="5"/>
      <c r="H12481" s="5"/>
      <c r="I12481" s="5"/>
      <c r="J12481" s="5"/>
      <c r="K12481" s="5"/>
      <c r="L12481" s="5"/>
      <c r="M12481" s="5"/>
      <c r="N12481" s="5"/>
      <c r="O12481" s="5"/>
      <c r="P12481" s="5"/>
      <c r="Q12481" s="5"/>
      <c r="R12481" s="5"/>
      <c r="S12481" s="5"/>
      <c r="T12481" s="5"/>
      <c r="U12481" s="5"/>
      <c r="V12481" s="5"/>
      <c r="W12481" s="5"/>
      <c r="X12481" s="5"/>
      <c r="Y12481" s="5"/>
      <c r="Z12481" s="5"/>
    </row>
    <row r="12482" spans="1:26" ht="15" x14ac:dyDescent="0.25">
      <c r="A12482" s="4" t="s">
        <v>12479</v>
      </c>
      <c r="B12482" s="4" t="s">
        <v>9011</v>
      </c>
      <c r="C12482" s="2" t="str">
        <f ca="1">IFERROR(__xludf.DUMMYFUNCTION("GOOGLETRANSLATE(A12482,""bn"",""en"")"),"He will open a savings account")</f>
        <v>He will open a savings account</v>
      </c>
      <c r="D12482" s="5"/>
      <c r="E12482" s="5"/>
      <c r="F12482" s="5"/>
      <c r="G12482" s="5"/>
      <c r="H12482" s="5"/>
      <c r="I12482" s="5"/>
      <c r="J12482" s="5"/>
      <c r="K12482" s="5"/>
      <c r="L12482" s="5"/>
      <c r="M12482" s="5"/>
      <c r="N12482" s="5"/>
      <c r="O12482" s="5"/>
      <c r="P12482" s="5"/>
      <c r="Q12482" s="5"/>
      <c r="R12482" s="5"/>
      <c r="S12482" s="5"/>
      <c r="T12482" s="5"/>
      <c r="U12482" s="5"/>
      <c r="V12482" s="5"/>
      <c r="W12482" s="5"/>
      <c r="X12482" s="5"/>
      <c r="Y12482" s="5"/>
      <c r="Z12482" s="5"/>
    </row>
    <row r="12483" spans="1:26" ht="15" x14ac:dyDescent="0.25">
      <c r="A12483" s="4" t="s">
        <v>12480</v>
      </c>
      <c r="B12483" s="4" t="s">
        <v>9011</v>
      </c>
      <c r="C12483" s="2" t="str">
        <f ca="1">IFERROR(__xludf.DUMMYFUNCTION("GOOGLETRANSLATE(A12483,""bn"",""en"")"),"The market will grow well")</f>
        <v>The market will grow well</v>
      </c>
      <c r="D12483" s="5"/>
      <c r="E12483" s="5"/>
      <c r="F12483" s="5"/>
      <c r="G12483" s="5"/>
      <c r="H12483" s="5"/>
      <c r="I12483" s="5"/>
      <c r="J12483" s="5"/>
      <c r="K12483" s="5"/>
      <c r="L12483" s="5"/>
      <c r="M12483" s="5"/>
      <c r="N12483" s="5"/>
      <c r="O12483" s="5"/>
      <c r="P12483" s="5"/>
      <c r="Q12483" s="5"/>
      <c r="R12483" s="5"/>
      <c r="S12483" s="5"/>
      <c r="T12483" s="5"/>
      <c r="U12483" s="5"/>
      <c r="V12483" s="5"/>
      <c r="W12483" s="5"/>
      <c r="X12483" s="5"/>
      <c r="Y12483" s="5"/>
      <c r="Z12483" s="5"/>
    </row>
    <row r="12484" spans="1:26" ht="15" x14ac:dyDescent="0.25">
      <c r="A12484" s="4" t="s">
        <v>12481</v>
      </c>
      <c r="B12484" s="4" t="s">
        <v>9011</v>
      </c>
      <c r="C12484" s="2" t="str">
        <f ca="1">IFERROR(__xludf.DUMMYFUNCTION("GOOGLETRANSLATE(A12484,""bn"",""en"")"),"He will keep the computer running")</f>
        <v>He will keep the computer running</v>
      </c>
      <c r="D12484" s="5"/>
      <c r="E12484" s="5"/>
      <c r="F12484" s="5"/>
      <c r="G12484" s="5"/>
      <c r="H12484" s="5"/>
      <c r="I12484" s="5"/>
      <c r="J12484" s="5"/>
      <c r="K12484" s="5"/>
      <c r="L12484" s="5"/>
      <c r="M12484" s="5"/>
      <c r="N12484" s="5"/>
      <c r="O12484" s="5"/>
      <c r="P12484" s="5"/>
      <c r="Q12484" s="5"/>
      <c r="R12484" s="5"/>
      <c r="S12484" s="5"/>
      <c r="T12484" s="5"/>
      <c r="U12484" s="5"/>
      <c r="V12484" s="5"/>
      <c r="W12484" s="5"/>
      <c r="X12484" s="5"/>
      <c r="Y12484" s="5"/>
      <c r="Z12484" s="5"/>
    </row>
    <row r="12485" spans="1:26" ht="15" x14ac:dyDescent="0.25">
      <c r="A12485" s="4" t="s">
        <v>12482</v>
      </c>
      <c r="B12485" s="4" t="s">
        <v>9011</v>
      </c>
      <c r="C12485" s="2" t="str">
        <f ca="1">IFERROR(__xludf.DUMMYFUNCTION("GOOGLETRANSLATE(A12485,""bn"",""en"")"),"Insects will attack crops")</f>
        <v>Insects will attack crops</v>
      </c>
      <c r="D12485" s="5"/>
      <c r="E12485" s="5"/>
      <c r="F12485" s="5"/>
      <c r="G12485" s="5"/>
      <c r="H12485" s="5"/>
      <c r="I12485" s="5"/>
      <c r="J12485" s="5"/>
      <c r="K12485" s="5"/>
      <c r="L12485" s="5"/>
      <c r="M12485" s="5"/>
      <c r="N12485" s="5"/>
      <c r="O12485" s="5"/>
      <c r="P12485" s="5"/>
      <c r="Q12485" s="5"/>
      <c r="R12485" s="5"/>
      <c r="S12485" s="5"/>
      <c r="T12485" s="5"/>
      <c r="U12485" s="5"/>
      <c r="V12485" s="5"/>
      <c r="W12485" s="5"/>
      <c r="X12485" s="5"/>
      <c r="Y12485" s="5"/>
      <c r="Z12485" s="5"/>
    </row>
    <row r="12486" spans="1:26" ht="15" x14ac:dyDescent="0.25">
      <c r="A12486" s="4" t="s">
        <v>12483</v>
      </c>
      <c r="B12486" s="4" t="s">
        <v>9011</v>
      </c>
      <c r="C12486" s="2" t="str">
        <f ca="1">IFERROR(__xludf.DUMMYFUNCTION("GOOGLETRANSLATE(A12486,""bn"",""en"")"),"New steps will be taken")</f>
        <v>New steps will be taken</v>
      </c>
      <c r="D12486" s="5"/>
      <c r="E12486" s="5"/>
      <c r="F12486" s="5"/>
      <c r="G12486" s="5"/>
      <c r="H12486" s="5"/>
      <c r="I12486" s="5"/>
      <c r="J12486" s="5"/>
      <c r="K12486" s="5"/>
      <c r="L12486" s="5"/>
      <c r="M12486" s="5"/>
      <c r="N12486" s="5"/>
      <c r="O12486" s="5"/>
      <c r="P12486" s="5"/>
      <c r="Q12486" s="5"/>
      <c r="R12486" s="5"/>
      <c r="S12486" s="5"/>
      <c r="T12486" s="5"/>
      <c r="U12486" s="5"/>
      <c r="V12486" s="5"/>
      <c r="W12486" s="5"/>
      <c r="X12486" s="5"/>
      <c r="Y12486" s="5"/>
      <c r="Z12486" s="5"/>
    </row>
    <row r="12487" spans="1:26" ht="15" x14ac:dyDescent="0.25">
      <c r="A12487" s="4" t="s">
        <v>12484</v>
      </c>
      <c r="B12487" s="4" t="s">
        <v>9011</v>
      </c>
      <c r="C12487" s="2" t="str">
        <f ca="1">IFERROR(__xludf.DUMMYFUNCTION("GOOGLETRANSLATE(A12487,""bn"",""en"")"),"You read the menu")</f>
        <v>You read the menu</v>
      </c>
      <c r="D12487" s="5"/>
      <c r="E12487" s="5"/>
      <c r="F12487" s="5"/>
      <c r="G12487" s="5"/>
      <c r="H12487" s="5"/>
      <c r="I12487" s="5"/>
      <c r="J12487" s="5"/>
      <c r="K12487" s="5"/>
      <c r="L12487" s="5"/>
      <c r="M12487" s="5"/>
      <c r="N12487" s="5"/>
      <c r="O12487" s="5"/>
      <c r="P12487" s="5"/>
      <c r="Q12487" s="5"/>
      <c r="R12487" s="5"/>
      <c r="S12487" s="5"/>
      <c r="T12487" s="5"/>
      <c r="U12487" s="5"/>
      <c r="V12487" s="5"/>
      <c r="W12487" s="5"/>
      <c r="X12487" s="5"/>
      <c r="Y12487" s="5"/>
      <c r="Z12487" s="5"/>
    </row>
    <row r="12488" spans="1:26" ht="15" x14ac:dyDescent="0.25">
      <c r="A12488" s="4" t="s">
        <v>12485</v>
      </c>
      <c r="B12488" s="4" t="s">
        <v>9011</v>
      </c>
      <c r="C12488" s="2" t="str">
        <f ca="1">IFERROR(__xludf.DUMMYFUNCTION("GOOGLETRANSLATE(A12488,""bn"",""en"")"),"There will be smart contract development")</f>
        <v>There will be smart contract development</v>
      </c>
      <c r="D12488" s="5"/>
      <c r="E12488" s="5"/>
      <c r="F12488" s="5"/>
      <c r="G12488" s="5"/>
      <c r="H12488" s="5"/>
      <c r="I12488" s="5"/>
      <c r="J12488" s="5"/>
      <c r="K12488" s="5"/>
      <c r="L12488" s="5"/>
      <c r="M12488" s="5"/>
      <c r="N12488" s="5"/>
      <c r="O12488" s="5"/>
      <c r="P12488" s="5"/>
      <c r="Q12488" s="5"/>
      <c r="R12488" s="5"/>
      <c r="S12488" s="5"/>
      <c r="T12488" s="5"/>
      <c r="U12488" s="5"/>
      <c r="V12488" s="5"/>
      <c r="W12488" s="5"/>
      <c r="X12488" s="5"/>
      <c r="Y12488" s="5"/>
      <c r="Z12488" s="5"/>
    </row>
    <row r="12489" spans="1:26" ht="15" x14ac:dyDescent="0.25">
      <c r="A12489" s="4" t="s">
        <v>12486</v>
      </c>
      <c r="B12489" s="4" t="s">
        <v>9011</v>
      </c>
      <c r="C12489" s="2" t="str">
        <f ca="1">IFERROR(__xludf.DUMMYFUNCTION("GOOGLETRANSLATE(A12489,""bn"",""en"")"),"Our project will be on campus")</f>
        <v>Our project will be on campus</v>
      </c>
      <c r="D12489" s="5"/>
      <c r="E12489" s="5"/>
      <c r="F12489" s="5"/>
      <c r="G12489" s="5"/>
      <c r="H12489" s="5"/>
      <c r="I12489" s="5"/>
      <c r="J12489" s="5"/>
      <c r="K12489" s="5"/>
      <c r="L12489" s="5"/>
      <c r="M12489" s="5"/>
      <c r="N12489" s="5"/>
      <c r="O12489" s="5"/>
      <c r="P12489" s="5"/>
      <c r="Q12489" s="5"/>
      <c r="R12489" s="5"/>
      <c r="S12489" s="5"/>
      <c r="T12489" s="5"/>
      <c r="U12489" s="5"/>
      <c r="V12489" s="5"/>
      <c r="W12489" s="5"/>
      <c r="X12489" s="5"/>
      <c r="Y12489" s="5"/>
      <c r="Z12489" s="5"/>
    </row>
    <row r="12490" spans="1:26" ht="15" x14ac:dyDescent="0.25">
      <c r="A12490" s="4" t="s">
        <v>12487</v>
      </c>
      <c r="B12490" s="4" t="s">
        <v>9011</v>
      </c>
      <c r="C12490" s="2" t="str">
        <f ca="1">IFERROR(__xludf.DUMMYFUNCTION("GOOGLETRANSLATE(A12490,""bn"",""en"")"),"The patient will be treated well")</f>
        <v>The patient will be treated well</v>
      </c>
      <c r="D12490" s="5"/>
      <c r="E12490" s="5"/>
      <c r="F12490" s="5"/>
      <c r="G12490" s="5"/>
      <c r="H12490" s="5"/>
      <c r="I12490" s="5"/>
      <c r="J12490" s="5"/>
      <c r="K12490" s="5"/>
      <c r="L12490" s="5"/>
      <c r="M12490" s="5"/>
      <c r="N12490" s="5"/>
      <c r="O12490" s="5"/>
      <c r="P12490" s="5"/>
      <c r="Q12490" s="5"/>
      <c r="R12490" s="5"/>
      <c r="S12490" s="5"/>
      <c r="T12490" s="5"/>
      <c r="U12490" s="5"/>
      <c r="V12490" s="5"/>
      <c r="W12490" s="5"/>
      <c r="X12490" s="5"/>
      <c r="Y12490" s="5"/>
      <c r="Z12490" s="5"/>
    </row>
    <row r="12491" spans="1:26" ht="15" x14ac:dyDescent="0.25">
      <c r="A12491" s="4" t="s">
        <v>12488</v>
      </c>
      <c r="B12491" s="4" t="s">
        <v>9011</v>
      </c>
      <c r="C12491" s="2" t="str">
        <f ca="1">IFERROR(__xludf.DUMMYFUNCTION("GOOGLETRANSLATE(A12491,""bn"",""en"")"),"The condition of the patient will improve")</f>
        <v>The condition of the patient will improve</v>
      </c>
      <c r="D12491" s="5"/>
      <c r="E12491" s="5"/>
      <c r="F12491" s="5"/>
      <c r="G12491" s="5"/>
      <c r="H12491" s="5"/>
      <c r="I12491" s="5"/>
      <c r="J12491" s="5"/>
      <c r="K12491" s="5"/>
      <c r="L12491" s="5"/>
      <c r="M12491" s="5"/>
      <c r="N12491" s="5"/>
      <c r="O12491" s="5"/>
      <c r="P12491" s="5"/>
      <c r="Q12491" s="5"/>
      <c r="R12491" s="5"/>
      <c r="S12491" s="5"/>
      <c r="T12491" s="5"/>
      <c r="U12491" s="5"/>
      <c r="V12491" s="5"/>
      <c r="W12491" s="5"/>
      <c r="X12491" s="5"/>
      <c r="Y12491" s="5"/>
      <c r="Z12491" s="5"/>
    </row>
    <row r="12492" spans="1:26" ht="15" x14ac:dyDescent="0.25">
      <c r="A12492" s="4" t="s">
        <v>12489</v>
      </c>
      <c r="B12492" s="4" t="s">
        <v>9011</v>
      </c>
      <c r="C12492" s="2" t="str">
        <f ca="1">IFERROR(__xludf.DUMMYFUNCTION("GOOGLETRANSLATE(A12492,""bn"",""en"")"),"Will use smart home")</f>
        <v>Will use smart home</v>
      </c>
      <c r="D12492" s="5"/>
      <c r="E12492" s="5"/>
      <c r="F12492" s="5"/>
      <c r="G12492" s="5"/>
      <c r="H12492" s="5"/>
      <c r="I12492" s="5"/>
      <c r="J12492" s="5"/>
      <c r="K12492" s="5"/>
      <c r="L12492" s="5"/>
      <c r="M12492" s="5"/>
      <c r="N12492" s="5"/>
      <c r="O12492" s="5"/>
      <c r="P12492" s="5"/>
      <c r="Q12492" s="5"/>
      <c r="R12492" s="5"/>
      <c r="S12492" s="5"/>
      <c r="T12492" s="5"/>
      <c r="U12492" s="5"/>
      <c r="V12492" s="5"/>
      <c r="W12492" s="5"/>
      <c r="X12492" s="5"/>
      <c r="Y12492" s="5"/>
      <c r="Z12492" s="5"/>
    </row>
    <row r="12493" spans="1:26" ht="15" x14ac:dyDescent="0.25">
      <c r="A12493" s="4" t="s">
        <v>12490</v>
      </c>
      <c r="B12493" s="4" t="s">
        <v>9011</v>
      </c>
      <c r="C12493" s="2" t="str">
        <f ca="1">IFERROR(__xludf.DUMMYFUNCTION("GOOGLETRANSLATE(A12493,""bn"",""en"")"),"Will apply to Grameen Bank")</f>
        <v>Will apply to Grameen Bank</v>
      </c>
      <c r="D12493" s="5"/>
      <c r="E12493" s="5"/>
      <c r="F12493" s="5"/>
      <c r="G12493" s="5"/>
      <c r="H12493" s="5"/>
      <c r="I12493" s="5"/>
      <c r="J12493" s="5"/>
      <c r="K12493" s="5"/>
      <c r="L12493" s="5"/>
      <c r="M12493" s="5"/>
      <c r="N12493" s="5"/>
      <c r="O12493" s="5"/>
      <c r="P12493" s="5"/>
      <c r="Q12493" s="5"/>
      <c r="R12493" s="5"/>
      <c r="S12493" s="5"/>
      <c r="T12493" s="5"/>
      <c r="U12493" s="5"/>
      <c r="V12493" s="5"/>
      <c r="W12493" s="5"/>
      <c r="X12493" s="5"/>
      <c r="Y12493" s="5"/>
      <c r="Z12493" s="5"/>
    </row>
    <row r="12494" spans="1:26" ht="15" x14ac:dyDescent="0.25">
      <c r="A12494" s="4" t="s">
        <v>12491</v>
      </c>
      <c r="B12494" s="4" t="s">
        <v>9011</v>
      </c>
      <c r="C12494" s="2" t="str">
        <f ca="1">IFERROR(__xludf.DUMMYFUNCTION("GOOGLETRANSLATE(A12494,""bn"",""en"")"),"The patient will recover soon")</f>
        <v>The patient will recover soon</v>
      </c>
      <c r="D12494" s="5"/>
      <c r="E12494" s="5"/>
      <c r="F12494" s="5"/>
      <c r="G12494" s="5"/>
      <c r="H12494" s="5"/>
      <c r="I12494" s="5"/>
      <c r="J12494" s="5"/>
      <c r="K12494" s="5"/>
      <c r="L12494" s="5"/>
      <c r="M12494" s="5"/>
      <c r="N12494" s="5"/>
      <c r="O12494" s="5"/>
      <c r="P12494" s="5"/>
      <c r="Q12494" s="5"/>
      <c r="R12494" s="5"/>
      <c r="S12494" s="5"/>
      <c r="T12494" s="5"/>
      <c r="U12494" s="5"/>
      <c r="V12494" s="5"/>
      <c r="W12494" s="5"/>
      <c r="X12494" s="5"/>
      <c r="Y12494" s="5"/>
      <c r="Z12494" s="5"/>
    </row>
    <row r="12495" spans="1:26" ht="15" x14ac:dyDescent="0.25">
      <c r="A12495" s="4" t="s">
        <v>12492</v>
      </c>
      <c r="B12495" s="4" t="s">
        <v>9011</v>
      </c>
      <c r="C12495" s="2" t="str">
        <f ca="1">IFERROR(__xludf.DUMMYFUNCTION("GOOGLETRANSLATE(A12495,""bn"",""en"")"),"Many search engines will be created")</f>
        <v>Many search engines will be created</v>
      </c>
      <c r="D12495" s="5"/>
      <c r="E12495" s="5"/>
      <c r="F12495" s="5"/>
      <c r="G12495" s="5"/>
      <c r="H12495" s="5"/>
      <c r="I12495" s="5"/>
      <c r="J12495" s="5"/>
      <c r="K12495" s="5"/>
      <c r="L12495" s="5"/>
      <c r="M12495" s="5"/>
      <c r="N12495" s="5"/>
      <c r="O12495" s="5"/>
      <c r="P12495" s="5"/>
      <c r="Q12495" s="5"/>
      <c r="R12495" s="5"/>
      <c r="S12495" s="5"/>
      <c r="T12495" s="5"/>
      <c r="U12495" s="5"/>
      <c r="V12495" s="5"/>
      <c r="W12495" s="5"/>
      <c r="X12495" s="5"/>
      <c r="Y12495" s="5"/>
      <c r="Z12495" s="5"/>
    </row>
    <row r="12496" spans="1:26" ht="15" x14ac:dyDescent="0.25">
      <c r="A12496" s="4" t="s">
        <v>12493</v>
      </c>
      <c r="B12496" s="4" t="s">
        <v>9011</v>
      </c>
      <c r="C12496" s="2" t="str">
        <f ca="1">IFERROR(__xludf.DUMMYFUNCTION("GOOGLETRANSLATE(A12496,""bn"",""en"")"),"Language will be through sound")</f>
        <v>Language will be through sound</v>
      </c>
      <c r="D12496" s="5"/>
      <c r="E12496" s="5"/>
      <c r="F12496" s="5"/>
      <c r="G12496" s="5"/>
      <c r="H12496" s="5"/>
      <c r="I12496" s="5"/>
      <c r="J12496" s="5"/>
      <c r="K12496" s="5"/>
      <c r="L12496" s="5"/>
      <c r="M12496" s="5"/>
      <c r="N12496" s="5"/>
      <c r="O12496" s="5"/>
      <c r="P12496" s="5"/>
      <c r="Q12496" s="5"/>
      <c r="R12496" s="5"/>
      <c r="S12496" s="5"/>
      <c r="T12496" s="5"/>
      <c r="U12496" s="5"/>
      <c r="V12496" s="5"/>
      <c r="W12496" s="5"/>
      <c r="X12496" s="5"/>
      <c r="Y12496" s="5"/>
      <c r="Z12496" s="5"/>
    </row>
    <row r="12497" spans="1:26" ht="15" x14ac:dyDescent="0.25">
      <c r="A12497" s="4" t="s">
        <v>12494</v>
      </c>
      <c r="B12497" s="4" t="s">
        <v>9011</v>
      </c>
      <c r="C12497" s="2" t="str">
        <f ca="1">IFERROR(__xludf.DUMMYFUNCTION("GOOGLETRANSLATE(A12497,""bn"",""en"")"),"The doctor will help the treatment")</f>
        <v>The doctor will help the treatment</v>
      </c>
      <c r="D12497" s="5"/>
      <c r="E12497" s="5"/>
      <c r="F12497" s="5"/>
      <c r="G12497" s="5"/>
      <c r="H12497" s="5"/>
      <c r="I12497" s="5"/>
      <c r="J12497" s="5"/>
      <c r="K12497" s="5"/>
      <c r="L12497" s="5"/>
      <c r="M12497" s="5"/>
      <c r="N12497" s="5"/>
      <c r="O12497" s="5"/>
      <c r="P12497" s="5"/>
      <c r="Q12497" s="5"/>
      <c r="R12497" s="5"/>
      <c r="S12497" s="5"/>
      <c r="T12497" s="5"/>
      <c r="U12497" s="5"/>
      <c r="V12497" s="5"/>
      <c r="W12497" s="5"/>
      <c r="X12497" s="5"/>
      <c r="Y12497" s="5"/>
      <c r="Z12497" s="5"/>
    </row>
    <row r="12498" spans="1:26" ht="15" x14ac:dyDescent="0.25">
      <c r="A12498" s="4" t="s">
        <v>12495</v>
      </c>
      <c r="B12498" s="4" t="s">
        <v>9011</v>
      </c>
      <c r="C12498" s="2" t="str">
        <f ca="1">IFERROR(__xludf.DUMMYFUNCTION("GOOGLETRANSLATE(A12498,""bn"",""en"")"),"Flowers will grow soon")</f>
        <v>Flowers will grow soon</v>
      </c>
      <c r="D12498" s="5"/>
      <c r="E12498" s="5"/>
      <c r="F12498" s="5"/>
      <c r="G12498" s="5"/>
      <c r="H12498" s="5"/>
      <c r="I12498" s="5"/>
      <c r="J12498" s="5"/>
      <c r="K12498" s="5"/>
      <c r="L12498" s="5"/>
      <c r="M12498" s="5"/>
      <c r="N12498" s="5"/>
      <c r="O12498" s="5"/>
      <c r="P12498" s="5"/>
      <c r="Q12498" s="5"/>
      <c r="R12498" s="5"/>
      <c r="S12498" s="5"/>
      <c r="T12498" s="5"/>
      <c r="U12498" s="5"/>
      <c r="V12498" s="5"/>
      <c r="W12498" s="5"/>
      <c r="X12498" s="5"/>
      <c r="Y12498" s="5"/>
      <c r="Z12498" s="5"/>
    </row>
    <row r="12499" spans="1:26" ht="15" x14ac:dyDescent="0.25">
      <c r="A12499" s="4" t="s">
        <v>12496</v>
      </c>
      <c r="B12499" s="4" t="s">
        <v>9011</v>
      </c>
      <c r="C12499" s="2" t="str">
        <f ca="1">IFERROR(__xludf.DUMMYFUNCTION("GOOGLETRANSLATE(A12499,""bn"",""en"")"),"We will discuss in the meeting")</f>
        <v>We will discuss in the meeting</v>
      </c>
      <c r="D12499" s="5"/>
      <c r="E12499" s="5"/>
      <c r="F12499" s="5"/>
      <c r="G12499" s="5"/>
      <c r="H12499" s="5"/>
      <c r="I12499" s="5"/>
      <c r="J12499" s="5"/>
      <c r="K12499" s="5"/>
      <c r="L12499" s="5"/>
      <c r="M12499" s="5"/>
      <c r="N12499" s="5"/>
      <c r="O12499" s="5"/>
      <c r="P12499" s="5"/>
      <c r="Q12499" s="5"/>
      <c r="R12499" s="5"/>
      <c r="S12499" s="5"/>
      <c r="T12499" s="5"/>
      <c r="U12499" s="5"/>
      <c r="V12499" s="5"/>
      <c r="W12499" s="5"/>
      <c r="X12499" s="5"/>
      <c r="Y12499" s="5"/>
      <c r="Z12499" s="5"/>
    </row>
    <row r="12500" spans="1:26" ht="15" x14ac:dyDescent="0.25">
      <c r="A12500" s="4" t="s">
        <v>12497</v>
      </c>
      <c r="B12500" s="4" t="s">
        <v>9011</v>
      </c>
      <c r="C12500" s="2" t="str">
        <f ca="1">IFERROR(__xludf.DUMMYFUNCTION("GOOGLETRANSLATE(A12500,""bn"",""en"")"),"He will eat ripe wood")</f>
        <v>He will eat ripe wood</v>
      </c>
      <c r="D12500" s="5"/>
      <c r="E12500" s="5"/>
      <c r="F12500" s="5"/>
      <c r="G12500" s="5"/>
      <c r="H12500" s="5"/>
      <c r="I12500" s="5"/>
      <c r="J12500" s="5"/>
      <c r="K12500" s="5"/>
      <c r="L12500" s="5"/>
      <c r="M12500" s="5"/>
      <c r="N12500" s="5"/>
      <c r="O12500" s="5"/>
      <c r="P12500" s="5"/>
      <c r="Q12500" s="5"/>
      <c r="R12500" s="5"/>
      <c r="S12500" s="5"/>
      <c r="T12500" s="5"/>
      <c r="U12500" s="5"/>
      <c r="V12500" s="5"/>
      <c r="W12500" s="5"/>
      <c r="X12500" s="5"/>
      <c r="Y12500" s="5"/>
      <c r="Z12500" s="5"/>
    </row>
    <row r="12501" spans="1:26" ht="15" x14ac:dyDescent="0.25">
      <c r="A12501" s="4" t="s">
        <v>12498</v>
      </c>
      <c r="B12501" s="4" t="s">
        <v>9011</v>
      </c>
      <c r="C12501" s="2" t="str">
        <f ca="1">IFERROR(__xludf.DUMMYFUNCTION("GOOGLETRANSLATE(A12501,""bn"",""en"")"),"New investment will be faster")</f>
        <v>New investment will be faster</v>
      </c>
      <c r="D12501" s="5"/>
      <c r="E12501" s="5"/>
      <c r="F12501" s="5"/>
      <c r="G12501" s="5"/>
      <c r="H12501" s="5"/>
      <c r="I12501" s="5"/>
      <c r="J12501" s="5"/>
      <c r="K12501" s="5"/>
      <c r="L12501" s="5"/>
      <c r="M12501" s="5"/>
      <c r="N12501" s="5"/>
      <c r="O12501" s="5"/>
      <c r="P12501" s="5"/>
      <c r="Q12501" s="5"/>
      <c r="R12501" s="5"/>
      <c r="S12501" s="5"/>
      <c r="T12501" s="5"/>
      <c r="U12501" s="5"/>
      <c r="V12501" s="5"/>
      <c r="W12501" s="5"/>
      <c r="X12501" s="5"/>
      <c r="Y12501" s="5"/>
      <c r="Z12501" s="5"/>
    </row>
    <row r="12502" spans="1:26" ht="15" x14ac:dyDescent="0.25">
      <c r="A12502" s="4" t="s">
        <v>12499</v>
      </c>
      <c r="B12502" s="4" t="s">
        <v>9011</v>
      </c>
      <c r="C12502" s="2" t="str">
        <f ca="1">IFERROR(__xludf.DUMMYFUNCTION("GOOGLETRANSLATE(A12502,""bn"",""en"")"),"A larger multiplug will be required")</f>
        <v>A larger multiplug will be required</v>
      </c>
      <c r="D12502" s="5"/>
      <c r="E12502" s="5"/>
      <c r="F12502" s="5"/>
      <c r="G12502" s="5"/>
      <c r="H12502" s="5"/>
      <c r="I12502" s="5"/>
      <c r="J12502" s="5"/>
      <c r="K12502" s="5"/>
      <c r="L12502" s="5"/>
      <c r="M12502" s="5"/>
      <c r="N12502" s="5"/>
      <c r="O12502" s="5"/>
      <c r="P12502" s="5"/>
      <c r="Q12502" s="5"/>
      <c r="R12502" s="5"/>
      <c r="S12502" s="5"/>
      <c r="T12502" s="5"/>
      <c r="U12502" s="5"/>
      <c r="V12502" s="5"/>
      <c r="W12502" s="5"/>
      <c r="X12502" s="5"/>
      <c r="Y12502" s="5"/>
      <c r="Z12502" s="5"/>
    </row>
    <row r="12503" spans="1:26" ht="15" x14ac:dyDescent="0.25">
      <c r="A12503" s="4" t="s">
        <v>12500</v>
      </c>
      <c r="B12503" s="4" t="s">
        <v>9011</v>
      </c>
      <c r="C12503" s="2" t="str">
        <f ca="1">IFERROR(__xludf.DUMMYFUNCTION("GOOGLETRANSLATE(A12503,""bn"",""en"")"),"It will be discussed in the next meeting")</f>
        <v>It will be discussed in the next meeting</v>
      </c>
      <c r="D12503" s="5"/>
      <c r="E12503" s="5"/>
      <c r="F12503" s="5"/>
      <c r="G12503" s="5"/>
      <c r="H12503" s="5"/>
      <c r="I12503" s="5"/>
      <c r="J12503" s="5"/>
      <c r="K12503" s="5"/>
      <c r="L12503" s="5"/>
      <c r="M12503" s="5"/>
      <c r="N12503" s="5"/>
      <c r="O12503" s="5"/>
      <c r="P12503" s="5"/>
      <c r="Q12503" s="5"/>
      <c r="R12503" s="5"/>
      <c r="S12503" s="5"/>
      <c r="T12503" s="5"/>
      <c r="U12503" s="5"/>
      <c r="V12503" s="5"/>
      <c r="W12503" s="5"/>
      <c r="X12503" s="5"/>
      <c r="Y12503" s="5"/>
      <c r="Z12503" s="5"/>
    </row>
    <row r="12504" spans="1:26" ht="15" x14ac:dyDescent="0.25">
      <c r="A12504" s="4" t="s">
        <v>12501</v>
      </c>
      <c r="B12504" s="4" t="s">
        <v>9011</v>
      </c>
      <c r="C12504" s="2" t="str">
        <f ca="1">IFERROR(__xludf.DUMMYFUNCTION("GOOGLETRANSLATE(A12504,""bn"",""en"")"),"Learning blockchain requires coding")</f>
        <v>Learning blockchain requires coding</v>
      </c>
      <c r="D12504" s="5"/>
      <c r="E12504" s="5"/>
      <c r="F12504" s="5"/>
      <c r="G12504" s="5"/>
      <c r="H12504" s="5"/>
      <c r="I12504" s="5"/>
      <c r="J12504" s="5"/>
      <c r="K12504" s="5"/>
      <c r="L12504" s="5"/>
      <c r="M12504" s="5"/>
      <c r="N12504" s="5"/>
      <c r="O12504" s="5"/>
      <c r="P12504" s="5"/>
      <c r="Q12504" s="5"/>
      <c r="R12504" s="5"/>
      <c r="S12504" s="5"/>
      <c r="T12504" s="5"/>
      <c r="U12504" s="5"/>
      <c r="V12504" s="5"/>
      <c r="W12504" s="5"/>
      <c r="X12504" s="5"/>
      <c r="Y12504" s="5"/>
      <c r="Z12504" s="5"/>
    </row>
    <row r="12505" spans="1:26" ht="15" x14ac:dyDescent="0.25">
      <c r="A12505" s="4" t="s">
        <v>12502</v>
      </c>
      <c r="B12505" s="4" t="s">
        <v>9011</v>
      </c>
      <c r="C12505" s="2" t="str">
        <f ca="1">IFERROR(__xludf.DUMMYFUNCTION("GOOGLETRANSLATE(A12505,""bn"",""en"")"),"We will make posters")</f>
        <v>We will make posters</v>
      </c>
      <c r="D12505" s="5"/>
      <c r="E12505" s="5"/>
      <c r="F12505" s="5"/>
      <c r="G12505" s="5"/>
      <c r="H12505" s="5"/>
      <c r="I12505" s="5"/>
      <c r="J12505" s="5"/>
      <c r="K12505" s="5"/>
      <c r="L12505" s="5"/>
      <c r="M12505" s="5"/>
      <c r="N12505" s="5"/>
      <c r="O12505" s="5"/>
      <c r="P12505" s="5"/>
      <c r="Q12505" s="5"/>
      <c r="R12505" s="5"/>
      <c r="S12505" s="5"/>
      <c r="T12505" s="5"/>
      <c r="U12505" s="5"/>
      <c r="V12505" s="5"/>
      <c r="W12505" s="5"/>
      <c r="X12505" s="5"/>
      <c r="Y12505" s="5"/>
      <c r="Z12505" s="5"/>
    </row>
    <row r="12506" spans="1:26" ht="15" x14ac:dyDescent="0.25">
      <c r="A12506" s="4" t="s">
        <v>12503</v>
      </c>
      <c r="B12506" s="4" t="s">
        <v>9011</v>
      </c>
      <c r="C12506" s="2" t="str">
        <f ca="1">IFERROR(__xludf.DUMMYFUNCTION("GOOGLETRANSLATE(A12506,""bn"",""en"")"),"Durjoy will be Mohana Chandni")</f>
        <v>Durjoy will be Mohana Chandni</v>
      </c>
      <c r="D12506" s="5"/>
      <c r="E12506" s="5"/>
      <c r="F12506" s="5"/>
      <c r="G12506" s="5"/>
      <c r="H12506" s="5"/>
      <c r="I12506" s="5"/>
      <c r="J12506" s="5"/>
      <c r="K12506" s="5"/>
      <c r="L12506" s="5"/>
      <c r="M12506" s="5"/>
      <c r="N12506" s="5"/>
      <c r="O12506" s="5"/>
      <c r="P12506" s="5"/>
      <c r="Q12506" s="5"/>
      <c r="R12506" s="5"/>
      <c r="S12506" s="5"/>
      <c r="T12506" s="5"/>
      <c r="U12506" s="5"/>
      <c r="V12506" s="5"/>
      <c r="W12506" s="5"/>
      <c r="X12506" s="5"/>
      <c r="Y12506" s="5"/>
      <c r="Z12506" s="5"/>
    </row>
    <row r="12507" spans="1:26" ht="15" x14ac:dyDescent="0.25">
      <c r="A12507" s="4" t="s">
        <v>12504</v>
      </c>
      <c r="B12507" s="4" t="s">
        <v>9011</v>
      </c>
      <c r="C12507" s="2" t="str">
        <f ca="1">IFERROR(__xludf.DUMMYFUNCTION("GOOGLETRANSLATE(A12507,""bn"",""en"")"),"He will go to the mysterious island")</f>
        <v>He will go to the mysterious island</v>
      </c>
      <c r="D12507" s="5"/>
      <c r="E12507" s="5"/>
      <c r="F12507" s="5"/>
      <c r="G12507" s="5"/>
      <c r="H12507" s="5"/>
      <c r="I12507" s="5"/>
      <c r="J12507" s="5"/>
      <c r="K12507" s="5"/>
      <c r="L12507" s="5"/>
      <c r="M12507" s="5"/>
      <c r="N12507" s="5"/>
      <c r="O12507" s="5"/>
      <c r="P12507" s="5"/>
      <c r="Q12507" s="5"/>
      <c r="R12507" s="5"/>
      <c r="S12507" s="5"/>
      <c r="T12507" s="5"/>
      <c r="U12507" s="5"/>
      <c r="V12507" s="5"/>
      <c r="W12507" s="5"/>
      <c r="X12507" s="5"/>
      <c r="Y12507" s="5"/>
      <c r="Z12507" s="5"/>
    </row>
    <row r="12508" spans="1:26" ht="15" x14ac:dyDescent="0.25">
      <c r="A12508" s="4" t="s">
        <v>12505</v>
      </c>
      <c r="B12508" s="4" t="s">
        <v>9011</v>
      </c>
      <c r="C12508" s="2" t="str">
        <f ca="1">IFERROR(__xludf.DUMMYFUNCTION("GOOGLETRANSLATE(A12508,""bn"",""en"")"),"Introduce new markets")</f>
        <v>Introduce new markets</v>
      </c>
      <c r="D12508" s="5"/>
      <c r="E12508" s="5"/>
      <c r="F12508" s="5"/>
      <c r="G12508" s="5"/>
      <c r="H12508" s="5"/>
      <c r="I12508" s="5"/>
      <c r="J12508" s="5"/>
      <c r="K12508" s="5"/>
      <c r="L12508" s="5"/>
      <c r="M12508" s="5"/>
      <c r="N12508" s="5"/>
      <c r="O12508" s="5"/>
      <c r="P12508" s="5"/>
      <c r="Q12508" s="5"/>
      <c r="R12508" s="5"/>
      <c r="S12508" s="5"/>
      <c r="T12508" s="5"/>
      <c r="U12508" s="5"/>
      <c r="V12508" s="5"/>
      <c r="W12508" s="5"/>
      <c r="X12508" s="5"/>
      <c r="Y12508" s="5"/>
      <c r="Z12508" s="5"/>
    </row>
    <row r="12509" spans="1:26" ht="15" x14ac:dyDescent="0.25">
      <c r="A12509" s="4" t="s">
        <v>12506</v>
      </c>
      <c r="B12509" s="4" t="s">
        <v>9011</v>
      </c>
      <c r="C12509" s="2" t="str">
        <f ca="1">IFERROR(__xludf.DUMMYFUNCTION("GOOGLETRANSLATE(A12509,""bn"",""en"")"),"I will be coding all day")</f>
        <v>I will be coding all day</v>
      </c>
      <c r="D12509" s="5"/>
      <c r="E12509" s="5"/>
      <c r="F12509" s="5"/>
      <c r="G12509" s="5"/>
      <c r="H12509" s="5"/>
      <c r="I12509" s="5"/>
      <c r="J12509" s="5"/>
      <c r="K12509" s="5"/>
      <c r="L12509" s="5"/>
      <c r="M12509" s="5"/>
      <c r="N12509" s="5"/>
      <c r="O12509" s="5"/>
      <c r="P12509" s="5"/>
      <c r="Q12509" s="5"/>
      <c r="R12509" s="5"/>
      <c r="S12509" s="5"/>
      <c r="T12509" s="5"/>
      <c r="U12509" s="5"/>
      <c r="V12509" s="5"/>
      <c r="W12509" s="5"/>
      <c r="X12509" s="5"/>
      <c r="Y12509" s="5"/>
      <c r="Z12509" s="5"/>
    </row>
    <row r="12510" spans="1:26" ht="15" x14ac:dyDescent="0.25">
      <c r="A12510" s="4" t="s">
        <v>12507</v>
      </c>
      <c r="B12510" s="4" t="s">
        <v>9011</v>
      </c>
      <c r="C12510" s="2" t="str">
        <f ca="1">IFERROR(__xludf.DUMMYFUNCTION("GOOGLETRANSLATE(A12510,""bn"",""en"")"),"Dropped leaves will get wet")</f>
        <v>Dropped leaves will get wet</v>
      </c>
      <c r="D12510" s="5"/>
      <c r="E12510" s="5"/>
      <c r="F12510" s="5"/>
      <c r="G12510" s="5"/>
      <c r="H12510" s="5"/>
      <c r="I12510" s="5"/>
      <c r="J12510" s="5"/>
      <c r="K12510" s="5"/>
      <c r="L12510" s="5"/>
      <c r="M12510" s="5"/>
      <c r="N12510" s="5"/>
      <c r="O12510" s="5"/>
      <c r="P12510" s="5"/>
      <c r="Q12510" s="5"/>
      <c r="R12510" s="5"/>
      <c r="S12510" s="5"/>
      <c r="T12510" s="5"/>
      <c r="U12510" s="5"/>
      <c r="V12510" s="5"/>
      <c r="W12510" s="5"/>
      <c r="X12510" s="5"/>
      <c r="Y12510" s="5"/>
      <c r="Z12510" s="5"/>
    </row>
    <row r="12511" spans="1:26" ht="15" x14ac:dyDescent="0.25">
      <c r="A12511" s="4" t="s">
        <v>12508</v>
      </c>
      <c r="B12511" s="4" t="s">
        <v>9011</v>
      </c>
      <c r="C12511" s="2" t="str">
        <f ca="1">IFERROR(__xludf.DUMMYFUNCTION("GOOGLETRANSLATE(A12511,""bn"",""en"")"),"The weather will be colder")</f>
        <v>The weather will be colder</v>
      </c>
      <c r="D12511" s="5"/>
      <c r="E12511" s="5"/>
      <c r="F12511" s="5"/>
      <c r="G12511" s="5"/>
      <c r="H12511" s="5"/>
      <c r="I12511" s="5"/>
      <c r="J12511" s="5"/>
      <c r="K12511" s="5"/>
      <c r="L12511" s="5"/>
      <c r="M12511" s="5"/>
      <c r="N12511" s="5"/>
      <c r="O12511" s="5"/>
      <c r="P12511" s="5"/>
      <c r="Q12511" s="5"/>
      <c r="R12511" s="5"/>
      <c r="S12511" s="5"/>
      <c r="T12511" s="5"/>
      <c r="U12511" s="5"/>
      <c r="V12511" s="5"/>
      <c r="W12511" s="5"/>
      <c r="X12511" s="5"/>
      <c r="Y12511" s="5"/>
      <c r="Z12511" s="5"/>
    </row>
    <row r="12512" spans="1:26" ht="15" x14ac:dyDescent="0.25">
      <c r="A12512" s="4" t="s">
        <v>12509</v>
      </c>
      <c r="B12512" s="4" t="s">
        <v>9011</v>
      </c>
      <c r="C12512" s="2" t="str">
        <f ca="1">IFERROR(__xludf.DUMMYFUNCTION("GOOGLETRANSLATE(A12512,""bn"",""en"")"),"Will try new food")</f>
        <v>Will try new food</v>
      </c>
      <c r="D12512" s="5"/>
      <c r="E12512" s="5"/>
      <c r="F12512" s="5"/>
      <c r="G12512" s="5"/>
      <c r="H12512" s="5"/>
      <c r="I12512" s="5"/>
      <c r="J12512" s="5"/>
      <c r="K12512" s="5"/>
      <c r="L12512" s="5"/>
      <c r="M12512" s="5"/>
      <c r="N12512" s="5"/>
      <c r="O12512" s="5"/>
      <c r="P12512" s="5"/>
      <c r="Q12512" s="5"/>
      <c r="R12512" s="5"/>
      <c r="S12512" s="5"/>
      <c r="T12512" s="5"/>
      <c r="U12512" s="5"/>
      <c r="V12512" s="5"/>
      <c r="W12512" s="5"/>
      <c r="X12512" s="5"/>
      <c r="Y12512" s="5"/>
      <c r="Z12512" s="5"/>
    </row>
    <row r="12513" spans="1:26" ht="15" x14ac:dyDescent="0.25">
      <c r="A12513" s="4" t="s">
        <v>12510</v>
      </c>
      <c r="B12513" s="4" t="s">
        <v>9011</v>
      </c>
      <c r="C12513" s="2" t="str">
        <f ca="1">IFERROR(__xludf.DUMMYFUNCTION("GOOGLETRANSLATE(A12513,""bn"",""en"")"),"Will book a hotel on the beach")</f>
        <v>Will book a hotel on the beach</v>
      </c>
      <c r="D12513" s="5"/>
      <c r="E12513" s="5"/>
      <c r="F12513" s="5"/>
      <c r="G12513" s="5"/>
      <c r="H12513" s="5"/>
      <c r="I12513" s="5"/>
      <c r="J12513" s="5"/>
      <c r="K12513" s="5"/>
      <c r="L12513" s="5"/>
      <c r="M12513" s="5"/>
      <c r="N12513" s="5"/>
      <c r="O12513" s="5"/>
      <c r="P12513" s="5"/>
      <c r="Q12513" s="5"/>
      <c r="R12513" s="5"/>
      <c r="S12513" s="5"/>
      <c r="T12513" s="5"/>
      <c r="U12513" s="5"/>
      <c r="V12513" s="5"/>
      <c r="W12513" s="5"/>
      <c r="X12513" s="5"/>
      <c r="Y12513" s="5"/>
      <c r="Z12513" s="5"/>
    </row>
    <row r="12514" spans="1:26" ht="15" x14ac:dyDescent="0.25">
      <c r="A12514" s="4" t="s">
        <v>12511</v>
      </c>
      <c r="B12514" s="4" t="s">
        <v>9011</v>
      </c>
      <c r="C12514" s="2" t="str">
        <f ca="1">IFERROR(__xludf.DUMMYFUNCTION("GOOGLETRANSLATE(A12514,""bn"",""en"")"),"You will learn hacking theory")</f>
        <v>You will learn hacking theory</v>
      </c>
      <c r="D12514" s="5"/>
      <c r="E12514" s="5"/>
      <c r="F12514" s="5"/>
      <c r="G12514" s="5"/>
      <c r="H12514" s="5"/>
      <c r="I12514" s="5"/>
      <c r="J12514" s="5"/>
      <c r="K12514" s="5"/>
      <c r="L12514" s="5"/>
      <c r="M12514" s="5"/>
      <c r="N12514" s="5"/>
      <c r="O12514" s="5"/>
      <c r="P12514" s="5"/>
      <c r="Q12514" s="5"/>
      <c r="R12514" s="5"/>
      <c r="S12514" s="5"/>
      <c r="T12514" s="5"/>
      <c r="U12514" s="5"/>
      <c r="V12514" s="5"/>
      <c r="W12514" s="5"/>
      <c r="X12514" s="5"/>
      <c r="Y12514" s="5"/>
      <c r="Z12514" s="5"/>
    </row>
    <row r="12515" spans="1:26" ht="15" x14ac:dyDescent="0.25">
      <c r="A12515" s="4" t="s">
        <v>12512</v>
      </c>
      <c r="B12515" s="4" t="s">
        <v>9011</v>
      </c>
      <c r="C12515" s="2" t="str">
        <f ca="1">IFERROR(__xludf.DUMMYFUNCTION("GOOGLETRANSLATE(A12515,""bn"",""en"")"),"The nurse will give the medicine in the morning")</f>
        <v>The nurse will give the medicine in the morning</v>
      </c>
      <c r="D12515" s="5"/>
      <c r="E12515" s="5"/>
      <c r="F12515" s="5"/>
      <c r="G12515" s="5"/>
      <c r="H12515" s="5"/>
      <c r="I12515" s="5"/>
      <c r="J12515" s="5"/>
      <c r="K12515" s="5"/>
      <c r="L12515" s="5"/>
      <c r="M12515" s="5"/>
      <c r="N12515" s="5"/>
      <c r="O12515" s="5"/>
      <c r="P12515" s="5"/>
      <c r="Q12515" s="5"/>
      <c r="R12515" s="5"/>
      <c r="S12515" s="5"/>
      <c r="T12515" s="5"/>
      <c r="U12515" s="5"/>
      <c r="V12515" s="5"/>
      <c r="W12515" s="5"/>
      <c r="X12515" s="5"/>
      <c r="Y12515" s="5"/>
      <c r="Z12515" s="5"/>
    </row>
    <row r="12516" spans="1:26" ht="15" x14ac:dyDescent="0.25">
      <c r="A12516" s="4" t="s">
        <v>12513</v>
      </c>
      <c r="B12516" s="4" t="s">
        <v>9011</v>
      </c>
      <c r="C12516" s="2" t="str">
        <f ca="1">IFERROR(__xludf.DUMMYFUNCTION("GOOGLETRANSLATE(A12516,""bn"",""en"")"),"The library will receive an update")</f>
        <v>The library will receive an update</v>
      </c>
      <c r="D12516" s="5"/>
      <c r="E12516" s="5"/>
      <c r="F12516" s="5"/>
      <c r="G12516" s="5"/>
      <c r="H12516" s="5"/>
      <c r="I12516" s="5"/>
      <c r="J12516" s="5"/>
      <c r="K12516" s="5"/>
      <c r="L12516" s="5"/>
      <c r="M12516" s="5"/>
      <c r="N12516" s="5"/>
      <c r="O12516" s="5"/>
      <c r="P12516" s="5"/>
      <c r="Q12516" s="5"/>
      <c r="R12516" s="5"/>
      <c r="S12516" s="5"/>
      <c r="T12516" s="5"/>
      <c r="U12516" s="5"/>
      <c r="V12516" s="5"/>
      <c r="W12516" s="5"/>
      <c r="X12516" s="5"/>
      <c r="Y12516" s="5"/>
      <c r="Z12516" s="5"/>
    </row>
    <row r="12517" spans="1:26" ht="15" x14ac:dyDescent="0.25">
      <c r="A12517" s="4" t="s">
        <v>12514</v>
      </c>
      <c r="B12517" s="4" t="s">
        <v>9011</v>
      </c>
      <c r="C12517" s="2" t="str">
        <f ca="1">IFERROR(__xludf.DUMMYFUNCTION("GOOGLETRANSLATE(A12517,""bn"",""en"")"),"Programming languages ​​will be invented")</f>
        <v>Programming languages ​​will be invented</v>
      </c>
      <c r="D12517" s="5"/>
      <c r="E12517" s="5"/>
      <c r="F12517" s="5"/>
      <c r="G12517" s="5"/>
      <c r="H12517" s="5"/>
      <c r="I12517" s="5"/>
      <c r="J12517" s="5"/>
      <c r="K12517" s="5"/>
      <c r="L12517" s="5"/>
      <c r="M12517" s="5"/>
      <c r="N12517" s="5"/>
      <c r="O12517" s="5"/>
      <c r="P12517" s="5"/>
      <c r="Q12517" s="5"/>
      <c r="R12517" s="5"/>
      <c r="S12517" s="5"/>
      <c r="T12517" s="5"/>
      <c r="U12517" s="5"/>
      <c r="V12517" s="5"/>
      <c r="W12517" s="5"/>
      <c r="X12517" s="5"/>
      <c r="Y12517" s="5"/>
      <c r="Z12517" s="5"/>
    </row>
    <row r="12518" spans="1:26" ht="15" x14ac:dyDescent="0.25">
      <c r="A12518" s="4" t="s">
        <v>12515</v>
      </c>
      <c r="B12518" s="4" t="s">
        <v>9011</v>
      </c>
      <c r="C12518" s="2" t="str">
        <f ca="1">IFERROR(__xludf.DUMMYFUNCTION("GOOGLETRANSLATE(A12518,""bn"",""en"")"),"He will win the tournament tomorrow")</f>
        <v>He will win the tournament tomorrow</v>
      </c>
      <c r="D12518" s="5"/>
      <c r="E12518" s="5"/>
      <c r="F12518" s="5"/>
      <c r="G12518" s="5"/>
      <c r="H12518" s="5"/>
      <c r="I12518" s="5"/>
      <c r="J12518" s="5"/>
      <c r="K12518" s="5"/>
      <c r="L12518" s="5"/>
      <c r="M12518" s="5"/>
      <c r="N12518" s="5"/>
      <c r="O12518" s="5"/>
      <c r="P12518" s="5"/>
      <c r="Q12518" s="5"/>
      <c r="R12518" s="5"/>
      <c r="S12518" s="5"/>
      <c r="T12518" s="5"/>
      <c r="U12518" s="5"/>
      <c r="V12518" s="5"/>
      <c r="W12518" s="5"/>
      <c r="X12518" s="5"/>
      <c r="Y12518" s="5"/>
      <c r="Z12518" s="5"/>
    </row>
    <row r="12519" spans="1:26" ht="15" x14ac:dyDescent="0.25">
      <c r="A12519" s="4" t="s">
        <v>12516</v>
      </c>
      <c r="B12519" s="4" t="s">
        <v>9011</v>
      </c>
      <c r="C12519" s="2" t="str">
        <f ca="1">IFERROR(__xludf.DUMMYFUNCTION("GOOGLETRANSLATE(A12519,""bn"",""en"")"),"Write a technical document")</f>
        <v>Write a technical document</v>
      </c>
      <c r="D12519" s="5"/>
      <c r="E12519" s="5"/>
      <c r="F12519" s="5"/>
      <c r="G12519" s="5"/>
      <c r="H12519" s="5"/>
      <c r="I12519" s="5"/>
      <c r="J12519" s="5"/>
      <c r="K12519" s="5"/>
      <c r="L12519" s="5"/>
      <c r="M12519" s="5"/>
      <c r="N12519" s="5"/>
      <c r="O12519" s="5"/>
      <c r="P12519" s="5"/>
      <c r="Q12519" s="5"/>
      <c r="R12519" s="5"/>
      <c r="S12519" s="5"/>
      <c r="T12519" s="5"/>
      <c r="U12519" s="5"/>
      <c r="V12519" s="5"/>
      <c r="W12519" s="5"/>
      <c r="X12519" s="5"/>
      <c r="Y12519" s="5"/>
      <c r="Z12519" s="5"/>
    </row>
    <row r="12520" spans="1:26" ht="15" x14ac:dyDescent="0.25">
      <c r="A12520" s="4" t="s">
        <v>12517</v>
      </c>
      <c r="B12520" s="4" t="s">
        <v>9011</v>
      </c>
      <c r="C12520" s="2" t="str">
        <f ca="1">IFERROR(__xludf.DUMMYFUNCTION("GOOGLETRANSLATE(A12520,""bn"",""en"")"),"Everyone will be on the set of the movie")</f>
        <v>Everyone will be on the set of the movie</v>
      </c>
      <c r="D12520" s="5"/>
      <c r="E12520" s="5"/>
      <c r="F12520" s="5"/>
      <c r="G12520" s="5"/>
      <c r="H12520" s="5"/>
      <c r="I12520" s="5"/>
      <c r="J12520" s="5"/>
      <c r="K12520" s="5"/>
      <c r="L12520" s="5"/>
      <c r="M12520" s="5"/>
      <c r="N12520" s="5"/>
      <c r="O12520" s="5"/>
      <c r="P12520" s="5"/>
      <c r="Q12520" s="5"/>
      <c r="R12520" s="5"/>
      <c r="S12520" s="5"/>
      <c r="T12520" s="5"/>
      <c r="U12520" s="5"/>
      <c r="V12520" s="5"/>
      <c r="W12520" s="5"/>
      <c r="X12520" s="5"/>
      <c r="Y12520" s="5"/>
      <c r="Z12520" s="5"/>
    </row>
    <row r="12521" spans="1:26" ht="15" x14ac:dyDescent="0.25">
      <c r="A12521" s="4" t="s">
        <v>12518</v>
      </c>
      <c r="B12521" s="4" t="s">
        <v>9011</v>
      </c>
      <c r="C12521" s="2" t="str">
        <f ca="1">IFERROR(__xludf.DUMMYFUNCTION("GOOGLETRANSLATE(A12521,""bn"",""en"")"),"I will solve computer problems")</f>
        <v>I will solve computer problems</v>
      </c>
      <c r="D12521" s="5"/>
      <c r="E12521" s="5"/>
      <c r="F12521" s="5"/>
      <c r="G12521" s="5"/>
      <c r="H12521" s="5"/>
      <c r="I12521" s="5"/>
      <c r="J12521" s="5"/>
      <c r="K12521" s="5"/>
      <c r="L12521" s="5"/>
      <c r="M12521" s="5"/>
      <c r="N12521" s="5"/>
      <c r="O12521" s="5"/>
      <c r="P12521" s="5"/>
      <c r="Q12521" s="5"/>
      <c r="R12521" s="5"/>
      <c r="S12521" s="5"/>
      <c r="T12521" s="5"/>
      <c r="U12521" s="5"/>
      <c r="V12521" s="5"/>
      <c r="W12521" s="5"/>
      <c r="X12521" s="5"/>
      <c r="Y12521" s="5"/>
      <c r="Z12521" s="5"/>
    </row>
    <row r="12522" spans="1:26" ht="15" x14ac:dyDescent="0.25">
      <c r="A12522" s="4" t="s">
        <v>12519</v>
      </c>
      <c r="B12522" s="4" t="s">
        <v>9011</v>
      </c>
      <c r="C12522" s="2" t="str">
        <f ca="1">IFERROR(__xludf.DUMMYFUNCTION("GOOGLETRANSLATE(A12522,""bn"",""en"")"),"It will rain on the seashore")</f>
        <v>It will rain on the seashore</v>
      </c>
      <c r="D12522" s="5"/>
      <c r="E12522" s="5"/>
      <c r="F12522" s="5"/>
      <c r="G12522" s="5"/>
      <c r="H12522" s="5"/>
      <c r="I12522" s="5"/>
      <c r="J12522" s="5"/>
      <c r="K12522" s="5"/>
      <c r="L12522" s="5"/>
      <c r="M12522" s="5"/>
      <c r="N12522" s="5"/>
      <c r="O12522" s="5"/>
      <c r="P12522" s="5"/>
      <c r="Q12522" s="5"/>
      <c r="R12522" s="5"/>
      <c r="S12522" s="5"/>
      <c r="T12522" s="5"/>
      <c r="U12522" s="5"/>
      <c r="V12522" s="5"/>
      <c r="W12522" s="5"/>
      <c r="X12522" s="5"/>
      <c r="Y12522" s="5"/>
      <c r="Z12522" s="5"/>
    </row>
    <row r="12523" spans="1:26" ht="15" x14ac:dyDescent="0.25">
      <c r="A12523" s="4" t="s">
        <v>12520</v>
      </c>
      <c r="B12523" s="4" t="s">
        <v>9011</v>
      </c>
      <c r="C12523" s="2" t="str">
        <f ca="1">IFERROR(__xludf.DUMMYFUNCTION("GOOGLETRANSLATE(A12523,""bn"",""en"")"),"Will participate in cricket tournament")</f>
        <v>Will participate in cricket tournament</v>
      </c>
      <c r="D12523" s="5"/>
      <c r="E12523" s="5"/>
      <c r="F12523" s="5"/>
      <c r="G12523" s="5"/>
      <c r="H12523" s="5"/>
      <c r="I12523" s="5"/>
      <c r="J12523" s="5"/>
      <c r="K12523" s="5"/>
      <c r="L12523" s="5"/>
      <c r="M12523" s="5"/>
      <c r="N12523" s="5"/>
      <c r="O12523" s="5"/>
      <c r="P12523" s="5"/>
      <c r="Q12523" s="5"/>
      <c r="R12523" s="5"/>
      <c r="S12523" s="5"/>
      <c r="T12523" s="5"/>
      <c r="U12523" s="5"/>
      <c r="V12523" s="5"/>
      <c r="W12523" s="5"/>
      <c r="X12523" s="5"/>
      <c r="Y12523" s="5"/>
      <c r="Z12523" s="5"/>
    </row>
    <row r="12524" spans="1:26" ht="15" x14ac:dyDescent="0.25">
      <c r="A12524" s="4" t="s">
        <v>12521</v>
      </c>
      <c r="B12524" s="4" t="s">
        <v>9011</v>
      </c>
      <c r="C12524" s="2" t="str">
        <f ca="1">IFERROR(__xludf.DUMMYFUNCTION("GOOGLETRANSLATE(A12524,""bn"",""en"")"),"A political meeting will be organized")</f>
        <v>A political meeting will be organized</v>
      </c>
      <c r="D12524" s="5"/>
      <c r="E12524" s="5"/>
      <c r="F12524" s="5"/>
      <c r="G12524" s="5"/>
      <c r="H12524" s="5"/>
      <c r="I12524" s="5"/>
      <c r="J12524" s="5"/>
      <c r="K12524" s="5"/>
      <c r="L12524" s="5"/>
      <c r="M12524" s="5"/>
      <c r="N12524" s="5"/>
      <c r="O12524" s="5"/>
      <c r="P12524" s="5"/>
      <c r="Q12524" s="5"/>
      <c r="R12524" s="5"/>
      <c r="S12524" s="5"/>
      <c r="T12524" s="5"/>
      <c r="U12524" s="5"/>
      <c r="V12524" s="5"/>
      <c r="W12524" s="5"/>
      <c r="X12524" s="5"/>
      <c r="Y12524" s="5"/>
      <c r="Z12524" s="5"/>
    </row>
    <row r="12525" spans="1:26" ht="15" x14ac:dyDescent="0.25">
      <c r="A12525" s="4" t="s">
        <v>12522</v>
      </c>
      <c r="B12525" s="4" t="s">
        <v>9011</v>
      </c>
      <c r="C12525" s="2" t="str">
        <f ca="1">IFERROR(__xludf.DUMMYFUNCTION("GOOGLETRANSLATE(A12525,""bn"",""en"")"),"Rain will spoil the crop")</f>
        <v>Rain will spoil the crop</v>
      </c>
      <c r="D12525" s="5"/>
      <c r="E12525" s="5"/>
      <c r="F12525" s="5"/>
      <c r="G12525" s="5"/>
      <c r="H12525" s="5"/>
      <c r="I12525" s="5"/>
      <c r="J12525" s="5"/>
      <c r="K12525" s="5"/>
      <c r="L12525" s="5"/>
      <c r="M12525" s="5"/>
      <c r="N12525" s="5"/>
      <c r="O12525" s="5"/>
      <c r="P12525" s="5"/>
      <c r="Q12525" s="5"/>
      <c r="R12525" s="5"/>
      <c r="S12525" s="5"/>
      <c r="T12525" s="5"/>
      <c r="U12525" s="5"/>
      <c r="V12525" s="5"/>
      <c r="W12525" s="5"/>
      <c r="X12525" s="5"/>
      <c r="Y12525" s="5"/>
      <c r="Z12525" s="5"/>
    </row>
    <row r="12526" spans="1:26" ht="15" x14ac:dyDescent="0.25">
      <c r="A12526" s="4" t="s">
        <v>12523</v>
      </c>
      <c r="B12526" s="4" t="s">
        <v>9011</v>
      </c>
      <c r="C12526" s="2" t="str">
        <f ca="1">IFERROR(__xludf.DUMMYFUNCTION("GOOGLETRANSLATE(A12526,""bn"",""en"")"),"Annual examination will be conducted")</f>
        <v>Annual examination will be conducted</v>
      </c>
      <c r="D12526" s="5"/>
      <c r="E12526" s="5"/>
      <c r="F12526" s="5"/>
      <c r="G12526" s="5"/>
      <c r="H12526" s="5"/>
      <c r="I12526" s="5"/>
      <c r="J12526" s="5"/>
      <c r="K12526" s="5"/>
      <c r="L12526" s="5"/>
      <c r="M12526" s="5"/>
      <c r="N12526" s="5"/>
      <c r="O12526" s="5"/>
      <c r="P12526" s="5"/>
      <c r="Q12526" s="5"/>
      <c r="R12526" s="5"/>
      <c r="S12526" s="5"/>
      <c r="T12526" s="5"/>
      <c r="U12526" s="5"/>
      <c r="V12526" s="5"/>
      <c r="W12526" s="5"/>
      <c r="X12526" s="5"/>
      <c r="Y12526" s="5"/>
      <c r="Z12526" s="5"/>
    </row>
    <row r="12527" spans="1:26" ht="15" x14ac:dyDescent="0.25">
      <c r="A12527" s="4" t="s">
        <v>12524</v>
      </c>
      <c r="B12527" s="4" t="s">
        <v>9011</v>
      </c>
      <c r="C12527" s="2" t="str">
        <f ca="1">IFERROR(__xludf.DUMMYFUNCTION("GOOGLETRANSLATE(A12527,""bn"",""en"")"),"We will run a script")</f>
        <v>We will run a script</v>
      </c>
      <c r="D12527" s="5"/>
      <c r="E12527" s="5"/>
      <c r="F12527" s="5"/>
      <c r="G12527" s="5"/>
      <c r="H12527" s="5"/>
      <c r="I12527" s="5"/>
      <c r="J12527" s="5"/>
      <c r="K12527" s="5"/>
      <c r="L12527" s="5"/>
      <c r="M12527" s="5"/>
      <c r="N12527" s="5"/>
      <c r="O12527" s="5"/>
      <c r="P12527" s="5"/>
      <c r="Q12527" s="5"/>
      <c r="R12527" s="5"/>
      <c r="S12527" s="5"/>
      <c r="T12527" s="5"/>
      <c r="U12527" s="5"/>
      <c r="V12527" s="5"/>
      <c r="W12527" s="5"/>
      <c r="X12527" s="5"/>
      <c r="Y12527" s="5"/>
      <c r="Z12527" s="5"/>
    </row>
    <row r="12528" spans="1:26" ht="15" x14ac:dyDescent="0.25">
      <c r="A12528" s="4" t="s">
        <v>12525</v>
      </c>
      <c r="B12528" s="4" t="s">
        <v>9011</v>
      </c>
      <c r="C12528" s="2" t="str">
        <f ca="1">IFERROR(__xludf.DUMMYFUNCTION("GOOGLETRANSLATE(A12528,""bn"",""en"")"),"We will stay with the teacher")</f>
        <v>We will stay with the teacher</v>
      </c>
      <c r="D12528" s="5"/>
      <c r="E12528" s="5"/>
      <c r="F12528" s="5"/>
      <c r="G12528" s="5"/>
      <c r="H12528" s="5"/>
      <c r="I12528" s="5"/>
      <c r="J12528" s="5"/>
      <c r="K12528" s="5"/>
      <c r="L12528" s="5"/>
      <c r="M12528" s="5"/>
      <c r="N12528" s="5"/>
      <c r="O12528" s="5"/>
      <c r="P12528" s="5"/>
      <c r="Q12528" s="5"/>
      <c r="R12528" s="5"/>
      <c r="S12528" s="5"/>
      <c r="T12528" s="5"/>
      <c r="U12528" s="5"/>
      <c r="V12528" s="5"/>
      <c r="W12528" s="5"/>
      <c r="X12528" s="5"/>
      <c r="Y12528" s="5"/>
      <c r="Z12528" s="5"/>
    </row>
    <row r="12529" spans="1:26" ht="15" x14ac:dyDescent="0.25">
      <c r="A12529" s="4" t="s">
        <v>12526</v>
      </c>
      <c r="B12529" s="4" t="s">
        <v>9011</v>
      </c>
      <c r="C12529" s="2" t="str">
        <f ca="1">IFERROR(__xludf.DUMMYFUNCTION("GOOGLETRANSLATE(A12529,""bn"",""en"")"),"Must maintain tone")</f>
        <v>Must maintain tone</v>
      </c>
      <c r="D12529" s="5"/>
      <c r="E12529" s="5"/>
      <c r="F12529" s="5"/>
      <c r="G12529" s="5"/>
      <c r="H12529" s="5"/>
      <c r="I12529" s="5"/>
      <c r="J12529" s="5"/>
      <c r="K12529" s="5"/>
      <c r="L12529" s="5"/>
      <c r="M12529" s="5"/>
      <c r="N12529" s="5"/>
      <c r="O12529" s="5"/>
      <c r="P12529" s="5"/>
      <c r="Q12529" s="5"/>
      <c r="R12529" s="5"/>
      <c r="S12529" s="5"/>
      <c r="T12529" s="5"/>
      <c r="U12529" s="5"/>
      <c r="V12529" s="5"/>
      <c r="W12529" s="5"/>
      <c r="X12529" s="5"/>
      <c r="Y12529" s="5"/>
      <c r="Z12529" s="5"/>
    </row>
    <row r="12530" spans="1:26" ht="15" x14ac:dyDescent="0.25">
      <c r="A12530" s="4" t="s">
        <v>12527</v>
      </c>
      <c r="B12530" s="4" t="s">
        <v>9011</v>
      </c>
      <c r="C12530" s="2" t="str">
        <f ca="1">IFERROR(__xludf.DUMMYFUNCTION("GOOGLETRANSLATE(A12530,""bn"",""en"")"),"Everyone will sing in the meeting")</f>
        <v>Everyone will sing in the meeting</v>
      </c>
      <c r="D12530" s="5"/>
      <c r="E12530" s="5"/>
      <c r="F12530" s="5"/>
      <c r="G12530" s="5"/>
      <c r="H12530" s="5"/>
      <c r="I12530" s="5"/>
      <c r="J12530" s="5"/>
      <c r="K12530" s="5"/>
      <c r="L12530" s="5"/>
      <c r="M12530" s="5"/>
      <c r="N12530" s="5"/>
      <c r="O12530" s="5"/>
      <c r="P12530" s="5"/>
      <c r="Q12530" s="5"/>
      <c r="R12530" s="5"/>
      <c r="S12530" s="5"/>
      <c r="T12530" s="5"/>
      <c r="U12530" s="5"/>
      <c r="V12530" s="5"/>
      <c r="W12530" s="5"/>
      <c r="X12530" s="5"/>
      <c r="Y12530" s="5"/>
      <c r="Z12530" s="5"/>
    </row>
    <row r="12531" spans="1:26" ht="15" x14ac:dyDescent="0.25">
      <c r="A12531" s="4" t="s">
        <v>12528</v>
      </c>
      <c r="B12531" s="4" t="s">
        <v>9011</v>
      </c>
      <c r="C12531" s="2" t="str">
        <f ca="1">IFERROR(__xludf.DUMMYFUNCTION("GOOGLETRANSLATE(A12531,""bn"",""en"")"),"They will do their research on campus")</f>
        <v>They will do their research on campus</v>
      </c>
      <c r="D12531" s="5"/>
      <c r="E12531" s="5"/>
      <c r="F12531" s="5"/>
      <c r="G12531" s="5"/>
      <c r="H12531" s="5"/>
      <c r="I12531" s="5"/>
      <c r="J12531" s="5"/>
      <c r="K12531" s="5"/>
      <c r="L12531" s="5"/>
      <c r="M12531" s="5"/>
      <c r="N12531" s="5"/>
      <c r="O12531" s="5"/>
      <c r="P12531" s="5"/>
      <c r="Q12531" s="5"/>
      <c r="R12531" s="5"/>
      <c r="S12531" s="5"/>
      <c r="T12531" s="5"/>
      <c r="U12531" s="5"/>
      <c r="V12531" s="5"/>
      <c r="W12531" s="5"/>
      <c r="X12531" s="5"/>
      <c r="Y12531" s="5"/>
      <c r="Z12531" s="5"/>
    </row>
    <row r="12532" spans="1:26" ht="15" x14ac:dyDescent="0.25">
      <c r="A12532" s="4" t="s">
        <v>12529</v>
      </c>
      <c r="B12532" s="4" t="s">
        <v>9011</v>
      </c>
      <c r="C12532" s="2" t="str">
        <f ca="1">IFERROR(__xludf.DUMMYFUNCTION("GOOGLETRANSLATE(A12532,""bn"",""en"")"),"The production will be very professional")</f>
        <v>The production will be very professional</v>
      </c>
      <c r="D12532" s="5"/>
      <c r="E12532" s="5"/>
      <c r="F12532" s="5"/>
      <c r="G12532" s="5"/>
      <c r="H12532" s="5"/>
      <c r="I12532" s="5"/>
      <c r="J12532" s="5"/>
      <c r="K12532" s="5"/>
      <c r="L12532" s="5"/>
      <c r="M12532" s="5"/>
      <c r="N12532" s="5"/>
      <c r="O12532" s="5"/>
      <c r="P12532" s="5"/>
      <c r="Q12532" s="5"/>
      <c r="R12532" s="5"/>
      <c r="S12532" s="5"/>
      <c r="T12532" s="5"/>
      <c r="U12532" s="5"/>
      <c r="V12532" s="5"/>
      <c r="W12532" s="5"/>
      <c r="X12532" s="5"/>
      <c r="Y12532" s="5"/>
      <c r="Z12532" s="5"/>
    </row>
    <row r="12533" spans="1:26" ht="15" x14ac:dyDescent="0.25">
      <c r="A12533" s="4" t="s">
        <v>12530</v>
      </c>
      <c r="B12533" s="4" t="s">
        <v>9011</v>
      </c>
      <c r="C12533" s="2" t="str">
        <f ca="1">IFERROR(__xludf.DUMMYFUNCTION("GOOGLETRANSLATE(A12533,""bn"",""en"")"),"He will validate the data")</f>
        <v>He will validate the data</v>
      </c>
      <c r="D12533" s="5"/>
      <c r="E12533" s="5"/>
      <c r="F12533" s="5"/>
      <c r="G12533" s="5"/>
      <c r="H12533" s="5"/>
      <c r="I12533" s="5"/>
      <c r="J12533" s="5"/>
      <c r="K12533" s="5"/>
      <c r="L12533" s="5"/>
      <c r="M12533" s="5"/>
      <c r="N12533" s="5"/>
      <c r="O12533" s="5"/>
      <c r="P12533" s="5"/>
      <c r="Q12533" s="5"/>
      <c r="R12533" s="5"/>
      <c r="S12533" s="5"/>
      <c r="T12533" s="5"/>
      <c r="U12533" s="5"/>
      <c r="V12533" s="5"/>
      <c r="W12533" s="5"/>
      <c r="X12533" s="5"/>
      <c r="Y12533" s="5"/>
      <c r="Z12533" s="5"/>
    </row>
    <row r="12534" spans="1:26" ht="15" x14ac:dyDescent="0.25">
      <c r="A12534" s="4" t="s">
        <v>12531</v>
      </c>
      <c r="B12534" s="4" t="s">
        <v>9011</v>
      </c>
      <c r="C12534" s="2" t="str">
        <f ca="1">IFERROR(__xludf.DUMMYFUNCTION("GOOGLETRANSLATE(A12534,""bn"",""en"")"),"I will write an English novel")</f>
        <v>I will write an English novel</v>
      </c>
      <c r="D12534" s="5"/>
      <c r="E12534" s="5"/>
      <c r="F12534" s="5"/>
      <c r="G12534" s="5"/>
      <c r="H12534" s="5"/>
      <c r="I12534" s="5"/>
      <c r="J12534" s="5"/>
      <c r="K12534" s="5"/>
      <c r="L12534" s="5"/>
      <c r="M12534" s="5"/>
      <c r="N12534" s="5"/>
      <c r="O12534" s="5"/>
      <c r="P12534" s="5"/>
      <c r="Q12534" s="5"/>
      <c r="R12534" s="5"/>
      <c r="S12534" s="5"/>
      <c r="T12534" s="5"/>
      <c r="U12534" s="5"/>
      <c r="V12534" s="5"/>
      <c r="W12534" s="5"/>
      <c r="X12534" s="5"/>
      <c r="Y12534" s="5"/>
      <c r="Z12534" s="5"/>
    </row>
    <row r="12535" spans="1:26" ht="15" x14ac:dyDescent="0.25">
      <c r="A12535" s="4" t="s">
        <v>12532</v>
      </c>
      <c r="B12535" s="4" t="s">
        <v>9011</v>
      </c>
      <c r="C12535" s="2" t="str">
        <f ca="1">IFERROR(__xludf.DUMMYFUNCTION("GOOGLETRANSLATE(A12535,""bn"",""en"")"),"Loans for the poor")</f>
        <v>Loans for the poor</v>
      </c>
      <c r="D12535" s="5"/>
      <c r="E12535" s="5"/>
      <c r="F12535" s="5"/>
      <c r="G12535" s="5"/>
      <c r="H12535" s="5"/>
      <c r="I12535" s="5"/>
      <c r="J12535" s="5"/>
      <c r="K12535" s="5"/>
      <c r="L12535" s="5"/>
      <c r="M12535" s="5"/>
      <c r="N12535" s="5"/>
      <c r="O12535" s="5"/>
      <c r="P12535" s="5"/>
      <c r="Q12535" s="5"/>
      <c r="R12535" s="5"/>
      <c r="S12535" s="5"/>
      <c r="T12535" s="5"/>
      <c r="U12535" s="5"/>
      <c r="V12535" s="5"/>
      <c r="W12535" s="5"/>
      <c r="X12535" s="5"/>
      <c r="Y12535" s="5"/>
      <c r="Z12535" s="5"/>
    </row>
    <row r="12536" spans="1:26" ht="15" x14ac:dyDescent="0.25">
      <c r="A12536" s="4" t="s">
        <v>12533</v>
      </c>
      <c r="B12536" s="4" t="s">
        <v>9011</v>
      </c>
      <c r="C12536" s="2" t="str">
        <f ca="1">IFERROR(__xludf.DUMMYFUNCTION("GOOGLETRANSLATE(A12536,""bn"",""en"")"),"Will update ant more")</f>
        <v>Will update ant more</v>
      </c>
      <c r="D12536" s="5"/>
      <c r="E12536" s="5"/>
      <c r="F12536" s="5"/>
      <c r="G12536" s="5"/>
      <c r="H12536" s="5"/>
      <c r="I12536" s="5"/>
      <c r="J12536" s="5"/>
      <c r="K12536" s="5"/>
      <c r="L12536" s="5"/>
      <c r="M12536" s="5"/>
      <c r="N12536" s="5"/>
      <c r="O12536" s="5"/>
      <c r="P12536" s="5"/>
      <c r="Q12536" s="5"/>
      <c r="R12536" s="5"/>
      <c r="S12536" s="5"/>
      <c r="T12536" s="5"/>
      <c r="U12536" s="5"/>
      <c r="V12536" s="5"/>
      <c r="W12536" s="5"/>
      <c r="X12536" s="5"/>
      <c r="Y12536" s="5"/>
      <c r="Z12536" s="5"/>
    </row>
    <row r="12537" spans="1:26" ht="15" x14ac:dyDescent="0.25">
      <c r="A12537" s="4" t="s">
        <v>12534</v>
      </c>
      <c r="B12537" s="4" t="s">
        <v>9011</v>
      </c>
      <c r="C12537" s="2" t="str">
        <f ca="1">IFERROR(__xludf.DUMMYFUNCTION("GOOGLETRANSLATE(A12537,""bn"",""en"")"),"People will be affected by the conflict")</f>
        <v>People will be affected by the conflict</v>
      </c>
      <c r="D12537" s="5"/>
      <c r="E12537" s="5"/>
      <c r="F12537" s="5"/>
      <c r="G12537" s="5"/>
      <c r="H12537" s="5"/>
      <c r="I12537" s="5"/>
      <c r="J12537" s="5"/>
      <c r="K12537" s="5"/>
      <c r="L12537" s="5"/>
      <c r="M12537" s="5"/>
      <c r="N12537" s="5"/>
      <c r="O12537" s="5"/>
      <c r="P12537" s="5"/>
      <c r="Q12537" s="5"/>
      <c r="R12537" s="5"/>
      <c r="S12537" s="5"/>
      <c r="T12537" s="5"/>
      <c r="U12537" s="5"/>
      <c r="V12537" s="5"/>
      <c r="W12537" s="5"/>
      <c r="X12537" s="5"/>
      <c r="Y12537" s="5"/>
      <c r="Z12537" s="5"/>
    </row>
    <row r="12538" spans="1:26" ht="15" x14ac:dyDescent="0.25">
      <c r="A12538" s="4" t="s">
        <v>12535</v>
      </c>
      <c r="B12538" s="4" t="s">
        <v>9011</v>
      </c>
      <c r="C12538" s="2" t="str">
        <f ca="1">IFERROR(__xludf.DUMMYFUNCTION("GOOGLETRANSLATE(A12538,""bn"",""en"")"),"The author's presentation will continue at the book fair")</f>
        <v>The author's presentation will continue at the book fair</v>
      </c>
      <c r="D12538" s="5"/>
      <c r="E12538" s="5"/>
      <c r="F12538" s="5"/>
      <c r="G12538" s="5"/>
      <c r="H12538" s="5"/>
      <c r="I12538" s="5"/>
      <c r="J12538" s="5"/>
      <c r="K12538" s="5"/>
      <c r="L12538" s="5"/>
      <c r="M12538" s="5"/>
      <c r="N12538" s="5"/>
      <c r="O12538" s="5"/>
      <c r="P12538" s="5"/>
      <c r="Q12538" s="5"/>
      <c r="R12538" s="5"/>
      <c r="S12538" s="5"/>
      <c r="T12538" s="5"/>
      <c r="U12538" s="5"/>
      <c r="V12538" s="5"/>
      <c r="W12538" s="5"/>
      <c r="X12538" s="5"/>
      <c r="Y12538" s="5"/>
      <c r="Z12538" s="5"/>
    </row>
    <row r="12539" spans="1:26" ht="15" x14ac:dyDescent="0.25">
      <c r="A12539" s="4" t="s">
        <v>12536</v>
      </c>
      <c r="B12539" s="4" t="s">
        <v>9011</v>
      </c>
      <c r="C12539" s="2" t="str">
        <f ca="1">IFERROR(__xludf.DUMMYFUNCTION("GOOGLETRANSLATE(A12539,""bn"",""en"")"),"There will be a lot of water in the sea")</f>
        <v>There will be a lot of water in the sea</v>
      </c>
      <c r="D12539" s="5"/>
      <c r="E12539" s="5"/>
      <c r="F12539" s="5"/>
      <c r="G12539" s="5"/>
      <c r="H12539" s="5"/>
      <c r="I12539" s="5"/>
      <c r="J12539" s="5"/>
      <c r="K12539" s="5"/>
      <c r="L12539" s="5"/>
      <c r="M12539" s="5"/>
      <c r="N12539" s="5"/>
      <c r="O12539" s="5"/>
      <c r="P12539" s="5"/>
      <c r="Q12539" s="5"/>
      <c r="R12539" s="5"/>
      <c r="S12539" s="5"/>
      <c r="T12539" s="5"/>
      <c r="U12539" s="5"/>
      <c r="V12539" s="5"/>
      <c r="W12539" s="5"/>
      <c r="X12539" s="5"/>
      <c r="Y12539" s="5"/>
      <c r="Z12539" s="5"/>
    </row>
    <row r="12540" spans="1:26" ht="15" x14ac:dyDescent="0.25">
      <c r="A12540" s="4" t="s">
        <v>12537</v>
      </c>
      <c r="B12540" s="4" t="s">
        <v>9011</v>
      </c>
      <c r="C12540" s="2" t="str">
        <f ca="1">IFERROR(__xludf.DUMMYFUNCTION("GOOGLETRANSLATE(A12540,""bn"",""en"")"),"We will open new markets")</f>
        <v>We will open new markets</v>
      </c>
      <c r="D12540" s="5"/>
      <c r="E12540" s="5"/>
      <c r="F12540" s="5"/>
      <c r="G12540" s="5"/>
      <c r="H12540" s="5"/>
      <c r="I12540" s="5"/>
      <c r="J12540" s="5"/>
      <c r="K12540" s="5"/>
      <c r="L12540" s="5"/>
      <c r="M12540" s="5"/>
      <c r="N12540" s="5"/>
      <c r="O12540" s="5"/>
      <c r="P12540" s="5"/>
      <c r="Q12540" s="5"/>
      <c r="R12540" s="5"/>
      <c r="S12540" s="5"/>
      <c r="T12540" s="5"/>
      <c r="U12540" s="5"/>
      <c r="V12540" s="5"/>
      <c r="W12540" s="5"/>
      <c r="X12540" s="5"/>
      <c r="Y12540" s="5"/>
      <c r="Z12540" s="5"/>
    </row>
    <row r="12541" spans="1:26" ht="15" x14ac:dyDescent="0.25">
      <c r="A12541" s="4" t="s">
        <v>12538</v>
      </c>
      <c r="B12541" s="4" t="s">
        <v>9011</v>
      </c>
      <c r="C12541" s="2" t="str">
        <f ca="1">IFERROR(__xludf.DUMMYFUNCTION("GOOGLETRANSLATE(A12541,""bn"",""en"")"),"The robot will determine the situation")</f>
        <v>The robot will determine the situation</v>
      </c>
      <c r="D12541" s="5"/>
      <c r="E12541" s="5"/>
      <c r="F12541" s="5"/>
      <c r="G12541" s="5"/>
      <c r="H12541" s="5"/>
      <c r="I12541" s="5"/>
      <c r="J12541" s="5"/>
      <c r="K12541" s="5"/>
      <c r="L12541" s="5"/>
      <c r="M12541" s="5"/>
      <c r="N12541" s="5"/>
      <c r="O12541" s="5"/>
      <c r="P12541" s="5"/>
      <c r="Q12541" s="5"/>
      <c r="R12541" s="5"/>
      <c r="S12541" s="5"/>
      <c r="T12541" s="5"/>
      <c r="U12541" s="5"/>
      <c r="V12541" s="5"/>
      <c r="W12541" s="5"/>
      <c r="X12541" s="5"/>
      <c r="Y12541" s="5"/>
      <c r="Z12541" s="5"/>
    </row>
    <row r="12542" spans="1:26" ht="15" x14ac:dyDescent="0.25">
      <c r="A12542" s="4" t="s">
        <v>12539</v>
      </c>
      <c r="B12542" s="4" t="s">
        <v>9011</v>
      </c>
      <c r="C12542" s="2" t="str">
        <f ca="1">IFERROR(__xludf.DUMMYFUNCTION("GOOGLETRANSLATE(A12542,""bn"",""en"")"),"The government has to act to determine the situation")</f>
        <v>The government has to act to determine the situation</v>
      </c>
      <c r="D12542" s="5"/>
      <c r="E12542" s="5"/>
      <c r="F12542" s="5"/>
      <c r="G12542" s="5"/>
      <c r="H12542" s="5"/>
      <c r="I12542" s="5"/>
      <c r="J12542" s="5"/>
      <c r="K12542" s="5"/>
      <c r="L12542" s="5"/>
      <c r="M12542" s="5"/>
      <c r="N12542" s="5"/>
      <c r="O12542" s="5"/>
      <c r="P12542" s="5"/>
      <c r="Q12542" s="5"/>
      <c r="R12542" s="5"/>
      <c r="S12542" s="5"/>
      <c r="T12542" s="5"/>
      <c r="U12542" s="5"/>
      <c r="V12542" s="5"/>
      <c r="W12542" s="5"/>
      <c r="X12542" s="5"/>
      <c r="Y12542" s="5"/>
      <c r="Z12542" s="5"/>
    </row>
    <row r="12543" spans="1:26" ht="15" x14ac:dyDescent="0.25">
      <c r="A12543" s="4" t="s">
        <v>12540</v>
      </c>
      <c r="B12543" s="4" t="s">
        <v>9011</v>
      </c>
      <c r="C12543" s="2" t="str">
        <f ca="1">IFERROR(__xludf.DUMMYFUNCTION("GOOGLETRANSLATE(A12543,""bn"",""en"")"),"One day I will read the crime")</f>
        <v>One day I will read the crime</v>
      </c>
      <c r="D12543" s="5"/>
      <c r="E12543" s="5"/>
      <c r="F12543" s="5"/>
      <c r="G12543" s="5"/>
      <c r="H12543" s="5"/>
      <c r="I12543" s="5"/>
      <c r="J12543" s="5"/>
      <c r="K12543" s="5"/>
      <c r="L12543" s="5"/>
      <c r="M12543" s="5"/>
      <c r="N12543" s="5"/>
      <c r="O12543" s="5"/>
      <c r="P12543" s="5"/>
      <c r="Q12543" s="5"/>
      <c r="R12543" s="5"/>
      <c r="S12543" s="5"/>
      <c r="T12543" s="5"/>
      <c r="U12543" s="5"/>
      <c r="V12543" s="5"/>
      <c r="W12543" s="5"/>
      <c r="X12543" s="5"/>
      <c r="Y12543" s="5"/>
      <c r="Z12543" s="5"/>
    </row>
    <row r="12544" spans="1:26" ht="15" x14ac:dyDescent="0.25">
      <c r="A12544" s="4" t="s">
        <v>12541</v>
      </c>
      <c r="B12544" s="4" t="s">
        <v>9011</v>
      </c>
      <c r="C12544" s="2" t="str">
        <f ca="1">IFERROR(__xludf.DUMMYFUNCTION("GOOGLETRANSLATE(A12544,""bn"",""en"")"),"You will be an engineer in future")</f>
        <v>You will be an engineer in future</v>
      </c>
      <c r="D12544" s="5"/>
      <c r="E12544" s="5"/>
      <c r="F12544" s="5"/>
      <c r="G12544" s="5"/>
      <c r="H12544" s="5"/>
      <c r="I12544" s="5"/>
      <c r="J12544" s="5"/>
      <c r="K12544" s="5"/>
      <c r="L12544" s="5"/>
      <c r="M12544" s="5"/>
      <c r="N12544" s="5"/>
      <c r="O12544" s="5"/>
      <c r="P12544" s="5"/>
      <c r="Q12544" s="5"/>
      <c r="R12544" s="5"/>
      <c r="S12544" s="5"/>
      <c r="T12544" s="5"/>
      <c r="U12544" s="5"/>
      <c r="V12544" s="5"/>
      <c r="W12544" s="5"/>
      <c r="X12544" s="5"/>
      <c r="Y12544" s="5"/>
      <c r="Z12544" s="5"/>
    </row>
    <row r="12545" spans="1:26" ht="15" x14ac:dyDescent="0.25">
      <c r="A12545" s="4" t="s">
        <v>12542</v>
      </c>
      <c r="B12545" s="4" t="s">
        <v>9011</v>
      </c>
      <c r="C12545" s="2" t="str">
        <f ca="1">IFERROR(__xludf.DUMMYFUNCTION("GOOGLETRANSLATE(A12545,""bn"",""en"")"),"You eat cheeseburgers at the store")</f>
        <v>You eat cheeseburgers at the store</v>
      </c>
      <c r="D12545" s="5"/>
      <c r="E12545" s="5"/>
      <c r="F12545" s="5"/>
      <c r="G12545" s="5"/>
      <c r="H12545" s="5"/>
      <c r="I12545" s="5"/>
      <c r="J12545" s="5"/>
      <c r="K12545" s="5"/>
      <c r="L12545" s="5"/>
      <c r="M12545" s="5"/>
      <c r="N12545" s="5"/>
      <c r="O12545" s="5"/>
      <c r="P12545" s="5"/>
      <c r="Q12545" s="5"/>
      <c r="R12545" s="5"/>
      <c r="S12545" s="5"/>
      <c r="T12545" s="5"/>
      <c r="U12545" s="5"/>
      <c r="V12545" s="5"/>
      <c r="W12545" s="5"/>
      <c r="X12545" s="5"/>
      <c r="Y12545" s="5"/>
      <c r="Z12545" s="5"/>
    </row>
    <row r="12546" spans="1:26" ht="15" x14ac:dyDescent="0.25">
      <c r="A12546" s="4" t="s">
        <v>12543</v>
      </c>
      <c r="B12546" s="4" t="s">
        <v>9011</v>
      </c>
      <c r="C12546" s="2" t="str">
        <f ca="1">IFERROR(__xludf.DUMMYFUNCTION("GOOGLETRANSLATE(A12546,""bn"",""en"")"),"Robots will do science research")</f>
        <v>Robots will do science research</v>
      </c>
      <c r="D12546" s="5"/>
      <c r="E12546" s="5"/>
      <c r="F12546" s="5"/>
      <c r="G12546" s="5"/>
      <c r="H12546" s="5"/>
      <c r="I12546" s="5"/>
      <c r="J12546" s="5"/>
      <c r="K12546" s="5"/>
      <c r="L12546" s="5"/>
      <c r="M12546" s="5"/>
      <c r="N12546" s="5"/>
      <c r="O12546" s="5"/>
      <c r="P12546" s="5"/>
      <c r="Q12546" s="5"/>
      <c r="R12546" s="5"/>
      <c r="S12546" s="5"/>
      <c r="T12546" s="5"/>
      <c r="U12546" s="5"/>
      <c r="V12546" s="5"/>
      <c r="W12546" s="5"/>
      <c r="X12546" s="5"/>
      <c r="Y12546" s="5"/>
      <c r="Z12546" s="5"/>
    </row>
    <row r="12547" spans="1:26" ht="15" x14ac:dyDescent="0.25">
      <c r="A12547" s="4" t="s">
        <v>12544</v>
      </c>
      <c r="B12547" s="4" t="s">
        <v>9011</v>
      </c>
      <c r="C12547" s="2" t="str">
        <f ca="1">IFERROR(__xludf.DUMMYFUNCTION("GOOGLETRANSLATE(A12547,""bn"",""en"")"),"We will march on the campus")</f>
        <v>We will march on the campus</v>
      </c>
      <c r="D12547" s="5"/>
      <c r="E12547" s="5"/>
      <c r="F12547" s="5"/>
      <c r="G12547" s="5"/>
      <c r="H12547" s="5"/>
      <c r="I12547" s="5"/>
      <c r="J12547" s="5"/>
      <c r="K12547" s="5"/>
      <c r="L12547" s="5"/>
      <c r="M12547" s="5"/>
      <c r="N12547" s="5"/>
      <c r="O12547" s="5"/>
      <c r="P12547" s="5"/>
      <c r="Q12547" s="5"/>
      <c r="R12547" s="5"/>
      <c r="S12547" s="5"/>
      <c r="T12547" s="5"/>
      <c r="U12547" s="5"/>
      <c r="V12547" s="5"/>
      <c r="W12547" s="5"/>
      <c r="X12547" s="5"/>
      <c r="Y12547" s="5"/>
      <c r="Z12547" s="5"/>
    </row>
    <row r="12548" spans="1:26" ht="15" x14ac:dyDescent="0.25">
      <c r="A12548" s="4" t="s">
        <v>12545</v>
      </c>
      <c r="B12548" s="4" t="s">
        <v>9011</v>
      </c>
      <c r="C12548" s="2" t="str">
        <f ca="1">IFERROR(__xludf.DUMMYFUNCTION("GOOGLETRANSLATE(A12548,""bn"",""en"")"),"Will see the market situation tomorrow")</f>
        <v>Will see the market situation tomorrow</v>
      </c>
      <c r="D12548" s="5"/>
      <c r="E12548" s="5"/>
      <c r="F12548" s="5"/>
      <c r="G12548" s="5"/>
      <c r="H12548" s="5"/>
      <c r="I12548" s="5"/>
      <c r="J12548" s="5"/>
      <c r="K12548" s="5"/>
      <c r="L12548" s="5"/>
      <c r="M12548" s="5"/>
      <c r="N12548" s="5"/>
      <c r="O12548" s="5"/>
      <c r="P12548" s="5"/>
      <c r="Q12548" s="5"/>
      <c r="R12548" s="5"/>
      <c r="S12548" s="5"/>
      <c r="T12548" s="5"/>
      <c r="U12548" s="5"/>
      <c r="V12548" s="5"/>
      <c r="W12548" s="5"/>
      <c r="X12548" s="5"/>
      <c r="Y12548" s="5"/>
      <c r="Z12548" s="5"/>
    </row>
    <row r="12549" spans="1:26" ht="15" x14ac:dyDescent="0.25">
      <c r="A12549" s="4" t="s">
        <v>12546</v>
      </c>
      <c r="B12549" s="4" t="s">
        <v>9011</v>
      </c>
      <c r="C12549" s="2" t="str">
        <f ca="1">IFERROR(__xludf.DUMMYFUNCTION("GOOGLETRANSLATE(A12549,""bn"",""en"")"),"You will be a teacher in the future")</f>
        <v>You will be a teacher in the future</v>
      </c>
      <c r="D12549" s="5"/>
      <c r="E12549" s="5"/>
      <c r="F12549" s="5"/>
      <c r="G12549" s="5"/>
      <c r="H12549" s="5"/>
      <c r="I12549" s="5"/>
      <c r="J12549" s="5"/>
      <c r="K12549" s="5"/>
      <c r="L12549" s="5"/>
      <c r="M12549" s="5"/>
      <c r="N12549" s="5"/>
      <c r="O12549" s="5"/>
      <c r="P12549" s="5"/>
      <c r="Q12549" s="5"/>
      <c r="R12549" s="5"/>
      <c r="S12549" s="5"/>
      <c r="T12549" s="5"/>
      <c r="U12549" s="5"/>
      <c r="V12549" s="5"/>
      <c r="W12549" s="5"/>
      <c r="X12549" s="5"/>
      <c r="Y12549" s="5"/>
      <c r="Z12549" s="5"/>
    </row>
    <row r="12550" spans="1:26" ht="15" x14ac:dyDescent="0.25">
      <c r="A12550" s="4" t="s">
        <v>12547</v>
      </c>
      <c r="B12550" s="4" t="s">
        <v>9011</v>
      </c>
      <c r="C12550" s="2" t="str">
        <f ca="1">IFERROR(__xludf.DUMMYFUNCTION("GOOGLETRANSLATE(A12550,""bn"",""en"")"),"Magical rain will fall across the sea")</f>
        <v>Magical rain will fall across the sea</v>
      </c>
      <c r="D12550" s="5"/>
      <c r="E12550" s="5"/>
      <c r="F12550" s="5"/>
      <c r="G12550" s="5"/>
      <c r="H12550" s="5"/>
      <c r="I12550" s="5"/>
      <c r="J12550" s="5"/>
      <c r="K12550" s="5"/>
      <c r="L12550" s="5"/>
      <c r="M12550" s="5"/>
      <c r="N12550" s="5"/>
      <c r="O12550" s="5"/>
      <c r="P12550" s="5"/>
      <c r="Q12550" s="5"/>
      <c r="R12550" s="5"/>
      <c r="S12550" s="5"/>
      <c r="T12550" s="5"/>
      <c r="U12550" s="5"/>
      <c r="V12550" s="5"/>
      <c r="W12550" s="5"/>
      <c r="X12550" s="5"/>
      <c r="Y12550" s="5"/>
      <c r="Z12550" s="5"/>
    </row>
    <row r="12551" spans="1:26" ht="15" x14ac:dyDescent="0.25">
      <c r="A12551" s="4" t="s">
        <v>12548</v>
      </c>
      <c r="B12551" s="4" t="s">
        <v>9011</v>
      </c>
      <c r="C12551" s="2" t="str">
        <f ca="1">IFERROR(__xludf.DUMMYFUNCTION("GOOGLETRANSLATE(A12551,""bn"",""en"")"),"Take dry food while trekking")</f>
        <v>Take dry food while trekking</v>
      </c>
      <c r="D12551" s="5"/>
      <c r="E12551" s="5"/>
      <c r="F12551" s="5"/>
      <c r="G12551" s="5"/>
      <c r="H12551" s="5"/>
      <c r="I12551" s="5"/>
      <c r="J12551" s="5"/>
      <c r="K12551" s="5"/>
      <c r="L12551" s="5"/>
      <c r="M12551" s="5"/>
      <c r="N12551" s="5"/>
      <c r="O12551" s="5"/>
      <c r="P12551" s="5"/>
      <c r="Q12551" s="5"/>
      <c r="R12551" s="5"/>
      <c r="S12551" s="5"/>
      <c r="T12551" s="5"/>
      <c r="U12551" s="5"/>
      <c r="V12551" s="5"/>
      <c r="W12551" s="5"/>
      <c r="X12551" s="5"/>
      <c r="Y12551" s="5"/>
      <c r="Z12551" s="5"/>
    </row>
    <row r="12552" spans="1:26" ht="15" x14ac:dyDescent="0.25">
      <c r="A12552" s="4" t="s">
        <v>12549</v>
      </c>
      <c r="B12552" s="4" t="s">
        <v>9011</v>
      </c>
      <c r="C12552" s="2" t="str">
        <f ca="1">IFERROR(__xludf.DUMMYFUNCTION("GOOGLETRANSLATE(A12552,""bn"",""en"")"),"I will see the watery blue sea")</f>
        <v>I will see the watery blue sea</v>
      </c>
      <c r="D12552" s="5"/>
      <c r="E12552" s="5"/>
      <c r="F12552" s="5"/>
      <c r="G12552" s="5"/>
      <c r="H12552" s="5"/>
      <c r="I12552" s="5"/>
      <c r="J12552" s="5"/>
      <c r="K12552" s="5"/>
      <c r="L12552" s="5"/>
      <c r="M12552" s="5"/>
      <c r="N12552" s="5"/>
      <c r="O12552" s="5"/>
      <c r="P12552" s="5"/>
      <c r="Q12552" s="5"/>
      <c r="R12552" s="5"/>
      <c r="S12552" s="5"/>
      <c r="T12552" s="5"/>
      <c r="U12552" s="5"/>
      <c r="V12552" s="5"/>
      <c r="W12552" s="5"/>
      <c r="X12552" s="5"/>
      <c r="Y12552" s="5"/>
      <c r="Z12552" s="5"/>
    </row>
    <row r="12553" spans="1:26" ht="15" x14ac:dyDescent="0.25">
      <c r="A12553" s="4" t="s">
        <v>12550</v>
      </c>
      <c r="B12553" s="4" t="s">
        <v>9011</v>
      </c>
      <c r="C12553" s="2" t="str">
        <f ca="1">IFERROR(__xludf.DUMMYFUNCTION("GOOGLETRANSLATE(A12553,""bn"",""en"")"),"Business will be easy in future")</f>
        <v>Business will be easy in future</v>
      </c>
      <c r="D12553" s="5"/>
      <c r="E12553" s="5"/>
      <c r="F12553" s="5"/>
      <c r="G12553" s="5"/>
      <c r="H12553" s="5"/>
      <c r="I12553" s="5"/>
      <c r="J12553" s="5"/>
      <c r="K12553" s="5"/>
      <c r="L12553" s="5"/>
      <c r="M12553" s="5"/>
      <c r="N12553" s="5"/>
      <c r="O12553" s="5"/>
      <c r="P12553" s="5"/>
      <c r="Q12553" s="5"/>
      <c r="R12553" s="5"/>
      <c r="S12553" s="5"/>
      <c r="T12553" s="5"/>
      <c r="U12553" s="5"/>
      <c r="V12553" s="5"/>
      <c r="W12553" s="5"/>
      <c r="X12553" s="5"/>
      <c r="Y12553" s="5"/>
      <c r="Z12553" s="5"/>
    </row>
    <row r="12554" spans="1:26" ht="15" x14ac:dyDescent="0.25">
      <c r="A12554" s="4" t="s">
        <v>12551</v>
      </c>
      <c r="B12554" s="4" t="s">
        <v>9011</v>
      </c>
      <c r="C12554" s="2" t="str">
        <f ca="1">IFERROR(__xludf.DUMMYFUNCTION("GOOGLETRANSLATE(A12554,""bn"",""en"")"),"Robotic manufacturing will grow rapidly")</f>
        <v>Robotic manufacturing will grow rapidly</v>
      </c>
      <c r="D12554" s="5"/>
      <c r="E12554" s="5"/>
      <c r="F12554" s="5"/>
      <c r="G12554" s="5"/>
      <c r="H12554" s="5"/>
      <c r="I12554" s="5"/>
      <c r="J12554" s="5"/>
      <c r="K12554" s="5"/>
      <c r="L12554" s="5"/>
      <c r="M12554" s="5"/>
      <c r="N12554" s="5"/>
      <c r="O12554" s="5"/>
      <c r="P12554" s="5"/>
      <c r="Q12554" s="5"/>
      <c r="R12554" s="5"/>
      <c r="S12554" s="5"/>
      <c r="T12554" s="5"/>
      <c r="U12554" s="5"/>
      <c r="V12554" s="5"/>
      <c r="W12554" s="5"/>
      <c r="X12554" s="5"/>
      <c r="Y12554" s="5"/>
      <c r="Z12554" s="5"/>
    </row>
    <row r="12555" spans="1:26" ht="15" x14ac:dyDescent="0.25">
      <c r="A12555" s="4" t="s">
        <v>12552</v>
      </c>
      <c r="B12555" s="4" t="s">
        <v>9011</v>
      </c>
      <c r="C12555" s="2" t="str">
        <f ca="1">IFERROR(__xludf.DUMMYFUNCTION("GOOGLETRANSLATE(A12555,""bn"",""en"")"),"The research process will continue")</f>
        <v>The research process will continue</v>
      </c>
      <c r="D12555" s="5"/>
      <c r="E12555" s="5"/>
      <c r="F12555" s="5"/>
      <c r="G12555" s="5"/>
      <c r="H12555" s="5"/>
      <c r="I12555" s="5"/>
      <c r="J12555" s="5"/>
      <c r="K12555" s="5"/>
      <c r="L12555" s="5"/>
      <c r="M12555" s="5"/>
      <c r="N12555" s="5"/>
      <c r="O12555" s="5"/>
      <c r="P12555" s="5"/>
      <c r="Q12555" s="5"/>
      <c r="R12555" s="5"/>
      <c r="S12555" s="5"/>
      <c r="T12555" s="5"/>
      <c r="U12555" s="5"/>
      <c r="V12555" s="5"/>
      <c r="W12555" s="5"/>
      <c r="X12555" s="5"/>
      <c r="Y12555" s="5"/>
      <c r="Z12555" s="5"/>
    </row>
    <row r="12556" spans="1:26" ht="15" x14ac:dyDescent="0.25">
      <c r="A12556" s="4" t="s">
        <v>12553</v>
      </c>
      <c r="B12556" s="4" t="s">
        <v>9011</v>
      </c>
      <c r="C12556" s="2" t="str">
        <f ca="1">IFERROR(__xludf.DUMMYFUNCTION("GOOGLETRANSLATE(A12556,""bn"",""en"")"),"Software will be developed adequately")</f>
        <v>Software will be developed adequately</v>
      </c>
      <c r="D12556" s="5"/>
      <c r="E12556" s="5"/>
      <c r="F12556" s="5"/>
      <c r="G12556" s="5"/>
      <c r="H12556" s="5"/>
      <c r="I12556" s="5"/>
      <c r="J12556" s="5"/>
      <c r="K12556" s="5"/>
      <c r="L12556" s="5"/>
      <c r="M12556" s="5"/>
      <c r="N12556" s="5"/>
      <c r="O12556" s="5"/>
      <c r="P12556" s="5"/>
      <c r="Q12556" s="5"/>
      <c r="R12556" s="5"/>
      <c r="S12556" s="5"/>
      <c r="T12556" s="5"/>
      <c r="U12556" s="5"/>
      <c r="V12556" s="5"/>
      <c r="W12556" s="5"/>
      <c r="X12556" s="5"/>
      <c r="Y12556" s="5"/>
      <c r="Z12556" s="5"/>
    </row>
    <row r="12557" spans="1:26" ht="15" x14ac:dyDescent="0.25">
      <c r="A12557" s="4" t="s">
        <v>12554</v>
      </c>
      <c r="B12557" s="4" t="s">
        <v>9011</v>
      </c>
      <c r="C12557" s="2" t="str">
        <f ca="1">IFERROR(__xludf.DUMMYFUNCTION("GOOGLETRANSLATE(A12557,""bn"",""en"")"),"Teacher-student culture will be maintained")</f>
        <v>Teacher-student culture will be maintained</v>
      </c>
      <c r="D12557" s="5"/>
      <c r="E12557" s="5"/>
      <c r="F12557" s="5"/>
      <c r="G12557" s="5"/>
      <c r="H12557" s="5"/>
      <c r="I12557" s="5"/>
      <c r="J12557" s="5"/>
      <c r="K12557" s="5"/>
      <c r="L12557" s="5"/>
      <c r="M12557" s="5"/>
      <c r="N12557" s="5"/>
      <c r="O12557" s="5"/>
      <c r="P12557" s="5"/>
      <c r="Q12557" s="5"/>
      <c r="R12557" s="5"/>
      <c r="S12557" s="5"/>
      <c r="T12557" s="5"/>
      <c r="U12557" s="5"/>
      <c r="V12557" s="5"/>
      <c r="W12557" s="5"/>
      <c r="X12557" s="5"/>
      <c r="Y12557" s="5"/>
      <c r="Z12557" s="5"/>
    </row>
    <row r="12558" spans="1:26" ht="15" x14ac:dyDescent="0.25">
      <c r="A12558" s="4" t="s">
        <v>12555</v>
      </c>
      <c r="B12558" s="4" t="s">
        <v>9011</v>
      </c>
      <c r="C12558" s="2" t="str">
        <f ca="1">IFERROR(__xludf.DUMMYFUNCTION("GOOGLETRANSLATE(A12558,""bn"",""en"")"),"You will study economics tomorrow")</f>
        <v>You will study economics tomorrow</v>
      </c>
      <c r="D12558" s="5"/>
      <c r="E12558" s="5"/>
      <c r="F12558" s="5"/>
      <c r="G12558" s="5"/>
      <c r="H12558" s="5"/>
      <c r="I12558" s="5"/>
      <c r="J12558" s="5"/>
      <c r="K12558" s="5"/>
      <c r="L12558" s="5"/>
      <c r="M12558" s="5"/>
      <c r="N12558" s="5"/>
      <c r="O12558" s="5"/>
      <c r="P12558" s="5"/>
      <c r="Q12558" s="5"/>
      <c r="R12558" s="5"/>
      <c r="S12558" s="5"/>
      <c r="T12558" s="5"/>
      <c r="U12558" s="5"/>
      <c r="V12558" s="5"/>
      <c r="W12558" s="5"/>
      <c r="X12558" s="5"/>
      <c r="Y12558" s="5"/>
      <c r="Z12558" s="5"/>
    </row>
    <row r="12559" spans="1:26" ht="15" x14ac:dyDescent="0.25">
      <c r="A12559" s="4" t="s">
        <v>12556</v>
      </c>
      <c r="B12559" s="4" t="s">
        <v>9011</v>
      </c>
      <c r="C12559" s="2" t="str">
        <f ca="1">IFERROR(__xludf.DUMMYFUNCTION("GOOGLETRANSLATE(A12559,""bn"",""en"")"),"They will have a boxing match")</f>
        <v>They will have a boxing match</v>
      </c>
      <c r="D12559" s="5"/>
      <c r="E12559" s="5"/>
      <c r="F12559" s="5"/>
      <c r="G12559" s="5"/>
      <c r="H12559" s="5"/>
      <c r="I12559" s="5"/>
      <c r="J12559" s="5"/>
      <c r="K12559" s="5"/>
      <c r="L12559" s="5"/>
      <c r="M12559" s="5"/>
      <c r="N12559" s="5"/>
      <c r="O12559" s="5"/>
      <c r="P12559" s="5"/>
      <c r="Q12559" s="5"/>
      <c r="R12559" s="5"/>
      <c r="S12559" s="5"/>
      <c r="T12559" s="5"/>
      <c r="U12559" s="5"/>
      <c r="V12559" s="5"/>
      <c r="W12559" s="5"/>
      <c r="X12559" s="5"/>
      <c r="Y12559" s="5"/>
      <c r="Z12559" s="5"/>
    </row>
    <row r="12560" spans="1:26" ht="15" x14ac:dyDescent="0.25">
      <c r="A12560" s="4" t="s">
        <v>12557</v>
      </c>
      <c r="B12560" s="4" t="s">
        <v>9011</v>
      </c>
      <c r="C12560" s="2" t="str">
        <f ca="1">IFERROR(__xludf.DUMMYFUNCTION("GOOGLETRANSLATE(A12560,""bn"",""en"")"),"The language will be very sweet")</f>
        <v>The language will be very sweet</v>
      </c>
      <c r="D12560" s="5"/>
      <c r="E12560" s="5"/>
      <c r="F12560" s="5"/>
      <c r="G12560" s="5"/>
      <c r="H12560" s="5"/>
      <c r="I12560" s="5"/>
      <c r="J12560" s="5"/>
      <c r="K12560" s="5"/>
      <c r="L12560" s="5"/>
      <c r="M12560" s="5"/>
      <c r="N12560" s="5"/>
      <c r="O12560" s="5"/>
      <c r="P12560" s="5"/>
      <c r="Q12560" s="5"/>
      <c r="R12560" s="5"/>
      <c r="S12560" s="5"/>
      <c r="T12560" s="5"/>
      <c r="U12560" s="5"/>
      <c r="V12560" s="5"/>
      <c r="W12560" s="5"/>
      <c r="X12560" s="5"/>
      <c r="Y12560" s="5"/>
      <c r="Z12560" s="5"/>
    </row>
    <row r="12561" spans="1:26" ht="15" x14ac:dyDescent="0.25">
      <c r="A12561" s="4" t="s">
        <v>12558</v>
      </c>
      <c r="B12561" s="4" t="s">
        <v>9011</v>
      </c>
      <c r="C12561" s="2" t="str">
        <f ca="1">IFERROR(__xludf.DUMMYFUNCTION("GOOGLETRANSLATE(A12561,""bn"",""en"")"),"Commercial development will be abundant")</f>
        <v>Commercial development will be abundant</v>
      </c>
      <c r="D12561" s="5"/>
      <c r="E12561" s="5"/>
      <c r="F12561" s="5"/>
      <c r="G12561" s="5"/>
      <c r="H12561" s="5"/>
      <c r="I12561" s="5"/>
      <c r="J12561" s="5"/>
      <c r="K12561" s="5"/>
      <c r="L12561" s="5"/>
      <c r="M12561" s="5"/>
      <c r="N12561" s="5"/>
      <c r="O12561" s="5"/>
      <c r="P12561" s="5"/>
      <c r="Q12561" s="5"/>
      <c r="R12561" s="5"/>
      <c r="S12561" s="5"/>
      <c r="T12561" s="5"/>
      <c r="U12561" s="5"/>
      <c r="V12561" s="5"/>
      <c r="W12561" s="5"/>
      <c r="X12561" s="5"/>
      <c r="Y12561" s="5"/>
      <c r="Z12561" s="5"/>
    </row>
    <row r="12562" spans="1:26" ht="15" x14ac:dyDescent="0.25">
      <c r="A12562" s="4" t="s">
        <v>12559</v>
      </c>
      <c r="B12562" s="4" t="s">
        <v>9011</v>
      </c>
      <c r="C12562" s="2" t="str">
        <f ca="1">IFERROR(__xludf.DUMMYFUNCTION("GOOGLETRANSLATE(A12562,""bn"",""en"")"),"He will learn martial arts")</f>
        <v>He will learn martial arts</v>
      </c>
      <c r="D12562" s="5"/>
      <c r="E12562" s="5"/>
      <c r="F12562" s="5"/>
      <c r="G12562" s="5"/>
      <c r="H12562" s="5"/>
      <c r="I12562" s="5"/>
      <c r="J12562" s="5"/>
      <c r="K12562" s="5"/>
      <c r="L12562" s="5"/>
      <c r="M12562" s="5"/>
      <c r="N12562" s="5"/>
      <c r="O12562" s="5"/>
      <c r="P12562" s="5"/>
      <c r="Q12562" s="5"/>
      <c r="R12562" s="5"/>
      <c r="S12562" s="5"/>
      <c r="T12562" s="5"/>
      <c r="U12562" s="5"/>
      <c r="V12562" s="5"/>
      <c r="W12562" s="5"/>
      <c r="X12562" s="5"/>
      <c r="Y12562" s="5"/>
      <c r="Z12562" s="5"/>
    </row>
    <row r="12563" spans="1:26" ht="15" x14ac:dyDescent="0.25">
      <c r="A12563" s="4" t="s">
        <v>12560</v>
      </c>
      <c r="B12563" s="4" t="s">
        <v>9011</v>
      </c>
      <c r="C12563" s="2" t="str">
        <f ca="1">IFERROR(__xludf.DUMMYFUNCTION("GOOGLETRANSLATE(A12563,""bn"",""en"")"),"We will travel by train")</f>
        <v>We will travel by train</v>
      </c>
      <c r="D12563" s="5"/>
      <c r="E12563" s="5"/>
      <c r="F12563" s="5"/>
      <c r="G12563" s="5"/>
      <c r="H12563" s="5"/>
      <c r="I12563" s="5"/>
      <c r="J12563" s="5"/>
      <c r="K12563" s="5"/>
      <c r="L12563" s="5"/>
      <c r="M12563" s="5"/>
      <c r="N12563" s="5"/>
      <c r="O12563" s="5"/>
      <c r="P12563" s="5"/>
      <c r="Q12563" s="5"/>
      <c r="R12563" s="5"/>
      <c r="S12563" s="5"/>
      <c r="T12563" s="5"/>
      <c r="U12563" s="5"/>
      <c r="V12563" s="5"/>
      <c r="W12563" s="5"/>
      <c r="X12563" s="5"/>
      <c r="Y12563" s="5"/>
      <c r="Z12563" s="5"/>
    </row>
    <row r="12564" spans="1:26" ht="15" x14ac:dyDescent="0.25">
      <c r="A12564" s="4" t="s">
        <v>12561</v>
      </c>
      <c r="B12564" s="4" t="s">
        <v>9011</v>
      </c>
      <c r="C12564" s="2" t="str">
        <f ca="1">IFERROR(__xludf.DUMMYFUNCTION("GOOGLETRANSLATE(A12564,""bn"",""en"")"),"I will read classic Bengali literature")</f>
        <v>I will read classic Bengali literature</v>
      </c>
      <c r="D12564" s="5"/>
      <c r="E12564" s="5"/>
      <c r="F12564" s="5"/>
      <c r="G12564" s="5"/>
      <c r="H12564" s="5"/>
      <c r="I12564" s="5"/>
      <c r="J12564" s="5"/>
      <c r="K12564" s="5"/>
      <c r="L12564" s="5"/>
      <c r="M12564" s="5"/>
      <c r="N12564" s="5"/>
      <c r="O12564" s="5"/>
      <c r="P12564" s="5"/>
      <c r="Q12564" s="5"/>
      <c r="R12564" s="5"/>
      <c r="S12564" s="5"/>
      <c r="T12564" s="5"/>
      <c r="U12564" s="5"/>
      <c r="V12564" s="5"/>
      <c r="W12564" s="5"/>
      <c r="X12564" s="5"/>
      <c r="Y12564" s="5"/>
      <c r="Z12564" s="5"/>
    </row>
    <row r="12565" spans="1:26" ht="15" x14ac:dyDescent="0.25">
      <c r="A12565" s="4" t="s">
        <v>12562</v>
      </c>
      <c r="B12565" s="4" t="s">
        <v>9011</v>
      </c>
      <c r="C12565" s="2" t="str">
        <f ca="1">IFERROR(__xludf.DUMMYFUNCTION("GOOGLETRANSLATE(A12565,""bn"",""en"")"),"We will tend the garden")</f>
        <v>We will tend the garden</v>
      </c>
      <c r="D12565" s="5"/>
      <c r="E12565" s="5"/>
      <c r="F12565" s="5"/>
      <c r="G12565" s="5"/>
      <c r="H12565" s="5"/>
      <c r="I12565" s="5"/>
      <c r="J12565" s="5"/>
      <c r="K12565" s="5"/>
      <c r="L12565" s="5"/>
      <c r="M12565" s="5"/>
      <c r="N12565" s="5"/>
      <c r="O12565" s="5"/>
      <c r="P12565" s="5"/>
      <c r="Q12565" s="5"/>
      <c r="R12565" s="5"/>
      <c r="S12565" s="5"/>
      <c r="T12565" s="5"/>
      <c r="U12565" s="5"/>
      <c r="V12565" s="5"/>
      <c r="W12565" s="5"/>
      <c r="X12565" s="5"/>
      <c r="Y12565" s="5"/>
      <c r="Z12565" s="5"/>
    </row>
    <row r="12566" spans="1:26" ht="15" x14ac:dyDescent="0.25">
      <c r="A12566" s="4" t="s">
        <v>12563</v>
      </c>
      <c r="B12566" s="4" t="s">
        <v>9011</v>
      </c>
      <c r="C12566" s="2" t="str">
        <f ca="1">IFERROR(__xludf.DUMMYFUNCTION("GOOGLETRANSLATE(A12566,""bn"",""en"")"),"Peace will be discussed")</f>
        <v>Peace will be discussed</v>
      </c>
      <c r="D12566" s="5"/>
      <c r="E12566" s="5"/>
      <c r="F12566" s="5"/>
      <c r="G12566" s="5"/>
      <c r="H12566" s="5"/>
      <c r="I12566" s="5"/>
      <c r="J12566" s="5"/>
      <c r="K12566" s="5"/>
      <c r="L12566" s="5"/>
      <c r="M12566" s="5"/>
      <c r="N12566" s="5"/>
      <c r="O12566" s="5"/>
      <c r="P12566" s="5"/>
      <c r="Q12566" s="5"/>
      <c r="R12566" s="5"/>
      <c r="S12566" s="5"/>
      <c r="T12566" s="5"/>
      <c r="U12566" s="5"/>
      <c r="V12566" s="5"/>
      <c r="W12566" s="5"/>
      <c r="X12566" s="5"/>
      <c r="Y12566" s="5"/>
      <c r="Z12566" s="5"/>
    </row>
    <row r="12567" spans="1:26" ht="15" x14ac:dyDescent="0.25">
      <c r="A12567" s="4" t="s">
        <v>12564</v>
      </c>
      <c r="B12567" s="4" t="s">
        <v>9011</v>
      </c>
      <c r="C12567" s="2" t="str">
        <f ca="1">IFERROR(__xludf.DUMMYFUNCTION("GOOGLETRANSLATE(A12567,""bn"",""en"")"),"Will give proper advice to the patient")</f>
        <v>Will give proper advice to the patient</v>
      </c>
      <c r="D12567" s="5"/>
      <c r="E12567" s="5"/>
      <c r="F12567" s="5"/>
      <c r="G12567" s="5"/>
      <c r="H12567" s="5"/>
      <c r="I12567" s="5"/>
      <c r="J12567" s="5"/>
      <c r="K12567" s="5"/>
      <c r="L12567" s="5"/>
      <c r="M12567" s="5"/>
      <c r="N12567" s="5"/>
      <c r="O12567" s="5"/>
      <c r="P12567" s="5"/>
      <c r="Q12567" s="5"/>
      <c r="R12567" s="5"/>
      <c r="S12567" s="5"/>
      <c r="T12567" s="5"/>
      <c r="U12567" s="5"/>
      <c r="V12567" s="5"/>
      <c r="W12567" s="5"/>
      <c r="X12567" s="5"/>
      <c r="Y12567" s="5"/>
      <c r="Z12567" s="5"/>
    </row>
    <row r="12568" spans="1:26" ht="15" x14ac:dyDescent="0.25">
      <c r="A12568" s="4" t="s">
        <v>12565</v>
      </c>
      <c r="B12568" s="4" t="s">
        <v>9011</v>
      </c>
      <c r="C12568" s="2" t="str">
        <f ca="1">IFERROR(__xludf.DUMMYFUNCTION("GOOGLETRANSLATE(A12568,""bn"",""en"")"),"Technology will change education")</f>
        <v>Technology will change education</v>
      </c>
      <c r="D12568" s="5"/>
      <c r="E12568" s="5"/>
      <c r="F12568" s="5"/>
      <c r="G12568" s="5"/>
      <c r="H12568" s="5"/>
      <c r="I12568" s="5"/>
      <c r="J12568" s="5"/>
      <c r="K12568" s="5"/>
      <c r="L12568" s="5"/>
      <c r="M12568" s="5"/>
      <c r="N12568" s="5"/>
      <c r="O12568" s="5"/>
      <c r="P12568" s="5"/>
      <c r="Q12568" s="5"/>
      <c r="R12568" s="5"/>
      <c r="S12568" s="5"/>
      <c r="T12568" s="5"/>
      <c r="U12568" s="5"/>
      <c r="V12568" s="5"/>
      <c r="W12568" s="5"/>
      <c r="X12568" s="5"/>
      <c r="Y12568" s="5"/>
      <c r="Z12568" s="5"/>
    </row>
    <row r="12569" spans="1:26" ht="15" x14ac:dyDescent="0.25">
      <c r="A12569" s="4" t="s">
        <v>12566</v>
      </c>
      <c r="B12569" s="4" t="s">
        <v>9011</v>
      </c>
      <c r="C12569" s="2" t="str">
        <f ca="1">IFERROR(__xludf.DUMMYFUNCTION("GOOGLETRANSLATE(A12569,""bn"",""en"")"),"Various projects will be showcased")</f>
        <v>Various projects will be showcased</v>
      </c>
      <c r="D12569" s="5"/>
      <c r="E12569" s="5"/>
      <c r="F12569" s="5"/>
      <c r="G12569" s="5"/>
      <c r="H12569" s="5"/>
      <c r="I12569" s="5"/>
      <c r="J12569" s="5"/>
      <c r="K12569" s="5"/>
      <c r="L12569" s="5"/>
      <c r="M12569" s="5"/>
      <c r="N12569" s="5"/>
      <c r="O12569" s="5"/>
      <c r="P12569" s="5"/>
      <c r="Q12569" s="5"/>
      <c r="R12569" s="5"/>
      <c r="S12569" s="5"/>
      <c r="T12569" s="5"/>
      <c r="U12569" s="5"/>
      <c r="V12569" s="5"/>
      <c r="W12569" s="5"/>
      <c r="X12569" s="5"/>
      <c r="Y12569" s="5"/>
      <c r="Z12569" s="5"/>
    </row>
    <row r="12570" spans="1:26" ht="15" x14ac:dyDescent="0.25">
      <c r="A12570" s="4" t="s">
        <v>12567</v>
      </c>
      <c r="B12570" s="4" t="s">
        <v>9011</v>
      </c>
      <c r="C12570" s="2" t="str">
        <f ca="1">IFERROR(__xludf.DUMMYFUNCTION("GOOGLETRANSLATE(A12570,""bn"",""en"")"),"The car will be covered in snow")</f>
        <v>The car will be covered in snow</v>
      </c>
      <c r="D12570" s="5"/>
      <c r="E12570" s="5"/>
      <c r="F12570" s="5"/>
      <c r="G12570" s="5"/>
      <c r="H12570" s="5"/>
      <c r="I12570" s="5"/>
      <c r="J12570" s="5"/>
      <c r="K12570" s="5"/>
      <c r="L12570" s="5"/>
      <c r="M12570" s="5"/>
      <c r="N12570" s="5"/>
      <c r="O12570" s="5"/>
      <c r="P12570" s="5"/>
      <c r="Q12570" s="5"/>
      <c r="R12570" s="5"/>
      <c r="S12570" s="5"/>
      <c r="T12570" s="5"/>
      <c r="U12570" s="5"/>
      <c r="V12570" s="5"/>
      <c r="W12570" s="5"/>
      <c r="X12570" s="5"/>
      <c r="Y12570" s="5"/>
      <c r="Z12570" s="5"/>
    </row>
    <row r="12571" spans="1:26" ht="15" x14ac:dyDescent="0.25">
      <c r="A12571" s="4" t="s">
        <v>12568</v>
      </c>
      <c r="B12571" s="4" t="s">
        <v>9011</v>
      </c>
      <c r="C12571" s="2" t="str">
        <f ca="1">IFERROR(__xludf.DUMMYFUNCTION("GOOGLETRANSLATE(A12571,""bn"",""en"")"),"Robotics will be a growing trend in the world")</f>
        <v>Robotics will be a growing trend in the world</v>
      </c>
      <c r="D12571" s="5"/>
      <c r="E12571" s="5"/>
      <c r="F12571" s="5"/>
      <c r="G12571" s="5"/>
      <c r="H12571" s="5"/>
      <c r="I12571" s="5"/>
      <c r="J12571" s="5"/>
      <c r="K12571" s="5"/>
      <c r="L12571" s="5"/>
      <c r="M12571" s="5"/>
      <c r="N12571" s="5"/>
      <c r="O12571" s="5"/>
      <c r="P12571" s="5"/>
      <c r="Q12571" s="5"/>
      <c r="R12571" s="5"/>
      <c r="S12571" s="5"/>
      <c r="T12571" s="5"/>
      <c r="U12571" s="5"/>
      <c r="V12571" s="5"/>
      <c r="W12571" s="5"/>
      <c r="X12571" s="5"/>
      <c r="Y12571" s="5"/>
      <c r="Z12571" s="5"/>
    </row>
    <row r="12572" spans="1:26" ht="15" x14ac:dyDescent="0.25">
      <c r="A12572" s="4" t="s">
        <v>12569</v>
      </c>
      <c r="B12572" s="4" t="s">
        <v>9011</v>
      </c>
      <c r="C12572" s="2" t="str">
        <f ca="1">IFERROR(__xludf.DUMMYFUNCTION("GOOGLETRANSLATE(A12572,""bn"",""en"")"),"He will watch drama movies")</f>
        <v>He will watch drama movies</v>
      </c>
      <c r="D12572" s="5"/>
      <c r="E12572" s="5"/>
      <c r="F12572" s="5"/>
      <c r="G12572" s="5"/>
      <c r="H12572" s="5"/>
      <c r="I12572" s="5"/>
      <c r="J12572" s="5"/>
      <c r="K12572" s="5"/>
      <c r="L12572" s="5"/>
      <c r="M12572" s="5"/>
      <c r="N12572" s="5"/>
      <c r="O12572" s="5"/>
      <c r="P12572" s="5"/>
      <c r="Q12572" s="5"/>
      <c r="R12572" s="5"/>
      <c r="S12572" s="5"/>
      <c r="T12572" s="5"/>
      <c r="U12572" s="5"/>
      <c r="V12572" s="5"/>
      <c r="W12572" s="5"/>
      <c r="X12572" s="5"/>
      <c r="Y12572" s="5"/>
      <c r="Z12572" s="5"/>
    </row>
    <row r="12573" spans="1:26" ht="15" x14ac:dyDescent="0.25">
      <c r="A12573" s="4" t="s">
        <v>12570</v>
      </c>
      <c r="B12573" s="4" t="s">
        <v>9011</v>
      </c>
      <c r="C12573" s="2" t="str">
        <f ca="1">IFERROR(__xludf.DUMMYFUNCTION("GOOGLETRANSLATE(A12573,""bn"",""en"")"),"We will study engineering")</f>
        <v>We will study engineering</v>
      </c>
      <c r="D12573" s="5"/>
      <c r="E12573" s="5"/>
      <c r="F12573" s="5"/>
      <c r="G12573" s="5"/>
      <c r="H12573" s="5"/>
      <c r="I12573" s="5"/>
      <c r="J12573" s="5"/>
      <c r="K12573" s="5"/>
      <c r="L12573" s="5"/>
      <c r="M12573" s="5"/>
      <c r="N12573" s="5"/>
      <c r="O12573" s="5"/>
      <c r="P12573" s="5"/>
      <c r="Q12573" s="5"/>
      <c r="R12573" s="5"/>
      <c r="S12573" s="5"/>
      <c r="T12573" s="5"/>
      <c r="U12573" s="5"/>
      <c r="V12573" s="5"/>
      <c r="W12573" s="5"/>
      <c r="X12573" s="5"/>
      <c r="Y12573" s="5"/>
      <c r="Z12573" s="5"/>
    </row>
    <row r="12574" spans="1:26" ht="15" x14ac:dyDescent="0.25">
      <c r="A12574" s="4" t="s">
        <v>12571</v>
      </c>
      <c r="B12574" s="4" t="s">
        <v>9011</v>
      </c>
      <c r="C12574" s="2" t="str">
        <f ca="1">IFERROR(__xludf.DUMMYFUNCTION("GOOGLETRANSLATE(A12574,""bn"",""en"")"),"Crops will need water")</f>
        <v>Crops will need water</v>
      </c>
      <c r="D12574" s="5"/>
      <c r="E12574" s="5"/>
      <c r="F12574" s="5"/>
      <c r="G12574" s="5"/>
      <c r="H12574" s="5"/>
      <c r="I12574" s="5"/>
      <c r="J12574" s="5"/>
      <c r="K12574" s="5"/>
      <c r="L12574" s="5"/>
      <c r="M12574" s="5"/>
      <c r="N12574" s="5"/>
      <c r="O12574" s="5"/>
      <c r="P12574" s="5"/>
      <c r="Q12574" s="5"/>
      <c r="R12574" s="5"/>
      <c r="S12574" s="5"/>
      <c r="T12574" s="5"/>
      <c r="U12574" s="5"/>
      <c r="V12574" s="5"/>
      <c r="W12574" s="5"/>
      <c r="X12574" s="5"/>
      <c r="Y12574" s="5"/>
      <c r="Z12574" s="5"/>
    </row>
    <row r="12575" spans="1:26" ht="15" x14ac:dyDescent="0.25">
      <c r="A12575" s="4" t="s">
        <v>12572</v>
      </c>
      <c r="B12575" s="4" t="s">
        <v>9011</v>
      </c>
      <c r="C12575" s="2" t="str">
        <f ca="1">IFERROR(__xludf.DUMMYFUNCTION("GOOGLETRANSLATE(A12575,""bn"",""en"")"),"We will give admission test")</f>
        <v>We will give admission test</v>
      </c>
      <c r="D12575" s="5"/>
      <c r="E12575" s="5"/>
      <c r="F12575" s="5"/>
      <c r="G12575" s="5"/>
      <c r="H12575" s="5"/>
      <c r="I12575" s="5"/>
      <c r="J12575" s="5"/>
      <c r="K12575" s="5"/>
      <c r="L12575" s="5"/>
      <c r="M12575" s="5"/>
      <c r="N12575" s="5"/>
      <c r="O12575" s="5"/>
      <c r="P12575" s="5"/>
      <c r="Q12575" s="5"/>
      <c r="R12575" s="5"/>
      <c r="S12575" s="5"/>
      <c r="T12575" s="5"/>
      <c r="U12575" s="5"/>
      <c r="V12575" s="5"/>
      <c r="W12575" s="5"/>
      <c r="X12575" s="5"/>
      <c r="Y12575" s="5"/>
      <c r="Z12575" s="5"/>
    </row>
    <row r="12576" spans="1:26" ht="15" x14ac:dyDescent="0.25">
      <c r="A12576" s="4" t="s">
        <v>12573</v>
      </c>
      <c r="B12576" s="4" t="s">
        <v>9011</v>
      </c>
      <c r="C12576" s="2" t="str">
        <f ca="1">IFERROR(__xludf.DUMMYFUNCTION("GOOGLETRANSLATE(A12576,""bn"",""en"")"),"They will travel by bicycle")</f>
        <v>They will travel by bicycle</v>
      </c>
      <c r="D12576" s="5"/>
      <c r="E12576" s="5"/>
      <c r="F12576" s="5"/>
      <c r="G12576" s="5"/>
      <c r="H12576" s="5"/>
      <c r="I12576" s="5"/>
      <c r="J12576" s="5"/>
      <c r="K12576" s="5"/>
      <c r="L12576" s="5"/>
      <c r="M12576" s="5"/>
      <c r="N12576" s="5"/>
      <c r="O12576" s="5"/>
      <c r="P12576" s="5"/>
      <c r="Q12576" s="5"/>
      <c r="R12576" s="5"/>
      <c r="S12576" s="5"/>
      <c r="T12576" s="5"/>
      <c r="U12576" s="5"/>
      <c r="V12576" s="5"/>
      <c r="W12576" s="5"/>
      <c r="X12576" s="5"/>
      <c r="Y12576" s="5"/>
      <c r="Z12576" s="5"/>
    </row>
    <row r="12577" spans="1:26" ht="15" x14ac:dyDescent="0.25">
      <c r="A12577" s="4" t="s">
        <v>12574</v>
      </c>
      <c r="B12577" s="4" t="s">
        <v>9011</v>
      </c>
      <c r="C12577" s="2" t="str">
        <f ca="1">IFERROR(__xludf.DUMMYFUNCTION("GOOGLETRANSLATE(A12577,""bn"",""en"")"),"We will organize together")</f>
        <v>We will organize together</v>
      </c>
      <c r="D12577" s="5"/>
      <c r="E12577" s="5"/>
      <c r="F12577" s="5"/>
      <c r="G12577" s="5"/>
      <c r="H12577" s="5"/>
      <c r="I12577" s="5"/>
      <c r="J12577" s="5"/>
      <c r="K12577" s="5"/>
      <c r="L12577" s="5"/>
      <c r="M12577" s="5"/>
      <c r="N12577" s="5"/>
      <c r="O12577" s="5"/>
      <c r="P12577" s="5"/>
      <c r="Q12577" s="5"/>
      <c r="R12577" s="5"/>
      <c r="S12577" s="5"/>
      <c r="T12577" s="5"/>
      <c r="U12577" s="5"/>
      <c r="V12577" s="5"/>
      <c r="W12577" s="5"/>
      <c r="X12577" s="5"/>
      <c r="Y12577" s="5"/>
      <c r="Z12577" s="5"/>
    </row>
    <row r="12578" spans="1:26" ht="15" x14ac:dyDescent="0.25">
      <c r="A12578" s="4" t="s">
        <v>12575</v>
      </c>
      <c r="B12578" s="4" t="s">
        <v>9011</v>
      </c>
      <c r="C12578" s="2" t="str">
        <f ca="1">IFERROR(__xludf.DUMMYFUNCTION("GOOGLETRANSLATE(A12578,""bn"",""en"")"),"They will learn to swim in the pond")</f>
        <v>They will learn to swim in the pond</v>
      </c>
      <c r="D12578" s="5"/>
      <c r="E12578" s="5"/>
      <c r="F12578" s="5"/>
      <c r="G12578" s="5"/>
      <c r="H12578" s="5"/>
      <c r="I12578" s="5"/>
      <c r="J12578" s="5"/>
      <c r="K12578" s="5"/>
      <c r="L12578" s="5"/>
      <c r="M12578" s="5"/>
      <c r="N12578" s="5"/>
      <c r="O12578" s="5"/>
      <c r="P12578" s="5"/>
      <c r="Q12578" s="5"/>
      <c r="R12578" s="5"/>
      <c r="S12578" s="5"/>
      <c r="T12578" s="5"/>
      <c r="U12578" s="5"/>
      <c r="V12578" s="5"/>
      <c r="W12578" s="5"/>
      <c r="X12578" s="5"/>
      <c r="Y12578" s="5"/>
      <c r="Z12578" s="5"/>
    </row>
    <row r="12579" spans="1:26" ht="15" x14ac:dyDescent="0.25">
      <c r="A12579" s="4" t="s">
        <v>12576</v>
      </c>
      <c r="B12579" s="4" t="s">
        <v>9011</v>
      </c>
      <c r="C12579" s="2" t="str">
        <f ca="1">IFERROR(__xludf.DUMMYFUNCTION("GOOGLETRANSLATE(A12579,""bn"",""en"")"),"He will go to the new capital")</f>
        <v>He will go to the new capital</v>
      </c>
      <c r="D12579" s="5"/>
      <c r="E12579" s="5"/>
      <c r="F12579" s="5"/>
      <c r="G12579" s="5"/>
      <c r="H12579" s="5"/>
      <c r="I12579" s="5"/>
      <c r="J12579" s="5"/>
      <c r="K12579" s="5"/>
      <c r="L12579" s="5"/>
      <c r="M12579" s="5"/>
      <c r="N12579" s="5"/>
      <c r="O12579" s="5"/>
      <c r="P12579" s="5"/>
      <c r="Q12579" s="5"/>
      <c r="R12579" s="5"/>
      <c r="S12579" s="5"/>
      <c r="T12579" s="5"/>
      <c r="U12579" s="5"/>
      <c r="V12579" s="5"/>
      <c r="W12579" s="5"/>
      <c r="X12579" s="5"/>
      <c r="Y12579" s="5"/>
      <c r="Z12579" s="5"/>
    </row>
    <row r="12580" spans="1:26" ht="15" x14ac:dyDescent="0.25">
      <c r="A12580" s="4" t="s">
        <v>12577</v>
      </c>
      <c r="B12580" s="4" t="s">
        <v>9011</v>
      </c>
      <c r="C12580" s="2" t="str">
        <f ca="1">IFERROR(__xludf.DUMMYFUNCTION("GOOGLETRANSLATE(A12580,""bn"",""en"")"),"Problem solving skills will increase")</f>
        <v>Problem solving skills will increase</v>
      </c>
      <c r="D12580" s="5"/>
      <c r="E12580" s="5"/>
      <c r="F12580" s="5"/>
      <c r="G12580" s="5"/>
      <c r="H12580" s="5"/>
      <c r="I12580" s="5"/>
      <c r="J12580" s="5"/>
      <c r="K12580" s="5"/>
      <c r="L12580" s="5"/>
      <c r="M12580" s="5"/>
      <c r="N12580" s="5"/>
      <c r="O12580" s="5"/>
      <c r="P12580" s="5"/>
      <c r="Q12580" s="5"/>
      <c r="R12580" s="5"/>
      <c r="S12580" s="5"/>
      <c r="T12580" s="5"/>
      <c r="U12580" s="5"/>
      <c r="V12580" s="5"/>
      <c r="W12580" s="5"/>
      <c r="X12580" s="5"/>
      <c r="Y12580" s="5"/>
      <c r="Z12580" s="5"/>
    </row>
    <row r="12581" spans="1:26" ht="15" x14ac:dyDescent="0.25">
      <c r="A12581" s="4" t="s">
        <v>12578</v>
      </c>
      <c r="B12581" s="4" t="s">
        <v>9011</v>
      </c>
      <c r="C12581" s="2" t="str">
        <f ca="1">IFERROR(__xludf.DUMMYFUNCTION("GOOGLETRANSLATE(A12581,""bn"",""en"")"),"Chittagong will be covered with snow")</f>
        <v>Chittagong will be covered with snow</v>
      </c>
      <c r="D12581" s="5"/>
      <c r="E12581" s="5"/>
      <c r="F12581" s="5"/>
      <c r="G12581" s="5"/>
      <c r="H12581" s="5"/>
      <c r="I12581" s="5"/>
      <c r="J12581" s="5"/>
      <c r="K12581" s="5"/>
      <c r="L12581" s="5"/>
      <c r="M12581" s="5"/>
      <c r="N12581" s="5"/>
      <c r="O12581" s="5"/>
      <c r="P12581" s="5"/>
      <c r="Q12581" s="5"/>
      <c r="R12581" s="5"/>
      <c r="S12581" s="5"/>
      <c r="T12581" s="5"/>
      <c r="U12581" s="5"/>
      <c r="V12581" s="5"/>
      <c r="W12581" s="5"/>
      <c r="X12581" s="5"/>
      <c r="Y12581" s="5"/>
      <c r="Z12581" s="5"/>
    </row>
    <row r="12582" spans="1:26" ht="15" x14ac:dyDescent="0.25">
      <c r="A12582" s="4" t="s">
        <v>12579</v>
      </c>
      <c r="B12582" s="4" t="s">
        <v>9011</v>
      </c>
      <c r="C12582" s="2" t="str">
        <f ca="1">IFERROR(__xludf.DUMMYFUNCTION("GOOGLETRANSLATE(A12582,""bn"",""en"")"),"Green autumn will be in the snow")</f>
        <v>Green autumn will be in the snow</v>
      </c>
      <c r="D12582" s="5"/>
      <c r="E12582" s="5"/>
      <c r="F12582" s="5"/>
      <c r="G12582" s="5"/>
      <c r="H12582" s="5"/>
      <c r="I12582" s="5"/>
      <c r="J12582" s="5"/>
      <c r="K12582" s="5"/>
      <c r="L12582" s="5"/>
      <c r="M12582" s="5"/>
      <c r="N12582" s="5"/>
      <c r="O12582" s="5"/>
      <c r="P12582" s="5"/>
      <c r="Q12582" s="5"/>
      <c r="R12582" s="5"/>
      <c r="S12582" s="5"/>
      <c r="T12582" s="5"/>
      <c r="U12582" s="5"/>
      <c r="V12582" s="5"/>
      <c r="W12582" s="5"/>
      <c r="X12582" s="5"/>
      <c r="Y12582" s="5"/>
      <c r="Z12582" s="5"/>
    </row>
    <row r="12583" spans="1:26" ht="15" x14ac:dyDescent="0.25">
      <c r="A12583" s="4" t="s">
        <v>12580</v>
      </c>
      <c r="B12583" s="4" t="s">
        <v>9011</v>
      </c>
      <c r="C12583" s="2" t="str">
        <f ca="1">IFERROR(__xludf.DUMMYFUNCTION("GOOGLETRANSLATE(A12583,""bn"",""en"")"),"A better economy will create a culture")</f>
        <v>A better economy will create a culture</v>
      </c>
      <c r="D12583" s="5"/>
      <c r="E12583" s="5"/>
      <c r="F12583" s="5"/>
      <c r="G12583" s="5"/>
      <c r="H12583" s="5"/>
      <c r="I12583" s="5"/>
      <c r="J12583" s="5"/>
      <c r="K12583" s="5"/>
      <c r="L12583" s="5"/>
      <c r="M12583" s="5"/>
      <c r="N12583" s="5"/>
      <c r="O12583" s="5"/>
      <c r="P12583" s="5"/>
      <c r="Q12583" s="5"/>
      <c r="R12583" s="5"/>
      <c r="S12583" s="5"/>
      <c r="T12583" s="5"/>
      <c r="U12583" s="5"/>
      <c r="V12583" s="5"/>
      <c r="W12583" s="5"/>
      <c r="X12583" s="5"/>
      <c r="Y12583" s="5"/>
      <c r="Z12583" s="5"/>
    </row>
    <row r="12584" spans="1:26" ht="15" x14ac:dyDescent="0.25">
      <c r="A12584" s="4" t="s">
        <v>12581</v>
      </c>
      <c r="B12584" s="4" t="s">
        <v>9011</v>
      </c>
      <c r="C12584" s="2" t="str">
        <f ca="1">IFERROR(__xludf.DUMMYFUNCTION("GOOGLETRANSLATE(A12584,""bn"",""en"")"),"Opium will be made in the garden")</f>
        <v>Opium will be made in the garden</v>
      </c>
      <c r="D12584" s="5"/>
      <c r="E12584" s="5"/>
      <c r="F12584" s="5"/>
      <c r="G12584" s="5"/>
      <c r="H12584" s="5"/>
      <c r="I12584" s="5"/>
      <c r="J12584" s="5"/>
      <c r="K12584" s="5"/>
      <c r="L12584" s="5"/>
      <c r="M12584" s="5"/>
      <c r="N12584" s="5"/>
      <c r="O12584" s="5"/>
      <c r="P12584" s="5"/>
      <c r="Q12584" s="5"/>
      <c r="R12584" s="5"/>
      <c r="S12584" s="5"/>
      <c r="T12584" s="5"/>
      <c r="U12584" s="5"/>
      <c r="V12584" s="5"/>
      <c r="W12584" s="5"/>
      <c r="X12584" s="5"/>
      <c r="Y12584" s="5"/>
      <c r="Z12584" s="5"/>
    </row>
    <row r="12585" spans="1:26" ht="15" x14ac:dyDescent="0.25">
      <c r="A12585" s="4" t="s">
        <v>12582</v>
      </c>
      <c r="B12585" s="4" t="s">
        <v>9011</v>
      </c>
      <c r="C12585" s="2" t="str">
        <f ca="1">IFERROR(__xludf.DUMMYFUNCTION("GOOGLETRANSLATE(A12585,""bn"",""en"")"),"I will see the blue waves of the sea")</f>
        <v>I will see the blue waves of the sea</v>
      </c>
      <c r="D12585" s="5"/>
      <c r="E12585" s="5"/>
      <c r="F12585" s="5"/>
      <c r="G12585" s="5"/>
      <c r="H12585" s="5"/>
      <c r="I12585" s="5"/>
      <c r="J12585" s="5"/>
      <c r="K12585" s="5"/>
      <c r="L12585" s="5"/>
      <c r="M12585" s="5"/>
      <c r="N12585" s="5"/>
      <c r="O12585" s="5"/>
      <c r="P12585" s="5"/>
      <c r="Q12585" s="5"/>
      <c r="R12585" s="5"/>
      <c r="S12585" s="5"/>
      <c r="T12585" s="5"/>
      <c r="U12585" s="5"/>
      <c r="V12585" s="5"/>
      <c r="W12585" s="5"/>
      <c r="X12585" s="5"/>
      <c r="Y12585" s="5"/>
      <c r="Z12585" s="5"/>
    </row>
    <row r="12586" spans="1:26" ht="15" x14ac:dyDescent="0.25">
      <c r="A12586" s="4" t="s">
        <v>12583</v>
      </c>
      <c r="B12586" s="4" t="s">
        <v>9011</v>
      </c>
      <c r="C12586" s="2" t="str">
        <f ca="1">IFERROR(__xludf.DUMMYFUNCTION("GOOGLETRANSLATE(A12586,""bn"",""en"")"),"New treatment will be ready")</f>
        <v>New treatment will be ready</v>
      </c>
      <c r="D12586" s="5"/>
      <c r="E12586" s="5"/>
      <c r="F12586" s="5"/>
      <c r="G12586" s="5"/>
      <c r="H12586" s="5"/>
      <c r="I12586" s="5"/>
      <c r="J12586" s="5"/>
      <c r="K12586" s="5"/>
      <c r="L12586" s="5"/>
      <c r="M12586" s="5"/>
      <c r="N12586" s="5"/>
      <c r="O12586" s="5"/>
      <c r="P12586" s="5"/>
      <c r="Q12586" s="5"/>
      <c r="R12586" s="5"/>
      <c r="S12586" s="5"/>
      <c r="T12586" s="5"/>
      <c r="U12586" s="5"/>
      <c r="V12586" s="5"/>
      <c r="W12586" s="5"/>
      <c r="X12586" s="5"/>
      <c r="Y12586" s="5"/>
      <c r="Z12586" s="5"/>
    </row>
    <row r="12587" spans="1:26" ht="15" x14ac:dyDescent="0.25">
      <c r="A12587" s="4" t="s">
        <v>12584</v>
      </c>
      <c r="B12587" s="4" t="s">
        <v>9011</v>
      </c>
      <c r="C12587" s="2" t="str">
        <f ca="1">IFERROR(__xludf.DUMMYFUNCTION("GOOGLETRANSLATE(A12587,""bn"",""en"")"),"The school will be covered in snow")</f>
        <v>The school will be covered in snow</v>
      </c>
      <c r="D12587" s="5"/>
      <c r="E12587" s="5"/>
      <c r="F12587" s="5"/>
      <c r="G12587" s="5"/>
      <c r="H12587" s="5"/>
      <c r="I12587" s="5"/>
      <c r="J12587" s="5"/>
      <c r="K12587" s="5"/>
      <c r="L12587" s="5"/>
      <c r="M12587" s="5"/>
      <c r="N12587" s="5"/>
      <c r="O12587" s="5"/>
      <c r="P12587" s="5"/>
      <c r="Q12587" s="5"/>
      <c r="R12587" s="5"/>
      <c r="S12587" s="5"/>
      <c r="T12587" s="5"/>
      <c r="U12587" s="5"/>
      <c r="V12587" s="5"/>
      <c r="W12587" s="5"/>
      <c r="X12587" s="5"/>
      <c r="Y12587" s="5"/>
      <c r="Z12587" s="5"/>
    </row>
    <row r="12588" spans="1:26" ht="15" x14ac:dyDescent="0.25">
      <c r="A12588" s="4" t="s">
        <v>12585</v>
      </c>
      <c r="B12588" s="4" t="s">
        <v>9011</v>
      </c>
      <c r="C12588" s="2" t="str">
        <f ca="1">IFERROR(__xludf.DUMMYFUNCTION("GOOGLETRANSLATE(A12588,""bn"",""en"")"),"Heart disease will soon be prevented")</f>
        <v>Heart disease will soon be prevented</v>
      </c>
      <c r="D12588" s="5"/>
      <c r="E12588" s="5"/>
      <c r="F12588" s="5"/>
      <c r="G12588" s="5"/>
      <c r="H12588" s="5"/>
      <c r="I12588" s="5"/>
      <c r="J12588" s="5"/>
      <c r="K12588" s="5"/>
      <c r="L12588" s="5"/>
      <c r="M12588" s="5"/>
      <c r="N12588" s="5"/>
      <c r="O12588" s="5"/>
      <c r="P12588" s="5"/>
      <c r="Q12588" s="5"/>
      <c r="R12588" s="5"/>
      <c r="S12588" s="5"/>
      <c r="T12588" s="5"/>
      <c r="U12588" s="5"/>
      <c r="V12588" s="5"/>
      <c r="W12588" s="5"/>
      <c r="X12588" s="5"/>
      <c r="Y12588" s="5"/>
      <c r="Z12588" s="5"/>
    </row>
    <row r="12589" spans="1:26" ht="15" x14ac:dyDescent="0.25">
      <c r="A12589" s="4" t="s">
        <v>12586</v>
      </c>
      <c r="B12589" s="4" t="s">
        <v>9011</v>
      </c>
      <c r="C12589" s="2" t="str">
        <f ca="1">IFERROR(__xludf.DUMMYFUNCTION("GOOGLETRANSLATE(A12589,""bn"",""en"")"),"You will learn programming languages")</f>
        <v>You will learn programming languages</v>
      </c>
      <c r="D12589" s="5"/>
      <c r="E12589" s="5"/>
      <c r="F12589" s="5"/>
      <c r="G12589" s="5"/>
      <c r="H12589" s="5"/>
      <c r="I12589" s="5"/>
      <c r="J12589" s="5"/>
      <c r="K12589" s="5"/>
      <c r="L12589" s="5"/>
      <c r="M12589" s="5"/>
      <c r="N12589" s="5"/>
      <c r="O12589" s="5"/>
      <c r="P12589" s="5"/>
      <c r="Q12589" s="5"/>
      <c r="R12589" s="5"/>
      <c r="S12589" s="5"/>
      <c r="T12589" s="5"/>
      <c r="U12589" s="5"/>
      <c r="V12589" s="5"/>
      <c r="W12589" s="5"/>
      <c r="X12589" s="5"/>
      <c r="Y12589" s="5"/>
      <c r="Z12589" s="5"/>
    </row>
    <row r="12590" spans="1:26" ht="15" x14ac:dyDescent="0.25">
      <c r="A12590" s="4" t="s">
        <v>12587</v>
      </c>
      <c r="B12590" s="4" t="s">
        <v>9011</v>
      </c>
      <c r="C12590" s="2" t="str">
        <f ca="1">IFERROR(__xludf.DUMMYFUNCTION("GOOGLETRANSLATE(A12590,""bn"",""en"")"),"I will design a website")</f>
        <v>I will design a website</v>
      </c>
      <c r="D12590" s="5"/>
      <c r="E12590" s="5"/>
      <c r="F12590" s="5"/>
      <c r="G12590" s="5"/>
      <c r="H12590" s="5"/>
      <c r="I12590" s="5"/>
      <c r="J12590" s="5"/>
      <c r="K12590" s="5"/>
      <c r="L12590" s="5"/>
      <c r="M12590" s="5"/>
      <c r="N12590" s="5"/>
      <c r="O12590" s="5"/>
      <c r="P12590" s="5"/>
      <c r="Q12590" s="5"/>
      <c r="R12590" s="5"/>
      <c r="S12590" s="5"/>
      <c r="T12590" s="5"/>
      <c r="U12590" s="5"/>
      <c r="V12590" s="5"/>
      <c r="W12590" s="5"/>
      <c r="X12590" s="5"/>
      <c r="Y12590" s="5"/>
      <c r="Z12590" s="5"/>
    </row>
    <row r="12591" spans="1:26" ht="15" x14ac:dyDescent="0.25">
      <c r="A12591" s="4" t="s">
        <v>12588</v>
      </c>
      <c r="B12591" s="4" t="s">
        <v>9011</v>
      </c>
      <c r="C12591" s="2" t="str">
        <f ca="1">IFERROR(__xludf.DUMMYFUNCTION("GOOGLETRANSLATE(A12591,""bn"",""en"")"),"I will create an economic model")</f>
        <v>I will create an economic model</v>
      </c>
      <c r="D12591" s="5"/>
      <c r="E12591" s="5"/>
      <c r="F12591" s="5"/>
      <c r="G12591" s="5"/>
      <c r="H12591" s="5"/>
      <c r="I12591" s="5"/>
      <c r="J12591" s="5"/>
      <c r="K12591" s="5"/>
      <c r="L12591" s="5"/>
      <c r="M12591" s="5"/>
      <c r="N12591" s="5"/>
      <c r="O12591" s="5"/>
      <c r="P12591" s="5"/>
      <c r="Q12591" s="5"/>
      <c r="R12591" s="5"/>
      <c r="S12591" s="5"/>
      <c r="T12591" s="5"/>
      <c r="U12591" s="5"/>
      <c r="V12591" s="5"/>
      <c r="W12591" s="5"/>
      <c r="X12591" s="5"/>
      <c r="Y12591" s="5"/>
      <c r="Z12591" s="5"/>
    </row>
    <row r="12592" spans="1:26" ht="15" x14ac:dyDescent="0.25">
      <c r="A12592" s="4" t="s">
        <v>12589</v>
      </c>
      <c r="B12592" s="4" t="s">
        <v>9011</v>
      </c>
      <c r="C12592" s="2" t="str">
        <f ca="1">IFERROR(__xludf.DUMMYFUNCTION("GOOGLETRANSLATE(A12592,""bn"",""en"")"),"New gadgets will arrive in winter")</f>
        <v>New gadgets will arrive in winter</v>
      </c>
      <c r="D12592" s="5"/>
      <c r="E12592" s="5"/>
      <c r="F12592" s="5"/>
      <c r="G12592" s="5"/>
      <c r="H12592" s="5"/>
      <c r="I12592" s="5"/>
      <c r="J12592" s="5"/>
      <c r="K12592" s="5"/>
      <c r="L12592" s="5"/>
      <c r="M12592" s="5"/>
      <c r="N12592" s="5"/>
      <c r="O12592" s="5"/>
      <c r="P12592" s="5"/>
      <c r="Q12592" s="5"/>
      <c r="R12592" s="5"/>
      <c r="S12592" s="5"/>
      <c r="T12592" s="5"/>
      <c r="U12592" s="5"/>
      <c r="V12592" s="5"/>
      <c r="W12592" s="5"/>
      <c r="X12592" s="5"/>
      <c r="Y12592" s="5"/>
      <c r="Z12592" s="5"/>
    </row>
    <row r="12593" spans="1:26" ht="15" x14ac:dyDescent="0.25">
      <c r="A12593" s="4" t="s">
        <v>12590</v>
      </c>
      <c r="B12593" s="4" t="s">
        <v>9011</v>
      </c>
      <c r="C12593" s="2" t="str">
        <f ca="1">IFERROR(__xludf.DUMMYFUNCTION("GOOGLETRANSLATE(A12593,""bn"",""en"")"),"Software testing should be done")</f>
        <v>Software testing should be done</v>
      </c>
      <c r="D12593" s="5"/>
      <c r="E12593" s="5"/>
      <c r="F12593" s="5"/>
      <c r="G12593" s="5"/>
      <c r="H12593" s="5"/>
      <c r="I12593" s="5"/>
      <c r="J12593" s="5"/>
      <c r="K12593" s="5"/>
      <c r="L12593" s="5"/>
      <c r="M12593" s="5"/>
      <c r="N12593" s="5"/>
      <c r="O12593" s="5"/>
      <c r="P12593" s="5"/>
      <c r="Q12593" s="5"/>
      <c r="R12593" s="5"/>
      <c r="S12593" s="5"/>
      <c r="T12593" s="5"/>
      <c r="U12593" s="5"/>
      <c r="V12593" s="5"/>
      <c r="W12593" s="5"/>
      <c r="X12593" s="5"/>
      <c r="Y12593" s="5"/>
      <c r="Z12593" s="5"/>
    </row>
    <row r="12594" spans="1:26" ht="15" x14ac:dyDescent="0.25">
      <c r="A12594" s="4" t="s">
        <v>12591</v>
      </c>
      <c r="B12594" s="4" t="s">
        <v>9011</v>
      </c>
      <c r="C12594" s="2" t="str">
        <f ca="1">IFERROR(__xludf.DUMMYFUNCTION("GOOGLETRANSLATE(A12594,""bn"",""en"")"),"Design technology will be progressive")</f>
        <v>Design technology will be progressive</v>
      </c>
      <c r="D12594" s="5"/>
      <c r="E12594" s="5"/>
      <c r="F12594" s="5"/>
      <c r="G12594" s="5"/>
      <c r="H12594" s="5"/>
      <c r="I12594" s="5"/>
      <c r="J12594" s="5"/>
      <c r="K12594" s="5"/>
      <c r="L12594" s="5"/>
      <c r="M12594" s="5"/>
      <c r="N12594" s="5"/>
      <c r="O12594" s="5"/>
      <c r="P12594" s="5"/>
      <c r="Q12594" s="5"/>
      <c r="R12594" s="5"/>
      <c r="S12594" s="5"/>
      <c r="T12594" s="5"/>
      <c r="U12594" s="5"/>
      <c r="V12594" s="5"/>
      <c r="W12594" s="5"/>
      <c r="X12594" s="5"/>
      <c r="Y12594" s="5"/>
      <c r="Z12594" s="5"/>
    </row>
    <row r="12595" spans="1:26" ht="15" x14ac:dyDescent="0.25">
      <c r="A12595" s="4" t="s">
        <v>12592</v>
      </c>
      <c r="B12595" s="4" t="s">
        <v>9011</v>
      </c>
      <c r="C12595" s="2" t="str">
        <f ca="1">IFERROR(__xludf.DUMMYFUNCTION("GOOGLETRANSLATE(A12595,""bn"",""en"")"),"The plane will be covered in ice")</f>
        <v>The plane will be covered in ice</v>
      </c>
      <c r="D12595" s="5"/>
      <c r="E12595" s="5"/>
      <c r="F12595" s="5"/>
      <c r="G12595" s="5"/>
      <c r="H12595" s="5"/>
      <c r="I12595" s="5"/>
      <c r="J12595" s="5"/>
      <c r="K12595" s="5"/>
      <c r="L12595" s="5"/>
      <c r="M12595" s="5"/>
      <c r="N12595" s="5"/>
      <c r="O12595" s="5"/>
      <c r="P12595" s="5"/>
      <c r="Q12595" s="5"/>
      <c r="R12595" s="5"/>
      <c r="S12595" s="5"/>
      <c r="T12595" s="5"/>
      <c r="U12595" s="5"/>
      <c r="V12595" s="5"/>
      <c r="W12595" s="5"/>
      <c r="X12595" s="5"/>
      <c r="Y12595" s="5"/>
      <c r="Z12595" s="5"/>
    </row>
    <row r="12596" spans="1:26" ht="15" x14ac:dyDescent="0.25">
      <c r="A12596" s="4" t="s">
        <v>12593</v>
      </c>
      <c r="B12596" s="4" t="s">
        <v>9011</v>
      </c>
      <c r="C12596" s="2" t="str">
        <f ca="1">IFERROR(__xludf.DUMMYFUNCTION("GOOGLETRANSLATE(A12596,""bn"",""en"")"),"We will open new markets")</f>
        <v>We will open new markets</v>
      </c>
      <c r="D12596" s="5"/>
      <c r="E12596" s="5"/>
      <c r="F12596" s="5"/>
      <c r="G12596" s="5"/>
      <c r="H12596" s="5"/>
      <c r="I12596" s="5"/>
      <c r="J12596" s="5"/>
      <c r="K12596" s="5"/>
      <c r="L12596" s="5"/>
      <c r="M12596" s="5"/>
      <c r="N12596" s="5"/>
      <c r="O12596" s="5"/>
      <c r="P12596" s="5"/>
      <c r="Q12596" s="5"/>
      <c r="R12596" s="5"/>
      <c r="S12596" s="5"/>
      <c r="T12596" s="5"/>
      <c r="U12596" s="5"/>
      <c r="V12596" s="5"/>
      <c r="W12596" s="5"/>
      <c r="X12596" s="5"/>
      <c r="Y12596" s="5"/>
      <c r="Z12596" s="5"/>
    </row>
    <row r="12597" spans="1:26" ht="15" x14ac:dyDescent="0.25">
      <c r="A12597" s="4" t="s">
        <v>12594</v>
      </c>
      <c r="B12597" s="4" t="s">
        <v>9011</v>
      </c>
      <c r="C12597" s="2" t="str">
        <f ca="1">IFERROR(__xludf.DUMMYFUNCTION("GOOGLETRANSLATE(A12597,""bn"",""en"")"),"We welcome people to the new market")</f>
        <v>We welcome people to the new market</v>
      </c>
      <c r="D12597" s="5"/>
      <c r="E12597" s="5"/>
      <c r="F12597" s="5"/>
      <c r="G12597" s="5"/>
      <c r="H12597" s="5"/>
      <c r="I12597" s="5"/>
      <c r="J12597" s="5"/>
      <c r="K12597" s="5"/>
      <c r="L12597" s="5"/>
      <c r="M12597" s="5"/>
      <c r="N12597" s="5"/>
      <c r="O12597" s="5"/>
      <c r="P12597" s="5"/>
      <c r="Q12597" s="5"/>
      <c r="R12597" s="5"/>
      <c r="S12597" s="5"/>
      <c r="T12597" s="5"/>
      <c r="U12597" s="5"/>
      <c r="V12597" s="5"/>
      <c r="W12597" s="5"/>
      <c r="X12597" s="5"/>
      <c r="Y12597" s="5"/>
      <c r="Z12597" s="5"/>
    </row>
    <row r="12598" spans="1:26" ht="15" x14ac:dyDescent="0.25">
      <c r="A12598" s="4" t="s">
        <v>12595</v>
      </c>
      <c r="B12598" s="4" t="s">
        <v>9011</v>
      </c>
      <c r="C12598" s="2" t="str">
        <f ca="1">IFERROR(__xludf.DUMMYFUNCTION("GOOGLETRANSLATE(A12598,""bn"",""en"")"),"We will take new products to new markets")</f>
        <v>We will take new products to new markets</v>
      </c>
      <c r="D12598" s="5"/>
      <c r="E12598" s="5"/>
      <c r="F12598" s="5"/>
      <c r="G12598" s="5"/>
      <c r="H12598" s="5"/>
      <c r="I12598" s="5"/>
      <c r="J12598" s="5"/>
      <c r="K12598" s="5"/>
      <c r="L12598" s="5"/>
      <c r="M12598" s="5"/>
      <c r="N12598" s="5"/>
      <c r="O12598" s="5"/>
      <c r="P12598" s="5"/>
      <c r="Q12598" s="5"/>
      <c r="R12598" s="5"/>
      <c r="S12598" s="5"/>
      <c r="T12598" s="5"/>
      <c r="U12598" s="5"/>
      <c r="V12598" s="5"/>
      <c r="W12598" s="5"/>
      <c r="X12598" s="5"/>
      <c r="Y12598" s="5"/>
      <c r="Z12598" s="5"/>
    </row>
    <row r="12599" spans="1:26" ht="15" x14ac:dyDescent="0.25">
      <c r="A12599" s="4" t="s">
        <v>12596</v>
      </c>
      <c r="B12599" s="4" t="s">
        <v>9011</v>
      </c>
      <c r="C12599" s="2" t="str">
        <f ca="1">IFERROR(__xludf.DUMMYFUNCTION("GOOGLETRANSLATE(A12599,""bn"",""en"")"),"New treatments will come")</f>
        <v>New treatments will come</v>
      </c>
      <c r="D12599" s="5"/>
      <c r="E12599" s="5"/>
      <c r="F12599" s="5"/>
      <c r="G12599" s="5"/>
      <c r="H12599" s="5"/>
      <c r="I12599" s="5"/>
      <c r="J12599" s="5"/>
      <c r="K12599" s="5"/>
      <c r="L12599" s="5"/>
      <c r="M12599" s="5"/>
      <c r="N12599" s="5"/>
      <c r="O12599" s="5"/>
      <c r="P12599" s="5"/>
      <c r="Q12599" s="5"/>
      <c r="R12599" s="5"/>
      <c r="S12599" s="5"/>
      <c r="T12599" s="5"/>
      <c r="U12599" s="5"/>
      <c r="V12599" s="5"/>
      <c r="W12599" s="5"/>
      <c r="X12599" s="5"/>
      <c r="Y12599" s="5"/>
      <c r="Z12599" s="5"/>
    </row>
    <row r="12600" spans="1:26" ht="15" x14ac:dyDescent="0.25">
      <c r="A12600" s="4" t="s">
        <v>12597</v>
      </c>
      <c r="B12600" s="4" t="s">
        <v>9011</v>
      </c>
      <c r="C12600" s="2" t="str">
        <f ca="1">IFERROR(__xludf.DUMMYFUNCTION("GOOGLETRANSLATE(A12600,""bn"",""en"")"),"New discoveries will be ethical")</f>
        <v>New discoveries will be ethical</v>
      </c>
      <c r="D12600" s="5"/>
      <c r="E12600" s="5"/>
      <c r="F12600" s="5"/>
      <c r="G12600" s="5"/>
      <c r="H12600" s="5"/>
      <c r="I12600" s="5"/>
      <c r="J12600" s="5"/>
      <c r="K12600" s="5"/>
      <c r="L12600" s="5"/>
      <c r="M12600" s="5"/>
      <c r="N12600" s="5"/>
      <c r="O12600" s="5"/>
      <c r="P12600" s="5"/>
      <c r="Q12600" s="5"/>
      <c r="R12600" s="5"/>
      <c r="S12600" s="5"/>
      <c r="T12600" s="5"/>
      <c r="U12600" s="5"/>
      <c r="V12600" s="5"/>
      <c r="W12600" s="5"/>
      <c r="X12600" s="5"/>
      <c r="Y12600" s="5"/>
      <c r="Z12600" s="5"/>
    </row>
    <row r="12601" spans="1:26" ht="15" x14ac:dyDescent="0.25">
      <c r="A12601" s="4" t="s">
        <v>12598</v>
      </c>
      <c r="B12601" s="4" t="s">
        <v>9011</v>
      </c>
      <c r="C12601" s="2" t="str">
        <f ca="1">IFERROR(__xludf.DUMMYFUNCTION("GOOGLETRANSLATE(A12601,""bn"",""en"")"),"We will make chicken soup")</f>
        <v>We will make chicken soup</v>
      </c>
      <c r="D12601" s="5"/>
      <c r="E12601" s="5"/>
      <c r="F12601" s="5"/>
      <c r="G12601" s="5"/>
      <c r="H12601" s="5"/>
      <c r="I12601" s="5"/>
      <c r="J12601" s="5"/>
      <c r="K12601" s="5"/>
      <c r="L12601" s="5"/>
      <c r="M12601" s="5"/>
      <c r="N12601" s="5"/>
      <c r="O12601" s="5"/>
      <c r="P12601" s="5"/>
      <c r="Q12601" s="5"/>
      <c r="R12601" s="5"/>
      <c r="S12601" s="5"/>
      <c r="T12601" s="5"/>
      <c r="U12601" s="5"/>
      <c r="V12601" s="5"/>
      <c r="W12601" s="5"/>
      <c r="X12601" s="5"/>
      <c r="Y12601" s="5"/>
      <c r="Z12601" s="5"/>
    </row>
    <row r="12602" spans="1:26" ht="15" x14ac:dyDescent="0.25">
      <c r="A12602" s="4" t="s">
        <v>12599</v>
      </c>
      <c r="B12602" s="4" t="s">
        <v>9011</v>
      </c>
      <c r="C12602" s="2" t="str">
        <f ca="1">IFERROR(__xludf.DUMMYFUNCTION("GOOGLETRANSLATE(A12602,""bn"",""en"")"),"The robot will have many features")</f>
        <v>The robot will have many features</v>
      </c>
      <c r="D12602" s="5"/>
      <c r="E12602" s="5"/>
      <c r="F12602" s="5"/>
      <c r="G12602" s="5"/>
      <c r="H12602" s="5"/>
      <c r="I12602" s="5"/>
      <c r="J12602" s="5"/>
      <c r="K12602" s="5"/>
      <c r="L12602" s="5"/>
      <c r="M12602" s="5"/>
      <c r="N12602" s="5"/>
      <c r="O12602" s="5"/>
      <c r="P12602" s="5"/>
      <c r="Q12602" s="5"/>
      <c r="R12602" s="5"/>
      <c r="S12602" s="5"/>
      <c r="T12602" s="5"/>
      <c r="U12602" s="5"/>
      <c r="V12602" s="5"/>
      <c r="W12602" s="5"/>
      <c r="X12602" s="5"/>
      <c r="Y12602" s="5"/>
      <c r="Z12602" s="5"/>
    </row>
    <row r="12603" spans="1:26" ht="15" x14ac:dyDescent="0.25">
      <c r="A12603" s="4" t="s">
        <v>12600</v>
      </c>
      <c r="B12603" s="4" t="s">
        <v>9011</v>
      </c>
      <c r="C12603" s="2" t="str">
        <f ca="1">IFERROR(__xludf.DUMMYFUNCTION("GOOGLETRANSLATE(A12603,""bn"",""en"")"),"I will come to the restaurant on a special occasion")</f>
        <v>I will come to the restaurant on a special occasion</v>
      </c>
      <c r="D12603" s="5"/>
      <c r="E12603" s="5"/>
      <c r="F12603" s="5"/>
      <c r="G12603" s="5"/>
      <c r="H12603" s="5"/>
      <c r="I12603" s="5"/>
      <c r="J12603" s="5"/>
      <c r="K12603" s="5"/>
      <c r="L12603" s="5"/>
      <c r="M12603" s="5"/>
      <c r="N12603" s="5"/>
      <c r="O12603" s="5"/>
      <c r="P12603" s="5"/>
      <c r="Q12603" s="5"/>
      <c r="R12603" s="5"/>
      <c r="S12603" s="5"/>
      <c r="T12603" s="5"/>
      <c r="U12603" s="5"/>
      <c r="V12603" s="5"/>
      <c r="W12603" s="5"/>
      <c r="X12603" s="5"/>
      <c r="Y12603" s="5"/>
      <c r="Z12603" s="5"/>
    </row>
    <row r="12604" spans="1:26" ht="15" x14ac:dyDescent="0.25">
      <c r="A12604" s="4" t="s">
        <v>12601</v>
      </c>
      <c r="B12604" s="4" t="s">
        <v>9011</v>
      </c>
      <c r="C12604" s="2" t="str">
        <f ca="1">IFERROR(__xludf.DUMMYFUNCTION("GOOGLETRANSLATE(A12604,""bn"",""en"")"),"He will take pictures of the mountains")</f>
        <v>He will take pictures of the mountains</v>
      </c>
      <c r="D12604" s="5"/>
      <c r="E12604" s="5"/>
      <c r="F12604" s="5"/>
      <c r="G12604" s="5"/>
      <c r="H12604" s="5"/>
      <c r="I12604" s="5"/>
      <c r="J12604" s="5"/>
      <c r="K12604" s="5"/>
      <c r="L12604" s="5"/>
      <c r="M12604" s="5"/>
      <c r="N12604" s="5"/>
      <c r="O12604" s="5"/>
      <c r="P12604" s="5"/>
      <c r="Q12604" s="5"/>
      <c r="R12604" s="5"/>
      <c r="S12604" s="5"/>
      <c r="T12604" s="5"/>
      <c r="U12604" s="5"/>
      <c r="V12604" s="5"/>
      <c r="W12604" s="5"/>
      <c r="X12604" s="5"/>
      <c r="Y12604" s="5"/>
      <c r="Z12604" s="5"/>
    </row>
    <row r="12605" spans="1:26" ht="15" x14ac:dyDescent="0.25">
      <c r="A12605" s="4" t="s">
        <v>12602</v>
      </c>
      <c r="B12605" s="4" t="s">
        <v>9011</v>
      </c>
      <c r="C12605" s="2" t="str">
        <f ca="1">IFERROR(__xludf.DUMMYFUNCTION("GOOGLETRANSLATE(A12605,""bn"",""en"")"),"Commercial innovations will emerge")</f>
        <v>Commercial innovations will emerge</v>
      </c>
      <c r="D12605" s="5"/>
      <c r="E12605" s="5"/>
      <c r="F12605" s="5"/>
      <c r="G12605" s="5"/>
      <c r="H12605" s="5"/>
      <c r="I12605" s="5"/>
      <c r="J12605" s="5"/>
      <c r="K12605" s="5"/>
      <c r="L12605" s="5"/>
      <c r="M12605" s="5"/>
      <c r="N12605" s="5"/>
      <c r="O12605" s="5"/>
      <c r="P12605" s="5"/>
      <c r="Q12605" s="5"/>
      <c r="R12605" s="5"/>
      <c r="S12605" s="5"/>
      <c r="T12605" s="5"/>
      <c r="U12605" s="5"/>
      <c r="V12605" s="5"/>
      <c r="W12605" s="5"/>
      <c r="X12605" s="5"/>
      <c r="Y12605" s="5"/>
      <c r="Z12605" s="5"/>
    </row>
    <row r="12606" spans="1:26" ht="15" x14ac:dyDescent="0.25">
      <c r="A12606" s="4" t="s">
        <v>12603</v>
      </c>
      <c r="B12606" s="4" t="s">
        <v>9011</v>
      </c>
      <c r="C12606" s="2" t="str">
        <f ca="1">IFERROR(__xludf.DUMMYFUNCTION("GOOGLETRANSLATE(A12606,""bn"",""en"")"),"Mountains will form in the sea")</f>
        <v>Mountains will form in the sea</v>
      </c>
      <c r="D12606" s="5"/>
      <c r="E12606" s="5"/>
      <c r="F12606" s="5"/>
      <c r="G12606" s="5"/>
      <c r="H12606" s="5"/>
      <c r="I12606" s="5"/>
      <c r="J12606" s="5"/>
      <c r="K12606" s="5"/>
      <c r="L12606" s="5"/>
      <c r="M12606" s="5"/>
      <c r="N12606" s="5"/>
      <c r="O12606" s="5"/>
      <c r="P12606" s="5"/>
      <c r="Q12606" s="5"/>
      <c r="R12606" s="5"/>
      <c r="S12606" s="5"/>
      <c r="T12606" s="5"/>
      <c r="U12606" s="5"/>
      <c r="V12606" s="5"/>
      <c r="W12606" s="5"/>
      <c r="X12606" s="5"/>
      <c r="Y12606" s="5"/>
      <c r="Z12606" s="5"/>
    </row>
    <row r="12607" spans="1:26" ht="15" x14ac:dyDescent="0.25">
      <c r="A12607" s="4" t="s">
        <v>12604</v>
      </c>
      <c r="B12607" s="4" t="s">
        <v>9011</v>
      </c>
      <c r="C12607" s="2" t="str">
        <f ca="1">IFERROR(__xludf.DUMMYFUNCTION("GOOGLETRANSLATE(A12607,""bn"",""en"")"),"You take a robotics class")</f>
        <v>You take a robotics class</v>
      </c>
      <c r="D12607" s="5"/>
      <c r="E12607" s="5"/>
      <c r="F12607" s="5"/>
      <c r="G12607" s="5"/>
      <c r="H12607" s="5"/>
      <c r="I12607" s="5"/>
      <c r="J12607" s="5"/>
      <c r="K12607" s="5"/>
      <c r="L12607" s="5"/>
      <c r="M12607" s="5"/>
      <c r="N12607" s="5"/>
      <c r="O12607" s="5"/>
      <c r="P12607" s="5"/>
      <c r="Q12607" s="5"/>
      <c r="R12607" s="5"/>
      <c r="S12607" s="5"/>
      <c r="T12607" s="5"/>
      <c r="U12607" s="5"/>
      <c r="V12607" s="5"/>
      <c r="W12607" s="5"/>
      <c r="X12607" s="5"/>
      <c r="Y12607" s="5"/>
      <c r="Z12607" s="5"/>
    </row>
    <row r="12608" spans="1:26" ht="15" x14ac:dyDescent="0.25">
      <c r="A12608" s="4" t="s">
        <v>12605</v>
      </c>
      <c r="B12608" s="4" t="s">
        <v>9011</v>
      </c>
      <c r="C12608" s="2" t="str">
        <f ca="1">IFERROR(__xludf.DUMMYFUNCTION("GOOGLETRANSLATE(A12608,""bn"",""en"")"),"There will be growth in the field of research")</f>
        <v>There will be growth in the field of research</v>
      </c>
      <c r="D12608" s="5"/>
      <c r="E12608" s="5"/>
      <c r="F12608" s="5"/>
      <c r="G12608" s="5"/>
      <c r="H12608" s="5"/>
      <c r="I12608" s="5"/>
      <c r="J12608" s="5"/>
      <c r="K12608" s="5"/>
      <c r="L12608" s="5"/>
      <c r="M12608" s="5"/>
      <c r="N12608" s="5"/>
      <c r="O12608" s="5"/>
      <c r="P12608" s="5"/>
      <c r="Q12608" s="5"/>
      <c r="R12608" s="5"/>
      <c r="S12608" s="5"/>
      <c r="T12608" s="5"/>
      <c r="U12608" s="5"/>
      <c r="V12608" s="5"/>
      <c r="W12608" s="5"/>
      <c r="X12608" s="5"/>
      <c r="Y12608" s="5"/>
      <c r="Z12608" s="5"/>
    </row>
    <row r="12609" spans="1:26" ht="15" x14ac:dyDescent="0.25">
      <c r="A12609" s="4" t="s">
        <v>12606</v>
      </c>
      <c r="B12609" s="4" t="s">
        <v>9011</v>
      </c>
      <c r="C12609" s="2" t="str">
        <f ca="1">IFERROR(__xludf.DUMMYFUNCTION("GOOGLETRANSLATE(A12609,""bn"",""en"")"),"New preparations will be in research")</f>
        <v>New preparations will be in research</v>
      </c>
      <c r="D12609" s="5"/>
      <c r="E12609" s="5"/>
      <c r="F12609" s="5"/>
      <c r="G12609" s="5"/>
      <c r="H12609" s="5"/>
      <c r="I12609" s="5"/>
      <c r="J12609" s="5"/>
      <c r="K12609" s="5"/>
      <c r="L12609" s="5"/>
      <c r="M12609" s="5"/>
      <c r="N12609" s="5"/>
      <c r="O12609" s="5"/>
      <c r="P12609" s="5"/>
      <c r="Q12609" s="5"/>
      <c r="R12609" s="5"/>
      <c r="S12609" s="5"/>
      <c r="T12609" s="5"/>
      <c r="U12609" s="5"/>
      <c r="V12609" s="5"/>
      <c r="W12609" s="5"/>
      <c r="X12609" s="5"/>
      <c r="Y12609" s="5"/>
      <c r="Z12609" s="5"/>
    </row>
    <row r="12610" spans="1:26" ht="15" x14ac:dyDescent="0.25">
      <c r="A12610" s="4" t="s">
        <v>12607</v>
      </c>
      <c r="B12610" s="4" t="s">
        <v>9011</v>
      </c>
      <c r="C12610" s="2" t="str">
        <f ca="1">IFERROR(__xludf.DUMMYFUNCTION("GOOGLETRANSLATE(A12610,""bn"",""en"")"),"Will direct a war based movie")</f>
        <v>Will direct a war based movie</v>
      </c>
      <c r="D12610" s="5"/>
      <c r="E12610" s="5"/>
      <c r="F12610" s="5"/>
      <c r="G12610" s="5"/>
      <c r="H12610" s="5"/>
      <c r="I12610" s="5"/>
      <c r="J12610" s="5"/>
      <c r="K12610" s="5"/>
      <c r="L12610" s="5"/>
      <c r="M12610" s="5"/>
      <c r="N12610" s="5"/>
      <c r="O12610" s="5"/>
      <c r="P12610" s="5"/>
      <c r="Q12610" s="5"/>
      <c r="R12610" s="5"/>
      <c r="S12610" s="5"/>
      <c r="T12610" s="5"/>
      <c r="U12610" s="5"/>
      <c r="V12610" s="5"/>
      <c r="W12610" s="5"/>
      <c r="X12610" s="5"/>
      <c r="Y12610" s="5"/>
      <c r="Z12610" s="5"/>
    </row>
    <row r="12611" spans="1:26" ht="15" x14ac:dyDescent="0.25">
      <c r="A12611" s="4" t="s">
        <v>12608</v>
      </c>
      <c r="B12611" s="4" t="s">
        <v>9011</v>
      </c>
      <c r="C12611" s="2" t="str">
        <f ca="1">IFERROR(__xludf.DUMMYFUNCTION("GOOGLETRANSLATE(A12611,""bn"",""en"")"),"Scientific progress will be seen")</f>
        <v>Scientific progress will be seen</v>
      </c>
      <c r="D12611" s="5"/>
      <c r="E12611" s="5"/>
      <c r="F12611" s="5"/>
      <c r="G12611" s="5"/>
      <c r="H12611" s="5"/>
      <c r="I12611" s="5"/>
      <c r="J12611" s="5"/>
      <c r="K12611" s="5"/>
      <c r="L12611" s="5"/>
      <c r="M12611" s="5"/>
      <c r="N12611" s="5"/>
      <c r="O12611" s="5"/>
      <c r="P12611" s="5"/>
      <c r="Q12611" s="5"/>
      <c r="R12611" s="5"/>
      <c r="S12611" s="5"/>
      <c r="T12611" s="5"/>
      <c r="U12611" s="5"/>
      <c r="V12611" s="5"/>
      <c r="W12611" s="5"/>
      <c r="X12611" s="5"/>
      <c r="Y12611" s="5"/>
      <c r="Z12611" s="5"/>
    </row>
    <row r="12612" spans="1:26" ht="15" x14ac:dyDescent="0.25">
      <c r="A12612" s="4" t="s">
        <v>12609</v>
      </c>
      <c r="B12612" s="4" t="s">
        <v>9011</v>
      </c>
      <c r="C12612" s="2" t="str">
        <f ca="1">IFERROR(__xludf.DUMMYFUNCTION("GOOGLETRANSLATE(A12612,""bn"",""en"")"),"The army will be established strongly")</f>
        <v>The army will be established strongly</v>
      </c>
      <c r="D12612" s="5"/>
      <c r="E12612" s="5"/>
      <c r="F12612" s="5"/>
      <c r="G12612" s="5"/>
      <c r="H12612" s="5"/>
      <c r="I12612" s="5"/>
      <c r="J12612" s="5"/>
      <c r="K12612" s="5"/>
      <c r="L12612" s="5"/>
      <c r="M12612" s="5"/>
      <c r="N12612" s="5"/>
      <c r="O12612" s="5"/>
      <c r="P12612" s="5"/>
      <c r="Q12612" s="5"/>
      <c r="R12612" s="5"/>
      <c r="S12612" s="5"/>
      <c r="T12612" s="5"/>
      <c r="U12612" s="5"/>
      <c r="V12612" s="5"/>
      <c r="W12612" s="5"/>
      <c r="X12612" s="5"/>
      <c r="Y12612" s="5"/>
      <c r="Z12612" s="5"/>
    </row>
    <row r="12613" spans="1:26" ht="15" x14ac:dyDescent="0.25">
      <c r="A12613" s="4" t="s">
        <v>12610</v>
      </c>
      <c r="B12613" s="4" t="s">
        <v>9011</v>
      </c>
      <c r="C12613" s="2" t="str">
        <f ca="1">IFERROR(__xludf.DUMMYFUNCTION("GOOGLETRANSLATE(A12613,""bn"",""en"")"),"Everyone will read classic literature")</f>
        <v>Everyone will read classic literature</v>
      </c>
      <c r="D12613" s="5"/>
      <c r="E12613" s="5"/>
      <c r="F12613" s="5"/>
      <c r="G12613" s="5"/>
      <c r="H12613" s="5"/>
      <c r="I12613" s="5"/>
      <c r="J12613" s="5"/>
      <c r="K12613" s="5"/>
      <c r="L12613" s="5"/>
      <c r="M12613" s="5"/>
      <c r="N12613" s="5"/>
      <c r="O12613" s="5"/>
      <c r="P12613" s="5"/>
      <c r="Q12613" s="5"/>
      <c r="R12613" s="5"/>
      <c r="S12613" s="5"/>
      <c r="T12613" s="5"/>
      <c r="U12613" s="5"/>
      <c r="V12613" s="5"/>
      <c r="W12613" s="5"/>
      <c r="X12613" s="5"/>
      <c r="Y12613" s="5"/>
      <c r="Z12613" s="5"/>
    </row>
    <row r="12614" spans="1:26" ht="15" x14ac:dyDescent="0.25">
      <c r="A12614" s="4" t="s">
        <v>12611</v>
      </c>
      <c r="B12614" s="4" t="s">
        <v>9011</v>
      </c>
      <c r="C12614" s="2" t="str">
        <f ca="1">IFERROR(__xludf.DUMMYFUNCTION("GOOGLETRANSLATE(A12614,""bn"",""en"")"),"It will be a coding camp")</f>
        <v>It will be a coding camp</v>
      </c>
      <c r="D12614" s="5"/>
      <c r="E12614" s="5"/>
      <c r="F12614" s="5"/>
      <c r="G12614" s="5"/>
      <c r="H12614" s="5"/>
      <c r="I12614" s="5"/>
      <c r="J12614" s="5"/>
      <c r="K12614" s="5"/>
      <c r="L12614" s="5"/>
      <c r="M12614" s="5"/>
      <c r="N12614" s="5"/>
      <c r="O12614" s="5"/>
      <c r="P12614" s="5"/>
      <c r="Q12614" s="5"/>
      <c r="R12614" s="5"/>
      <c r="S12614" s="5"/>
      <c r="T12614" s="5"/>
      <c r="U12614" s="5"/>
      <c r="V12614" s="5"/>
      <c r="W12614" s="5"/>
      <c r="X12614" s="5"/>
      <c r="Y12614" s="5"/>
      <c r="Z12614" s="5"/>
    </row>
    <row r="12615" spans="1:26" ht="15" x14ac:dyDescent="0.25">
      <c r="A12615" s="4" t="s">
        <v>12612</v>
      </c>
      <c r="B12615" s="4" t="s">
        <v>9011</v>
      </c>
      <c r="C12615" s="2" t="str">
        <f ca="1">IFERROR(__xludf.DUMMYFUNCTION("GOOGLETRANSLATE(A12615,""bn"",""en"")"),"Children will swim in the pond")</f>
        <v>Children will swim in the pond</v>
      </c>
      <c r="D12615" s="5"/>
      <c r="E12615" s="5"/>
      <c r="F12615" s="5"/>
      <c r="G12615" s="5"/>
      <c r="H12615" s="5"/>
      <c r="I12615" s="5"/>
      <c r="J12615" s="5"/>
      <c r="K12615" s="5"/>
      <c r="L12615" s="5"/>
      <c r="M12615" s="5"/>
      <c r="N12615" s="5"/>
      <c r="O12615" s="5"/>
      <c r="P12615" s="5"/>
      <c r="Q12615" s="5"/>
      <c r="R12615" s="5"/>
      <c r="S12615" s="5"/>
      <c r="T12615" s="5"/>
      <c r="U12615" s="5"/>
      <c r="V12615" s="5"/>
      <c r="W12615" s="5"/>
      <c r="X12615" s="5"/>
      <c r="Y12615" s="5"/>
      <c r="Z12615" s="5"/>
    </row>
    <row r="12616" spans="1:26" ht="15" x14ac:dyDescent="0.25">
      <c r="A12616" s="4" t="s">
        <v>12613</v>
      </c>
      <c r="B12616" s="4" t="s">
        <v>9011</v>
      </c>
      <c r="C12616" s="2" t="str">
        <f ca="1">IFERROR(__xludf.DUMMYFUNCTION("GOOGLETRANSLATE(A12616,""bn"",""en"")"),"Market prices will collapse")</f>
        <v>Market prices will collapse</v>
      </c>
      <c r="D12616" s="5"/>
      <c r="E12616" s="5"/>
      <c r="F12616" s="5"/>
      <c r="G12616" s="5"/>
      <c r="H12616" s="5"/>
      <c r="I12616" s="5"/>
      <c r="J12616" s="5"/>
      <c r="K12616" s="5"/>
      <c r="L12616" s="5"/>
      <c r="M12616" s="5"/>
      <c r="N12616" s="5"/>
      <c r="O12616" s="5"/>
      <c r="P12616" s="5"/>
      <c r="Q12616" s="5"/>
      <c r="R12616" s="5"/>
      <c r="S12616" s="5"/>
      <c r="T12616" s="5"/>
      <c r="U12616" s="5"/>
      <c r="V12616" s="5"/>
      <c r="W12616" s="5"/>
      <c r="X12616" s="5"/>
      <c r="Y12616" s="5"/>
      <c r="Z12616" s="5"/>
    </row>
    <row r="12617" spans="1:26" ht="15" x14ac:dyDescent="0.25">
      <c r="A12617" s="4" t="s">
        <v>12614</v>
      </c>
      <c r="B12617" s="4" t="s">
        <v>9011</v>
      </c>
      <c r="C12617" s="2" t="str">
        <f ca="1">IFERROR(__xludf.DUMMYFUNCTION("GOOGLETRANSLATE(A12617,""bn"",""en"")"),"You will be the director of economics")</f>
        <v>You will be the director of economics</v>
      </c>
      <c r="D12617" s="5"/>
      <c r="E12617" s="5"/>
      <c r="F12617" s="5"/>
      <c r="G12617" s="5"/>
      <c r="H12617" s="5"/>
      <c r="I12617" s="5"/>
      <c r="J12617" s="5"/>
      <c r="K12617" s="5"/>
      <c r="L12617" s="5"/>
      <c r="M12617" s="5"/>
      <c r="N12617" s="5"/>
      <c r="O12617" s="5"/>
      <c r="P12617" s="5"/>
      <c r="Q12617" s="5"/>
      <c r="R12617" s="5"/>
      <c r="S12617" s="5"/>
      <c r="T12617" s="5"/>
      <c r="U12617" s="5"/>
      <c r="V12617" s="5"/>
      <c r="W12617" s="5"/>
      <c r="X12617" s="5"/>
      <c r="Y12617" s="5"/>
      <c r="Z12617" s="5"/>
    </row>
    <row r="12618" spans="1:26" ht="15" x14ac:dyDescent="0.25">
      <c r="A12618" s="4" t="s">
        <v>12615</v>
      </c>
      <c r="B12618" s="4" t="s">
        <v>9011</v>
      </c>
      <c r="C12618" s="2" t="str">
        <f ca="1">IFERROR(__xludf.DUMMYFUNCTION("GOOGLETRANSLATE(A12618,""bn"",""en"")"),"Online banking will be safe")</f>
        <v>Online banking will be safe</v>
      </c>
      <c r="D12618" s="5"/>
      <c r="E12618" s="5"/>
      <c r="F12618" s="5"/>
      <c r="G12618" s="5"/>
      <c r="H12618" s="5"/>
      <c r="I12618" s="5"/>
      <c r="J12618" s="5"/>
      <c r="K12618" s="5"/>
      <c r="L12618" s="5"/>
      <c r="M12618" s="5"/>
      <c r="N12618" s="5"/>
      <c r="O12618" s="5"/>
      <c r="P12618" s="5"/>
      <c r="Q12618" s="5"/>
      <c r="R12618" s="5"/>
      <c r="S12618" s="5"/>
      <c r="T12618" s="5"/>
      <c r="U12618" s="5"/>
      <c r="V12618" s="5"/>
      <c r="W12618" s="5"/>
      <c r="X12618" s="5"/>
      <c r="Y12618" s="5"/>
      <c r="Z12618" s="5"/>
    </row>
    <row r="12619" spans="1:26" ht="15" x14ac:dyDescent="0.25">
      <c r="A12619" s="4" t="s">
        <v>12616</v>
      </c>
      <c r="B12619" s="4" t="s">
        <v>9011</v>
      </c>
      <c r="C12619" s="2" t="str">
        <f ca="1">IFERROR(__xludf.DUMMYFUNCTION("GOOGLETRANSLATE(A12619,""bn"",""en"")"),"Special dessert should be made")</f>
        <v>Special dessert should be made</v>
      </c>
      <c r="D12619" s="5"/>
      <c r="E12619" s="5"/>
      <c r="F12619" s="5"/>
      <c r="G12619" s="5"/>
      <c r="H12619" s="5"/>
      <c r="I12619" s="5"/>
      <c r="J12619" s="5"/>
      <c r="K12619" s="5"/>
      <c r="L12619" s="5"/>
      <c r="M12619" s="5"/>
      <c r="N12619" s="5"/>
      <c r="O12619" s="5"/>
      <c r="P12619" s="5"/>
      <c r="Q12619" s="5"/>
      <c r="R12619" s="5"/>
      <c r="S12619" s="5"/>
      <c r="T12619" s="5"/>
      <c r="U12619" s="5"/>
      <c r="V12619" s="5"/>
      <c r="W12619" s="5"/>
      <c r="X12619" s="5"/>
      <c r="Y12619" s="5"/>
      <c r="Z12619" s="5"/>
    </row>
    <row r="12620" spans="1:26" ht="15" x14ac:dyDescent="0.25">
      <c r="A12620" s="4" t="s">
        <v>12617</v>
      </c>
      <c r="B12620" s="4" t="s">
        <v>9011</v>
      </c>
      <c r="C12620" s="2" t="str">
        <f ca="1">IFERROR(__xludf.DUMMYFUNCTION("GOOGLETRANSLATE(A12620,""bn"",""en"")"),"I will go to sell flowers")</f>
        <v>I will go to sell flowers</v>
      </c>
      <c r="D12620" s="5"/>
      <c r="E12620" s="5"/>
      <c r="F12620" s="5"/>
      <c r="G12620" s="5"/>
      <c r="H12620" s="5"/>
      <c r="I12620" s="5"/>
      <c r="J12620" s="5"/>
      <c r="K12620" s="5"/>
      <c r="L12620" s="5"/>
      <c r="M12620" s="5"/>
      <c r="N12620" s="5"/>
      <c r="O12620" s="5"/>
      <c r="P12620" s="5"/>
      <c r="Q12620" s="5"/>
      <c r="R12620" s="5"/>
      <c r="S12620" s="5"/>
      <c r="T12620" s="5"/>
      <c r="U12620" s="5"/>
      <c r="V12620" s="5"/>
      <c r="W12620" s="5"/>
      <c r="X12620" s="5"/>
      <c r="Y12620" s="5"/>
      <c r="Z12620" s="5"/>
    </row>
    <row r="12621" spans="1:26" ht="15" x14ac:dyDescent="0.25">
      <c r="A12621" s="4" t="s">
        <v>12618</v>
      </c>
      <c r="B12621" s="4" t="s">
        <v>9011</v>
      </c>
      <c r="C12621" s="2" t="str">
        <f ca="1">IFERROR(__xludf.DUMMYFUNCTION("GOOGLETRANSLATE(A12621,""bn"",""en"")"),"Will buy a new bat tomorrow")</f>
        <v>Will buy a new bat tomorrow</v>
      </c>
      <c r="D12621" s="5"/>
      <c r="E12621" s="5"/>
      <c r="F12621" s="5"/>
      <c r="G12621" s="5"/>
      <c r="H12621" s="5"/>
      <c r="I12621" s="5"/>
      <c r="J12621" s="5"/>
      <c r="K12621" s="5"/>
      <c r="L12621" s="5"/>
      <c r="M12621" s="5"/>
      <c r="N12621" s="5"/>
      <c r="O12621" s="5"/>
      <c r="P12621" s="5"/>
      <c r="Q12621" s="5"/>
      <c r="R12621" s="5"/>
      <c r="S12621" s="5"/>
      <c r="T12621" s="5"/>
      <c r="U12621" s="5"/>
      <c r="V12621" s="5"/>
      <c r="W12621" s="5"/>
      <c r="X12621" s="5"/>
      <c r="Y12621" s="5"/>
      <c r="Z12621" s="5"/>
    </row>
    <row r="12622" spans="1:26" ht="15" x14ac:dyDescent="0.25">
      <c r="A12622" s="4" t="s">
        <v>12619</v>
      </c>
      <c r="B12622" s="4" t="s">
        <v>9011</v>
      </c>
      <c r="C12622" s="2" t="str">
        <f ca="1">IFERROR(__xludf.DUMMYFUNCTION("GOOGLETRANSLATE(A12622,""bn"",""en"")"),"I will keep an eye on the development")</f>
        <v>I will keep an eye on the development</v>
      </c>
      <c r="D12622" s="5"/>
      <c r="E12622" s="5"/>
      <c r="F12622" s="5"/>
      <c r="G12622" s="5"/>
      <c r="H12622" s="5"/>
      <c r="I12622" s="5"/>
      <c r="J12622" s="5"/>
      <c r="K12622" s="5"/>
      <c r="L12622" s="5"/>
      <c r="M12622" s="5"/>
      <c r="N12622" s="5"/>
      <c r="O12622" s="5"/>
      <c r="P12622" s="5"/>
      <c r="Q12622" s="5"/>
      <c r="R12622" s="5"/>
      <c r="S12622" s="5"/>
      <c r="T12622" s="5"/>
      <c r="U12622" s="5"/>
      <c r="V12622" s="5"/>
      <c r="W12622" s="5"/>
      <c r="X12622" s="5"/>
      <c r="Y12622" s="5"/>
      <c r="Z12622" s="5"/>
    </row>
    <row r="12623" spans="1:26" ht="15" x14ac:dyDescent="0.25">
      <c r="A12623" s="4" t="s">
        <v>12620</v>
      </c>
      <c r="B12623" s="4" t="s">
        <v>9011</v>
      </c>
      <c r="C12623" s="2" t="str">
        <f ca="1">IFERROR(__xludf.DUMMYFUNCTION("GOOGLETRANSLATE(A12623,""bn"",""en"")"),"Farmers will grow vegetables")</f>
        <v>Farmers will grow vegetables</v>
      </c>
      <c r="D12623" s="5"/>
      <c r="E12623" s="5"/>
      <c r="F12623" s="5"/>
      <c r="G12623" s="5"/>
      <c r="H12623" s="5"/>
      <c r="I12623" s="5"/>
      <c r="J12623" s="5"/>
      <c r="K12623" s="5"/>
      <c r="L12623" s="5"/>
      <c r="M12623" s="5"/>
      <c r="N12623" s="5"/>
      <c r="O12623" s="5"/>
      <c r="P12623" s="5"/>
      <c r="Q12623" s="5"/>
      <c r="R12623" s="5"/>
      <c r="S12623" s="5"/>
      <c r="T12623" s="5"/>
      <c r="U12623" s="5"/>
      <c r="V12623" s="5"/>
      <c r="W12623" s="5"/>
      <c r="X12623" s="5"/>
      <c r="Y12623" s="5"/>
      <c r="Z12623" s="5"/>
    </row>
    <row r="12624" spans="1:26" ht="15" x14ac:dyDescent="0.25">
      <c r="A12624" s="4" t="s">
        <v>12621</v>
      </c>
      <c r="B12624" s="4" t="s">
        <v>9011</v>
      </c>
      <c r="C12624" s="2" t="str">
        <f ca="1">IFERROR(__xludf.DUMMYFUNCTION("GOOGLETRANSLATE(A12624,""bn"",""en"")"),"The road will be covered with snow")</f>
        <v>The road will be covered with snow</v>
      </c>
      <c r="D12624" s="5"/>
      <c r="E12624" s="5"/>
      <c r="F12624" s="5"/>
      <c r="G12624" s="5"/>
      <c r="H12624" s="5"/>
      <c r="I12624" s="5"/>
      <c r="J12624" s="5"/>
      <c r="K12624" s="5"/>
      <c r="L12624" s="5"/>
      <c r="M12624" s="5"/>
      <c r="N12624" s="5"/>
      <c r="O12624" s="5"/>
      <c r="P12624" s="5"/>
      <c r="Q12624" s="5"/>
      <c r="R12624" s="5"/>
      <c r="S12624" s="5"/>
      <c r="T12624" s="5"/>
      <c r="U12624" s="5"/>
      <c r="V12624" s="5"/>
      <c r="W12624" s="5"/>
      <c r="X12624" s="5"/>
      <c r="Y12624" s="5"/>
      <c r="Z12624" s="5"/>
    </row>
    <row r="12625" spans="1:26" ht="15" x14ac:dyDescent="0.25">
      <c r="A12625" s="4" t="s">
        <v>12622</v>
      </c>
      <c r="B12625" s="4" t="s">
        <v>9011</v>
      </c>
      <c r="C12625" s="2" t="str">
        <f ca="1">IFERROR(__xludf.DUMMYFUNCTION("GOOGLETRANSLATE(A12625,""bn"",""en"")"),"We will read the English essay")</f>
        <v>We will read the English essay</v>
      </c>
      <c r="D12625" s="5"/>
      <c r="E12625" s="5"/>
      <c r="F12625" s="5"/>
      <c r="G12625" s="5"/>
      <c r="H12625" s="5"/>
      <c r="I12625" s="5"/>
      <c r="J12625" s="5"/>
      <c r="K12625" s="5"/>
      <c r="L12625" s="5"/>
      <c r="M12625" s="5"/>
      <c r="N12625" s="5"/>
      <c r="O12625" s="5"/>
      <c r="P12625" s="5"/>
      <c r="Q12625" s="5"/>
      <c r="R12625" s="5"/>
      <c r="S12625" s="5"/>
      <c r="T12625" s="5"/>
      <c r="U12625" s="5"/>
      <c r="V12625" s="5"/>
      <c r="W12625" s="5"/>
      <c r="X12625" s="5"/>
      <c r="Y12625" s="5"/>
      <c r="Z12625" s="5"/>
    </row>
    <row r="12626" spans="1:26" ht="15" x14ac:dyDescent="0.25">
      <c r="A12626" s="4" t="s">
        <v>12623</v>
      </c>
      <c r="B12626" s="4" t="s">
        <v>9011</v>
      </c>
      <c r="C12626" s="2" t="str">
        <f ca="1">IFERROR(__xludf.DUMMYFUNCTION("GOOGLETRANSLATE(A12626,""bn"",""en"")"),"Robots will assist vehicles")</f>
        <v>Robots will assist vehicles</v>
      </c>
      <c r="D12626" s="5"/>
      <c r="E12626" s="5"/>
      <c r="F12626" s="5"/>
      <c r="G12626" s="5"/>
      <c r="H12626" s="5"/>
      <c r="I12626" s="5"/>
      <c r="J12626" s="5"/>
      <c r="K12626" s="5"/>
      <c r="L12626" s="5"/>
      <c r="M12626" s="5"/>
      <c r="N12626" s="5"/>
      <c r="O12626" s="5"/>
      <c r="P12626" s="5"/>
      <c r="Q12626" s="5"/>
      <c r="R12626" s="5"/>
      <c r="S12626" s="5"/>
      <c r="T12626" s="5"/>
      <c r="U12626" s="5"/>
      <c r="V12626" s="5"/>
      <c r="W12626" s="5"/>
      <c r="X12626" s="5"/>
      <c r="Y12626" s="5"/>
      <c r="Z12626" s="5"/>
    </row>
    <row r="12627" spans="1:26" ht="15" x14ac:dyDescent="0.25">
      <c r="A12627" s="4" t="s">
        <v>12624</v>
      </c>
      <c r="B12627" s="4" t="s">
        <v>9011</v>
      </c>
      <c r="C12627" s="2" t="str">
        <f ca="1">IFERROR(__xludf.DUMMYFUNCTION("GOOGLETRANSLATE(A12627,""bn"",""en"")"),"The doctor will know the movement of the patient")</f>
        <v>The doctor will know the movement of the patient</v>
      </c>
      <c r="D12627" s="5"/>
      <c r="E12627" s="5"/>
      <c r="F12627" s="5"/>
      <c r="G12627" s="5"/>
      <c r="H12627" s="5"/>
      <c r="I12627" s="5"/>
      <c r="J12627" s="5"/>
      <c r="K12627" s="5"/>
      <c r="L12627" s="5"/>
      <c r="M12627" s="5"/>
      <c r="N12627" s="5"/>
      <c r="O12627" s="5"/>
      <c r="P12627" s="5"/>
      <c r="Q12627" s="5"/>
      <c r="R12627" s="5"/>
      <c r="S12627" s="5"/>
      <c r="T12627" s="5"/>
      <c r="U12627" s="5"/>
      <c r="V12627" s="5"/>
      <c r="W12627" s="5"/>
      <c r="X12627" s="5"/>
      <c r="Y12627" s="5"/>
      <c r="Z12627" s="5"/>
    </row>
    <row r="12628" spans="1:26" ht="15" x14ac:dyDescent="0.25">
      <c r="A12628" s="4" t="s">
        <v>12625</v>
      </c>
      <c r="B12628" s="4" t="s">
        <v>9011</v>
      </c>
      <c r="C12628" s="2" t="str">
        <f ca="1">IFERROR(__xludf.DUMMYFUNCTION("GOOGLETRANSLATE(A12628,""bn"",""en"")"),"They will be hiking in the forest")</f>
        <v>They will be hiking in the forest</v>
      </c>
      <c r="D12628" s="5"/>
      <c r="E12628" s="5"/>
      <c r="F12628" s="5"/>
      <c r="G12628" s="5"/>
      <c r="H12628" s="5"/>
      <c r="I12628" s="5"/>
      <c r="J12628" s="5"/>
      <c r="K12628" s="5"/>
      <c r="L12628" s="5"/>
      <c r="M12628" s="5"/>
      <c r="N12628" s="5"/>
      <c r="O12628" s="5"/>
      <c r="P12628" s="5"/>
      <c r="Q12628" s="5"/>
      <c r="R12628" s="5"/>
      <c r="S12628" s="5"/>
      <c r="T12628" s="5"/>
      <c r="U12628" s="5"/>
      <c r="V12628" s="5"/>
      <c r="W12628" s="5"/>
      <c r="X12628" s="5"/>
      <c r="Y12628" s="5"/>
      <c r="Z12628" s="5"/>
    </row>
    <row r="12629" spans="1:26" ht="15" x14ac:dyDescent="0.25">
      <c r="A12629" s="4" t="s">
        <v>12626</v>
      </c>
      <c r="B12629" s="4" t="s">
        <v>9011</v>
      </c>
      <c r="C12629" s="2" t="str">
        <f ca="1">IFERROR(__xludf.DUMMYFUNCTION("GOOGLETRANSLATE(A12629,""bn"",""en"")"),"Mobile software will be updated")</f>
        <v>Mobile software will be updated</v>
      </c>
      <c r="D12629" s="5"/>
      <c r="E12629" s="5"/>
      <c r="F12629" s="5"/>
      <c r="G12629" s="5"/>
      <c r="H12629" s="5"/>
      <c r="I12629" s="5"/>
      <c r="J12629" s="5"/>
      <c r="K12629" s="5"/>
      <c r="L12629" s="5"/>
      <c r="M12629" s="5"/>
      <c r="N12629" s="5"/>
      <c r="O12629" s="5"/>
      <c r="P12629" s="5"/>
      <c r="Q12629" s="5"/>
      <c r="R12629" s="5"/>
      <c r="S12629" s="5"/>
      <c r="T12629" s="5"/>
      <c r="U12629" s="5"/>
      <c r="V12629" s="5"/>
      <c r="W12629" s="5"/>
      <c r="X12629" s="5"/>
      <c r="Y12629" s="5"/>
      <c r="Z12629" s="5"/>
    </row>
    <row r="12630" spans="1:26" ht="15" x14ac:dyDescent="0.25">
      <c r="A12630" s="4" t="s">
        <v>12627</v>
      </c>
      <c r="B12630" s="4" t="s">
        <v>9011</v>
      </c>
      <c r="C12630" s="2" t="str">
        <f ca="1">IFERROR(__xludf.DUMMYFUNCTION("GOOGLETRANSLATE(A12630,""bn"",""en"")"),"I will make fried rice")</f>
        <v>I will make fried rice</v>
      </c>
      <c r="D12630" s="5"/>
      <c r="E12630" s="5"/>
      <c r="F12630" s="5"/>
      <c r="G12630" s="5"/>
      <c r="H12630" s="5"/>
      <c r="I12630" s="5"/>
      <c r="J12630" s="5"/>
      <c r="K12630" s="5"/>
      <c r="L12630" s="5"/>
      <c r="M12630" s="5"/>
      <c r="N12630" s="5"/>
      <c r="O12630" s="5"/>
      <c r="P12630" s="5"/>
      <c r="Q12630" s="5"/>
      <c r="R12630" s="5"/>
      <c r="S12630" s="5"/>
      <c r="T12630" s="5"/>
      <c r="U12630" s="5"/>
      <c r="V12630" s="5"/>
      <c r="W12630" s="5"/>
      <c r="X12630" s="5"/>
      <c r="Y12630" s="5"/>
      <c r="Z12630" s="5"/>
    </row>
    <row r="12631" spans="1:26" ht="15" x14ac:dyDescent="0.25">
      <c r="A12631" s="4" t="s">
        <v>12628</v>
      </c>
      <c r="B12631" s="4" t="s">
        <v>9011</v>
      </c>
      <c r="C12631" s="2" t="str">
        <f ca="1">IFERROR(__xludf.DUMMYFUNCTION("GOOGLETRANSLATE(A12631,""bn"",""en"")"),"You will learn new things")</f>
        <v>You will learn new things</v>
      </c>
      <c r="D12631" s="5"/>
      <c r="E12631" s="5"/>
      <c r="F12631" s="5"/>
      <c r="G12631" s="5"/>
      <c r="H12631" s="5"/>
      <c r="I12631" s="5"/>
      <c r="J12631" s="5"/>
      <c r="K12631" s="5"/>
      <c r="L12631" s="5"/>
      <c r="M12631" s="5"/>
      <c r="N12631" s="5"/>
      <c r="O12631" s="5"/>
      <c r="P12631" s="5"/>
      <c r="Q12631" s="5"/>
      <c r="R12631" s="5"/>
      <c r="S12631" s="5"/>
      <c r="T12631" s="5"/>
      <c r="U12631" s="5"/>
      <c r="V12631" s="5"/>
      <c r="W12631" s="5"/>
      <c r="X12631" s="5"/>
      <c r="Y12631" s="5"/>
      <c r="Z12631" s="5"/>
    </row>
    <row r="12632" spans="1:26" ht="15" x14ac:dyDescent="0.25">
      <c r="A12632" s="4" t="s">
        <v>12629</v>
      </c>
      <c r="B12632" s="4" t="s">
        <v>9011</v>
      </c>
      <c r="C12632" s="2" t="str">
        <f ca="1">IFERROR(__xludf.DUMMYFUNCTION("GOOGLETRANSLATE(A12632,""bn"",""en"")"),"The seas will move at their own pace")</f>
        <v>The seas will move at their own pace</v>
      </c>
      <c r="D12632" s="5"/>
      <c r="E12632" s="5"/>
      <c r="F12632" s="5"/>
      <c r="G12632" s="5"/>
      <c r="H12632" s="5"/>
      <c r="I12632" s="5"/>
      <c r="J12632" s="5"/>
      <c r="K12632" s="5"/>
      <c r="L12632" s="5"/>
      <c r="M12632" s="5"/>
      <c r="N12632" s="5"/>
      <c r="O12632" s="5"/>
      <c r="P12632" s="5"/>
      <c r="Q12632" s="5"/>
      <c r="R12632" s="5"/>
      <c r="S12632" s="5"/>
      <c r="T12632" s="5"/>
      <c r="U12632" s="5"/>
      <c r="V12632" s="5"/>
      <c r="W12632" s="5"/>
      <c r="X12632" s="5"/>
      <c r="Y12632" s="5"/>
      <c r="Z12632" s="5"/>
    </row>
    <row r="12633" spans="1:26" ht="15" x14ac:dyDescent="0.25">
      <c r="A12633" s="4" t="s">
        <v>12630</v>
      </c>
      <c r="B12633" s="4" t="s">
        <v>9011</v>
      </c>
      <c r="C12633" s="2" t="str">
        <f ca="1">IFERROR(__xludf.DUMMYFUNCTION("GOOGLETRANSLATE(A12633,""bn"",""en"")"),"Code must be commented")</f>
        <v>Code must be commented</v>
      </c>
      <c r="D12633" s="5"/>
      <c r="E12633" s="5"/>
      <c r="F12633" s="5"/>
      <c r="G12633" s="5"/>
      <c r="H12633" s="5"/>
      <c r="I12633" s="5"/>
      <c r="J12633" s="5"/>
      <c r="K12633" s="5"/>
      <c r="L12633" s="5"/>
      <c r="M12633" s="5"/>
      <c r="N12633" s="5"/>
      <c r="O12633" s="5"/>
      <c r="P12633" s="5"/>
      <c r="Q12633" s="5"/>
      <c r="R12633" s="5"/>
      <c r="S12633" s="5"/>
      <c r="T12633" s="5"/>
      <c r="U12633" s="5"/>
      <c r="V12633" s="5"/>
      <c r="W12633" s="5"/>
      <c r="X12633" s="5"/>
      <c r="Y12633" s="5"/>
      <c r="Z12633" s="5"/>
    </row>
    <row r="12634" spans="1:26" ht="15" x14ac:dyDescent="0.25">
      <c r="A12634" s="4" t="s">
        <v>12631</v>
      </c>
      <c r="B12634" s="4" t="s">
        <v>9011</v>
      </c>
      <c r="C12634" s="2" t="str">
        <f ca="1">IFERROR(__xludf.DUMMYFUNCTION("GOOGLETRANSLATE(A12634,""bn"",""en"")"),"I will read Shakespeare plays soon")</f>
        <v>I will read Shakespeare plays soon</v>
      </c>
      <c r="D12634" s="5"/>
      <c r="E12634" s="5"/>
      <c r="F12634" s="5"/>
      <c r="G12634" s="5"/>
      <c r="H12634" s="5"/>
      <c r="I12634" s="5"/>
      <c r="J12634" s="5"/>
      <c r="K12634" s="5"/>
      <c r="L12634" s="5"/>
      <c r="M12634" s="5"/>
      <c r="N12634" s="5"/>
      <c r="O12634" s="5"/>
      <c r="P12634" s="5"/>
      <c r="Q12634" s="5"/>
      <c r="R12634" s="5"/>
      <c r="S12634" s="5"/>
      <c r="T12634" s="5"/>
      <c r="U12634" s="5"/>
      <c r="V12634" s="5"/>
      <c r="W12634" s="5"/>
      <c r="X12634" s="5"/>
      <c r="Y12634" s="5"/>
      <c r="Z12634" s="5"/>
    </row>
    <row r="12635" spans="1:26" ht="15" x14ac:dyDescent="0.25">
      <c r="A12635" s="4" t="s">
        <v>12632</v>
      </c>
      <c r="B12635" s="4" t="s">
        <v>9011</v>
      </c>
      <c r="C12635" s="2" t="str">
        <f ca="1">IFERROR(__xludf.DUMMYFUNCTION("GOOGLETRANSLATE(A12635,""bn"",""en"")"),"Will monitor peach situation")</f>
        <v>Will monitor peach situation</v>
      </c>
      <c r="D12635" s="5"/>
      <c r="E12635" s="5"/>
      <c r="F12635" s="5"/>
      <c r="G12635" s="5"/>
      <c r="H12635" s="5"/>
      <c r="I12635" s="5"/>
      <c r="J12635" s="5"/>
      <c r="K12635" s="5"/>
      <c r="L12635" s="5"/>
      <c r="M12635" s="5"/>
      <c r="N12635" s="5"/>
      <c r="O12635" s="5"/>
      <c r="P12635" s="5"/>
      <c r="Q12635" s="5"/>
      <c r="R12635" s="5"/>
      <c r="S12635" s="5"/>
      <c r="T12635" s="5"/>
      <c r="U12635" s="5"/>
      <c r="V12635" s="5"/>
      <c r="W12635" s="5"/>
      <c r="X12635" s="5"/>
      <c r="Y12635" s="5"/>
      <c r="Z12635" s="5"/>
    </row>
    <row r="12636" spans="1:26" ht="15" x14ac:dyDescent="0.25">
      <c r="A12636" s="4" t="s">
        <v>12633</v>
      </c>
      <c r="B12636" s="4" t="s">
        <v>9011</v>
      </c>
      <c r="C12636" s="2" t="str">
        <f ca="1">IFERROR(__xludf.DUMMYFUNCTION("GOOGLETRANSLATE(A12636,""bn"",""en"")"),"We will use smartphones")</f>
        <v>We will use smartphones</v>
      </c>
      <c r="D12636" s="5"/>
      <c r="E12636" s="5"/>
      <c r="F12636" s="5"/>
      <c r="G12636" s="5"/>
      <c r="H12636" s="5"/>
      <c r="I12636" s="5"/>
      <c r="J12636" s="5"/>
      <c r="K12636" s="5"/>
      <c r="L12636" s="5"/>
      <c r="M12636" s="5"/>
      <c r="N12636" s="5"/>
      <c r="O12636" s="5"/>
      <c r="P12636" s="5"/>
      <c r="Q12636" s="5"/>
      <c r="R12636" s="5"/>
      <c r="S12636" s="5"/>
      <c r="T12636" s="5"/>
      <c r="U12636" s="5"/>
      <c r="V12636" s="5"/>
      <c r="W12636" s="5"/>
      <c r="X12636" s="5"/>
      <c r="Y12636" s="5"/>
      <c r="Z12636" s="5"/>
    </row>
    <row r="12637" spans="1:26" ht="15" x14ac:dyDescent="0.25">
      <c r="A12637" s="4" t="s">
        <v>12634</v>
      </c>
      <c r="B12637" s="4" t="s">
        <v>9011</v>
      </c>
      <c r="C12637" s="2" t="str">
        <f ca="1">IFERROR(__xludf.DUMMYFUNCTION("GOOGLETRANSLATE(A12637,""bn"",""en"")"),"Fertilizer will be provided")</f>
        <v>Fertilizer will be provided</v>
      </c>
      <c r="D12637" s="5"/>
      <c r="E12637" s="5"/>
      <c r="F12637" s="5"/>
      <c r="G12637" s="5"/>
      <c r="H12637" s="5"/>
      <c r="I12637" s="5"/>
      <c r="J12637" s="5"/>
      <c r="K12637" s="5"/>
      <c r="L12637" s="5"/>
      <c r="M12637" s="5"/>
      <c r="N12637" s="5"/>
      <c r="O12637" s="5"/>
      <c r="P12637" s="5"/>
      <c r="Q12637" s="5"/>
      <c r="R12637" s="5"/>
      <c r="S12637" s="5"/>
      <c r="T12637" s="5"/>
      <c r="U12637" s="5"/>
      <c r="V12637" s="5"/>
      <c r="W12637" s="5"/>
      <c r="X12637" s="5"/>
      <c r="Y12637" s="5"/>
      <c r="Z12637" s="5"/>
    </row>
    <row r="12638" spans="1:26" ht="15" x14ac:dyDescent="0.25">
      <c r="A12638" s="4" t="s">
        <v>12635</v>
      </c>
      <c r="B12638" s="4" t="s">
        <v>9011</v>
      </c>
      <c r="C12638" s="2" t="str">
        <f ca="1">IFERROR(__xludf.DUMMYFUNCTION("GOOGLETRANSLATE(A12638,""bn"",""en"")"),"He will read fiction books")</f>
        <v>He will read fiction books</v>
      </c>
      <c r="D12638" s="5"/>
      <c r="E12638" s="5"/>
      <c r="F12638" s="5"/>
      <c r="G12638" s="5"/>
      <c r="H12638" s="5"/>
      <c r="I12638" s="5"/>
      <c r="J12638" s="5"/>
      <c r="K12638" s="5"/>
      <c r="L12638" s="5"/>
      <c r="M12638" s="5"/>
      <c r="N12638" s="5"/>
      <c r="O12638" s="5"/>
      <c r="P12638" s="5"/>
      <c r="Q12638" s="5"/>
      <c r="R12638" s="5"/>
      <c r="S12638" s="5"/>
      <c r="T12638" s="5"/>
      <c r="U12638" s="5"/>
      <c r="V12638" s="5"/>
      <c r="W12638" s="5"/>
      <c r="X12638" s="5"/>
      <c r="Y12638" s="5"/>
      <c r="Z12638" s="5"/>
    </row>
    <row r="12639" spans="1:26" ht="15" x14ac:dyDescent="0.25">
      <c r="A12639" s="4" t="s">
        <v>12636</v>
      </c>
      <c r="B12639" s="4" t="s">
        <v>9011</v>
      </c>
      <c r="C12639" s="2" t="str">
        <f ca="1">IFERROR(__xludf.DUMMYFUNCTION("GOOGLETRANSLATE(A12639,""bn"",""en"")"),"I will walk after the rain")</f>
        <v>I will walk after the rain</v>
      </c>
      <c r="D12639" s="5"/>
      <c r="E12639" s="5"/>
      <c r="F12639" s="5"/>
      <c r="G12639" s="5"/>
      <c r="H12639" s="5"/>
      <c r="I12639" s="5"/>
      <c r="J12639" s="5"/>
      <c r="K12639" s="5"/>
      <c r="L12639" s="5"/>
      <c r="M12639" s="5"/>
      <c r="N12639" s="5"/>
      <c r="O12639" s="5"/>
      <c r="P12639" s="5"/>
      <c r="Q12639" s="5"/>
      <c r="R12639" s="5"/>
      <c r="S12639" s="5"/>
      <c r="T12639" s="5"/>
      <c r="U12639" s="5"/>
      <c r="V12639" s="5"/>
      <c r="W12639" s="5"/>
      <c r="X12639" s="5"/>
      <c r="Y12639" s="5"/>
      <c r="Z12639" s="5"/>
    </row>
    <row r="12640" spans="1:26" ht="15" x14ac:dyDescent="0.25">
      <c r="A12640" s="4" t="s">
        <v>12637</v>
      </c>
      <c r="B12640" s="4" t="s">
        <v>9011</v>
      </c>
      <c r="C12640" s="2" t="str">
        <f ca="1">IFERROR(__xludf.DUMMYFUNCTION("GOOGLETRANSLATE(A12640,""bn"",""en"")"),"Treatment will be code based")</f>
        <v>Treatment will be code based</v>
      </c>
      <c r="D12640" s="5"/>
      <c r="E12640" s="5"/>
      <c r="F12640" s="5"/>
      <c r="G12640" s="5"/>
      <c r="H12640" s="5"/>
      <c r="I12640" s="5"/>
      <c r="J12640" s="5"/>
      <c r="K12640" s="5"/>
      <c r="L12640" s="5"/>
      <c r="M12640" s="5"/>
      <c r="N12640" s="5"/>
      <c r="O12640" s="5"/>
      <c r="P12640" s="5"/>
      <c r="Q12640" s="5"/>
      <c r="R12640" s="5"/>
      <c r="S12640" s="5"/>
      <c r="T12640" s="5"/>
      <c r="U12640" s="5"/>
      <c r="V12640" s="5"/>
      <c r="W12640" s="5"/>
      <c r="X12640" s="5"/>
      <c r="Y12640" s="5"/>
      <c r="Z12640" s="5"/>
    </row>
    <row r="12641" spans="1:26" ht="15" x14ac:dyDescent="0.25">
      <c r="A12641" s="4" t="s">
        <v>12638</v>
      </c>
      <c r="B12641" s="4" t="s">
        <v>9011</v>
      </c>
      <c r="C12641" s="2" t="str">
        <f ca="1">IFERROR(__xludf.DUMMYFUNCTION("GOOGLETRANSLATE(A12641,""bn"",""en"")"),"Snow will continue to fall in Europe")</f>
        <v>Snow will continue to fall in Europe</v>
      </c>
      <c r="D12641" s="5"/>
      <c r="E12641" s="5"/>
      <c r="F12641" s="5"/>
      <c r="G12641" s="5"/>
      <c r="H12641" s="5"/>
      <c r="I12641" s="5"/>
      <c r="J12641" s="5"/>
      <c r="K12641" s="5"/>
      <c r="L12641" s="5"/>
      <c r="M12641" s="5"/>
      <c r="N12641" s="5"/>
      <c r="O12641" s="5"/>
      <c r="P12641" s="5"/>
      <c r="Q12641" s="5"/>
      <c r="R12641" s="5"/>
      <c r="S12641" s="5"/>
      <c r="T12641" s="5"/>
      <c r="U12641" s="5"/>
      <c r="V12641" s="5"/>
      <c r="W12641" s="5"/>
      <c r="X12641" s="5"/>
      <c r="Y12641" s="5"/>
      <c r="Z12641" s="5"/>
    </row>
    <row r="12642" spans="1:26" ht="15" x14ac:dyDescent="0.25">
      <c r="A12642" s="4" t="s">
        <v>12639</v>
      </c>
      <c r="B12642" s="4" t="s">
        <v>9011</v>
      </c>
      <c r="C12642" s="2" t="str">
        <f ca="1">IFERROR(__xludf.DUMMYFUNCTION("GOOGLETRANSLATE(A12642,""bn"",""en"")"),"He will open the computer")</f>
        <v>He will open the computer</v>
      </c>
      <c r="D12642" s="5"/>
      <c r="E12642" s="5"/>
      <c r="F12642" s="5"/>
      <c r="G12642" s="5"/>
      <c r="H12642" s="5"/>
      <c r="I12642" s="5"/>
      <c r="J12642" s="5"/>
      <c r="K12642" s="5"/>
      <c r="L12642" s="5"/>
      <c r="M12642" s="5"/>
      <c r="N12642" s="5"/>
      <c r="O12642" s="5"/>
      <c r="P12642" s="5"/>
      <c r="Q12642" s="5"/>
      <c r="R12642" s="5"/>
      <c r="S12642" s="5"/>
      <c r="T12642" s="5"/>
      <c r="U12642" s="5"/>
      <c r="V12642" s="5"/>
      <c r="W12642" s="5"/>
      <c r="X12642" s="5"/>
      <c r="Y12642" s="5"/>
      <c r="Z12642" s="5"/>
    </row>
    <row r="12643" spans="1:26" ht="15" x14ac:dyDescent="0.25">
      <c r="A12643" s="4" t="s">
        <v>12640</v>
      </c>
      <c r="B12643" s="4" t="s">
        <v>9011</v>
      </c>
      <c r="C12643" s="2" t="str">
        <f ca="1">IFERROR(__xludf.DUMMYFUNCTION("GOOGLETRANSLATE(A12643,""bn"",""en"")"),"We will meet specially")</f>
        <v>We will meet specially</v>
      </c>
      <c r="D12643" s="5"/>
      <c r="E12643" s="5"/>
      <c r="F12643" s="5"/>
      <c r="G12643" s="5"/>
      <c r="H12643" s="5"/>
      <c r="I12643" s="5"/>
      <c r="J12643" s="5"/>
      <c r="K12643" s="5"/>
      <c r="L12643" s="5"/>
      <c r="M12643" s="5"/>
      <c r="N12643" s="5"/>
      <c r="O12643" s="5"/>
      <c r="P12643" s="5"/>
      <c r="Q12643" s="5"/>
      <c r="R12643" s="5"/>
      <c r="S12643" s="5"/>
      <c r="T12643" s="5"/>
      <c r="U12643" s="5"/>
      <c r="V12643" s="5"/>
      <c r="W12643" s="5"/>
      <c r="X12643" s="5"/>
      <c r="Y12643" s="5"/>
      <c r="Z12643" s="5"/>
    </row>
    <row r="12644" spans="1:26" ht="15" x14ac:dyDescent="0.25">
      <c r="A12644" s="4" t="s">
        <v>12641</v>
      </c>
      <c r="B12644" s="4" t="s">
        <v>9011</v>
      </c>
      <c r="C12644" s="2" t="str">
        <f ca="1">IFERROR(__xludf.DUMMYFUNCTION("GOOGLETRANSLATE(A12644,""bn"",""en"")"),"Advanced technology will be applied")</f>
        <v>Advanced technology will be applied</v>
      </c>
      <c r="D12644" s="5"/>
      <c r="E12644" s="5"/>
      <c r="F12644" s="5"/>
      <c r="G12644" s="5"/>
      <c r="H12644" s="5"/>
      <c r="I12644" s="5"/>
      <c r="J12644" s="5"/>
      <c r="K12644" s="5"/>
      <c r="L12644" s="5"/>
      <c r="M12644" s="5"/>
      <c r="N12644" s="5"/>
      <c r="O12644" s="5"/>
      <c r="P12644" s="5"/>
      <c r="Q12644" s="5"/>
      <c r="R12644" s="5"/>
      <c r="S12644" s="5"/>
      <c r="T12644" s="5"/>
      <c r="U12644" s="5"/>
      <c r="V12644" s="5"/>
      <c r="W12644" s="5"/>
      <c r="X12644" s="5"/>
      <c r="Y12644" s="5"/>
      <c r="Z12644" s="5"/>
    </row>
    <row r="12645" spans="1:26" ht="15" x14ac:dyDescent="0.25">
      <c r="A12645" s="4" t="s">
        <v>12642</v>
      </c>
      <c r="B12645" s="4" t="s">
        <v>9011</v>
      </c>
      <c r="C12645" s="2" t="str">
        <f ca="1">IFERROR(__xludf.DUMMYFUNCTION("GOOGLETRANSLATE(A12645,""bn"",""en"")"),"Online shopping will be easy")</f>
        <v>Online shopping will be easy</v>
      </c>
      <c r="D12645" s="5"/>
      <c r="E12645" s="5"/>
      <c r="F12645" s="5"/>
      <c r="G12645" s="5"/>
      <c r="H12645" s="5"/>
      <c r="I12645" s="5"/>
      <c r="J12645" s="5"/>
      <c r="K12645" s="5"/>
      <c r="L12645" s="5"/>
      <c r="M12645" s="5"/>
      <c r="N12645" s="5"/>
      <c r="O12645" s="5"/>
      <c r="P12645" s="5"/>
      <c r="Q12645" s="5"/>
      <c r="R12645" s="5"/>
      <c r="S12645" s="5"/>
      <c r="T12645" s="5"/>
      <c r="U12645" s="5"/>
      <c r="V12645" s="5"/>
      <c r="W12645" s="5"/>
      <c r="X12645" s="5"/>
      <c r="Y12645" s="5"/>
      <c r="Z12645" s="5"/>
    </row>
    <row r="12646" spans="1:26" ht="15" x14ac:dyDescent="0.25">
      <c r="A12646" s="4" t="s">
        <v>12643</v>
      </c>
      <c r="B12646" s="4" t="s">
        <v>9011</v>
      </c>
      <c r="C12646" s="2" t="str">
        <f ca="1">IFERROR(__xludf.DUMMYFUNCTION("GOOGLETRANSLATE(A12646,""bn"",""en"")"),"We will have a festival in the campus")</f>
        <v>We will have a festival in the campus</v>
      </c>
      <c r="D12646" s="5"/>
      <c r="E12646" s="5"/>
      <c r="F12646" s="5"/>
      <c r="G12646" s="5"/>
      <c r="H12646" s="5"/>
      <c r="I12646" s="5"/>
      <c r="J12646" s="5"/>
      <c r="K12646" s="5"/>
      <c r="L12646" s="5"/>
      <c r="M12646" s="5"/>
      <c r="N12646" s="5"/>
      <c r="O12646" s="5"/>
      <c r="P12646" s="5"/>
      <c r="Q12646" s="5"/>
      <c r="R12646" s="5"/>
      <c r="S12646" s="5"/>
      <c r="T12646" s="5"/>
      <c r="U12646" s="5"/>
      <c r="V12646" s="5"/>
      <c r="W12646" s="5"/>
      <c r="X12646" s="5"/>
      <c r="Y12646" s="5"/>
      <c r="Z12646" s="5"/>
    </row>
    <row r="12647" spans="1:26" ht="15" x14ac:dyDescent="0.25">
      <c r="A12647" s="4" t="s">
        <v>12644</v>
      </c>
      <c r="B12647" s="4" t="s">
        <v>9011</v>
      </c>
      <c r="C12647" s="2" t="str">
        <f ca="1">IFERROR(__xludf.DUMMYFUNCTION("GOOGLETRANSLATE(A12647,""bn"",""en"")"),"A gentle breeze will blow")</f>
        <v>A gentle breeze will blow</v>
      </c>
      <c r="D12647" s="5"/>
      <c r="E12647" s="5"/>
      <c r="F12647" s="5"/>
      <c r="G12647" s="5"/>
      <c r="H12647" s="5"/>
      <c r="I12647" s="5"/>
      <c r="J12647" s="5"/>
      <c r="K12647" s="5"/>
      <c r="L12647" s="5"/>
      <c r="M12647" s="5"/>
      <c r="N12647" s="5"/>
      <c r="O12647" s="5"/>
      <c r="P12647" s="5"/>
      <c r="Q12647" s="5"/>
      <c r="R12647" s="5"/>
      <c r="S12647" s="5"/>
      <c r="T12647" s="5"/>
      <c r="U12647" s="5"/>
      <c r="V12647" s="5"/>
      <c r="W12647" s="5"/>
      <c r="X12647" s="5"/>
      <c r="Y12647" s="5"/>
      <c r="Z12647" s="5"/>
    </row>
    <row r="12648" spans="1:26" ht="15" x14ac:dyDescent="0.25">
      <c r="A12648" s="4" t="s">
        <v>12645</v>
      </c>
      <c r="B12648" s="4" t="s">
        <v>9011</v>
      </c>
      <c r="C12648" s="2" t="str">
        <f ca="1">IFERROR(__xludf.DUMMYFUNCTION("GOOGLETRANSLATE(A12648,""bn"",""en"")"),"You will be reading the chapter")</f>
        <v>You will be reading the chapter</v>
      </c>
      <c r="D12648" s="5"/>
      <c r="E12648" s="5"/>
      <c r="F12648" s="5"/>
      <c r="G12648" s="5"/>
      <c r="H12648" s="5"/>
      <c r="I12648" s="5"/>
      <c r="J12648" s="5"/>
      <c r="K12648" s="5"/>
      <c r="L12648" s="5"/>
      <c r="M12648" s="5"/>
      <c r="N12648" s="5"/>
      <c r="O12648" s="5"/>
      <c r="P12648" s="5"/>
      <c r="Q12648" s="5"/>
      <c r="R12648" s="5"/>
      <c r="S12648" s="5"/>
      <c r="T12648" s="5"/>
      <c r="U12648" s="5"/>
      <c r="V12648" s="5"/>
      <c r="W12648" s="5"/>
      <c r="X12648" s="5"/>
      <c r="Y12648" s="5"/>
      <c r="Z12648" s="5"/>
    </row>
    <row r="12649" spans="1:26" ht="15" x14ac:dyDescent="0.25">
      <c r="A12649" s="4" t="s">
        <v>12646</v>
      </c>
      <c r="B12649" s="4" t="s">
        <v>9011</v>
      </c>
      <c r="C12649" s="2" t="str">
        <f ca="1">IFERROR(__xludf.DUMMYFUNCTION("GOOGLETRANSLATE(A12649,""bn"",""en"")"),"He will play tennis tomorrow")</f>
        <v>He will play tennis tomorrow</v>
      </c>
      <c r="D12649" s="5"/>
      <c r="E12649" s="5"/>
      <c r="F12649" s="5"/>
      <c r="G12649" s="5"/>
      <c r="H12649" s="5"/>
      <c r="I12649" s="5"/>
      <c r="J12649" s="5"/>
      <c r="K12649" s="5"/>
      <c r="L12649" s="5"/>
      <c r="M12649" s="5"/>
      <c r="N12649" s="5"/>
      <c r="O12649" s="5"/>
      <c r="P12649" s="5"/>
      <c r="Q12649" s="5"/>
      <c r="R12649" s="5"/>
      <c r="S12649" s="5"/>
      <c r="T12649" s="5"/>
      <c r="U12649" s="5"/>
      <c r="V12649" s="5"/>
      <c r="W12649" s="5"/>
      <c r="X12649" s="5"/>
      <c r="Y12649" s="5"/>
      <c r="Z12649" s="5"/>
    </row>
    <row r="12650" spans="1:26" ht="15" x14ac:dyDescent="0.25">
      <c r="A12650" s="4" t="s">
        <v>12647</v>
      </c>
      <c r="B12650" s="4" t="s">
        <v>9011</v>
      </c>
      <c r="C12650" s="2" t="str">
        <f ca="1">IFERROR(__xludf.DUMMYFUNCTION("GOOGLETRANSLATE(A12650,""bn"",""en"")"),"Robots will be built in the future")</f>
        <v>Robots will be built in the future</v>
      </c>
      <c r="D12650" s="5"/>
      <c r="E12650" s="5"/>
      <c r="F12650" s="5"/>
      <c r="G12650" s="5"/>
      <c r="H12650" s="5"/>
      <c r="I12650" s="5"/>
      <c r="J12650" s="5"/>
      <c r="K12650" s="5"/>
      <c r="L12650" s="5"/>
      <c r="M12650" s="5"/>
      <c r="N12650" s="5"/>
      <c r="O12650" s="5"/>
      <c r="P12650" s="5"/>
      <c r="Q12650" s="5"/>
      <c r="R12650" s="5"/>
      <c r="S12650" s="5"/>
      <c r="T12650" s="5"/>
      <c r="U12650" s="5"/>
      <c r="V12650" s="5"/>
      <c r="W12650" s="5"/>
      <c r="X12650" s="5"/>
      <c r="Y12650" s="5"/>
      <c r="Z12650" s="5"/>
    </row>
    <row r="12651" spans="1:26" ht="15" x14ac:dyDescent="0.25">
      <c r="A12651" s="4" t="s">
        <v>12648</v>
      </c>
      <c r="B12651" s="4" t="s">
        <v>9011</v>
      </c>
      <c r="C12651" s="2" t="str">
        <f ca="1">IFERROR(__xludf.DUMMYFUNCTION("GOOGLETRANSLATE(A12651,""bn"",""en"")"),"Data collection will be facilitated")</f>
        <v>Data collection will be facilitated</v>
      </c>
      <c r="D12651" s="5"/>
      <c r="E12651" s="5"/>
      <c r="F12651" s="5"/>
      <c r="G12651" s="5"/>
      <c r="H12651" s="5"/>
      <c r="I12651" s="5"/>
      <c r="J12651" s="5"/>
      <c r="K12651" s="5"/>
      <c r="L12651" s="5"/>
      <c r="M12651" s="5"/>
      <c r="N12651" s="5"/>
      <c r="O12651" s="5"/>
      <c r="P12651" s="5"/>
      <c r="Q12651" s="5"/>
      <c r="R12651" s="5"/>
      <c r="S12651" s="5"/>
      <c r="T12651" s="5"/>
      <c r="U12651" s="5"/>
      <c r="V12651" s="5"/>
      <c r="W12651" s="5"/>
      <c r="X12651" s="5"/>
      <c r="Y12651" s="5"/>
      <c r="Z12651" s="5"/>
    </row>
    <row r="12652" spans="1:26" ht="15" x14ac:dyDescent="0.25">
      <c r="A12652" s="4" t="s">
        <v>12649</v>
      </c>
      <c r="B12652" s="4" t="s">
        <v>9011</v>
      </c>
      <c r="C12652" s="2" t="str">
        <f ca="1">IFERROR(__xludf.DUMMYFUNCTION("GOOGLETRANSLATE(A12652,""bn"",""en"")"),"Design will change in design")</f>
        <v>Design will change in design</v>
      </c>
      <c r="D12652" s="5"/>
      <c r="E12652" s="5"/>
      <c r="F12652" s="5"/>
      <c r="G12652" s="5"/>
      <c r="H12652" s="5"/>
      <c r="I12652" s="5"/>
      <c r="J12652" s="5"/>
      <c r="K12652" s="5"/>
      <c r="L12652" s="5"/>
      <c r="M12652" s="5"/>
      <c r="N12652" s="5"/>
      <c r="O12652" s="5"/>
      <c r="P12652" s="5"/>
      <c r="Q12652" s="5"/>
      <c r="R12652" s="5"/>
      <c r="S12652" s="5"/>
      <c r="T12652" s="5"/>
      <c r="U12652" s="5"/>
      <c r="V12652" s="5"/>
      <c r="W12652" s="5"/>
      <c r="X12652" s="5"/>
      <c r="Y12652" s="5"/>
      <c r="Z12652" s="5"/>
    </row>
    <row r="12653" spans="1:26" ht="15" x14ac:dyDescent="0.25">
      <c r="A12653" s="4" t="s">
        <v>12650</v>
      </c>
      <c r="B12653" s="4" t="s">
        <v>9011</v>
      </c>
      <c r="C12653" s="2" t="str">
        <f ca="1">IFERROR(__xludf.DUMMYFUNCTION("GOOGLETRANSLATE(A12653,""bn"",""en"")"),"Battle preparation will be taught")</f>
        <v>Battle preparation will be taught</v>
      </c>
      <c r="D12653" s="5"/>
      <c r="E12653" s="5"/>
      <c r="F12653" s="5"/>
      <c r="G12653" s="5"/>
      <c r="H12653" s="5"/>
      <c r="I12653" s="5"/>
      <c r="J12653" s="5"/>
      <c r="K12653" s="5"/>
      <c r="L12653" s="5"/>
      <c r="M12653" s="5"/>
      <c r="N12653" s="5"/>
      <c r="O12653" s="5"/>
      <c r="P12653" s="5"/>
      <c r="Q12653" s="5"/>
      <c r="R12653" s="5"/>
      <c r="S12653" s="5"/>
      <c r="T12653" s="5"/>
      <c r="U12653" s="5"/>
      <c r="V12653" s="5"/>
      <c r="W12653" s="5"/>
      <c r="X12653" s="5"/>
      <c r="Y12653" s="5"/>
      <c r="Z12653" s="5"/>
    </row>
    <row r="12654" spans="1:26" ht="15" x14ac:dyDescent="0.25">
      <c r="A12654" s="4" t="s">
        <v>12651</v>
      </c>
      <c r="B12654" s="4" t="s">
        <v>9011</v>
      </c>
      <c r="C12654" s="2" t="str">
        <f ca="1">IFERROR(__xludf.DUMMYFUNCTION("GOOGLETRANSLATE(A12654,""bn"",""en"")"),"I will not use yahoo")</f>
        <v>I will not use yahoo</v>
      </c>
      <c r="D12654" s="5"/>
      <c r="E12654" s="5"/>
      <c r="F12654" s="5"/>
      <c r="G12654" s="5"/>
      <c r="H12654" s="5"/>
      <c r="I12654" s="5"/>
      <c r="J12654" s="5"/>
      <c r="K12654" s="5"/>
      <c r="L12654" s="5"/>
      <c r="M12654" s="5"/>
      <c r="N12654" s="5"/>
      <c r="O12654" s="5"/>
      <c r="P12654" s="5"/>
      <c r="Q12654" s="5"/>
      <c r="R12654" s="5"/>
      <c r="S12654" s="5"/>
      <c r="T12654" s="5"/>
      <c r="U12654" s="5"/>
      <c r="V12654" s="5"/>
      <c r="W12654" s="5"/>
      <c r="X12654" s="5"/>
      <c r="Y12654" s="5"/>
      <c r="Z12654" s="5"/>
    </row>
    <row r="12655" spans="1:26" ht="15" x14ac:dyDescent="0.25">
      <c r="A12655" s="4" t="s">
        <v>12652</v>
      </c>
      <c r="B12655" s="4" t="s">
        <v>9011</v>
      </c>
      <c r="C12655" s="2" t="str">
        <f ca="1">IFERROR(__xludf.DUMMYFUNCTION("GOOGLETRANSLATE(A12655,""bn"",""en"")"),"I will start a new campaign")</f>
        <v>I will start a new campaign</v>
      </c>
      <c r="D12655" s="5"/>
      <c r="E12655" s="5"/>
      <c r="F12655" s="5"/>
      <c r="G12655" s="5"/>
      <c r="H12655" s="5"/>
      <c r="I12655" s="5"/>
      <c r="J12655" s="5"/>
      <c r="K12655" s="5"/>
      <c r="L12655" s="5"/>
      <c r="M12655" s="5"/>
      <c r="N12655" s="5"/>
      <c r="O12655" s="5"/>
      <c r="P12655" s="5"/>
      <c r="Q12655" s="5"/>
      <c r="R12655" s="5"/>
      <c r="S12655" s="5"/>
      <c r="T12655" s="5"/>
      <c r="U12655" s="5"/>
      <c r="V12655" s="5"/>
      <c r="W12655" s="5"/>
      <c r="X12655" s="5"/>
      <c r="Y12655" s="5"/>
      <c r="Z12655" s="5"/>
    </row>
    <row r="12656" spans="1:26" ht="15" x14ac:dyDescent="0.25">
      <c r="A12656" s="4" t="s">
        <v>12653</v>
      </c>
      <c r="B12656" s="4" t="s">
        <v>9011</v>
      </c>
      <c r="C12656" s="2" t="str">
        <f ca="1">IFERROR(__xludf.DUMMYFUNCTION("GOOGLETRANSLATE(A12656,""bn"",""en"")"),"I will come to the book fair to find books")</f>
        <v>I will come to the book fair to find books</v>
      </c>
      <c r="D12656" s="5"/>
      <c r="E12656" s="5"/>
      <c r="F12656" s="5"/>
      <c r="G12656" s="5"/>
      <c r="H12656" s="5"/>
      <c r="I12656" s="5"/>
      <c r="J12656" s="5"/>
      <c r="K12656" s="5"/>
      <c r="L12656" s="5"/>
      <c r="M12656" s="5"/>
      <c r="N12656" s="5"/>
      <c r="O12656" s="5"/>
      <c r="P12656" s="5"/>
      <c r="Q12656" s="5"/>
      <c r="R12656" s="5"/>
      <c r="S12656" s="5"/>
      <c r="T12656" s="5"/>
      <c r="U12656" s="5"/>
      <c r="V12656" s="5"/>
      <c r="W12656" s="5"/>
      <c r="X12656" s="5"/>
      <c r="Y12656" s="5"/>
      <c r="Z12656" s="5"/>
    </row>
    <row r="12657" spans="1:26" ht="15" x14ac:dyDescent="0.25">
      <c r="A12657" s="4" t="s">
        <v>12654</v>
      </c>
      <c r="B12657" s="4" t="s">
        <v>9011</v>
      </c>
      <c r="C12657" s="2" t="str">
        <f ca="1">IFERROR(__xludf.DUMMYFUNCTION("GOOGLETRANSLATE(A12657,""bn"",""en"")"),"Technology will grow tremendously")</f>
        <v>Technology will grow tremendously</v>
      </c>
      <c r="D12657" s="5"/>
      <c r="E12657" s="5"/>
      <c r="F12657" s="5"/>
      <c r="G12657" s="5"/>
      <c r="H12657" s="5"/>
      <c r="I12657" s="5"/>
      <c r="J12657" s="5"/>
      <c r="K12657" s="5"/>
      <c r="L12657" s="5"/>
      <c r="M12657" s="5"/>
      <c r="N12657" s="5"/>
      <c r="O12657" s="5"/>
      <c r="P12657" s="5"/>
      <c r="Q12657" s="5"/>
      <c r="R12657" s="5"/>
      <c r="S12657" s="5"/>
      <c r="T12657" s="5"/>
      <c r="U12657" s="5"/>
      <c r="V12657" s="5"/>
      <c r="W12657" s="5"/>
      <c r="X12657" s="5"/>
      <c r="Y12657" s="5"/>
      <c r="Z12657" s="5"/>
    </row>
    <row r="12658" spans="1:26" ht="15" x14ac:dyDescent="0.25">
      <c r="A12658" s="4" t="s">
        <v>12655</v>
      </c>
      <c r="B12658" s="4" t="s">
        <v>9011</v>
      </c>
      <c r="C12658" s="2" t="str">
        <f ca="1">IFERROR(__xludf.DUMMYFUNCTION("GOOGLETRANSLATE(A12658,""bn"",""en"")"),"He will pay the interest")</f>
        <v>He will pay the interest</v>
      </c>
      <c r="D12658" s="5"/>
      <c r="E12658" s="5"/>
      <c r="F12658" s="5"/>
      <c r="G12658" s="5"/>
      <c r="H12658" s="5"/>
      <c r="I12658" s="5"/>
      <c r="J12658" s="5"/>
      <c r="K12658" s="5"/>
      <c r="L12658" s="5"/>
      <c r="M12658" s="5"/>
      <c r="N12658" s="5"/>
      <c r="O12658" s="5"/>
      <c r="P12658" s="5"/>
      <c r="Q12658" s="5"/>
      <c r="R12658" s="5"/>
      <c r="S12658" s="5"/>
      <c r="T12658" s="5"/>
      <c r="U12658" s="5"/>
      <c r="V12658" s="5"/>
      <c r="W12658" s="5"/>
      <c r="X12658" s="5"/>
      <c r="Y12658" s="5"/>
      <c r="Z12658" s="5"/>
    </row>
    <row r="12659" spans="1:26" ht="15" x14ac:dyDescent="0.25">
      <c r="A12659" s="4" t="s">
        <v>12656</v>
      </c>
      <c r="B12659" s="4" t="s">
        <v>9011</v>
      </c>
      <c r="C12659" s="2" t="str">
        <f ca="1">IFERROR(__xludf.DUMMYFUNCTION("GOOGLETRANSLATE(A12659,""bn"",""en"")"),"I will swim well")</f>
        <v>I will swim well</v>
      </c>
      <c r="D12659" s="5"/>
      <c r="E12659" s="5"/>
      <c r="F12659" s="5"/>
      <c r="G12659" s="5"/>
      <c r="H12659" s="5"/>
      <c r="I12659" s="5"/>
      <c r="J12659" s="5"/>
      <c r="K12659" s="5"/>
      <c r="L12659" s="5"/>
      <c r="M12659" s="5"/>
      <c r="N12659" s="5"/>
      <c r="O12659" s="5"/>
      <c r="P12659" s="5"/>
      <c r="Q12659" s="5"/>
      <c r="R12659" s="5"/>
      <c r="S12659" s="5"/>
      <c r="T12659" s="5"/>
      <c r="U12659" s="5"/>
      <c r="V12659" s="5"/>
      <c r="W12659" s="5"/>
      <c r="X12659" s="5"/>
      <c r="Y12659" s="5"/>
      <c r="Z12659" s="5"/>
    </row>
    <row r="12660" spans="1:26" ht="15" x14ac:dyDescent="0.25">
      <c r="A12660" s="4" t="s">
        <v>12657</v>
      </c>
      <c r="B12660" s="4" t="s">
        <v>9011</v>
      </c>
      <c r="C12660" s="2" t="str">
        <f ca="1">IFERROR(__xludf.DUMMYFUNCTION("GOOGLETRANSLATE(A12660,""bn"",""en"")"),"Will see a technologically advanced economy")</f>
        <v>Will see a technologically advanced economy</v>
      </c>
      <c r="D12660" s="5"/>
      <c r="E12660" s="5"/>
      <c r="F12660" s="5"/>
      <c r="G12660" s="5"/>
      <c r="H12660" s="5"/>
      <c r="I12660" s="5"/>
      <c r="J12660" s="5"/>
      <c r="K12660" s="5"/>
      <c r="L12660" s="5"/>
      <c r="M12660" s="5"/>
      <c r="N12660" s="5"/>
      <c r="O12660" s="5"/>
      <c r="P12660" s="5"/>
      <c r="Q12660" s="5"/>
      <c r="R12660" s="5"/>
      <c r="S12660" s="5"/>
      <c r="T12660" s="5"/>
      <c r="U12660" s="5"/>
      <c r="V12660" s="5"/>
      <c r="W12660" s="5"/>
      <c r="X12660" s="5"/>
      <c r="Y12660" s="5"/>
      <c r="Z12660" s="5"/>
    </row>
    <row r="12661" spans="1:26" ht="15" x14ac:dyDescent="0.25">
      <c r="A12661" s="4" t="s">
        <v>12658</v>
      </c>
      <c r="B12661" s="4" t="s">
        <v>9011</v>
      </c>
      <c r="C12661" s="2" t="str">
        <f ca="1">IFERROR(__xludf.DUMMYFUNCTION("GOOGLETRANSLATE(A12661,""bn"",""en"")"),"I will have a collection of books")</f>
        <v>I will have a collection of books</v>
      </c>
      <c r="D12661" s="5"/>
      <c r="E12661" s="5"/>
      <c r="F12661" s="5"/>
      <c r="G12661" s="5"/>
      <c r="H12661" s="5"/>
      <c r="I12661" s="5"/>
      <c r="J12661" s="5"/>
      <c r="K12661" s="5"/>
      <c r="L12661" s="5"/>
      <c r="M12661" s="5"/>
      <c r="N12661" s="5"/>
      <c r="O12661" s="5"/>
      <c r="P12661" s="5"/>
      <c r="Q12661" s="5"/>
      <c r="R12661" s="5"/>
      <c r="S12661" s="5"/>
      <c r="T12661" s="5"/>
      <c r="U12661" s="5"/>
      <c r="V12661" s="5"/>
      <c r="W12661" s="5"/>
      <c r="X12661" s="5"/>
      <c r="Y12661" s="5"/>
      <c r="Z12661" s="5"/>
    </row>
    <row r="12662" spans="1:26" ht="15" x14ac:dyDescent="0.25">
      <c r="A12662" s="4" t="s">
        <v>12659</v>
      </c>
      <c r="B12662" s="4" t="s">
        <v>9011</v>
      </c>
      <c r="C12662" s="2" t="str">
        <f ca="1">IFERROR(__xludf.DUMMYFUNCTION("GOOGLETRANSLATE(A12662,""bn"",""en"")"),"Participate in the programming community")</f>
        <v>Participate in the programming community</v>
      </c>
      <c r="D12662" s="5"/>
      <c r="E12662" s="5"/>
      <c r="F12662" s="5"/>
      <c r="G12662" s="5"/>
      <c r="H12662" s="5"/>
      <c r="I12662" s="5"/>
      <c r="J12662" s="5"/>
      <c r="K12662" s="5"/>
      <c r="L12662" s="5"/>
      <c r="M12662" s="5"/>
      <c r="N12662" s="5"/>
      <c r="O12662" s="5"/>
      <c r="P12662" s="5"/>
      <c r="Q12662" s="5"/>
      <c r="R12662" s="5"/>
      <c r="S12662" s="5"/>
      <c r="T12662" s="5"/>
      <c r="U12662" s="5"/>
      <c r="V12662" s="5"/>
      <c r="W12662" s="5"/>
      <c r="X12662" s="5"/>
      <c r="Y12662" s="5"/>
      <c r="Z12662" s="5"/>
    </row>
    <row r="12663" spans="1:26" ht="15" x14ac:dyDescent="0.25">
      <c r="A12663" s="4" t="s">
        <v>12660</v>
      </c>
      <c r="B12663" s="4" t="s">
        <v>9011</v>
      </c>
      <c r="C12663" s="2" t="str">
        <f ca="1">IFERROR(__xludf.DUMMYFUNCTION("GOOGLETRANSLATE(A12663,""bn"",""en"")"),"He will report the bug")</f>
        <v>He will report the bug</v>
      </c>
      <c r="D12663" s="5"/>
      <c r="E12663" s="5"/>
      <c r="F12663" s="5"/>
      <c r="G12663" s="5"/>
      <c r="H12663" s="5"/>
      <c r="I12663" s="5"/>
      <c r="J12663" s="5"/>
      <c r="K12663" s="5"/>
      <c r="L12663" s="5"/>
      <c r="M12663" s="5"/>
      <c r="N12663" s="5"/>
      <c r="O12663" s="5"/>
      <c r="P12663" s="5"/>
      <c r="Q12663" s="5"/>
      <c r="R12663" s="5"/>
      <c r="S12663" s="5"/>
      <c r="T12663" s="5"/>
      <c r="U12663" s="5"/>
      <c r="V12663" s="5"/>
      <c r="W12663" s="5"/>
      <c r="X12663" s="5"/>
      <c r="Y12663" s="5"/>
      <c r="Z12663" s="5"/>
    </row>
    <row r="12664" spans="1:26" ht="15" x14ac:dyDescent="0.25">
      <c r="A12664" s="4" t="s">
        <v>12661</v>
      </c>
      <c r="B12664" s="4" t="s">
        <v>9011</v>
      </c>
      <c r="C12664" s="2" t="str">
        <f ca="1">IFERROR(__xludf.DUMMYFUNCTION("GOOGLETRANSLATE(A12664,""bn"",""en"")"),"You will build robots")</f>
        <v>You will build robots</v>
      </c>
      <c r="D12664" s="5"/>
      <c r="E12664" s="5"/>
      <c r="F12664" s="5"/>
      <c r="G12664" s="5"/>
      <c r="H12664" s="5"/>
      <c r="I12664" s="5"/>
      <c r="J12664" s="5"/>
      <c r="K12664" s="5"/>
      <c r="L12664" s="5"/>
      <c r="M12664" s="5"/>
      <c r="N12664" s="5"/>
      <c r="O12664" s="5"/>
      <c r="P12664" s="5"/>
      <c r="Q12664" s="5"/>
      <c r="R12664" s="5"/>
      <c r="S12664" s="5"/>
      <c r="T12664" s="5"/>
      <c r="U12664" s="5"/>
      <c r="V12664" s="5"/>
      <c r="W12664" s="5"/>
      <c r="X12664" s="5"/>
      <c r="Y12664" s="5"/>
      <c r="Z12664" s="5"/>
    </row>
    <row r="12665" spans="1:26" ht="15" x14ac:dyDescent="0.25">
      <c r="A12665" s="4" t="s">
        <v>12662</v>
      </c>
      <c r="B12665" s="4" t="s">
        <v>9011</v>
      </c>
      <c r="C12665" s="2" t="str">
        <f ca="1">IFERROR(__xludf.DUMMYFUNCTION("GOOGLETRANSLATE(A12665,""bn"",""en"")"),"Economy status will improve")</f>
        <v>Economy status will improve</v>
      </c>
      <c r="D12665" s="5"/>
      <c r="E12665" s="5"/>
      <c r="F12665" s="5"/>
      <c r="G12665" s="5"/>
      <c r="H12665" s="5"/>
      <c r="I12665" s="5"/>
      <c r="J12665" s="5"/>
      <c r="K12665" s="5"/>
      <c r="L12665" s="5"/>
      <c r="M12665" s="5"/>
      <c r="N12665" s="5"/>
      <c r="O12665" s="5"/>
      <c r="P12665" s="5"/>
      <c r="Q12665" s="5"/>
      <c r="R12665" s="5"/>
      <c r="S12665" s="5"/>
      <c r="T12665" s="5"/>
      <c r="U12665" s="5"/>
      <c r="V12665" s="5"/>
      <c r="W12665" s="5"/>
      <c r="X12665" s="5"/>
      <c r="Y12665" s="5"/>
      <c r="Z12665" s="5"/>
    </row>
    <row r="12666" spans="1:26" ht="15" x14ac:dyDescent="0.25">
      <c r="A12666" s="4" t="s">
        <v>12663</v>
      </c>
      <c r="B12666" s="4" t="s">
        <v>9011</v>
      </c>
      <c r="C12666" s="2" t="str">
        <f ca="1">IFERROR(__xludf.DUMMYFUNCTION("GOOGLETRANSLATE(A12666,""bn"",""en"")"),"I want to be a writer")</f>
        <v>I want to be a writer</v>
      </c>
      <c r="D12666" s="5"/>
      <c r="E12666" s="5"/>
      <c r="F12666" s="5"/>
      <c r="G12666" s="5"/>
      <c r="H12666" s="5"/>
      <c r="I12666" s="5"/>
      <c r="J12666" s="5"/>
      <c r="K12666" s="5"/>
      <c r="L12666" s="5"/>
      <c r="M12666" s="5"/>
      <c r="N12666" s="5"/>
      <c r="O12666" s="5"/>
      <c r="P12666" s="5"/>
      <c r="Q12666" s="5"/>
      <c r="R12666" s="5"/>
      <c r="S12666" s="5"/>
      <c r="T12666" s="5"/>
      <c r="U12666" s="5"/>
      <c r="V12666" s="5"/>
      <c r="W12666" s="5"/>
      <c r="X12666" s="5"/>
      <c r="Y12666" s="5"/>
      <c r="Z12666" s="5"/>
    </row>
    <row r="12667" spans="1:26" ht="15" x14ac:dyDescent="0.25">
      <c r="A12667" s="4" t="s">
        <v>12664</v>
      </c>
      <c r="B12667" s="4" t="s">
        <v>9011</v>
      </c>
      <c r="C12667" s="2" t="str">
        <f ca="1">IFERROR(__xludf.DUMMYFUNCTION("GOOGLETRANSLATE(A12667,""bn"",""en"")"),"Branches will be made of flowers")</f>
        <v>Branches will be made of flowers</v>
      </c>
      <c r="D12667" s="5"/>
      <c r="E12667" s="5"/>
      <c r="F12667" s="5"/>
      <c r="G12667" s="5"/>
      <c r="H12667" s="5"/>
      <c r="I12667" s="5"/>
      <c r="J12667" s="5"/>
      <c r="K12667" s="5"/>
      <c r="L12667" s="5"/>
      <c r="M12667" s="5"/>
      <c r="N12667" s="5"/>
      <c r="O12667" s="5"/>
      <c r="P12667" s="5"/>
      <c r="Q12667" s="5"/>
      <c r="R12667" s="5"/>
      <c r="S12667" s="5"/>
      <c r="T12667" s="5"/>
      <c r="U12667" s="5"/>
      <c r="V12667" s="5"/>
      <c r="W12667" s="5"/>
      <c r="X12667" s="5"/>
      <c r="Y12667" s="5"/>
      <c r="Z12667" s="5"/>
    </row>
    <row r="12668" spans="1:26" ht="15" x14ac:dyDescent="0.25">
      <c r="A12668" s="4" t="s">
        <v>12665</v>
      </c>
      <c r="B12668" s="4" t="s">
        <v>9011</v>
      </c>
      <c r="C12668" s="2" t="str">
        <f ca="1">IFERROR(__xludf.DUMMYFUNCTION("GOOGLETRANSLATE(A12668,""bn"",""en"")"),"Will teach work in new framework")</f>
        <v>Will teach work in new framework</v>
      </c>
      <c r="D12668" s="5"/>
      <c r="E12668" s="5"/>
      <c r="F12668" s="5"/>
      <c r="G12668" s="5"/>
      <c r="H12668" s="5"/>
      <c r="I12668" s="5"/>
      <c r="J12668" s="5"/>
      <c r="K12668" s="5"/>
      <c r="L12668" s="5"/>
      <c r="M12668" s="5"/>
      <c r="N12668" s="5"/>
      <c r="O12668" s="5"/>
      <c r="P12668" s="5"/>
      <c r="Q12668" s="5"/>
      <c r="R12668" s="5"/>
      <c r="S12668" s="5"/>
      <c r="T12668" s="5"/>
      <c r="U12668" s="5"/>
      <c r="V12668" s="5"/>
      <c r="W12668" s="5"/>
      <c r="X12668" s="5"/>
      <c r="Y12668" s="5"/>
      <c r="Z12668" s="5"/>
    </row>
    <row r="12669" spans="1:26" ht="15" x14ac:dyDescent="0.25">
      <c r="A12669" s="4" t="s">
        <v>12666</v>
      </c>
      <c r="B12669" s="4" t="s">
        <v>9011</v>
      </c>
      <c r="C12669" s="2" t="str">
        <f ca="1">IFERROR(__xludf.DUMMYFUNCTION("GOOGLETRANSLATE(A12669,""bn"",""en"")"),"Will improve against germs")</f>
        <v>Will improve against germs</v>
      </c>
      <c r="D12669" s="5"/>
      <c r="E12669" s="5"/>
      <c r="F12669" s="5"/>
      <c r="G12669" s="5"/>
      <c r="H12669" s="5"/>
      <c r="I12669" s="5"/>
      <c r="J12669" s="5"/>
      <c r="K12669" s="5"/>
      <c r="L12669" s="5"/>
      <c r="M12669" s="5"/>
      <c r="N12669" s="5"/>
      <c r="O12669" s="5"/>
      <c r="P12669" s="5"/>
      <c r="Q12669" s="5"/>
      <c r="R12669" s="5"/>
      <c r="S12669" s="5"/>
      <c r="T12669" s="5"/>
      <c r="U12669" s="5"/>
      <c r="V12669" s="5"/>
      <c r="W12669" s="5"/>
      <c r="X12669" s="5"/>
      <c r="Y12669" s="5"/>
      <c r="Z12669" s="5"/>
    </row>
    <row r="12670" spans="1:26" ht="15" x14ac:dyDescent="0.25">
      <c r="A12670" s="4" t="s">
        <v>12667</v>
      </c>
      <c r="B12670" s="4" t="s">
        <v>9011</v>
      </c>
      <c r="C12670" s="2" t="str">
        <f ca="1">IFERROR(__xludf.DUMMYFUNCTION("GOOGLETRANSLATE(A12670,""bn"",""en"")"),"The estuary in the sea will be inhabited")</f>
        <v>The estuary in the sea will be inhabited</v>
      </c>
      <c r="D12670" s="5"/>
      <c r="E12670" s="5"/>
      <c r="F12670" s="5"/>
      <c r="G12670" s="5"/>
      <c r="H12670" s="5"/>
      <c r="I12670" s="5"/>
      <c r="J12670" s="5"/>
      <c r="K12670" s="5"/>
      <c r="L12670" s="5"/>
      <c r="M12670" s="5"/>
      <c r="N12670" s="5"/>
      <c r="O12670" s="5"/>
      <c r="P12670" s="5"/>
      <c r="Q12670" s="5"/>
      <c r="R12670" s="5"/>
      <c r="S12670" s="5"/>
      <c r="T12670" s="5"/>
      <c r="U12670" s="5"/>
      <c r="V12670" s="5"/>
      <c r="W12670" s="5"/>
      <c r="X12670" s="5"/>
      <c r="Y12670" s="5"/>
      <c r="Z12670" s="5"/>
    </row>
    <row r="12671" spans="1:26" ht="15" x14ac:dyDescent="0.25">
      <c r="A12671" s="4" t="s">
        <v>12668</v>
      </c>
      <c r="B12671" s="4" t="s">
        <v>9011</v>
      </c>
      <c r="C12671" s="2" t="str">
        <f ca="1">IFERROR(__xludf.DUMMYFUNCTION("GOOGLETRANSLATE(A12671,""bn"",""en"")"),"You will swim in the river")</f>
        <v>You will swim in the river</v>
      </c>
      <c r="D12671" s="5"/>
      <c r="E12671" s="5"/>
      <c r="F12671" s="5"/>
      <c r="G12671" s="5"/>
      <c r="H12671" s="5"/>
      <c r="I12671" s="5"/>
      <c r="J12671" s="5"/>
      <c r="K12671" s="5"/>
      <c r="L12671" s="5"/>
      <c r="M12671" s="5"/>
      <c r="N12671" s="5"/>
      <c r="O12671" s="5"/>
      <c r="P12671" s="5"/>
      <c r="Q12671" s="5"/>
      <c r="R12671" s="5"/>
      <c r="S12671" s="5"/>
      <c r="T12671" s="5"/>
      <c r="U12671" s="5"/>
      <c r="V12671" s="5"/>
      <c r="W12671" s="5"/>
      <c r="X12671" s="5"/>
      <c r="Y12671" s="5"/>
      <c r="Z12671" s="5"/>
    </row>
    <row r="12672" spans="1:26" ht="15" x14ac:dyDescent="0.25">
      <c r="A12672" s="4" t="s">
        <v>12669</v>
      </c>
      <c r="B12672" s="4" t="s">
        <v>9011</v>
      </c>
      <c r="C12672" s="2" t="str">
        <f ca="1">IFERROR(__xludf.DUMMYFUNCTION("GOOGLETRANSLATE(A12672,""bn"",""en"")"),"I will participate in programming competition")</f>
        <v>I will participate in programming competition</v>
      </c>
      <c r="D12672" s="5"/>
      <c r="E12672" s="5"/>
      <c r="F12672" s="5"/>
      <c r="G12672" s="5"/>
      <c r="H12672" s="5"/>
      <c r="I12672" s="5"/>
      <c r="J12672" s="5"/>
      <c r="K12672" s="5"/>
      <c r="L12672" s="5"/>
      <c r="M12672" s="5"/>
      <c r="N12672" s="5"/>
      <c r="O12672" s="5"/>
      <c r="P12672" s="5"/>
      <c r="Q12672" s="5"/>
      <c r="R12672" s="5"/>
      <c r="S12672" s="5"/>
      <c r="T12672" s="5"/>
      <c r="U12672" s="5"/>
      <c r="V12672" s="5"/>
      <c r="W12672" s="5"/>
      <c r="X12672" s="5"/>
      <c r="Y12672" s="5"/>
      <c r="Z12672" s="5"/>
    </row>
    <row r="12673" spans="1:26" ht="15" x14ac:dyDescent="0.25">
      <c r="A12673" s="4" t="s">
        <v>12670</v>
      </c>
      <c r="B12673" s="4" t="s">
        <v>9011</v>
      </c>
      <c r="C12673" s="2" t="str">
        <f ca="1">IFERROR(__xludf.DUMMYFUNCTION("GOOGLETRANSLATE(A12673,""bn"",""en"")"),"New computers will be invented")</f>
        <v>New computers will be invented</v>
      </c>
      <c r="D12673" s="5"/>
      <c r="E12673" s="5"/>
      <c r="F12673" s="5"/>
      <c r="G12673" s="5"/>
      <c r="H12673" s="5"/>
      <c r="I12673" s="5"/>
      <c r="J12673" s="5"/>
      <c r="K12673" s="5"/>
      <c r="L12673" s="5"/>
      <c r="M12673" s="5"/>
      <c r="N12673" s="5"/>
      <c r="O12673" s="5"/>
      <c r="P12673" s="5"/>
      <c r="Q12673" s="5"/>
      <c r="R12673" s="5"/>
      <c r="S12673" s="5"/>
      <c r="T12673" s="5"/>
      <c r="U12673" s="5"/>
      <c r="V12673" s="5"/>
      <c r="W12673" s="5"/>
      <c r="X12673" s="5"/>
      <c r="Y12673" s="5"/>
      <c r="Z12673" s="5"/>
    </row>
    <row r="12674" spans="1:26" ht="15" x14ac:dyDescent="0.25">
      <c r="A12674" s="4" t="s">
        <v>12671</v>
      </c>
      <c r="B12674" s="4" t="s">
        <v>9011</v>
      </c>
      <c r="C12674" s="2" t="str">
        <f ca="1">IFERROR(__xludf.DUMMYFUNCTION("GOOGLETRANSLATE(A12674,""bn"",""en"")"),"Potent vaccines will be ready")</f>
        <v>Potent vaccines will be ready</v>
      </c>
      <c r="D12674" s="5"/>
      <c r="E12674" s="5"/>
      <c r="F12674" s="5"/>
      <c r="G12674" s="5"/>
      <c r="H12674" s="5"/>
      <c r="I12674" s="5"/>
      <c r="J12674" s="5"/>
      <c r="K12674" s="5"/>
      <c r="L12674" s="5"/>
      <c r="M12674" s="5"/>
      <c r="N12674" s="5"/>
      <c r="O12674" s="5"/>
      <c r="P12674" s="5"/>
      <c r="Q12674" s="5"/>
      <c r="R12674" s="5"/>
      <c r="S12674" s="5"/>
      <c r="T12674" s="5"/>
      <c r="U12674" s="5"/>
      <c r="V12674" s="5"/>
      <c r="W12674" s="5"/>
      <c r="X12674" s="5"/>
      <c r="Y12674" s="5"/>
      <c r="Z12674" s="5"/>
    </row>
    <row r="12675" spans="1:26" ht="15" x14ac:dyDescent="0.25">
      <c r="A12675" s="4" t="s">
        <v>12672</v>
      </c>
      <c r="B12675" s="4" t="s">
        <v>9011</v>
      </c>
      <c r="C12675" s="2" t="str">
        <f ca="1">IFERROR(__xludf.DUMMYFUNCTION("GOOGLETRANSLATE(A12675,""bn"",""en"")"),"I want to stay in the forest at night")</f>
        <v>I want to stay in the forest at night</v>
      </c>
      <c r="D12675" s="5"/>
      <c r="E12675" s="5"/>
      <c r="F12675" s="5"/>
      <c r="G12675" s="5"/>
      <c r="H12675" s="5"/>
      <c r="I12675" s="5"/>
      <c r="J12675" s="5"/>
      <c r="K12675" s="5"/>
      <c r="L12675" s="5"/>
      <c r="M12675" s="5"/>
      <c r="N12675" s="5"/>
      <c r="O12675" s="5"/>
      <c r="P12675" s="5"/>
      <c r="Q12675" s="5"/>
      <c r="R12675" s="5"/>
      <c r="S12675" s="5"/>
      <c r="T12675" s="5"/>
      <c r="U12675" s="5"/>
      <c r="V12675" s="5"/>
      <c r="W12675" s="5"/>
      <c r="X12675" s="5"/>
      <c r="Y12675" s="5"/>
      <c r="Z12675" s="5"/>
    </row>
    <row r="12676" spans="1:26" ht="15" x14ac:dyDescent="0.25">
      <c r="A12676" s="4" t="s">
        <v>12673</v>
      </c>
      <c r="B12676" s="4" t="s">
        <v>9011</v>
      </c>
      <c r="C12676" s="2" t="str">
        <f ca="1">IFERROR(__xludf.DUMMYFUNCTION("GOOGLETRANSLATE(A12676,""bn"",""en"")"),"People will prosper in danger")</f>
        <v>People will prosper in danger</v>
      </c>
      <c r="D12676" s="5"/>
      <c r="E12676" s="5"/>
      <c r="F12676" s="5"/>
      <c r="G12676" s="5"/>
      <c r="H12676" s="5"/>
      <c r="I12676" s="5"/>
      <c r="J12676" s="5"/>
      <c r="K12676" s="5"/>
      <c r="L12676" s="5"/>
      <c r="M12676" s="5"/>
      <c r="N12676" s="5"/>
      <c r="O12676" s="5"/>
      <c r="P12676" s="5"/>
      <c r="Q12676" s="5"/>
      <c r="R12676" s="5"/>
      <c r="S12676" s="5"/>
      <c r="T12676" s="5"/>
      <c r="U12676" s="5"/>
      <c r="V12676" s="5"/>
      <c r="W12676" s="5"/>
      <c r="X12676" s="5"/>
      <c r="Y12676" s="5"/>
      <c r="Z12676" s="5"/>
    </row>
    <row r="12677" spans="1:26" ht="15" x14ac:dyDescent="0.25">
      <c r="A12677" s="4" t="s">
        <v>12674</v>
      </c>
      <c r="B12677" s="4" t="s">
        <v>9011</v>
      </c>
      <c r="C12677" s="2" t="str">
        <f ca="1">IFERROR(__xludf.DUMMYFUNCTION("GOOGLETRANSLATE(A12677,""bn"",""en"")"),"Everyone will contribute to the economy")</f>
        <v>Everyone will contribute to the economy</v>
      </c>
      <c r="D12677" s="5"/>
      <c r="E12677" s="5"/>
      <c r="F12677" s="5"/>
      <c r="G12677" s="5"/>
      <c r="H12677" s="5"/>
      <c r="I12677" s="5"/>
      <c r="J12677" s="5"/>
      <c r="K12677" s="5"/>
      <c r="L12677" s="5"/>
      <c r="M12677" s="5"/>
      <c r="N12677" s="5"/>
      <c r="O12677" s="5"/>
      <c r="P12677" s="5"/>
      <c r="Q12677" s="5"/>
      <c r="R12677" s="5"/>
      <c r="S12677" s="5"/>
      <c r="T12677" s="5"/>
      <c r="U12677" s="5"/>
      <c r="V12677" s="5"/>
      <c r="W12677" s="5"/>
      <c r="X12677" s="5"/>
      <c r="Y12677" s="5"/>
      <c r="Z12677" s="5"/>
    </row>
    <row r="12678" spans="1:26" ht="15" x14ac:dyDescent="0.25">
      <c r="A12678" s="4" t="s">
        <v>12675</v>
      </c>
      <c r="B12678" s="4" t="s">
        <v>9011</v>
      </c>
      <c r="C12678" s="2" t="str">
        <f ca="1">IFERROR(__xludf.DUMMYFUNCTION("GOOGLETRANSLATE(A12678,""bn"",""en"")"),"You will swim in the water")</f>
        <v>You will swim in the water</v>
      </c>
      <c r="D12678" s="5"/>
      <c r="E12678" s="5"/>
      <c r="F12678" s="5"/>
      <c r="G12678" s="5"/>
      <c r="H12678" s="5"/>
      <c r="I12678" s="5"/>
      <c r="J12678" s="5"/>
      <c r="K12678" s="5"/>
      <c r="L12678" s="5"/>
      <c r="M12678" s="5"/>
      <c r="N12678" s="5"/>
      <c r="O12678" s="5"/>
      <c r="P12678" s="5"/>
      <c r="Q12678" s="5"/>
      <c r="R12678" s="5"/>
      <c r="S12678" s="5"/>
      <c r="T12678" s="5"/>
      <c r="U12678" s="5"/>
      <c r="V12678" s="5"/>
      <c r="W12678" s="5"/>
      <c r="X12678" s="5"/>
      <c r="Y12678" s="5"/>
      <c r="Z12678" s="5"/>
    </row>
    <row r="12679" spans="1:26" ht="15" x14ac:dyDescent="0.25">
      <c r="A12679" s="4" t="s">
        <v>12676</v>
      </c>
      <c r="B12679" s="4" t="s">
        <v>9011</v>
      </c>
      <c r="C12679" s="2" t="str">
        <f ca="1">IFERROR(__xludf.DUMMYFUNCTION("GOOGLETRANSLATE(A12679,""bn"",""en"")"),"Education projects will be developed")</f>
        <v>Education projects will be developed</v>
      </c>
      <c r="D12679" s="5"/>
      <c r="E12679" s="5"/>
      <c r="F12679" s="5"/>
      <c r="G12679" s="5"/>
      <c r="H12679" s="5"/>
      <c r="I12679" s="5"/>
      <c r="J12679" s="5"/>
      <c r="K12679" s="5"/>
      <c r="L12679" s="5"/>
      <c r="M12679" s="5"/>
      <c r="N12679" s="5"/>
      <c r="O12679" s="5"/>
      <c r="P12679" s="5"/>
      <c r="Q12679" s="5"/>
      <c r="R12679" s="5"/>
      <c r="S12679" s="5"/>
      <c r="T12679" s="5"/>
      <c r="U12679" s="5"/>
      <c r="V12679" s="5"/>
      <c r="W12679" s="5"/>
      <c r="X12679" s="5"/>
      <c r="Y12679" s="5"/>
      <c r="Z12679" s="5"/>
    </row>
    <row r="12680" spans="1:26" ht="15" x14ac:dyDescent="0.25">
      <c r="A12680" s="4" t="s">
        <v>12677</v>
      </c>
      <c r="B12680" s="4" t="s">
        <v>9011</v>
      </c>
      <c r="C12680" s="2" t="str">
        <f ca="1">IFERROR(__xludf.DUMMYFUNCTION("GOOGLETRANSLATE(A12680,""bn"",""en"")"),"We will come to the campus event")</f>
        <v>We will come to the campus event</v>
      </c>
      <c r="D12680" s="5"/>
      <c r="E12680" s="5"/>
      <c r="F12680" s="5"/>
      <c r="G12680" s="5"/>
      <c r="H12680" s="5"/>
      <c r="I12680" s="5"/>
      <c r="J12680" s="5"/>
      <c r="K12680" s="5"/>
      <c r="L12680" s="5"/>
      <c r="M12680" s="5"/>
      <c r="N12680" s="5"/>
      <c r="O12680" s="5"/>
      <c r="P12680" s="5"/>
      <c r="Q12680" s="5"/>
      <c r="R12680" s="5"/>
      <c r="S12680" s="5"/>
      <c r="T12680" s="5"/>
      <c r="U12680" s="5"/>
      <c r="V12680" s="5"/>
      <c r="W12680" s="5"/>
      <c r="X12680" s="5"/>
      <c r="Y12680" s="5"/>
      <c r="Z12680" s="5"/>
    </row>
    <row r="12681" spans="1:26" ht="15" x14ac:dyDescent="0.25">
      <c r="A12681" s="4" t="s">
        <v>12678</v>
      </c>
      <c r="B12681" s="4" t="s">
        <v>9011</v>
      </c>
      <c r="C12681" s="2" t="str">
        <f ca="1">IFERROR(__xludf.DUMMYFUNCTION("GOOGLETRANSLATE(A12681,""bn"",""en"")"),"A new step would be better")</f>
        <v>A new step would be better</v>
      </c>
      <c r="D12681" s="5"/>
      <c r="E12681" s="5"/>
      <c r="F12681" s="5"/>
      <c r="G12681" s="5"/>
      <c r="H12681" s="5"/>
      <c r="I12681" s="5"/>
      <c r="J12681" s="5"/>
      <c r="K12681" s="5"/>
      <c r="L12681" s="5"/>
      <c r="M12681" s="5"/>
      <c r="N12681" s="5"/>
      <c r="O12681" s="5"/>
      <c r="P12681" s="5"/>
      <c r="Q12681" s="5"/>
      <c r="R12681" s="5"/>
      <c r="S12681" s="5"/>
      <c r="T12681" s="5"/>
      <c r="U12681" s="5"/>
      <c r="V12681" s="5"/>
      <c r="W12681" s="5"/>
      <c r="X12681" s="5"/>
      <c r="Y12681" s="5"/>
      <c r="Z12681" s="5"/>
    </row>
    <row r="12682" spans="1:26" ht="15" x14ac:dyDescent="0.25">
      <c r="A12682" s="4" t="s">
        <v>12679</v>
      </c>
      <c r="B12682" s="4" t="s">
        <v>9011</v>
      </c>
      <c r="C12682" s="2" t="str">
        <f ca="1">IFERROR(__xludf.DUMMYFUNCTION("GOOGLETRANSLATE(A12682,""bn"",""en"")"),"Fruits will be cultivated in the garden")</f>
        <v>Fruits will be cultivated in the garden</v>
      </c>
      <c r="D12682" s="5"/>
      <c r="E12682" s="5"/>
      <c r="F12682" s="5"/>
      <c r="G12682" s="5"/>
      <c r="H12682" s="5"/>
      <c r="I12682" s="5"/>
      <c r="J12682" s="5"/>
      <c r="K12682" s="5"/>
      <c r="L12682" s="5"/>
      <c r="M12682" s="5"/>
      <c r="N12682" s="5"/>
      <c r="O12682" s="5"/>
      <c r="P12682" s="5"/>
      <c r="Q12682" s="5"/>
      <c r="R12682" s="5"/>
      <c r="S12682" s="5"/>
      <c r="T12682" s="5"/>
      <c r="U12682" s="5"/>
      <c r="V12682" s="5"/>
      <c r="W12682" s="5"/>
      <c r="X12682" s="5"/>
      <c r="Y12682" s="5"/>
      <c r="Z12682" s="5"/>
    </row>
    <row r="12683" spans="1:26" ht="15" x14ac:dyDescent="0.25">
      <c r="A12683" s="4" t="s">
        <v>12680</v>
      </c>
      <c r="B12683" s="4" t="s">
        <v>9011</v>
      </c>
      <c r="C12683" s="2" t="str">
        <f ca="1">IFERROR(__xludf.DUMMYFUNCTION("GOOGLETRANSLATE(A12683,""bn"",""en"")"),"They will create new projects")</f>
        <v>They will create new projects</v>
      </c>
      <c r="D12683" s="5"/>
      <c r="E12683" s="5"/>
      <c r="F12683" s="5"/>
      <c r="G12683" s="5"/>
      <c r="H12683" s="5"/>
      <c r="I12683" s="5"/>
      <c r="J12683" s="5"/>
      <c r="K12683" s="5"/>
      <c r="L12683" s="5"/>
      <c r="M12683" s="5"/>
      <c r="N12683" s="5"/>
      <c r="O12683" s="5"/>
      <c r="P12683" s="5"/>
      <c r="Q12683" s="5"/>
      <c r="R12683" s="5"/>
      <c r="S12683" s="5"/>
      <c r="T12683" s="5"/>
      <c r="U12683" s="5"/>
      <c r="V12683" s="5"/>
      <c r="W12683" s="5"/>
      <c r="X12683" s="5"/>
      <c r="Y12683" s="5"/>
      <c r="Z12683" s="5"/>
    </row>
    <row r="12684" spans="1:26" ht="15" x14ac:dyDescent="0.25">
      <c r="A12684" s="4" t="s">
        <v>12681</v>
      </c>
      <c r="B12684" s="4" t="s">
        <v>9011</v>
      </c>
      <c r="C12684" s="2" t="str">
        <f ca="1">IFERROR(__xludf.DUMMYFUNCTION("GOOGLETRANSLATE(A12684,""bn"",""en"")"),"Will proceed on the literary path")</f>
        <v>Will proceed on the literary path</v>
      </c>
      <c r="D12684" s="5"/>
      <c r="E12684" s="5"/>
      <c r="F12684" s="5"/>
      <c r="G12684" s="5"/>
      <c r="H12684" s="5"/>
      <c r="I12684" s="5"/>
      <c r="J12684" s="5"/>
      <c r="K12684" s="5"/>
      <c r="L12684" s="5"/>
      <c r="M12684" s="5"/>
      <c r="N12684" s="5"/>
      <c r="O12684" s="5"/>
      <c r="P12684" s="5"/>
      <c r="Q12684" s="5"/>
      <c r="R12684" s="5"/>
      <c r="S12684" s="5"/>
      <c r="T12684" s="5"/>
      <c r="U12684" s="5"/>
      <c r="V12684" s="5"/>
      <c r="W12684" s="5"/>
      <c r="X12684" s="5"/>
      <c r="Y12684" s="5"/>
      <c r="Z12684" s="5"/>
    </row>
    <row r="12685" spans="1:26" ht="15" x14ac:dyDescent="0.25">
      <c r="A12685" s="4" t="s">
        <v>12682</v>
      </c>
      <c r="B12685" s="4" t="s">
        <v>9011</v>
      </c>
      <c r="C12685" s="2" t="str">
        <f ca="1">IFERROR(__xludf.DUMMYFUNCTION("GOOGLETRANSLATE(A12685,""bn"",""en"")"),"The project can be displayed")</f>
        <v>The project can be displayed</v>
      </c>
      <c r="D12685" s="5"/>
      <c r="E12685" s="5"/>
      <c r="F12685" s="5"/>
      <c r="G12685" s="5"/>
      <c r="H12685" s="5"/>
      <c r="I12685" s="5"/>
      <c r="J12685" s="5"/>
      <c r="K12685" s="5"/>
      <c r="L12685" s="5"/>
      <c r="M12685" s="5"/>
      <c r="N12685" s="5"/>
      <c r="O12685" s="5"/>
      <c r="P12685" s="5"/>
      <c r="Q12685" s="5"/>
      <c r="R12685" s="5"/>
      <c r="S12685" s="5"/>
      <c r="T12685" s="5"/>
      <c r="U12685" s="5"/>
      <c r="V12685" s="5"/>
      <c r="W12685" s="5"/>
      <c r="X12685" s="5"/>
      <c r="Y12685" s="5"/>
      <c r="Z12685" s="5"/>
    </row>
    <row r="12686" spans="1:26" ht="15" x14ac:dyDescent="0.25">
      <c r="A12686" s="4" t="s">
        <v>12683</v>
      </c>
      <c r="B12686" s="4" t="s">
        <v>9011</v>
      </c>
      <c r="C12686" s="2" t="str">
        <f ca="1">IFERROR(__xludf.DUMMYFUNCTION("GOOGLETRANSLATE(A12686,""bn"",""en"")"),"We will go for a walk in the park")</f>
        <v>We will go for a walk in the park</v>
      </c>
      <c r="D12686" s="5"/>
      <c r="E12686" s="5"/>
      <c r="F12686" s="5"/>
      <c r="G12686" s="5"/>
      <c r="H12686" s="5"/>
      <c r="I12686" s="5"/>
      <c r="J12686" s="5"/>
      <c r="K12686" s="5"/>
      <c r="L12686" s="5"/>
      <c r="M12686" s="5"/>
      <c r="N12686" s="5"/>
      <c r="O12686" s="5"/>
      <c r="P12686" s="5"/>
      <c r="Q12686" s="5"/>
      <c r="R12686" s="5"/>
      <c r="S12686" s="5"/>
      <c r="T12686" s="5"/>
      <c r="U12686" s="5"/>
      <c r="V12686" s="5"/>
      <c r="W12686" s="5"/>
      <c r="X12686" s="5"/>
      <c r="Y12686" s="5"/>
      <c r="Z12686" s="5"/>
    </row>
    <row r="12687" spans="1:26" ht="15" x14ac:dyDescent="0.25">
      <c r="A12687" s="4" t="s">
        <v>12684</v>
      </c>
      <c r="B12687" s="4" t="s">
        <v>9011</v>
      </c>
      <c r="C12687" s="2" t="str">
        <f ca="1">IFERROR(__xludf.DUMMYFUNCTION("GOOGLETRANSLATE(A12687,""bn"",""en"")"),"Fish will enter the sea")</f>
        <v>Fish will enter the sea</v>
      </c>
      <c r="D12687" s="5"/>
      <c r="E12687" s="5"/>
      <c r="F12687" s="5"/>
      <c r="G12687" s="5"/>
      <c r="H12687" s="5"/>
      <c r="I12687" s="5"/>
      <c r="J12687" s="5"/>
      <c r="K12687" s="5"/>
      <c r="L12687" s="5"/>
      <c r="M12687" s="5"/>
      <c r="N12687" s="5"/>
      <c r="O12687" s="5"/>
      <c r="P12687" s="5"/>
      <c r="Q12687" s="5"/>
      <c r="R12687" s="5"/>
      <c r="S12687" s="5"/>
      <c r="T12687" s="5"/>
      <c r="U12687" s="5"/>
      <c r="V12687" s="5"/>
      <c r="W12687" s="5"/>
      <c r="X12687" s="5"/>
      <c r="Y12687" s="5"/>
      <c r="Z12687" s="5"/>
    </row>
    <row r="12688" spans="1:26" ht="15" x14ac:dyDescent="0.25">
      <c r="A12688" s="4" t="s">
        <v>12685</v>
      </c>
      <c r="B12688" s="4" t="s">
        <v>9011</v>
      </c>
      <c r="C12688" s="2" t="str">
        <f ca="1">IFERROR(__xludf.DUMMYFUNCTION("GOOGLETRANSLATE(A12688,""bn"",""en"")"),"I will deposit the money")</f>
        <v>I will deposit the money</v>
      </c>
      <c r="D12688" s="5"/>
      <c r="E12688" s="5"/>
      <c r="F12688" s="5"/>
      <c r="G12688" s="5"/>
      <c r="H12688" s="5"/>
      <c r="I12688" s="5"/>
      <c r="J12688" s="5"/>
      <c r="K12688" s="5"/>
      <c r="L12688" s="5"/>
      <c r="M12688" s="5"/>
      <c r="N12688" s="5"/>
      <c r="O12688" s="5"/>
      <c r="P12688" s="5"/>
      <c r="Q12688" s="5"/>
      <c r="R12688" s="5"/>
      <c r="S12688" s="5"/>
      <c r="T12688" s="5"/>
      <c r="U12688" s="5"/>
      <c r="V12688" s="5"/>
      <c r="W12688" s="5"/>
      <c r="X12688" s="5"/>
      <c r="Y12688" s="5"/>
      <c r="Z12688" s="5"/>
    </row>
    <row r="12689" spans="1:26" ht="15" x14ac:dyDescent="0.25">
      <c r="A12689" s="4" t="s">
        <v>12686</v>
      </c>
      <c r="B12689" s="4" t="s">
        <v>9011</v>
      </c>
      <c r="C12689" s="2" t="str">
        <f ca="1">IFERROR(__xludf.DUMMYFUNCTION("GOOGLETRANSLATE(A12689,""bn"",""en"")"),"The world will be covered with ice")</f>
        <v>The world will be covered with ice</v>
      </c>
      <c r="D12689" s="5"/>
      <c r="E12689" s="5"/>
      <c r="F12689" s="5"/>
      <c r="G12689" s="5"/>
      <c r="H12689" s="5"/>
      <c r="I12689" s="5"/>
      <c r="J12689" s="5"/>
      <c r="K12689" s="5"/>
      <c r="L12689" s="5"/>
      <c r="M12689" s="5"/>
      <c r="N12689" s="5"/>
      <c r="O12689" s="5"/>
      <c r="P12689" s="5"/>
      <c r="Q12689" s="5"/>
      <c r="R12689" s="5"/>
      <c r="S12689" s="5"/>
      <c r="T12689" s="5"/>
      <c r="U12689" s="5"/>
      <c r="V12689" s="5"/>
      <c r="W12689" s="5"/>
      <c r="X12689" s="5"/>
      <c r="Y12689" s="5"/>
      <c r="Z12689" s="5"/>
    </row>
    <row r="12690" spans="1:26" ht="15" x14ac:dyDescent="0.25">
      <c r="A12690" s="4" t="s">
        <v>12687</v>
      </c>
      <c r="B12690" s="4" t="s">
        <v>9011</v>
      </c>
      <c r="C12690" s="2" t="str">
        <f ca="1">IFERROR(__xludf.DUMMYFUNCTION("GOOGLETRANSLATE(A12690,""bn"",""en"")"),"Everyone will go to the fair in winter")</f>
        <v>Everyone will go to the fair in winter</v>
      </c>
      <c r="D12690" s="5"/>
      <c r="E12690" s="5"/>
      <c r="F12690" s="5"/>
      <c r="G12690" s="5"/>
      <c r="H12690" s="5"/>
      <c r="I12690" s="5"/>
      <c r="J12690" s="5"/>
      <c r="K12690" s="5"/>
      <c r="L12690" s="5"/>
      <c r="M12690" s="5"/>
      <c r="N12690" s="5"/>
      <c r="O12690" s="5"/>
      <c r="P12690" s="5"/>
      <c r="Q12690" s="5"/>
      <c r="R12690" s="5"/>
      <c r="S12690" s="5"/>
      <c r="T12690" s="5"/>
      <c r="U12690" s="5"/>
      <c r="V12690" s="5"/>
      <c r="W12690" s="5"/>
      <c r="X12690" s="5"/>
      <c r="Y12690" s="5"/>
      <c r="Z12690" s="5"/>
    </row>
    <row r="12691" spans="1:26" ht="15" x14ac:dyDescent="0.25">
      <c r="A12691" s="4" t="s">
        <v>12688</v>
      </c>
      <c r="B12691" s="4" t="s">
        <v>9011</v>
      </c>
      <c r="C12691" s="2" t="str">
        <f ca="1">IFERROR(__xludf.DUMMYFUNCTION("GOOGLETRANSLATE(A12691,""bn"",""en"")"),"Programmers will learn new languages")</f>
        <v>Programmers will learn new languages</v>
      </c>
      <c r="D12691" s="5"/>
      <c r="E12691" s="5"/>
      <c r="F12691" s="5"/>
      <c r="G12691" s="5"/>
      <c r="H12691" s="5"/>
      <c r="I12691" s="5"/>
      <c r="J12691" s="5"/>
      <c r="K12691" s="5"/>
      <c r="L12691" s="5"/>
      <c r="M12691" s="5"/>
      <c r="N12691" s="5"/>
      <c r="O12691" s="5"/>
      <c r="P12691" s="5"/>
      <c r="Q12691" s="5"/>
      <c r="R12691" s="5"/>
      <c r="S12691" s="5"/>
      <c r="T12691" s="5"/>
      <c r="U12691" s="5"/>
      <c r="V12691" s="5"/>
      <c r="W12691" s="5"/>
      <c r="X12691" s="5"/>
      <c r="Y12691" s="5"/>
      <c r="Z12691" s="5"/>
    </row>
    <row r="12692" spans="1:26" ht="15" x14ac:dyDescent="0.25">
      <c r="A12692" s="4" t="s">
        <v>12689</v>
      </c>
      <c r="B12692" s="4" t="s">
        <v>9011</v>
      </c>
      <c r="C12692" s="2" t="str">
        <f ca="1">IFERROR(__xludf.DUMMYFUNCTION("GOOGLETRANSLATE(A12692,""bn"",""en"")"),"The restaurant will be popular at home")</f>
        <v>The restaurant will be popular at home</v>
      </c>
      <c r="D12692" s="5"/>
      <c r="E12692" s="5"/>
      <c r="F12692" s="5"/>
      <c r="G12692" s="5"/>
      <c r="H12692" s="5"/>
      <c r="I12692" s="5"/>
      <c r="J12692" s="5"/>
      <c r="K12692" s="5"/>
      <c r="L12692" s="5"/>
      <c r="M12692" s="5"/>
      <c r="N12692" s="5"/>
      <c r="O12692" s="5"/>
      <c r="P12692" s="5"/>
      <c r="Q12692" s="5"/>
      <c r="R12692" s="5"/>
      <c r="S12692" s="5"/>
      <c r="T12692" s="5"/>
      <c r="U12692" s="5"/>
      <c r="V12692" s="5"/>
      <c r="W12692" s="5"/>
      <c r="X12692" s="5"/>
      <c r="Y12692" s="5"/>
      <c r="Z12692" s="5"/>
    </row>
    <row r="12693" spans="1:26" ht="15" x14ac:dyDescent="0.25">
      <c r="A12693" s="4" t="s">
        <v>12690</v>
      </c>
      <c r="B12693" s="4" t="s">
        <v>9011</v>
      </c>
      <c r="C12693" s="2" t="str">
        <f ca="1">IFERROR(__xludf.DUMMYFUNCTION("GOOGLETRANSLATE(A12693,""bn"",""en"")"),"Your project will be successful")</f>
        <v>Your project will be successful</v>
      </c>
      <c r="D12693" s="5"/>
      <c r="E12693" s="5"/>
      <c r="F12693" s="5"/>
      <c r="G12693" s="5"/>
      <c r="H12693" s="5"/>
      <c r="I12693" s="5"/>
      <c r="J12693" s="5"/>
      <c r="K12693" s="5"/>
      <c r="L12693" s="5"/>
      <c r="M12693" s="5"/>
      <c r="N12693" s="5"/>
      <c r="O12693" s="5"/>
      <c r="P12693" s="5"/>
      <c r="Q12693" s="5"/>
      <c r="R12693" s="5"/>
      <c r="S12693" s="5"/>
      <c r="T12693" s="5"/>
      <c r="U12693" s="5"/>
      <c r="V12693" s="5"/>
      <c r="W12693" s="5"/>
      <c r="X12693" s="5"/>
      <c r="Y12693" s="5"/>
      <c r="Z12693" s="5"/>
    </row>
    <row r="12694" spans="1:26" ht="15" x14ac:dyDescent="0.25">
      <c r="A12694" s="4" t="s">
        <v>12691</v>
      </c>
      <c r="B12694" s="4" t="s">
        <v>9011</v>
      </c>
      <c r="C12694" s="2" t="str">
        <f ca="1">IFERROR(__xludf.DUMMYFUNCTION("GOOGLETRANSLATE(A12694,""bn"",""en"")"),"We will eat noodles for breakfast")</f>
        <v>We will eat noodles for breakfast</v>
      </c>
      <c r="D12694" s="5"/>
      <c r="E12694" s="5"/>
      <c r="F12694" s="5"/>
      <c r="G12694" s="5"/>
      <c r="H12694" s="5"/>
      <c r="I12694" s="5"/>
      <c r="J12694" s="5"/>
      <c r="K12694" s="5"/>
      <c r="L12694" s="5"/>
      <c r="M12694" s="5"/>
      <c r="N12694" s="5"/>
      <c r="O12694" s="5"/>
      <c r="P12694" s="5"/>
      <c r="Q12694" s="5"/>
      <c r="R12694" s="5"/>
      <c r="S12694" s="5"/>
      <c r="T12694" s="5"/>
      <c r="U12694" s="5"/>
      <c r="V12694" s="5"/>
      <c r="W12694" s="5"/>
      <c r="X12694" s="5"/>
      <c r="Y12694" s="5"/>
      <c r="Z12694" s="5"/>
    </row>
    <row r="12695" spans="1:26" ht="15" x14ac:dyDescent="0.25">
      <c r="A12695" s="4" t="s">
        <v>12692</v>
      </c>
      <c r="B12695" s="4" t="s">
        <v>9011</v>
      </c>
      <c r="C12695" s="2" t="str">
        <f ca="1">IFERROR(__xludf.DUMMYFUNCTION("GOOGLETRANSLATE(A12695,""bn"",""en"")"),"The patient will be eligible for treatment")</f>
        <v>The patient will be eligible for treatment</v>
      </c>
      <c r="D12695" s="5"/>
      <c r="E12695" s="5"/>
      <c r="F12695" s="5"/>
      <c r="G12695" s="5"/>
      <c r="H12695" s="5"/>
      <c r="I12695" s="5"/>
      <c r="J12695" s="5"/>
      <c r="K12695" s="5"/>
      <c r="L12695" s="5"/>
      <c r="M12695" s="5"/>
      <c r="N12695" s="5"/>
      <c r="O12695" s="5"/>
      <c r="P12695" s="5"/>
      <c r="Q12695" s="5"/>
      <c r="R12695" s="5"/>
      <c r="S12695" s="5"/>
      <c r="T12695" s="5"/>
      <c r="U12695" s="5"/>
      <c r="V12695" s="5"/>
      <c r="W12695" s="5"/>
      <c r="X12695" s="5"/>
      <c r="Y12695" s="5"/>
      <c r="Z12695" s="5"/>
    </row>
    <row r="12696" spans="1:26" ht="15" x14ac:dyDescent="0.25">
      <c r="A12696" s="4" t="s">
        <v>12693</v>
      </c>
      <c r="B12696" s="4" t="s">
        <v>9011</v>
      </c>
      <c r="C12696" s="2" t="str">
        <f ca="1">IFERROR(__xludf.DUMMYFUNCTION("GOOGLETRANSLATE(A12696,""bn"",""en"")"),"All will come towards education")</f>
        <v>All will come towards education</v>
      </c>
      <c r="D12696" s="5"/>
      <c r="E12696" s="5"/>
      <c r="F12696" s="5"/>
      <c r="G12696" s="5"/>
      <c r="H12696" s="5"/>
      <c r="I12696" s="5"/>
      <c r="J12696" s="5"/>
      <c r="K12696" s="5"/>
      <c r="L12696" s="5"/>
      <c r="M12696" s="5"/>
      <c r="N12696" s="5"/>
      <c r="O12696" s="5"/>
      <c r="P12696" s="5"/>
      <c r="Q12696" s="5"/>
      <c r="R12696" s="5"/>
      <c r="S12696" s="5"/>
      <c r="T12696" s="5"/>
      <c r="U12696" s="5"/>
      <c r="V12696" s="5"/>
      <c r="W12696" s="5"/>
      <c r="X12696" s="5"/>
      <c r="Y12696" s="5"/>
      <c r="Z12696" s="5"/>
    </row>
    <row r="12697" spans="1:26" ht="15" x14ac:dyDescent="0.25">
      <c r="A12697" s="4" t="s">
        <v>12694</v>
      </c>
      <c r="B12697" s="4" t="s">
        <v>9011</v>
      </c>
      <c r="C12697" s="2" t="str">
        <f ca="1">IFERROR(__xludf.DUMMYFUNCTION("GOOGLETRANSLATE(A12697,""bn"",""en"")"),"The doctor will get all the information")</f>
        <v>The doctor will get all the information</v>
      </c>
      <c r="D12697" s="5"/>
      <c r="E12697" s="5"/>
      <c r="F12697" s="5"/>
      <c r="G12697" s="5"/>
      <c r="H12697" s="5"/>
      <c r="I12697" s="5"/>
      <c r="J12697" s="5"/>
      <c r="K12697" s="5"/>
      <c r="L12697" s="5"/>
      <c r="M12697" s="5"/>
      <c r="N12697" s="5"/>
      <c r="O12697" s="5"/>
      <c r="P12697" s="5"/>
      <c r="Q12697" s="5"/>
      <c r="R12697" s="5"/>
      <c r="S12697" s="5"/>
      <c r="T12697" s="5"/>
      <c r="U12697" s="5"/>
      <c r="V12697" s="5"/>
      <c r="W12697" s="5"/>
      <c r="X12697" s="5"/>
      <c r="Y12697" s="5"/>
      <c r="Z12697" s="5"/>
    </row>
    <row r="12698" spans="1:26" ht="15" x14ac:dyDescent="0.25">
      <c r="A12698" s="4" t="s">
        <v>12695</v>
      </c>
      <c r="B12698" s="4" t="s">
        <v>9011</v>
      </c>
      <c r="C12698" s="2" t="str">
        <f ca="1">IFERROR(__xludf.DUMMYFUNCTION("GOOGLETRANSLATE(A12698,""bn"",""en"")"),"He will decorate the orchard")</f>
        <v>He will decorate the orchard</v>
      </c>
      <c r="D12698" s="5"/>
      <c r="E12698" s="5"/>
      <c r="F12698" s="5"/>
      <c r="G12698" s="5"/>
      <c r="H12698" s="5"/>
      <c r="I12698" s="5"/>
      <c r="J12698" s="5"/>
      <c r="K12698" s="5"/>
      <c r="L12698" s="5"/>
      <c r="M12698" s="5"/>
      <c r="N12698" s="5"/>
      <c r="O12698" s="5"/>
      <c r="P12698" s="5"/>
      <c r="Q12698" s="5"/>
      <c r="R12698" s="5"/>
      <c r="S12698" s="5"/>
      <c r="T12698" s="5"/>
      <c r="U12698" s="5"/>
      <c r="V12698" s="5"/>
      <c r="W12698" s="5"/>
      <c r="X12698" s="5"/>
      <c r="Y12698" s="5"/>
      <c r="Z12698" s="5"/>
    </row>
    <row r="12699" spans="1:26" ht="15" x14ac:dyDescent="0.25">
      <c r="A12699" s="4" t="s">
        <v>12696</v>
      </c>
      <c r="B12699" s="4" t="s">
        <v>9011</v>
      </c>
      <c r="C12699" s="2" t="str">
        <f ca="1">IFERROR(__xludf.DUMMYFUNCTION("GOOGLETRANSLATE(A12699,""bn"",""en"")"),"It will rain a lot in the garden")</f>
        <v>It will rain a lot in the garden</v>
      </c>
      <c r="D12699" s="5"/>
      <c r="E12699" s="5"/>
      <c r="F12699" s="5"/>
      <c r="G12699" s="5"/>
      <c r="H12699" s="5"/>
      <c r="I12699" s="5"/>
      <c r="J12699" s="5"/>
      <c r="K12699" s="5"/>
      <c r="L12699" s="5"/>
      <c r="M12699" s="5"/>
      <c r="N12699" s="5"/>
      <c r="O12699" s="5"/>
      <c r="P12699" s="5"/>
      <c r="Q12699" s="5"/>
      <c r="R12699" s="5"/>
      <c r="S12699" s="5"/>
      <c r="T12699" s="5"/>
      <c r="U12699" s="5"/>
      <c r="V12699" s="5"/>
      <c r="W12699" s="5"/>
      <c r="X12699" s="5"/>
      <c r="Y12699" s="5"/>
      <c r="Z12699" s="5"/>
    </row>
    <row r="12700" spans="1:26" ht="15" x14ac:dyDescent="0.25">
      <c r="A12700" s="4" t="s">
        <v>12697</v>
      </c>
      <c r="B12700" s="4" t="s">
        <v>9011</v>
      </c>
      <c r="C12700" s="2" t="str">
        <f ca="1">IFERROR(__xludf.DUMMYFUNCTION("GOOGLETRANSLATE(A12700,""bn"",""en"")"),"He will buy new gadgets")</f>
        <v>He will buy new gadgets</v>
      </c>
      <c r="D12700" s="5"/>
      <c r="E12700" s="5"/>
      <c r="F12700" s="5"/>
      <c r="G12700" s="5"/>
      <c r="H12700" s="5"/>
      <c r="I12700" s="5"/>
      <c r="J12700" s="5"/>
      <c r="K12700" s="5"/>
      <c r="L12700" s="5"/>
      <c r="M12700" s="5"/>
      <c r="N12700" s="5"/>
      <c r="O12700" s="5"/>
      <c r="P12700" s="5"/>
      <c r="Q12700" s="5"/>
      <c r="R12700" s="5"/>
      <c r="S12700" s="5"/>
      <c r="T12700" s="5"/>
      <c r="U12700" s="5"/>
      <c r="V12700" s="5"/>
      <c r="W12700" s="5"/>
      <c r="X12700" s="5"/>
      <c r="Y12700" s="5"/>
      <c r="Z12700" s="5"/>
    </row>
    <row r="12701" spans="1:26" ht="15" x14ac:dyDescent="0.25">
      <c r="A12701" s="4" t="s">
        <v>12698</v>
      </c>
      <c r="B12701" s="4" t="s">
        <v>9011</v>
      </c>
      <c r="C12701" s="2" t="str">
        <f ca="1">IFERROR(__xludf.DUMMYFUNCTION("GOOGLETRANSLATE(A12701,""bn"",""en"")"),"Featured software will improve")</f>
        <v>Featured software will improve</v>
      </c>
      <c r="D12701" s="5"/>
      <c r="E12701" s="5"/>
      <c r="F12701" s="5"/>
      <c r="G12701" s="5"/>
      <c r="H12701" s="5"/>
      <c r="I12701" s="5"/>
      <c r="J12701" s="5"/>
      <c r="K12701" s="5"/>
      <c r="L12701" s="5"/>
      <c r="M12701" s="5"/>
      <c r="N12701" s="5"/>
      <c r="O12701" s="5"/>
      <c r="P12701" s="5"/>
      <c r="Q12701" s="5"/>
      <c r="R12701" s="5"/>
      <c r="S12701" s="5"/>
      <c r="T12701" s="5"/>
      <c r="U12701" s="5"/>
      <c r="V12701" s="5"/>
      <c r="W12701" s="5"/>
      <c r="X12701" s="5"/>
      <c r="Y12701" s="5"/>
      <c r="Z12701" s="5"/>
    </row>
    <row r="12702" spans="1:26" ht="15" x14ac:dyDescent="0.25">
      <c r="A12702" s="4" t="s">
        <v>12699</v>
      </c>
      <c r="B12702" s="4" t="s">
        <v>9011</v>
      </c>
      <c r="C12702" s="2" t="str">
        <f ca="1">IFERROR(__xludf.DUMMYFUNCTION("GOOGLETRANSLATE(A12702,""bn"",""en"")"),"Controversial markets will abound")</f>
        <v>Controversial markets will abound</v>
      </c>
      <c r="D12702" s="5"/>
      <c r="E12702" s="5"/>
      <c r="F12702" s="5"/>
      <c r="G12702" s="5"/>
      <c r="H12702" s="5"/>
      <c r="I12702" s="5"/>
      <c r="J12702" s="5"/>
      <c r="K12702" s="5"/>
      <c r="L12702" s="5"/>
      <c r="M12702" s="5"/>
      <c r="N12702" s="5"/>
      <c r="O12702" s="5"/>
      <c r="P12702" s="5"/>
      <c r="Q12702" s="5"/>
      <c r="R12702" s="5"/>
      <c r="S12702" s="5"/>
      <c r="T12702" s="5"/>
      <c r="U12702" s="5"/>
      <c r="V12702" s="5"/>
      <c r="W12702" s="5"/>
      <c r="X12702" s="5"/>
      <c r="Y12702" s="5"/>
      <c r="Z12702" s="5"/>
    </row>
    <row r="12703" spans="1:26" ht="15" x14ac:dyDescent="0.25">
      <c r="A12703" s="4" t="s">
        <v>12700</v>
      </c>
      <c r="B12703" s="4" t="s">
        <v>9011</v>
      </c>
      <c r="C12703" s="2" t="str">
        <f ca="1">IFERROR(__xludf.DUMMYFUNCTION("GOOGLETRANSLATE(A12703,""bn"",""en"")"),"We will write the popular code")</f>
        <v>We will write the popular code</v>
      </c>
      <c r="D12703" s="5"/>
      <c r="E12703" s="5"/>
      <c r="F12703" s="5"/>
      <c r="G12703" s="5"/>
      <c r="H12703" s="5"/>
      <c r="I12703" s="5"/>
      <c r="J12703" s="5"/>
      <c r="K12703" s="5"/>
      <c r="L12703" s="5"/>
      <c r="M12703" s="5"/>
      <c r="N12703" s="5"/>
      <c r="O12703" s="5"/>
      <c r="P12703" s="5"/>
      <c r="Q12703" s="5"/>
      <c r="R12703" s="5"/>
      <c r="S12703" s="5"/>
      <c r="T12703" s="5"/>
      <c r="U12703" s="5"/>
      <c r="V12703" s="5"/>
      <c r="W12703" s="5"/>
      <c r="X12703" s="5"/>
      <c r="Y12703" s="5"/>
      <c r="Z12703" s="5"/>
    </row>
    <row r="12704" spans="1:26" ht="15" x14ac:dyDescent="0.25">
      <c r="A12704" s="4" t="s">
        <v>12701</v>
      </c>
      <c r="B12704" s="4" t="s">
        <v>9011</v>
      </c>
      <c r="C12704" s="2" t="str">
        <f ca="1">IFERROR(__xludf.DUMMYFUNCTION("GOOGLETRANSLATE(A12704,""bn"",""en"")"),"They will be camping together")</f>
        <v>They will be camping together</v>
      </c>
      <c r="D12704" s="5"/>
      <c r="E12704" s="5"/>
      <c r="F12704" s="5"/>
      <c r="G12704" s="5"/>
      <c r="H12704" s="5"/>
      <c r="I12704" s="5"/>
      <c r="J12704" s="5"/>
      <c r="K12704" s="5"/>
      <c r="L12704" s="5"/>
      <c r="M12704" s="5"/>
      <c r="N12704" s="5"/>
      <c r="O12704" s="5"/>
      <c r="P12704" s="5"/>
      <c r="Q12704" s="5"/>
      <c r="R12704" s="5"/>
      <c r="S12704" s="5"/>
      <c r="T12704" s="5"/>
      <c r="U12704" s="5"/>
      <c r="V12704" s="5"/>
      <c r="W12704" s="5"/>
      <c r="X12704" s="5"/>
      <c r="Y12704" s="5"/>
      <c r="Z12704" s="5"/>
    </row>
    <row r="12705" spans="1:26" ht="15" x14ac:dyDescent="0.25">
      <c r="A12705" s="4" t="s">
        <v>12702</v>
      </c>
      <c r="B12705" s="4" t="s">
        <v>9011</v>
      </c>
      <c r="C12705" s="2" t="str">
        <f ca="1">IFERROR(__xludf.DUMMYFUNCTION("GOOGLETRANSLATE(A12705,""bn"",""en"")"),"He will take the design tablet")</f>
        <v>He will take the design tablet</v>
      </c>
      <c r="D12705" s="5"/>
      <c r="E12705" s="5"/>
      <c r="F12705" s="5"/>
      <c r="G12705" s="5"/>
      <c r="H12705" s="5"/>
      <c r="I12705" s="5"/>
      <c r="J12705" s="5"/>
      <c r="K12705" s="5"/>
      <c r="L12705" s="5"/>
      <c r="M12705" s="5"/>
      <c r="N12705" s="5"/>
      <c r="O12705" s="5"/>
      <c r="P12705" s="5"/>
      <c r="Q12705" s="5"/>
      <c r="R12705" s="5"/>
      <c r="S12705" s="5"/>
      <c r="T12705" s="5"/>
      <c r="U12705" s="5"/>
      <c r="V12705" s="5"/>
      <c r="W12705" s="5"/>
      <c r="X12705" s="5"/>
      <c r="Y12705" s="5"/>
      <c r="Z12705" s="5"/>
    </row>
    <row r="12706" spans="1:26" ht="15" x14ac:dyDescent="0.25">
      <c r="A12706" s="4" t="s">
        <v>12703</v>
      </c>
      <c r="B12706" s="4" t="s">
        <v>9011</v>
      </c>
      <c r="C12706" s="2" t="str">
        <f ca="1">IFERROR(__xludf.DUMMYFUNCTION("GOOGLETRANSLATE(A12706,""bn"",""en"")"),"Will develop on new framework")</f>
        <v>Will develop on new framework</v>
      </c>
      <c r="D12706" s="5"/>
      <c r="E12706" s="5"/>
      <c r="F12706" s="5"/>
      <c r="G12706" s="5"/>
      <c r="H12706" s="5"/>
      <c r="I12706" s="5"/>
      <c r="J12706" s="5"/>
      <c r="K12706" s="5"/>
      <c r="L12706" s="5"/>
      <c r="M12706" s="5"/>
      <c r="N12706" s="5"/>
      <c r="O12706" s="5"/>
      <c r="P12706" s="5"/>
      <c r="Q12706" s="5"/>
      <c r="R12706" s="5"/>
      <c r="S12706" s="5"/>
      <c r="T12706" s="5"/>
      <c r="U12706" s="5"/>
      <c r="V12706" s="5"/>
      <c r="W12706" s="5"/>
      <c r="X12706" s="5"/>
      <c r="Y12706" s="5"/>
      <c r="Z12706" s="5"/>
    </row>
    <row r="12707" spans="1:26" ht="15" x14ac:dyDescent="0.25">
      <c r="A12707" s="4" t="s">
        <v>12704</v>
      </c>
      <c r="B12707" s="4" t="s">
        <v>9011</v>
      </c>
      <c r="C12707" s="2" t="str">
        <f ca="1">IFERROR(__xludf.DUMMYFUNCTION("GOOGLETRANSLATE(A12707,""bn"",""en"")"),"Hospital will treat successfully")</f>
        <v>Hospital will treat successfully</v>
      </c>
      <c r="D12707" s="5"/>
      <c r="E12707" s="5"/>
      <c r="F12707" s="5"/>
      <c r="G12707" s="5"/>
      <c r="H12707" s="5"/>
      <c r="I12707" s="5"/>
      <c r="J12707" s="5"/>
      <c r="K12707" s="5"/>
      <c r="L12707" s="5"/>
      <c r="M12707" s="5"/>
      <c r="N12707" s="5"/>
      <c r="O12707" s="5"/>
      <c r="P12707" s="5"/>
      <c r="Q12707" s="5"/>
      <c r="R12707" s="5"/>
      <c r="S12707" s="5"/>
      <c r="T12707" s="5"/>
      <c r="U12707" s="5"/>
      <c r="V12707" s="5"/>
      <c r="W12707" s="5"/>
      <c r="X12707" s="5"/>
      <c r="Y12707" s="5"/>
      <c r="Z12707" s="5"/>
    </row>
    <row r="12708" spans="1:26" ht="15" x14ac:dyDescent="0.25">
      <c r="A12708" s="4" t="s">
        <v>12705</v>
      </c>
      <c r="B12708" s="4" t="s">
        <v>9011</v>
      </c>
      <c r="C12708" s="2" t="str">
        <f ca="1">IFERROR(__xludf.DUMMYFUNCTION("GOOGLETRANSLATE(A12708,""bn"",""en"")"),"Features will be upgraded tomorrow")</f>
        <v>Features will be upgraded tomorrow</v>
      </c>
      <c r="D12708" s="5"/>
      <c r="E12708" s="5"/>
      <c r="F12708" s="5"/>
      <c r="G12708" s="5"/>
      <c r="H12708" s="5"/>
      <c r="I12708" s="5"/>
      <c r="J12708" s="5"/>
      <c r="K12708" s="5"/>
      <c r="L12708" s="5"/>
      <c r="M12708" s="5"/>
      <c r="N12708" s="5"/>
      <c r="O12708" s="5"/>
      <c r="P12708" s="5"/>
      <c r="Q12708" s="5"/>
      <c r="R12708" s="5"/>
      <c r="S12708" s="5"/>
      <c r="T12708" s="5"/>
      <c r="U12708" s="5"/>
      <c r="V12708" s="5"/>
      <c r="W12708" s="5"/>
      <c r="X12708" s="5"/>
      <c r="Y12708" s="5"/>
      <c r="Z12708" s="5"/>
    </row>
    <row r="12709" spans="1:26" ht="15" x14ac:dyDescent="0.25">
      <c r="A12709" s="4" t="s">
        <v>12706</v>
      </c>
      <c r="B12709" s="4" t="s">
        <v>9011</v>
      </c>
      <c r="C12709" s="2" t="str">
        <f ca="1">IFERROR(__xludf.DUMMYFUNCTION("GOOGLETRANSLATE(A12709,""bn"",""en"")"),"We will play badminton tomorrow")</f>
        <v>We will play badminton tomorrow</v>
      </c>
      <c r="D12709" s="5"/>
      <c r="E12709" s="5"/>
      <c r="F12709" s="5"/>
      <c r="G12709" s="5"/>
      <c r="H12709" s="5"/>
      <c r="I12709" s="5"/>
      <c r="J12709" s="5"/>
      <c r="K12709" s="5"/>
      <c r="L12709" s="5"/>
      <c r="M12709" s="5"/>
      <c r="N12709" s="5"/>
      <c r="O12709" s="5"/>
      <c r="P12709" s="5"/>
      <c r="Q12709" s="5"/>
      <c r="R12709" s="5"/>
      <c r="S12709" s="5"/>
      <c r="T12709" s="5"/>
      <c r="U12709" s="5"/>
      <c r="V12709" s="5"/>
      <c r="W12709" s="5"/>
      <c r="X12709" s="5"/>
      <c r="Y12709" s="5"/>
      <c r="Z12709" s="5"/>
    </row>
    <row r="12710" spans="1:26" ht="15" x14ac:dyDescent="0.25">
      <c r="A12710" s="4" t="s">
        <v>12707</v>
      </c>
      <c r="B12710" s="4" t="s">
        <v>9011</v>
      </c>
      <c r="C12710" s="2" t="str">
        <f ca="1">IFERROR(__xludf.DUMMYFUNCTION("GOOGLETRANSLATE(A12710,""bn"",""en"")"),"I will learn machine learning")</f>
        <v>I will learn machine learning</v>
      </c>
      <c r="D12710" s="5"/>
      <c r="E12710" s="5"/>
      <c r="F12710" s="5"/>
      <c r="G12710" s="5"/>
      <c r="H12710" s="5"/>
      <c r="I12710" s="5"/>
      <c r="J12710" s="5"/>
      <c r="K12710" s="5"/>
      <c r="L12710" s="5"/>
      <c r="M12710" s="5"/>
      <c r="N12710" s="5"/>
      <c r="O12710" s="5"/>
      <c r="P12710" s="5"/>
      <c r="Q12710" s="5"/>
      <c r="R12710" s="5"/>
      <c r="S12710" s="5"/>
      <c r="T12710" s="5"/>
      <c r="U12710" s="5"/>
      <c r="V12710" s="5"/>
      <c r="W12710" s="5"/>
      <c r="X12710" s="5"/>
      <c r="Y12710" s="5"/>
      <c r="Z12710" s="5"/>
    </row>
    <row r="12711" spans="1:26" ht="15" x14ac:dyDescent="0.25">
      <c r="A12711" s="4" t="s">
        <v>12708</v>
      </c>
      <c r="B12711" s="4" t="s">
        <v>9011</v>
      </c>
      <c r="C12711" s="2" t="str">
        <f ca="1">IFERROR(__xludf.DUMMYFUNCTION("GOOGLETRANSLATE(A12711,""bn"",""en"")"),"I will learn English poetry")</f>
        <v>I will learn English poetry</v>
      </c>
      <c r="D12711" s="5"/>
      <c r="E12711" s="5"/>
      <c r="F12711" s="5"/>
      <c r="G12711" s="5"/>
      <c r="H12711" s="5"/>
      <c r="I12711" s="5"/>
      <c r="J12711" s="5"/>
      <c r="K12711" s="5"/>
      <c r="L12711" s="5"/>
      <c r="M12711" s="5"/>
      <c r="N12711" s="5"/>
      <c r="O12711" s="5"/>
      <c r="P12711" s="5"/>
      <c r="Q12711" s="5"/>
      <c r="R12711" s="5"/>
      <c r="S12711" s="5"/>
      <c r="T12711" s="5"/>
      <c r="U12711" s="5"/>
      <c r="V12711" s="5"/>
      <c r="W12711" s="5"/>
      <c r="X12711" s="5"/>
      <c r="Y12711" s="5"/>
      <c r="Z12711" s="5"/>
    </row>
    <row r="12712" spans="1:26" ht="15" x14ac:dyDescent="0.25">
      <c r="A12712" s="4" t="s">
        <v>12709</v>
      </c>
      <c r="B12712" s="4" t="s">
        <v>9011</v>
      </c>
      <c r="C12712" s="2" t="str">
        <f ca="1">IFERROR(__xludf.DUMMYFUNCTION("GOOGLETRANSLATE(A12712,""bn"",""en"")"),"The movie will release tomorrow")</f>
        <v>The movie will release tomorrow</v>
      </c>
      <c r="D12712" s="5"/>
      <c r="E12712" s="5"/>
      <c r="F12712" s="5"/>
      <c r="G12712" s="5"/>
      <c r="H12712" s="5"/>
      <c r="I12712" s="5"/>
      <c r="J12712" s="5"/>
      <c r="K12712" s="5"/>
      <c r="L12712" s="5"/>
      <c r="M12712" s="5"/>
      <c r="N12712" s="5"/>
      <c r="O12712" s="5"/>
      <c r="P12712" s="5"/>
      <c r="Q12712" s="5"/>
      <c r="R12712" s="5"/>
      <c r="S12712" s="5"/>
      <c r="T12712" s="5"/>
      <c r="U12712" s="5"/>
      <c r="V12712" s="5"/>
      <c r="W12712" s="5"/>
      <c r="X12712" s="5"/>
      <c r="Y12712" s="5"/>
      <c r="Z12712" s="5"/>
    </row>
    <row r="12713" spans="1:26" ht="15" x14ac:dyDescent="0.25">
      <c r="A12713" s="4" t="s">
        <v>12710</v>
      </c>
      <c r="B12713" s="4" t="s">
        <v>9011</v>
      </c>
      <c r="C12713" s="2" t="str">
        <f ca="1">IFERROR(__xludf.DUMMYFUNCTION("GOOGLETRANSLATE(A12713,""bn"",""en"")"),"The bank will buy shares in the holding company")</f>
        <v>The bank will buy shares in the holding company</v>
      </c>
      <c r="D12713" s="5"/>
      <c r="E12713" s="5"/>
      <c r="F12713" s="5"/>
      <c r="G12713" s="5"/>
      <c r="H12713" s="5"/>
      <c r="I12713" s="5"/>
      <c r="J12713" s="5"/>
      <c r="K12713" s="5"/>
      <c r="L12713" s="5"/>
      <c r="M12713" s="5"/>
      <c r="N12713" s="5"/>
      <c r="O12713" s="5"/>
      <c r="P12713" s="5"/>
      <c r="Q12713" s="5"/>
      <c r="R12713" s="5"/>
      <c r="S12713" s="5"/>
      <c r="T12713" s="5"/>
      <c r="U12713" s="5"/>
      <c r="V12713" s="5"/>
      <c r="W12713" s="5"/>
      <c r="X12713" s="5"/>
      <c r="Y12713" s="5"/>
      <c r="Z12713" s="5"/>
    </row>
    <row r="12714" spans="1:26" ht="15" x14ac:dyDescent="0.25">
      <c r="A12714" s="4" t="s">
        <v>12711</v>
      </c>
      <c r="B12714" s="4" t="s">
        <v>9011</v>
      </c>
      <c r="C12714" s="2" t="str">
        <f ca="1">IFERROR(__xludf.DUMMYFUNCTION("GOOGLETRANSLATE(A12714,""bn"",""en"")"),"Research data will be collected")</f>
        <v>Research data will be collected</v>
      </c>
      <c r="D12714" s="5"/>
      <c r="E12714" s="5"/>
      <c r="F12714" s="5"/>
      <c r="G12714" s="5"/>
      <c r="H12714" s="5"/>
      <c r="I12714" s="5"/>
      <c r="J12714" s="5"/>
      <c r="K12714" s="5"/>
      <c r="L12714" s="5"/>
      <c r="M12714" s="5"/>
      <c r="N12714" s="5"/>
      <c r="O12714" s="5"/>
      <c r="P12714" s="5"/>
      <c r="Q12714" s="5"/>
      <c r="R12714" s="5"/>
      <c r="S12714" s="5"/>
      <c r="T12714" s="5"/>
      <c r="U12714" s="5"/>
      <c r="V12714" s="5"/>
      <c r="W12714" s="5"/>
      <c r="X12714" s="5"/>
      <c r="Y12714" s="5"/>
      <c r="Z12714" s="5"/>
    </row>
    <row r="12715" spans="1:26" ht="15" x14ac:dyDescent="0.25">
      <c r="A12715" s="4" t="s">
        <v>12712</v>
      </c>
      <c r="B12715" s="4" t="s">
        <v>9011</v>
      </c>
      <c r="C12715" s="2" t="str">
        <f ca="1">IFERROR(__xludf.DUMMYFUNCTION("GOOGLETRANSLATE(A12715,""bn"",""en"")"),"Google will update daily")</f>
        <v>Google will update daily</v>
      </c>
      <c r="D12715" s="5"/>
      <c r="E12715" s="5"/>
      <c r="F12715" s="5"/>
      <c r="G12715" s="5"/>
      <c r="H12715" s="5"/>
      <c r="I12715" s="5"/>
      <c r="J12715" s="5"/>
      <c r="K12715" s="5"/>
      <c r="L12715" s="5"/>
      <c r="M12715" s="5"/>
      <c r="N12715" s="5"/>
      <c r="O12715" s="5"/>
      <c r="P12715" s="5"/>
      <c r="Q12715" s="5"/>
      <c r="R12715" s="5"/>
      <c r="S12715" s="5"/>
      <c r="T12715" s="5"/>
      <c r="U12715" s="5"/>
      <c r="V12715" s="5"/>
      <c r="W12715" s="5"/>
      <c r="X12715" s="5"/>
      <c r="Y12715" s="5"/>
      <c r="Z12715" s="5"/>
    </row>
    <row r="12716" spans="1:26" ht="15" x14ac:dyDescent="0.25">
      <c r="A12716" s="4" t="s">
        <v>12713</v>
      </c>
      <c r="B12716" s="4" t="s">
        <v>9011</v>
      </c>
      <c r="C12716" s="2" t="str">
        <f ca="1">IFERROR(__xludf.DUMMYFUNCTION("GOOGLETRANSLATE(A12716,""bn"",""en"")"),"The patient will receive proper treatment")</f>
        <v>The patient will receive proper treatment</v>
      </c>
      <c r="D12716" s="5"/>
      <c r="E12716" s="5"/>
      <c r="F12716" s="5"/>
      <c r="G12716" s="5"/>
      <c r="H12716" s="5"/>
      <c r="I12716" s="5"/>
      <c r="J12716" s="5"/>
      <c r="K12716" s="5"/>
      <c r="L12716" s="5"/>
      <c r="M12716" s="5"/>
      <c r="N12716" s="5"/>
      <c r="O12716" s="5"/>
      <c r="P12716" s="5"/>
      <c r="Q12716" s="5"/>
      <c r="R12716" s="5"/>
      <c r="S12716" s="5"/>
      <c r="T12716" s="5"/>
      <c r="U12716" s="5"/>
      <c r="V12716" s="5"/>
      <c r="W12716" s="5"/>
      <c r="X12716" s="5"/>
      <c r="Y12716" s="5"/>
      <c r="Z12716" s="5"/>
    </row>
    <row r="12717" spans="1:26" ht="15" x14ac:dyDescent="0.25">
      <c r="A12717" s="4" t="s">
        <v>12714</v>
      </c>
      <c r="B12717" s="4" t="s">
        <v>9011</v>
      </c>
      <c r="C12717" s="2" t="str">
        <f ca="1">IFERROR(__xludf.DUMMYFUNCTION("GOOGLETRANSLATE(A12717,""bn"",""en"")"),"I will buy English books")</f>
        <v>I will buy English books</v>
      </c>
      <c r="D12717" s="5"/>
      <c r="E12717" s="5"/>
      <c r="F12717" s="5"/>
      <c r="G12717" s="5"/>
      <c r="H12717" s="5"/>
      <c r="I12717" s="5"/>
      <c r="J12717" s="5"/>
      <c r="K12717" s="5"/>
      <c r="L12717" s="5"/>
      <c r="M12717" s="5"/>
      <c r="N12717" s="5"/>
      <c r="O12717" s="5"/>
      <c r="P12717" s="5"/>
      <c r="Q12717" s="5"/>
      <c r="R12717" s="5"/>
      <c r="S12717" s="5"/>
      <c r="T12717" s="5"/>
      <c r="U12717" s="5"/>
      <c r="V12717" s="5"/>
      <c r="W12717" s="5"/>
      <c r="X12717" s="5"/>
      <c r="Y12717" s="5"/>
      <c r="Z12717" s="5"/>
    </row>
    <row r="12718" spans="1:26" ht="15" x14ac:dyDescent="0.25">
      <c r="A12718" s="4" t="s">
        <v>12715</v>
      </c>
      <c r="B12718" s="4" t="s">
        <v>9011</v>
      </c>
      <c r="C12718" s="2" t="str">
        <f ca="1">IFERROR(__xludf.DUMMYFUNCTION("GOOGLETRANSLATE(A12718,""bn"",""en"")"),"Go to the destination by looking at the map")</f>
        <v>Go to the destination by looking at the map</v>
      </c>
      <c r="D12718" s="5"/>
      <c r="E12718" s="5"/>
      <c r="F12718" s="5"/>
      <c r="G12718" s="5"/>
      <c r="H12718" s="5"/>
      <c r="I12718" s="5"/>
      <c r="J12718" s="5"/>
      <c r="K12718" s="5"/>
      <c r="L12718" s="5"/>
      <c r="M12718" s="5"/>
      <c r="N12718" s="5"/>
      <c r="O12718" s="5"/>
      <c r="P12718" s="5"/>
      <c r="Q12718" s="5"/>
      <c r="R12718" s="5"/>
      <c r="S12718" s="5"/>
      <c r="T12718" s="5"/>
      <c r="U12718" s="5"/>
      <c r="V12718" s="5"/>
      <c r="W12718" s="5"/>
      <c r="X12718" s="5"/>
      <c r="Y12718" s="5"/>
      <c r="Z12718" s="5"/>
    </row>
    <row r="12719" spans="1:26" ht="15" x14ac:dyDescent="0.25">
      <c r="A12719" s="4" t="s">
        <v>12716</v>
      </c>
      <c r="B12719" s="4" t="s">
        <v>9011</v>
      </c>
      <c r="C12719" s="2" t="str">
        <f ca="1">IFERROR(__xludf.DUMMYFUNCTION("GOOGLETRANSLATE(A12719,""bn"",""en"")"),"Enemy leadership will be key")</f>
        <v>Enemy leadership will be key</v>
      </c>
      <c r="D12719" s="5"/>
      <c r="E12719" s="5"/>
      <c r="F12719" s="5"/>
      <c r="G12719" s="5"/>
      <c r="H12719" s="5"/>
      <c r="I12719" s="5"/>
      <c r="J12719" s="5"/>
      <c r="K12719" s="5"/>
      <c r="L12719" s="5"/>
      <c r="M12719" s="5"/>
      <c r="N12719" s="5"/>
      <c r="O12719" s="5"/>
      <c r="P12719" s="5"/>
      <c r="Q12719" s="5"/>
      <c r="R12719" s="5"/>
      <c r="S12719" s="5"/>
      <c r="T12719" s="5"/>
      <c r="U12719" s="5"/>
      <c r="V12719" s="5"/>
      <c r="W12719" s="5"/>
      <c r="X12719" s="5"/>
      <c r="Y12719" s="5"/>
      <c r="Z12719" s="5"/>
    </row>
    <row r="12720" spans="1:26" ht="15" x14ac:dyDescent="0.25">
      <c r="A12720" s="4" t="s">
        <v>12717</v>
      </c>
      <c r="B12720" s="4" t="s">
        <v>9011</v>
      </c>
      <c r="C12720" s="2" t="str">
        <f ca="1">IFERROR(__xludf.DUMMYFUNCTION("GOOGLETRANSLATE(A12720,""bn"",""en"")"),"Fruit will be after rain")</f>
        <v>Fruit will be after rain</v>
      </c>
      <c r="D12720" s="5"/>
      <c r="E12720" s="5"/>
      <c r="F12720" s="5"/>
      <c r="G12720" s="5"/>
      <c r="H12720" s="5"/>
      <c r="I12720" s="5"/>
      <c r="J12720" s="5"/>
      <c r="K12720" s="5"/>
      <c r="L12720" s="5"/>
      <c r="M12720" s="5"/>
      <c r="N12720" s="5"/>
      <c r="O12720" s="5"/>
      <c r="P12720" s="5"/>
      <c r="Q12720" s="5"/>
      <c r="R12720" s="5"/>
      <c r="S12720" s="5"/>
      <c r="T12720" s="5"/>
      <c r="U12720" s="5"/>
      <c r="V12720" s="5"/>
      <c r="W12720" s="5"/>
      <c r="X12720" s="5"/>
      <c r="Y12720" s="5"/>
      <c r="Z12720" s="5"/>
    </row>
    <row r="12721" spans="1:26" ht="15" x14ac:dyDescent="0.25">
      <c r="A12721" s="4" t="s">
        <v>12718</v>
      </c>
      <c r="B12721" s="4" t="s">
        <v>9011</v>
      </c>
      <c r="C12721" s="2" t="str">
        <f ca="1">IFERROR(__xludf.DUMMYFUNCTION("GOOGLETRANSLATE(A12721,""bn"",""en"")"),"I will decorate the table with flowers")</f>
        <v>I will decorate the table with flowers</v>
      </c>
      <c r="D12721" s="5"/>
      <c r="E12721" s="5"/>
      <c r="F12721" s="5"/>
      <c r="G12721" s="5"/>
      <c r="H12721" s="5"/>
      <c r="I12721" s="5"/>
      <c r="J12721" s="5"/>
      <c r="K12721" s="5"/>
      <c r="L12721" s="5"/>
      <c r="M12721" s="5"/>
      <c r="N12721" s="5"/>
      <c r="O12721" s="5"/>
      <c r="P12721" s="5"/>
      <c r="Q12721" s="5"/>
      <c r="R12721" s="5"/>
      <c r="S12721" s="5"/>
      <c r="T12721" s="5"/>
      <c r="U12721" s="5"/>
      <c r="V12721" s="5"/>
      <c r="W12721" s="5"/>
      <c r="X12721" s="5"/>
      <c r="Y12721" s="5"/>
      <c r="Z12721" s="5"/>
    </row>
    <row r="12722" spans="1:26" ht="15" x14ac:dyDescent="0.25">
      <c r="A12722" s="4" t="s">
        <v>12719</v>
      </c>
      <c r="B12722" s="4" t="s">
        <v>9011</v>
      </c>
      <c r="C12722" s="2" t="str">
        <f ca="1">IFERROR(__xludf.DUMMYFUNCTION("GOOGLETRANSLATE(A12722,""bn"",""en"")"),"There will be continuous increase in the budget")</f>
        <v>There will be continuous increase in the budget</v>
      </c>
      <c r="D12722" s="5"/>
      <c r="E12722" s="5"/>
      <c r="F12722" s="5"/>
      <c r="G12722" s="5"/>
      <c r="H12722" s="5"/>
      <c r="I12722" s="5"/>
      <c r="J12722" s="5"/>
      <c r="K12722" s="5"/>
      <c r="L12722" s="5"/>
      <c r="M12722" s="5"/>
      <c r="N12722" s="5"/>
      <c r="O12722" s="5"/>
      <c r="P12722" s="5"/>
      <c r="Q12722" s="5"/>
      <c r="R12722" s="5"/>
      <c r="S12722" s="5"/>
      <c r="T12722" s="5"/>
      <c r="U12722" s="5"/>
      <c r="V12722" s="5"/>
      <c r="W12722" s="5"/>
      <c r="X12722" s="5"/>
      <c r="Y12722" s="5"/>
      <c r="Z12722" s="5"/>
    </row>
    <row r="12723" spans="1:26" ht="15" x14ac:dyDescent="0.25">
      <c r="A12723" s="4" t="s">
        <v>12720</v>
      </c>
      <c r="B12723" s="4" t="s">
        <v>9011</v>
      </c>
      <c r="C12723" s="2" t="str">
        <f ca="1">IFERROR(__xludf.DUMMYFUNCTION("GOOGLETRANSLATE(A12723,""bn"",""en"")"),"Cyber ​​security will be enhanced")</f>
        <v>Cyber ​​security will be enhanced</v>
      </c>
      <c r="D12723" s="5"/>
      <c r="E12723" s="5"/>
      <c r="F12723" s="5"/>
      <c r="G12723" s="5"/>
      <c r="H12723" s="5"/>
      <c r="I12723" s="5"/>
      <c r="J12723" s="5"/>
      <c r="K12723" s="5"/>
      <c r="L12723" s="5"/>
      <c r="M12723" s="5"/>
      <c r="N12723" s="5"/>
      <c r="O12723" s="5"/>
      <c r="P12723" s="5"/>
      <c r="Q12723" s="5"/>
      <c r="R12723" s="5"/>
      <c r="S12723" s="5"/>
      <c r="T12723" s="5"/>
      <c r="U12723" s="5"/>
      <c r="V12723" s="5"/>
      <c r="W12723" s="5"/>
      <c r="X12723" s="5"/>
      <c r="Y12723" s="5"/>
      <c r="Z12723" s="5"/>
    </row>
    <row r="12724" spans="1:26" ht="15" x14ac:dyDescent="0.25">
      <c r="A12724" s="4" t="s">
        <v>12721</v>
      </c>
      <c r="B12724" s="4" t="s">
        <v>9011</v>
      </c>
      <c r="C12724" s="2" t="str">
        <f ca="1">IFERROR(__xludf.DUMMYFUNCTION("GOOGLETRANSLATE(A12724,""bn"",""en"")"),"Cold emotions will kill everything")</f>
        <v>Cold emotions will kill everything</v>
      </c>
      <c r="D12724" s="5"/>
      <c r="E12724" s="5"/>
      <c r="F12724" s="5"/>
      <c r="G12724" s="5"/>
      <c r="H12724" s="5"/>
      <c r="I12724" s="5"/>
      <c r="J12724" s="5"/>
      <c r="K12724" s="5"/>
      <c r="L12724" s="5"/>
      <c r="M12724" s="5"/>
      <c r="N12724" s="5"/>
      <c r="O12724" s="5"/>
      <c r="P12724" s="5"/>
      <c r="Q12724" s="5"/>
      <c r="R12724" s="5"/>
      <c r="S12724" s="5"/>
      <c r="T12724" s="5"/>
      <c r="U12724" s="5"/>
      <c r="V12724" s="5"/>
      <c r="W12724" s="5"/>
      <c r="X12724" s="5"/>
      <c r="Y12724" s="5"/>
      <c r="Z12724" s="5"/>
    </row>
    <row r="12725" spans="1:26" ht="15" x14ac:dyDescent="0.25">
      <c r="A12725" s="4" t="s">
        <v>12722</v>
      </c>
      <c r="B12725" s="4" t="s">
        <v>9011</v>
      </c>
      <c r="C12725" s="2" t="str">
        <f ca="1">IFERROR(__xludf.DUMMYFUNCTION("GOOGLETRANSLATE(A12725,""bn"",""en"")"),"Doctor will give proper instructions")</f>
        <v>Doctor will give proper instructions</v>
      </c>
      <c r="D12725" s="5"/>
      <c r="E12725" s="5"/>
      <c r="F12725" s="5"/>
      <c r="G12725" s="5"/>
      <c r="H12725" s="5"/>
      <c r="I12725" s="5"/>
      <c r="J12725" s="5"/>
      <c r="K12725" s="5"/>
      <c r="L12725" s="5"/>
      <c r="M12725" s="5"/>
      <c r="N12725" s="5"/>
      <c r="O12725" s="5"/>
      <c r="P12725" s="5"/>
      <c r="Q12725" s="5"/>
      <c r="R12725" s="5"/>
      <c r="S12725" s="5"/>
      <c r="T12725" s="5"/>
      <c r="U12725" s="5"/>
      <c r="V12725" s="5"/>
      <c r="W12725" s="5"/>
      <c r="X12725" s="5"/>
      <c r="Y12725" s="5"/>
      <c r="Z12725" s="5"/>
    </row>
    <row r="12726" spans="1:26" ht="15" x14ac:dyDescent="0.25">
      <c r="A12726" s="4" t="s">
        <v>12723</v>
      </c>
      <c r="B12726" s="4" t="s">
        <v>9011</v>
      </c>
      <c r="C12726" s="2" t="str">
        <f ca="1">IFERROR(__xludf.DUMMYFUNCTION("GOOGLETRANSLATE(A12726,""bn"",""en"")"),"Everything can be done with coding")</f>
        <v>Everything can be done with coding</v>
      </c>
      <c r="D12726" s="5"/>
      <c r="E12726" s="5"/>
      <c r="F12726" s="5"/>
      <c r="G12726" s="5"/>
      <c r="H12726" s="5"/>
      <c r="I12726" s="5"/>
      <c r="J12726" s="5"/>
      <c r="K12726" s="5"/>
      <c r="L12726" s="5"/>
      <c r="M12726" s="5"/>
      <c r="N12726" s="5"/>
      <c r="O12726" s="5"/>
      <c r="P12726" s="5"/>
      <c r="Q12726" s="5"/>
      <c r="R12726" s="5"/>
      <c r="S12726" s="5"/>
      <c r="T12726" s="5"/>
      <c r="U12726" s="5"/>
      <c r="V12726" s="5"/>
      <c r="W12726" s="5"/>
      <c r="X12726" s="5"/>
      <c r="Y12726" s="5"/>
      <c r="Z12726" s="5"/>
    </row>
    <row r="12727" spans="1:26" ht="15" x14ac:dyDescent="0.25">
      <c r="A12727" s="4" t="s">
        <v>12724</v>
      </c>
      <c r="B12727" s="4" t="s">
        <v>9011</v>
      </c>
      <c r="C12727" s="2" t="str">
        <f ca="1">IFERROR(__xludf.DUMMYFUNCTION("GOOGLETRANSLATE(A12727,""bn"",""en"")"),"I will start a new collaboration")</f>
        <v>I will start a new collaboration</v>
      </c>
      <c r="D12727" s="5"/>
      <c r="E12727" s="5"/>
      <c r="F12727" s="5"/>
      <c r="G12727" s="5"/>
      <c r="H12727" s="5"/>
      <c r="I12727" s="5"/>
      <c r="J12727" s="5"/>
      <c r="K12727" s="5"/>
      <c r="L12727" s="5"/>
      <c r="M12727" s="5"/>
      <c r="N12727" s="5"/>
      <c r="O12727" s="5"/>
      <c r="P12727" s="5"/>
      <c r="Q12727" s="5"/>
      <c r="R12727" s="5"/>
      <c r="S12727" s="5"/>
      <c r="T12727" s="5"/>
      <c r="U12727" s="5"/>
      <c r="V12727" s="5"/>
      <c r="W12727" s="5"/>
      <c r="X12727" s="5"/>
      <c r="Y12727" s="5"/>
      <c r="Z12727" s="5"/>
    </row>
    <row r="12728" spans="1:26" ht="15" x14ac:dyDescent="0.25">
      <c r="A12728" s="4" t="s">
        <v>12725</v>
      </c>
      <c r="B12728" s="4" t="s">
        <v>9011</v>
      </c>
      <c r="C12728" s="2" t="str">
        <f ca="1">IFERROR(__xludf.DUMMYFUNCTION("GOOGLETRANSLATE(A12728,""bn"",""en"")"),"Samsung will be a big company")</f>
        <v>Samsung will be a big company</v>
      </c>
      <c r="D12728" s="5"/>
      <c r="E12728" s="5"/>
      <c r="F12728" s="5"/>
      <c r="G12728" s="5"/>
      <c r="H12728" s="5"/>
      <c r="I12728" s="5"/>
      <c r="J12728" s="5"/>
      <c r="K12728" s="5"/>
      <c r="L12728" s="5"/>
      <c r="M12728" s="5"/>
      <c r="N12728" s="5"/>
      <c r="O12728" s="5"/>
      <c r="P12728" s="5"/>
      <c r="Q12728" s="5"/>
      <c r="R12728" s="5"/>
      <c r="S12728" s="5"/>
      <c r="T12728" s="5"/>
      <c r="U12728" s="5"/>
      <c r="V12728" s="5"/>
      <c r="W12728" s="5"/>
      <c r="X12728" s="5"/>
      <c r="Y12728" s="5"/>
      <c r="Z12728" s="5"/>
    </row>
    <row r="12729" spans="1:26" ht="15" x14ac:dyDescent="0.25">
      <c r="A12729" s="4" t="s">
        <v>12726</v>
      </c>
      <c r="B12729" s="4" t="s">
        <v>9011</v>
      </c>
      <c r="C12729" s="2" t="str">
        <f ca="1">IFERROR(__xludf.DUMMYFUNCTION("GOOGLETRANSLATE(A12729,""bn"",""en"")"),"Technology will improve tremendously")</f>
        <v>Technology will improve tremendously</v>
      </c>
      <c r="D12729" s="5"/>
      <c r="E12729" s="5"/>
      <c r="F12729" s="5"/>
      <c r="G12729" s="5"/>
      <c r="H12729" s="5"/>
      <c r="I12729" s="5"/>
      <c r="J12729" s="5"/>
      <c r="K12729" s="5"/>
      <c r="L12729" s="5"/>
      <c r="M12729" s="5"/>
      <c r="N12729" s="5"/>
      <c r="O12729" s="5"/>
      <c r="P12729" s="5"/>
      <c r="Q12729" s="5"/>
      <c r="R12729" s="5"/>
      <c r="S12729" s="5"/>
      <c r="T12729" s="5"/>
      <c r="U12729" s="5"/>
      <c r="V12729" s="5"/>
      <c r="W12729" s="5"/>
      <c r="X12729" s="5"/>
      <c r="Y12729" s="5"/>
      <c r="Z12729" s="5"/>
    </row>
    <row r="12730" spans="1:26" ht="15" x14ac:dyDescent="0.25">
      <c r="A12730" s="4" t="s">
        <v>12727</v>
      </c>
      <c r="B12730" s="4" t="s">
        <v>9011</v>
      </c>
      <c r="C12730" s="2" t="str">
        <f ca="1">IFERROR(__xludf.DUMMYFUNCTION("GOOGLETRANSLATE(A12730,""bn"",""en"")"),"Commercial sector will improve")</f>
        <v>Commercial sector will improve</v>
      </c>
      <c r="D12730" s="5"/>
      <c r="E12730" s="5"/>
      <c r="F12730" s="5"/>
      <c r="G12730" s="5"/>
      <c r="H12730" s="5"/>
      <c r="I12730" s="5"/>
      <c r="J12730" s="5"/>
      <c r="K12730" s="5"/>
      <c r="L12730" s="5"/>
      <c r="M12730" s="5"/>
      <c r="N12730" s="5"/>
      <c r="O12730" s="5"/>
      <c r="P12730" s="5"/>
      <c r="Q12730" s="5"/>
      <c r="R12730" s="5"/>
      <c r="S12730" s="5"/>
      <c r="T12730" s="5"/>
      <c r="U12730" s="5"/>
      <c r="V12730" s="5"/>
      <c r="W12730" s="5"/>
      <c r="X12730" s="5"/>
      <c r="Y12730" s="5"/>
      <c r="Z12730" s="5"/>
    </row>
    <row r="12731" spans="1:26" ht="15" x14ac:dyDescent="0.25">
      <c r="A12731" s="4" t="s">
        <v>12728</v>
      </c>
      <c r="B12731" s="4" t="s">
        <v>9011</v>
      </c>
      <c r="C12731" s="2" t="str">
        <f ca="1">IFERROR(__xludf.DUMMYFUNCTION("GOOGLETRANSLATE(A12731,""bn"",""en"")"),"We will support the World Cup")</f>
        <v>We will support the World Cup</v>
      </c>
      <c r="D12731" s="5"/>
      <c r="E12731" s="5"/>
      <c r="F12731" s="5"/>
      <c r="G12731" s="5"/>
      <c r="H12731" s="5"/>
      <c r="I12731" s="5"/>
      <c r="J12731" s="5"/>
      <c r="K12731" s="5"/>
      <c r="L12731" s="5"/>
      <c r="M12731" s="5"/>
      <c r="N12731" s="5"/>
      <c r="O12731" s="5"/>
      <c r="P12731" s="5"/>
      <c r="Q12731" s="5"/>
      <c r="R12731" s="5"/>
      <c r="S12731" s="5"/>
      <c r="T12731" s="5"/>
      <c r="U12731" s="5"/>
      <c r="V12731" s="5"/>
      <c r="W12731" s="5"/>
      <c r="X12731" s="5"/>
      <c r="Y12731" s="5"/>
      <c r="Z12731" s="5"/>
    </row>
    <row r="12732" spans="1:26" ht="15" x14ac:dyDescent="0.25">
      <c r="A12732" s="4" t="s">
        <v>12729</v>
      </c>
      <c r="B12732" s="4" t="s">
        <v>9011</v>
      </c>
      <c r="C12732" s="2" t="str">
        <f ca="1">IFERROR(__xludf.DUMMYFUNCTION("GOOGLETRANSLATE(A12732,""bn"",""en"")"),"Improve our service")</f>
        <v>Improve our service</v>
      </c>
      <c r="D12732" s="5"/>
      <c r="E12732" s="5"/>
      <c r="F12732" s="5"/>
      <c r="G12732" s="5"/>
      <c r="H12732" s="5"/>
      <c r="I12732" s="5"/>
      <c r="J12732" s="5"/>
      <c r="K12732" s="5"/>
      <c r="L12732" s="5"/>
      <c r="M12732" s="5"/>
      <c r="N12732" s="5"/>
      <c r="O12732" s="5"/>
      <c r="P12732" s="5"/>
      <c r="Q12732" s="5"/>
      <c r="R12732" s="5"/>
      <c r="S12732" s="5"/>
      <c r="T12732" s="5"/>
      <c r="U12732" s="5"/>
      <c r="V12732" s="5"/>
      <c r="W12732" s="5"/>
      <c r="X12732" s="5"/>
      <c r="Y12732" s="5"/>
      <c r="Z12732" s="5"/>
    </row>
    <row r="12733" spans="1:26" ht="15" x14ac:dyDescent="0.25">
      <c r="A12733" s="4" t="s">
        <v>12730</v>
      </c>
      <c r="B12733" s="4" t="s">
        <v>9011</v>
      </c>
      <c r="C12733" s="2" t="str">
        <f ca="1">IFERROR(__xludf.DUMMYFUNCTION("GOOGLETRANSLATE(A12733,""bn"",""en"")"),"The sailor will leave the boat in the sea")</f>
        <v>The sailor will leave the boat in the sea</v>
      </c>
      <c r="D12733" s="5"/>
      <c r="E12733" s="5"/>
      <c r="F12733" s="5"/>
      <c r="G12733" s="5"/>
      <c r="H12733" s="5"/>
      <c r="I12733" s="5"/>
      <c r="J12733" s="5"/>
      <c r="K12733" s="5"/>
      <c r="L12733" s="5"/>
      <c r="M12733" s="5"/>
      <c r="N12733" s="5"/>
      <c r="O12733" s="5"/>
      <c r="P12733" s="5"/>
      <c r="Q12733" s="5"/>
      <c r="R12733" s="5"/>
      <c r="S12733" s="5"/>
      <c r="T12733" s="5"/>
      <c r="U12733" s="5"/>
      <c r="V12733" s="5"/>
      <c r="W12733" s="5"/>
      <c r="X12733" s="5"/>
      <c r="Y12733" s="5"/>
      <c r="Z12733" s="5"/>
    </row>
    <row r="12734" spans="1:26" ht="15" x14ac:dyDescent="0.25">
      <c r="A12734" s="4" t="s">
        <v>12731</v>
      </c>
      <c r="B12734" s="4" t="s">
        <v>9011</v>
      </c>
      <c r="C12734" s="2" t="str">
        <f ca="1">IFERROR(__xludf.DUMMYFUNCTION("GOOGLETRANSLATE(A12734,""bn"",""en"")"),"The President will train the countrymen")</f>
        <v>The President will train the countrymen</v>
      </c>
      <c r="D12734" s="5"/>
      <c r="E12734" s="5"/>
      <c r="F12734" s="5"/>
      <c r="G12734" s="5"/>
      <c r="H12734" s="5"/>
      <c r="I12734" s="5"/>
      <c r="J12734" s="5"/>
      <c r="K12734" s="5"/>
      <c r="L12734" s="5"/>
      <c r="M12734" s="5"/>
      <c r="N12734" s="5"/>
      <c r="O12734" s="5"/>
      <c r="P12734" s="5"/>
      <c r="Q12734" s="5"/>
      <c r="R12734" s="5"/>
      <c r="S12734" s="5"/>
      <c r="T12734" s="5"/>
      <c r="U12734" s="5"/>
      <c r="V12734" s="5"/>
      <c r="W12734" s="5"/>
      <c r="X12734" s="5"/>
      <c r="Y12734" s="5"/>
      <c r="Z12734" s="5"/>
    </row>
    <row r="12735" spans="1:26" ht="15" x14ac:dyDescent="0.25">
      <c r="A12735" s="4" t="s">
        <v>12732</v>
      </c>
      <c r="B12735" s="4" t="s">
        <v>9011</v>
      </c>
      <c r="C12735" s="2" t="str">
        <f ca="1">IFERROR(__xludf.DUMMYFUNCTION("GOOGLETRANSLATE(A12735,""bn"",""en"")"),"You will watch the World Cup tomorrow")</f>
        <v>You will watch the World Cup tomorrow</v>
      </c>
      <c r="D12735" s="5"/>
      <c r="E12735" s="5"/>
      <c r="F12735" s="5"/>
      <c r="G12735" s="5"/>
      <c r="H12735" s="5"/>
      <c r="I12735" s="5"/>
      <c r="J12735" s="5"/>
      <c r="K12735" s="5"/>
      <c r="L12735" s="5"/>
      <c r="M12735" s="5"/>
      <c r="N12735" s="5"/>
      <c r="O12735" s="5"/>
      <c r="P12735" s="5"/>
      <c r="Q12735" s="5"/>
      <c r="R12735" s="5"/>
      <c r="S12735" s="5"/>
      <c r="T12735" s="5"/>
      <c r="U12735" s="5"/>
      <c r="V12735" s="5"/>
      <c r="W12735" s="5"/>
      <c r="X12735" s="5"/>
      <c r="Y12735" s="5"/>
      <c r="Z12735" s="5"/>
    </row>
    <row r="12736" spans="1:26" ht="15" x14ac:dyDescent="0.25">
      <c r="A12736" s="4" t="s">
        <v>12733</v>
      </c>
      <c r="B12736" s="4" t="s">
        <v>9011</v>
      </c>
      <c r="C12736" s="2" t="str">
        <f ca="1">IFERROR(__xludf.DUMMYFUNCTION("GOOGLETRANSLATE(A12736,""bn"",""en"")"),"He will cook Bengali")</f>
        <v>He will cook Bengali</v>
      </c>
      <c r="D12736" s="5"/>
      <c r="E12736" s="5"/>
      <c r="F12736" s="5"/>
      <c r="G12736" s="5"/>
      <c r="H12736" s="5"/>
      <c r="I12736" s="5"/>
      <c r="J12736" s="5"/>
      <c r="K12736" s="5"/>
      <c r="L12736" s="5"/>
      <c r="M12736" s="5"/>
      <c r="N12736" s="5"/>
      <c r="O12736" s="5"/>
      <c r="P12736" s="5"/>
      <c r="Q12736" s="5"/>
      <c r="R12736" s="5"/>
      <c r="S12736" s="5"/>
      <c r="T12736" s="5"/>
      <c r="U12736" s="5"/>
      <c r="V12736" s="5"/>
      <c r="W12736" s="5"/>
      <c r="X12736" s="5"/>
      <c r="Y12736" s="5"/>
      <c r="Z12736" s="5"/>
    </row>
    <row r="12737" spans="1:26" ht="15" x14ac:dyDescent="0.25">
      <c r="A12737" s="4" t="s">
        <v>12734</v>
      </c>
      <c r="B12737" s="4" t="s">
        <v>9011</v>
      </c>
      <c r="C12737" s="2" t="str">
        <f ca="1">IFERROR(__xludf.DUMMYFUNCTION("GOOGLETRANSLATE(A12737,""bn"",""en"")"),"New medicines will be invented")</f>
        <v>New medicines will be invented</v>
      </c>
      <c r="D12737" s="5"/>
      <c r="E12737" s="5"/>
      <c r="F12737" s="5"/>
      <c r="G12737" s="5"/>
      <c r="H12737" s="5"/>
      <c r="I12737" s="5"/>
      <c r="J12737" s="5"/>
      <c r="K12737" s="5"/>
      <c r="L12737" s="5"/>
      <c r="M12737" s="5"/>
      <c r="N12737" s="5"/>
      <c r="O12737" s="5"/>
      <c r="P12737" s="5"/>
      <c r="Q12737" s="5"/>
      <c r="R12737" s="5"/>
      <c r="S12737" s="5"/>
      <c r="T12737" s="5"/>
      <c r="U12737" s="5"/>
      <c r="V12737" s="5"/>
      <c r="W12737" s="5"/>
      <c r="X12737" s="5"/>
      <c r="Y12737" s="5"/>
      <c r="Z12737" s="5"/>
    </row>
    <row r="12738" spans="1:26" ht="15" x14ac:dyDescent="0.25">
      <c r="A12738" s="4" t="s">
        <v>12735</v>
      </c>
      <c r="B12738" s="4" t="s">
        <v>9011</v>
      </c>
      <c r="C12738" s="2" t="str">
        <f ca="1">IFERROR(__xludf.DUMMYFUNCTION("GOOGLETRANSLATE(A12738,""bn"",""en"")"),"I will prepare to eat at the restaurant")</f>
        <v>I will prepare to eat at the restaurant</v>
      </c>
      <c r="D12738" s="5"/>
      <c r="E12738" s="5"/>
      <c r="F12738" s="5"/>
      <c r="G12738" s="5"/>
      <c r="H12738" s="5"/>
      <c r="I12738" s="5"/>
      <c r="J12738" s="5"/>
      <c r="K12738" s="5"/>
      <c r="L12738" s="5"/>
      <c r="M12738" s="5"/>
      <c r="N12738" s="5"/>
      <c r="O12738" s="5"/>
      <c r="P12738" s="5"/>
      <c r="Q12738" s="5"/>
      <c r="R12738" s="5"/>
      <c r="S12738" s="5"/>
      <c r="T12738" s="5"/>
      <c r="U12738" s="5"/>
      <c r="V12738" s="5"/>
      <c r="W12738" s="5"/>
      <c r="X12738" s="5"/>
      <c r="Y12738" s="5"/>
      <c r="Z12738" s="5"/>
    </row>
    <row r="12739" spans="1:26" ht="15" x14ac:dyDescent="0.25">
      <c r="A12739" s="4" t="s">
        <v>12736</v>
      </c>
      <c r="B12739" s="4" t="s">
        <v>9011</v>
      </c>
      <c r="C12739" s="2" t="str">
        <f ca="1">IFERROR(__xludf.DUMMYFUNCTION("GOOGLETRANSLATE(A12739,""bn"",""en"")"),"I will take swimming training")</f>
        <v>I will take swimming training</v>
      </c>
      <c r="D12739" s="5"/>
      <c r="E12739" s="5"/>
      <c r="F12739" s="5"/>
      <c r="G12739" s="5"/>
      <c r="H12739" s="5"/>
      <c r="I12739" s="5"/>
      <c r="J12739" s="5"/>
      <c r="K12739" s="5"/>
      <c r="L12739" s="5"/>
      <c r="M12739" s="5"/>
      <c r="N12739" s="5"/>
      <c r="O12739" s="5"/>
      <c r="P12739" s="5"/>
      <c r="Q12739" s="5"/>
      <c r="R12739" s="5"/>
      <c r="S12739" s="5"/>
      <c r="T12739" s="5"/>
      <c r="U12739" s="5"/>
      <c r="V12739" s="5"/>
      <c r="W12739" s="5"/>
      <c r="X12739" s="5"/>
      <c r="Y12739" s="5"/>
      <c r="Z12739" s="5"/>
    </row>
    <row r="12740" spans="1:26" ht="15" x14ac:dyDescent="0.25">
      <c r="A12740" s="4" t="s">
        <v>12737</v>
      </c>
      <c r="B12740" s="4" t="s">
        <v>9011</v>
      </c>
      <c r="C12740" s="2" t="str">
        <f ca="1">IFERROR(__xludf.DUMMYFUNCTION("GOOGLETRANSLATE(A12740,""bn"",""en"")"),"Online banking will be popular")</f>
        <v>Online banking will be popular</v>
      </c>
      <c r="D12740" s="5"/>
      <c r="E12740" s="5"/>
      <c r="F12740" s="5"/>
      <c r="G12740" s="5"/>
      <c r="H12740" s="5"/>
      <c r="I12740" s="5"/>
      <c r="J12740" s="5"/>
      <c r="K12740" s="5"/>
      <c r="L12740" s="5"/>
      <c r="M12740" s="5"/>
      <c r="N12740" s="5"/>
      <c r="O12740" s="5"/>
      <c r="P12740" s="5"/>
      <c r="Q12740" s="5"/>
      <c r="R12740" s="5"/>
      <c r="S12740" s="5"/>
      <c r="T12740" s="5"/>
      <c r="U12740" s="5"/>
      <c r="V12740" s="5"/>
      <c r="W12740" s="5"/>
      <c r="X12740" s="5"/>
      <c r="Y12740" s="5"/>
      <c r="Z12740" s="5"/>
    </row>
    <row r="12741" spans="1:26" ht="15" x14ac:dyDescent="0.25">
      <c r="A12741" s="4" t="s">
        <v>12738</v>
      </c>
      <c r="B12741" s="4" t="s">
        <v>9011</v>
      </c>
      <c r="C12741" s="2" t="str">
        <f ca="1">IFERROR(__xludf.DUMMYFUNCTION("GOOGLETRANSLATE(A12741,""bn"",""en"")"),"I will decorate the garden tomorrow")</f>
        <v>I will decorate the garden tomorrow</v>
      </c>
      <c r="D12741" s="5"/>
      <c r="E12741" s="5"/>
      <c r="F12741" s="5"/>
      <c r="G12741" s="5"/>
      <c r="H12741" s="5"/>
      <c r="I12741" s="5"/>
      <c r="J12741" s="5"/>
      <c r="K12741" s="5"/>
      <c r="L12741" s="5"/>
      <c r="M12741" s="5"/>
      <c r="N12741" s="5"/>
      <c r="O12741" s="5"/>
      <c r="P12741" s="5"/>
      <c r="Q12741" s="5"/>
      <c r="R12741" s="5"/>
      <c r="S12741" s="5"/>
      <c r="T12741" s="5"/>
      <c r="U12741" s="5"/>
      <c r="V12741" s="5"/>
      <c r="W12741" s="5"/>
      <c r="X12741" s="5"/>
      <c r="Y12741" s="5"/>
      <c r="Z12741" s="5"/>
    </row>
    <row r="12742" spans="1:26" ht="15" x14ac:dyDescent="0.25">
      <c r="A12742" s="4" t="s">
        <v>12739</v>
      </c>
      <c r="B12742" s="4" t="s">
        <v>9011</v>
      </c>
      <c r="C12742" s="2" t="str">
        <f ca="1">IFERROR(__xludf.DUMMYFUNCTION("GOOGLETRANSLATE(A12742,""bn"",""en"")"),"We will swim tomorrow")</f>
        <v>We will swim tomorrow</v>
      </c>
      <c r="D12742" s="5"/>
      <c r="E12742" s="5"/>
      <c r="F12742" s="5"/>
      <c r="G12742" s="5"/>
      <c r="H12742" s="5"/>
      <c r="I12742" s="5"/>
      <c r="J12742" s="5"/>
      <c r="K12742" s="5"/>
      <c r="L12742" s="5"/>
      <c r="M12742" s="5"/>
      <c r="N12742" s="5"/>
      <c r="O12742" s="5"/>
      <c r="P12742" s="5"/>
      <c r="Q12742" s="5"/>
      <c r="R12742" s="5"/>
      <c r="S12742" s="5"/>
      <c r="T12742" s="5"/>
      <c r="U12742" s="5"/>
      <c r="V12742" s="5"/>
      <c r="W12742" s="5"/>
      <c r="X12742" s="5"/>
      <c r="Y12742" s="5"/>
      <c r="Z12742" s="5"/>
    </row>
    <row r="12743" spans="1:26" ht="15" x14ac:dyDescent="0.25">
      <c r="A12743" s="4" t="s">
        <v>12740</v>
      </c>
      <c r="B12743" s="4" t="s">
        <v>9011</v>
      </c>
      <c r="C12743" s="2" t="str">
        <f ca="1">IFERROR(__xludf.DUMMYFUNCTION("GOOGLETRANSLATE(A12743,""bn"",""en"")"),"Our inspiration will be on campus")</f>
        <v>Our inspiration will be on campus</v>
      </c>
      <c r="D12743" s="5"/>
      <c r="E12743" s="5"/>
      <c r="F12743" s="5"/>
      <c r="G12743" s="5"/>
      <c r="H12743" s="5"/>
      <c r="I12743" s="5"/>
      <c r="J12743" s="5"/>
      <c r="K12743" s="5"/>
      <c r="L12743" s="5"/>
      <c r="M12743" s="5"/>
      <c r="N12743" s="5"/>
      <c r="O12743" s="5"/>
      <c r="P12743" s="5"/>
      <c r="Q12743" s="5"/>
      <c r="R12743" s="5"/>
      <c r="S12743" s="5"/>
      <c r="T12743" s="5"/>
      <c r="U12743" s="5"/>
      <c r="V12743" s="5"/>
      <c r="W12743" s="5"/>
      <c r="X12743" s="5"/>
      <c r="Y12743" s="5"/>
      <c r="Z12743" s="5"/>
    </row>
    <row r="12744" spans="1:26" ht="15" x14ac:dyDescent="0.25">
      <c r="A12744" s="4" t="s">
        <v>12741</v>
      </c>
      <c r="B12744" s="4" t="s">
        <v>9011</v>
      </c>
      <c r="C12744" s="2" t="str">
        <f ca="1">IFERROR(__xludf.DUMMYFUNCTION("GOOGLETRANSLATE(A12744,""bn"",""en"")"),"The weather will be terrible at sea")</f>
        <v>The weather will be terrible at sea</v>
      </c>
      <c r="D12744" s="5"/>
      <c r="E12744" s="5"/>
      <c r="F12744" s="5"/>
      <c r="G12744" s="5"/>
      <c r="H12744" s="5"/>
      <c r="I12744" s="5"/>
      <c r="J12744" s="5"/>
      <c r="K12744" s="5"/>
      <c r="L12744" s="5"/>
      <c r="M12744" s="5"/>
      <c r="N12744" s="5"/>
      <c r="O12744" s="5"/>
      <c r="P12744" s="5"/>
      <c r="Q12744" s="5"/>
      <c r="R12744" s="5"/>
      <c r="S12744" s="5"/>
      <c r="T12744" s="5"/>
      <c r="U12744" s="5"/>
      <c r="V12744" s="5"/>
      <c r="W12744" s="5"/>
      <c r="X12744" s="5"/>
      <c r="Y12744" s="5"/>
      <c r="Z12744" s="5"/>
    </row>
    <row r="12745" spans="1:26" ht="15" x14ac:dyDescent="0.25">
      <c r="A12745" s="4" t="s">
        <v>12742</v>
      </c>
      <c r="B12745" s="4" t="s">
        <v>9011</v>
      </c>
      <c r="C12745" s="2" t="str">
        <f ca="1">IFERROR(__xludf.DUMMYFUNCTION("GOOGLETRANSLATE(A12745,""bn"",""en"")"),"All children will see toys")</f>
        <v>All children will see toys</v>
      </c>
      <c r="D12745" s="5"/>
      <c r="E12745" s="5"/>
      <c r="F12745" s="5"/>
      <c r="G12745" s="5"/>
      <c r="H12745" s="5"/>
      <c r="I12745" s="5"/>
      <c r="J12745" s="5"/>
      <c r="K12745" s="5"/>
      <c r="L12745" s="5"/>
      <c r="M12745" s="5"/>
      <c r="N12745" s="5"/>
      <c r="O12745" s="5"/>
      <c r="P12745" s="5"/>
      <c r="Q12745" s="5"/>
      <c r="R12745" s="5"/>
      <c r="S12745" s="5"/>
      <c r="T12745" s="5"/>
      <c r="U12745" s="5"/>
      <c r="V12745" s="5"/>
      <c r="W12745" s="5"/>
      <c r="X12745" s="5"/>
      <c r="Y12745" s="5"/>
      <c r="Z12745" s="5"/>
    </row>
    <row r="12746" spans="1:26" ht="15" x14ac:dyDescent="0.25">
      <c r="A12746" s="4" t="s">
        <v>12743</v>
      </c>
      <c r="B12746" s="4" t="s">
        <v>9011</v>
      </c>
      <c r="C12746" s="2" t="str">
        <f ca="1">IFERROR(__xludf.DUMMYFUNCTION("GOOGLETRANSLATE(A12746,""bn"",""en"")"),"Computer technology will increase")</f>
        <v>Computer technology will increase</v>
      </c>
      <c r="D12746" s="5"/>
      <c r="E12746" s="5"/>
      <c r="F12746" s="5"/>
      <c r="G12746" s="5"/>
      <c r="H12746" s="5"/>
      <c r="I12746" s="5"/>
      <c r="J12746" s="5"/>
      <c r="K12746" s="5"/>
      <c r="L12746" s="5"/>
      <c r="M12746" s="5"/>
      <c r="N12746" s="5"/>
      <c r="O12746" s="5"/>
      <c r="P12746" s="5"/>
      <c r="Q12746" s="5"/>
      <c r="R12746" s="5"/>
      <c r="S12746" s="5"/>
      <c r="T12746" s="5"/>
      <c r="U12746" s="5"/>
      <c r="V12746" s="5"/>
      <c r="W12746" s="5"/>
      <c r="X12746" s="5"/>
      <c r="Y12746" s="5"/>
      <c r="Z12746" s="5"/>
    </row>
    <row r="12747" spans="1:26" ht="15" x14ac:dyDescent="0.25">
      <c r="A12747" s="4" t="s">
        <v>12744</v>
      </c>
      <c r="B12747" s="4" t="s">
        <v>9011</v>
      </c>
      <c r="C12747" s="2" t="str">
        <f ca="1">IFERROR(__xludf.DUMMYFUNCTION("GOOGLETRANSLATE(A12747,""bn"",""en"")"),"Will wear new clothes in time")</f>
        <v>Will wear new clothes in time</v>
      </c>
      <c r="D12747" s="5"/>
      <c r="E12747" s="5"/>
      <c r="F12747" s="5"/>
      <c r="G12747" s="5"/>
      <c r="H12747" s="5"/>
      <c r="I12747" s="5"/>
      <c r="J12747" s="5"/>
      <c r="K12747" s="5"/>
      <c r="L12747" s="5"/>
      <c r="M12747" s="5"/>
      <c r="N12747" s="5"/>
      <c r="O12747" s="5"/>
      <c r="P12747" s="5"/>
      <c r="Q12747" s="5"/>
      <c r="R12747" s="5"/>
      <c r="S12747" s="5"/>
      <c r="T12747" s="5"/>
      <c r="U12747" s="5"/>
      <c r="V12747" s="5"/>
      <c r="W12747" s="5"/>
      <c r="X12747" s="5"/>
      <c r="Y12747" s="5"/>
      <c r="Z12747" s="5"/>
    </row>
    <row r="12748" spans="1:26" ht="15" x14ac:dyDescent="0.25">
      <c r="A12748" s="4" t="s">
        <v>12745</v>
      </c>
      <c r="B12748" s="4" t="s">
        <v>9011</v>
      </c>
      <c r="C12748" s="2" t="str">
        <f ca="1">IFERROR(__xludf.DUMMYFUNCTION("GOOGLETRANSLATE(A12748,""bn"",""en"")"),"You eat chicken momos")</f>
        <v>You eat chicken momos</v>
      </c>
      <c r="D12748" s="5"/>
      <c r="E12748" s="5"/>
      <c r="F12748" s="5"/>
      <c r="G12748" s="5"/>
      <c r="H12748" s="5"/>
      <c r="I12748" s="5"/>
      <c r="J12748" s="5"/>
      <c r="K12748" s="5"/>
      <c r="L12748" s="5"/>
      <c r="M12748" s="5"/>
      <c r="N12748" s="5"/>
      <c r="O12748" s="5"/>
      <c r="P12748" s="5"/>
      <c r="Q12748" s="5"/>
      <c r="R12748" s="5"/>
      <c r="S12748" s="5"/>
      <c r="T12748" s="5"/>
      <c r="U12748" s="5"/>
      <c r="V12748" s="5"/>
      <c r="W12748" s="5"/>
      <c r="X12748" s="5"/>
      <c r="Y12748" s="5"/>
      <c r="Z12748" s="5"/>
    </row>
    <row r="12749" spans="1:26" ht="15" x14ac:dyDescent="0.25">
      <c r="A12749" s="4" t="s">
        <v>12746</v>
      </c>
      <c r="B12749" s="4" t="s">
        <v>9011</v>
      </c>
      <c r="C12749" s="2" t="str">
        <f ca="1">IFERROR(__xludf.DUMMYFUNCTION("GOOGLETRANSLATE(A12749,""bn"",""en"")"),"Online classes will be beneficial")</f>
        <v>Online classes will be beneficial</v>
      </c>
      <c r="D12749" s="5"/>
      <c r="E12749" s="5"/>
      <c r="F12749" s="5"/>
      <c r="G12749" s="5"/>
      <c r="H12749" s="5"/>
      <c r="I12749" s="5"/>
      <c r="J12749" s="5"/>
      <c r="K12749" s="5"/>
      <c r="L12749" s="5"/>
      <c r="M12749" s="5"/>
      <c r="N12749" s="5"/>
      <c r="O12749" s="5"/>
      <c r="P12749" s="5"/>
      <c r="Q12749" s="5"/>
      <c r="R12749" s="5"/>
      <c r="S12749" s="5"/>
      <c r="T12749" s="5"/>
      <c r="U12749" s="5"/>
      <c r="V12749" s="5"/>
      <c r="W12749" s="5"/>
      <c r="X12749" s="5"/>
      <c r="Y12749" s="5"/>
      <c r="Z12749" s="5"/>
    </row>
    <row r="12750" spans="1:26" ht="15" x14ac:dyDescent="0.25">
      <c r="A12750" s="4" t="s">
        <v>12747</v>
      </c>
      <c r="B12750" s="4" t="s">
        <v>9011</v>
      </c>
      <c r="C12750" s="2" t="str">
        <f ca="1">IFERROR(__xludf.DUMMYFUNCTION("GOOGLETRANSLATE(A12750,""bn"",""en"")"),"You will learn a new language")</f>
        <v>You will learn a new language</v>
      </c>
      <c r="D12750" s="5"/>
      <c r="E12750" s="5"/>
      <c r="F12750" s="5"/>
      <c r="G12750" s="5"/>
      <c r="H12750" s="5"/>
      <c r="I12750" s="5"/>
      <c r="J12750" s="5"/>
      <c r="K12750" s="5"/>
      <c r="L12750" s="5"/>
      <c r="M12750" s="5"/>
      <c r="N12750" s="5"/>
      <c r="O12750" s="5"/>
      <c r="P12750" s="5"/>
      <c r="Q12750" s="5"/>
      <c r="R12750" s="5"/>
      <c r="S12750" s="5"/>
      <c r="T12750" s="5"/>
      <c r="U12750" s="5"/>
      <c r="V12750" s="5"/>
      <c r="W12750" s="5"/>
      <c r="X12750" s="5"/>
      <c r="Y12750" s="5"/>
      <c r="Z12750" s="5"/>
    </row>
    <row r="12751" spans="1:26" ht="15" x14ac:dyDescent="0.25">
      <c r="A12751" s="4" t="s">
        <v>12748</v>
      </c>
      <c r="B12751" s="4" t="s">
        <v>9011</v>
      </c>
      <c r="C12751" s="2" t="str">
        <f ca="1">IFERROR(__xludf.DUMMYFUNCTION("GOOGLETRANSLATE(A12751,""bn"",""en"")"),"will perform rhythmic dance")</f>
        <v>will perform rhythmic dance</v>
      </c>
      <c r="D12751" s="5"/>
      <c r="E12751" s="5"/>
      <c r="F12751" s="5"/>
      <c r="G12751" s="5"/>
      <c r="H12751" s="5"/>
      <c r="I12751" s="5"/>
      <c r="J12751" s="5"/>
      <c r="K12751" s="5"/>
      <c r="L12751" s="5"/>
      <c r="M12751" s="5"/>
      <c r="N12751" s="5"/>
      <c r="O12751" s="5"/>
      <c r="P12751" s="5"/>
      <c r="Q12751" s="5"/>
      <c r="R12751" s="5"/>
      <c r="S12751" s="5"/>
      <c r="T12751" s="5"/>
      <c r="U12751" s="5"/>
      <c r="V12751" s="5"/>
      <c r="W12751" s="5"/>
      <c r="X12751" s="5"/>
      <c r="Y12751" s="5"/>
      <c r="Z12751" s="5"/>
    </row>
    <row r="12752" spans="1:26" ht="15" x14ac:dyDescent="0.25">
      <c r="A12752" s="4" t="s">
        <v>12749</v>
      </c>
      <c r="B12752" s="4" t="s">
        <v>9011</v>
      </c>
      <c r="C12752" s="2" t="str">
        <f ca="1">IFERROR(__xludf.DUMMYFUNCTION("GOOGLETRANSLATE(A12752,""bn"",""en"")"),"Will work as a supporting actor")</f>
        <v>Will work as a supporting actor</v>
      </c>
      <c r="D12752" s="5"/>
      <c r="E12752" s="5"/>
      <c r="F12752" s="5"/>
      <c r="G12752" s="5"/>
      <c r="H12752" s="5"/>
      <c r="I12752" s="5"/>
      <c r="J12752" s="5"/>
      <c r="K12752" s="5"/>
      <c r="L12752" s="5"/>
      <c r="M12752" s="5"/>
      <c r="N12752" s="5"/>
      <c r="O12752" s="5"/>
      <c r="P12752" s="5"/>
      <c r="Q12752" s="5"/>
      <c r="R12752" s="5"/>
      <c r="S12752" s="5"/>
      <c r="T12752" s="5"/>
      <c r="U12752" s="5"/>
      <c r="V12752" s="5"/>
      <c r="W12752" s="5"/>
      <c r="X12752" s="5"/>
      <c r="Y12752" s="5"/>
      <c r="Z12752" s="5"/>
    </row>
    <row r="12753" spans="1:26" ht="15" x14ac:dyDescent="0.25">
      <c r="A12753" s="4" t="s">
        <v>12750</v>
      </c>
      <c r="B12753" s="4" t="s">
        <v>9011</v>
      </c>
      <c r="C12753" s="2" t="str">
        <f ca="1">IFERROR(__xludf.DUMMYFUNCTION("GOOGLETRANSLATE(A12753,""bn"",""en"")"),"The movie will be shown on the projector tomorrow")</f>
        <v>The movie will be shown on the projector tomorrow</v>
      </c>
      <c r="D12753" s="5"/>
      <c r="E12753" s="5"/>
      <c r="F12753" s="5"/>
      <c r="G12753" s="5"/>
      <c r="H12753" s="5"/>
      <c r="I12753" s="5"/>
      <c r="J12753" s="5"/>
      <c r="K12753" s="5"/>
      <c r="L12753" s="5"/>
      <c r="M12753" s="5"/>
      <c r="N12753" s="5"/>
      <c r="O12753" s="5"/>
      <c r="P12753" s="5"/>
      <c r="Q12753" s="5"/>
      <c r="R12753" s="5"/>
      <c r="S12753" s="5"/>
      <c r="T12753" s="5"/>
      <c r="U12753" s="5"/>
      <c r="V12753" s="5"/>
      <c r="W12753" s="5"/>
      <c r="X12753" s="5"/>
      <c r="Y12753" s="5"/>
      <c r="Z12753" s="5"/>
    </row>
    <row r="12754" spans="1:26" ht="15" x14ac:dyDescent="0.25">
      <c r="A12754" s="4" t="s">
        <v>12751</v>
      </c>
      <c r="B12754" s="4" t="s">
        <v>9011</v>
      </c>
      <c r="C12754" s="2" t="str">
        <f ca="1">IFERROR(__xludf.DUMMYFUNCTION("GOOGLETRANSLATE(A12754,""bn"",""en"")"),"All officers will be present")</f>
        <v>All officers will be present</v>
      </c>
      <c r="D12754" s="5"/>
      <c r="E12754" s="5"/>
      <c r="F12754" s="5"/>
      <c r="G12754" s="5"/>
      <c r="H12754" s="5"/>
      <c r="I12754" s="5"/>
      <c r="J12754" s="5"/>
      <c r="K12754" s="5"/>
      <c r="L12754" s="5"/>
      <c r="M12754" s="5"/>
      <c r="N12754" s="5"/>
      <c r="O12754" s="5"/>
      <c r="P12754" s="5"/>
      <c r="Q12754" s="5"/>
      <c r="R12754" s="5"/>
      <c r="S12754" s="5"/>
      <c r="T12754" s="5"/>
      <c r="U12754" s="5"/>
      <c r="V12754" s="5"/>
      <c r="W12754" s="5"/>
      <c r="X12754" s="5"/>
      <c r="Y12754" s="5"/>
      <c r="Z12754" s="5"/>
    </row>
    <row r="12755" spans="1:26" ht="15" x14ac:dyDescent="0.25">
      <c r="A12755" s="4" t="s">
        <v>12752</v>
      </c>
      <c r="B12755" s="4" t="s">
        <v>9011</v>
      </c>
      <c r="C12755" s="2" t="str">
        <f ca="1">IFERROR(__xludf.DUMMYFUNCTION("GOOGLETRANSLATE(A12755,""bn"",""en"")"),"You will go to a mountain")</f>
        <v>You will go to a mountain</v>
      </c>
      <c r="D12755" s="5"/>
      <c r="E12755" s="5"/>
      <c r="F12755" s="5"/>
      <c r="G12755" s="5"/>
      <c r="H12755" s="5"/>
      <c r="I12755" s="5"/>
      <c r="J12755" s="5"/>
      <c r="K12755" s="5"/>
      <c r="L12755" s="5"/>
      <c r="M12755" s="5"/>
      <c r="N12755" s="5"/>
      <c r="O12755" s="5"/>
      <c r="P12755" s="5"/>
      <c r="Q12755" s="5"/>
      <c r="R12755" s="5"/>
      <c r="S12755" s="5"/>
      <c r="T12755" s="5"/>
      <c r="U12755" s="5"/>
      <c r="V12755" s="5"/>
      <c r="W12755" s="5"/>
      <c r="X12755" s="5"/>
      <c r="Y12755" s="5"/>
      <c r="Z12755" s="5"/>
    </row>
    <row r="12756" spans="1:26" ht="15" x14ac:dyDescent="0.25">
      <c r="A12756" s="4" t="s">
        <v>12753</v>
      </c>
      <c r="B12756" s="4" t="s">
        <v>9011</v>
      </c>
      <c r="C12756" s="2" t="str">
        <f ca="1">IFERROR(__xludf.DUMMYFUNCTION("GOOGLETRANSLATE(A12756,""bn"",""en"")"),"The code will be saved in the file")</f>
        <v>The code will be saved in the file</v>
      </c>
      <c r="D12756" s="5"/>
      <c r="E12756" s="5"/>
      <c r="F12756" s="5"/>
      <c r="G12756" s="5"/>
      <c r="H12756" s="5"/>
      <c r="I12756" s="5"/>
      <c r="J12756" s="5"/>
      <c r="K12756" s="5"/>
      <c r="L12756" s="5"/>
      <c r="M12756" s="5"/>
      <c r="N12756" s="5"/>
      <c r="O12756" s="5"/>
      <c r="P12756" s="5"/>
      <c r="Q12756" s="5"/>
      <c r="R12756" s="5"/>
      <c r="S12756" s="5"/>
      <c r="T12756" s="5"/>
      <c r="U12756" s="5"/>
      <c r="V12756" s="5"/>
      <c r="W12756" s="5"/>
      <c r="X12756" s="5"/>
      <c r="Y12756" s="5"/>
      <c r="Z12756" s="5"/>
    </row>
    <row r="12757" spans="1:26" ht="15" x14ac:dyDescent="0.25">
      <c r="A12757" s="4" t="s">
        <v>12754</v>
      </c>
      <c r="B12757" s="4" t="s">
        <v>9011</v>
      </c>
      <c r="C12757" s="2" t="str">
        <f ca="1">IFERROR(__xludf.DUMMYFUNCTION("GOOGLETRANSLATE(A12757,""bn"",""en"")"),"Financial prosperity will be quick")</f>
        <v>Financial prosperity will be quick</v>
      </c>
      <c r="D12757" s="5"/>
      <c r="E12757" s="5"/>
      <c r="F12757" s="5"/>
      <c r="G12757" s="5"/>
      <c r="H12757" s="5"/>
      <c r="I12757" s="5"/>
      <c r="J12757" s="5"/>
      <c r="K12757" s="5"/>
      <c r="L12757" s="5"/>
      <c r="M12757" s="5"/>
      <c r="N12757" s="5"/>
      <c r="O12757" s="5"/>
      <c r="P12757" s="5"/>
      <c r="Q12757" s="5"/>
      <c r="R12757" s="5"/>
      <c r="S12757" s="5"/>
      <c r="T12757" s="5"/>
      <c r="U12757" s="5"/>
      <c r="V12757" s="5"/>
      <c r="W12757" s="5"/>
      <c r="X12757" s="5"/>
      <c r="Y12757" s="5"/>
      <c r="Z12757" s="5"/>
    </row>
    <row r="12758" spans="1:26" ht="15" x14ac:dyDescent="0.25">
      <c r="A12758" s="4" t="s">
        <v>12755</v>
      </c>
      <c r="B12758" s="4" t="s">
        <v>9011</v>
      </c>
      <c r="C12758" s="2" t="str">
        <f ca="1">IFERROR(__xludf.DUMMYFUNCTION("GOOGLETRANSLATE(A12758,""bn"",""en"")"),"They will know new cultural")</f>
        <v>They will know new cultural</v>
      </c>
      <c r="D12758" s="5"/>
      <c r="E12758" s="5"/>
      <c r="F12758" s="5"/>
      <c r="G12758" s="5"/>
      <c r="H12758" s="5"/>
      <c r="I12758" s="5"/>
      <c r="J12758" s="5"/>
      <c r="K12758" s="5"/>
      <c r="L12758" s="5"/>
      <c r="M12758" s="5"/>
      <c r="N12758" s="5"/>
      <c r="O12758" s="5"/>
      <c r="P12758" s="5"/>
      <c r="Q12758" s="5"/>
      <c r="R12758" s="5"/>
      <c r="S12758" s="5"/>
      <c r="T12758" s="5"/>
      <c r="U12758" s="5"/>
      <c r="V12758" s="5"/>
      <c r="W12758" s="5"/>
      <c r="X12758" s="5"/>
      <c r="Y12758" s="5"/>
      <c r="Z12758" s="5"/>
    </row>
    <row r="12759" spans="1:26" ht="15" x14ac:dyDescent="0.25">
      <c r="A12759" s="4" t="s">
        <v>12756</v>
      </c>
      <c r="B12759" s="4" t="s">
        <v>9011</v>
      </c>
      <c r="C12759" s="2" t="str">
        <f ca="1">IFERROR(__xludf.DUMMYFUNCTION("GOOGLETRANSLATE(A12759,""bn"",""en"")"),"Society will change digitally")</f>
        <v>Society will change digitally</v>
      </c>
      <c r="D12759" s="5"/>
      <c r="E12759" s="5"/>
      <c r="F12759" s="5"/>
      <c r="G12759" s="5"/>
      <c r="H12759" s="5"/>
      <c r="I12759" s="5"/>
      <c r="J12759" s="5"/>
      <c r="K12759" s="5"/>
      <c r="L12759" s="5"/>
      <c r="M12759" s="5"/>
      <c r="N12759" s="5"/>
      <c r="O12759" s="5"/>
      <c r="P12759" s="5"/>
      <c r="Q12759" s="5"/>
      <c r="R12759" s="5"/>
      <c r="S12759" s="5"/>
      <c r="T12759" s="5"/>
      <c r="U12759" s="5"/>
      <c r="V12759" s="5"/>
      <c r="W12759" s="5"/>
      <c r="X12759" s="5"/>
      <c r="Y12759" s="5"/>
      <c r="Z12759" s="5"/>
    </row>
    <row r="12760" spans="1:26" ht="15" x14ac:dyDescent="0.25">
      <c r="A12760" s="4" t="s">
        <v>12757</v>
      </c>
      <c r="B12760" s="4" t="s">
        <v>9011</v>
      </c>
      <c r="C12760" s="2" t="str">
        <f ca="1">IFERROR(__xludf.DUMMYFUNCTION("GOOGLETRANSLATE(A12760,""bn"",""en"")"),"Tomorrow will be the opening of the World Cup")</f>
        <v>Tomorrow will be the opening of the World Cup</v>
      </c>
      <c r="D12760" s="5"/>
      <c r="E12760" s="5"/>
      <c r="F12760" s="5"/>
      <c r="G12760" s="5"/>
      <c r="H12760" s="5"/>
      <c r="I12760" s="5"/>
      <c r="J12760" s="5"/>
      <c r="K12760" s="5"/>
      <c r="L12760" s="5"/>
      <c r="M12760" s="5"/>
      <c r="N12760" s="5"/>
      <c r="O12760" s="5"/>
      <c r="P12760" s="5"/>
      <c r="Q12760" s="5"/>
      <c r="R12760" s="5"/>
      <c r="S12760" s="5"/>
      <c r="T12760" s="5"/>
      <c r="U12760" s="5"/>
      <c r="V12760" s="5"/>
      <c r="W12760" s="5"/>
      <c r="X12760" s="5"/>
      <c r="Y12760" s="5"/>
      <c r="Z12760" s="5"/>
    </row>
    <row r="12761" spans="1:26" ht="15" x14ac:dyDescent="0.25">
      <c r="A12761" s="4" t="s">
        <v>12758</v>
      </c>
      <c r="B12761" s="4" t="s">
        <v>9011</v>
      </c>
      <c r="C12761" s="2" t="str">
        <f ca="1">IFERROR(__xludf.DUMMYFUNCTION("GOOGLETRANSLATE(A12761,""bn"",""en"")"),"Crime must be controlled")</f>
        <v>Crime must be controlled</v>
      </c>
      <c r="D12761" s="5"/>
      <c r="E12761" s="5"/>
      <c r="F12761" s="5"/>
      <c r="G12761" s="5"/>
      <c r="H12761" s="5"/>
      <c r="I12761" s="5"/>
      <c r="J12761" s="5"/>
      <c r="K12761" s="5"/>
      <c r="L12761" s="5"/>
      <c r="M12761" s="5"/>
      <c r="N12761" s="5"/>
      <c r="O12761" s="5"/>
      <c r="P12761" s="5"/>
      <c r="Q12761" s="5"/>
      <c r="R12761" s="5"/>
      <c r="S12761" s="5"/>
      <c r="T12761" s="5"/>
      <c r="U12761" s="5"/>
      <c r="V12761" s="5"/>
      <c r="W12761" s="5"/>
      <c r="X12761" s="5"/>
      <c r="Y12761" s="5"/>
      <c r="Z12761" s="5"/>
    </row>
    <row r="12762" spans="1:26" ht="15" x14ac:dyDescent="0.25">
      <c r="A12762" s="4" t="s">
        <v>12759</v>
      </c>
      <c r="B12762" s="4" t="s">
        <v>9011</v>
      </c>
      <c r="C12762" s="2" t="str">
        <f ca="1">IFERROR(__xludf.DUMMYFUNCTION("GOOGLETRANSLATE(A12762,""bn"",""en"")"),"There will be fruit in the month of Pusha")</f>
        <v>There will be fruit in the month of Pusha</v>
      </c>
      <c r="D12762" s="5"/>
      <c r="E12762" s="5"/>
      <c r="F12762" s="5"/>
      <c r="G12762" s="5"/>
      <c r="H12762" s="5"/>
      <c r="I12762" s="5"/>
      <c r="J12762" s="5"/>
      <c r="K12762" s="5"/>
      <c r="L12762" s="5"/>
      <c r="M12762" s="5"/>
      <c r="N12762" s="5"/>
      <c r="O12762" s="5"/>
      <c r="P12762" s="5"/>
      <c r="Q12762" s="5"/>
      <c r="R12762" s="5"/>
      <c r="S12762" s="5"/>
      <c r="T12762" s="5"/>
      <c r="U12762" s="5"/>
      <c r="V12762" s="5"/>
      <c r="W12762" s="5"/>
      <c r="X12762" s="5"/>
      <c r="Y12762" s="5"/>
      <c r="Z12762" s="5"/>
    </row>
    <row r="12763" spans="1:26" ht="15" x14ac:dyDescent="0.25">
      <c r="A12763" s="4" t="s">
        <v>12760</v>
      </c>
      <c r="B12763" s="4" t="s">
        <v>9011</v>
      </c>
      <c r="C12763" s="2" t="str">
        <f ca="1">IFERROR(__xludf.DUMMYFUNCTION("GOOGLETRANSLATE(A12763,""bn"",""en"")"),"Sympathy in society will increase tomorrow")</f>
        <v>Sympathy in society will increase tomorrow</v>
      </c>
      <c r="D12763" s="5"/>
      <c r="E12763" s="5"/>
      <c r="F12763" s="5"/>
      <c r="G12763" s="5"/>
      <c r="H12763" s="5"/>
      <c r="I12763" s="5"/>
      <c r="J12763" s="5"/>
      <c r="K12763" s="5"/>
      <c r="L12763" s="5"/>
      <c r="M12763" s="5"/>
      <c r="N12763" s="5"/>
      <c r="O12763" s="5"/>
      <c r="P12763" s="5"/>
      <c r="Q12763" s="5"/>
      <c r="R12763" s="5"/>
      <c r="S12763" s="5"/>
      <c r="T12763" s="5"/>
      <c r="U12763" s="5"/>
      <c r="V12763" s="5"/>
      <c r="W12763" s="5"/>
      <c r="X12763" s="5"/>
      <c r="Y12763" s="5"/>
      <c r="Z12763" s="5"/>
    </row>
    <row r="12764" spans="1:26" ht="15" x14ac:dyDescent="0.25">
      <c r="A12764" s="4" t="s">
        <v>12761</v>
      </c>
      <c r="B12764" s="4" t="s">
        <v>9011</v>
      </c>
      <c r="C12764" s="2" t="str">
        <f ca="1">IFERROR(__xludf.DUMMYFUNCTION("GOOGLETRANSLATE(A12764,""bn"",""en"")"),"They will buy match tickets")</f>
        <v>They will buy match tickets</v>
      </c>
      <c r="D12764" s="5"/>
      <c r="E12764" s="5"/>
      <c r="F12764" s="5"/>
      <c r="G12764" s="5"/>
      <c r="H12764" s="5"/>
      <c r="I12764" s="5"/>
      <c r="J12764" s="5"/>
      <c r="K12764" s="5"/>
      <c r="L12764" s="5"/>
      <c r="M12764" s="5"/>
      <c r="N12764" s="5"/>
      <c r="O12764" s="5"/>
      <c r="P12764" s="5"/>
      <c r="Q12764" s="5"/>
      <c r="R12764" s="5"/>
      <c r="S12764" s="5"/>
      <c r="T12764" s="5"/>
      <c r="U12764" s="5"/>
      <c r="V12764" s="5"/>
      <c r="W12764" s="5"/>
      <c r="X12764" s="5"/>
      <c r="Y12764" s="5"/>
      <c r="Z12764" s="5"/>
    </row>
    <row r="12765" spans="1:26" ht="15" x14ac:dyDescent="0.25">
      <c r="A12765" s="4" t="s">
        <v>12762</v>
      </c>
      <c r="B12765" s="4" t="s">
        <v>9011</v>
      </c>
      <c r="C12765" s="2" t="str">
        <f ca="1">IFERROR(__xludf.DUMMYFUNCTION("GOOGLETRANSLATE(A12765,""bn"",""en"")"),"There will be a human chain in the city tomorrow")</f>
        <v>There will be a human chain in the city tomorrow</v>
      </c>
      <c r="D12765" s="5"/>
      <c r="E12765" s="5"/>
      <c r="F12765" s="5"/>
      <c r="G12765" s="5"/>
      <c r="H12765" s="5"/>
      <c r="I12765" s="5"/>
      <c r="J12765" s="5"/>
      <c r="K12765" s="5"/>
      <c r="L12765" s="5"/>
      <c r="M12765" s="5"/>
      <c r="N12765" s="5"/>
      <c r="O12765" s="5"/>
      <c r="P12765" s="5"/>
      <c r="Q12765" s="5"/>
      <c r="R12765" s="5"/>
      <c r="S12765" s="5"/>
      <c r="T12765" s="5"/>
      <c r="U12765" s="5"/>
      <c r="V12765" s="5"/>
      <c r="W12765" s="5"/>
      <c r="X12765" s="5"/>
      <c r="Y12765" s="5"/>
      <c r="Z12765" s="5"/>
    </row>
    <row r="12766" spans="1:26" ht="15" x14ac:dyDescent="0.25">
      <c r="A12766" s="4" t="s">
        <v>12763</v>
      </c>
      <c r="B12766" s="4" t="s">
        <v>9011</v>
      </c>
      <c r="C12766" s="2" t="str">
        <f ca="1">IFERROR(__xludf.DUMMYFUNCTION("GOOGLETRANSLATE(A12766,""bn"",""en"")"),"Future danger will help")</f>
        <v>Future danger will help</v>
      </c>
      <c r="D12766" s="5"/>
      <c r="E12766" s="5"/>
      <c r="F12766" s="5"/>
      <c r="G12766" s="5"/>
      <c r="H12766" s="5"/>
      <c r="I12766" s="5"/>
      <c r="J12766" s="5"/>
      <c r="K12766" s="5"/>
      <c r="L12766" s="5"/>
      <c r="M12766" s="5"/>
      <c r="N12766" s="5"/>
      <c r="O12766" s="5"/>
      <c r="P12766" s="5"/>
      <c r="Q12766" s="5"/>
      <c r="R12766" s="5"/>
      <c r="S12766" s="5"/>
      <c r="T12766" s="5"/>
      <c r="U12766" s="5"/>
      <c r="V12766" s="5"/>
      <c r="W12766" s="5"/>
      <c r="X12766" s="5"/>
      <c r="Y12766" s="5"/>
      <c r="Z12766" s="5"/>
    </row>
    <row r="12767" spans="1:26" ht="15" x14ac:dyDescent="0.25">
      <c r="A12767" s="4" t="s">
        <v>12764</v>
      </c>
      <c r="B12767" s="4" t="s">
        <v>9011</v>
      </c>
      <c r="C12767" s="2" t="str">
        <f ca="1">IFERROR(__xludf.DUMMYFUNCTION("GOOGLETRANSLATE(A12767,""bn"",""en"")"),"Justice will do justice")</f>
        <v>Justice will do justice</v>
      </c>
      <c r="D12767" s="5"/>
      <c r="E12767" s="5"/>
      <c r="F12767" s="5"/>
      <c r="G12767" s="5"/>
      <c r="H12767" s="5"/>
      <c r="I12767" s="5"/>
      <c r="J12767" s="5"/>
      <c r="K12767" s="5"/>
      <c r="L12767" s="5"/>
      <c r="M12767" s="5"/>
      <c r="N12767" s="5"/>
      <c r="O12767" s="5"/>
      <c r="P12767" s="5"/>
      <c r="Q12767" s="5"/>
      <c r="R12767" s="5"/>
      <c r="S12767" s="5"/>
      <c r="T12767" s="5"/>
      <c r="U12767" s="5"/>
      <c r="V12767" s="5"/>
      <c r="W12767" s="5"/>
      <c r="X12767" s="5"/>
      <c r="Y12767" s="5"/>
      <c r="Z12767" s="5"/>
    </row>
    <row r="12768" spans="1:26" ht="15" x14ac:dyDescent="0.25">
      <c r="A12768" s="4" t="s">
        <v>12765</v>
      </c>
      <c r="B12768" s="4" t="s">
        <v>9011</v>
      </c>
      <c r="C12768" s="2" t="str">
        <f ca="1">IFERROR(__xludf.DUMMYFUNCTION("GOOGLETRANSLATE(A12768,""bn"",""en"")"),"The research will be carefully examined")</f>
        <v>The research will be carefully examined</v>
      </c>
      <c r="D12768" s="5"/>
      <c r="E12768" s="5"/>
      <c r="F12768" s="5"/>
      <c r="G12768" s="5"/>
      <c r="H12768" s="5"/>
      <c r="I12768" s="5"/>
      <c r="J12768" s="5"/>
      <c r="K12768" s="5"/>
      <c r="L12768" s="5"/>
      <c r="M12768" s="5"/>
      <c r="N12768" s="5"/>
      <c r="O12768" s="5"/>
      <c r="P12768" s="5"/>
      <c r="Q12768" s="5"/>
      <c r="R12768" s="5"/>
      <c r="S12768" s="5"/>
      <c r="T12768" s="5"/>
      <c r="U12768" s="5"/>
      <c r="V12768" s="5"/>
      <c r="W12768" s="5"/>
      <c r="X12768" s="5"/>
      <c r="Y12768" s="5"/>
      <c r="Z12768" s="5"/>
    </row>
    <row r="12769" spans="1:26" ht="15" x14ac:dyDescent="0.25">
      <c r="A12769" s="4" t="s">
        <v>12766</v>
      </c>
      <c r="B12769" s="4" t="s">
        <v>9011</v>
      </c>
      <c r="C12769" s="2" t="str">
        <f ca="1">IFERROR(__xludf.DUMMYFUNCTION("GOOGLETRANSLATE(A12769,""bn"",""en"")"),"I will learn to code")</f>
        <v>I will learn to code</v>
      </c>
      <c r="D12769" s="5"/>
      <c r="E12769" s="5"/>
      <c r="F12769" s="5"/>
      <c r="G12769" s="5"/>
      <c r="H12769" s="5"/>
      <c r="I12769" s="5"/>
      <c r="J12769" s="5"/>
      <c r="K12769" s="5"/>
      <c r="L12769" s="5"/>
      <c r="M12769" s="5"/>
      <c r="N12769" s="5"/>
      <c r="O12769" s="5"/>
      <c r="P12769" s="5"/>
      <c r="Q12769" s="5"/>
      <c r="R12769" s="5"/>
      <c r="S12769" s="5"/>
      <c r="T12769" s="5"/>
      <c r="U12769" s="5"/>
      <c r="V12769" s="5"/>
      <c r="W12769" s="5"/>
      <c r="X12769" s="5"/>
      <c r="Y12769" s="5"/>
      <c r="Z12769" s="5"/>
    </row>
    <row r="12770" spans="1:26" ht="15" x14ac:dyDescent="0.25">
      <c r="A12770" s="4" t="s">
        <v>12767</v>
      </c>
      <c r="B12770" s="4" t="s">
        <v>9011</v>
      </c>
      <c r="C12770" s="2" t="str">
        <f ca="1">IFERROR(__xludf.DUMMYFUNCTION("GOOGLETRANSLATE(A12770,""bn"",""en"")"),"You will be a writer in the future")</f>
        <v>You will be a writer in the future</v>
      </c>
      <c r="D12770" s="5"/>
      <c r="E12770" s="5"/>
      <c r="F12770" s="5"/>
      <c r="G12770" s="5"/>
      <c r="H12770" s="5"/>
      <c r="I12770" s="5"/>
      <c r="J12770" s="5"/>
      <c r="K12770" s="5"/>
      <c r="L12770" s="5"/>
      <c r="M12770" s="5"/>
      <c r="N12770" s="5"/>
      <c r="O12770" s="5"/>
      <c r="P12770" s="5"/>
      <c r="Q12770" s="5"/>
      <c r="R12770" s="5"/>
      <c r="S12770" s="5"/>
      <c r="T12770" s="5"/>
      <c r="U12770" s="5"/>
      <c r="V12770" s="5"/>
      <c r="W12770" s="5"/>
      <c r="X12770" s="5"/>
      <c r="Y12770" s="5"/>
      <c r="Z12770" s="5"/>
    </row>
    <row r="12771" spans="1:26" ht="15" x14ac:dyDescent="0.25">
      <c r="A12771" s="4" t="s">
        <v>12768</v>
      </c>
      <c r="B12771" s="4" t="s">
        <v>9011</v>
      </c>
      <c r="C12771" s="2" t="str">
        <f ca="1">IFERROR(__xludf.DUMMYFUNCTION("GOOGLETRANSLATE(A12771,""bn"",""en"")"),"You open a bank account")</f>
        <v>You open a bank account</v>
      </c>
      <c r="D12771" s="5"/>
      <c r="E12771" s="5"/>
      <c r="F12771" s="5"/>
      <c r="G12771" s="5"/>
      <c r="H12771" s="5"/>
      <c r="I12771" s="5"/>
      <c r="J12771" s="5"/>
      <c r="K12771" s="5"/>
      <c r="L12771" s="5"/>
      <c r="M12771" s="5"/>
      <c r="N12771" s="5"/>
      <c r="O12771" s="5"/>
      <c r="P12771" s="5"/>
      <c r="Q12771" s="5"/>
      <c r="R12771" s="5"/>
      <c r="S12771" s="5"/>
      <c r="T12771" s="5"/>
      <c r="U12771" s="5"/>
      <c r="V12771" s="5"/>
      <c r="W12771" s="5"/>
      <c r="X12771" s="5"/>
      <c r="Y12771" s="5"/>
      <c r="Z12771" s="5"/>
    </row>
    <row r="12772" spans="1:26" ht="15" x14ac:dyDescent="0.25">
      <c r="A12772" s="4" t="s">
        <v>12769</v>
      </c>
      <c r="B12772" s="4" t="s">
        <v>9011</v>
      </c>
      <c r="C12772" s="2" t="str">
        <f ca="1">IFERROR(__xludf.DUMMYFUNCTION("GOOGLETRANSLATE(A12772,""bn"",""en"")"),"Health workers will provide proper treatment")</f>
        <v>Health workers will provide proper treatment</v>
      </c>
      <c r="D12772" s="5"/>
      <c r="E12772" s="5"/>
      <c r="F12772" s="5"/>
      <c r="G12772" s="5"/>
      <c r="H12772" s="5"/>
      <c r="I12772" s="5"/>
      <c r="J12772" s="5"/>
      <c r="K12772" s="5"/>
      <c r="L12772" s="5"/>
      <c r="M12772" s="5"/>
      <c r="N12772" s="5"/>
      <c r="O12772" s="5"/>
      <c r="P12772" s="5"/>
      <c r="Q12772" s="5"/>
      <c r="R12772" s="5"/>
      <c r="S12772" s="5"/>
      <c r="T12772" s="5"/>
      <c r="U12772" s="5"/>
      <c r="V12772" s="5"/>
      <c r="W12772" s="5"/>
      <c r="X12772" s="5"/>
      <c r="Y12772" s="5"/>
      <c r="Z12772" s="5"/>
    </row>
    <row r="12773" spans="1:26" ht="15" x14ac:dyDescent="0.25">
      <c r="A12773" s="4" t="s">
        <v>12770</v>
      </c>
      <c r="B12773" s="4" t="s">
        <v>9011</v>
      </c>
      <c r="C12773" s="2" t="str">
        <f ca="1">IFERROR(__xludf.DUMMYFUNCTION("GOOGLETRANSLATE(A12773,""bn"",""en"")"),"Technology will change the perspective")</f>
        <v>Technology will change the perspective</v>
      </c>
      <c r="D12773" s="5"/>
      <c r="E12773" s="5"/>
      <c r="F12773" s="5"/>
      <c r="G12773" s="5"/>
      <c r="H12773" s="5"/>
      <c r="I12773" s="5"/>
      <c r="J12773" s="5"/>
      <c r="K12773" s="5"/>
      <c r="L12773" s="5"/>
      <c r="M12773" s="5"/>
      <c r="N12773" s="5"/>
      <c r="O12773" s="5"/>
      <c r="P12773" s="5"/>
      <c r="Q12773" s="5"/>
      <c r="R12773" s="5"/>
      <c r="S12773" s="5"/>
      <c r="T12773" s="5"/>
      <c r="U12773" s="5"/>
      <c r="V12773" s="5"/>
      <c r="W12773" s="5"/>
      <c r="X12773" s="5"/>
      <c r="Y12773" s="5"/>
      <c r="Z12773" s="5"/>
    </row>
    <row r="12774" spans="1:26" ht="15" x14ac:dyDescent="0.25">
      <c r="A12774" s="4" t="s">
        <v>12771</v>
      </c>
      <c r="B12774" s="4" t="s">
        <v>9011</v>
      </c>
      <c r="C12774" s="2" t="str">
        <f ca="1">IFERROR(__xludf.DUMMYFUNCTION("GOOGLETRANSLATE(A12774,""bn"",""en"")"),"He will go island hopping")</f>
        <v>He will go island hopping</v>
      </c>
      <c r="D12774" s="5"/>
      <c r="E12774" s="5"/>
      <c r="F12774" s="5"/>
      <c r="G12774" s="5"/>
      <c r="H12774" s="5"/>
      <c r="I12774" s="5"/>
      <c r="J12774" s="5"/>
      <c r="K12774" s="5"/>
      <c r="L12774" s="5"/>
      <c r="M12774" s="5"/>
      <c r="N12774" s="5"/>
      <c r="O12774" s="5"/>
      <c r="P12774" s="5"/>
      <c r="Q12774" s="5"/>
      <c r="R12774" s="5"/>
      <c r="S12774" s="5"/>
      <c r="T12774" s="5"/>
      <c r="U12774" s="5"/>
      <c r="V12774" s="5"/>
      <c r="W12774" s="5"/>
      <c r="X12774" s="5"/>
      <c r="Y12774" s="5"/>
      <c r="Z12774" s="5"/>
    </row>
    <row r="12775" spans="1:26" ht="15" x14ac:dyDescent="0.25">
      <c r="A12775" s="4" t="s">
        <v>12772</v>
      </c>
      <c r="B12775" s="4" t="s">
        <v>9011</v>
      </c>
      <c r="C12775" s="2" t="str">
        <f ca="1">IFERROR(__xludf.DUMMYFUNCTION("GOOGLETRANSLATE(A12775,""bn"",""en"")"),"They will use cameras")</f>
        <v>They will use cameras</v>
      </c>
      <c r="D12775" s="5"/>
      <c r="E12775" s="5"/>
      <c r="F12775" s="5"/>
      <c r="G12775" s="5"/>
      <c r="H12775" s="5"/>
      <c r="I12775" s="5"/>
      <c r="J12775" s="5"/>
      <c r="K12775" s="5"/>
      <c r="L12775" s="5"/>
      <c r="M12775" s="5"/>
      <c r="N12775" s="5"/>
      <c r="O12775" s="5"/>
      <c r="P12775" s="5"/>
      <c r="Q12775" s="5"/>
      <c r="R12775" s="5"/>
      <c r="S12775" s="5"/>
      <c r="T12775" s="5"/>
      <c r="U12775" s="5"/>
      <c r="V12775" s="5"/>
      <c r="W12775" s="5"/>
      <c r="X12775" s="5"/>
      <c r="Y12775" s="5"/>
      <c r="Z12775" s="5"/>
    </row>
    <row r="12776" spans="1:26" ht="15" x14ac:dyDescent="0.25">
      <c r="A12776" s="4" t="s">
        <v>12773</v>
      </c>
      <c r="B12776" s="4" t="s">
        <v>9011</v>
      </c>
      <c r="C12776" s="2" t="str">
        <f ca="1">IFERROR(__xludf.DUMMYFUNCTION("GOOGLETRANSLATE(A12776,""bn"",""en"")"),"You will go to the city")</f>
        <v>You will go to the city</v>
      </c>
      <c r="D12776" s="5"/>
      <c r="E12776" s="5"/>
      <c r="F12776" s="5"/>
      <c r="G12776" s="5"/>
      <c r="H12776" s="5"/>
      <c r="I12776" s="5"/>
      <c r="J12776" s="5"/>
      <c r="K12776" s="5"/>
      <c r="L12776" s="5"/>
      <c r="M12776" s="5"/>
      <c r="N12776" s="5"/>
      <c r="O12776" s="5"/>
      <c r="P12776" s="5"/>
      <c r="Q12776" s="5"/>
      <c r="R12776" s="5"/>
      <c r="S12776" s="5"/>
      <c r="T12776" s="5"/>
      <c r="U12776" s="5"/>
      <c r="V12776" s="5"/>
      <c r="W12776" s="5"/>
      <c r="X12776" s="5"/>
      <c r="Y12776" s="5"/>
      <c r="Z12776" s="5"/>
    </row>
    <row r="12777" spans="1:26" ht="15" x14ac:dyDescent="0.25">
      <c r="A12777" s="4" t="s">
        <v>12774</v>
      </c>
      <c r="B12777" s="4" t="s">
        <v>9011</v>
      </c>
      <c r="C12777" s="2" t="str">
        <f ca="1">IFERROR(__xludf.DUMMYFUNCTION("GOOGLETRANSLATE(A12777,""bn"",""en"")"),"There will be an educational program at the university")</f>
        <v>There will be an educational program at the university</v>
      </c>
      <c r="D12777" s="5"/>
      <c r="E12777" s="5"/>
      <c r="F12777" s="5"/>
      <c r="G12777" s="5"/>
      <c r="H12777" s="5"/>
      <c r="I12777" s="5"/>
      <c r="J12777" s="5"/>
      <c r="K12777" s="5"/>
      <c r="L12777" s="5"/>
      <c r="M12777" s="5"/>
      <c r="N12777" s="5"/>
      <c r="O12777" s="5"/>
      <c r="P12777" s="5"/>
      <c r="Q12777" s="5"/>
      <c r="R12777" s="5"/>
      <c r="S12777" s="5"/>
      <c r="T12777" s="5"/>
      <c r="U12777" s="5"/>
      <c r="V12777" s="5"/>
      <c r="W12777" s="5"/>
      <c r="X12777" s="5"/>
      <c r="Y12777" s="5"/>
      <c r="Z12777" s="5"/>
    </row>
    <row r="12778" spans="1:26" ht="15" x14ac:dyDescent="0.25">
      <c r="A12778" s="4" t="s">
        <v>12775</v>
      </c>
      <c r="B12778" s="4" t="s">
        <v>9011</v>
      </c>
      <c r="C12778" s="2" t="str">
        <f ca="1">IFERROR(__xludf.DUMMYFUNCTION("GOOGLETRANSLATE(A12778,""bn"",""en"")"),"Robots will help in transportation")</f>
        <v>Robots will help in transportation</v>
      </c>
      <c r="D12778" s="5"/>
      <c r="E12778" s="5"/>
      <c r="F12778" s="5"/>
      <c r="G12778" s="5"/>
      <c r="H12778" s="5"/>
      <c r="I12778" s="5"/>
      <c r="J12778" s="5"/>
      <c r="K12778" s="5"/>
      <c r="L12778" s="5"/>
      <c r="M12778" s="5"/>
      <c r="N12778" s="5"/>
      <c r="O12778" s="5"/>
      <c r="P12778" s="5"/>
      <c r="Q12778" s="5"/>
      <c r="R12778" s="5"/>
      <c r="S12778" s="5"/>
      <c r="T12778" s="5"/>
      <c r="U12778" s="5"/>
      <c r="V12778" s="5"/>
      <c r="W12778" s="5"/>
      <c r="X12778" s="5"/>
      <c r="Y12778" s="5"/>
      <c r="Z12778" s="5"/>
    </row>
    <row r="12779" spans="1:26" ht="15" x14ac:dyDescent="0.25">
      <c r="A12779" s="4" t="s">
        <v>12776</v>
      </c>
      <c r="B12779" s="4" t="s">
        <v>9011</v>
      </c>
      <c r="C12779" s="2" t="str">
        <f ca="1">IFERROR(__xludf.DUMMYFUNCTION("GOOGLETRANSLATE(A12779,""bn"",""en"")"),"Growth in the initiative will be type wise")</f>
        <v>Growth in the initiative will be type wise</v>
      </c>
      <c r="D12779" s="5"/>
      <c r="E12779" s="5"/>
      <c r="F12779" s="5"/>
      <c r="G12779" s="5"/>
      <c r="H12779" s="5"/>
      <c r="I12779" s="5"/>
      <c r="J12779" s="5"/>
      <c r="K12779" s="5"/>
      <c r="L12779" s="5"/>
      <c r="M12779" s="5"/>
      <c r="N12779" s="5"/>
      <c r="O12779" s="5"/>
      <c r="P12779" s="5"/>
      <c r="Q12779" s="5"/>
      <c r="R12779" s="5"/>
      <c r="S12779" s="5"/>
      <c r="T12779" s="5"/>
      <c r="U12779" s="5"/>
      <c r="V12779" s="5"/>
      <c r="W12779" s="5"/>
      <c r="X12779" s="5"/>
      <c r="Y12779" s="5"/>
      <c r="Z12779" s="5"/>
    </row>
    <row r="12780" spans="1:26" ht="15" x14ac:dyDescent="0.25">
      <c r="A12780" s="4" t="s">
        <v>12777</v>
      </c>
      <c r="B12780" s="4" t="s">
        <v>9011</v>
      </c>
      <c r="C12780" s="2" t="str">
        <f ca="1">IFERROR(__xludf.DUMMYFUNCTION("GOOGLETRANSLATE(A12780,""bn"",""en"")"),"Coding techniques will be advanced")</f>
        <v>Coding techniques will be advanced</v>
      </c>
      <c r="D12780" s="5"/>
      <c r="E12780" s="5"/>
      <c r="F12780" s="5"/>
      <c r="G12780" s="5"/>
      <c r="H12780" s="5"/>
      <c r="I12780" s="5"/>
      <c r="J12780" s="5"/>
      <c r="K12780" s="5"/>
      <c r="L12780" s="5"/>
      <c r="M12780" s="5"/>
      <c r="N12780" s="5"/>
      <c r="O12780" s="5"/>
      <c r="P12780" s="5"/>
      <c r="Q12780" s="5"/>
      <c r="R12780" s="5"/>
      <c r="S12780" s="5"/>
      <c r="T12780" s="5"/>
      <c r="U12780" s="5"/>
      <c r="V12780" s="5"/>
      <c r="W12780" s="5"/>
      <c r="X12780" s="5"/>
      <c r="Y12780" s="5"/>
      <c r="Z12780" s="5"/>
    </row>
    <row r="12781" spans="1:26" ht="15" x14ac:dyDescent="0.25">
      <c r="A12781" s="4" t="s">
        <v>12778</v>
      </c>
      <c r="B12781" s="4" t="s">
        <v>9011</v>
      </c>
      <c r="C12781" s="2" t="str">
        <f ca="1">IFERROR(__xludf.DUMMYFUNCTION("GOOGLETRANSLATE(A12781,""bn"",""en"")"),"Talk to the doctor")</f>
        <v>Talk to the doctor</v>
      </c>
      <c r="D12781" s="5"/>
      <c r="E12781" s="5"/>
      <c r="F12781" s="5"/>
      <c r="G12781" s="5"/>
      <c r="H12781" s="5"/>
      <c r="I12781" s="5"/>
      <c r="J12781" s="5"/>
      <c r="K12781" s="5"/>
      <c r="L12781" s="5"/>
      <c r="M12781" s="5"/>
      <c r="N12781" s="5"/>
      <c r="O12781" s="5"/>
      <c r="P12781" s="5"/>
      <c r="Q12781" s="5"/>
      <c r="R12781" s="5"/>
      <c r="S12781" s="5"/>
      <c r="T12781" s="5"/>
      <c r="U12781" s="5"/>
      <c r="V12781" s="5"/>
      <c r="W12781" s="5"/>
      <c r="X12781" s="5"/>
      <c r="Y12781" s="5"/>
      <c r="Z12781" s="5"/>
    </row>
    <row r="12782" spans="1:26" ht="15" x14ac:dyDescent="0.25">
      <c r="A12782" s="4" t="s">
        <v>12779</v>
      </c>
      <c r="B12782" s="4" t="s">
        <v>9011</v>
      </c>
      <c r="C12782" s="2" t="str">
        <f ca="1">IFERROR(__xludf.DUMMYFUNCTION("GOOGLETRANSLATE(A12782,""bn"",""en"")"),"Science and technology will improve")</f>
        <v>Science and technology will improve</v>
      </c>
      <c r="D12782" s="5"/>
      <c r="E12782" s="5"/>
      <c r="F12782" s="5"/>
      <c r="G12782" s="5"/>
      <c r="H12782" s="5"/>
      <c r="I12782" s="5"/>
      <c r="J12782" s="5"/>
      <c r="K12782" s="5"/>
      <c r="L12782" s="5"/>
      <c r="M12782" s="5"/>
      <c r="N12782" s="5"/>
      <c r="O12782" s="5"/>
      <c r="P12782" s="5"/>
      <c r="Q12782" s="5"/>
      <c r="R12782" s="5"/>
      <c r="S12782" s="5"/>
      <c r="T12782" s="5"/>
      <c r="U12782" s="5"/>
      <c r="V12782" s="5"/>
      <c r="W12782" s="5"/>
      <c r="X12782" s="5"/>
      <c r="Y12782" s="5"/>
      <c r="Z12782" s="5"/>
    </row>
    <row r="12783" spans="1:26" ht="15" x14ac:dyDescent="0.25">
      <c r="A12783" s="4" t="s">
        <v>12780</v>
      </c>
      <c r="B12783" s="4" t="s">
        <v>9011</v>
      </c>
      <c r="C12783" s="2" t="str">
        <f ca="1">IFERROR(__xludf.DUMMYFUNCTION("GOOGLETRANSLATE(A12783,""bn"",""en"")"),"You will go to the economics project")</f>
        <v>You will go to the economics project</v>
      </c>
      <c r="D12783" s="5"/>
      <c r="E12783" s="5"/>
      <c r="F12783" s="5"/>
      <c r="G12783" s="5"/>
      <c r="H12783" s="5"/>
      <c r="I12783" s="5"/>
      <c r="J12783" s="5"/>
      <c r="K12783" s="5"/>
      <c r="L12783" s="5"/>
      <c r="M12783" s="5"/>
      <c r="N12783" s="5"/>
      <c r="O12783" s="5"/>
      <c r="P12783" s="5"/>
      <c r="Q12783" s="5"/>
      <c r="R12783" s="5"/>
      <c r="S12783" s="5"/>
      <c r="T12783" s="5"/>
      <c r="U12783" s="5"/>
      <c r="V12783" s="5"/>
      <c r="W12783" s="5"/>
      <c r="X12783" s="5"/>
      <c r="Y12783" s="5"/>
      <c r="Z12783" s="5"/>
    </row>
    <row r="12784" spans="1:26" ht="15" x14ac:dyDescent="0.25">
      <c r="A12784" s="4" t="s">
        <v>12781</v>
      </c>
      <c r="B12784" s="4" t="s">
        <v>9011</v>
      </c>
      <c r="C12784" s="2" t="str">
        <f ca="1">IFERROR(__xludf.DUMMYFUNCTION("GOOGLETRANSLATE(A12784,""bn"",""en"")"),"Society will move towards digitalization")</f>
        <v>Society will move towards digitalization</v>
      </c>
      <c r="D12784" s="5"/>
      <c r="E12784" s="5"/>
      <c r="F12784" s="5"/>
      <c r="G12784" s="5"/>
      <c r="H12784" s="5"/>
      <c r="I12784" s="5"/>
      <c r="J12784" s="5"/>
      <c r="K12784" s="5"/>
      <c r="L12784" s="5"/>
      <c r="M12784" s="5"/>
      <c r="N12784" s="5"/>
      <c r="O12784" s="5"/>
      <c r="P12784" s="5"/>
      <c r="Q12784" s="5"/>
      <c r="R12784" s="5"/>
      <c r="S12784" s="5"/>
      <c r="T12784" s="5"/>
      <c r="U12784" s="5"/>
      <c r="V12784" s="5"/>
      <c r="W12784" s="5"/>
      <c r="X12784" s="5"/>
      <c r="Y12784" s="5"/>
      <c r="Z12784" s="5"/>
    </row>
    <row r="12785" spans="1:26" ht="15" x14ac:dyDescent="0.25">
      <c r="A12785" s="4" t="s">
        <v>12782</v>
      </c>
      <c r="B12785" s="4" t="s">
        <v>9011</v>
      </c>
      <c r="C12785" s="2" t="str">
        <f ca="1">IFERROR(__xludf.DUMMYFUNCTION("GOOGLETRANSLATE(A12785,""bn"",""en"")"),"Prepared against germs")</f>
        <v>Prepared against germs</v>
      </c>
      <c r="D12785" s="5"/>
      <c r="E12785" s="5"/>
      <c r="F12785" s="5"/>
      <c r="G12785" s="5"/>
      <c r="H12785" s="5"/>
      <c r="I12785" s="5"/>
      <c r="J12785" s="5"/>
      <c r="K12785" s="5"/>
      <c r="L12785" s="5"/>
      <c r="M12785" s="5"/>
      <c r="N12785" s="5"/>
      <c r="O12785" s="5"/>
      <c r="P12785" s="5"/>
      <c r="Q12785" s="5"/>
      <c r="R12785" s="5"/>
      <c r="S12785" s="5"/>
      <c r="T12785" s="5"/>
      <c r="U12785" s="5"/>
      <c r="V12785" s="5"/>
      <c r="W12785" s="5"/>
      <c r="X12785" s="5"/>
      <c r="Y12785" s="5"/>
      <c r="Z12785" s="5"/>
    </row>
    <row r="12786" spans="1:26" ht="15" x14ac:dyDescent="0.25">
      <c r="A12786" s="4" t="s">
        <v>12783</v>
      </c>
      <c r="B12786" s="4" t="s">
        <v>9011</v>
      </c>
      <c r="C12786" s="2" t="str">
        <f ca="1">IFERROR(__xludf.DUMMYFUNCTION("GOOGLETRANSLATE(A12786,""bn"",""en"")"),"After the rains, the weather will be mild")</f>
        <v>After the rains, the weather will be mild</v>
      </c>
      <c r="D12786" s="5"/>
      <c r="E12786" s="5"/>
      <c r="F12786" s="5"/>
      <c r="G12786" s="5"/>
      <c r="H12786" s="5"/>
      <c r="I12786" s="5"/>
      <c r="J12786" s="5"/>
      <c r="K12786" s="5"/>
      <c r="L12786" s="5"/>
      <c r="M12786" s="5"/>
      <c r="N12786" s="5"/>
      <c r="O12786" s="5"/>
      <c r="P12786" s="5"/>
      <c r="Q12786" s="5"/>
      <c r="R12786" s="5"/>
      <c r="S12786" s="5"/>
      <c r="T12786" s="5"/>
      <c r="U12786" s="5"/>
      <c r="V12786" s="5"/>
      <c r="W12786" s="5"/>
      <c r="X12786" s="5"/>
      <c r="Y12786" s="5"/>
      <c r="Z12786" s="5"/>
    </row>
    <row r="12787" spans="1:26" ht="15" x14ac:dyDescent="0.25">
      <c r="A12787" s="4" t="s">
        <v>12784</v>
      </c>
      <c r="B12787" s="4" t="s">
        <v>9011</v>
      </c>
      <c r="C12787" s="2" t="str">
        <f ca="1">IFERROR(__xludf.DUMMYFUNCTION("GOOGLETRANSLATE(A12787,""bn"",""en"")"),"After the rain, everyone will be happy")</f>
        <v>After the rain, everyone will be happy</v>
      </c>
      <c r="D12787" s="5"/>
      <c r="E12787" s="5"/>
      <c r="F12787" s="5"/>
      <c r="G12787" s="5"/>
      <c r="H12787" s="5"/>
      <c r="I12787" s="5"/>
      <c r="J12787" s="5"/>
      <c r="K12787" s="5"/>
      <c r="L12787" s="5"/>
      <c r="M12787" s="5"/>
      <c r="N12787" s="5"/>
      <c r="O12787" s="5"/>
      <c r="P12787" s="5"/>
      <c r="Q12787" s="5"/>
      <c r="R12787" s="5"/>
      <c r="S12787" s="5"/>
      <c r="T12787" s="5"/>
      <c r="U12787" s="5"/>
      <c r="V12787" s="5"/>
      <c r="W12787" s="5"/>
      <c r="X12787" s="5"/>
      <c r="Y12787" s="5"/>
      <c r="Z12787" s="5"/>
    </row>
    <row r="12788" spans="1:26" ht="15" x14ac:dyDescent="0.25">
      <c r="A12788" s="4" t="s">
        <v>12785</v>
      </c>
      <c r="B12788" s="4" t="s">
        <v>9011</v>
      </c>
      <c r="C12788" s="2" t="str">
        <f ca="1">IFERROR(__xludf.DUMMYFUNCTION("GOOGLETRANSLATE(A12788,""bn"",""en"")"),"I will sit in a restaurant on a rainy day")</f>
        <v>I will sit in a restaurant on a rainy day</v>
      </c>
      <c r="D12788" s="5"/>
      <c r="E12788" s="5"/>
      <c r="F12788" s="5"/>
      <c r="G12788" s="5"/>
      <c r="H12788" s="5"/>
      <c r="I12788" s="5"/>
      <c r="J12788" s="5"/>
      <c r="K12788" s="5"/>
      <c r="L12788" s="5"/>
      <c r="M12788" s="5"/>
      <c r="N12788" s="5"/>
      <c r="O12788" s="5"/>
      <c r="P12788" s="5"/>
      <c r="Q12788" s="5"/>
      <c r="R12788" s="5"/>
      <c r="S12788" s="5"/>
      <c r="T12788" s="5"/>
      <c r="U12788" s="5"/>
      <c r="V12788" s="5"/>
      <c r="W12788" s="5"/>
      <c r="X12788" s="5"/>
      <c r="Y12788" s="5"/>
      <c r="Z12788" s="5"/>
    </row>
    <row r="12789" spans="1:26" ht="15" x14ac:dyDescent="0.25">
      <c r="A12789" s="4" t="s">
        <v>12786</v>
      </c>
      <c r="B12789" s="4" t="s">
        <v>9011</v>
      </c>
      <c r="C12789" s="2" t="str">
        <f ca="1">IFERROR(__xludf.DUMMYFUNCTION("GOOGLETRANSLATE(A12789,""bn"",""en"")"),"Must be proficient in computer")</f>
        <v>Must be proficient in computer</v>
      </c>
      <c r="D12789" s="5"/>
      <c r="E12789" s="5"/>
      <c r="F12789" s="5"/>
      <c r="G12789" s="5"/>
      <c r="H12789" s="5"/>
      <c r="I12789" s="5"/>
      <c r="J12789" s="5"/>
      <c r="K12789" s="5"/>
      <c r="L12789" s="5"/>
      <c r="M12789" s="5"/>
      <c r="N12789" s="5"/>
      <c r="O12789" s="5"/>
      <c r="P12789" s="5"/>
      <c r="Q12789" s="5"/>
      <c r="R12789" s="5"/>
      <c r="S12789" s="5"/>
      <c r="T12789" s="5"/>
      <c r="U12789" s="5"/>
      <c r="V12789" s="5"/>
      <c r="W12789" s="5"/>
      <c r="X12789" s="5"/>
      <c r="Y12789" s="5"/>
      <c r="Z12789" s="5"/>
    </row>
    <row r="12790" spans="1:26" ht="15" x14ac:dyDescent="0.25">
      <c r="A12790" s="4" t="s">
        <v>12787</v>
      </c>
      <c r="B12790" s="4" t="s">
        <v>9011</v>
      </c>
      <c r="C12790" s="2" t="str">
        <f ca="1">IFERROR(__xludf.DUMMYFUNCTION("GOOGLETRANSLATE(A12790,""bn"",""en"")"),"The wind will leave the sea")</f>
        <v>The wind will leave the sea</v>
      </c>
      <c r="D12790" s="5"/>
      <c r="E12790" s="5"/>
      <c r="F12790" s="5"/>
      <c r="G12790" s="5"/>
      <c r="H12790" s="5"/>
      <c r="I12790" s="5"/>
      <c r="J12790" s="5"/>
      <c r="K12790" s="5"/>
      <c r="L12790" s="5"/>
      <c r="M12790" s="5"/>
      <c r="N12790" s="5"/>
      <c r="O12790" s="5"/>
      <c r="P12790" s="5"/>
      <c r="Q12790" s="5"/>
      <c r="R12790" s="5"/>
      <c r="S12790" s="5"/>
      <c r="T12790" s="5"/>
      <c r="U12790" s="5"/>
      <c r="V12790" s="5"/>
      <c r="W12790" s="5"/>
      <c r="X12790" s="5"/>
      <c r="Y12790" s="5"/>
      <c r="Z12790" s="5"/>
    </row>
    <row r="12791" spans="1:26" ht="15" x14ac:dyDescent="0.25">
      <c r="A12791" s="4" t="s">
        <v>12788</v>
      </c>
      <c r="B12791" s="4" t="s">
        <v>9011</v>
      </c>
      <c r="C12791" s="2" t="str">
        <f ca="1">IFERROR(__xludf.DUMMYFUNCTION("GOOGLETRANSLATE(A12791,""bn"",""en"")"),"I will meet the poets at the book fair")</f>
        <v>I will meet the poets at the book fair</v>
      </c>
      <c r="D12791" s="5"/>
      <c r="E12791" s="5"/>
      <c r="F12791" s="5"/>
      <c r="G12791" s="5"/>
      <c r="H12791" s="5"/>
      <c r="I12791" s="5"/>
      <c r="J12791" s="5"/>
      <c r="K12791" s="5"/>
      <c r="L12791" s="5"/>
      <c r="M12791" s="5"/>
      <c r="N12791" s="5"/>
      <c r="O12791" s="5"/>
      <c r="P12791" s="5"/>
      <c r="Q12791" s="5"/>
      <c r="R12791" s="5"/>
      <c r="S12791" s="5"/>
      <c r="T12791" s="5"/>
      <c r="U12791" s="5"/>
      <c r="V12791" s="5"/>
      <c r="W12791" s="5"/>
      <c r="X12791" s="5"/>
      <c r="Y12791" s="5"/>
      <c r="Z12791" s="5"/>
    </row>
    <row r="12792" spans="1:26" ht="15" x14ac:dyDescent="0.25">
      <c r="A12792" s="4" t="s">
        <v>12789</v>
      </c>
      <c r="B12792" s="4" t="s">
        <v>9011</v>
      </c>
      <c r="C12792" s="2" t="str">
        <f ca="1">IFERROR(__xludf.DUMMYFUNCTION("GOOGLETRANSLATE(A12792,""bn"",""en"")"),"He will eat Bengali sweets")</f>
        <v>He will eat Bengali sweets</v>
      </c>
      <c r="D12792" s="5"/>
      <c r="E12792" s="5"/>
      <c r="F12792" s="5"/>
      <c r="G12792" s="5"/>
      <c r="H12792" s="5"/>
      <c r="I12792" s="5"/>
      <c r="J12792" s="5"/>
      <c r="K12792" s="5"/>
      <c r="L12792" s="5"/>
      <c r="M12792" s="5"/>
      <c r="N12792" s="5"/>
      <c r="O12792" s="5"/>
      <c r="P12792" s="5"/>
      <c r="Q12792" s="5"/>
      <c r="R12792" s="5"/>
      <c r="S12792" s="5"/>
      <c r="T12792" s="5"/>
      <c r="U12792" s="5"/>
      <c r="V12792" s="5"/>
      <c r="W12792" s="5"/>
      <c r="X12792" s="5"/>
      <c r="Y12792" s="5"/>
      <c r="Z12792" s="5"/>
    </row>
    <row r="12793" spans="1:26" ht="15" x14ac:dyDescent="0.25">
      <c r="A12793" s="4" t="s">
        <v>12790</v>
      </c>
      <c r="B12793" s="4" t="s">
        <v>9011</v>
      </c>
      <c r="C12793" s="2" t="str">
        <f ca="1">IFERROR(__xludf.DUMMYFUNCTION("GOOGLETRANSLATE(A12793,""bn"",""en"")"),"I will wear vampire literature")</f>
        <v>I will wear vampire literature</v>
      </c>
      <c r="D12793" s="5"/>
      <c r="E12793" s="5"/>
      <c r="F12793" s="5"/>
      <c r="G12793" s="5"/>
      <c r="H12793" s="5"/>
      <c r="I12793" s="5"/>
      <c r="J12793" s="5"/>
      <c r="K12793" s="5"/>
      <c r="L12793" s="5"/>
      <c r="M12793" s="5"/>
      <c r="N12793" s="5"/>
      <c r="O12793" s="5"/>
      <c r="P12793" s="5"/>
      <c r="Q12793" s="5"/>
      <c r="R12793" s="5"/>
      <c r="S12793" s="5"/>
      <c r="T12793" s="5"/>
      <c r="U12793" s="5"/>
      <c r="V12793" s="5"/>
      <c r="W12793" s="5"/>
      <c r="X12793" s="5"/>
      <c r="Y12793" s="5"/>
      <c r="Z12793" s="5"/>
    </row>
    <row r="12794" spans="1:26" ht="15" x14ac:dyDescent="0.25">
      <c r="A12794" s="4" t="s">
        <v>12791</v>
      </c>
      <c r="B12794" s="4" t="s">
        <v>9011</v>
      </c>
      <c r="C12794" s="2" t="str">
        <f ca="1">IFERROR(__xludf.DUMMYFUNCTION("GOOGLETRANSLATE(A12794,""bn"",""en"")"),"The government will develop the economy")</f>
        <v>The government will develop the economy</v>
      </c>
      <c r="D12794" s="5"/>
      <c r="E12794" s="5"/>
      <c r="F12794" s="5"/>
      <c r="G12794" s="5"/>
      <c r="H12794" s="5"/>
      <c r="I12794" s="5"/>
      <c r="J12794" s="5"/>
      <c r="K12794" s="5"/>
      <c r="L12794" s="5"/>
      <c r="M12794" s="5"/>
      <c r="N12794" s="5"/>
      <c r="O12794" s="5"/>
      <c r="P12794" s="5"/>
      <c r="Q12794" s="5"/>
      <c r="R12794" s="5"/>
      <c r="S12794" s="5"/>
      <c r="T12794" s="5"/>
      <c r="U12794" s="5"/>
      <c r="V12794" s="5"/>
      <c r="W12794" s="5"/>
      <c r="X12794" s="5"/>
      <c r="Y12794" s="5"/>
      <c r="Z12794" s="5"/>
    </row>
    <row r="12795" spans="1:26" ht="15" x14ac:dyDescent="0.25">
      <c r="A12795" s="4" t="s">
        <v>12792</v>
      </c>
      <c r="B12795" s="4" t="s">
        <v>9011</v>
      </c>
      <c r="C12795" s="2" t="str">
        <f ca="1">IFERROR(__xludf.DUMMYFUNCTION("GOOGLETRANSLATE(A12795,""bn"",""en"")"),"Work through the comments")</f>
        <v>Work through the comments</v>
      </c>
      <c r="D12795" s="5"/>
      <c r="E12795" s="5"/>
      <c r="F12795" s="5"/>
      <c r="G12795" s="5"/>
      <c r="H12795" s="5"/>
      <c r="I12795" s="5"/>
      <c r="J12795" s="5"/>
      <c r="K12795" s="5"/>
      <c r="L12795" s="5"/>
      <c r="M12795" s="5"/>
      <c r="N12795" s="5"/>
      <c r="O12795" s="5"/>
      <c r="P12795" s="5"/>
      <c r="Q12795" s="5"/>
      <c r="R12795" s="5"/>
      <c r="S12795" s="5"/>
      <c r="T12795" s="5"/>
      <c r="U12795" s="5"/>
      <c r="V12795" s="5"/>
      <c r="W12795" s="5"/>
      <c r="X12795" s="5"/>
      <c r="Y12795" s="5"/>
      <c r="Z12795" s="5"/>
    </row>
    <row r="12796" spans="1:26" ht="15" x14ac:dyDescent="0.25">
      <c r="A12796" s="4" t="s">
        <v>12793</v>
      </c>
      <c r="B12796" s="4" t="s">
        <v>9011</v>
      </c>
      <c r="C12796" s="2" t="str">
        <f ca="1">IFERROR(__xludf.DUMMYFUNCTION("GOOGLETRANSLATE(A12796,""bn"",""en"")"),"You will manage the project")</f>
        <v>You will manage the project</v>
      </c>
      <c r="D12796" s="5"/>
      <c r="E12796" s="5"/>
      <c r="F12796" s="5"/>
      <c r="G12796" s="5"/>
      <c r="H12796" s="5"/>
      <c r="I12796" s="5"/>
      <c r="J12796" s="5"/>
      <c r="K12796" s="5"/>
      <c r="L12796" s="5"/>
      <c r="M12796" s="5"/>
      <c r="N12796" s="5"/>
      <c r="O12796" s="5"/>
      <c r="P12796" s="5"/>
      <c r="Q12796" s="5"/>
      <c r="R12796" s="5"/>
      <c r="S12796" s="5"/>
      <c r="T12796" s="5"/>
      <c r="U12796" s="5"/>
      <c r="V12796" s="5"/>
      <c r="W12796" s="5"/>
      <c r="X12796" s="5"/>
      <c r="Y12796" s="5"/>
      <c r="Z12796" s="5"/>
    </row>
    <row r="12797" spans="1:26" ht="15" x14ac:dyDescent="0.25">
      <c r="A12797" s="4" t="s">
        <v>12794</v>
      </c>
      <c r="B12797" s="4" t="s">
        <v>9011</v>
      </c>
      <c r="C12797" s="2" t="str">
        <f ca="1">IFERROR(__xludf.DUMMYFUNCTION("GOOGLETRANSLATE(A12797,""bn"",""en"")"),"You put food in the pot")</f>
        <v>You put food in the pot</v>
      </c>
      <c r="D12797" s="5"/>
      <c r="E12797" s="5"/>
      <c r="F12797" s="5"/>
      <c r="G12797" s="5"/>
      <c r="H12797" s="5"/>
      <c r="I12797" s="5"/>
      <c r="J12797" s="5"/>
      <c r="K12797" s="5"/>
      <c r="L12797" s="5"/>
      <c r="M12797" s="5"/>
      <c r="N12797" s="5"/>
      <c r="O12797" s="5"/>
      <c r="P12797" s="5"/>
      <c r="Q12797" s="5"/>
      <c r="R12797" s="5"/>
      <c r="S12797" s="5"/>
      <c r="T12797" s="5"/>
      <c r="U12797" s="5"/>
      <c r="V12797" s="5"/>
      <c r="W12797" s="5"/>
      <c r="X12797" s="5"/>
      <c r="Y12797" s="5"/>
      <c r="Z12797" s="5"/>
    </row>
    <row r="12798" spans="1:26" ht="15" x14ac:dyDescent="0.25">
      <c r="A12798" s="4" t="s">
        <v>12795</v>
      </c>
      <c r="B12798" s="4" t="s">
        <v>9011</v>
      </c>
      <c r="C12798" s="2" t="str">
        <f ca="1">IFERROR(__xludf.DUMMYFUNCTION("GOOGLETRANSLATE(A12798,""bn"",""en"")"),"I will make fruit juice")</f>
        <v>I will make fruit juice</v>
      </c>
      <c r="D12798" s="5"/>
      <c r="E12798" s="5"/>
      <c r="F12798" s="5"/>
      <c r="G12798" s="5"/>
      <c r="H12798" s="5"/>
      <c r="I12798" s="5"/>
      <c r="J12798" s="5"/>
      <c r="K12798" s="5"/>
      <c r="L12798" s="5"/>
      <c r="M12798" s="5"/>
      <c r="N12798" s="5"/>
      <c r="O12798" s="5"/>
      <c r="P12798" s="5"/>
      <c r="Q12798" s="5"/>
      <c r="R12798" s="5"/>
      <c r="S12798" s="5"/>
      <c r="T12798" s="5"/>
      <c r="U12798" s="5"/>
      <c r="V12798" s="5"/>
      <c r="W12798" s="5"/>
      <c r="X12798" s="5"/>
      <c r="Y12798" s="5"/>
      <c r="Z12798" s="5"/>
    </row>
    <row r="12799" spans="1:26" ht="15" x14ac:dyDescent="0.25">
      <c r="A12799" s="4" t="s">
        <v>12796</v>
      </c>
      <c r="B12799" s="4" t="s">
        <v>9011</v>
      </c>
      <c r="C12799" s="2" t="str">
        <f ca="1">IFERROR(__xludf.DUMMYFUNCTION("GOOGLETRANSLATE(A12799,""bn"",""en"")"),"Technical commercial capacity will fall")</f>
        <v>Technical commercial capacity will fall</v>
      </c>
      <c r="D12799" s="5"/>
      <c r="E12799" s="5"/>
      <c r="F12799" s="5"/>
      <c r="G12799" s="5"/>
      <c r="H12799" s="5"/>
      <c r="I12799" s="5"/>
      <c r="J12799" s="5"/>
      <c r="K12799" s="5"/>
      <c r="L12799" s="5"/>
      <c r="M12799" s="5"/>
      <c r="N12799" s="5"/>
      <c r="O12799" s="5"/>
      <c r="P12799" s="5"/>
      <c r="Q12799" s="5"/>
      <c r="R12799" s="5"/>
      <c r="S12799" s="5"/>
      <c r="T12799" s="5"/>
      <c r="U12799" s="5"/>
      <c r="V12799" s="5"/>
      <c r="W12799" s="5"/>
      <c r="X12799" s="5"/>
      <c r="Y12799" s="5"/>
      <c r="Z12799" s="5"/>
    </row>
    <row r="12800" spans="1:26" ht="15" x14ac:dyDescent="0.25">
      <c r="A12800" s="4" t="s">
        <v>12797</v>
      </c>
      <c r="B12800" s="4" t="s">
        <v>9011</v>
      </c>
      <c r="C12800" s="2" t="str">
        <f ca="1">IFERROR(__xludf.DUMMYFUNCTION("GOOGLETRANSLATE(A12800,""bn"",""en"")"),"Science fair will be held")</f>
        <v>Science fair will be held</v>
      </c>
      <c r="D12800" s="5"/>
      <c r="E12800" s="5"/>
      <c r="F12800" s="5"/>
      <c r="G12800" s="5"/>
      <c r="H12800" s="5"/>
      <c r="I12800" s="5"/>
      <c r="J12800" s="5"/>
      <c r="K12800" s="5"/>
      <c r="L12800" s="5"/>
      <c r="M12800" s="5"/>
      <c r="N12800" s="5"/>
      <c r="O12800" s="5"/>
      <c r="P12800" s="5"/>
      <c r="Q12800" s="5"/>
      <c r="R12800" s="5"/>
      <c r="S12800" s="5"/>
      <c r="T12800" s="5"/>
      <c r="U12800" s="5"/>
      <c r="V12800" s="5"/>
      <c r="W12800" s="5"/>
      <c r="X12800" s="5"/>
      <c r="Y12800" s="5"/>
      <c r="Z12800" s="5"/>
    </row>
    <row r="12801" spans="1:26" ht="15" x14ac:dyDescent="0.25">
      <c r="A12801" s="4" t="s">
        <v>12798</v>
      </c>
      <c r="B12801" s="4" t="s">
        <v>9011</v>
      </c>
      <c r="C12801" s="2" t="str">
        <f ca="1">IFERROR(__xludf.DUMMYFUNCTION("GOOGLETRANSLATE(A12801,""bn"",""en"")"),"New steps will be in prosperity")</f>
        <v>New steps will be in prosperity</v>
      </c>
      <c r="D12801" s="5"/>
      <c r="E12801" s="5"/>
      <c r="F12801" s="5"/>
      <c r="G12801" s="5"/>
      <c r="H12801" s="5"/>
      <c r="I12801" s="5"/>
      <c r="J12801" s="5"/>
      <c r="K12801" s="5"/>
      <c r="L12801" s="5"/>
      <c r="M12801" s="5"/>
      <c r="N12801" s="5"/>
      <c r="O12801" s="5"/>
      <c r="P12801" s="5"/>
      <c r="Q12801" s="5"/>
      <c r="R12801" s="5"/>
      <c r="S12801" s="5"/>
      <c r="T12801" s="5"/>
      <c r="U12801" s="5"/>
      <c r="V12801" s="5"/>
      <c r="W12801" s="5"/>
      <c r="X12801" s="5"/>
      <c r="Y12801" s="5"/>
      <c r="Z12801" s="5"/>
    </row>
    <row r="12802" spans="1:26" ht="15" x14ac:dyDescent="0.25">
      <c r="A12802" s="4" t="s">
        <v>12799</v>
      </c>
      <c r="B12802" s="4" t="s">
        <v>9011</v>
      </c>
      <c r="C12802" s="2" t="str">
        <f ca="1">IFERROR(__xludf.DUMMYFUNCTION("GOOGLETRANSLATE(A12802,""bn"",""en"")"),"The heart will see the tone of the language")</f>
        <v>The heart will see the tone of the language</v>
      </c>
      <c r="D12802" s="5"/>
      <c r="E12802" s="5"/>
      <c r="F12802" s="5"/>
      <c r="G12802" s="5"/>
      <c r="H12802" s="5"/>
      <c r="I12802" s="5"/>
      <c r="J12802" s="5"/>
      <c r="K12802" s="5"/>
      <c r="L12802" s="5"/>
      <c r="M12802" s="5"/>
      <c r="N12802" s="5"/>
      <c r="O12802" s="5"/>
      <c r="P12802" s="5"/>
      <c r="Q12802" s="5"/>
      <c r="R12802" s="5"/>
      <c r="S12802" s="5"/>
      <c r="T12802" s="5"/>
      <c r="U12802" s="5"/>
      <c r="V12802" s="5"/>
      <c r="W12802" s="5"/>
      <c r="X12802" s="5"/>
      <c r="Y12802" s="5"/>
      <c r="Z12802" s="5"/>
    </row>
    <row r="12803" spans="1:26" ht="15" x14ac:dyDescent="0.25">
      <c r="A12803" s="4" t="s">
        <v>12800</v>
      </c>
      <c r="B12803" s="4" t="s">
        <v>9011</v>
      </c>
      <c r="C12803" s="2" t="str">
        <f ca="1">IFERROR(__xludf.DUMMYFUNCTION("GOOGLETRANSLATE(A12803,""bn"",""en"")"),"The server will go down regularly")</f>
        <v>The server will go down regularly</v>
      </c>
      <c r="D12803" s="5"/>
      <c r="E12803" s="5"/>
      <c r="F12803" s="5"/>
      <c r="G12803" s="5"/>
      <c r="H12803" s="5"/>
      <c r="I12803" s="5"/>
      <c r="J12803" s="5"/>
      <c r="K12803" s="5"/>
      <c r="L12803" s="5"/>
      <c r="M12803" s="5"/>
      <c r="N12803" s="5"/>
      <c r="O12803" s="5"/>
      <c r="P12803" s="5"/>
      <c r="Q12803" s="5"/>
      <c r="R12803" s="5"/>
      <c r="S12803" s="5"/>
      <c r="T12803" s="5"/>
      <c r="U12803" s="5"/>
      <c r="V12803" s="5"/>
      <c r="W12803" s="5"/>
      <c r="X12803" s="5"/>
      <c r="Y12803" s="5"/>
      <c r="Z12803" s="5"/>
    </row>
    <row r="12804" spans="1:26" ht="15" x14ac:dyDescent="0.25">
      <c r="A12804" s="4" t="s">
        <v>12801</v>
      </c>
      <c r="B12804" s="4" t="s">
        <v>9011</v>
      </c>
      <c r="C12804" s="2" t="str">
        <f ca="1">IFERROR(__xludf.DUMMYFUNCTION("GOOGLETRANSLATE(A12804,""bn"",""en"")"),"Developers will do software testing")</f>
        <v>Developers will do software testing</v>
      </c>
      <c r="D12804" s="5"/>
      <c r="E12804" s="5"/>
      <c r="F12804" s="5"/>
      <c r="G12804" s="5"/>
      <c r="H12804" s="5"/>
      <c r="I12804" s="5"/>
      <c r="J12804" s="5"/>
      <c r="K12804" s="5"/>
      <c r="L12804" s="5"/>
      <c r="M12804" s="5"/>
      <c r="N12804" s="5"/>
      <c r="O12804" s="5"/>
      <c r="P12804" s="5"/>
      <c r="Q12804" s="5"/>
      <c r="R12804" s="5"/>
      <c r="S12804" s="5"/>
      <c r="T12804" s="5"/>
      <c r="U12804" s="5"/>
      <c r="V12804" s="5"/>
      <c r="W12804" s="5"/>
      <c r="X12804" s="5"/>
      <c r="Y12804" s="5"/>
      <c r="Z12804" s="5"/>
    </row>
    <row r="12805" spans="1:26" ht="15" x14ac:dyDescent="0.25">
      <c r="A12805" s="4" t="s">
        <v>12802</v>
      </c>
      <c r="B12805" s="4" t="s">
        <v>9011</v>
      </c>
      <c r="C12805" s="2" t="str">
        <f ca="1">IFERROR(__xludf.DUMMYFUNCTION("GOOGLETRANSLATE(A12805,""bn"",""en"")"),"The factory will need its own software")</f>
        <v>The factory will need its own software</v>
      </c>
      <c r="D12805" s="5"/>
      <c r="E12805" s="5"/>
      <c r="F12805" s="5"/>
      <c r="G12805" s="5"/>
      <c r="H12805" s="5"/>
      <c r="I12805" s="5"/>
      <c r="J12805" s="5"/>
      <c r="K12805" s="5"/>
      <c r="L12805" s="5"/>
      <c r="M12805" s="5"/>
      <c r="N12805" s="5"/>
      <c r="O12805" s="5"/>
      <c r="P12805" s="5"/>
      <c r="Q12805" s="5"/>
      <c r="R12805" s="5"/>
      <c r="S12805" s="5"/>
      <c r="T12805" s="5"/>
      <c r="U12805" s="5"/>
      <c r="V12805" s="5"/>
      <c r="W12805" s="5"/>
      <c r="X12805" s="5"/>
      <c r="Y12805" s="5"/>
      <c r="Z12805" s="5"/>
    </row>
    <row r="12806" spans="1:26" ht="15" x14ac:dyDescent="0.25">
      <c r="A12806" s="4" t="s">
        <v>12803</v>
      </c>
      <c r="B12806" s="4" t="s">
        <v>9011</v>
      </c>
      <c r="C12806" s="2" t="str">
        <f ca="1">IFERROR(__xludf.DUMMYFUNCTION("GOOGLETRANSLATE(A12806,""bn"",""en"")"),"Buying and selling in the market will increase continuously")</f>
        <v>Buying and selling in the market will increase continuously</v>
      </c>
      <c r="D12806" s="5"/>
      <c r="E12806" s="5"/>
      <c r="F12806" s="5"/>
      <c r="G12806" s="5"/>
      <c r="H12806" s="5"/>
      <c r="I12806" s="5"/>
      <c r="J12806" s="5"/>
      <c r="K12806" s="5"/>
      <c r="L12806" s="5"/>
      <c r="M12806" s="5"/>
      <c r="N12806" s="5"/>
      <c r="O12806" s="5"/>
      <c r="P12806" s="5"/>
      <c r="Q12806" s="5"/>
      <c r="R12806" s="5"/>
      <c r="S12806" s="5"/>
      <c r="T12806" s="5"/>
      <c r="U12806" s="5"/>
      <c r="V12806" s="5"/>
      <c r="W12806" s="5"/>
      <c r="X12806" s="5"/>
      <c r="Y12806" s="5"/>
      <c r="Z12806" s="5"/>
    </row>
    <row r="12807" spans="1:26" ht="15" x14ac:dyDescent="0.25">
      <c r="A12807" s="4" t="s">
        <v>12804</v>
      </c>
      <c r="B12807" s="4" t="s">
        <v>9011</v>
      </c>
      <c r="C12807" s="2" t="str">
        <f ca="1">IFERROR(__xludf.DUMMYFUNCTION("GOOGLETRANSLATE(A12807,""bn"",""en"")"),"I will get hot tea in winter")</f>
        <v>I will get hot tea in winter</v>
      </c>
      <c r="D12807" s="5"/>
      <c r="E12807" s="5"/>
      <c r="F12807" s="5"/>
      <c r="G12807" s="5"/>
      <c r="H12807" s="5"/>
      <c r="I12807" s="5"/>
      <c r="J12807" s="5"/>
      <c r="K12807" s="5"/>
      <c r="L12807" s="5"/>
      <c r="M12807" s="5"/>
      <c r="N12807" s="5"/>
      <c r="O12807" s="5"/>
      <c r="P12807" s="5"/>
      <c r="Q12807" s="5"/>
      <c r="R12807" s="5"/>
      <c r="S12807" s="5"/>
      <c r="T12807" s="5"/>
      <c r="U12807" s="5"/>
      <c r="V12807" s="5"/>
      <c r="W12807" s="5"/>
      <c r="X12807" s="5"/>
      <c r="Y12807" s="5"/>
      <c r="Z12807" s="5"/>
    </row>
    <row r="12808" spans="1:26" ht="15" x14ac:dyDescent="0.25">
      <c r="A12808" s="4" t="s">
        <v>12805</v>
      </c>
      <c r="B12808" s="4" t="s">
        <v>9011</v>
      </c>
      <c r="C12808" s="2" t="str">
        <f ca="1">IFERROR(__xludf.DUMMYFUNCTION("GOOGLETRANSLATE(A12808,""bn"",""en"")"),"The sea will be peaceful on the shore")</f>
        <v>The sea will be peaceful on the shore</v>
      </c>
      <c r="D12808" s="5"/>
      <c r="E12808" s="5"/>
      <c r="F12808" s="5"/>
      <c r="G12808" s="5"/>
      <c r="H12808" s="5"/>
      <c r="I12808" s="5"/>
      <c r="J12808" s="5"/>
      <c r="K12808" s="5"/>
      <c r="L12808" s="5"/>
      <c r="M12808" s="5"/>
      <c r="N12808" s="5"/>
      <c r="O12808" s="5"/>
      <c r="P12808" s="5"/>
      <c r="Q12808" s="5"/>
      <c r="R12808" s="5"/>
      <c r="S12808" s="5"/>
      <c r="T12808" s="5"/>
      <c r="U12808" s="5"/>
      <c r="V12808" s="5"/>
      <c r="W12808" s="5"/>
      <c r="X12808" s="5"/>
      <c r="Y12808" s="5"/>
      <c r="Z12808" s="5"/>
    </row>
    <row r="12809" spans="1:26" ht="15" x14ac:dyDescent="0.25">
      <c r="A12809" s="4" t="s">
        <v>12806</v>
      </c>
      <c r="B12809" s="4" t="s">
        <v>9011</v>
      </c>
      <c r="C12809" s="2" t="str">
        <f ca="1">IFERROR(__xludf.DUMMYFUNCTION("GOOGLETRANSLATE(A12809,""bn"",""en"")"),"Music should always be played")</f>
        <v>Music should always be played</v>
      </c>
      <c r="D12809" s="5"/>
      <c r="E12809" s="5"/>
      <c r="F12809" s="5"/>
      <c r="G12809" s="5"/>
      <c r="H12809" s="5"/>
      <c r="I12809" s="5"/>
      <c r="J12809" s="5"/>
      <c r="K12809" s="5"/>
      <c r="L12809" s="5"/>
      <c r="M12809" s="5"/>
      <c r="N12809" s="5"/>
      <c r="O12809" s="5"/>
      <c r="P12809" s="5"/>
      <c r="Q12809" s="5"/>
      <c r="R12809" s="5"/>
      <c r="S12809" s="5"/>
      <c r="T12809" s="5"/>
      <c r="U12809" s="5"/>
      <c r="V12809" s="5"/>
      <c r="W12809" s="5"/>
      <c r="X12809" s="5"/>
      <c r="Y12809" s="5"/>
      <c r="Z12809" s="5"/>
    </row>
    <row r="12810" spans="1:26" ht="15" x14ac:dyDescent="0.25">
      <c r="A12810" s="4" t="s">
        <v>12807</v>
      </c>
      <c r="B12810" s="4" t="s">
        <v>9011</v>
      </c>
      <c r="C12810" s="2" t="str">
        <f ca="1">IFERROR(__xludf.DUMMYFUNCTION("GOOGLETRANSLATE(A12810,""bn"",""en"")"),"I will sit to discuss in the restaurant")</f>
        <v>I will sit to discuss in the restaurant</v>
      </c>
      <c r="D12810" s="5"/>
      <c r="E12810" s="5"/>
      <c r="F12810" s="5"/>
      <c r="G12810" s="5"/>
      <c r="H12810" s="5"/>
      <c r="I12810" s="5"/>
      <c r="J12810" s="5"/>
      <c r="K12810" s="5"/>
      <c r="L12810" s="5"/>
      <c r="M12810" s="5"/>
      <c r="N12810" s="5"/>
      <c r="O12810" s="5"/>
      <c r="P12810" s="5"/>
      <c r="Q12810" s="5"/>
      <c r="R12810" s="5"/>
      <c r="S12810" s="5"/>
      <c r="T12810" s="5"/>
      <c r="U12810" s="5"/>
      <c r="V12810" s="5"/>
      <c r="W12810" s="5"/>
      <c r="X12810" s="5"/>
      <c r="Y12810" s="5"/>
      <c r="Z12810" s="5"/>
    </row>
    <row r="12811" spans="1:26" ht="15" x14ac:dyDescent="0.25">
      <c r="A12811" s="4" t="s">
        <v>12808</v>
      </c>
      <c r="B12811" s="4" t="s">
        <v>9011</v>
      </c>
      <c r="C12811" s="2" t="str">
        <f ca="1">IFERROR(__xludf.DUMMYFUNCTION("GOOGLETRANSLATE(A12811,""bn"",""en"")"),"Everyone will go to the hospital in the morning")</f>
        <v>Everyone will go to the hospital in the morning</v>
      </c>
      <c r="D12811" s="5"/>
      <c r="E12811" s="5"/>
      <c r="F12811" s="5"/>
      <c r="G12811" s="5"/>
      <c r="H12811" s="5"/>
      <c r="I12811" s="5"/>
      <c r="J12811" s="5"/>
      <c r="K12811" s="5"/>
      <c r="L12811" s="5"/>
      <c r="M12811" s="5"/>
      <c r="N12811" s="5"/>
      <c r="O12811" s="5"/>
      <c r="P12811" s="5"/>
      <c r="Q12811" s="5"/>
      <c r="R12811" s="5"/>
      <c r="S12811" s="5"/>
      <c r="T12811" s="5"/>
      <c r="U12811" s="5"/>
      <c r="V12811" s="5"/>
      <c r="W12811" s="5"/>
      <c r="X12811" s="5"/>
      <c r="Y12811" s="5"/>
      <c r="Z12811" s="5"/>
    </row>
    <row r="12812" spans="1:26" ht="15" x14ac:dyDescent="0.25">
      <c r="A12812" s="4" t="s">
        <v>12809</v>
      </c>
      <c r="B12812" s="4" t="s">
        <v>9011</v>
      </c>
      <c r="C12812" s="2" t="str">
        <f ca="1">IFERROR(__xludf.DUMMYFUNCTION("GOOGLETRANSLATE(A12812,""bn"",""en"")"),"I will go hiking in the mountains")</f>
        <v>I will go hiking in the mountains</v>
      </c>
      <c r="D12812" s="5"/>
      <c r="E12812" s="5"/>
      <c r="F12812" s="5"/>
      <c r="G12812" s="5"/>
      <c r="H12812" s="5"/>
      <c r="I12812" s="5"/>
      <c r="J12812" s="5"/>
      <c r="K12812" s="5"/>
      <c r="L12812" s="5"/>
      <c r="M12812" s="5"/>
      <c r="N12812" s="5"/>
      <c r="O12812" s="5"/>
      <c r="P12812" s="5"/>
      <c r="Q12812" s="5"/>
      <c r="R12812" s="5"/>
      <c r="S12812" s="5"/>
      <c r="T12812" s="5"/>
      <c r="U12812" s="5"/>
      <c r="V12812" s="5"/>
      <c r="W12812" s="5"/>
      <c r="X12812" s="5"/>
      <c r="Y12812" s="5"/>
      <c r="Z12812" s="5"/>
    </row>
    <row r="12813" spans="1:26" ht="15" x14ac:dyDescent="0.25">
      <c r="A12813" s="4" t="s">
        <v>12810</v>
      </c>
      <c r="B12813" s="4" t="s">
        <v>9011</v>
      </c>
      <c r="C12813" s="2" t="str">
        <f ca="1">IFERROR(__xludf.DUMMYFUNCTION("GOOGLETRANSLATE(A12813,""bn"",""en"")"),"I will use a framework")</f>
        <v>I will use a framework</v>
      </c>
      <c r="D12813" s="5"/>
      <c r="E12813" s="5"/>
      <c r="F12813" s="5"/>
      <c r="G12813" s="5"/>
      <c r="H12813" s="5"/>
      <c r="I12813" s="5"/>
      <c r="J12813" s="5"/>
      <c r="K12813" s="5"/>
      <c r="L12813" s="5"/>
      <c r="M12813" s="5"/>
      <c r="N12813" s="5"/>
      <c r="O12813" s="5"/>
      <c r="P12813" s="5"/>
      <c r="Q12813" s="5"/>
      <c r="R12813" s="5"/>
      <c r="S12813" s="5"/>
      <c r="T12813" s="5"/>
      <c r="U12813" s="5"/>
      <c r="V12813" s="5"/>
      <c r="W12813" s="5"/>
      <c r="X12813" s="5"/>
      <c r="Y12813" s="5"/>
      <c r="Z12813" s="5"/>
    </row>
    <row r="12814" spans="1:26" ht="15" x14ac:dyDescent="0.25">
      <c r="A12814" s="4" t="s">
        <v>12811</v>
      </c>
      <c r="B12814" s="4" t="s">
        <v>9011</v>
      </c>
      <c r="C12814" s="2" t="str">
        <f ca="1">IFERROR(__xludf.DUMMYFUNCTION("GOOGLETRANSLATE(A12814,""bn"",""en"")"),"We will come to eat at the restaurant")</f>
        <v>We will come to eat at the restaurant</v>
      </c>
      <c r="D12814" s="5"/>
      <c r="E12814" s="5"/>
      <c r="F12814" s="5"/>
      <c r="G12814" s="5"/>
      <c r="H12814" s="5"/>
      <c r="I12814" s="5"/>
      <c r="J12814" s="5"/>
      <c r="K12814" s="5"/>
      <c r="L12814" s="5"/>
      <c r="M12814" s="5"/>
      <c r="N12814" s="5"/>
      <c r="O12814" s="5"/>
      <c r="P12814" s="5"/>
      <c r="Q12814" s="5"/>
      <c r="R12814" s="5"/>
      <c r="S12814" s="5"/>
      <c r="T12814" s="5"/>
      <c r="U12814" s="5"/>
      <c r="V12814" s="5"/>
      <c r="W12814" s="5"/>
      <c r="X12814" s="5"/>
      <c r="Y12814" s="5"/>
      <c r="Z12814" s="5"/>
    </row>
    <row r="12815" spans="1:26" ht="15" x14ac:dyDescent="0.25">
      <c r="A12815" s="4" t="s">
        <v>12812</v>
      </c>
      <c r="B12815" s="4" t="s">
        <v>9011</v>
      </c>
      <c r="C12815" s="2" t="str">
        <f ca="1">IFERROR(__xludf.DUMMYFUNCTION("GOOGLETRANSLATE(A12815,""bn"",""en"")"),"University teachers will join")</f>
        <v>University teachers will join</v>
      </c>
      <c r="D12815" s="5"/>
      <c r="E12815" s="5"/>
      <c r="F12815" s="5"/>
      <c r="G12815" s="5"/>
      <c r="H12815" s="5"/>
      <c r="I12815" s="5"/>
      <c r="J12815" s="5"/>
      <c r="K12815" s="5"/>
      <c r="L12815" s="5"/>
      <c r="M12815" s="5"/>
      <c r="N12815" s="5"/>
      <c r="O12815" s="5"/>
      <c r="P12815" s="5"/>
      <c r="Q12815" s="5"/>
      <c r="R12815" s="5"/>
      <c r="S12815" s="5"/>
      <c r="T12815" s="5"/>
      <c r="U12815" s="5"/>
      <c r="V12815" s="5"/>
      <c r="W12815" s="5"/>
      <c r="X12815" s="5"/>
      <c r="Y12815" s="5"/>
      <c r="Z12815" s="5"/>
    </row>
    <row r="12816" spans="1:26" ht="15" x14ac:dyDescent="0.25">
      <c r="A12816" s="4" t="s">
        <v>12813</v>
      </c>
      <c r="B12816" s="4" t="s">
        <v>9011</v>
      </c>
      <c r="C12816" s="2" t="str">
        <f ca="1">IFERROR(__xludf.DUMMYFUNCTION("GOOGLETRANSLATE(A12816,""bn"",""en"")"),"All siblings will swim")</f>
        <v>All siblings will swim</v>
      </c>
      <c r="D12816" s="5"/>
      <c r="E12816" s="5"/>
      <c r="F12816" s="5"/>
      <c r="G12816" s="5"/>
      <c r="H12816" s="5"/>
      <c r="I12816" s="5"/>
      <c r="J12816" s="5"/>
      <c r="K12816" s="5"/>
      <c r="L12816" s="5"/>
      <c r="M12816" s="5"/>
      <c r="N12816" s="5"/>
      <c r="O12816" s="5"/>
      <c r="P12816" s="5"/>
      <c r="Q12816" s="5"/>
      <c r="R12816" s="5"/>
      <c r="S12816" s="5"/>
      <c r="T12816" s="5"/>
      <c r="U12816" s="5"/>
      <c r="V12816" s="5"/>
      <c r="W12816" s="5"/>
      <c r="X12816" s="5"/>
      <c r="Y12816" s="5"/>
      <c r="Z12816" s="5"/>
    </row>
    <row r="12817" spans="1:26" ht="15" x14ac:dyDescent="0.25">
      <c r="A12817" s="4" t="s">
        <v>12814</v>
      </c>
      <c r="B12817" s="4" t="s">
        <v>9011</v>
      </c>
      <c r="C12817" s="2" t="str">
        <f ca="1">IFERROR(__xludf.DUMMYFUNCTION("GOOGLETRANSLATE(A12817,""bn"",""en"")"),"Will use banking app")</f>
        <v>Will use banking app</v>
      </c>
      <c r="D12817" s="5"/>
      <c r="E12817" s="5"/>
      <c r="F12817" s="5"/>
      <c r="G12817" s="5"/>
      <c r="H12817" s="5"/>
      <c r="I12817" s="5"/>
      <c r="J12817" s="5"/>
      <c r="K12817" s="5"/>
      <c r="L12817" s="5"/>
      <c r="M12817" s="5"/>
      <c r="N12817" s="5"/>
      <c r="O12817" s="5"/>
      <c r="P12817" s="5"/>
      <c r="Q12817" s="5"/>
      <c r="R12817" s="5"/>
      <c r="S12817" s="5"/>
      <c r="T12817" s="5"/>
      <c r="U12817" s="5"/>
      <c r="V12817" s="5"/>
      <c r="W12817" s="5"/>
      <c r="X12817" s="5"/>
      <c r="Y12817" s="5"/>
      <c r="Z12817" s="5"/>
    </row>
    <row r="12818" spans="1:26" ht="15" x14ac:dyDescent="0.25">
      <c r="A12818" s="4" t="s">
        <v>12815</v>
      </c>
      <c r="B12818" s="4" t="s">
        <v>9011</v>
      </c>
      <c r="C12818" s="2" t="str">
        <f ca="1">IFERROR(__xludf.DUMMYFUNCTION("GOOGLETRANSLATE(A12818,""bn"",""en"")"),"Account services will feature")</f>
        <v>Account services will feature</v>
      </c>
      <c r="D12818" s="5"/>
      <c r="E12818" s="5"/>
      <c r="F12818" s="5"/>
      <c r="G12818" s="5"/>
      <c r="H12818" s="5"/>
      <c r="I12818" s="5"/>
      <c r="J12818" s="5"/>
      <c r="K12818" s="5"/>
      <c r="L12818" s="5"/>
      <c r="M12818" s="5"/>
      <c r="N12818" s="5"/>
      <c r="O12818" s="5"/>
      <c r="P12818" s="5"/>
      <c r="Q12818" s="5"/>
      <c r="R12818" s="5"/>
      <c r="S12818" s="5"/>
      <c r="T12818" s="5"/>
      <c r="U12818" s="5"/>
      <c r="V12818" s="5"/>
      <c r="W12818" s="5"/>
      <c r="X12818" s="5"/>
      <c r="Y12818" s="5"/>
      <c r="Z12818" s="5"/>
    </row>
    <row r="12819" spans="1:26" ht="15" x14ac:dyDescent="0.25">
      <c r="A12819" s="4" t="s">
        <v>12816</v>
      </c>
      <c r="B12819" s="4" t="s">
        <v>9011</v>
      </c>
      <c r="C12819" s="2" t="str">
        <f ca="1">IFERROR(__xludf.DUMMYFUNCTION("GOOGLETRANSLATE(A12819,""bn"",""en"")"),"Snow will fall on the green trees")</f>
        <v>Snow will fall on the green trees</v>
      </c>
      <c r="D12819" s="5"/>
      <c r="E12819" s="5"/>
      <c r="F12819" s="5"/>
      <c r="G12819" s="5"/>
      <c r="H12819" s="5"/>
      <c r="I12819" s="5"/>
      <c r="J12819" s="5"/>
      <c r="K12819" s="5"/>
      <c r="L12819" s="5"/>
      <c r="M12819" s="5"/>
      <c r="N12819" s="5"/>
      <c r="O12819" s="5"/>
      <c r="P12819" s="5"/>
      <c r="Q12819" s="5"/>
      <c r="R12819" s="5"/>
      <c r="S12819" s="5"/>
      <c r="T12819" s="5"/>
      <c r="U12819" s="5"/>
      <c r="V12819" s="5"/>
      <c r="W12819" s="5"/>
      <c r="X12819" s="5"/>
      <c r="Y12819" s="5"/>
      <c r="Z12819" s="5"/>
    </row>
    <row r="12820" spans="1:26" ht="15" x14ac:dyDescent="0.25">
      <c r="A12820" s="4" t="s">
        <v>12817</v>
      </c>
      <c r="B12820" s="4" t="s">
        <v>9011</v>
      </c>
      <c r="C12820" s="2" t="str">
        <f ca="1">IFERROR(__xludf.DUMMYFUNCTION("GOOGLETRANSLATE(A12820,""bn"",""en"")"),"The patient will receive treatment at the hospital")</f>
        <v>The patient will receive treatment at the hospital</v>
      </c>
      <c r="D12820" s="5"/>
      <c r="E12820" s="5"/>
      <c r="F12820" s="5"/>
      <c r="G12820" s="5"/>
      <c r="H12820" s="5"/>
      <c r="I12820" s="5"/>
      <c r="J12820" s="5"/>
      <c r="K12820" s="5"/>
      <c r="L12820" s="5"/>
      <c r="M12820" s="5"/>
      <c r="N12820" s="5"/>
      <c r="O12820" s="5"/>
      <c r="P12820" s="5"/>
      <c r="Q12820" s="5"/>
      <c r="R12820" s="5"/>
      <c r="S12820" s="5"/>
      <c r="T12820" s="5"/>
      <c r="U12820" s="5"/>
      <c r="V12820" s="5"/>
      <c r="W12820" s="5"/>
      <c r="X12820" s="5"/>
      <c r="Y12820" s="5"/>
      <c r="Z12820" s="5"/>
    </row>
    <row r="12821" spans="1:26" ht="15" x14ac:dyDescent="0.25">
      <c r="A12821" s="4" t="s">
        <v>12818</v>
      </c>
      <c r="B12821" s="4" t="s">
        <v>9011</v>
      </c>
      <c r="C12821" s="2" t="str">
        <f ca="1">IFERROR(__xludf.DUMMYFUNCTION("GOOGLETRANSLATE(A12821,""bn"",""en"")"),"I will eat after class")</f>
        <v>I will eat after class</v>
      </c>
      <c r="D12821" s="5"/>
      <c r="E12821" s="5"/>
      <c r="F12821" s="5"/>
      <c r="G12821" s="5"/>
      <c r="H12821" s="5"/>
      <c r="I12821" s="5"/>
      <c r="J12821" s="5"/>
      <c r="K12821" s="5"/>
      <c r="L12821" s="5"/>
      <c r="M12821" s="5"/>
      <c r="N12821" s="5"/>
      <c r="O12821" s="5"/>
      <c r="P12821" s="5"/>
      <c r="Q12821" s="5"/>
      <c r="R12821" s="5"/>
      <c r="S12821" s="5"/>
      <c r="T12821" s="5"/>
      <c r="U12821" s="5"/>
      <c r="V12821" s="5"/>
      <c r="W12821" s="5"/>
      <c r="X12821" s="5"/>
      <c r="Y12821" s="5"/>
      <c r="Z12821" s="5"/>
    </row>
    <row r="12822" spans="1:26" ht="15" x14ac:dyDescent="0.25">
      <c r="A12822" s="4" t="s">
        <v>12819</v>
      </c>
      <c r="B12822" s="4" t="s">
        <v>9011</v>
      </c>
      <c r="C12822" s="2" t="str">
        <f ca="1">IFERROR(__xludf.DUMMYFUNCTION("GOOGLETRANSLATE(A12822,""bn"",""en"")"),"After the rain the sun will rise")</f>
        <v>After the rain the sun will rise</v>
      </c>
      <c r="D12822" s="5"/>
      <c r="E12822" s="5"/>
      <c r="F12822" s="5"/>
      <c r="G12822" s="5"/>
      <c r="H12822" s="5"/>
      <c r="I12822" s="5"/>
      <c r="J12822" s="5"/>
      <c r="K12822" s="5"/>
      <c r="L12822" s="5"/>
      <c r="M12822" s="5"/>
      <c r="N12822" s="5"/>
      <c r="O12822" s="5"/>
      <c r="P12822" s="5"/>
      <c r="Q12822" s="5"/>
      <c r="R12822" s="5"/>
      <c r="S12822" s="5"/>
      <c r="T12822" s="5"/>
      <c r="U12822" s="5"/>
      <c r="V12822" s="5"/>
      <c r="W12822" s="5"/>
      <c r="X12822" s="5"/>
      <c r="Y12822" s="5"/>
      <c r="Z12822" s="5"/>
    </row>
    <row r="12823" spans="1:26" ht="15" x14ac:dyDescent="0.25">
      <c r="A12823" s="4" t="s">
        <v>12820</v>
      </c>
      <c r="B12823" s="4" t="s">
        <v>9011</v>
      </c>
      <c r="C12823" s="2" t="str">
        <f ca="1">IFERROR(__xludf.DUMMYFUNCTION("GOOGLETRANSLATE(A12823,""bn"",""en"")"),"He will re-insure")</f>
        <v>He will re-insure</v>
      </c>
      <c r="D12823" s="5"/>
      <c r="E12823" s="5"/>
      <c r="F12823" s="5"/>
      <c r="G12823" s="5"/>
      <c r="H12823" s="5"/>
      <c r="I12823" s="5"/>
      <c r="J12823" s="5"/>
      <c r="K12823" s="5"/>
      <c r="L12823" s="5"/>
      <c r="M12823" s="5"/>
      <c r="N12823" s="5"/>
      <c r="O12823" s="5"/>
      <c r="P12823" s="5"/>
      <c r="Q12823" s="5"/>
      <c r="R12823" s="5"/>
      <c r="S12823" s="5"/>
      <c r="T12823" s="5"/>
      <c r="U12823" s="5"/>
      <c r="V12823" s="5"/>
      <c r="W12823" s="5"/>
      <c r="X12823" s="5"/>
      <c r="Y12823" s="5"/>
      <c r="Z12823" s="5"/>
    </row>
    <row r="12824" spans="1:26" ht="15" x14ac:dyDescent="0.25">
      <c r="A12824" s="4" t="s">
        <v>12821</v>
      </c>
      <c r="B12824" s="4" t="s">
        <v>9011</v>
      </c>
      <c r="C12824" s="2" t="str">
        <f ca="1">IFERROR(__xludf.DUMMYFUNCTION("GOOGLETRANSLATE(A12824,""bn"",""en"")"),"The robot will work in a short time")</f>
        <v>The robot will work in a short time</v>
      </c>
      <c r="D12824" s="5"/>
      <c r="E12824" s="5"/>
      <c r="F12824" s="5"/>
      <c r="G12824" s="5"/>
      <c r="H12824" s="5"/>
      <c r="I12824" s="5"/>
      <c r="J12824" s="5"/>
      <c r="K12824" s="5"/>
      <c r="L12824" s="5"/>
      <c r="M12824" s="5"/>
      <c r="N12824" s="5"/>
      <c r="O12824" s="5"/>
      <c r="P12824" s="5"/>
      <c r="Q12824" s="5"/>
      <c r="R12824" s="5"/>
      <c r="S12824" s="5"/>
      <c r="T12824" s="5"/>
      <c r="U12824" s="5"/>
      <c r="V12824" s="5"/>
      <c r="W12824" s="5"/>
      <c r="X12824" s="5"/>
      <c r="Y12824" s="5"/>
      <c r="Z12824" s="5"/>
    </row>
    <row r="12825" spans="1:26" ht="15" x14ac:dyDescent="0.25">
      <c r="A12825" s="4" t="s">
        <v>12822</v>
      </c>
      <c r="B12825" s="4" t="s">
        <v>9011</v>
      </c>
      <c r="C12825" s="2" t="str">
        <f ca="1">IFERROR(__xludf.DUMMYFUNCTION("GOOGLETRANSLATE(A12825,""bn"",""en"")"),"Programming knowledge will be essential")</f>
        <v>Programming knowledge will be essential</v>
      </c>
      <c r="D12825" s="5"/>
      <c r="E12825" s="5"/>
      <c r="F12825" s="5"/>
      <c r="G12825" s="5"/>
      <c r="H12825" s="5"/>
      <c r="I12825" s="5"/>
      <c r="J12825" s="5"/>
      <c r="K12825" s="5"/>
      <c r="L12825" s="5"/>
      <c r="M12825" s="5"/>
      <c r="N12825" s="5"/>
      <c r="O12825" s="5"/>
      <c r="P12825" s="5"/>
      <c r="Q12825" s="5"/>
      <c r="R12825" s="5"/>
      <c r="S12825" s="5"/>
      <c r="T12825" s="5"/>
      <c r="U12825" s="5"/>
      <c r="V12825" s="5"/>
      <c r="W12825" s="5"/>
      <c r="X12825" s="5"/>
      <c r="Y12825" s="5"/>
      <c r="Z12825" s="5"/>
    </row>
    <row r="12826" spans="1:26" ht="15" x14ac:dyDescent="0.25">
      <c r="A12826" s="4" t="s">
        <v>12823</v>
      </c>
      <c r="B12826" s="4" t="s">
        <v>9011</v>
      </c>
      <c r="C12826" s="2" t="str">
        <f ca="1">IFERROR(__xludf.DUMMYFUNCTION("GOOGLETRANSLATE(A12826,""bn"",""en"")"),"They will be walking in the park")</f>
        <v>They will be walking in the park</v>
      </c>
      <c r="D12826" s="5"/>
      <c r="E12826" s="5"/>
      <c r="F12826" s="5"/>
      <c r="G12826" s="5"/>
      <c r="H12826" s="5"/>
      <c r="I12826" s="5"/>
      <c r="J12826" s="5"/>
      <c r="K12826" s="5"/>
      <c r="L12826" s="5"/>
      <c r="M12826" s="5"/>
      <c r="N12826" s="5"/>
      <c r="O12826" s="5"/>
      <c r="P12826" s="5"/>
      <c r="Q12826" s="5"/>
      <c r="R12826" s="5"/>
      <c r="S12826" s="5"/>
      <c r="T12826" s="5"/>
      <c r="U12826" s="5"/>
      <c r="V12826" s="5"/>
      <c r="W12826" s="5"/>
      <c r="X12826" s="5"/>
      <c r="Y12826" s="5"/>
      <c r="Z12826" s="5"/>
    </row>
    <row r="12827" spans="1:26" ht="15" x14ac:dyDescent="0.25">
      <c r="A12827" s="4" t="s">
        <v>12824</v>
      </c>
      <c r="B12827" s="4" t="s">
        <v>9011</v>
      </c>
      <c r="C12827" s="2" t="str">
        <f ca="1">IFERROR(__xludf.DUMMYFUNCTION("GOOGLETRANSLATE(A12827,""bn"",""en"")"),"I will go to the bird fair on Saturday")</f>
        <v>I will go to the bird fair on Saturday</v>
      </c>
      <c r="D12827" s="5"/>
      <c r="E12827" s="5"/>
      <c r="F12827" s="5"/>
      <c r="G12827" s="5"/>
      <c r="H12827" s="5"/>
      <c r="I12827" s="5"/>
      <c r="J12827" s="5"/>
      <c r="K12827" s="5"/>
      <c r="L12827" s="5"/>
      <c r="M12827" s="5"/>
      <c r="N12827" s="5"/>
      <c r="O12827" s="5"/>
      <c r="P12827" s="5"/>
      <c r="Q12827" s="5"/>
      <c r="R12827" s="5"/>
      <c r="S12827" s="5"/>
      <c r="T12827" s="5"/>
      <c r="U12827" s="5"/>
      <c r="V12827" s="5"/>
      <c r="W12827" s="5"/>
      <c r="X12827" s="5"/>
      <c r="Y12827" s="5"/>
      <c r="Z12827" s="5"/>
    </row>
    <row r="12828" spans="1:26" ht="15" x14ac:dyDescent="0.25">
      <c r="A12828" s="4" t="s">
        <v>12825</v>
      </c>
      <c r="B12828" s="4" t="s">
        <v>9011</v>
      </c>
      <c r="C12828" s="2" t="str">
        <f ca="1">IFERROR(__xludf.DUMMYFUNCTION("GOOGLETRANSLATE(A12828,""bn"",""en"")"),"They will eat healthy food")</f>
        <v>They will eat healthy food</v>
      </c>
      <c r="D12828" s="5"/>
      <c r="E12828" s="5"/>
      <c r="F12828" s="5"/>
      <c r="G12828" s="5"/>
      <c r="H12828" s="5"/>
      <c r="I12828" s="5"/>
      <c r="J12828" s="5"/>
      <c r="K12828" s="5"/>
      <c r="L12828" s="5"/>
      <c r="M12828" s="5"/>
      <c r="N12828" s="5"/>
      <c r="O12828" s="5"/>
      <c r="P12828" s="5"/>
      <c r="Q12828" s="5"/>
      <c r="R12828" s="5"/>
      <c r="S12828" s="5"/>
      <c r="T12828" s="5"/>
      <c r="U12828" s="5"/>
      <c r="V12828" s="5"/>
      <c r="W12828" s="5"/>
      <c r="X12828" s="5"/>
      <c r="Y12828" s="5"/>
      <c r="Z12828" s="5"/>
    </row>
    <row r="12829" spans="1:26" ht="15" x14ac:dyDescent="0.25">
      <c r="A12829" s="4" t="s">
        <v>12826</v>
      </c>
      <c r="B12829" s="4" t="s">
        <v>9011</v>
      </c>
      <c r="C12829" s="2" t="str">
        <f ca="1">IFERROR(__xludf.DUMMYFUNCTION("GOOGLETRANSLATE(A12829,""bn"",""en"")"),"Snow falls every year in winter")</f>
        <v>Snow falls every year in winter</v>
      </c>
      <c r="D12829" s="5"/>
      <c r="E12829" s="5"/>
      <c r="F12829" s="5"/>
      <c r="G12829" s="5"/>
      <c r="H12829" s="5"/>
      <c r="I12829" s="5"/>
      <c r="J12829" s="5"/>
      <c r="K12829" s="5"/>
      <c r="L12829" s="5"/>
      <c r="M12829" s="5"/>
      <c r="N12829" s="5"/>
      <c r="O12829" s="5"/>
      <c r="P12829" s="5"/>
      <c r="Q12829" s="5"/>
      <c r="R12829" s="5"/>
      <c r="S12829" s="5"/>
      <c r="T12829" s="5"/>
      <c r="U12829" s="5"/>
      <c r="V12829" s="5"/>
      <c r="W12829" s="5"/>
      <c r="X12829" s="5"/>
      <c r="Y12829" s="5"/>
      <c r="Z12829" s="5"/>
    </row>
    <row r="12830" spans="1:26" ht="15" x14ac:dyDescent="0.25">
      <c r="A12830" s="4" t="s">
        <v>12827</v>
      </c>
      <c r="B12830" s="4" t="s">
        <v>9011</v>
      </c>
      <c r="C12830" s="2" t="str">
        <f ca="1">IFERROR(__xludf.DUMMYFUNCTION("GOOGLETRANSLATE(A12830,""bn"",""en"")"),"I will grow vegetables every year in winter")</f>
        <v>I will grow vegetables every year in winter</v>
      </c>
      <c r="D12830" s="5"/>
      <c r="E12830" s="5"/>
      <c r="F12830" s="5"/>
      <c r="G12830" s="5"/>
      <c r="H12830" s="5"/>
      <c r="I12830" s="5"/>
      <c r="J12830" s="5"/>
      <c r="K12830" s="5"/>
      <c r="L12830" s="5"/>
      <c r="M12830" s="5"/>
      <c r="N12830" s="5"/>
      <c r="O12830" s="5"/>
      <c r="P12830" s="5"/>
      <c r="Q12830" s="5"/>
      <c r="R12830" s="5"/>
      <c r="S12830" s="5"/>
      <c r="T12830" s="5"/>
      <c r="U12830" s="5"/>
      <c r="V12830" s="5"/>
      <c r="W12830" s="5"/>
      <c r="X12830" s="5"/>
      <c r="Y12830" s="5"/>
      <c r="Z12830" s="5"/>
    </row>
    <row r="12831" spans="1:26" ht="15" x14ac:dyDescent="0.25">
      <c r="A12831" s="4" t="s">
        <v>12828</v>
      </c>
      <c r="B12831" s="4" t="s">
        <v>9011</v>
      </c>
      <c r="C12831" s="2" t="str">
        <f ca="1">IFERROR(__xludf.DUMMYFUNCTION("GOOGLETRANSLATE(A12831,""bn"",""en"")"),"You will eat chocolate dessert")</f>
        <v>You will eat chocolate dessert</v>
      </c>
      <c r="D12831" s="5"/>
      <c r="E12831" s="5"/>
      <c r="F12831" s="5"/>
      <c r="G12831" s="5"/>
      <c r="H12831" s="5"/>
      <c r="I12831" s="5"/>
      <c r="J12831" s="5"/>
      <c r="K12831" s="5"/>
      <c r="L12831" s="5"/>
      <c r="M12831" s="5"/>
      <c r="N12831" s="5"/>
      <c r="O12831" s="5"/>
      <c r="P12831" s="5"/>
      <c r="Q12831" s="5"/>
      <c r="R12831" s="5"/>
      <c r="S12831" s="5"/>
      <c r="T12831" s="5"/>
      <c r="U12831" s="5"/>
      <c r="V12831" s="5"/>
      <c r="W12831" s="5"/>
      <c r="X12831" s="5"/>
      <c r="Y12831" s="5"/>
      <c r="Z12831" s="5"/>
    </row>
    <row r="12832" spans="1:26" ht="15" x14ac:dyDescent="0.25">
      <c r="A12832" s="4" t="s">
        <v>12829</v>
      </c>
      <c r="B12832" s="4" t="s">
        <v>9011</v>
      </c>
      <c r="C12832" s="2" t="str">
        <f ca="1">IFERROR(__xludf.DUMMYFUNCTION("GOOGLETRANSLATE(A12832,""bn"",""en"")"),"I will go to see the blue sea")</f>
        <v>I will go to see the blue sea</v>
      </c>
      <c r="D12832" s="5"/>
      <c r="E12832" s="5"/>
      <c r="F12832" s="5"/>
      <c r="G12832" s="5"/>
      <c r="H12832" s="5"/>
      <c r="I12832" s="5"/>
      <c r="J12832" s="5"/>
      <c r="K12832" s="5"/>
      <c r="L12832" s="5"/>
      <c r="M12832" s="5"/>
      <c r="N12832" s="5"/>
      <c r="O12832" s="5"/>
      <c r="P12832" s="5"/>
      <c r="Q12832" s="5"/>
      <c r="R12832" s="5"/>
      <c r="S12832" s="5"/>
      <c r="T12832" s="5"/>
      <c r="U12832" s="5"/>
      <c r="V12832" s="5"/>
      <c r="W12832" s="5"/>
      <c r="X12832" s="5"/>
      <c r="Y12832" s="5"/>
      <c r="Z12832" s="5"/>
    </row>
    <row r="12833" spans="1:26" ht="15" x14ac:dyDescent="0.25">
      <c r="A12833" s="4" t="s">
        <v>12830</v>
      </c>
      <c r="B12833" s="4" t="s">
        <v>9011</v>
      </c>
      <c r="C12833" s="2" t="str">
        <f ca="1">IFERROR(__xludf.DUMMYFUNCTION("GOOGLETRANSLATE(A12833,""bn"",""en"")"),"His debt is impossible to repay")</f>
        <v>His debt is impossible to repay</v>
      </c>
      <c r="D12833" s="5"/>
      <c r="E12833" s="5"/>
      <c r="F12833" s="5"/>
      <c r="G12833" s="5"/>
      <c r="H12833" s="5"/>
      <c r="I12833" s="5"/>
      <c r="J12833" s="5"/>
      <c r="K12833" s="5"/>
      <c r="L12833" s="5"/>
      <c r="M12833" s="5"/>
      <c r="N12833" s="5"/>
      <c r="O12833" s="5"/>
      <c r="P12833" s="5"/>
      <c r="Q12833" s="5"/>
      <c r="R12833" s="5"/>
      <c r="S12833" s="5"/>
      <c r="T12833" s="5"/>
      <c r="U12833" s="5"/>
      <c r="V12833" s="5"/>
      <c r="W12833" s="5"/>
      <c r="X12833" s="5"/>
      <c r="Y12833" s="5"/>
      <c r="Z12833" s="5"/>
    </row>
    <row r="12834" spans="1:26" ht="15" x14ac:dyDescent="0.25">
      <c r="A12834" s="4" t="s">
        <v>12831</v>
      </c>
      <c r="B12834" s="4" t="s">
        <v>9011</v>
      </c>
      <c r="C12834" s="2" t="str">
        <f ca="1">IFERROR(__xludf.DUMMYFUNCTION("GOOGLETRANSLATE(A12834,""bn"",""en"")"),"Early treatment of the disease will come")</f>
        <v>Early treatment of the disease will come</v>
      </c>
      <c r="D12834" s="5"/>
      <c r="E12834" s="5"/>
      <c r="F12834" s="5"/>
      <c r="G12834" s="5"/>
      <c r="H12834" s="5"/>
      <c r="I12834" s="5"/>
      <c r="J12834" s="5"/>
      <c r="K12834" s="5"/>
      <c r="L12834" s="5"/>
      <c r="M12834" s="5"/>
      <c r="N12834" s="5"/>
      <c r="O12834" s="5"/>
      <c r="P12834" s="5"/>
      <c r="Q12834" s="5"/>
      <c r="R12834" s="5"/>
      <c r="S12834" s="5"/>
      <c r="T12834" s="5"/>
      <c r="U12834" s="5"/>
      <c r="V12834" s="5"/>
      <c r="W12834" s="5"/>
      <c r="X12834" s="5"/>
      <c r="Y12834" s="5"/>
      <c r="Z12834" s="5"/>
    </row>
    <row r="12835" spans="1:26" ht="15" x14ac:dyDescent="0.25">
      <c r="A12835" s="4" t="s">
        <v>12832</v>
      </c>
      <c r="B12835" s="4" t="s">
        <v>9011</v>
      </c>
      <c r="C12835" s="2" t="str">
        <f ca="1">IFERROR(__xludf.DUMMYFUNCTION("GOOGLETRANSLATE(A12835,""bn"",""en"")"),"Rainwater will be collected")</f>
        <v>Rainwater will be collected</v>
      </c>
      <c r="D12835" s="5"/>
      <c r="E12835" s="5"/>
      <c r="F12835" s="5"/>
      <c r="G12835" s="5"/>
      <c r="H12835" s="5"/>
      <c r="I12835" s="5"/>
      <c r="J12835" s="5"/>
      <c r="K12835" s="5"/>
      <c r="L12835" s="5"/>
      <c r="M12835" s="5"/>
      <c r="N12835" s="5"/>
      <c r="O12835" s="5"/>
      <c r="P12835" s="5"/>
      <c r="Q12835" s="5"/>
      <c r="R12835" s="5"/>
      <c r="S12835" s="5"/>
      <c r="T12835" s="5"/>
      <c r="U12835" s="5"/>
      <c r="V12835" s="5"/>
      <c r="W12835" s="5"/>
      <c r="X12835" s="5"/>
      <c r="Y12835" s="5"/>
      <c r="Z12835" s="5"/>
    </row>
    <row r="12836" spans="1:26" ht="15" x14ac:dyDescent="0.25">
      <c r="A12836" s="4" t="s">
        <v>12833</v>
      </c>
      <c r="B12836" s="4" t="s">
        <v>9011</v>
      </c>
      <c r="C12836" s="2" t="str">
        <f ca="1">IFERROR(__xludf.DUMMYFUNCTION("GOOGLETRANSLATE(A12836,""bn"",""en"")"),"Insects will be in the crop field")</f>
        <v>Insects will be in the crop field</v>
      </c>
      <c r="D12836" s="5"/>
      <c r="E12836" s="5"/>
      <c r="F12836" s="5"/>
      <c r="G12836" s="5"/>
      <c r="H12836" s="5"/>
      <c r="I12836" s="5"/>
      <c r="J12836" s="5"/>
      <c r="K12836" s="5"/>
      <c r="L12836" s="5"/>
      <c r="M12836" s="5"/>
      <c r="N12836" s="5"/>
      <c r="O12836" s="5"/>
      <c r="P12836" s="5"/>
      <c r="Q12836" s="5"/>
      <c r="R12836" s="5"/>
      <c r="S12836" s="5"/>
      <c r="T12836" s="5"/>
      <c r="U12836" s="5"/>
      <c r="V12836" s="5"/>
      <c r="W12836" s="5"/>
      <c r="X12836" s="5"/>
      <c r="Y12836" s="5"/>
      <c r="Z12836" s="5"/>
    </row>
    <row r="12837" spans="1:26" ht="15" x14ac:dyDescent="0.25">
      <c r="A12837" s="4" t="s">
        <v>12834</v>
      </c>
      <c r="B12837" s="4" t="s">
        <v>9011</v>
      </c>
      <c r="C12837" s="2" t="str">
        <f ca="1">IFERROR(__xludf.DUMMYFUNCTION("GOOGLETRANSLATE(A12837,""bn"",""en"")"),"Everyone will learn to play in tune")</f>
        <v>Everyone will learn to play in tune</v>
      </c>
      <c r="D12837" s="5"/>
      <c r="E12837" s="5"/>
      <c r="F12837" s="5"/>
      <c r="G12837" s="5"/>
      <c r="H12837" s="5"/>
      <c r="I12837" s="5"/>
      <c r="J12837" s="5"/>
      <c r="K12837" s="5"/>
      <c r="L12837" s="5"/>
      <c r="M12837" s="5"/>
      <c r="N12837" s="5"/>
      <c r="O12837" s="5"/>
      <c r="P12837" s="5"/>
      <c r="Q12837" s="5"/>
      <c r="R12837" s="5"/>
      <c r="S12837" s="5"/>
      <c r="T12837" s="5"/>
      <c r="U12837" s="5"/>
      <c r="V12837" s="5"/>
      <c r="W12837" s="5"/>
      <c r="X12837" s="5"/>
      <c r="Y12837" s="5"/>
      <c r="Z12837" s="5"/>
    </row>
    <row r="12838" spans="1:26" ht="15" x14ac:dyDescent="0.25">
      <c r="A12838" s="4" t="s">
        <v>12835</v>
      </c>
      <c r="B12838" s="4" t="s">
        <v>9011</v>
      </c>
      <c r="C12838" s="2" t="str">
        <f ca="1">IFERROR(__xludf.DUMMYFUNCTION("GOOGLETRANSLATE(A12838,""bn"",""en"")"),"All children will swim")</f>
        <v>All children will swim</v>
      </c>
      <c r="D12838" s="5"/>
      <c r="E12838" s="5"/>
      <c r="F12838" s="5"/>
      <c r="G12838" s="5"/>
      <c r="H12838" s="5"/>
      <c r="I12838" s="5"/>
      <c r="J12838" s="5"/>
      <c r="K12838" s="5"/>
      <c r="L12838" s="5"/>
      <c r="M12838" s="5"/>
      <c r="N12838" s="5"/>
      <c r="O12838" s="5"/>
      <c r="P12838" s="5"/>
      <c r="Q12838" s="5"/>
      <c r="R12838" s="5"/>
      <c r="S12838" s="5"/>
      <c r="T12838" s="5"/>
      <c r="U12838" s="5"/>
      <c r="V12838" s="5"/>
      <c r="W12838" s="5"/>
      <c r="X12838" s="5"/>
      <c r="Y12838" s="5"/>
      <c r="Z12838" s="5"/>
    </row>
    <row r="12839" spans="1:26" ht="15" x14ac:dyDescent="0.25">
      <c r="A12839" s="4" t="s">
        <v>12836</v>
      </c>
      <c r="B12839" s="4" t="s">
        <v>9011</v>
      </c>
      <c r="C12839" s="2" t="str">
        <f ca="1">IFERROR(__xludf.DUMMYFUNCTION("GOOGLETRANSLATE(A12839,""bn"",""en"")"),"We will go to the restaurant in the afternoon")</f>
        <v>We will go to the restaurant in the afternoon</v>
      </c>
      <c r="D12839" s="5"/>
      <c r="E12839" s="5"/>
      <c r="F12839" s="5"/>
      <c r="G12839" s="5"/>
      <c r="H12839" s="5"/>
      <c r="I12839" s="5"/>
      <c r="J12839" s="5"/>
      <c r="K12839" s="5"/>
      <c r="L12839" s="5"/>
      <c r="M12839" s="5"/>
      <c r="N12839" s="5"/>
      <c r="O12839" s="5"/>
      <c r="P12839" s="5"/>
      <c r="Q12839" s="5"/>
      <c r="R12839" s="5"/>
      <c r="S12839" s="5"/>
      <c r="T12839" s="5"/>
      <c r="U12839" s="5"/>
      <c r="V12839" s="5"/>
      <c r="W12839" s="5"/>
      <c r="X12839" s="5"/>
      <c r="Y12839" s="5"/>
      <c r="Z12839" s="5"/>
    </row>
    <row r="12840" spans="1:26" ht="15" x14ac:dyDescent="0.25">
      <c r="A12840" s="4" t="s">
        <v>12837</v>
      </c>
      <c r="B12840" s="4" t="s">
        <v>9011</v>
      </c>
      <c r="C12840" s="2" t="str">
        <f ca="1">IFERROR(__xludf.DUMMYFUNCTION("GOOGLETRANSLATE(A12840,""bn"",""en"")"),"I will go to the beach on a rainy day")</f>
        <v>I will go to the beach on a rainy day</v>
      </c>
      <c r="D12840" s="5"/>
      <c r="E12840" s="5"/>
      <c r="F12840" s="5"/>
      <c r="G12840" s="5"/>
      <c r="H12840" s="5"/>
      <c r="I12840" s="5"/>
      <c r="J12840" s="5"/>
      <c r="K12840" s="5"/>
      <c r="L12840" s="5"/>
      <c r="M12840" s="5"/>
      <c r="N12840" s="5"/>
      <c r="O12840" s="5"/>
      <c r="P12840" s="5"/>
      <c r="Q12840" s="5"/>
      <c r="R12840" s="5"/>
      <c r="S12840" s="5"/>
      <c r="T12840" s="5"/>
      <c r="U12840" s="5"/>
      <c r="V12840" s="5"/>
      <c r="W12840" s="5"/>
      <c r="X12840" s="5"/>
      <c r="Y12840" s="5"/>
      <c r="Z12840" s="5"/>
    </row>
    <row r="12841" spans="1:26" ht="15" x14ac:dyDescent="0.25">
      <c r="A12841" s="4" t="s">
        <v>12838</v>
      </c>
      <c r="B12841" s="4" t="s">
        <v>9011</v>
      </c>
      <c r="C12841" s="2" t="str">
        <f ca="1">IFERROR(__xludf.DUMMYFUNCTION("GOOGLETRANSLATE(A12841,""bn"",""en"")"),"I will establish an economic institution")</f>
        <v>I will establish an economic institution</v>
      </c>
      <c r="D12841" s="5"/>
      <c r="E12841" s="5"/>
      <c r="F12841" s="5"/>
      <c r="G12841" s="5"/>
      <c r="H12841" s="5"/>
      <c r="I12841" s="5"/>
      <c r="J12841" s="5"/>
      <c r="K12841" s="5"/>
      <c r="L12841" s="5"/>
      <c r="M12841" s="5"/>
      <c r="N12841" s="5"/>
      <c r="O12841" s="5"/>
      <c r="P12841" s="5"/>
      <c r="Q12841" s="5"/>
      <c r="R12841" s="5"/>
      <c r="S12841" s="5"/>
      <c r="T12841" s="5"/>
      <c r="U12841" s="5"/>
      <c r="V12841" s="5"/>
      <c r="W12841" s="5"/>
      <c r="X12841" s="5"/>
      <c r="Y12841" s="5"/>
      <c r="Z12841" s="5"/>
    </row>
    <row r="12842" spans="1:26" ht="15" x14ac:dyDescent="0.25">
      <c r="A12842" s="4" t="s">
        <v>12839</v>
      </c>
      <c r="B12842" s="4" t="s">
        <v>9011</v>
      </c>
      <c r="C12842" s="2" t="str">
        <f ca="1">IFERROR(__xludf.DUMMYFUNCTION("GOOGLETRANSLATE(A12842,""bn"",""en"")"),"The campus will be inaugurated soon")</f>
        <v>The campus will be inaugurated soon</v>
      </c>
      <c r="D12842" s="5"/>
      <c r="E12842" s="5"/>
      <c r="F12842" s="5"/>
      <c r="G12842" s="5"/>
      <c r="H12842" s="5"/>
      <c r="I12842" s="5"/>
      <c r="J12842" s="5"/>
      <c r="K12842" s="5"/>
      <c r="L12842" s="5"/>
      <c r="M12842" s="5"/>
      <c r="N12842" s="5"/>
      <c r="O12842" s="5"/>
      <c r="P12842" s="5"/>
      <c r="Q12842" s="5"/>
      <c r="R12842" s="5"/>
      <c r="S12842" s="5"/>
      <c r="T12842" s="5"/>
      <c r="U12842" s="5"/>
      <c r="V12842" s="5"/>
      <c r="W12842" s="5"/>
      <c r="X12842" s="5"/>
      <c r="Y12842" s="5"/>
      <c r="Z12842" s="5"/>
    </row>
    <row r="12843" spans="1:26" ht="15" x14ac:dyDescent="0.25">
      <c r="A12843" s="4" t="s">
        <v>12840</v>
      </c>
      <c r="B12843" s="4" t="s">
        <v>9011</v>
      </c>
      <c r="C12843" s="2" t="str">
        <f ca="1">IFERROR(__xludf.DUMMYFUNCTION("GOOGLETRANSLATE(A12843,""bn"",""en"")"),"He will learn to make drones")</f>
        <v>He will learn to make drones</v>
      </c>
      <c r="D12843" s="5"/>
      <c r="E12843" s="5"/>
      <c r="F12843" s="5"/>
      <c r="G12843" s="5"/>
      <c r="H12843" s="5"/>
      <c r="I12843" s="5"/>
      <c r="J12843" s="5"/>
      <c r="K12843" s="5"/>
      <c r="L12843" s="5"/>
      <c r="M12843" s="5"/>
      <c r="N12843" s="5"/>
      <c r="O12843" s="5"/>
      <c r="P12843" s="5"/>
      <c r="Q12843" s="5"/>
      <c r="R12843" s="5"/>
      <c r="S12843" s="5"/>
      <c r="T12843" s="5"/>
      <c r="U12843" s="5"/>
      <c r="V12843" s="5"/>
      <c r="W12843" s="5"/>
      <c r="X12843" s="5"/>
      <c r="Y12843" s="5"/>
      <c r="Z12843" s="5"/>
    </row>
    <row r="12844" spans="1:26" ht="15" x14ac:dyDescent="0.25">
      <c r="A12844" s="4" t="s">
        <v>12841</v>
      </c>
      <c r="B12844" s="4" t="s">
        <v>9011</v>
      </c>
      <c r="C12844" s="2" t="str">
        <f ca="1">IFERROR(__xludf.DUMMYFUNCTION("GOOGLETRANSLATE(A12844,""bn"",""en"")"),"Health examination will be in the morning")</f>
        <v>Health examination will be in the morning</v>
      </c>
      <c r="D12844" s="5"/>
      <c r="E12844" s="5"/>
      <c r="F12844" s="5"/>
      <c r="G12844" s="5"/>
      <c r="H12844" s="5"/>
      <c r="I12844" s="5"/>
      <c r="J12844" s="5"/>
      <c r="K12844" s="5"/>
      <c r="L12844" s="5"/>
      <c r="M12844" s="5"/>
      <c r="N12844" s="5"/>
      <c r="O12844" s="5"/>
      <c r="P12844" s="5"/>
      <c r="Q12844" s="5"/>
      <c r="R12844" s="5"/>
      <c r="S12844" s="5"/>
      <c r="T12844" s="5"/>
      <c r="U12844" s="5"/>
      <c r="V12844" s="5"/>
      <c r="W12844" s="5"/>
      <c r="X12844" s="5"/>
      <c r="Y12844" s="5"/>
      <c r="Z12844" s="5"/>
    </row>
    <row r="12845" spans="1:26" ht="15" x14ac:dyDescent="0.25">
      <c r="A12845" s="4" t="s">
        <v>12842</v>
      </c>
      <c r="B12845" s="4" t="s">
        <v>9011</v>
      </c>
      <c r="C12845" s="2" t="str">
        <f ca="1">IFERROR(__xludf.DUMMYFUNCTION("GOOGLETRANSLATE(A12845,""bn"",""en"")"),"The doctor will treat the patient")</f>
        <v>The doctor will treat the patient</v>
      </c>
      <c r="D12845" s="5"/>
      <c r="E12845" s="5"/>
      <c r="F12845" s="5"/>
      <c r="G12845" s="5"/>
      <c r="H12845" s="5"/>
      <c r="I12845" s="5"/>
      <c r="J12845" s="5"/>
      <c r="K12845" s="5"/>
      <c r="L12845" s="5"/>
      <c r="M12845" s="5"/>
      <c r="N12845" s="5"/>
      <c r="O12845" s="5"/>
      <c r="P12845" s="5"/>
      <c r="Q12845" s="5"/>
      <c r="R12845" s="5"/>
      <c r="S12845" s="5"/>
      <c r="T12845" s="5"/>
      <c r="U12845" s="5"/>
      <c r="V12845" s="5"/>
      <c r="W12845" s="5"/>
      <c r="X12845" s="5"/>
      <c r="Y12845" s="5"/>
      <c r="Z12845" s="5"/>
    </row>
    <row r="12846" spans="1:26" ht="15" x14ac:dyDescent="0.25">
      <c r="A12846" s="4" t="s">
        <v>12843</v>
      </c>
      <c r="B12846" s="4" t="s">
        <v>9011</v>
      </c>
      <c r="C12846" s="2" t="str">
        <f ca="1">IFERROR(__xludf.DUMMYFUNCTION("GOOGLETRANSLATE(A12846,""bn"",""en"")"),"I will eat chicken salad")</f>
        <v>I will eat chicken salad</v>
      </c>
      <c r="D12846" s="5"/>
      <c r="E12846" s="5"/>
      <c r="F12846" s="5"/>
      <c r="G12846" s="5"/>
      <c r="H12846" s="5"/>
      <c r="I12846" s="5"/>
      <c r="J12846" s="5"/>
      <c r="K12846" s="5"/>
      <c r="L12846" s="5"/>
      <c r="M12846" s="5"/>
      <c r="N12846" s="5"/>
      <c r="O12846" s="5"/>
      <c r="P12846" s="5"/>
      <c r="Q12846" s="5"/>
      <c r="R12846" s="5"/>
      <c r="S12846" s="5"/>
      <c r="T12846" s="5"/>
      <c r="U12846" s="5"/>
      <c r="V12846" s="5"/>
      <c r="W12846" s="5"/>
      <c r="X12846" s="5"/>
      <c r="Y12846" s="5"/>
      <c r="Z12846" s="5"/>
    </row>
    <row r="12847" spans="1:26" ht="15" x14ac:dyDescent="0.25">
      <c r="A12847" s="4" t="s">
        <v>12844</v>
      </c>
      <c r="B12847" s="4" t="s">
        <v>9011</v>
      </c>
      <c r="C12847" s="2" t="str">
        <f ca="1">IFERROR(__xludf.DUMMYFUNCTION("GOOGLETRANSLATE(A12847,""bn"",""en"")"),"I will order special food")</f>
        <v>I will order special food</v>
      </c>
      <c r="D12847" s="5"/>
      <c r="E12847" s="5"/>
      <c r="F12847" s="5"/>
      <c r="G12847" s="5"/>
      <c r="H12847" s="5"/>
      <c r="I12847" s="5"/>
      <c r="J12847" s="5"/>
      <c r="K12847" s="5"/>
      <c r="L12847" s="5"/>
      <c r="M12847" s="5"/>
      <c r="N12847" s="5"/>
      <c r="O12847" s="5"/>
      <c r="P12847" s="5"/>
      <c r="Q12847" s="5"/>
      <c r="R12847" s="5"/>
      <c r="S12847" s="5"/>
      <c r="T12847" s="5"/>
      <c r="U12847" s="5"/>
      <c r="V12847" s="5"/>
      <c r="W12847" s="5"/>
      <c r="X12847" s="5"/>
      <c r="Y12847" s="5"/>
      <c r="Z12847" s="5"/>
    </row>
    <row r="12848" spans="1:26" ht="15" x14ac:dyDescent="0.25">
      <c r="A12848" s="4" t="s">
        <v>12845</v>
      </c>
      <c r="B12848" s="4" t="s">
        <v>9011</v>
      </c>
      <c r="C12848" s="2" t="str">
        <f ca="1">IFERROR(__xludf.DUMMYFUNCTION("GOOGLETRANSLATE(A12848,""bn"",""en"")"),"Take him as a child artist")</f>
        <v>Take him as a child artist</v>
      </c>
      <c r="D12848" s="5"/>
      <c r="E12848" s="5"/>
      <c r="F12848" s="5"/>
      <c r="G12848" s="5"/>
      <c r="H12848" s="5"/>
      <c r="I12848" s="5"/>
      <c r="J12848" s="5"/>
      <c r="K12848" s="5"/>
      <c r="L12848" s="5"/>
      <c r="M12848" s="5"/>
      <c r="N12848" s="5"/>
      <c r="O12848" s="5"/>
      <c r="P12848" s="5"/>
      <c r="Q12848" s="5"/>
      <c r="R12848" s="5"/>
      <c r="S12848" s="5"/>
      <c r="T12848" s="5"/>
      <c r="U12848" s="5"/>
      <c r="V12848" s="5"/>
      <c r="W12848" s="5"/>
      <c r="X12848" s="5"/>
      <c r="Y12848" s="5"/>
      <c r="Z12848" s="5"/>
    </row>
    <row r="12849" spans="1:26" ht="15" x14ac:dyDescent="0.25">
      <c r="A12849" s="4" t="s">
        <v>12846</v>
      </c>
      <c r="B12849" s="4" t="s">
        <v>9011</v>
      </c>
      <c r="C12849" s="2" t="str">
        <f ca="1">IFERROR(__xludf.DUMMYFUNCTION("GOOGLETRANSLATE(A12849,""bn"",""en"")"),"Let's all learn romantic literature")</f>
        <v>Let's all learn romantic literature</v>
      </c>
      <c r="D12849" s="5"/>
      <c r="E12849" s="5"/>
      <c r="F12849" s="5"/>
      <c r="G12849" s="5"/>
      <c r="H12849" s="5"/>
      <c r="I12849" s="5"/>
      <c r="J12849" s="5"/>
      <c r="K12849" s="5"/>
      <c r="L12849" s="5"/>
      <c r="M12849" s="5"/>
      <c r="N12849" s="5"/>
      <c r="O12849" s="5"/>
      <c r="P12849" s="5"/>
      <c r="Q12849" s="5"/>
      <c r="R12849" s="5"/>
      <c r="S12849" s="5"/>
      <c r="T12849" s="5"/>
      <c r="U12849" s="5"/>
      <c r="V12849" s="5"/>
      <c r="W12849" s="5"/>
      <c r="X12849" s="5"/>
      <c r="Y12849" s="5"/>
      <c r="Z12849" s="5"/>
    </row>
    <row r="12850" spans="1:26" ht="15" x14ac:dyDescent="0.25">
      <c r="A12850" s="4" t="s">
        <v>12847</v>
      </c>
      <c r="B12850" s="4" t="s">
        <v>9011</v>
      </c>
      <c r="C12850" s="2" t="str">
        <f ca="1">IFERROR(__xludf.DUMMYFUNCTION("GOOGLETRANSLATE(A12850,""bn"",""en"")"),"Special food will be prepared")</f>
        <v>Special food will be prepared</v>
      </c>
      <c r="D12850" s="5"/>
      <c r="E12850" s="5"/>
      <c r="F12850" s="5"/>
      <c r="G12850" s="5"/>
      <c r="H12850" s="5"/>
      <c r="I12850" s="5"/>
      <c r="J12850" s="5"/>
      <c r="K12850" s="5"/>
      <c r="L12850" s="5"/>
      <c r="M12850" s="5"/>
      <c r="N12850" s="5"/>
      <c r="O12850" s="5"/>
      <c r="P12850" s="5"/>
      <c r="Q12850" s="5"/>
      <c r="R12850" s="5"/>
      <c r="S12850" s="5"/>
      <c r="T12850" s="5"/>
      <c r="U12850" s="5"/>
      <c r="V12850" s="5"/>
      <c r="W12850" s="5"/>
      <c r="X12850" s="5"/>
      <c r="Y12850" s="5"/>
      <c r="Z12850" s="5"/>
    </row>
    <row r="12851" spans="1:26" ht="15" x14ac:dyDescent="0.25">
      <c r="A12851" s="4" t="s">
        <v>12848</v>
      </c>
      <c r="B12851" s="4" t="s">
        <v>9011</v>
      </c>
      <c r="C12851" s="2" t="str">
        <f ca="1">IFERROR(__xludf.DUMMYFUNCTION("GOOGLETRANSLATE(A12851,""bn"",""en"")"),"Essays will be published easily")</f>
        <v>Essays will be published easily</v>
      </c>
      <c r="D12851" s="5"/>
      <c r="E12851" s="5"/>
      <c r="F12851" s="5"/>
      <c r="G12851" s="5"/>
      <c r="H12851" s="5"/>
      <c r="I12851" s="5"/>
      <c r="J12851" s="5"/>
      <c r="K12851" s="5"/>
      <c r="L12851" s="5"/>
      <c r="M12851" s="5"/>
      <c r="N12851" s="5"/>
      <c r="O12851" s="5"/>
      <c r="P12851" s="5"/>
      <c r="Q12851" s="5"/>
      <c r="R12851" s="5"/>
      <c r="S12851" s="5"/>
      <c r="T12851" s="5"/>
      <c r="U12851" s="5"/>
      <c r="V12851" s="5"/>
      <c r="W12851" s="5"/>
      <c r="X12851" s="5"/>
      <c r="Y12851" s="5"/>
      <c r="Z12851" s="5"/>
    </row>
    <row r="12852" spans="1:26" ht="15" x14ac:dyDescent="0.25">
      <c r="A12852" s="4" t="s">
        <v>12849</v>
      </c>
      <c r="B12852" s="4" t="s">
        <v>9011</v>
      </c>
      <c r="C12852" s="2" t="str">
        <f ca="1">IFERROR(__xludf.DUMMYFUNCTION("GOOGLETRANSLATE(A12852,""bn"",""en"")"),"Pesticides will be spread on the ground")</f>
        <v>Pesticides will be spread on the ground</v>
      </c>
      <c r="D12852" s="5"/>
      <c r="E12852" s="5"/>
      <c r="F12852" s="5"/>
      <c r="G12852" s="5"/>
      <c r="H12852" s="5"/>
      <c r="I12852" s="5"/>
      <c r="J12852" s="5"/>
      <c r="K12852" s="5"/>
      <c r="L12852" s="5"/>
      <c r="M12852" s="5"/>
      <c r="N12852" s="5"/>
      <c r="O12852" s="5"/>
      <c r="P12852" s="5"/>
      <c r="Q12852" s="5"/>
      <c r="R12852" s="5"/>
      <c r="S12852" s="5"/>
      <c r="T12852" s="5"/>
      <c r="U12852" s="5"/>
      <c r="V12852" s="5"/>
      <c r="W12852" s="5"/>
      <c r="X12852" s="5"/>
      <c r="Y12852" s="5"/>
      <c r="Z12852" s="5"/>
    </row>
    <row r="12853" spans="1:26" ht="15" x14ac:dyDescent="0.25">
      <c r="A12853" s="4" t="s">
        <v>12850</v>
      </c>
      <c r="B12853" s="4" t="s">
        <v>9011</v>
      </c>
      <c r="C12853" s="2" t="str">
        <f ca="1">IFERROR(__xludf.DUMMYFUNCTION("GOOGLETRANSLATE(A12853,""bn"",""en"")"),"We will bring new products")</f>
        <v>We will bring new products</v>
      </c>
      <c r="D12853" s="5"/>
      <c r="E12853" s="5"/>
      <c r="F12853" s="5"/>
      <c r="G12853" s="5"/>
      <c r="H12853" s="5"/>
      <c r="I12853" s="5"/>
      <c r="J12853" s="5"/>
      <c r="K12853" s="5"/>
      <c r="L12853" s="5"/>
      <c r="M12853" s="5"/>
      <c r="N12853" s="5"/>
      <c r="O12853" s="5"/>
      <c r="P12853" s="5"/>
      <c r="Q12853" s="5"/>
      <c r="R12853" s="5"/>
      <c r="S12853" s="5"/>
      <c r="T12853" s="5"/>
      <c r="U12853" s="5"/>
      <c r="V12853" s="5"/>
      <c r="W12853" s="5"/>
      <c r="X12853" s="5"/>
      <c r="Y12853" s="5"/>
      <c r="Z12853" s="5"/>
    </row>
    <row r="12854" spans="1:26" ht="15" x14ac:dyDescent="0.25">
      <c r="A12854" s="4" t="s">
        <v>12851</v>
      </c>
      <c r="B12854" s="4" t="s">
        <v>9011</v>
      </c>
      <c r="C12854" s="2" t="str">
        <f ca="1">IFERROR(__xludf.DUMMYFUNCTION("GOOGLETRANSLATE(A12854,""bn"",""en"")"),"I play games all day on PC")</f>
        <v>I play games all day on PC</v>
      </c>
      <c r="D12854" s="5"/>
      <c r="E12854" s="5"/>
      <c r="F12854" s="5"/>
      <c r="G12854" s="5"/>
      <c r="H12854" s="5"/>
      <c r="I12854" s="5"/>
      <c r="J12854" s="5"/>
      <c r="K12854" s="5"/>
      <c r="L12854" s="5"/>
      <c r="M12854" s="5"/>
      <c r="N12854" s="5"/>
      <c r="O12854" s="5"/>
      <c r="P12854" s="5"/>
      <c r="Q12854" s="5"/>
      <c r="R12854" s="5"/>
      <c r="S12854" s="5"/>
      <c r="T12854" s="5"/>
      <c r="U12854" s="5"/>
      <c r="V12854" s="5"/>
      <c r="W12854" s="5"/>
      <c r="X12854" s="5"/>
      <c r="Y12854" s="5"/>
      <c r="Z12854" s="5"/>
    </row>
    <row r="12855" spans="1:26" ht="15" x14ac:dyDescent="0.25">
      <c r="A12855" s="4" t="s">
        <v>12852</v>
      </c>
      <c r="B12855" s="4" t="s">
        <v>9011</v>
      </c>
      <c r="C12855" s="2" t="str">
        <f ca="1">IFERROR(__xludf.DUMMYFUNCTION("GOOGLETRANSLATE(A12855,""bn"",""en"")"),"Commercial development will be rapid")</f>
        <v>Commercial development will be rapid</v>
      </c>
      <c r="D12855" s="5"/>
      <c r="E12855" s="5"/>
      <c r="F12855" s="5"/>
      <c r="G12855" s="5"/>
      <c r="H12855" s="5"/>
      <c r="I12855" s="5"/>
      <c r="J12855" s="5"/>
      <c r="K12855" s="5"/>
      <c r="L12855" s="5"/>
      <c r="M12855" s="5"/>
      <c r="N12855" s="5"/>
      <c r="O12855" s="5"/>
      <c r="P12855" s="5"/>
      <c r="Q12855" s="5"/>
      <c r="R12855" s="5"/>
      <c r="S12855" s="5"/>
      <c r="T12855" s="5"/>
      <c r="U12855" s="5"/>
      <c r="V12855" s="5"/>
      <c r="W12855" s="5"/>
      <c r="X12855" s="5"/>
      <c r="Y12855" s="5"/>
      <c r="Z12855" s="5"/>
    </row>
    <row r="12856" spans="1:26" ht="15" x14ac:dyDescent="0.25">
      <c r="A12856" s="4" t="s">
        <v>12853</v>
      </c>
      <c r="B12856" s="4" t="s">
        <v>9011</v>
      </c>
      <c r="C12856" s="2" t="str">
        <f ca="1">IFERROR(__xludf.DUMMYFUNCTION("GOOGLETRANSLATE(A12856,""bn"",""en"")"),"We will go to the supply fair")</f>
        <v>We will go to the supply fair</v>
      </c>
      <c r="D12856" s="5"/>
      <c r="E12856" s="5"/>
      <c r="F12856" s="5"/>
      <c r="G12856" s="5"/>
      <c r="H12856" s="5"/>
      <c r="I12856" s="5"/>
      <c r="J12856" s="5"/>
      <c r="K12856" s="5"/>
      <c r="L12856" s="5"/>
      <c r="M12856" s="5"/>
      <c r="N12856" s="5"/>
      <c r="O12856" s="5"/>
      <c r="P12856" s="5"/>
      <c r="Q12856" s="5"/>
      <c r="R12856" s="5"/>
      <c r="S12856" s="5"/>
      <c r="T12856" s="5"/>
      <c r="U12856" s="5"/>
      <c r="V12856" s="5"/>
      <c r="W12856" s="5"/>
      <c r="X12856" s="5"/>
      <c r="Y12856" s="5"/>
      <c r="Z12856" s="5"/>
    </row>
    <row r="12857" spans="1:26" ht="15" x14ac:dyDescent="0.25">
      <c r="A12857" s="4" t="s">
        <v>12854</v>
      </c>
      <c r="B12857" s="4" t="s">
        <v>9011</v>
      </c>
      <c r="C12857" s="2" t="str">
        <f ca="1">IFERROR(__xludf.DUMMYFUNCTION("GOOGLETRANSLATE(A12857,""bn"",""en"")"),"Weed production will be in the garden")</f>
        <v>Weed production will be in the garden</v>
      </c>
      <c r="D12857" s="5"/>
      <c r="E12857" s="5"/>
      <c r="F12857" s="5"/>
      <c r="G12857" s="5"/>
      <c r="H12857" s="5"/>
      <c r="I12857" s="5"/>
      <c r="J12857" s="5"/>
      <c r="K12857" s="5"/>
      <c r="L12857" s="5"/>
      <c r="M12857" s="5"/>
      <c r="N12857" s="5"/>
      <c r="O12857" s="5"/>
      <c r="P12857" s="5"/>
      <c r="Q12857" s="5"/>
      <c r="R12857" s="5"/>
      <c r="S12857" s="5"/>
      <c r="T12857" s="5"/>
      <c r="U12857" s="5"/>
      <c r="V12857" s="5"/>
      <c r="W12857" s="5"/>
      <c r="X12857" s="5"/>
      <c r="Y12857" s="5"/>
      <c r="Z12857" s="5"/>
    </row>
    <row r="12858" spans="1:26" ht="15" x14ac:dyDescent="0.25">
      <c r="A12858" s="4" t="s">
        <v>12855</v>
      </c>
      <c r="B12858" s="4" t="s">
        <v>9011</v>
      </c>
      <c r="C12858" s="2" t="str">
        <f ca="1">IFERROR(__xludf.DUMMYFUNCTION("GOOGLETRANSLATE(A12858,""bn"",""en"")"),"Advanced science will improve")</f>
        <v>Advanced science will improve</v>
      </c>
      <c r="D12858" s="5"/>
      <c r="E12858" s="5"/>
      <c r="F12858" s="5"/>
      <c r="G12858" s="5"/>
      <c r="H12858" s="5"/>
      <c r="I12858" s="5"/>
      <c r="J12858" s="5"/>
      <c r="K12858" s="5"/>
      <c r="L12858" s="5"/>
      <c r="M12858" s="5"/>
      <c r="N12858" s="5"/>
      <c r="O12858" s="5"/>
      <c r="P12858" s="5"/>
      <c r="Q12858" s="5"/>
      <c r="R12858" s="5"/>
      <c r="S12858" s="5"/>
      <c r="T12858" s="5"/>
      <c r="U12858" s="5"/>
      <c r="V12858" s="5"/>
      <c r="W12858" s="5"/>
      <c r="X12858" s="5"/>
      <c r="Y12858" s="5"/>
      <c r="Z12858" s="5"/>
    </row>
    <row r="12859" spans="1:26" ht="15" x14ac:dyDescent="0.25">
      <c r="A12859" s="4" t="s">
        <v>12856</v>
      </c>
      <c r="B12859" s="4" t="s">
        <v>9011</v>
      </c>
      <c r="C12859" s="2" t="str">
        <f ca="1">IFERROR(__xludf.DUMMYFUNCTION("GOOGLETRANSLATE(A12859,""bn"",""en"")"),"Will develop an extension")</f>
        <v>Will develop an extension</v>
      </c>
      <c r="D12859" s="5"/>
      <c r="E12859" s="5"/>
      <c r="F12859" s="5"/>
      <c r="G12859" s="5"/>
      <c r="H12859" s="5"/>
      <c r="I12859" s="5"/>
      <c r="J12859" s="5"/>
      <c r="K12859" s="5"/>
      <c r="L12859" s="5"/>
      <c r="M12859" s="5"/>
      <c r="N12859" s="5"/>
      <c r="O12859" s="5"/>
      <c r="P12859" s="5"/>
      <c r="Q12859" s="5"/>
      <c r="R12859" s="5"/>
      <c r="S12859" s="5"/>
      <c r="T12859" s="5"/>
      <c r="U12859" s="5"/>
      <c r="V12859" s="5"/>
      <c r="W12859" s="5"/>
      <c r="X12859" s="5"/>
      <c r="Y12859" s="5"/>
      <c r="Z12859" s="5"/>
    </row>
    <row r="12860" spans="1:26" ht="15" x14ac:dyDescent="0.25">
      <c r="A12860" s="4" t="s">
        <v>12857</v>
      </c>
      <c r="B12860" s="4" t="s">
        <v>9011</v>
      </c>
      <c r="C12860" s="2" t="str">
        <f ca="1">IFERROR(__xludf.DUMMYFUNCTION("GOOGLETRANSLATE(A12860,""bn"",""en"")"),"You will earn the title")</f>
        <v>You will earn the title</v>
      </c>
      <c r="D12860" s="5"/>
      <c r="E12860" s="5"/>
      <c r="F12860" s="5"/>
      <c r="G12860" s="5"/>
      <c r="H12860" s="5"/>
      <c r="I12860" s="5"/>
      <c r="J12860" s="5"/>
      <c r="K12860" s="5"/>
      <c r="L12860" s="5"/>
      <c r="M12860" s="5"/>
      <c r="N12860" s="5"/>
      <c r="O12860" s="5"/>
      <c r="P12860" s="5"/>
      <c r="Q12860" s="5"/>
      <c r="R12860" s="5"/>
      <c r="S12860" s="5"/>
      <c r="T12860" s="5"/>
      <c r="U12860" s="5"/>
      <c r="V12860" s="5"/>
      <c r="W12860" s="5"/>
      <c r="X12860" s="5"/>
      <c r="Y12860" s="5"/>
      <c r="Z12860" s="5"/>
    </row>
    <row r="12861" spans="1:26" ht="15" x14ac:dyDescent="0.25">
      <c r="A12861" s="4" t="s">
        <v>12858</v>
      </c>
      <c r="B12861" s="4" t="s">
        <v>9011</v>
      </c>
      <c r="C12861" s="2" t="str">
        <f ca="1">IFERROR(__xludf.DUMMYFUNCTION("GOOGLETRANSLATE(A12861,""bn"",""en"")"),"They will have home automation")</f>
        <v>They will have home automation</v>
      </c>
      <c r="D12861" s="5"/>
      <c r="E12861" s="5"/>
      <c r="F12861" s="5"/>
      <c r="G12861" s="5"/>
      <c r="H12861" s="5"/>
      <c r="I12861" s="5"/>
      <c r="J12861" s="5"/>
      <c r="K12861" s="5"/>
      <c r="L12861" s="5"/>
      <c r="M12861" s="5"/>
      <c r="N12861" s="5"/>
      <c r="O12861" s="5"/>
      <c r="P12861" s="5"/>
      <c r="Q12861" s="5"/>
      <c r="R12861" s="5"/>
      <c r="S12861" s="5"/>
      <c r="T12861" s="5"/>
      <c r="U12861" s="5"/>
      <c r="V12861" s="5"/>
      <c r="W12861" s="5"/>
      <c r="X12861" s="5"/>
      <c r="Y12861" s="5"/>
      <c r="Z12861" s="5"/>
    </row>
    <row r="12862" spans="1:26" ht="15" x14ac:dyDescent="0.25">
      <c r="A12862" s="4" t="s">
        <v>12859</v>
      </c>
      <c r="B12862" s="4" t="s">
        <v>9011</v>
      </c>
      <c r="C12862" s="2" t="str">
        <f ca="1">IFERROR(__xludf.DUMMYFUNCTION("GOOGLETRANSLATE(A12862,""bn"",""en"")"),"All offices will be modernized")</f>
        <v>All offices will be modernized</v>
      </c>
      <c r="D12862" s="5"/>
      <c r="E12862" s="5"/>
      <c r="F12862" s="5"/>
      <c r="G12862" s="5"/>
      <c r="H12862" s="5"/>
      <c r="I12862" s="5"/>
      <c r="J12862" s="5"/>
      <c r="K12862" s="5"/>
      <c r="L12862" s="5"/>
      <c r="M12862" s="5"/>
      <c r="N12862" s="5"/>
      <c r="O12862" s="5"/>
      <c r="P12862" s="5"/>
      <c r="Q12862" s="5"/>
      <c r="R12862" s="5"/>
      <c r="S12862" s="5"/>
      <c r="T12862" s="5"/>
      <c r="U12862" s="5"/>
      <c r="V12862" s="5"/>
      <c r="W12862" s="5"/>
      <c r="X12862" s="5"/>
      <c r="Y12862" s="5"/>
      <c r="Z12862" s="5"/>
    </row>
    <row r="12863" spans="1:26" ht="15" x14ac:dyDescent="0.25">
      <c r="A12863" s="4" t="s">
        <v>12860</v>
      </c>
      <c r="B12863" s="4" t="s">
        <v>9011</v>
      </c>
      <c r="C12863" s="2" t="str">
        <f ca="1">IFERROR(__xludf.DUMMYFUNCTION("GOOGLETRANSLATE(A12863,""bn"",""en"")"),"The scripting language will be used")</f>
        <v>The scripting language will be used</v>
      </c>
      <c r="D12863" s="5"/>
      <c r="E12863" s="5"/>
      <c r="F12863" s="5"/>
      <c r="G12863" s="5"/>
      <c r="H12863" s="5"/>
      <c r="I12863" s="5"/>
      <c r="J12863" s="5"/>
      <c r="K12863" s="5"/>
      <c r="L12863" s="5"/>
      <c r="M12863" s="5"/>
      <c r="N12863" s="5"/>
      <c r="O12863" s="5"/>
      <c r="P12863" s="5"/>
      <c r="Q12863" s="5"/>
      <c r="R12863" s="5"/>
      <c r="S12863" s="5"/>
      <c r="T12863" s="5"/>
      <c r="U12863" s="5"/>
      <c r="V12863" s="5"/>
      <c r="W12863" s="5"/>
      <c r="X12863" s="5"/>
      <c r="Y12863" s="5"/>
      <c r="Z12863" s="5"/>
    </row>
    <row r="12864" spans="1:26" ht="15" x14ac:dyDescent="0.25">
      <c r="A12864" s="4" t="s">
        <v>12861</v>
      </c>
      <c r="B12864" s="4" t="s">
        <v>9011</v>
      </c>
      <c r="C12864" s="2" t="str">
        <f ca="1">IFERROR(__xludf.DUMMYFUNCTION("GOOGLETRANSLATE(A12864,""bn"",""en"")"),"I will play gaming for three months")</f>
        <v>I will play gaming for three months</v>
      </c>
      <c r="D12864" s="5"/>
      <c r="E12864" s="5"/>
      <c r="F12864" s="5"/>
      <c r="G12864" s="5"/>
      <c r="H12864" s="5"/>
      <c r="I12864" s="5"/>
      <c r="J12864" s="5"/>
      <c r="K12864" s="5"/>
      <c r="L12864" s="5"/>
      <c r="M12864" s="5"/>
      <c r="N12864" s="5"/>
      <c r="O12864" s="5"/>
      <c r="P12864" s="5"/>
      <c r="Q12864" s="5"/>
      <c r="R12864" s="5"/>
      <c r="S12864" s="5"/>
      <c r="T12864" s="5"/>
      <c r="U12864" s="5"/>
      <c r="V12864" s="5"/>
      <c r="W12864" s="5"/>
      <c r="X12864" s="5"/>
      <c r="Y12864" s="5"/>
      <c r="Z12864" s="5"/>
    </row>
    <row r="12865" spans="1:26" ht="15" x14ac:dyDescent="0.25">
      <c r="A12865" s="4" t="s">
        <v>12862</v>
      </c>
      <c r="B12865" s="4" t="s">
        <v>9011</v>
      </c>
      <c r="C12865" s="2" t="str">
        <f ca="1">IFERROR(__xludf.DUMMYFUNCTION("GOOGLETRANSLATE(A12865,""bn"",""en"")"),"Salary will be transferred to the bank")</f>
        <v>Salary will be transferred to the bank</v>
      </c>
      <c r="D12865" s="5"/>
      <c r="E12865" s="5"/>
      <c r="F12865" s="5"/>
      <c r="G12865" s="5"/>
      <c r="H12865" s="5"/>
      <c r="I12865" s="5"/>
      <c r="J12865" s="5"/>
      <c r="K12865" s="5"/>
      <c r="L12865" s="5"/>
      <c r="M12865" s="5"/>
      <c r="N12865" s="5"/>
      <c r="O12865" s="5"/>
      <c r="P12865" s="5"/>
      <c r="Q12865" s="5"/>
      <c r="R12865" s="5"/>
      <c r="S12865" s="5"/>
      <c r="T12865" s="5"/>
      <c r="U12865" s="5"/>
      <c r="V12865" s="5"/>
      <c r="W12865" s="5"/>
      <c r="X12865" s="5"/>
      <c r="Y12865" s="5"/>
      <c r="Z12865" s="5"/>
    </row>
    <row r="12866" spans="1:26" ht="15" x14ac:dyDescent="0.25">
      <c r="A12866" s="4" t="s">
        <v>12863</v>
      </c>
      <c r="B12866" s="4" t="s">
        <v>9011</v>
      </c>
      <c r="C12866" s="2" t="str">
        <f ca="1">IFERROR(__xludf.DUMMYFUNCTION("GOOGLETRANSLATE(A12866,""bn"",""en"")"),"The service will be provided by robots")</f>
        <v>The service will be provided by robots</v>
      </c>
      <c r="D12866" s="5"/>
      <c r="E12866" s="5"/>
      <c r="F12866" s="5"/>
      <c r="G12866" s="5"/>
      <c r="H12866" s="5"/>
      <c r="I12866" s="5"/>
      <c r="J12866" s="5"/>
      <c r="K12866" s="5"/>
      <c r="L12866" s="5"/>
      <c r="M12866" s="5"/>
      <c r="N12866" s="5"/>
      <c r="O12866" s="5"/>
      <c r="P12866" s="5"/>
      <c r="Q12866" s="5"/>
      <c r="R12866" s="5"/>
      <c r="S12866" s="5"/>
      <c r="T12866" s="5"/>
      <c r="U12866" s="5"/>
      <c r="V12866" s="5"/>
      <c r="W12866" s="5"/>
      <c r="X12866" s="5"/>
      <c r="Y12866" s="5"/>
      <c r="Z12866" s="5"/>
    </row>
    <row r="12867" spans="1:26" ht="15" x14ac:dyDescent="0.25">
      <c r="A12867" s="4" t="s">
        <v>12864</v>
      </c>
      <c r="B12867" s="4" t="s">
        <v>9011</v>
      </c>
      <c r="C12867" s="2" t="str">
        <f ca="1">IFERROR(__xludf.DUMMYFUNCTION("GOOGLETRANSLATE(A12867,""bn"",""en"")"),"The movie will be shown on the occasion")</f>
        <v>The movie will be shown on the occasion</v>
      </c>
      <c r="D12867" s="5"/>
      <c r="E12867" s="5"/>
      <c r="F12867" s="5"/>
      <c r="G12867" s="5"/>
      <c r="H12867" s="5"/>
      <c r="I12867" s="5"/>
      <c r="J12867" s="5"/>
      <c r="K12867" s="5"/>
      <c r="L12867" s="5"/>
      <c r="M12867" s="5"/>
      <c r="N12867" s="5"/>
      <c r="O12867" s="5"/>
      <c r="P12867" s="5"/>
      <c r="Q12867" s="5"/>
      <c r="R12867" s="5"/>
      <c r="S12867" s="5"/>
      <c r="T12867" s="5"/>
      <c r="U12867" s="5"/>
      <c r="V12867" s="5"/>
      <c r="W12867" s="5"/>
      <c r="X12867" s="5"/>
      <c r="Y12867" s="5"/>
      <c r="Z12867" s="5"/>
    </row>
    <row r="12868" spans="1:26" ht="15" x14ac:dyDescent="0.25">
      <c r="A12868" s="4" t="s">
        <v>12865</v>
      </c>
      <c r="B12868" s="4" t="s">
        <v>9011</v>
      </c>
      <c r="C12868" s="2" t="str">
        <f ca="1">IFERROR(__xludf.DUMMYFUNCTION("GOOGLETRANSLATE(A12868,""bn"",""en"")"),"Commercial investment will increase tremendously")</f>
        <v>Commercial investment will increase tremendously</v>
      </c>
      <c r="D12868" s="5"/>
      <c r="E12868" s="5"/>
      <c r="F12868" s="5"/>
      <c r="G12868" s="5"/>
      <c r="H12868" s="5"/>
      <c r="I12868" s="5"/>
      <c r="J12868" s="5"/>
      <c r="K12868" s="5"/>
      <c r="L12868" s="5"/>
      <c r="M12868" s="5"/>
      <c r="N12868" s="5"/>
      <c r="O12868" s="5"/>
      <c r="P12868" s="5"/>
      <c r="Q12868" s="5"/>
      <c r="R12868" s="5"/>
      <c r="S12868" s="5"/>
      <c r="T12868" s="5"/>
      <c r="U12868" s="5"/>
      <c r="V12868" s="5"/>
      <c r="W12868" s="5"/>
      <c r="X12868" s="5"/>
      <c r="Y12868" s="5"/>
      <c r="Z12868" s="5"/>
    </row>
    <row r="12869" spans="1:26" ht="15" x14ac:dyDescent="0.25">
      <c r="A12869" s="4" t="s">
        <v>12866</v>
      </c>
      <c r="B12869" s="4" t="s">
        <v>9011</v>
      </c>
      <c r="C12869" s="2" t="str">
        <f ca="1">IFERROR(__xludf.DUMMYFUNCTION("GOOGLETRANSLATE(A12869,""bn"",""en"")"),"The book will be finished")</f>
        <v>The book will be finished</v>
      </c>
      <c r="D12869" s="5"/>
      <c r="E12869" s="5"/>
      <c r="F12869" s="5"/>
      <c r="G12869" s="5"/>
      <c r="H12869" s="5"/>
      <c r="I12869" s="5"/>
      <c r="J12869" s="5"/>
      <c r="K12869" s="5"/>
      <c r="L12869" s="5"/>
      <c r="M12869" s="5"/>
      <c r="N12869" s="5"/>
      <c r="O12869" s="5"/>
      <c r="P12869" s="5"/>
      <c r="Q12869" s="5"/>
      <c r="R12869" s="5"/>
      <c r="S12869" s="5"/>
      <c r="T12869" s="5"/>
      <c r="U12869" s="5"/>
      <c r="V12869" s="5"/>
      <c r="W12869" s="5"/>
      <c r="X12869" s="5"/>
      <c r="Y12869" s="5"/>
      <c r="Z12869" s="5"/>
    </row>
    <row r="12870" spans="1:26" ht="15" x14ac:dyDescent="0.25">
      <c r="A12870" s="4" t="s">
        <v>12867</v>
      </c>
      <c r="B12870" s="4" t="s">
        <v>9011</v>
      </c>
      <c r="C12870" s="2" t="str">
        <f ca="1">IFERROR(__xludf.DUMMYFUNCTION("GOOGLETRANSLATE(A12870,""bn"",""en"")"),"Will publish research paper")</f>
        <v>Will publish research paper</v>
      </c>
      <c r="D12870" s="5"/>
      <c r="E12870" s="5"/>
      <c r="F12870" s="5"/>
      <c r="G12870" s="5"/>
      <c r="H12870" s="5"/>
      <c r="I12870" s="5"/>
      <c r="J12870" s="5"/>
      <c r="K12870" s="5"/>
      <c r="L12870" s="5"/>
      <c r="M12870" s="5"/>
      <c r="N12870" s="5"/>
      <c r="O12870" s="5"/>
      <c r="P12870" s="5"/>
      <c r="Q12870" s="5"/>
      <c r="R12870" s="5"/>
      <c r="S12870" s="5"/>
      <c r="T12870" s="5"/>
      <c r="U12870" s="5"/>
      <c r="V12870" s="5"/>
      <c r="W12870" s="5"/>
      <c r="X12870" s="5"/>
      <c r="Y12870" s="5"/>
      <c r="Z12870" s="5"/>
    </row>
    <row r="12871" spans="1:26" ht="15" x14ac:dyDescent="0.25">
      <c r="A12871" s="4" t="s">
        <v>12868</v>
      </c>
      <c r="B12871" s="4" t="s">
        <v>9011</v>
      </c>
      <c r="C12871" s="2" t="str">
        <f ca="1">IFERROR(__xludf.DUMMYFUNCTION("GOOGLETRANSLATE(A12871,""bn"",""en"")"),"Will participate in essay competition")</f>
        <v>Will participate in essay competition</v>
      </c>
      <c r="D12871" s="5"/>
      <c r="E12871" s="5"/>
      <c r="F12871" s="5"/>
      <c r="G12871" s="5"/>
      <c r="H12871" s="5"/>
      <c r="I12871" s="5"/>
      <c r="J12871" s="5"/>
      <c r="K12871" s="5"/>
      <c r="L12871" s="5"/>
      <c r="M12871" s="5"/>
      <c r="N12871" s="5"/>
      <c r="O12871" s="5"/>
      <c r="P12871" s="5"/>
      <c r="Q12871" s="5"/>
      <c r="R12871" s="5"/>
      <c r="S12871" s="5"/>
      <c r="T12871" s="5"/>
      <c r="U12871" s="5"/>
      <c r="V12871" s="5"/>
      <c r="W12871" s="5"/>
      <c r="X12871" s="5"/>
      <c r="Y12871" s="5"/>
      <c r="Z12871" s="5"/>
    </row>
    <row r="12872" spans="1:26" ht="15" x14ac:dyDescent="0.25">
      <c r="A12872" s="4" t="s">
        <v>12869</v>
      </c>
      <c r="B12872" s="4" t="s">
        <v>9011</v>
      </c>
      <c r="C12872" s="2" t="str">
        <f ca="1">IFERROR(__xludf.DUMMYFUNCTION("GOOGLETRANSLATE(A12872,""bn"",""en"")"),"Will prepare for the advanced market")</f>
        <v>Will prepare for the advanced market</v>
      </c>
      <c r="D12872" s="5"/>
      <c r="E12872" s="5"/>
      <c r="F12872" s="5"/>
      <c r="G12872" s="5"/>
      <c r="H12872" s="5"/>
      <c r="I12872" s="5"/>
      <c r="J12872" s="5"/>
      <c r="K12872" s="5"/>
      <c r="L12872" s="5"/>
      <c r="M12872" s="5"/>
      <c r="N12872" s="5"/>
      <c r="O12872" s="5"/>
      <c r="P12872" s="5"/>
      <c r="Q12872" s="5"/>
      <c r="R12872" s="5"/>
      <c r="S12872" s="5"/>
      <c r="T12872" s="5"/>
      <c r="U12872" s="5"/>
      <c r="V12872" s="5"/>
      <c r="W12872" s="5"/>
      <c r="X12872" s="5"/>
      <c r="Y12872" s="5"/>
      <c r="Z12872" s="5"/>
    </row>
    <row r="12873" spans="1:26" ht="15" x14ac:dyDescent="0.25">
      <c r="A12873" s="4" t="s">
        <v>12870</v>
      </c>
      <c r="B12873" s="4" t="s">
        <v>9011</v>
      </c>
      <c r="C12873" s="2" t="str">
        <f ca="1">IFERROR(__xludf.DUMMYFUNCTION("GOOGLETRANSLATE(A12873,""bn"",""en"")"),"Data analysis would be excellent")</f>
        <v>Data analysis would be excellent</v>
      </c>
      <c r="D12873" s="5"/>
      <c r="E12873" s="5"/>
      <c r="F12873" s="5"/>
      <c r="G12873" s="5"/>
      <c r="H12873" s="5"/>
      <c r="I12873" s="5"/>
      <c r="J12873" s="5"/>
      <c r="K12873" s="5"/>
      <c r="L12873" s="5"/>
      <c r="M12873" s="5"/>
      <c r="N12873" s="5"/>
      <c r="O12873" s="5"/>
      <c r="P12873" s="5"/>
      <c r="Q12873" s="5"/>
      <c r="R12873" s="5"/>
      <c r="S12873" s="5"/>
      <c r="T12873" s="5"/>
      <c r="U12873" s="5"/>
      <c r="V12873" s="5"/>
      <c r="W12873" s="5"/>
      <c r="X12873" s="5"/>
      <c r="Y12873" s="5"/>
      <c r="Z12873" s="5"/>
    </row>
    <row r="12874" spans="1:26" ht="15" x14ac:dyDescent="0.25">
      <c r="A12874" s="4" t="s">
        <v>12871</v>
      </c>
      <c r="B12874" s="4" t="s">
        <v>9011</v>
      </c>
      <c r="C12874" s="2" t="str">
        <f ca="1">IFERROR(__xludf.DUMMYFUNCTION("GOOGLETRANSLATE(A12874,""bn"",""en"")"),"He will make the universal remote")</f>
        <v>He will make the universal remote</v>
      </c>
      <c r="D12874" s="5"/>
      <c r="E12874" s="5"/>
      <c r="F12874" s="5"/>
      <c r="G12874" s="5"/>
      <c r="H12874" s="5"/>
      <c r="I12874" s="5"/>
      <c r="J12874" s="5"/>
      <c r="K12874" s="5"/>
      <c r="L12874" s="5"/>
      <c r="M12874" s="5"/>
      <c r="N12874" s="5"/>
      <c r="O12874" s="5"/>
      <c r="P12874" s="5"/>
      <c r="Q12874" s="5"/>
      <c r="R12874" s="5"/>
      <c r="S12874" s="5"/>
      <c r="T12874" s="5"/>
      <c r="U12874" s="5"/>
      <c r="V12874" s="5"/>
      <c r="W12874" s="5"/>
      <c r="X12874" s="5"/>
      <c r="Y12874" s="5"/>
      <c r="Z12874" s="5"/>
    </row>
    <row r="12875" spans="1:26" ht="15" x14ac:dyDescent="0.25">
      <c r="A12875" s="4" t="s">
        <v>12872</v>
      </c>
      <c r="B12875" s="4" t="s">
        <v>9011</v>
      </c>
      <c r="C12875" s="2" t="str">
        <f ca="1">IFERROR(__xludf.DUMMYFUNCTION("GOOGLETRANSLATE(A12875,""bn"",""en"")"),"I will go to the economics seminar")</f>
        <v>I will go to the economics seminar</v>
      </c>
      <c r="D12875" s="5"/>
      <c r="E12875" s="5"/>
      <c r="F12875" s="5"/>
      <c r="G12875" s="5"/>
      <c r="H12875" s="5"/>
      <c r="I12875" s="5"/>
      <c r="J12875" s="5"/>
      <c r="K12875" s="5"/>
      <c r="L12875" s="5"/>
      <c r="M12875" s="5"/>
      <c r="N12875" s="5"/>
      <c r="O12875" s="5"/>
      <c r="P12875" s="5"/>
      <c r="Q12875" s="5"/>
      <c r="R12875" s="5"/>
      <c r="S12875" s="5"/>
      <c r="T12875" s="5"/>
      <c r="U12875" s="5"/>
      <c r="V12875" s="5"/>
      <c r="W12875" s="5"/>
      <c r="X12875" s="5"/>
      <c r="Y12875" s="5"/>
      <c r="Z12875" s="5"/>
    </row>
    <row r="12876" spans="1:26" ht="15" x14ac:dyDescent="0.25">
      <c r="A12876" s="4" t="s">
        <v>12873</v>
      </c>
      <c r="B12876" s="4" t="s">
        <v>9011</v>
      </c>
      <c r="C12876" s="2" t="str">
        <f ca="1">IFERROR(__xludf.DUMMYFUNCTION("GOOGLETRANSLATE(A12876,""bn"",""en"")"),"Data collection will be easy")</f>
        <v>Data collection will be easy</v>
      </c>
      <c r="D12876" s="5"/>
      <c r="E12876" s="5"/>
      <c r="F12876" s="5"/>
      <c r="G12876" s="5"/>
      <c r="H12876" s="5"/>
      <c r="I12876" s="5"/>
      <c r="J12876" s="5"/>
      <c r="K12876" s="5"/>
      <c r="L12876" s="5"/>
      <c r="M12876" s="5"/>
      <c r="N12876" s="5"/>
      <c r="O12876" s="5"/>
      <c r="P12876" s="5"/>
      <c r="Q12876" s="5"/>
      <c r="R12876" s="5"/>
      <c r="S12876" s="5"/>
      <c r="T12876" s="5"/>
      <c r="U12876" s="5"/>
      <c r="V12876" s="5"/>
      <c r="W12876" s="5"/>
      <c r="X12876" s="5"/>
      <c r="Y12876" s="5"/>
      <c r="Z12876" s="5"/>
    </row>
    <row r="12877" spans="1:26" ht="15" x14ac:dyDescent="0.25">
      <c r="A12877" s="4" t="s">
        <v>12874</v>
      </c>
      <c r="B12877" s="4" t="s">
        <v>9011</v>
      </c>
      <c r="C12877" s="2" t="str">
        <f ca="1">IFERROR(__xludf.DUMMYFUNCTION("GOOGLETRANSLATE(A12877,""bn"",""en"")"),"He will be first in the recital")</f>
        <v>He will be first in the recital</v>
      </c>
      <c r="D12877" s="5"/>
      <c r="E12877" s="5"/>
      <c r="F12877" s="5"/>
      <c r="G12877" s="5"/>
      <c r="H12877" s="5"/>
      <c r="I12877" s="5"/>
      <c r="J12877" s="5"/>
      <c r="K12877" s="5"/>
      <c r="L12877" s="5"/>
      <c r="M12877" s="5"/>
      <c r="N12877" s="5"/>
      <c r="O12877" s="5"/>
      <c r="P12877" s="5"/>
      <c r="Q12877" s="5"/>
      <c r="R12877" s="5"/>
      <c r="S12877" s="5"/>
      <c r="T12877" s="5"/>
      <c r="U12877" s="5"/>
      <c r="V12877" s="5"/>
      <c r="W12877" s="5"/>
      <c r="X12877" s="5"/>
      <c r="Y12877" s="5"/>
      <c r="Z12877" s="5"/>
    </row>
    <row r="12878" spans="1:26" ht="15" x14ac:dyDescent="0.25">
      <c r="A12878" s="4" t="s">
        <v>12875</v>
      </c>
      <c r="B12878" s="4" t="s">
        <v>9011</v>
      </c>
      <c r="C12878" s="2" t="str">
        <f ca="1">IFERROR(__xludf.DUMMYFUNCTION("GOOGLETRANSLATE(A12878,""bn"",""en"")"),"You try to understand")</f>
        <v>You try to understand</v>
      </c>
      <c r="D12878" s="5"/>
      <c r="E12878" s="5"/>
      <c r="F12878" s="5"/>
      <c r="G12878" s="5"/>
      <c r="H12878" s="5"/>
      <c r="I12878" s="5"/>
      <c r="J12878" s="5"/>
      <c r="K12878" s="5"/>
      <c r="L12878" s="5"/>
      <c r="M12878" s="5"/>
      <c r="N12878" s="5"/>
      <c r="O12878" s="5"/>
      <c r="P12878" s="5"/>
      <c r="Q12878" s="5"/>
      <c r="R12878" s="5"/>
      <c r="S12878" s="5"/>
      <c r="T12878" s="5"/>
      <c r="U12878" s="5"/>
      <c r="V12878" s="5"/>
      <c r="W12878" s="5"/>
      <c r="X12878" s="5"/>
      <c r="Y12878" s="5"/>
      <c r="Z12878" s="5"/>
    </row>
    <row r="12879" spans="1:26" ht="15" x14ac:dyDescent="0.25">
      <c r="A12879" s="4" t="s">
        <v>12876</v>
      </c>
      <c r="B12879" s="4" t="s">
        <v>9011</v>
      </c>
      <c r="C12879" s="2" t="str">
        <f ca="1">IFERROR(__xludf.DUMMYFUNCTION("GOOGLETRANSLATE(A12879,""bn"",""en"")"),"They will do scientific research")</f>
        <v>They will do scientific research</v>
      </c>
      <c r="D12879" s="5"/>
      <c r="E12879" s="5"/>
      <c r="F12879" s="5"/>
      <c r="G12879" s="5"/>
      <c r="H12879" s="5"/>
      <c r="I12879" s="5"/>
      <c r="J12879" s="5"/>
      <c r="K12879" s="5"/>
      <c r="L12879" s="5"/>
      <c r="M12879" s="5"/>
      <c r="N12879" s="5"/>
      <c r="O12879" s="5"/>
      <c r="P12879" s="5"/>
      <c r="Q12879" s="5"/>
      <c r="R12879" s="5"/>
      <c r="S12879" s="5"/>
      <c r="T12879" s="5"/>
      <c r="U12879" s="5"/>
      <c r="V12879" s="5"/>
      <c r="W12879" s="5"/>
      <c r="X12879" s="5"/>
      <c r="Y12879" s="5"/>
      <c r="Z12879" s="5"/>
    </row>
    <row r="12880" spans="1:26" ht="15" x14ac:dyDescent="0.25">
      <c r="A12880" s="4" t="s">
        <v>12877</v>
      </c>
      <c r="B12880" s="4" t="s">
        <v>9011</v>
      </c>
      <c r="C12880" s="2" t="str">
        <f ca="1">IFERROR(__xludf.DUMMYFUNCTION("GOOGLETRANSLATE(A12880,""bn"",""en"")"),"Come to the book fair and buy books")</f>
        <v>Come to the book fair and buy books</v>
      </c>
      <c r="D12880" s="5"/>
      <c r="E12880" s="5"/>
      <c r="F12880" s="5"/>
      <c r="G12880" s="5"/>
      <c r="H12880" s="5"/>
      <c r="I12880" s="5"/>
      <c r="J12880" s="5"/>
      <c r="K12880" s="5"/>
      <c r="L12880" s="5"/>
      <c r="M12880" s="5"/>
      <c r="N12880" s="5"/>
      <c r="O12880" s="5"/>
      <c r="P12880" s="5"/>
      <c r="Q12880" s="5"/>
      <c r="R12880" s="5"/>
      <c r="S12880" s="5"/>
      <c r="T12880" s="5"/>
      <c r="U12880" s="5"/>
      <c r="V12880" s="5"/>
      <c r="W12880" s="5"/>
      <c r="X12880" s="5"/>
      <c r="Y12880" s="5"/>
      <c r="Z12880" s="5"/>
    </row>
    <row r="12881" spans="1:26" ht="15" x14ac:dyDescent="0.25">
      <c r="A12881" s="4" t="s">
        <v>12878</v>
      </c>
      <c r="B12881" s="4" t="s">
        <v>9011</v>
      </c>
      <c r="C12881" s="2" t="str">
        <f ca="1">IFERROR(__xludf.DUMMYFUNCTION("GOOGLETRANSLATE(A12881,""bn"",""en"")"),"A domain is required for the website")</f>
        <v>A domain is required for the website</v>
      </c>
      <c r="D12881" s="5"/>
      <c r="E12881" s="5"/>
      <c r="F12881" s="5"/>
      <c r="G12881" s="5"/>
      <c r="H12881" s="5"/>
      <c r="I12881" s="5"/>
      <c r="J12881" s="5"/>
      <c r="K12881" s="5"/>
      <c r="L12881" s="5"/>
      <c r="M12881" s="5"/>
      <c r="N12881" s="5"/>
      <c r="O12881" s="5"/>
      <c r="P12881" s="5"/>
      <c r="Q12881" s="5"/>
      <c r="R12881" s="5"/>
      <c r="S12881" s="5"/>
      <c r="T12881" s="5"/>
      <c r="U12881" s="5"/>
      <c r="V12881" s="5"/>
      <c r="W12881" s="5"/>
      <c r="X12881" s="5"/>
      <c r="Y12881" s="5"/>
      <c r="Z12881" s="5"/>
    </row>
    <row r="12882" spans="1:26" ht="15" x14ac:dyDescent="0.25">
      <c r="A12882" s="4" t="s">
        <v>12879</v>
      </c>
      <c r="B12882" s="4" t="s">
        <v>9011</v>
      </c>
      <c r="C12882" s="2" t="str">
        <f ca="1">IFERROR(__xludf.DUMMYFUNCTION("GOOGLETRANSLATE(A12882,""bn"",""en"")"),"There will be a discussion with the President")</f>
        <v>There will be a discussion with the President</v>
      </c>
      <c r="D12882" s="5"/>
      <c r="E12882" s="5"/>
      <c r="F12882" s="5"/>
      <c r="G12882" s="5"/>
      <c r="H12882" s="5"/>
      <c r="I12882" s="5"/>
      <c r="J12882" s="5"/>
      <c r="K12882" s="5"/>
      <c r="L12882" s="5"/>
      <c r="M12882" s="5"/>
      <c r="N12882" s="5"/>
      <c r="O12882" s="5"/>
      <c r="P12882" s="5"/>
      <c r="Q12882" s="5"/>
      <c r="R12882" s="5"/>
      <c r="S12882" s="5"/>
      <c r="T12882" s="5"/>
      <c r="U12882" s="5"/>
      <c r="V12882" s="5"/>
      <c r="W12882" s="5"/>
      <c r="X12882" s="5"/>
      <c r="Y12882" s="5"/>
      <c r="Z12882" s="5"/>
    </row>
    <row r="12883" spans="1:26" ht="15" x14ac:dyDescent="0.25">
      <c r="A12883" s="4" t="s">
        <v>12880</v>
      </c>
      <c r="B12883" s="4" t="s">
        <v>9011</v>
      </c>
      <c r="C12883" s="2" t="str">
        <f ca="1">IFERROR(__xludf.DUMMYFUNCTION("GOOGLETRANSLATE(A12883,""bn"",""en"")"),"Biometric card will be used")</f>
        <v>Biometric card will be used</v>
      </c>
      <c r="D12883" s="5"/>
      <c r="E12883" s="5"/>
      <c r="F12883" s="5"/>
      <c r="G12883" s="5"/>
      <c r="H12883" s="5"/>
      <c r="I12883" s="5"/>
      <c r="J12883" s="5"/>
      <c r="K12883" s="5"/>
      <c r="L12883" s="5"/>
      <c r="M12883" s="5"/>
      <c r="N12883" s="5"/>
      <c r="O12883" s="5"/>
      <c r="P12883" s="5"/>
      <c r="Q12883" s="5"/>
      <c r="R12883" s="5"/>
      <c r="S12883" s="5"/>
      <c r="T12883" s="5"/>
      <c r="U12883" s="5"/>
      <c r="V12883" s="5"/>
      <c r="W12883" s="5"/>
      <c r="X12883" s="5"/>
      <c r="Y12883" s="5"/>
      <c r="Z12883" s="5"/>
    </row>
    <row r="12884" spans="1:26" ht="15" x14ac:dyDescent="0.25">
      <c r="A12884" s="4" t="s">
        <v>12881</v>
      </c>
      <c r="B12884" s="4" t="s">
        <v>9011</v>
      </c>
      <c r="C12884" s="2" t="str">
        <f ca="1">IFERROR(__xludf.DUMMYFUNCTION("GOOGLETRANSLATE(A12884,""bn"",""en"")"),"The doctor will see me tomorrow")</f>
        <v>The doctor will see me tomorrow</v>
      </c>
      <c r="D12884" s="5"/>
      <c r="E12884" s="5"/>
      <c r="F12884" s="5"/>
      <c r="G12884" s="5"/>
      <c r="H12884" s="5"/>
      <c r="I12884" s="5"/>
      <c r="J12884" s="5"/>
      <c r="K12884" s="5"/>
      <c r="L12884" s="5"/>
      <c r="M12884" s="5"/>
      <c r="N12884" s="5"/>
      <c r="O12884" s="5"/>
      <c r="P12884" s="5"/>
      <c r="Q12884" s="5"/>
      <c r="R12884" s="5"/>
      <c r="S12884" s="5"/>
      <c r="T12884" s="5"/>
      <c r="U12884" s="5"/>
      <c r="V12884" s="5"/>
      <c r="W12884" s="5"/>
      <c r="X12884" s="5"/>
      <c r="Y12884" s="5"/>
      <c r="Z12884" s="5"/>
    </row>
    <row r="12885" spans="1:26" ht="15" x14ac:dyDescent="0.25">
      <c r="A12885" s="4" t="s">
        <v>12882</v>
      </c>
      <c r="B12885" s="4" t="s">
        <v>9011</v>
      </c>
      <c r="C12885" s="2" t="str">
        <f ca="1">IFERROR(__xludf.DUMMYFUNCTION("GOOGLETRANSLATE(A12885,""bn"",""en"")"),"The doctor will prescribe medicine")</f>
        <v>The doctor will prescribe medicine</v>
      </c>
      <c r="D12885" s="5"/>
      <c r="E12885" s="5"/>
      <c r="F12885" s="5"/>
      <c r="G12885" s="5"/>
      <c r="H12885" s="5"/>
      <c r="I12885" s="5"/>
      <c r="J12885" s="5"/>
      <c r="K12885" s="5"/>
      <c r="L12885" s="5"/>
      <c r="M12885" s="5"/>
      <c r="N12885" s="5"/>
      <c r="O12885" s="5"/>
      <c r="P12885" s="5"/>
      <c r="Q12885" s="5"/>
      <c r="R12885" s="5"/>
      <c r="S12885" s="5"/>
      <c r="T12885" s="5"/>
      <c r="U12885" s="5"/>
      <c r="V12885" s="5"/>
      <c r="W12885" s="5"/>
      <c r="X12885" s="5"/>
      <c r="Y12885" s="5"/>
      <c r="Z12885" s="5"/>
    </row>
    <row r="12886" spans="1:26" ht="15" x14ac:dyDescent="0.25">
      <c r="A12886" s="4" t="s">
        <v>12883</v>
      </c>
      <c r="B12886" s="4" t="s">
        <v>9011</v>
      </c>
      <c r="C12886" s="2" t="str">
        <f ca="1">IFERROR(__xludf.DUMMYFUNCTION("GOOGLETRANSLATE(A12886,""bn"",""en"")"),"I will publish the information in the newspaper")</f>
        <v>I will publish the information in the newspaper</v>
      </c>
      <c r="D12886" s="5"/>
      <c r="E12886" s="5"/>
      <c r="F12886" s="5"/>
      <c r="G12886" s="5"/>
      <c r="H12886" s="5"/>
      <c r="I12886" s="5"/>
      <c r="J12886" s="5"/>
      <c r="K12886" s="5"/>
      <c r="L12886" s="5"/>
      <c r="M12886" s="5"/>
      <c r="N12886" s="5"/>
      <c r="O12886" s="5"/>
      <c r="P12886" s="5"/>
      <c r="Q12886" s="5"/>
      <c r="R12886" s="5"/>
      <c r="S12886" s="5"/>
      <c r="T12886" s="5"/>
      <c r="U12886" s="5"/>
      <c r="V12886" s="5"/>
      <c r="W12886" s="5"/>
      <c r="X12886" s="5"/>
      <c r="Y12886" s="5"/>
      <c r="Z12886" s="5"/>
    </row>
    <row r="12887" spans="1:26" ht="15" x14ac:dyDescent="0.25">
      <c r="A12887" s="4" t="s">
        <v>12884</v>
      </c>
      <c r="B12887" s="4" t="s">
        <v>9011</v>
      </c>
      <c r="C12887" s="2" t="str">
        <f ca="1">IFERROR(__xludf.DUMMYFUNCTION("GOOGLETRANSLATE(A12887,""bn"",""en"")"),"Will prepare for the operation")</f>
        <v>Will prepare for the operation</v>
      </c>
      <c r="D12887" s="5"/>
      <c r="E12887" s="5"/>
      <c r="F12887" s="5"/>
      <c r="G12887" s="5"/>
      <c r="H12887" s="5"/>
      <c r="I12887" s="5"/>
      <c r="J12887" s="5"/>
      <c r="K12887" s="5"/>
      <c r="L12887" s="5"/>
      <c r="M12887" s="5"/>
      <c r="N12887" s="5"/>
      <c r="O12887" s="5"/>
      <c r="P12887" s="5"/>
      <c r="Q12887" s="5"/>
      <c r="R12887" s="5"/>
      <c r="S12887" s="5"/>
      <c r="T12887" s="5"/>
      <c r="U12887" s="5"/>
      <c r="V12887" s="5"/>
      <c r="W12887" s="5"/>
      <c r="X12887" s="5"/>
      <c r="Y12887" s="5"/>
      <c r="Z12887" s="5"/>
    </row>
    <row r="12888" spans="1:26" ht="15" x14ac:dyDescent="0.25">
      <c r="A12888" s="4" t="s">
        <v>12885</v>
      </c>
      <c r="B12888" s="4" t="s">
        <v>9011</v>
      </c>
      <c r="C12888" s="2" t="str">
        <f ca="1">IFERROR(__xludf.DUMMYFUNCTION("GOOGLETRANSLATE(A12888,""bn"",""en"")"),"Medical material will be produced")</f>
        <v>Medical material will be produced</v>
      </c>
      <c r="D12888" s="5"/>
      <c r="E12888" s="5"/>
      <c r="F12888" s="5"/>
      <c r="G12888" s="5"/>
      <c r="H12888" s="5"/>
      <c r="I12888" s="5"/>
      <c r="J12888" s="5"/>
      <c r="K12888" s="5"/>
      <c r="L12888" s="5"/>
      <c r="M12888" s="5"/>
      <c r="N12888" s="5"/>
      <c r="O12888" s="5"/>
      <c r="P12888" s="5"/>
      <c r="Q12888" s="5"/>
      <c r="R12888" s="5"/>
      <c r="S12888" s="5"/>
      <c r="T12888" s="5"/>
      <c r="U12888" s="5"/>
      <c r="V12888" s="5"/>
      <c r="W12888" s="5"/>
      <c r="X12888" s="5"/>
      <c r="Y12888" s="5"/>
      <c r="Z12888" s="5"/>
    </row>
    <row r="12889" spans="1:26" ht="15" x14ac:dyDescent="0.25">
      <c r="A12889" s="4" t="s">
        <v>12886</v>
      </c>
      <c r="B12889" s="4" t="s">
        <v>9011</v>
      </c>
      <c r="C12889" s="2" t="str">
        <f ca="1">IFERROR(__xludf.DUMMYFUNCTION("GOOGLETRANSLATE(A12889,""bn"",""en"")"),"Machine learning skills will increase")</f>
        <v>Machine learning skills will increase</v>
      </c>
      <c r="D12889" s="5"/>
      <c r="E12889" s="5"/>
      <c r="F12889" s="5"/>
      <c r="G12889" s="5"/>
      <c r="H12889" s="5"/>
      <c r="I12889" s="5"/>
      <c r="J12889" s="5"/>
      <c r="K12889" s="5"/>
      <c r="L12889" s="5"/>
      <c r="M12889" s="5"/>
      <c r="N12889" s="5"/>
      <c r="O12889" s="5"/>
      <c r="P12889" s="5"/>
      <c r="Q12889" s="5"/>
      <c r="R12889" s="5"/>
      <c r="S12889" s="5"/>
      <c r="T12889" s="5"/>
      <c r="U12889" s="5"/>
      <c r="V12889" s="5"/>
      <c r="W12889" s="5"/>
      <c r="X12889" s="5"/>
      <c r="Y12889" s="5"/>
      <c r="Z12889" s="5"/>
    </row>
    <row r="12890" spans="1:26" ht="15" x14ac:dyDescent="0.25">
      <c r="A12890" s="4" t="s">
        <v>12887</v>
      </c>
      <c r="B12890" s="4" t="s">
        <v>9011</v>
      </c>
      <c r="C12890" s="2" t="str">
        <f ca="1">IFERROR(__xludf.DUMMYFUNCTION("GOOGLETRANSLATE(A12890,""bn"",""en"")"),"You will go trekking")</f>
        <v>You will go trekking</v>
      </c>
      <c r="D12890" s="5"/>
      <c r="E12890" s="5"/>
      <c r="F12890" s="5"/>
      <c r="G12890" s="5"/>
      <c r="H12890" s="5"/>
      <c r="I12890" s="5"/>
      <c r="J12890" s="5"/>
      <c r="K12890" s="5"/>
      <c r="L12890" s="5"/>
      <c r="M12890" s="5"/>
      <c r="N12890" s="5"/>
      <c r="O12890" s="5"/>
      <c r="P12890" s="5"/>
      <c r="Q12890" s="5"/>
      <c r="R12890" s="5"/>
      <c r="S12890" s="5"/>
      <c r="T12890" s="5"/>
      <c r="U12890" s="5"/>
      <c r="V12890" s="5"/>
      <c r="W12890" s="5"/>
      <c r="X12890" s="5"/>
      <c r="Y12890" s="5"/>
      <c r="Z12890" s="5"/>
    </row>
    <row r="12891" spans="1:26" ht="15" x14ac:dyDescent="0.25">
      <c r="A12891" s="4" t="s">
        <v>12888</v>
      </c>
      <c r="B12891" s="4" t="s">
        <v>9011</v>
      </c>
      <c r="C12891" s="2" t="str">
        <f ca="1">IFERROR(__xludf.DUMMYFUNCTION("GOOGLETRANSLATE(A12891,""bn"",""en"")"),"The course must be completed")</f>
        <v>The course must be completed</v>
      </c>
      <c r="D12891" s="5"/>
      <c r="E12891" s="5"/>
      <c r="F12891" s="5"/>
      <c r="G12891" s="5"/>
      <c r="H12891" s="5"/>
      <c r="I12891" s="5"/>
      <c r="J12891" s="5"/>
      <c r="K12891" s="5"/>
      <c r="L12891" s="5"/>
      <c r="M12891" s="5"/>
      <c r="N12891" s="5"/>
      <c r="O12891" s="5"/>
      <c r="P12891" s="5"/>
      <c r="Q12891" s="5"/>
      <c r="R12891" s="5"/>
      <c r="S12891" s="5"/>
      <c r="T12891" s="5"/>
      <c r="U12891" s="5"/>
      <c r="V12891" s="5"/>
      <c r="W12891" s="5"/>
      <c r="X12891" s="5"/>
      <c r="Y12891" s="5"/>
      <c r="Z12891" s="5"/>
    </row>
    <row r="12892" spans="1:26" ht="15" x14ac:dyDescent="0.25">
      <c r="A12892" s="4" t="s">
        <v>12889</v>
      </c>
      <c r="B12892" s="4" t="s">
        <v>9011</v>
      </c>
      <c r="C12892" s="2" t="str">
        <f ca="1">IFERROR(__xludf.DUMMYFUNCTION("GOOGLETRANSLATE(A12892,""bn"",""en"")"),"Will work in Google Excel")</f>
        <v>Will work in Google Excel</v>
      </c>
      <c r="D12892" s="5"/>
      <c r="E12892" s="5"/>
      <c r="F12892" s="5"/>
      <c r="G12892" s="5"/>
      <c r="H12892" s="5"/>
      <c r="I12892" s="5"/>
      <c r="J12892" s="5"/>
      <c r="K12892" s="5"/>
      <c r="L12892" s="5"/>
      <c r="M12892" s="5"/>
      <c r="N12892" s="5"/>
      <c r="O12892" s="5"/>
      <c r="P12892" s="5"/>
      <c r="Q12892" s="5"/>
      <c r="R12892" s="5"/>
      <c r="S12892" s="5"/>
      <c r="T12892" s="5"/>
      <c r="U12892" s="5"/>
      <c r="V12892" s="5"/>
      <c r="W12892" s="5"/>
      <c r="X12892" s="5"/>
      <c r="Y12892" s="5"/>
      <c r="Z12892" s="5"/>
    </row>
    <row r="12893" spans="1:26" ht="15" x14ac:dyDescent="0.25">
      <c r="A12893" s="4" t="s">
        <v>12890</v>
      </c>
      <c r="B12893" s="4" t="s">
        <v>9011</v>
      </c>
      <c r="C12893" s="2" t="str">
        <f ca="1">IFERROR(__xludf.DUMMYFUNCTION("GOOGLETRANSLATE(A12893,""bn"",""en"")"),"Bioinformatics experts will be increased")</f>
        <v>Bioinformatics experts will be increased</v>
      </c>
      <c r="D12893" s="5"/>
      <c r="E12893" s="5"/>
      <c r="F12893" s="5"/>
      <c r="G12893" s="5"/>
      <c r="H12893" s="5"/>
      <c r="I12893" s="5"/>
      <c r="J12893" s="5"/>
      <c r="K12893" s="5"/>
      <c r="L12893" s="5"/>
      <c r="M12893" s="5"/>
      <c r="N12893" s="5"/>
      <c r="O12893" s="5"/>
      <c r="P12893" s="5"/>
      <c r="Q12893" s="5"/>
      <c r="R12893" s="5"/>
      <c r="S12893" s="5"/>
      <c r="T12893" s="5"/>
      <c r="U12893" s="5"/>
      <c r="V12893" s="5"/>
      <c r="W12893" s="5"/>
      <c r="X12893" s="5"/>
      <c r="Y12893" s="5"/>
      <c r="Z12893" s="5"/>
    </row>
    <row r="12894" spans="1:26" ht="15" x14ac:dyDescent="0.25">
      <c r="A12894" s="4" t="s">
        <v>12891</v>
      </c>
      <c r="B12894" s="4" t="s">
        <v>9011</v>
      </c>
      <c r="C12894" s="2" t="str">
        <f ca="1">IFERROR(__xludf.DUMMYFUNCTION("GOOGLETRANSLATE(A12894,""bn"",""en"")"),"You will watch test matches")</f>
        <v>You will watch test matches</v>
      </c>
      <c r="D12894" s="5"/>
      <c r="E12894" s="5"/>
      <c r="F12894" s="5"/>
      <c r="G12894" s="5"/>
      <c r="H12894" s="5"/>
      <c r="I12894" s="5"/>
      <c r="J12894" s="5"/>
      <c r="K12894" s="5"/>
      <c r="L12894" s="5"/>
      <c r="M12894" s="5"/>
      <c r="N12894" s="5"/>
      <c r="O12894" s="5"/>
      <c r="P12894" s="5"/>
      <c r="Q12894" s="5"/>
      <c r="R12894" s="5"/>
      <c r="S12894" s="5"/>
      <c r="T12894" s="5"/>
      <c r="U12894" s="5"/>
      <c r="V12894" s="5"/>
      <c r="W12894" s="5"/>
      <c r="X12894" s="5"/>
      <c r="Y12894" s="5"/>
      <c r="Z12894" s="5"/>
    </row>
    <row r="12895" spans="1:26" ht="15" x14ac:dyDescent="0.25">
      <c r="A12895" s="4" t="s">
        <v>12892</v>
      </c>
      <c r="B12895" s="4" t="s">
        <v>9011</v>
      </c>
      <c r="C12895" s="2" t="str">
        <f ca="1">IFERROR(__xludf.DUMMYFUNCTION("GOOGLETRANSLATE(A12895,""bn"",""en"")"),"The covid vaccine will improve")</f>
        <v>The covid vaccine will improve</v>
      </c>
      <c r="D12895" s="5"/>
      <c r="E12895" s="5"/>
      <c r="F12895" s="5"/>
      <c r="G12895" s="5"/>
      <c r="H12895" s="5"/>
      <c r="I12895" s="5"/>
      <c r="J12895" s="5"/>
      <c r="K12895" s="5"/>
      <c r="L12895" s="5"/>
      <c r="M12895" s="5"/>
      <c r="N12895" s="5"/>
      <c r="O12895" s="5"/>
      <c r="P12895" s="5"/>
      <c r="Q12895" s="5"/>
      <c r="R12895" s="5"/>
      <c r="S12895" s="5"/>
      <c r="T12895" s="5"/>
      <c r="U12895" s="5"/>
      <c r="V12895" s="5"/>
      <c r="W12895" s="5"/>
      <c r="X12895" s="5"/>
      <c r="Y12895" s="5"/>
      <c r="Z12895" s="5"/>
    </row>
    <row r="12896" spans="1:26" ht="15" x14ac:dyDescent="0.25">
      <c r="A12896" s="4" t="s">
        <v>12893</v>
      </c>
      <c r="B12896" s="4" t="s">
        <v>9011</v>
      </c>
      <c r="C12896" s="2" t="str">
        <f ca="1">IFERROR(__xludf.DUMMYFUNCTION("GOOGLETRANSLATE(A12896,""bn"",""en"")"),"Research will collect data")</f>
        <v>Research will collect data</v>
      </c>
      <c r="D12896" s="5"/>
      <c r="E12896" s="5"/>
      <c r="F12896" s="5"/>
      <c r="G12896" s="5"/>
      <c r="H12896" s="5"/>
      <c r="I12896" s="5"/>
      <c r="J12896" s="5"/>
      <c r="K12896" s="5"/>
      <c r="L12896" s="5"/>
      <c r="M12896" s="5"/>
      <c r="N12896" s="5"/>
      <c r="O12896" s="5"/>
      <c r="P12896" s="5"/>
      <c r="Q12896" s="5"/>
      <c r="R12896" s="5"/>
      <c r="S12896" s="5"/>
      <c r="T12896" s="5"/>
      <c r="U12896" s="5"/>
      <c r="V12896" s="5"/>
      <c r="W12896" s="5"/>
      <c r="X12896" s="5"/>
      <c r="Y12896" s="5"/>
      <c r="Z12896" s="5"/>
    </row>
    <row r="12897" spans="1:26" ht="15" x14ac:dyDescent="0.25">
      <c r="A12897" s="4" t="s">
        <v>12894</v>
      </c>
      <c r="B12897" s="4" t="s">
        <v>9011</v>
      </c>
      <c r="C12897" s="2" t="str">
        <f ca="1">IFERROR(__xludf.DUMMYFUNCTION("GOOGLETRANSLATE(A12897,""bn"",""en"")"),"I will start an IT startup")</f>
        <v>I will start an IT startup</v>
      </c>
      <c r="D12897" s="5"/>
      <c r="E12897" s="5"/>
      <c r="F12897" s="5"/>
      <c r="G12897" s="5"/>
      <c r="H12897" s="5"/>
      <c r="I12897" s="5"/>
      <c r="J12897" s="5"/>
      <c r="K12897" s="5"/>
      <c r="L12897" s="5"/>
      <c r="M12897" s="5"/>
      <c r="N12897" s="5"/>
      <c r="O12897" s="5"/>
      <c r="P12897" s="5"/>
      <c r="Q12897" s="5"/>
      <c r="R12897" s="5"/>
      <c r="S12897" s="5"/>
      <c r="T12897" s="5"/>
      <c r="U12897" s="5"/>
      <c r="V12897" s="5"/>
      <c r="W12897" s="5"/>
      <c r="X12897" s="5"/>
      <c r="Y12897" s="5"/>
      <c r="Z12897" s="5"/>
    </row>
    <row r="12898" spans="1:26" ht="15" x14ac:dyDescent="0.25">
      <c r="A12898" s="4" t="s">
        <v>12895</v>
      </c>
      <c r="B12898" s="4" t="s">
        <v>9011</v>
      </c>
      <c r="C12898" s="2" t="str">
        <f ca="1">IFERROR(__xludf.DUMMYFUNCTION("GOOGLETRANSLATE(A12898,""bn"",""en"")"),"I will make ice cream")</f>
        <v>I will make ice cream</v>
      </c>
      <c r="D12898" s="5"/>
      <c r="E12898" s="5"/>
      <c r="F12898" s="5"/>
      <c r="G12898" s="5"/>
      <c r="H12898" s="5"/>
      <c r="I12898" s="5"/>
      <c r="J12898" s="5"/>
      <c r="K12898" s="5"/>
      <c r="L12898" s="5"/>
      <c r="M12898" s="5"/>
      <c r="N12898" s="5"/>
      <c r="O12898" s="5"/>
      <c r="P12898" s="5"/>
      <c r="Q12898" s="5"/>
      <c r="R12898" s="5"/>
      <c r="S12898" s="5"/>
      <c r="T12898" s="5"/>
      <c r="U12898" s="5"/>
      <c r="V12898" s="5"/>
      <c r="W12898" s="5"/>
      <c r="X12898" s="5"/>
      <c r="Y12898" s="5"/>
      <c r="Z12898" s="5"/>
    </row>
    <row r="12899" spans="1:26" ht="15" x14ac:dyDescent="0.25">
      <c r="A12899" s="4" t="s">
        <v>12896</v>
      </c>
      <c r="B12899" s="4" t="s">
        <v>9011</v>
      </c>
      <c r="C12899" s="2" t="str">
        <f ca="1">IFERROR(__xludf.DUMMYFUNCTION("GOOGLETRANSLATE(A12899,""bn"",""en"")"),"Better market will come in future")</f>
        <v>Better market will come in future</v>
      </c>
      <c r="D12899" s="5"/>
      <c r="E12899" s="5"/>
      <c r="F12899" s="5"/>
      <c r="G12899" s="5"/>
      <c r="H12899" s="5"/>
      <c r="I12899" s="5"/>
      <c r="J12899" s="5"/>
      <c r="K12899" s="5"/>
      <c r="L12899" s="5"/>
      <c r="M12899" s="5"/>
      <c r="N12899" s="5"/>
      <c r="O12899" s="5"/>
      <c r="P12899" s="5"/>
      <c r="Q12899" s="5"/>
      <c r="R12899" s="5"/>
      <c r="S12899" s="5"/>
      <c r="T12899" s="5"/>
      <c r="U12899" s="5"/>
      <c r="V12899" s="5"/>
      <c r="W12899" s="5"/>
      <c r="X12899" s="5"/>
      <c r="Y12899" s="5"/>
      <c r="Z12899" s="5"/>
    </row>
    <row r="12900" spans="1:26" ht="15" x14ac:dyDescent="0.25">
      <c r="A12900" s="4" t="s">
        <v>12897</v>
      </c>
      <c r="B12900" s="4" t="s">
        <v>9011</v>
      </c>
      <c r="C12900" s="2" t="str">
        <f ca="1">IFERROR(__xludf.DUMMYFUNCTION("GOOGLETRANSLATE(A12900,""bn"",""en"")"),"An ancient court will be seen")</f>
        <v>An ancient court will be seen</v>
      </c>
      <c r="D12900" s="5"/>
      <c r="E12900" s="5"/>
      <c r="F12900" s="5"/>
      <c r="G12900" s="5"/>
      <c r="H12900" s="5"/>
      <c r="I12900" s="5"/>
      <c r="J12900" s="5"/>
      <c r="K12900" s="5"/>
      <c r="L12900" s="5"/>
      <c r="M12900" s="5"/>
      <c r="N12900" s="5"/>
      <c r="O12900" s="5"/>
      <c r="P12900" s="5"/>
      <c r="Q12900" s="5"/>
      <c r="R12900" s="5"/>
      <c r="S12900" s="5"/>
      <c r="T12900" s="5"/>
      <c r="U12900" s="5"/>
      <c r="V12900" s="5"/>
      <c r="W12900" s="5"/>
      <c r="X12900" s="5"/>
      <c r="Y12900" s="5"/>
      <c r="Z12900" s="5"/>
    </row>
    <row r="12901" spans="1:26" ht="15" x14ac:dyDescent="0.25">
      <c r="A12901" s="4" t="s">
        <v>12898</v>
      </c>
      <c r="B12901" s="4" t="s">
        <v>9011</v>
      </c>
      <c r="C12901" s="2" t="str">
        <f ca="1">IFERROR(__xludf.DUMMYFUNCTION("GOOGLETRANSLATE(A12901,""bn"",""en"")"),"i will come with you")</f>
        <v>i will come with you</v>
      </c>
      <c r="D12901" s="5"/>
      <c r="E12901" s="5"/>
      <c r="F12901" s="5"/>
      <c r="G12901" s="5"/>
      <c r="H12901" s="5"/>
      <c r="I12901" s="5"/>
      <c r="J12901" s="5"/>
      <c r="K12901" s="5"/>
      <c r="L12901" s="5"/>
      <c r="M12901" s="5"/>
      <c r="N12901" s="5"/>
      <c r="O12901" s="5"/>
      <c r="P12901" s="5"/>
      <c r="Q12901" s="5"/>
      <c r="R12901" s="5"/>
      <c r="S12901" s="5"/>
      <c r="T12901" s="5"/>
      <c r="U12901" s="5"/>
      <c r="V12901" s="5"/>
      <c r="W12901" s="5"/>
      <c r="X12901" s="5"/>
      <c r="Y12901" s="5"/>
      <c r="Z12901" s="5"/>
    </row>
    <row r="12902" spans="1:26" ht="15" x14ac:dyDescent="0.25">
      <c r="A12902" s="4" t="s">
        <v>12899</v>
      </c>
      <c r="B12902" s="4" t="s">
        <v>9011</v>
      </c>
      <c r="C12902" s="2" t="str">
        <f ca="1">IFERROR(__xludf.DUMMYFUNCTION("GOOGLETRANSLATE(A12902,""bn"",""en"")"),"Will do software engineering course")</f>
        <v>Will do software engineering course</v>
      </c>
      <c r="D12902" s="5"/>
      <c r="E12902" s="5"/>
      <c r="F12902" s="5"/>
      <c r="G12902" s="5"/>
      <c r="H12902" s="5"/>
      <c r="I12902" s="5"/>
      <c r="J12902" s="5"/>
      <c r="K12902" s="5"/>
      <c r="L12902" s="5"/>
      <c r="M12902" s="5"/>
      <c r="N12902" s="5"/>
      <c r="O12902" s="5"/>
      <c r="P12902" s="5"/>
      <c r="Q12902" s="5"/>
      <c r="R12902" s="5"/>
      <c r="S12902" s="5"/>
      <c r="T12902" s="5"/>
      <c r="U12902" s="5"/>
      <c r="V12902" s="5"/>
      <c r="W12902" s="5"/>
      <c r="X12902" s="5"/>
      <c r="Y12902" s="5"/>
      <c r="Z12902" s="5"/>
    </row>
    <row r="12903" spans="1:26" ht="15" x14ac:dyDescent="0.25">
      <c r="A12903" s="4" t="s">
        <v>12900</v>
      </c>
      <c r="B12903" s="4" t="s">
        <v>9011</v>
      </c>
      <c r="C12903" s="2" t="str">
        <f ca="1">IFERROR(__xludf.DUMMYFUNCTION("GOOGLETRANSLATE(A12903,""bn"",""en"")"),"We will have a fee barbecue")</f>
        <v>We will have a fee barbecue</v>
      </c>
      <c r="D12903" s="5"/>
      <c r="E12903" s="5"/>
      <c r="F12903" s="5"/>
      <c r="G12903" s="5"/>
      <c r="H12903" s="5"/>
      <c r="I12903" s="5"/>
      <c r="J12903" s="5"/>
      <c r="K12903" s="5"/>
      <c r="L12903" s="5"/>
      <c r="M12903" s="5"/>
      <c r="N12903" s="5"/>
      <c r="O12903" s="5"/>
      <c r="P12903" s="5"/>
      <c r="Q12903" s="5"/>
      <c r="R12903" s="5"/>
      <c r="S12903" s="5"/>
      <c r="T12903" s="5"/>
      <c r="U12903" s="5"/>
      <c r="V12903" s="5"/>
      <c r="W12903" s="5"/>
      <c r="X12903" s="5"/>
      <c r="Y12903" s="5"/>
      <c r="Z12903" s="5"/>
    </row>
    <row r="12904" spans="1:26" ht="15" x14ac:dyDescent="0.25">
      <c r="A12904" s="4" t="s">
        <v>12901</v>
      </c>
      <c r="B12904" s="4" t="s">
        <v>9011</v>
      </c>
      <c r="C12904" s="2" t="str">
        <f ca="1">IFERROR(__xludf.DUMMYFUNCTION("GOOGLETRANSLATE(A12904,""bn"",""en"")"),"He will receive a bank cheque")</f>
        <v>He will receive a bank cheque</v>
      </c>
      <c r="D12904" s="5"/>
      <c r="E12904" s="5"/>
      <c r="F12904" s="5"/>
      <c r="G12904" s="5"/>
      <c r="H12904" s="5"/>
      <c r="I12904" s="5"/>
      <c r="J12904" s="5"/>
      <c r="K12904" s="5"/>
      <c r="L12904" s="5"/>
      <c r="M12904" s="5"/>
      <c r="N12904" s="5"/>
      <c r="O12904" s="5"/>
      <c r="P12904" s="5"/>
      <c r="Q12904" s="5"/>
      <c r="R12904" s="5"/>
      <c r="S12904" s="5"/>
      <c r="T12904" s="5"/>
      <c r="U12904" s="5"/>
      <c r="V12904" s="5"/>
      <c r="W12904" s="5"/>
      <c r="X12904" s="5"/>
      <c r="Y12904" s="5"/>
      <c r="Z12904" s="5"/>
    </row>
    <row r="12905" spans="1:26" ht="15" x14ac:dyDescent="0.25">
      <c r="A12905" s="4" t="s">
        <v>12902</v>
      </c>
      <c r="B12905" s="4" t="s">
        <v>9011</v>
      </c>
      <c r="C12905" s="2" t="str">
        <f ca="1">IFERROR(__xludf.DUMMYFUNCTION("GOOGLETRANSLATE(A12905,""bn"",""en"")"),"Everyone will join in the song")</f>
        <v>Everyone will join in the song</v>
      </c>
      <c r="D12905" s="5"/>
      <c r="E12905" s="5"/>
      <c r="F12905" s="5"/>
      <c r="G12905" s="5"/>
      <c r="H12905" s="5"/>
      <c r="I12905" s="5"/>
      <c r="J12905" s="5"/>
      <c r="K12905" s="5"/>
      <c r="L12905" s="5"/>
      <c r="M12905" s="5"/>
      <c r="N12905" s="5"/>
      <c r="O12905" s="5"/>
      <c r="P12905" s="5"/>
      <c r="Q12905" s="5"/>
      <c r="R12905" s="5"/>
      <c r="S12905" s="5"/>
      <c r="T12905" s="5"/>
      <c r="U12905" s="5"/>
      <c r="V12905" s="5"/>
      <c r="W12905" s="5"/>
      <c r="X12905" s="5"/>
      <c r="Y12905" s="5"/>
      <c r="Z12905" s="5"/>
    </row>
    <row r="12906" spans="1:26" ht="15" x14ac:dyDescent="0.25">
      <c r="A12906" s="4" t="s">
        <v>12903</v>
      </c>
      <c r="B12906" s="4" t="s">
        <v>9011</v>
      </c>
      <c r="C12906" s="2" t="str">
        <f ca="1">IFERROR(__xludf.DUMMYFUNCTION("GOOGLETRANSLATE(A12906,""bn"",""en"")"),"Robots will provide health protection")</f>
        <v>Robots will provide health protection</v>
      </c>
      <c r="D12906" s="5"/>
      <c r="E12906" s="5"/>
      <c r="F12906" s="5"/>
      <c r="G12906" s="5"/>
      <c r="H12906" s="5"/>
      <c r="I12906" s="5"/>
      <c r="J12906" s="5"/>
      <c r="K12906" s="5"/>
      <c r="L12906" s="5"/>
      <c r="M12906" s="5"/>
      <c r="N12906" s="5"/>
      <c r="O12906" s="5"/>
      <c r="P12906" s="5"/>
      <c r="Q12906" s="5"/>
      <c r="R12906" s="5"/>
      <c r="S12906" s="5"/>
      <c r="T12906" s="5"/>
      <c r="U12906" s="5"/>
      <c r="V12906" s="5"/>
      <c r="W12906" s="5"/>
      <c r="X12906" s="5"/>
      <c r="Y12906" s="5"/>
      <c r="Z12906" s="5"/>
    </row>
    <row r="12907" spans="1:26" ht="15" x14ac:dyDescent="0.25">
      <c r="A12907" s="4" t="s">
        <v>12904</v>
      </c>
      <c r="B12907" s="4" t="s">
        <v>9011</v>
      </c>
      <c r="C12907" s="2" t="str">
        <f ca="1">IFERROR(__xludf.DUMMYFUNCTION("GOOGLETRANSLATE(A12907,""bn"",""en"")"),"Attend market conferences")</f>
        <v>Attend market conferences</v>
      </c>
      <c r="D12907" s="5"/>
      <c r="E12907" s="5"/>
      <c r="F12907" s="5"/>
      <c r="G12907" s="5"/>
      <c r="H12907" s="5"/>
      <c r="I12907" s="5"/>
      <c r="J12907" s="5"/>
      <c r="K12907" s="5"/>
      <c r="L12907" s="5"/>
      <c r="M12907" s="5"/>
      <c r="N12907" s="5"/>
      <c r="O12907" s="5"/>
      <c r="P12907" s="5"/>
      <c r="Q12907" s="5"/>
      <c r="R12907" s="5"/>
      <c r="S12907" s="5"/>
      <c r="T12907" s="5"/>
      <c r="U12907" s="5"/>
      <c r="V12907" s="5"/>
      <c r="W12907" s="5"/>
      <c r="X12907" s="5"/>
      <c r="Y12907" s="5"/>
      <c r="Z12907" s="5"/>
    </row>
    <row r="12908" spans="1:26" ht="15" x14ac:dyDescent="0.25">
      <c r="A12908" s="4" t="s">
        <v>12905</v>
      </c>
      <c r="B12908" s="4" t="s">
        <v>9011</v>
      </c>
      <c r="C12908" s="2" t="str">
        <f ca="1">IFERROR(__xludf.DUMMYFUNCTION("GOOGLETRANSLATE(A12908,""bn"",""en"")"),"I will rest at the hotel")</f>
        <v>I will rest at the hotel</v>
      </c>
      <c r="D12908" s="5"/>
      <c r="E12908" s="5"/>
      <c r="F12908" s="5"/>
      <c r="G12908" s="5"/>
      <c r="H12908" s="5"/>
      <c r="I12908" s="5"/>
      <c r="J12908" s="5"/>
      <c r="K12908" s="5"/>
      <c r="L12908" s="5"/>
      <c r="M12908" s="5"/>
      <c r="N12908" s="5"/>
      <c r="O12908" s="5"/>
      <c r="P12908" s="5"/>
      <c r="Q12908" s="5"/>
      <c r="R12908" s="5"/>
      <c r="S12908" s="5"/>
      <c r="T12908" s="5"/>
      <c r="U12908" s="5"/>
      <c r="V12908" s="5"/>
      <c r="W12908" s="5"/>
      <c r="X12908" s="5"/>
      <c r="Y12908" s="5"/>
      <c r="Z12908" s="5"/>
    </row>
    <row r="12909" spans="1:26" ht="15" x14ac:dyDescent="0.25">
      <c r="A12909" s="4" t="s">
        <v>12906</v>
      </c>
      <c r="B12909" s="4" t="s">
        <v>9011</v>
      </c>
      <c r="C12909" s="2" t="str">
        <f ca="1">IFERROR(__xludf.DUMMYFUNCTION("GOOGLETRANSLATE(A12909,""bn"",""en"")"),"The market price will increase")</f>
        <v>The market price will increase</v>
      </c>
      <c r="D12909" s="5"/>
      <c r="E12909" s="5"/>
      <c r="F12909" s="5"/>
      <c r="G12909" s="5"/>
      <c r="H12909" s="5"/>
      <c r="I12909" s="5"/>
      <c r="J12909" s="5"/>
      <c r="K12909" s="5"/>
      <c r="L12909" s="5"/>
      <c r="M12909" s="5"/>
      <c r="N12909" s="5"/>
      <c r="O12909" s="5"/>
      <c r="P12909" s="5"/>
      <c r="Q12909" s="5"/>
      <c r="R12909" s="5"/>
      <c r="S12909" s="5"/>
      <c r="T12909" s="5"/>
      <c r="U12909" s="5"/>
      <c r="V12909" s="5"/>
      <c r="W12909" s="5"/>
      <c r="X12909" s="5"/>
      <c r="Y12909" s="5"/>
      <c r="Z12909" s="5"/>
    </row>
    <row r="12910" spans="1:26" ht="15" x14ac:dyDescent="0.25">
      <c r="A12910" s="4" t="s">
        <v>12907</v>
      </c>
      <c r="B12910" s="4" t="s">
        <v>9011</v>
      </c>
      <c r="C12910" s="2" t="str">
        <f ca="1">IFERROR(__xludf.DUMMYFUNCTION("GOOGLETRANSLATE(A12910,""bn"",""en"")"),"Will solve it with chatgpt")</f>
        <v>Will solve it with chatgpt</v>
      </c>
      <c r="D12910" s="5"/>
      <c r="E12910" s="5"/>
      <c r="F12910" s="5"/>
      <c r="G12910" s="5"/>
      <c r="H12910" s="5"/>
      <c r="I12910" s="5"/>
      <c r="J12910" s="5"/>
      <c r="K12910" s="5"/>
      <c r="L12910" s="5"/>
      <c r="M12910" s="5"/>
      <c r="N12910" s="5"/>
      <c r="O12910" s="5"/>
      <c r="P12910" s="5"/>
      <c r="Q12910" s="5"/>
      <c r="R12910" s="5"/>
      <c r="S12910" s="5"/>
      <c r="T12910" s="5"/>
      <c r="U12910" s="5"/>
      <c r="V12910" s="5"/>
      <c r="W12910" s="5"/>
      <c r="X12910" s="5"/>
      <c r="Y12910" s="5"/>
      <c r="Z12910" s="5"/>
    </row>
    <row r="12911" spans="1:26" ht="15" x14ac:dyDescent="0.25">
      <c r="A12911" s="4" t="s">
        <v>12908</v>
      </c>
      <c r="B12911" s="4" t="s">
        <v>9011</v>
      </c>
      <c r="C12911" s="2" t="str">
        <f ca="1">IFERROR(__xludf.DUMMYFUNCTION("GOOGLETRANSLATE(A12911,""bn"",""en"")"),"I will walk in the snow in the summer")</f>
        <v>I will walk in the snow in the summer</v>
      </c>
      <c r="D12911" s="5"/>
      <c r="E12911" s="5"/>
      <c r="F12911" s="5"/>
      <c r="G12911" s="5"/>
      <c r="H12911" s="5"/>
      <c r="I12911" s="5"/>
      <c r="J12911" s="5"/>
      <c r="K12911" s="5"/>
      <c r="L12911" s="5"/>
      <c r="M12911" s="5"/>
      <c r="N12911" s="5"/>
      <c r="O12911" s="5"/>
      <c r="P12911" s="5"/>
      <c r="Q12911" s="5"/>
      <c r="R12911" s="5"/>
      <c r="S12911" s="5"/>
      <c r="T12911" s="5"/>
      <c r="U12911" s="5"/>
      <c r="V12911" s="5"/>
      <c r="W12911" s="5"/>
      <c r="X12911" s="5"/>
      <c r="Y12911" s="5"/>
      <c r="Z12911" s="5"/>
    </row>
    <row r="12912" spans="1:26" ht="15" x14ac:dyDescent="0.25">
      <c r="A12912" s="4" t="s">
        <v>12909</v>
      </c>
      <c r="B12912" s="4" t="s">
        <v>9011</v>
      </c>
      <c r="C12912" s="2" t="str">
        <f ca="1">IFERROR(__xludf.DUMMYFUNCTION("GOOGLETRANSLATE(A12912,""bn"",""en"")"),"Technology will improve a lot")</f>
        <v>Technology will improve a lot</v>
      </c>
      <c r="D12912" s="5"/>
      <c r="E12912" s="5"/>
      <c r="F12912" s="5"/>
      <c r="G12912" s="5"/>
      <c r="H12912" s="5"/>
      <c r="I12912" s="5"/>
      <c r="J12912" s="5"/>
      <c r="K12912" s="5"/>
      <c r="L12912" s="5"/>
      <c r="M12912" s="5"/>
      <c r="N12912" s="5"/>
      <c r="O12912" s="5"/>
      <c r="P12912" s="5"/>
      <c r="Q12912" s="5"/>
      <c r="R12912" s="5"/>
      <c r="S12912" s="5"/>
      <c r="T12912" s="5"/>
      <c r="U12912" s="5"/>
      <c r="V12912" s="5"/>
      <c r="W12912" s="5"/>
      <c r="X12912" s="5"/>
      <c r="Y12912" s="5"/>
      <c r="Z12912" s="5"/>
    </row>
    <row r="12913" spans="1:26" ht="15" x14ac:dyDescent="0.25">
      <c r="A12913" s="4" t="s">
        <v>12910</v>
      </c>
      <c r="B12913" s="4" t="s">
        <v>9011</v>
      </c>
      <c r="C12913" s="2" t="str">
        <f ca="1">IFERROR(__xludf.DUMMYFUNCTION("GOOGLETRANSLATE(A12913,""bn"",""en"")"),"Foreign recruitment will increase tomorrow")</f>
        <v>Foreign recruitment will increase tomorrow</v>
      </c>
      <c r="D12913" s="5"/>
      <c r="E12913" s="5"/>
      <c r="F12913" s="5"/>
      <c r="G12913" s="5"/>
      <c r="H12913" s="5"/>
      <c r="I12913" s="5"/>
      <c r="J12913" s="5"/>
      <c r="K12913" s="5"/>
      <c r="L12913" s="5"/>
      <c r="M12913" s="5"/>
      <c r="N12913" s="5"/>
      <c r="O12913" s="5"/>
      <c r="P12913" s="5"/>
      <c r="Q12913" s="5"/>
      <c r="R12913" s="5"/>
      <c r="S12913" s="5"/>
      <c r="T12913" s="5"/>
      <c r="U12913" s="5"/>
      <c r="V12913" s="5"/>
      <c r="W12913" s="5"/>
      <c r="X12913" s="5"/>
      <c r="Y12913" s="5"/>
      <c r="Z12913" s="5"/>
    </row>
    <row r="12914" spans="1:26" ht="15" x14ac:dyDescent="0.25">
      <c r="A12914" s="4" t="s">
        <v>12911</v>
      </c>
      <c r="B12914" s="4" t="s">
        <v>9011</v>
      </c>
      <c r="C12914" s="2" t="str">
        <f ca="1">IFERROR(__xludf.DUMMYFUNCTION("GOOGLETRANSLATE(A12914,""bn"",""en"")"),"Suffering will be reduced through clothing")</f>
        <v>Suffering will be reduced through clothing</v>
      </c>
      <c r="D12914" s="5"/>
      <c r="E12914" s="5"/>
      <c r="F12914" s="5"/>
      <c r="G12914" s="5"/>
      <c r="H12914" s="5"/>
      <c r="I12914" s="5"/>
      <c r="J12914" s="5"/>
      <c r="K12914" s="5"/>
      <c r="L12914" s="5"/>
      <c r="M12914" s="5"/>
      <c r="N12914" s="5"/>
      <c r="O12914" s="5"/>
      <c r="P12914" s="5"/>
      <c r="Q12914" s="5"/>
      <c r="R12914" s="5"/>
      <c r="S12914" s="5"/>
      <c r="T12914" s="5"/>
      <c r="U12914" s="5"/>
      <c r="V12914" s="5"/>
      <c r="W12914" s="5"/>
      <c r="X12914" s="5"/>
      <c r="Y12914" s="5"/>
      <c r="Z12914" s="5"/>
    </row>
    <row r="12915" spans="1:26" ht="15" x14ac:dyDescent="0.25">
      <c r="A12915" s="4" t="s">
        <v>12912</v>
      </c>
      <c r="B12915" s="4" t="s">
        <v>9011</v>
      </c>
      <c r="C12915" s="2" t="str">
        <f ca="1">IFERROR(__xludf.DUMMYFUNCTION("GOOGLETRANSLATE(A12915,""bn"",""en"")"),"Take cloud computing services")</f>
        <v>Take cloud computing services</v>
      </c>
      <c r="D12915" s="5"/>
      <c r="E12915" s="5"/>
      <c r="F12915" s="5"/>
      <c r="G12915" s="5"/>
      <c r="H12915" s="5"/>
      <c r="I12915" s="5"/>
      <c r="J12915" s="5"/>
      <c r="K12915" s="5"/>
      <c r="L12915" s="5"/>
      <c r="M12915" s="5"/>
      <c r="N12915" s="5"/>
      <c r="O12915" s="5"/>
      <c r="P12915" s="5"/>
      <c r="Q12915" s="5"/>
      <c r="R12915" s="5"/>
      <c r="S12915" s="5"/>
      <c r="T12915" s="5"/>
      <c r="U12915" s="5"/>
      <c r="V12915" s="5"/>
      <c r="W12915" s="5"/>
      <c r="X12915" s="5"/>
      <c r="Y12915" s="5"/>
      <c r="Z12915" s="5"/>
    </row>
    <row r="12916" spans="1:26" ht="15" x14ac:dyDescent="0.25">
      <c r="A12916" s="4" t="s">
        <v>12913</v>
      </c>
      <c r="B12916" s="4" t="s">
        <v>9011</v>
      </c>
      <c r="C12916" s="2" t="str">
        <f ca="1">IFERROR(__xludf.DUMMYFUNCTION("GOOGLETRANSLATE(A12916,""bn"",""en"")"),"We will develop technology")</f>
        <v>We will develop technology</v>
      </c>
      <c r="D12916" s="5"/>
      <c r="E12916" s="5"/>
      <c r="F12916" s="5"/>
      <c r="G12916" s="5"/>
      <c r="H12916" s="5"/>
      <c r="I12916" s="5"/>
      <c r="J12916" s="5"/>
      <c r="K12916" s="5"/>
      <c r="L12916" s="5"/>
      <c r="M12916" s="5"/>
      <c r="N12916" s="5"/>
      <c r="O12916" s="5"/>
      <c r="P12916" s="5"/>
      <c r="Q12916" s="5"/>
      <c r="R12916" s="5"/>
      <c r="S12916" s="5"/>
      <c r="T12916" s="5"/>
      <c r="U12916" s="5"/>
      <c r="V12916" s="5"/>
      <c r="W12916" s="5"/>
      <c r="X12916" s="5"/>
      <c r="Y12916" s="5"/>
      <c r="Z12916" s="5"/>
    </row>
    <row r="12917" spans="1:26" ht="15" x14ac:dyDescent="0.25">
      <c r="A12917" s="4" t="s">
        <v>12914</v>
      </c>
      <c r="B12917" s="4" t="s">
        <v>9011</v>
      </c>
      <c r="C12917" s="2" t="str">
        <f ca="1">IFERROR(__xludf.DUMMYFUNCTION("GOOGLETRANSLATE(A12917,""bn"",""en"")"),"The sea will mix with the river")</f>
        <v>The sea will mix with the river</v>
      </c>
      <c r="D12917" s="5"/>
      <c r="E12917" s="5"/>
      <c r="F12917" s="5"/>
      <c r="G12917" s="5"/>
      <c r="H12917" s="5"/>
      <c r="I12917" s="5"/>
      <c r="J12917" s="5"/>
      <c r="K12917" s="5"/>
      <c r="L12917" s="5"/>
      <c r="M12917" s="5"/>
      <c r="N12917" s="5"/>
      <c r="O12917" s="5"/>
      <c r="P12917" s="5"/>
      <c r="Q12917" s="5"/>
      <c r="R12917" s="5"/>
      <c r="S12917" s="5"/>
      <c r="T12917" s="5"/>
      <c r="U12917" s="5"/>
      <c r="V12917" s="5"/>
      <c r="W12917" s="5"/>
      <c r="X12917" s="5"/>
      <c r="Y12917" s="5"/>
      <c r="Z12917" s="5"/>
    </row>
    <row r="12918" spans="1:26" ht="15" x14ac:dyDescent="0.25">
      <c r="A12918" s="4" t="s">
        <v>12915</v>
      </c>
      <c r="B12918" s="4" t="s">
        <v>9011</v>
      </c>
      <c r="C12918" s="2" t="str">
        <f ca="1">IFERROR(__xludf.DUMMYFUNCTION("GOOGLETRANSLATE(A12918,""bn"",""en"")"),"The project will be completed")</f>
        <v>The project will be completed</v>
      </c>
      <c r="D12918" s="5"/>
      <c r="E12918" s="5"/>
      <c r="F12918" s="5"/>
      <c r="G12918" s="5"/>
      <c r="H12918" s="5"/>
      <c r="I12918" s="5"/>
      <c r="J12918" s="5"/>
      <c r="K12918" s="5"/>
      <c r="L12918" s="5"/>
      <c r="M12918" s="5"/>
      <c r="N12918" s="5"/>
      <c r="O12918" s="5"/>
      <c r="P12918" s="5"/>
      <c r="Q12918" s="5"/>
      <c r="R12918" s="5"/>
      <c r="S12918" s="5"/>
      <c r="T12918" s="5"/>
      <c r="U12918" s="5"/>
      <c r="V12918" s="5"/>
      <c r="W12918" s="5"/>
      <c r="X12918" s="5"/>
      <c r="Y12918" s="5"/>
      <c r="Z12918" s="5"/>
    </row>
    <row r="12919" spans="1:26" ht="15" x14ac:dyDescent="0.25">
      <c r="A12919" s="4" t="s">
        <v>12916</v>
      </c>
      <c r="B12919" s="4" t="s">
        <v>9011</v>
      </c>
      <c r="C12919" s="2" t="str">
        <f ca="1">IFERROR(__xludf.DUMMYFUNCTION("GOOGLETRANSLATE(A12919,""bn"",""en"")"),"I will sell flowers")</f>
        <v>I will sell flowers</v>
      </c>
      <c r="D12919" s="5"/>
      <c r="E12919" s="5"/>
      <c r="F12919" s="5"/>
      <c r="G12919" s="5"/>
      <c r="H12919" s="5"/>
      <c r="I12919" s="5"/>
      <c r="J12919" s="5"/>
      <c r="K12919" s="5"/>
      <c r="L12919" s="5"/>
      <c r="M12919" s="5"/>
      <c r="N12919" s="5"/>
      <c r="O12919" s="5"/>
      <c r="P12919" s="5"/>
      <c r="Q12919" s="5"/>
      <c r="R12919" s="5"/>
      <c r="S12919" s="5"/>
      <c r="T12919" s="5"/>
      <c r="U12919" s="5"/>
      <c r="V12919" s="5"/>
      <c r="W12919" s="5"/>
      <c r="X12919" s="5"/>
      <c r="Y12919" s="5"/>
      <c r="Z12919" s="5"/>
    </row>
    <row r="12920" spans="1:26" ht="15" x14ac:dyDescent="0.25">
      <c r="A12920" s="4" t="s">
        <v>12917</v>
      </c>
      <c r="B12920" s="4" t="s">
        <v>9011</v>
      </c>
      <c r="C12920" s="2" t="str">
        <f ca="1">IFERROR(__xludf.DUMMYFUNCTION("GOOGLETRANSLATE(A12920,""bn"",""en"")"),"Website design will be completed")</f>
        <v>Website design will be completed</v>
      </c>
      <c r="D12920" s="5"/>
      <c r="E12920" s="5"/>
      <c r="F12920" s="5"/>
      <c r="G12920" s="5"/>
      <c r="H12920" s="5"/>
      <c r="I12920" s="5"/>
      <c r="J12920" s="5"/>
      <c r="K12920" s="5"/>
      <c r="L12920" s="5"/>
      <c r="M12920" s="5"/>
      <c r="N12920" s="5"/>
      <c r="O12920" s="5"/>
      <c r="P12920" s="5"/>
      <c r="Q12920" s="5"/>
      <c r="R12920" s="5"/>
      <c r="S12920" s="5"/>
      <c r="T12920" s="5"/>
      <c r="U12920" s="5"/>
      <c r="V12920" s="5"/>
      <c r="W12920" s="5"/>
      <c r="X12920" s="5"/>
      <c r="Y12920" s="5"/>
      <c r="Z12920" s="5"/>
    </row>
    <row r="12921" spans="1:26" ht="15" x14ac:dyDescent="0.25">
      <c r="A12921" s="4" t="s">
        <v>12918</v>
      </c>
      <c r="B12921" s="4" t="s">
        <v>9011</v>
      </c>
      <c r="C12921" s="2" t="str">
        <f ca="1">IFERROR(__xludf.DUMMYFUNCTION("GOOGLETRANSLATE(A12921,""bn"",""en"")"),"He will trade in the market")</f>
        <v>He will trade in the market</v>
      </c>
      <c r="D12921" s="5"/>
      <c r="E12921" s="5"/>
      <c r="F12921" s="5"/>
      <c r="G12921" s="5"/>
      <c r="H12921" s="5"/>
      <c r="I12921" s="5"/>
      <c r="J12921" s="5"/>
      <c r="K12921" s="5"/>
      <c r="L12921" s="5"/>
      <c r="M12921" s="5"/>
      <c r="N12921" s="5"/>
      <c r="O12921" s="5"/>
      <c r="P12921" s="5"/>
      <c r="Q12921" s="5"/>
      <c r="R12921" s="5"/>
      <c r="S12921" s="5"/>
      <c r="T12921" s="5"/>
      <c r="U12921" s="5"/>
      <c r="V12921" s="5"/>
      <c r="W12921" s="5"/>
      <c r="X12921" s="5"/>
      <c r="Y12921" s="5"/>
      <c r="Z12921" s="5"/>
    </row>
    <row r="12922" spans="1:26" ht="15" x14ac:dyDescent="0.25">
      <c r="A12922" s="4" t="s">
        <v>12919</v>
      </c>
      <c r="B12922" s="4" t="s">
        <v>9011</v>
      </c>
      <c r="C12922" s="2" t="str">
        <f ca="1">IFERROR(__xludf.DUMMYFUNCTION("GOOGLETRANSLATE(A12922,""bn"",""en"")"),"You will eat chicken kebab")</f>
        <v>You will eat chicken kebab</v>
      </c>
      <c r="D12922" s="5"/>
      <c r="E12922" s="5"/>
      <c r="F12922" s="5"/>
      <c r="G12922" s="5"/>
      <c r="H12922" s="5"/>
      <c r="I12922" s="5"/>
      <c r="J12922" s="5"/>
      <c r="K12922" s="5"/>
      <c r="L12922" s="5"/>
      <c r="M12922" s="5"/>
      <c r="N12922" s="5"/>
      <c r="O12922" s="5"/>
      <c r="P12922" s="5"/>
      <c r="Q12922" s="5"/>
      <c r="R12922" s="5"/>
      <c r="S12922" s="5"/>
      <c r="T12922" s="5"/>
      <c r="U12922" s="5"/>
      <c r="V12922" s="5"/>
      <c r="W12922" s="5"/>
      <c r="X12922" s="5"/>
      <c r="Y12922" s="5"/>
      <c r="Z12922" s="5"/>
    </row>
    <row r="12923" spans="1:26" ht="15" x14ac:dyDescent="0.25">
      <c r="A12923" s="4" t="s">
        <v>12920</v>
      </c>
      <c r="B12923" s="4" t="s">
        <v>9011</v>
      </c>
      <c r="C12923" s="2" t="str">
        <f ca="1">IFERROR(__xludf.DUMMYFUNCTION("GOOGLETRANSLATE(A12923,""bn"",""en"")"),"The research process will be meaningful")</f>
        <v>The research process will be meaningful</v>
      </c>
      <c r="D12923" s="5"/>
      <c r="E12923" s="5"/>
      <c r="F12923" s="5"/>
      <c r="G12923" s="5"/>
      <c r="H12923" s="5"/>
      <c r="I12923" s="5"/>
      <c r="J12923" s="5"/>
      <c r="K12923" s="5"/>
      <c r="L12923" s="5"/>
      <c r="M12923" s="5"/>
      <c r="N12923" s="5"/>
      <c r="O12923" s="5"/>
      <c r="P12923" s="5"/>
      <c r="Q12923" s="5"/>
      <c r="R12923" s="5"/>
      <c r="S12923" s="5"/>
      <c r="T12923" s="5"/>
      <c r="U12923" s="5"/>
      <c r="V12923" s="5"/>
      <c r="W12923" s="5"/>
      <c r="X12923" s="5"/>
      <c r="Y12923" s="5"/>
      <c r="Z12923" s="5"/>
    </row>
    <row r="12924" spans="1:26" ht="15" x14ac:dyDescent="0.25">
      <c r="A12924" s="4" t="s">
        <v>12921</v>
      </c>
      <c r="B12924" s="4" t="s">
        <v>9011</v>
      </c>
      <c r="C12924" s="2" t="str">
        <f ca="1">IFERROR(__xludf.DUMMYFUNCTION("GOOGLETRANSLATE(A12924,""bn"",""en"")"),"They will come to the restaurant to eat")</f>
        <v>They will come to the restaurant to eat</v>
      </c>
      <c r="D12924" s="5"/>
      <c r="E12924" s="5"/>
      <c r="F12924" s="5"/>
      <c r="G12924" s="5"/>
      <c r="H12924" s="5"/>
      <c r="I12924" s="5"/>
      <c r="J12924" s="5"/>
      <c r="K12924" s="5"/>
      <c r="L12924" s="5"/>
      <c r="M12924" s="5"/>
      <c r="N12924" s="5"/>
      <c r="O12924" s="5"/>
      <c r="P12924" s="5"/>
      <c r="Q12924" s="5"/>
      <c r="R12924" s="5"/>
      <c r="S12924" s="5"/>
      <c r="T12924" s="5"/>
      <c r="U12924" s="5"/>
      <c r="V12924" s="5"/>
      <c r="W12924" s="5"/>
      <c r="X12924" s="5"/>
      <c r="Y12924" s="5"/>
      <c r="Z12924" s="5"/>
    </row>
    <row r="12925" spans="1:26" ht="15" x14ac:dyDescent="0.25">
      <c r="A12925" s="4" t="s">
        <v>12922</v>
      </c>
      <c r="B12925" s="4" t="s">
        <v>9011</v>
      </c>
      <c r="C12925" s="2" t="str">
        <f ca="1">IFERROR(__xludf.DUMMYFUNCTION("GOOGLETRANSLATE(A12925,""bn"",""en"")"),"We will start the project")</f>
        <v>We will start the project</v>
      </c>
      <c r="D12925" s="5"/>
      <c r="E12925" s="5"/>
      <c r="F12925" s="5"/>
      <c r="G12925" s="5"/>
      <c r="H12925" s="5"/>
      <c r="I12925" s="5"/>
      <c r="J12925" s="5"/>
      <c r="K12925" s="5"/>
      <c r="L12925" s="5"/>
      <c r="M12925" s="5"/>
      <c r="N12925" s="5"/>
      <c r="O12925" s="5"/>
      <c r="P12925" s="5"/>
      <c r="Q12925" s="5"/>
      <c r="R12925" s="5"/>
      <c r="S12925" s="5"/>
      <c r="T12925" s="5"/>
      <c r="U12925" s="5"/>
      <c r="V12925" s="5"/>
      <c r="W12925" s="5"/>
      <c r="X12925" s="5"/>
      <c r="Y12925" s="5"/>
      <c r="Z12925" s="5"/>
    </row>
    <row r="12926" spans="1:26" ht="15" x14ac:dyDescent="0.25">
      <c r="A12926" s="4" t="s">
        <v>12923</v>
      </c>
      <c r="B12926" s="4" t="s">
        <v>9011</v>
      </c>
      <c r="C12926" s="2" t="str">
        <f ca="1">IFERROR(__xludf.DUMMYFUNCTION("GOOGLETRANSLATE(A12926,""bn"",""en"")"),"Will start research work")</f>
        <v>Will start research work</v>
      </c>
      <c r="D12926" s="5"/>
      <c r="E12926" s="5"/>
      <c r="F12926" s="5"/>
      <c r="G12926" s="5"/>
      <c r="H12926" s="5"/>
      <c r="I12926" s="5"/>
      <c r="J12926" s="5"/>
      <c r="K12926" s="5"/>
      <c r="L12926" s="5"/>
      <c r="M12926" s="5"/>
      <c r="N12926" s="5"/>
      <c r="O12926" s="5"/>
      <c r="P12926" s="5"/>
      <c r="Q12926" s="5"/>
      <c r="R12926" s="5"/>
      <c r="S12926" s="5"/>
      <c r="T12926" s="5"/>
      <c r="U12926" s="5"/>
      <c r="V12926" s="5"/>
      <c r="W12926" s="5"/>
      <c r="X12926" s="5"/>
      <c r="Y12926" s="5"/>
      <c r="Z12926" s="5"/>
    </row>
    <row r="12927" spans="1:26" ht="15" x14ac:dyDescent="0.25">
      <c r="A12927" s="4" t="s">
        <v>12924</v>
      </c>
      <c r="B12927" s="4" t="s">
        <v>9011</v>
      </c>
      <c r="C12927" s="2" t="str">
        <f ca="1">IFERROR(__xludf.DUMMYFUNCTION("GOOGLETRANSLATE(A12927,""bn"",""en"")"),"He will be trekking in the Himalayas")</f>
        <v>He will be trekking in the Himalayas</v>
      </c>
      <c r="D12927" s="5"/>
      <c r="E12927" s="5"/>
      <c r="F12927" s="5"/>
      <c r="G12927" s="5"/>
      <c r="H12927" s="5"/>
      <c r="I12927" s="5"/>
      <c r="J12927" s="5"/>
      <c r="K12927" s="5"/>
      <c r="L12927" s="5"/>
      <c r="M12927" s="5"/>
      <c r="N12927" s="5"/>
      <c r="O12927" s="5"/>
      <c r="P12927" s="5"/>
      <c r="Q12927" s="5"/>
      <c r="R12927" s="5"/>
      <c r="S12927" s="5"/>
      <c r="T12927" s="5"/>
      <c r="U12927" s="5"/>
      <c r="V12927" s="5"/>
      <c r="W12927" s="5"/>
      <c r="X12927" s="5"/>
      <c r="Y12927" s="5"/>
      <c r="Z12927" s="5"/>
    </row>
    <row r="12928" spans="1:26" ht="15" x14ac:dyDescent="0.25">
      <c r="A12928" s="4" t="s">
        <v>12925</v>
      </c>
      <c r="B12928" s="4" t="s">
        <v>9011</v>
      </c>
      <c r="C12928" s="2" t="str">
        <f ca="1">IFERROR(__xludf.DUMMYFUNCTION("GOOGLETRANSLATE(A12928,""bn"",""en"")"),"New economic system will come")</f>
        <v>New economic system will come</v>
      </c>
      <c r="D12928" s="5"/>
      <c r="E12928" s="5"/>
      <c r="F12928" s="5"/>
      <c r="G12928" s="5"/>
      <c r="H12928" s="5"/>
      <c r="I12928" s="5"/>
      <c r="J12928" s="5"/>
      <c r="K12928" s="5"/>
      <c r="L12928" s="5"/>
      <c r="M12928" s="5"/>
      <c r="N12928" s="5"/>
      <c r="O12928" s="5"/>
      <c r="P12928" s="5"/>
      <c r="Q12928" s="5"/>
      <c r="R12928" s="5"/>
      <c r="S12928" s="5"/>
      <c r="T12928" s="5"/>
      <c r="U12928" s="5"/>
      <c r="V12928" s="5"/>
      <c r="W12928" s="5"/>
      <c r="X12928" s="5"/>
      <c r="Y12928" s="5"/>
      <c r="Z12928" s="5"/>
    </row>
    <row r="12929" spans="1:26" ht="15" x14ac:dyDescent="0.25">
      <c r="A12929" s="4" t="s">
        <v>12926</v>
      </c>
      <c r="B12929" s="4" t="s">
        <v>9011</v>
      </c>
      <c r="C12929" s="2" t="str">
        <f ca="1">IFERROR(__xludf.DUMMYFUNCTION("GOOGLETRANSLATE(A12929,""bn"",""en"")"),"There will be special restaurant parties")</f>
        <v>There will be special restaurant parties</v>
      </c>
      <c r="D12929" s="5"/>
      <c r="E12929" s="5"/>
      <c r="F12929" s="5"/>
      <c r="G12929" s="5"/>
      <c r="H12929" s="5"/>
      <c r="I12929" s="5"/>
      <c r="J12929" s="5"/>
      <c r="K12929" s="5"/>
      <c r="L12929" s="5"/>
      <c r="M12929" s="5"/>
      <c r="N12929" s="5"/>
      <c r="O12929" s="5"/>
      <c r="P12929" s="5"/>
      <c r="Q12929" s="5"/>
      <c r="R12929" s="5"/>
      <c r="S12929" s="5"/>
      <c r="T12929" s="5"/>
      <c r="U12929" s="5"/>
      <c r="V12929" s="5"/>
      <c r="W12929" s="5"/>
      <c r="X12929" s="5"/>
      <c r="Y12929" s="5"/>
      <c r="Z12929" s="5"/>
    </row>
    <row r="12930" spans="1:26" ht="15" x14ac:dyDescent="0.25">
      <c r="A12930" s="4" t="s">
        <v>12927</v>
      </c>
      <c r="B12930" s="4" t="s">
        <v>9011</v>
      </c>
      <c r="C12930" s="2" t="str">
        <f ca="1">IFERROR(__xludf.DUMMYFUNCTION("GOOGLETRANSLATE(A12930,""bn"",""en"")"),"We will make mango borak")</f>
        <v>We will make mango borak</v>
      </c>
      <c r="D12930" s="5"/>
      <c r="E12930" s="5"/>
      <c r="F12930" s="5"/>
      <c r="G12930" s="5"/>
      <c r="H12930" s="5"/>
      <c r="I12930" s="5"/>
      <c r="J12930" s="5"/>
      <c r="K12930" s="5"/>
      <c r="L12930" s="5"/>
      <c r="M12930" s="5"/>
      <c r="N12930" s="5"/>
      <c r="O12930" s="5"/>
      <c r="P12930" s="5"/>
      <c r="Q12930" s="5"/>
      <c r="R12930" s="5"/>
      <c r="S12930" s="5"/>
      <c r="T12930" s="5"/>
      <c r="U12930" s="5"/>
      <c r="V12930" s="5"/>
      <c r="W12930" s="5"/>
      <c r="X12930" s="5"/>
      <c r="Y12930" s="5"/>
      <c r="Z12930" s="5"/>
    </row>
    <row r="12931" spans="1:26" ht="15" x14ac:dyDescent="0.25">
      <c r="A12931" s="4" t="s">
        <v>12928</v>
      </c>
      <c r="B12931" s="4" t="s">
        <v>9011</v>
      </c>
      <c r="C12931" s="2" t="str">
        <f ca="1">IFERROR(__xludf.DUMMYFUNCTION("GOOGLETRANSLATE(A12931,""bn"",""en"")"),"Green branches will grow")</f>
        <v>Green branches will grow</v>
      </c>
      <c r="D12931" s="5"/>
      <c r="E12931" s="5"/>
      <c r="F12931" s="5"/>
      <c r="G12931" s="5"/>
      <c r="H12931" s="5"/>
      <c r="I12931" s="5"/>
      <c r="J12931" s="5"/>
      <c r="K12931" s="5"/>
      <c r="L12931" s="5"/>
      <c r="M12931" s="5"/>
      <c r="N12931" s="5"/>
      <c r="O12931" s="5"/>
      <c r="P12931" s="5"/>
      <c r="Q12931" s="5"/>
      <c r="R12931" s="5"/>
      <c r="S12931" s="5"/>
      <c r="T12931" s="5"/>
      <c r="U12931" s="5"/>
      <c r="V12931" s="5"/>
      <c r="W12931" s="5"/>
      <c r="X12931" s="5"/>
      <c r="Y12931" s="5"/>
      <c r="Z12931" s="5"/>
    </row>
    <row r="12932" spans="1:26" ht="15" x14ac:dyDescent="0.25">
      <c r="A12932" s="4" t="s">
        <v>12929</v>
      </c>
      <c r="B12932" s="4" t="s">
        <v>9011</v>
      </c>
      <c r="C12932" s="2" t="str">
        <f ca="1">IFERROR(__xludf.DUMMYFUNCTION("GOOGLETRANSLATE(A12932,""bn"",""en"")"),"will preserve national security")</f>
        <v>will preserve national security</v>
      </c>
      <c r="D12932" s="5"/>
      <c r="E12932" s="5"/>
      <c r="F12932" s="5"/>
      <c r="G12932" s="5"/>
      <c r="H12932" s="5"/>
      <c r="I12932" s="5"/>
      <c r="J12932" s="5"/>
      <c r="K12932" s="5"/>
      <c r="L12932" s="5"/>
      <c r="M12932" s="5"/>
      <c r="N12932" s="5"/>
      <c r="O12932" s="5"/>
      <c r="P12932" s="5"/>
      <c r="Q12932" s="5"/>
      <c r="R12932" s="5"/>
      <c r="S12932" s="5"/>
      <c r="T12932" s="5"/>
      <c r="U12932" s="5"/>
      <c r="V12932" s="5"/>
      <c r="W12932" s="5"/>
      <c r="X12932" s="5"/>
      <c r="Y12932" s="5"/>
      <c r="Z12932" s="5"/>
    </row>
    <row r="12933" spans="1:26" ht="15" x14ac:dyDescent="0.25">
      <c r="A12933" s="4" t="s">
        <v>12930</v>
      </c>
      <c r="B12933" s="4" t="s">
        <v>9011</v>
      </c>
      <c r="C12933" s="2" t="str">
        <f ca="1">IFERROR(__xludf.DUMMYFUNCTION("GOOGLETRANSLATE(A12933,""bn"",""en"")"),"There will be new developments in neurology")</f>
        <v>There will be new developments in neurology</v>
      </c>
      <c r="D12933" s="5"/>
      <c r="E12933" s="5"/>
      <c r="F12933" s="5"/>
      <c r="G12933" s="5"/>
      <c r="H12933" s="5"/>
      <c r="I12933" s="5"/>
      <c r="J12933" s="5"/>
      <c r="K12933" s="5"/>
      <c r="L12933" s="5"/>
      <c r="M12933" s="5"/>
      <c r="N12933" s="5"/>
      <c r="O12933" s="5"/>
      <c r="P12933" s="5"/>
      <c r="Q12933" s="5"/>
      <c r="R12933" s="5"/>
      <c r="S12933" s="5"/>
      <c r="T12933" s="5"/>
      <c r="U12933" s="5"/>
      <c r="V12933" s="5"/>
      <c r="W12933" s="5"/>
      <c r="X12933" s="5"/>
      <c r="Y12933" s="5"/>
      <c r="Z12933" s="5"/>
    </row>
    <row r="12934" spans="1:26" ht="15" x14ac:dyDescent="0.25">
      <c r="A12934" s="4" t="s">
        <v>12931</v>
      </c>
      <c r="B12934" s="4" t="s">
        <v>9011</v>
      </c>
      <c r="C12934" s="2" t="str">
        <f ca="1">IFERROR(__xludf.DUMMYFUNCTION("GOOGLETRANSLATE(A12934,""bn"",""en"")"),"Cybersecurity will be a key issue")</f>
        <v>Cybersecurity will be a key issue</v>
      </c>
      <c r="D12934" s="5"/>
      <c r="E12934" s="5"/>
      <c r="F12934" s="5"/>
      <c r="G12934" s="5"/>
      <c r="H12934" s="5"/>
      <c r="I12934" s="5"/>
      <c r="J12934" s="5"/>
      <c r="K12934" s="5"/>
      <c r="L12934" s="5"/>
      <c r="M12934" s="5"/>
      <c r="N12934" s="5"/>
      <c r="O12934" s="5"/>
      <c r="P12934" s="5"/>
      <c r="Q12934" s="5"/>
      <c r="R12934" s="5"/>
      <c r="S12934" s="5"/>
      <c r="T12934" s="5"/>
      <c r="U12934" s="5"/>
      <c r="V12934" s="5"/>
      <c r="W12934" s="5"/>
      <c r="X12934" s="5"/>
      <c r="Y12934" s="5"/>
      <c r="Z12934" s="5"/>
    </row>
    <row r="12935" spans="1:26" ht="15" x14ac:dyDescent="0.25">
      <c r="A12935" s="4" t="s">
        <v>12932</v>
      </c>
      <c r="B12935" s="4" t="s">
        <v>9011</v>
      </c>
      <c r="C12935" s="2" t="str">
        <f ca="1">IFERROR(__xludf.DUMMYFUNCTION("GOOGLETRANSLATE(A12935,""bn"",""en"")"),"The patient will be well soon")</f>
        <v>The patient will be well soon</v>
      </c>
      <c r="D12935" s="5"/>
      <c r="E12935" s="5"/>
      <c r="F12935" s="5"/>
      <c r="G12935" s="5"/>
      <c r="H12935" s="5"/>
      <c r="I12935" s="5"/>
      <c r="J12935" s="5"/>
      <c r="K12935" s="5"/>
      <c r="L12935" s="5"/>
      <c r="M12935" s="5"/>
      <c r="N12935" s="5"/>
      <c r="O12935" s="5"/>
      <c r="P12935" s="5"/>
      <c r="Q12935" s="5"/>
      <c r="R12935" s="5"/>
      <c r="S12935" s="5"/>
      <c r="T12935" s="5"/>
      <c r="U12935" s="5"/>
      <c r="V12935" s="5"/>
      <c r="W12935" s="5"/>
      <c r="X12935" s="5"/>
      <c r="Y12935" s="5"/>
      <c r="Z12935" s="5"/>
    </row>
    <row r="12936" spans="1:26" ht="15" x14ac:dyDescent="0.25">
      <c r="A12936" s="4" t="s">
        <v>12933</v>
      </c>
      <c r="B12936" s="4" t="s">
        <v>9011</v>
      </c>
      <c r="C12936" s="2" t="str">
        <f ca="1">IFERROR(__xludf.DUMMYFUNCTION("GOOGLETRANSLATE(A12936,""bn"",""en"")"),"Advances in security technology")</f>
        <v>Advances in security technology</v>
      </c>
      <c r="D12936" s="5"/>
      <c r="E12936" s="5"/>
      <c r="F12936" s="5"/>
      <c r="G12936" s="5"/>
      <c r="H12936" s="5"/>
      <c r="I12936" s="5"/>
      <c r="J12936" s="5"/>
      <c r="K12936" s="5"/>
      <c r="L12936" s="5"/>
      <c r="M12936" s="5"/>
      <c r="N12936" s="5"/>
      <c r="O12936" s="5"/>
      <c r="P12936" s="5"/>
      <c r="Q12936" s="5"/>
      <c r="R12936" s="5"/>
      <c r="S12936" s="5"/>
      <c r="T12936" s="5"/>
      <c r="U12936" s="5"/>
      <c r="V12936" s="5"/>
      <c r="W12936" s="5"/>
      <c r="X12936" s="5"/>
      <c r="Y12936" s="5"/>
      <c r="Z12936" s="5"/>
    </row>
    <row r="12937" spans="1:26" ht="15" x14ac:dyDescent="0.25">
      <c r="A12937" s="4" t="s">
        <v>12934</v>
      </c>
      <c r="B12937" s="4" t="s">
        <v>9011</v>
      </c>
      <c r="C12937" s="2" t="str">
        <f ca="1">IFERROR(__xludf.DUMMYFUNCTION("GOOGLETRANSLATE(A12937,""bn"",""en"")"),"We will open new branch")</f>
        <v>We will open new branch</v>
      </c>
      <c r="D12937" s="5"/>
      <c r="E12937" s="5"/>
      <c r="F12937" s="5"/>
      <c r="G12937" s="5"/>
      <c r="H12937" s="5"/>
      <c r="I12937" s="5"/>
      <c r="J12937" s="5"/>
      <c r="K12937" s="5"/>
      <c r="L12937" s="5"/>
      <c r="M12937" s="5"/>
      <c r="N12937" s="5"/>
      <c r="O12937" s="5"/>
      <c r="P12937" s="5"/>
      <c r="Q12937" s="5"/>
      <c r="R12937" s="5"/>
      <c r="S12937" s="5"/>
      <c r="T12937" s="5"/>
      <c r="U12937" s="5"/>
      <c r="V12937" s="5"/>
      <c r="W12937" s="5"/>
      <c r="X12937" s="5"/>
      <c r="Y12937" s="5"/>
      <c r="Z12937" s="5"/>
    </row>
    <row r="12938" spans="1:26" ht="15" x14ac:dyDescent="0.25">
      <c r="A12938" s="4" t="s">
        <v>12935</v>
      </c>
      <c r="B12938" s="4" t="s">
        <v>9011</v>
      </c>
      <c r="C12938" s="2" t="str">
        <f ca="1">IFERROR(__xludf.DUMMYFUNCTION("GOOGLETRANSLATE(A12938,""bn"",""en"")"),"The sea will be colorful at sunset")</f>
        <v>The sea will be colorful at sunset</v>
      </c>
      <c r="D12938" s="5"/>
      <c r="E12938" s="5"/>
      <c r="F12938" s="5"/>
      <c r="G12938" s="5"/>
      <c r="H12938" s="5"/>
      <c r="I12938" s="5"/>
      <c r="J12938" s="5"/>
      <c r="K12938" s="5"/>
      <c r="L12938" s="5"/>
      <c r="M12938" s="5"/>
      <c r="N12938" s="5"/>
      <c r="O12938" s="5"/>
      <c r="P12938" s="5"/>
      <c r="Q12938" s="5"/>
      <c r="R12938" s="5"/>
      <c r="S12938" s="5"/>
      <c r="T12938" s="5"/>
      <c r="U12938" s="5"/>
      <c r="V12938" s="5"/>
      <c r="W12938" s="5"/>
      <c r="X12938" s="5"/>
      <c r="Y12938" s="5"/>
      <c r="Z12938" s="5"/>
    </row>
    <row r="12939" spans="1:26" ht="15" x14ac:dyDescent="0.25">
      <c r="A12939" s="4" t="s">
        <v>12936</v>
      </c>
      <c r="B12939" s="4" t="s">
        <v>9011</v>
      </c>
      <c r="C12939" s="2" t="str">
        <f ca="1">IFERROR(__xludf.DUMMYFUNCTION("GOOGLETRANSLATE(A12939,""bn"",""en"")"),"The doctor will introduce the medicine")</f>
        <v>The doctor will introduce the medicine</v>
      </c>
      <c r="D12939" s="5"/>
      <c r="E12939" s="5"/>
      <c r="F12939" s="5"/>
      <c r="G12939" s="5"/>
      <c r="H12939" s="5"/>
      <c r="I12939" s="5"/>
      <c r="J12939" s="5"/>
      <c r="K12939" s="5"/>
      <c r="L12939" s="5"/>
      <c r="M12939" s="5"/>
      <c r="N12939" s="5"/>
      <c r="O12939" s="5"/>
      <c r="P12939" s="5"/>
      <c r="Q12939" s="5"/>
      <c r="R12939" s="5"/>
      <c r="S12939" s="5"/>
      <c r="T12939" s="5"/>
      <c r="U12939" s="5"/>
      <c r="V12939" s="5"/>
      <c r="W12939" s="5"/>
      <c r="X12939" s="5"/>
      <c r="Y12939" s="5"/>
      <c r="Z12939" s="5"/>
    </row>
    <row r="12940" spans="1:26" ht="15" x14ac:dyDescent="0.25">
      <c r="A12940" s="4" t="s">
        <v>12937</v>
      </c>
      <c r="B12940" s="4" t="s">
        <v>9011</v>
      </c>
      <c r="C12940" s="2" t="str">
        <f ca="1">IFERROR(__xludf.DUMMYFUNCTION("GOOGLETRANSLATE(A12940,""bn"",""en"")"),"I will visit the city")</f>
        <v>I will visit the city</v>
      </c>
      <c r="D12940" s="5"/>
      <c r="E12940" s="5"/>
      <c r="F12940" s="5"/>
      <c r="G12940" s="5"/>
      <c r="H12940" s="5"/>
      <c r="I12940" s="5"/>
      <c r="J12940" s="5"/>
      <c r="K12940" s="5"/>
      <c r="L12940" s="5"/>
      <c r="M12940" s="5"/>
      <c r="N12940" s="5"/>
      <c r="O12940" s="5"/>
      <c r="P12940" s="5"/>
      <c r="Q12940" s="5"/>
      <c r="R12940" s="5"/>
      <c r="S12940" s="5"/>
      <c r="T12940" s="5"/>
      <c r="U12940" s="5"/>
      <c r="V12940" s="5"/>
      <c r="W12940" s="5"/>
      <c r="X12940" s="5"/>
      <c r="Y12940" s="5"/>
      <c r="Z12940" s="5"/>
    </row>
    <row r="12941" spans="1:26" ht="15" x14ac:dyDescent="0.25">
      <c r="A12941" s="4" t="s">
        <v>12938</v>
      </c>
      <c r="B12941" s="4" t="s">
        <v>9011</v>
      </c>
      <c r="C12941" s="2" t="str">
        <f ca="1">IFERROR(__xludf.DUMMYFUNCTION("GOOGLETRANSLATE(A12941,""bn"",""en"")"),"This project will start soon")</f>
        <v>This project will start soon</v>
      </c>
      <c r="D12941" s="5"/>
      <c r="E12941" s="5"/>
      <c r="F12941" s="5"/>
      <c r="G12941" s="5"/>
      <c r="H12941" s="5"/>
      <c r="I12941" s="5"/>
      <c r="J12941" s="5"/>
      <c r="K12941" s="5"/>
      <c r="L12941" s="5"/>
      <c r="M12941" s="5"/>
      <c r="N12941" s="5"/>
      <c r="O12941" s="5"/>
      <c r="P12941" s="5"/>
      <c r="Q12941" s="5"/>
      <c r="R12941" s="5"/>
      <c r="S12941" s="5"/>
      <c r="T12941" s="5"/>
      <c r="U12941" s="5"/>
      <c r="V12941" s="5"/>
      <c r="W12941" s="5"/>
      <c r="X12941" s="5"/>
      <c r="Y12941" s="5"/>
      <c r="Z12941" s="5"/>
    </row>
    <row r="12942" spans="1:26" ht="15" x14ac:dyDescent="0.25">
      <c r="A12942" s="4" t="s">
        <v>12939</v>
      </c>
      <c r="B12942" s="4" t="s">
        <v>9011</v>
      </c>
      <c r="C12942" s="2" t="str">
        <f ca="1">IFERROR(__xludf.DUMMYFUNCTION("GOOGLETRANSLATE(A12942,""bn"",""en"")"),"We will go to play football")</f>
        <v>We will go to play football</v>
      </c>
      <c r="D12942" s="5"/>
      <c r="E12942" s="5"/>
      <c r="F12942" s="5"/>
      <c r="G12942" s="5"/>
      <c r="H12942" s="5"/>
      <c r="I12942" s="5"/>
      <c r="J12942" s="5"/>
      <c r="K12942" s="5"/>
      <c r="L12942" s="5"/>
      <c r="M12942" s="5"/>
      <c r="N12942" s="5"/>
      <c r="O12942" s="5"/>
      <c r="P12942" s="5"/>
      <c r="Q12942" s="5"/>
      <c r="R12942" s="5"/>
      <c r="S12942" s="5"/>
      <c r="T12942" s="5"/>
      <c r="U12942" s="5"/>
      <c r="V12942" s="5"/>
      <c r="W12942" s="5"/>
      <c r="X12942" s="5"/>
      <c r="Y12942" s="5"/>
      <c r="Z12942" s="5"/>
    </row>
    <row r="12943" spans="1:26" ht="15" x14ac:dyDescent="0.25">
      <c r="A12943" s="4" t="s">
        <v>12940</v>
      </c>
      <c r="B12943" s="4" t="s">
        <v>9011</v>
      </c>
      <c r="C12943" s="2" t="str">
        <f ca="1">IFERROR(__xludf.DUMMYFUNCTION("GOOGLETRANSLATE(A12943,""bn"",""en"")"),"Healthcare facilities will increase in hospitals")</f>
        <v>Healthcare facilities will increase in hospitals</v>
      </c>
      <c r="D12943" s="5"/>
      <c r="E12943" s="5"/>
      <c r="F12943" s="5"/>
      <c r="G12943" s="5"/>
      <c r="H12943" s="5"/>
      <c r="I12943" s="5"/>
      <c r="J12943" s="5"/>
      <c r="K12943" s="5"/>
      <c r="L12943" s="5"/>
      <c r="M12943" s="5"/>
      <c r="N12943" s="5"/>
      <c r="O12943" s="5"/>
      <c r="P12943" s="5"/>
      <c r="Q12943" s="5"/>
      <c r="R12943" s="5"/>
      <c r="S12943" s="5"/>
      <c r="T12943" s="5"/>
      <c r="U12943" s="5"/>
      <c r="V12943" s="5"/>
      <c r="W12943" s="5"/>
      <c r="X12943" s="5"/>
      <c r="Y12943" s="5"/>
      <c r="Z12943" s="5"/>
    </row>
    <row r="12944" spans="1:26" ht="15" x14ac:dyDescent="0.25">
      <c r="A12944" s="4" t="s">
        <v>12941</v>
      </c>
      <c r="B12944" s="4" t="s">
        <v>9011</v>
      </c>
      <c r="C12944" s="2" t="str">
        <f ca="1">IFERROR(__xludf.DUMMYFUNCTION("GOOGLETRANSLATE(A12944,""bn"",""en"")"),"Be equipped for self-defense")</f>
        <v>Be equipped for self-defense</v>
      </c>
      <c r="D12944" s="5"/>
      <c r="E12944" s="5"/>
      <c r="F12944" s="5"/>
      <c r="G12944" s="5"/>
      <c r="H12944" s="5"/>
      <c r="I12944" s="5"/>
      <c r="J12944" s="5"/>
      <c r="K12944" s="5"/>
      <c r="L12944" s="5"/>
      <c r="M12944" s="5"/>
      <c r="N12944" s="5"/>
      <c r="O12944" s="5"/>
      <c r="P12944" s="5"/>
      <c r="Q12944" s="5"/>
      <c r="R12944" s="5"/>
      <c r="S12944" s="5"/>
      <c r="T12944" s="5"/>
      <c r="U12944" s="5"/>
      <c r="V12944" s="5"/>
      <c r="W12944" s="5"/>
      <c r="X12944" s="5"/>
      <c r="Y12944" s="5"/>
      <c r="Z12944" s="5"/>
    </row>
    <row r="12945" spans="1:26" ht="15" x14ac:dyDescent="0.25">
      <c r="A12945" s="4" t="s">
        <v>12942</v>
      </c>
      <c r="B12945" s="4" t="s">
        <v>9011</v>
      </c>
      <c r="C12945" s="2" t="str">
        <f ca="1">IFERROR(__xludf.DUMMYFUNCTION("GOOGLETRANSLATE(A12945,""bn"",""en"")"),"We will watch the game in the park")</f>
        <v>We will watch the game in the park</v>
      </c>
      <c r="D12945" s="5"/>
      <c r="E12945" s="5"/>
      <c r="F12945" s="5"/>
      <c r="G12945" s="5"/>
      <c r="H12945" s="5"/>
      <c r="I12945" s="5"/>
      <c r="J12945" s="5"/>
      <c r="K12945" s="5"/>
      <c r="L12945" s="5"/>
      <c r="M12945" s="5"/>
      <c r="N12945" s="5"/>
      <c r="O12945" s="5"/>
      <c r="P12945" s="5"/>
      <c r="Q12945" s="5"/>
      <c r="R12945" s="5"/>
      <c r="S12945" s="5"/>
      <c r="T12945" s="5"/>
      <c r="U12945" s="5"/>
      <c r="V12945" s="5"/>
      <c r="W12945" s="5"/>
      <c r="X12945" s="5"/>
      <c r="Y12945" s="5"/>
      <c r="Z12945" s="5"/>
    </row>
    <row r="12946" spans="1:26" ht="15" x14ac:dyDescent="0.25">
      <c r="A12946" s="4" t="s">
        <v>12943</v>
      </c>
      <c r="B12946" s="4" t="s">
        <v>9011</v>
      </c>
      <c r="C12946" s="2" t="str">
        <f ca="1">IFERROR(__xludf.DUMMYFUNCTION("GOOGLETRANSLATE(A12946,""bn"",""en"")"),"Learn programming in codeblocks")</f>
        <v>Learn programming in codeblocks</v>
      </c>
      <c r="D12946" s="5"/>
      <c r="E12946" s="5"/>
      <c r="F12946" s="5"/>
      <c r="G12946" s="5"/>
      <c r="H12946" s="5"/>
      <c r="I12946" s="5"/>
      <c r="J12946" s="5"/>
      <c r="K12946" s="5"/>
      <c r="L12946" s="5"/>
      <c r="M12946" s="5"/>
      <c r="N12946" s="5"/>
      <c r="O12946" s="5"/>
      <c r="P12946" s="5"/>
      <c r="Q12946" s="5"/>
      <c r="R12946" s="5"/>
      <c r="S12946" s="5"/>
      <c r="T12946" s="5"/>
      <c r="U12946" s="5"/>
      <c r="V12946" s="5"/>
      <c r="W12946" s="5"/>
      <c r="X12946" s="5"/>
      <c r="Y12946" s="5"/>
      <c r="Z12946" s="5"/>
    </row>
    <row r="12947" spans="1:26" ht="15" x14ac:dyDescent="0.25">
      <c r="A12947" s="4" t="s">
        <v>12944</v>
      </c>
      <c r="B12947" s="4" t="s">
        <v>9011</v>
      </c>
      <c r="C12947" s="2" t="str">
        <f ca="1">IFERROR(__xludf.DUMMYFUNCTION("GOOGLETRANSLATE(A12947,""bn"",""en"")"),"Application development will be prepared")</f>
        <v>Application development will be prepared</v>
      </c>
      <c r="D12947" s="5"/>
      <c r="E12947" s="5"/>
      <c r="F12947" s="5"/>
      <c r="G12947" s="5"/>
      <c r="H12947" s="5"/>
      <c r="I12947" s="5"/>
      <c r="J12947" s="5"/>
      <c r="K12947" s="5"/>
      <c r="L12947" s="5"/>
      <c r="M12947" s="5"/>
      <c r="N12947" s="5"/>
      <c r="O12947" s="5"/>
      <c r="P12947" s="5"/>
      <c r="Q12947" s="5"/>
      <c r="R12947" s="5"/>
      <c r="S12947" s="5"/>
      <c r="T12947" s="5"/>
      <c r="U12947" s="5"/>
      <c r="V12947" s="5"/>
      <c r="W12947" s="5"/>
      <c r="X12947" s="5"/>
      <c r="Y12947" s="5"/>
      <c r="Z12947" s="5"/>
    </row>
    <row r="12948" spans="1:26" ht="15" x14ac:dyDescent="0.25">
      <c r="A12948" s="4" t="s">
        <v>12945</v>
      </c>
      <c r="B12948" s="4" t="s">
        <v>9011</v>
      </c>
      <c r="C12948" s="2" t="str">
        <f ca="1">IFERROR(__xludf.DUMMYFUNCTION("GOOGLETRANSLATE(A12948,""bn"",""en"")"),"The color of the flowers will increase")</f>
        <v>The color of the flowers will increase</v>
      </c>
      <c r="D12948" s="5"/>
      <c r="E12948" s="5"/>
      <c r="F12948" s="5"/>
      <c r="G12948" s="5"/>
      <c r="H12948" s="5"/>
      <c r="I12948" s="5"/>
      <c r="J12948" s="5"/>
      <c r="K12948" s="5"/>
      <c r="L12948" s="5"/>
      <c r="M12948" s="5"/>
      <c r="N12948" s="5"/>
      <c r="O12948" s="5"/>
      <c r="P12948" s="5"/>
      <c r="Q12948" s="5"/>
      <c r="R12948" s="5"/>
      <c r="S12948" s="5"/>
      <c r="T12948" s="5"/>
      <c r="U12948" s="5"/>
      <c r="V12948" s="5"/>
      <c r="W12948" s="5"/>
      <c r="X12948" s="5"/>
      <c r="Y12948" s="5"/>
      <c r="Z12948" s="5"/>
    </row>
    <row r="12949" spans="1:26" ht="15" x14ac:dyDescent="0.25">
      <c r="A12949" s="4" t="s">
        <v>12946</v>
      </c>
      <c r="B12949" s="4" t="s">
        <v>9011</v>
      </c>
      <c r="C12949" s="2" t="str">
        <f ca="1">IFERROR(__xludf.DUMMYFUNCTION("GOOGLETRANSLATE(A12949,""bn"",""en"")"),"The new color will show the tone")</f>
        <v>The new color will show the tone</v>
      </c>
      <c r="D12949" s="5"/>
      <c r="E12949" s="5"/>
      <c r="F12949" s="5"/>
      <c r="G12949" s="5"/>
      <c r="H12949" s="5"/>
      <c r="I12949" s="5"/>
      <c r="J12949" s="5"/>
      <c r="K12949" s="5"/>
      <c r="L12949" s="5"/>
      <c r="M12949" s="5"/>
      <c r="N12949" s="5"/>
      <c r="O12949" s="5"/>
      <c r="P12949" s="5"/>
      <c r="Q12949" s="5"/>
      <c r="R12949" s="5"/>
      <c r="S12949" s="5"/>
      <c r="T12949" s="5"/>
      <c r="U12949" s="5"/>
      <c r="V12949" s="5"/>
      <c r="W12949" s="5"/>
      <c r="X12949" s="5"/>
      <c r="Y12949" s="5"/>
      <c r="Z12949" s="5"/>
    </row>
    <row r="12950" spans="1:26" ht="15" x14ac:dyDescent="0.25">
      <c r="A12950" s="4" t="s">
        <v>12947</v>
      </c>
      <c r="B12950" s="4" t="s">
        <v>9011</v>
      </c>
      <c r="C12950" s="2" t="str">
        <f ca="1">IFERROR(__xludf.DUMMYFUNCTION("GOOGLETRANSLATE(A12950,""bn"",""en"")"),"He will go on a camping trip")</f>
        <v>He will go on a camping trip</v>
      </c>
      <c r="D12950" s="5"/>
      <c r="E12950" s="5"/>
      <c r="F12950" s="5"/>
      <c r="G12950" s="5"/>
      <c r="H12950" s="5"/>
      <c r="I12950" s="5"/>
      <c r="J12950" s="5"/>
      <c r="K12950" s="5"/>
      <c r="L12950" s="5"/>
      <c r="M12950" s="5"/>
      <c r="N12950" s="5"/>
      <c r="O12950" s="5"/>
      <c r="P12950" s="5"/>
      <c r="Q12950" s="5"/>
      <c r="R12950" s="5"/>
      <c r="S12950" s="5"/>
      <c r="T12950" s="5"/>
      <c r="U12950" s="5"/>
      <c r="V12950" s="5"/>
      <c r="W12950" s="5"/>
      <c r="X12950" s="5"/>
      <c r="Y12950" s="5"/>
      <c r="Z12950" s="5"/>
    </row>
    <row r="12951" spans="1:26" ht="15" x14ac:dyDescent="0.25">
      <c r="A12951" s="4" t="s">
        <v>12948</v>
      </c>
      <c r="B12951" s="4" t="s">
        <v>9011</v>
      </c>
      <c r="C12951" s="2" t="str">
        <f ca="1">IFERROR(__xludf.DUMMYFUNCTION("GOOGLETRANSLATE(A12951,""bn"",""en"")"),"I will decorate the bug after the rain")</f>
        <v>I will decorate the bug after the rain</v>
      </c>
      <c r="D12951" s="5"/>
      <c r="E12951" s="5"/>
      <c r="F12951" s="5"/>
      <c r="G12951" s="5"/>
      <c r="H12951" s="5"/>
      <c r="I12951" s="5"/>
      <c r="J12951" s="5"/>
      <c r="K12951" s="5"/>
      <c r="L12951" s="5"/>
      <c r="M12951" s="5"/>
      <c r="N12951" s="5"/>
      <c r="O12951" s="5"/>
      <c r="P12951" s="5"/>
      <c r="Q12951" s="5"/>
      <c r="R12951" s="5"/>
      <c r="S12951" s="5"/>
      <c r="T12951" s="5"/>
      <c r="U12951" s="5"/>
      <c r="V12951" s="5"/>
      <c r="W12951" s="5"/>
      <c r="X12951" s="5"/>
      <c r="Y12951" s="5"/>
      <c r="Z12951" s="5"/>
    </row>
    <row r="12952" spans="1:26" ht="15" x14ac:dyDescent="0.25">
      <c r="A12952" s="4" t="s">
        <v>12949</v>
      </c>
      <c r="B12952" s="4" t="s">
        <v>9011</v>
      </c>
      <c r="C12952" s="2" t="str">
        <f ca="1">IFERROR(__xludf.DUMMYFUNCTION("GOOGLETRANSLATE(A12952,""bn"",""en"")"),"We will make a deployment")</f>
        <v>We will make a deployment</v>
      </c>
      <c r="D12952" s="5"/>
      <c r="E12952" s="5"/>
      <c r="F12952" s="5"/>
      <c r="G12952" s="5"/>
      <c r="H12952" s="5"/>
      <c r="I12952" s="5"/>
      <c r="J12952" s="5"/>
      <c r="K12952" s="5"/>
      <c r="L12952" s="5"/>
      <c r="M12952" s="5"/>
      <c r="N12952" s="5"/>
      <c r="O12952" s="5"/>
      <c r="P12952" s="5"/>
      <c r="Q12952" s="5"/>
      <c r="R12952" s="5"/>
      <c r="S12952" s="5"/>
      <c r="T12952" s="5"/>
      <c r="U12952" s="5"/>
      <c r="V12952" s="5"/>
      <c r="W12952" s="5"/>
      <c r="X12952" s="5"/>
      <c r="Y12952" s="5"/>
      <c r="Z12952" s="5"/>
    </row>
    <row r="12953" spans="1:26" ht="15" x14ac:dyDescent="0.25">
      <c r="A12953" s="4" t="s">
        <v>12950</v>
      </c>
      <c r="B12953" s="4" t="s">
        <v>9011</v>
      </c>
      <c r="C12953" s="2" t="str">
        <f ca="1">IFERROR(__xludf.DUMMYFUNCTION("GOOGLETRANSLATE(A12953,""bn"",""en"")"),"We will do lab experiments")</f>
        <v>We will do lab experiments</v>
      </c>
      <c r="D12953" s="5"/>
      <c r="E12953" s="5"/>
      <c r="F12953" s="5"/>
      <c r="G12953" s="5"/>
      <c r="H12953" s="5"/>
      <c r="I12953" s="5"/>
      <c r="J12953" s="5"/>
      <c r="K12953" s="5"/>
      <c r="L12953" s="5"/>
      <c r="M12953" s="5"/>
      <c r="N12953" s="5"/>
      <c r="O12953" s="5"/>
      <c r="P12953" s="5"/>
      <c r="Q12953" s="5"/>
      <c r="R12953" s="5"/>
      <c r="S12953" s="5"/>
      <c r="T12953" s="5"/>
      <c r="U12953" s="5"/>
      <c r="V12953" s="5"/>
      <c r="W12953" s="5"/>
      <c r="X12953" s="5"/>
      <c r="Y12953" s="5"/>
      <c r="Z12953" s="5"/>
    </row>
    <row r="12954" spans="1:26" ht="15" x14ac:dyDescent="0.25">
      <c r="A12954" s="4" t="s">
        <v>12951</v>
      </c>
      <c r="B12954" s="4" t="s">
        <v>9011</v>
      </c>
      <c r="C12954" s="2" t="str">
        <f ca="1">IFERROR(__xludf.DUMMYFUNCTION("GOOGLETRANSLATE(A12954,""bn"",""en"")"),"They will be scuba diving")</f>
        <v>They will be scuba diving</v>
      </c>
      <c r="D12954" s="5"/>
      <c r="E12954" s="5"/>
      <c r="F12954" s="5"/>
      <c r="G12954" s="5"/>
      <c r="H12954" s="5"/>
      <c r="I12954" s="5"/>
      <c r="J12954" s="5"/>
      <c r="K12954" s="5"/>
      <c r="L12954" s="5"/>
      <c r="M12954" s="5"/>
      <c r="N12954" s="5"/>
      <c r="O12954" s="5"/>
      <c r="P12954" s="5"/>
      <c r="Q12954" s="5"/>
      <c r="R12954" s="5"/>
      <c r="S12954" s="5"/>
      <c r="T12954" s="5"/>
      <c r="U12954" s="5"/>
      <c r="V12954" s="5"/>
      <c r="W12954" s="5"/>
      <c r="X12954" s="5"/>
      <c r="Y12954" s="5"/>
      <c r="Z12954" s="5"/>
    </row>
    <row r="12955" spans="1:26" ht="15" x14ac:dyDescent="0.25">
      <c r="A12955" s="4" t="s">
        <v>12952</v>
      </c>
      <c r="B12955" s="4" t="s">
        <v>9011</v>
      </c>
      <c r="C12955" s="2" t="str">
        <f ca="1">IFERROR(__xludf.DUMMYFUNCTION("GOOGLETRANSLATE(A12955,""bn"",""en"")"),"Eat special dessert at the restaurant")</f>
        <v>Eat special dessert at the restaurant</v>
      </c>
      <c r="D12955" s="5"/>
      <c r="E12955" s="5"/>
      <c r="F12955" s="5"/>
      <c r="G12955" s="5"/>
      <c r="H12955" s="5"/>
      <c r="I12955" s="5"/>
      <c r="J12955" s="5"/>
      <c r="K12955" s="5"/>
      <c r="L12955" s="5"/>
      <c r="M12955" s="5"/>
      <c r="N12955" s="5"/>
      <c r="O12955" s="5"/>
      <c r="P12955" s="5"/>
      <c r="Q12955" s="5"/>
      <c r="R12955" s="5"/>
      <c r="S12955" s="5"/>
      <c r="T12955" s="5"/>
      <c r="U12955" s="5"/>
      <c r="V12955" s="5"/>
      <c r="W12955" s="5"/>
      <c r="X12955" s="5"/>
      <c r="Y12955" s="5"/>
      <c r="Z12955" s="5"/>
    </row>
    <row r="12956" spans="1:26" ht="15" x14ac:dyDescent="0.25">
      <c r="A12956" s="4" t="s">
        <v>12953</v>
      </c>
      <c r="B12956" s="4" t="s">
        <v>9011</v>
      </c>
      <c r="C12956" s="2" t="str">
        <f ca="1">IFERROR(__xludf.DUMMYFUNCTION("GOOGLETRANSLATE(A12956,""bn"",""en"")"),"New insects will radiate")</f>
        <v>New insects will radiate</v>
      </c>
      <c r="D12956" s="5"/>
      <c r="E12956" s="5"/>
      <c r="F12956" s="5"/>
      <c r="G12956" s="5"/>
      <c r="H12956" s="5"/>
      <c r="I12956" s="5"/>
      <c r="J12956" s="5"/>
      <c r="K12956" s="5"/>
      <c r="L12956" s="5"/>
      <c r="M12956" s="5"/>
      <c r="N12956" s="5"/>
      <c r="O12956" s="5"/>
      <c r="P12956" s="5"/>
      <c r="Q12956" s="5"/>
      <c r="R12956" s="5"/>
      <c r="S12956" s="5"/>
      <c r="T12956" s="5"/>
      <c r="U12956" s="5"/>
      <c r="V12956" s="5"/>
      <c r="W12956" s="5"/>
      <c r="X12956" s="5"/>
      <c r="Y12956" s="5"/>
      <c r="Z12956" s="5"/>
    </row>
    <row r="12957" spans="1:26" ht="15" x14ac:dyDescent="0.25">
      <c r="A12957" s="4" t="s">
        <v>12954</v>
      </c>
      <c r="B12957" s="4" t="s">
        <v>9011</v>
      </c>
      <c r="C12957" s="2" t="str">
        <f ca="1">IFERROR(__xludf.DUMMYFUNCTION("GOOGLETRANSLATE(A12957,""bn"",""en"")"),"Education will bring growth")</f>
        <v>Education will bring growth</v>
      </c>
      <c r="D12957" s="5"/>
      <c r="E12957" s="5"/>
      <c r="F12957" s="5"/>
      <c r="G12957" s="5"/>
      <c r="H12957" s="5"/>
      <c r="I12957" s="5"/>
      <c r="J12957" s="5"/>
      <c r="K12957" s="5"/>
      <c r="L12957" s="5"/>
      <c r="M12957" s="5"/>
      <c r="N12957" s="5"/>
      <c r="O12957" s="5"/>
      <c r="P12957" s="5"/>
      <c r="Q12957" s="5"/>
      <c r="R12957" s="5"/>
      <c r="S12957" s="5"/>
      <c r="T12957" s="5"/>
      <c r="U12957" s="5"/>
      <c r="V12957" s="5"/>
      <c r="W12957" s="5"/>
      <c r="X12957" s="5"/>
      <c r="Y12957" s="5"/>
      <c r="Z12957" s="5"/>
    </row>
    <row r="12958" spans="1:26" ht="15" x14ac:dyDescent="0.25">
      <c r="A12958" s="4" t="s">
        <v>12955</v>
      </c>
      <c r="B12958" s="4" t="s">
        <v>9011</v>
      </c>
      <c r="C12958" s="2" t="str">
        <f ca="1">IFERROR(__xludf.DUMMYFUNCTION("GOOGLETRANSLATE(A12958,""bn"",""en"")"),"Entrepreneurs will be popular in future")</f>
        <v>Entrepreneurs will be popular in future</v>
      </c>
      <c r="D12958" s="5"/>
      <c r="E12958" s="5"/>
      <c r="F12958" s="5"/>
      <c r="G12958" s="5"/>
      <c r="H12958" s="5"/>
      <c r="I12958" s="5"/>
      <c r="J12958" s="5"/>
      <c r="K12958" s="5"/>
      <c r="L12958" s="5"/>
      <c r="M12958" s="5"/>
      <c r="N12958" s="5"/>
      <c r="O12958" s="5"/>
      <c r="P12958" s="5"/>
      <c r="Q12958" s="5"/>
      <c r="R12958" s="5"/>
      <c r="S12958" s="5"/>
      <c r="T12958" s="5"/>
      <c r="U12958" s="5"/>
      <c r="V12958" s="5"/>
      <c r="W12958" s="5"/>
      <c r="X12958" s="5"/>
      <c r="Y12958" s="5"/>
      <c r="Z12958" s="5"/>
    </row>
    <row r="12959" spans="1:26" ht="15" x14ac:dyDescent="0.25">
      <c r="A12959" s="4" t="s">
        <v>12956</v>
      </c>
      <c r="B12959" s="4" t="s">
        <v>9011</v>
      </c>
      <c r="C12959" s="2" t="str">
        <f ca="1">IFERROR(__xludf.DUMMYFUNCTION("GOOGLETRANSLATE(A12959,""bn"",""en"")"),"Get new margin")</f>
        <v>Get new margin</v>
      </c>
      <c r="D12959" s="5"/>
      <c r="E12959" s="5"/>
      <c r="F12959" s="5"/>
      <c r="G12959" s="5"/>
      <c r="H12959" s="5"/>
      <c r="I12959" s="5"/>
      <c r="J12959" s="5"/>
      <c r="K12959" s="5"/>
      <c r="L12959" s="5"/>
      <c r="M12959" s="5"/>
      <c r="N12959" s="5"/>
      <c r="O12959" s="5"/>
      <c r="P12959" s="5"/>
      <c r="Q12959" s="5"/>
      <c r="R12959" s="5"/>
      <c r="S12959" s="5"/>
      <c r="T12959" s="5"/>
      <c r="U12959" s="5"/>
      <c r="V12959" s="5"/>
      <c r="W12959" s="5"/>
      <c r="X12959" s="5"/>
      <c r="Y12959" s="5"/>
      <c r="Z12959" s="5"/>
    </row>
    <row r="12960" spans="1:26" ht="15" x14ac:dyDescent="0.25">
      <c r="A12960" s="4" t="s">
        <v>12957</v>
      </c>
      <c r="B12960" s="4" t="s">
        <v>9011</v>
      </c>
      <c r="C12960" s="2" t="str">
        <f ca="1">IFERROR(__xludf.DUMMYFUNCTION("GOOGLETRANSLATE(A12960,""bn"",""en"")"),"Rockets will be very expensive")</f>
        <v>Rockets will be very expensive</v>
      </c>
      <c r="D12960" s="5"/>
      <c r="E12960" s="5"/>
      <c r="F12960" s="5"/>
      <c r="G12960" s="5"/>
      <c r="H12960" s="5"/>
      <c r="I12960" s="5"/>
      <c r="J12960" s="5"/>
      <c r="K12960" s="5"/>
      <c r="L12960" s="5"/>
      <c r="M12960" s="5"/>
      <c r="N12960" s="5"/>
      <c r="O12960" s="5"/>
      <c r="P12960" s="5"/>
      <c r="Q12960" s="5"/>
      <c r="R12960" s="5"/>
      <c r="S12960" s="5"/>
      <c r="T12960" s="5"/>
      <c r="U12960" s="5"/>
      <c r="V12960" s="5"/>
      <c r="W12960" s="5"/>
      <c r="X12960" s="5"/>
      <c r="Y12960" s="5"/>
      <c r="Z12960" s="5"/>
    </row>
    <row r="12961" spans="1:26" ht="15" x14ac:dyDescent="0.25">
      <c r="A12961" s="4" t="s">
        <v>12958</v>
      </c>
      <c r="B12961" s="4" t="s">
        <v>9011</v>
      </c>
      <c r="C12961" s="2" t="str">
        <f ca="1">IFERROR(__xludf.DUMMYFUNCTION("GOOGLETRANSLATE(A12961,""bn"",""en"")"),"You will be boxing tomorrow")</f>
        <v>You will be boxing tomorrow</v>
      </c>
      <c r="D12961" s="5"/>
      <c r="E12961" s="5"/>
      <c r="F12961" s="5"/>
      <c r="G12961" s="5"/>
      <c r="H12961" s="5"/>
      <c r="I12961" s="5"/>
      <c r="J12961" s="5"/>
      <c r="K12961" s="5"/>
      <c r="L12961" s="5"/>
      <c r="M12961" s="5"/>
      <c r="N12961" s="5"/>
      <c r="O12961" s="5"/>
      <c r="P12961" s="5"/>
      <c r="Q12961" s="5"/>
      <c r="R12961" s="5"/>
      <c r="S12961" s="5"/>
      <c r="T12961" s="5"/>
      <c r="U12961" s="5"/>
      <c r="V12961" s="5"/>
      <c r="W12961" s="5"/>
      <c r="X12961" s="5"/>
      <c r="Y12961" s="5"/>
      <c r="Z12961" s="5"/>
    </row>
    <row r="12962" spans="1:26" ht="15" x14ac:dyDescent="0.25">
      <c r="A12962" s="4" t="s">
        <v>12959</v>
      </c>
      <c r="B12962" s="4" t="s">
        <v>9011</v>
      </c>
      <c r="C12962" s="2" t="str">
        <f ca="1">IFERROR(__xludf.DUMMYFUNCTION("GOOGLETRANSLATE(A12962,""bn"",""en"")"),"I will go on a big trip on vacation")</f>
        <v>I will go on a big trip on vacation</v>
      </c>
      <c r="D12962" s="5"/>
      <c r="E12962" s="5"/>
      <c r="F12962" s="5"/>
      <c r="G12962" s="5"/>
      <c r="H12962" s="5"/>
      <c r="I12962" s="5"/>
      <c r="J12962" s="5"/>
      <c r="K12962" s="5"/>
      <c r="L12962" s="5"/>
      <c r="M12962" s="5"/>
      <c r="N12962" s="5"/>
      <c r="O12962" s="5"/>
      <c r="P12962" s="5"/>
      <c r="Q12962" s="5"/>
      <c r="R12962" s="5"/>
      <c r="S12962" s="5"/>
      <c r="T12962" s="5"/>
      <c r="U12962" s="5"/>
      <c r="V12962" s="5"/>
      <c r="W12962" s="5"/>
      <c r="X12962" s="5"/>
      <c r="Y12962" s="5"/>
      <c r="Z12962" s="5"/>
    </row>
    <row r="12963" spans="1:26" ht="15" x14ac:dyDescent="0.25">
      <c r="A12963" s="4" t="s">
        <v>12960</v>
      </c>
      <c r="B12963" s="4" t="s">
        <v>9011</v>
      </c>
      <c r="C12963" s="2" t="str">
        <f ca="1">IFERROR(__xludf.DUMMYFUNCTION("GOOGLETRANSLATE(A12963,""bn"",""en"")"),"The boat will enter the sea")</f>
        <v>The boat will enter the sea</v>
      </c>
      <c r="D12963" s="5"/>
      <c r="E12963" s="5"/>
      <c r="F12963" s="5"/>
      <c r="G12963" s="5"/>
      <c r="H12963" s="5"/>
      <c r="I12963" s="5"/>
      <c r="J12963" s="5"/>
      <c r="K12963" s="5"/>
      <c r="L12963" s="5"/>
      <c r="M12963" s="5"/>
      <c r="N12963" s="5"/>
      <c r="O12963" s="5"/>
      <c r="P12963" s="5"/>
      <c r="Q12963" s="5"/>
      <c r="R12963" s="5"/>
      <c r="S12963" s="5"/>
      <c r="T12963" s="5"/>
      <c r="U12963" s="5"/>
      <c r="V12963" s="5"/>
      <c r="W12963" s="5"/>
      <c r="X12963" s="5"/>
      <c r="Y12963" s="5"/>
      <c r="Z12963" s="5"/>
    </row>
    <row r="12964" spans="1:26" ht="15" x14ac:dyDescent="0.25">
      <c r="A12964" s="4" t="s">
        <v>12961</v>
      </c>
      <c r="B12964" s="4" t="s">
        <v>9011</v>
      </c>
      <c r="C12964" s="2" t="str">
        <f ca="1">IFERROR(__xludf.DUMMYFUNCTION("GOOGLETRANSLATE(A12964,""bn"",""en"")"),"War power will increase every year")</f>
        <v>War power will increase every year</v>
      </c>
      <c r="D12964" s="5"/>
      <c r="E12964" s="5"/>
      <c r="F12964" s="5"/>
      <c r="G12964" s="5"/>
      <c r="H12964" s="5"/>
      <c r="I12964" s="5"/>
      <c r="J12964" s="5"/>
      <c r="K12964" s="5"/>
      <c r="L12964" s="5"/>
      <c r="M12964" s="5"/>
      <c r="N12964" s="5"/>
      <c r="O12964" s="5"/>
      <c r="P12964" s="5"/>
      <c r="Q12964" s="5"/>
      <c r="R12964" s="5"/>
      <c r="S12964" s="5"/>
      <c r="T12964" s="5"/>
      <c r="U12964" s="5"/>
      <c r="V12964" s="5"/>
      <c r="W12964" s="5"/>
      <c r="X12964" s="5"/>
      <c r="Y12964" s="5"/>
      <c r="Z12964" s="5"/>
    </row>
    <row r="12965" spans="1:26" ht="15" x14ac:dyDescent="0.25">
      <c r="A12965" s="4" t="s">
        <v>12962</v>
      </c>
      <c r="B12965" s="4" t="s">
        <v>9011</v>
      </c>
      <c r="C12965" s="2" t="str">
        <f ca="1">IFERROR(__xludf.DUMMYFUNCTION("GOOGLETRANSLATE(A12965,""bn"",""en"")"),"War power cannot be allowed to increase")</f>
        <v>War power cannot be allowed to increase</v>
      </c>
      <c r="D12965" s="5"/>
      <c r="E12965" s="5"/>
      <c r="F12965" s="5"/>
      <c r="G12965" s="5"/>
      <c r="H12965" s="5"/>
      <c r="I12965" s="5"/>
      <c r="J12965" s="5"/>
      <c r="K12965" s="5"/>
      <c r="L12965" s="5"/>
      <c r="M12965" s="5"/>
      <c r="N12965" s="5"/>
      <c r="O12965" s="5"/>
      <c r="P12965" s="5"/>
      <c r="Q12965" s="5"/>
      <c r="R12965" s="5"/>
      <c r="S12965" s="5"/>
      <c r="T12965" s="5"/>
      <c r="U12965" s="5"/>
      <c r="V12965" s="5"/>
      <c r="W12965" s="5"/>
      <c r="X12965" s="5"/>
      <c r="Y12965" s="5"/>
      <c r="Z12965" s="5"/>
    </row>
    <row r="12966" spans="1:26" ht="15" x14ac:dyDescent="0.25">
      <c r="A12966" s="4" t="s">
        <v>12963</v>
      </c>
      <c r="B12966" s="4" t="s">
        <v>9011</v>
      </c>
      <c r="C12966" s="2" t="str">
        <f ca="1">IFERROR(__xludf.DUMMYFUNCTION("GOOGLETRANSLATE(A12966,""bn"",""en"")"),"We will all listen to music")</f>
        <v>We will all listen to music</v>
      </c>
      <c r="D12966" s="5"/>
      <c r="E12966" s="5"/>
      <c r="F12966" s="5"/>
      <c r="G12966" s="5"/>
      <c r="H12966" s="5"/>
      <c r="I12966" s="5"/>
      <c r="J12966" s="5"/>
      <c r="K12966" s="5"/>
      <c r="L12966" s="5"/>
      <c r="M12966" s="5"/>
      <c r="N12966" s="5"/>
      <c r="O12966" s="5"/>
      <c r="P12966" s="5"/>
      <c r="Q12966" s="5"/>
      <c r="R12966" s="5"/>
      <c r="S12966" s="5"/>
      <c r="T12966" s="5"/>
      <c r="U12966" s="5"/>
      <c r="V12966" s="5"/>
      <c r="W12966" s="5"/>
      <c r="X12966" s="5"/>
      <c r="Y12966" s="5"/>
      <c r="Z12966" s="5"/>
    </row>
    <row r="12967" spans="1:26" ht="15" x14ac:dyDescent="0.25">
      <c r="A12967" s="4" t="s">
        <v>12964</v>
      </c>
      <c r="B12967" s="4" t="s">
        <v>9011</v>
      </c>
      <c r="C12967" s="2" t="str">
        <f ca="1">IFERROR(__xludf.DUMMYFUNCTION("GOOGLETRANSLATE(A12967,""bn"",""en"")"),"More features will come in the mouse")</f>
        <v>More features will come in the mouse</v>
      </c>
      <c r="D12967" s="5"/>
      <c r="E12967" s="5"/>
      <c r="F12967" s="5"/>
      <c r="G12967" s="5"/>
      <c r="H12967" s="5"/>
      <c r="I12967" s="5"/>
      <c r="J12967" s="5"/>
      <c r="K12967" s="5"/>
      <c r="L12967" s="5"/>
      <c r="M12967" s="5"/>
      <c r="N12967" s="5"/>
      <c r="O12967" s="5"/>
      <c r="P12967" s="5"/>
      <c r="Q12967" s="5"/>
      <c r="R12967" s="5"/>
      <c r="S12967" s="5"/>
      <c r="T12967" s="5"/>
      <c r="U12967" s="5"/>
      <c r="V12967" s="5"/>
      <c r="W12967" s="5"/>
      <c r="X12967" s="5"/>
      <c r="Y12967" s="5"/>
      <c r="Z12967" s="5"/>
    </row>
    <row r="12968" spans="1:26" ht="15" x14ac:dyDescent="0.25">
      <c r="A12968" s="4" t="s">
        <v>12965</v>
      </c>
      <c r="B12968" s="4" t="s">
        <v>9011</v>
      </c>
      <c r="C12968" s="2" t="str">
        <f ca="1">IFERROR(__xludf.DUMMYFUNCTION("GOOGLETRANSLATE(A12968,""bn"",""en"")"),"We will take up new projects")</f>
        <v>We will take up new projects</v>
      </c>
      <c r="D12968" s="5"/>
      <c r="E12968" s="5"/>
      <c r="F12968" s="5"/>
      <c r="G12968" s="5"/>
      <c r="H12968" s="5"/>
      <c r="I12968" s="5"/>
      <c r="J12968" s="5"/>
      <c r="K12968" s="5"/>
      <c r="L12968" s="5"/>
      <c r="M12968" s="5"/>
      <c r="N12968" s="5"/>
      <c r="O12968" s="5"/>
      <c r="P12968" s="5"/>
      <c r="Q12968" s="5"/>
      <c r="R12968" s="5"/>
      <c r="S12968" s="5"/>
      <c r="T12968" s="5"/>
      <c r="U12968" s="5"/>
      <c r="V12968" s="5"/>
      <c r="W12968" s="5"/>
      <c r="X12968" s="5"/>
      <c r="Y12968" s="5"/>
      <c r="Z12968" s="5"/>
    </row>
    <row r="12969" spans="1:26" ht="15" x14ac:dyDescent="0.25">
      <c r="A12969" s="4" t="s">
        <v>12966</v>
      </c>
      <c r="B12969" s="4" t="s">
        <v>9011</v>
      </c>
      <c r="C12969" s="2" t="str">
        <f ca="1">IFERROR(__xludf.DUMMYFUNCTION("GOOGLETRANSLATE(A12969,""bn"",""en"")"),"I will grow a fruit garden")</f>
        <v>I will grow a fruit garden</v>
      </c>
      <c r="D12969" s="5"/>
      <c r="E12969" s="5"/>
      <c r="F12969" s="5"/>
      <c r="G12969" s="5"/>
      <c r="H12969" s="5"/>
      <c r="I12969" s="5"/>
      <c r="J12969" s="5"/>
      <c r="K12969" s="5"/>
      <c r="L12969" s="5"/>
      <c r="M12969" s="5"/>
      <c r="N12969" s="5"/>
      <c r="O12969" s="5"/>
      <c r="P12969" s="5"/>
      <c r="Q12969" s="5"/>
      <c r="R12969" s="5"/>
      <c r="S12969" s="5"/>
      <c r="T12969" s="5"/>
      <c r="U12969" s="5"/>
      <c r="V12969" s="5"/>
      <c r="W12969" s="5"/>
      <c r="X12969" s="5"/>
      <c r="Y12969" s="5"/>
      <c r="Z12969" s="5"/>
    </row>
    <row r="12970" spans="1:26" ht="15" x14ac:dyDescent="0.25">
      <c r="A12970" s="4" t="s">
        <v>12967</v>
      </c>
      <c r="B12970" s="4" t="s">
        <v>9011</v>
      </c>
      <c r="C12970" s="2" t="str">
        <f ca="1">IFERROR(__xludf.DUMMYFUNCTION("GOOGLETRANSLATE(A12970,""bn"",""en"")"),"I will bring you to the restaurant")</f>
        <v>I will bring you to the restaurant</v>
      </c>
      <c r="D12970" s="5"/>
      <c r="E12970" s="5"/>
      <c r="F12970" s="5"/>
      <c r="G12970" s="5"/>
      <c r="H12970" s="5"/>
      <c r="I12970" s="5"/>
      <c r="J12970" s="5"/>
      <c r="K12970" s="5"/>
      <c r="L12970" s="5"/>
      <c r="M12970" s="5"/>
      <c r="N12970" s="5"/>
      <c r="O12970" s="5"/>
      <c r="P12970" s="5"/>
      <c r="Q12970" s="5"/>
      <c r="R12970" s="5"/>
      <c r="S12970" s="5"/>
      <c r="T12970" s="5"/>
      <c r="U12970" s="5"/>
      <c r="V12970" s="5"/>
      <c r="W12970" s="5"/>
      <c r="X12970" s="5"/>
      <c r="Y12970" s="5"/>
      <c r="Z12970" s="5"/>
    </row>
    <row r="12971" spans="1:26" ht="15" x14ac:dyDescent="0.25">
      <c r="A12971" s="4" t="s">
        <v>12968</v>
      </c>
      <c r="B12971" s="4" t="s">
        <v>9011</v>
      </c>
      <c r="C12971" s="2" t="str">
        <f ca="1">IFERROR(__xludf.DUMMYFUNCTION("GOOGLETRANSLATE(A12971,""bn"",""en"")"),"Costs will increase because of the website")</f>
        <v>Costs will increase because of the website</v>
      </c>
      <c r="D12971" s="5"/>
      <c r="E12971" s="5"/>
      <c r="F12971" s="5"/>
      <c r="G12971" s="5"/>
      <c r="H12971" s="5"/>
      <c r="I12971" s="5"/>
      <c r="J12971" s="5"/>
      <c r="K12971" s="5"/>
      <c r="L12971" s="5"/>
      <c r="M12971" s="5"/>
      <c r="N12971" s="5"/>
      <c r="O12971" s="5"/>
      <c r="P12971" s="5"/>
      <c r="Q12971" s="5"/>
      <c r="R12971" s="5"/>
      <c r="S12971" s="5"/>
      <c r="T12971" s="5"/>
      <c r="U12971" s="5"/>
      <c r="V12971" s="5"/>
      <c r="W12971" s="5"/>
      <c r="X12971" s="5"/>
      <c r="Y12971" s="5"/>
      <c r="Z12971" s="5"/>
    </row>
    <row r="12972" spans="1:26" ht="15" x14ac:dyDescent="0.25">
      <c r="A12972" s="4" t="s">
        <v>12969</v>
      </c>
      <c r="B12972" s="4" t="s">
        <v>9011</v>
      </c>
      <c r="C12972" s="2" t="str">
        <f ca="1">IFERROR(__xludf.DUMMYFUNCTION("GOOGLETRANSLATE(A12972,""bn"",""en"")"),"He will go for a walk on the beach")</f>
        <v>He will go for a walk on the beach</v>
      </c>
      <c r="D12972" s="5"/>
      <c r="E12972" s="5"/>
      <c r="F12972" s="5"/>
      <c r="G12972" s="5"/>
      <c r="H12972" s="5"/>
      <c r="I12972" s="5"/>
      <c r="J12972" s="5"/>
      <c r="K12972" s="5"/>
      <c r="L12972" s="5"/>
      <c r="M12972" s="5"/>
      <c r="N12972" s="5"/>
      <c r="O12972" s="5"/>
      <c r="P12972" s="5"/>
      <c r="Q12972" s="5"/>
      <c r="R12972" s="5"/>
      <c r="S12972" s="5"/>
      <c r="T12972" s="5"/>
      <c r="U12972" s="5"/>
      <c r="V12972" s="5"/>
      <c r="W12972" s="5"/>
      <c r="X12972" s="5"/>
      <c r="Y12972" s="5"/>
      <c r="Z12972" s="5"/>
    </row>
    <row r="12973" spans="1:26" ht="15" x14ac:dyDescent="0.25">
      <c r="A12973" s="4" t="s">
        <v>12970</v>
      </c>
      <c r="B12973" s="4" t="s">
        <v>9011</v>
      </c>
      <c r="C12973" s="2" t="str">
        <f ca="1">IFERROR(__xludf.DUMMYFUNCTION("GOOGLETRANSLATE(A12973,""bn"",""en"")"),"I will eat at the restaurant")</f>
        <v>I will eat at the restaurant</v>
      </c>
      <c r="D12973" s="5"/>
      <c r="E12973" s="5"/>
      <c r="F12973" s="5"/>
      <c r="G12973" s="5"/>
      <c r="H12973" s="5"/>
      <c r="I12973" s="5"/>
      <c r="J12973" s="5"/>
      <c r="K12973" s="5"/>
      <c r="L12973" s="5"/>
      <c r="M12973" s="5"/>
      <c r="N12973" s="5"/>
      <c r="O12973" s="5"/>
      <c r="P12973" s="5"/>
      <c r="Q12973" s="5"/>
      <c r="R12973" s="5"/>
      <c r="S12973" s="5"/>
      <c r="T12973" s="5"/>
      <c r="U12973" s="5"/>
      <c r="V12973" s="5"/>
      <c r="W12973" s="5"/>
      <c r="X12973" s="5"/>
      <c r="Y12973" s="5"/>
      <c r="Z12973" s="5"/>
    </row>
    <row r="12974" spans="1:26" ht="15" x14ac:dyDescent="0.25">
      <c r="A12974" s="4" t="s">
        <v>12971</v>
      </c>
      <c r="B12974" s="4" t="s">
        <v>9011</v>
      </c>
      <c r="C12974" s="2" t="str">
        <f ca="1">IFERROR(__xludf.DUMMYFUNCTION("GOOGLETRANSLATE(A12974,""bn"",""en"")"),"You will take online courses")</f>
        <v>You will take online courses</v>
      </c>
      <c r="D12974" s="5"/>
      <c r="E12974" s="5"/>
      <c r="F12974" s="5"/>
      <c r="G12974" s="5"/>
      <c r="H12974" s="5"/>
      <c r="I12974" s="5"/>
      <c r="J12974" s="5"/>
      <c r="K12974" s="5"/>
      <c r="L12974" s="5"/>
      <c r="M12974" s="5"/>
      <c r="N12974" s="5"/>
      <c r="O12974" s="5"/>
      <c r="P12974" s="5"/>
      <c r="Q12974" s="5"/>
      <c r="R12974" s="5"/>
      <c r="S12974" s="5"/>
      <c r="T12974" s="5"/>
      <c r="U12974" s="5"/>
      <c r="V12974" s="5"/>
      <c r="W12974" s="5"/>
      <c r="X12974" s="5"/>
      <c r="Y12974" s="5"/>
      <c r="Z12974" s="5"/>
    </row>
    <row r="12975" spans="1:26" ht="15" x14ac:dyDescent="0.25">
      <c r="A12975" s="4" t="s">
        <v>12972</v>
      </c>
      <c r="B12975" s="4" t="s">
        <v>9011</v>
      </c>
      <c r="C12975" s="2" t="str">
        <f ca="1">IFERROR(__xludf.DUMMYFUNCTION("GOOGLETRANSLATE(A12975,""bn"",""en"")"),"There will be a discussion about the constitution")</f>
        <v>There will be a discussion about the constitution</v>
      </c>
      <c r="D12975" s="5"/>
      <c r="E12975" s="5"/>
      <c r="F12975" s="5"/>
      <c r="G12975" s="5"/>
      <c r="H12975" s="5"/>
      <c r="I12975" s="5"/>
      <c r="J12975" s="5"/>
      <c r="K12975" s="5"/>
      <c r="L12975" s="5"/>
      <c r="M12975" s="5"/>
      <c r="N12975" s="5"/>
      <c r="O12975" s="5"/>
      <c r="P12975" s="5"/>
      <c r="Q12975" s="5"/>
      <c r="R12975" s="5"/>
      <c r="S12975" s="5"/>
      <c r="T12975" s="5"/>
      <c r="U12975" s="5"/>
      <c r="V12975" s="5"/>
      <c r="W12975" s="5"/>
      <c r="X12975" s="5"/>
      <c r="Y12975" s="5"/>
      <c r="Z12975" s="5"/>
    </row>
    <row r="12976" spans="1:26" ht="15" x14ac:dyDescent="0.25">
      <c r="A12976" s="4" t="s">
        <v>12973</v>
      </c>
      <c r="B12976" s="4" t="s">
        <v>9011</v>
      </c>
      <c r="C12976" s="2" t="str">
        <f ca="1">IFERROR(__xludf.DUMMYFUNCTION("GOOGLETRANSLATE(A12976,""bn"",""en"")"),"Tensions will continue to rise at the border")</f>
        <v>Tensions will continue to rise at the border</v>
      </c>
      <c r="D12976" s="5"/>
      <c r="E12976" s="5"/>
      <c r="F12976" s="5"/>
      <c r="G12976" s="5"/>
      <c r="H12976" s="5"/>
      <c r="I12976" s="5"/>
      <c r="J12976" s="5"/>
      <c r="K12976" s="5"/>
      <c r="L12976" s="5"/>
      <c r="M12976" s="5"/>
      <c r="N12976" s="5"/>
      <c r="O12976" s="5"/>
      <c r="P12976" s="5"/>
      <c r="Q12976" s="5"/>
      <c r="R12976" s="5"/>
      <c r="S12976" s="5"/>
      <c r="T12976" s="5"/>
      <c r="U12976" s="5"/>
      <c r="V12976" s="5"/>
      <c r="W12976" s="5"/>
      <c r="X12976" s="5"/>
      <c r="Y12976" s="5"/>
      <c r="Z12976" s="5"/>
    </row>
    <row r="12977" spans="1:26" ht="15" x14ac:dyDescent="0.25">
      <c r="A12977" s="4" t="s">
        <v>12974</v>
      </c>
      <c r="B12977" s="4" t="s">
        <v>9011</v>
      </c>
      <c r="C12977" s="2" t="str">
        <f ca="1">IFERROR(__xludf.DUMMYFUNCTION("GOOGLETRANSLATE(A12977,""bn"",""en"")"),"Data will be analyzed intelligently")</f>
        <v>Data will be analyzed intelligently</v>
      </c>
      <c r="D12977" s="5"/>
      <c r="E12977" s="5"/>
      <c r="F12977" s="5"/>
      <c r="G12977" s="5"/>
      <c r="H12977" s="5"/>
      <c r="I12977" s="5"/>
      <c r="J12977" s="5"/>
      <c r="K12977" s="5"/>
      <c r="L12977" s="5"/>
      <c r="M12977" s="5"/>
      <c r="N12977" s="5"/>
      <c r="O12977" s="5"/>
      <c r="P12977" s="5"/>
      <c r="Q12977" s="5"/>
      <c r="R12977" s="5"/>
      <c r="S12977" s="5"/>
      <c r="T12977" s="5"/>
      <c r="U12977" s="5"/>
      <c r="V12977" s="5"/>
      <c r="W12977" s="5"/>
      <c r="X12977" s="5"/>
      <c r="Y12977" s="5"/>
      <c r="Z12977" s="5"/>
    </row>
    <row r="12978" spans="1:26" ht="15" x14ac:dyDescent="0.25">
      <c r="A12978" s="4" t="s">
        <v>12975</v>
      </c>
      <c r="B12978" s="4" t="s">
        <v>9011</v>
      </c>
      <c r="C12978" s="2" t="str">
        <f ca="1">IFERROR(__xludf.DUMMYFUNCTION("GOOGLETRANSLATE(A12978,""bn"",""en"")"),"I will have a cinematic experience")</f>
        <v>I will have a cinematic experience</v>
      </c>
      <c r="D12978" s="5"/>
      <c r="E12978" s="5"/>
      <c r="F12978" s="5"/>
      <c r="G12978" s="5"/>
      <c r="H12978" s="5"/>
      <c r="I12978" s="5"/>
      <c r="J12978" s="5"/>
      <c r="K12978" s="5"/>
      <c r="L12978" s="5"/>
      <c r="M12978" s="5"/>
      <c r="N12978" s="5"/>
      <c r="O12978" s="5"/>
      <c r="P12978" s="5"/>
      <c r="Q12978" s="5"/>
      <c r="R12978" s="5"/>
      <c r="S12978" s="5"/>
      <c r="T12978" s="5"/>
      <c r="U12978" s="5"/>
      <c r="V12978" s="5"/>
      <c r="W12978" s="5"/>
      <c r="X12978" s="5"/>
      <c r="Y12978" s="5"/>
      <c r="Z12978" s="5"/>
    </row>
    <row r="12979" spans="1:26" ht="15" x14ac:dyDescent="0.25">
      <c r="A12979" s="4" t="s">
        <v>12976</v>
      </c>
      <c r="B12979" s="4" t="s">
        <v>9011</v>
      </c>
      <c r="C12979" s="2" t="str">
        <f ca="1">IFERROR(__xludf.DUMMYFUNCTION("GOOGLETRANSLATE(A12979,""bn"",""en"")"),"Heart disease should be prevented")</f>
        <v>Heart disease should be prevented</v>
      </c>
      <c r="D12979" s="5"/>
      <c r="E12979" s="5"/>
      <c r="F12979" s="5"/>
      <c r="G12979" s="5"/>
      <c r="H12979" s="5"/>
      <c r="I12979" s="5"/>
      <c r="J12979" s="5"/>
      <c r="K12979" s="5"/>
      <c r="L12979" s="5"/>
      <c r="M12979" s="5"/>
      <c r="N12979" s="5"/>
      <c r="O12979" s="5"/>
      <c r="P12979" s="5"/>
      <c r="Q12979" s="5"/>
      <c r="R12979" s="5"/>
      <c r="S12979" s="5"/>
      <c r="T12979" s="5"/>
      <c r="U12979" s="5"/>
      <c r="V12979" s="5"/>
      <c r="W12979" s="5"/>
      <c r="X12979" s="5"/>
      <c r="Y12979" s="5"/>
      <c r="Z12979" s="5"/>
    </row>
    <row r="12980" spans="1:26" ht="15" x14ac:dyDescent="0.25">
      <c r="A12980" s="4" t="s">
        <v>12977</v>
      </c>
      <c r="B12980" s="4" t="s">
        <v>9011</v>
      </c>
      <c r="C12980" s="2" t="str">
        <f ca="1">IFERROR(__xludf.DUMMYFUNCTION("GOOGLETRANSLATE(A12980,""bn"",""en"")"),"Have to buy anti-cardiac drugs")</f>
        <v>Have to buy anti-cardiac drugs</v>
      </c>
      <c r="D12980" s="5"/>
      <c r="E12980" s="5"/>
      <c r="F12980" s="5"/>
      <c r="G12980" s="5"/>
      <c r="H12980" s="5"/>
      <c r="I12980" s="5"/>
      <c r="J12980" s="5"/>
      <c r="K12980" s="5"/>
      <c r="L12980" s="5"/>
      <c r="M12980" s="5"/>
      <c r="N12980" s="5"/>
      <c r="O12980" s="5"/>
      <c r="P12980" s="5"/>
      <c r="Q12980" s="5"/>
      <c r="R12980" s="5"/>
      <c r="S12980" s="5"/>
      <c r="T12980" s="5"/>
      <c r="U12980" s="5"/>
      <c r="V12980" s="5"/>
      <c r="W12980" s="5"/>
      <c r="X12980" s="5"/>
      <c r="Y12980" s="5"/>
      <c r="Z12980" s="5"/>
    </row>
    <row r="12981" spans="1:26" ht="15" x14ac:dyDescent="0.25">
      <c r="A12981" s="4" t="s">
        <v>12978</v>
      </c>
      <c r="B12981" s="4" t="s">
        <v>9011</v>
      </c>
      <c r="C12981" s="2" t="str">
        <f ca="1">IFERROR(__xludf.DUMMYFUNCTION("GOOGLETRANSLATE(A12981,""bn"",""en"")"),"Medical research will be prepared")</f>
        <v>Medical research will be prepared</v>
      </c>
      <c r="D12981" s="5"/>
      <c r="E12981" s="5"/>
      <c r="F12981" s="5"/>
      <c r="G12981" s="5"/>
      <c r="H12981" s="5"/>
      <c r="I12981" s="5"/>
      <c r="J12981" s="5"/>
      <c r="K12981" s="5"/>
      <c r="L12981" s="5"/>
      <c r="M12981" s="5"/>
      <c r="N12981" s="5"/>
      <c r="O12981" s="5"/>
      <c r="P12981" s="5"/>
      <c r="Q12981" s="5"/>
      <c r="R12981" s="5"/>
      <c r="S12981" s="5"/>
      <c r="T12981" s="5"/>
      <c r="U12981" s="5"/>
      <c r="V12981" s="5"/>
      <c r="W12981" s="5"/>
      <c r="X12981" s="5"/>
      <c r="Y12981" s="5"/>
      <c r="Z12981" s="5"/>
    </row>
    <row r="12982" spans="1:26" ht="15" x14ac:dyDescent="0.25">
      <c r="A12982" s="4" t="s">
        <v>12979</v>
      </c>
      <c r="B12982" s="4" t="s">
        <v>9011</v>
      </c>
      <c r="C12982" s="2" t="str">
        <f ca="1">IFERROR(__xludf.DUMMYFUNCTION("GOOGLETRANSLATE(A12982,""bn"",""en"")"),"I will do medical research")</f>
        <v>I will do medical research</v>
      </c>
      <c r="D12982" s="5"/>
      <c r="E12982" s="5"/>
      <c r="F12982" s="5"/>
      <c r="G12982" s="5"/>
      <c r="H12982" s="5"/>
      <c r="I12982" s="5"/>
      <c r="J12982" s="5"/>
      <c r="K12982" s="5"/>
      <c r="L12982" s="5"/>
      <c r="M12982" s="5"/>
      <c r="N12982" s="5"/>
      <c r="O12982" s="5"/>
      <c r="P12982" s="5"/>
      <c r="Q12982" s="5"/>
      <c r="R12982" s="5"/>
      <c r="S12982" s="5"/>
      <c r="T12982" s="5"/>
      <c r="U12982" s="5"/>
      <c r="V12982" s="5"/>
      <c r="W12982" s="5"/>
      <c r="X12982" s="5"/>
      <c r="Y12982" s="5"/>
      <c r="Z12982" s="5"/>
    </row>
    <row r="12983" spans="1:26" ht="15" x14ac:dyDescent="0.25">
      <c r="A12983" s="4" t="s">
        <v>12980</v>
      </c>
      <c r="B12983" s="4" t="s">
        <v>9011</v>
      </c>
      <c r="C12983" s="2" t="str">
        <f ca="1">IFERROR(__xludf.DUMMYFUNCTION("GOOGLETRANSLATE(A12983,""bn"",""en"")"),"They will meet at the restaurant")</f>
        <v>They will meet at the restaurant</v>
      </c>
      <c r="D12983" s="5"/>
      <c r="E12983" s="5"/>
      <c r="F12983" s="5"/>
      <c r="G12983" s="5"/>
      <c r="H12983" s="5"/>
      <c r="I12983" s="5"/>
      <c r="J12983" s="5"/>
      <c r="K12983" s="5"/>
      <c r="L12983" s="5"/>
      <c r="M12983" s="5"/>
      <c r="N12983" s="5"/>
      <c r="O12983" s="5"/>
      <c r="P12983" s="5"/>
      <c r="Q12983" s="5"/>
      <c r="R12983" s="5"/>
      <c r="S12983" s="5"/>
      <c r="T12983" s="5"/>
      <c r="U12983" s="5"/>
      <c r="V12983" s="5"/>
      <c r="W12983" s="5"/>
      <c r="X12983" s="5"/>
      <c r="Y12983" s="5"/>
      <c r="Z12983" s="5"/>
    </row>
    <row r="12984" spans="1:26" ht="15" x14ac:dyDescent="0.25">
      <c r="A12984" s="4" t="s">
        <v>12981</v>
      </c>
      <c r="B12984" s="4" t="s">
        <v>9011</v>
      </c>
      <c r="C12984" s="2" t="str">
        <f ca="1">IFERROR(__xludf.DUMMYFUNCTION("GOOGLETRANSLATE(A12984,""bn"",""en"")"),"We will resolve the dispute")</f>
        <v>We will resolve the dispute</v>
      </c>
      <c r="D12984" s="5"/>
      <c r="E12984" s="5"/>
      <c r="F12984" s="5"/>
      <c r="G12984" s="5"/>
      <c r="H12984" s="5"/>
      <c r="I12984" s="5"/>
      <c r="J12984" s="5"/>
      <c r="K12984" s="5"/>
      <c r="L12984" s="5"/>
      <c r="M12984" s="5"/>
      <c r="N12984" s="5"/>
      <c r="O12984" s="5"/>
      <c r="P12984" s="5"/>
      <c r="Q12984" s="5"/>
      <c r="R12984" s="5"/>
      <c r="S12984" s="5"/>
      <c r="T12984" s="5"/>
      <c r="U12984" s="5"/>
      <c r="V12984" s="5"/>
      <c r="W12984" s="5"/>
      <c r="X12984" s="5"/>
      <c r="Y12984" s="5"/>
      <c r="Z12984" s="5"/>
    </row>
    <row r="12985" spans="1:26" ht="15" x14ac:dyDescent="0.25">
      <c r="A12985" s="4" t="s">
        <v>12982</v>
      </c>
      <c r="B12985" s="4" t="s">
        <v>9011</v>
      </c>
      <c r="C12985" s="2" t="str">
        <f ca="1">IFERROR(__xludf.DUMMYFUNCTION("GOOGLETRANSLATE(A12985,""bn"",""en"")"),"He will read Quran at night")</f>
        <v>He will read Quran at night</v>
      </c>
      <c r="D12985" s="5"/>
      <c r="E12985" s="5"/>
      <c r="F12985" s="5"/>
      <c r="G12985" s="5"/>
      <c r="H12985" s="5"/>
      <c r="I12985" s="5"/>
      <c r="J12985" s="5"/>
      <c r="K12985" s="5"/>
      <c r="L12985" s="5"/>
      <c r="M12985" s="5"/>
      <c r="N12985" s="5"/>
      <c r="O12985" s="5"/>
      <c r="P12985" s="5"/>
      <c r="Q12985" s="5"/>
      <c r="R12985" s="5"/>
      <c r="S12985" s="5"/>
      <c r="T12985" s="5"/>
      <c r="U12985" s="5"/>
      <c r="V12985" s="5"/>
      <c r="W12985" s="5"/>
      <c r="X12985" s="5"/>
      <c r="Y12985" s="5"/>
      <c r="Z12985" s="5"/>
    </row>
    <row r="12986" spans="1:26" ht="15" x14ac:dyDescent="0.25">
      <c r="A12986" s="4" t="s">
        <v>12983</v>
      </c>
      <c r="B12986" s="4" t="s">
        <v>9011</v>
      </c>
      <c r="C12986" s="2" t="str">
        <f ca="1">IFERROR(__xludf.DUMMYFUNCTION("GOOGLETRANSLATE(A12986,""bn"",""en"")"),"He will need a check")</f>
        <v>He will need a check</v>
      </c>
      <c r="D12986" s="5"/>
      <c r="E12986" s="5"/>
      <c r="F12986" s="5"/>
      <c r="G12986" s="5"/>
      <c r="H12986" s="5"/>
      <c r="I12986" s="5"/>
      <c r="J12986" s="5"/>
      <c r="K12986" s="5"/>
      <c r="L12986" s="5"/>
      <c r="M12986" s="5"/>
      <c r="N12986" s="5"/>
      <c r="O12986" s="5"/>
      <c r="P12986" s="5"/>
      <c r="Q12986" s="5"/>
      <c r="R12986" s="5"/>
      <c r="S12986" s="5"/>
      <c r="T12986" s="5"/>
      <c r="U12986" s="5"/>
      <c r="V12986" s="5"/>
      <c r="W12986" s="5"/>
      <c r="X12986" s="5"/>
      <c r="Y12986" s="5"/>
      <c r="Z12986" s="5"/>
    </row>
    <row r="12987" spans="1:26" ht="15" x14ac:dyDescent="0.25">
      <c r="A12987" s="4" t="s">
        <v>12984</v>
      </c>
      <c r="B12987" s="4" t="s">
        <v>9011</v>
      </c>
      <c r="C12987" s="2" t="str">
        <f ca="1">IFERROR(__xludf.DUMMYFUNCTION("GOOGLETRANSLATE(A12987,""bn"",""en"")"),"Software development will learn well")</f>
        <v>Software development will learn well</v>
      </c>
      <c r="D12987" s="5"/>
      <c r="E12987" s="5"/>
      <c r="F12987" s="5"/>
      <c r="G12987" s="5"/>
      <c r="H12987" s="5"/>
      <c r="I12987" s="5"/>
      <c r="J12987" s="5"/>
      <c r="K12987" s="5"/>
      <c r="L12987" s="5"/>
      <c r="M12987" s="5"/>
      <c r="N12987" s="5"/>
      <c r="O12987" s="5"/>
      <c r="P12987" s="5"/>
      <c r="Q12987" s="5"/>
      <c r="R12987" s="5"/>
      <c r="S12987" s="5"/>
      <c r="T12987" s="5"/>
      <c r="U12987" s="5"/>
      <c r="V12987" s="5"/>
      <c r="W12987" s="5"/>
      <c r="X12987" s="5"/>
      <c r="Y12987" s="5"/>
      <c r="Z12987" s="5"/>
    </row>
    <row r="12988" spans="1:26" ht="15" x14ac:dyDescent="0.25">
      <c r="A12988" s="4" t="s">
        <v>12985</v>
      </c>
      <c r="B12988" s="4" t="s">
        <v>9011</v>
      </c>
      <c r="C12988" s="2" t="str">
        <f ca="1">IFERROR(__xludf.DUMMYFUNCTION("GOOGLETRANSLATE(A12988,""bn"",""en"")"),"I will search for new technology")</f>
        <v>I will search for new technology</v>
      </c>
      <c r="D12988" s="5"/>
      <c r="E12988" s="5"/>
      <c r="F12988" s="5"/>
      <c r="G12988" s="5"/>
      <c r="H12988" s="5"/>
      <c r="I12988" s="5"/>
      <c r="J12988" s="5"/>
      <c r="K12988" s="5"/>
      <c r="L12988" s="5"/>
      <c r="M12988" s="5"/>
      <c r="N12988" s="5"/>
      <c r="O12988" s="5"/>
      <c r="P12988" s="5"/>
      <c r="Q12988" s="5"/>
      <c r="R12988" s="5"/>
      <c r="S12988" s="5"/>
      <c r="T12988" s="5"/>
      <c r="U12988" s="5"/>
      <c r="V12988" s="5"/>
      <c r="W12988" s="5"/>
      <c r="X12988" s="5"/>
      <c r="Y12988" s="5"/>
      <c r="Z12988" s="5"/>
    </row>
    <row r="12989" spans="1:26" ht="15" x14ac:dyDescent="0.25">
      <c r="A12989" s="4" t="s">
        <v>12986</v>
      </c>
      <c r="B12989" s="4" t="s">
        <v>9011</v>
      </c>
      <c r="C12989" s="2" t="str">
        <f ca="1">IFERROR(__xludf.DUMMYFUNCTION("GOOGLETRANSLATE(A12989,""bn"",""en"")"),"I will buy new seeds")</f>
        <v>I will buy new seeds</v>
      </c>
      <c r="D12989" s="5"/>
      <c r="E12989" s="5"/>
      <c r="F12989" s="5"/>
      <c r="G12989" s="5"/>
      <c r="H12989" s="5"/>
      <c r="I12989" s="5"/>
      <c r="J12989" s="5"/>
      <c r="K12989" s="5"/>
      <c r="L12989" s="5"/>
      <c r="M12989" s="5"/>
      <c r="N12989" s="5"/>
      <c r="O12989" s="5"/>
      <c r="P12989" s="5"/>
      <c r="Q12989" s="5"/>
      <c r="R12989" s="5"/>
      <c r="S12989" s="5"/>
      <c r="T12989" s="5"/>
      <c r="U12989" s="5"/>
      <c r="V12989" s="5"/>
      <c r="W12989" s="5"/>
      <c r="X12989" s="5"/>
      <c r="Y12989" s="5"/>
      <c r="Z12989" s="5"/>
    </row>
    <row r="12990" spans="1:26" ht="15" x14ac:dyDescent="0.25">
      <c r="A12990" s="4" t="s">
        <v>12987</v>
      </c>
      <c r="B12990" s="4" t="s">
        <v>9011</v>
      </c>
      <c r="C12990" s="2" t="str">
        <f ca="1">IFERROR(__xludf.DUMMYFUNCTION("GOOGLETRANSLATE(A12990,""bn"",""en"")"),"I will start a book club")</f>
        <v>I will start a book club</v>
      </c>
      <c r="D12990" s="5"/>
      <c r="E12990" s="5"/>
      <c r="F12990" s="5"/>
      <c r="G12990" s="5"/>
      <c r="H12990" s="5"/>
      <c r="I12990" s="5"/>
      <c r="J12990" s="5"/>
      <c r="K12990" s="5"/>
      <c r="L12990" s="5"/>
      <c r="M12990" s="5"/>
      <c r="N12990" s="5"/>
      <c r="O12990" s="5"/>
      <c r="P12990" s="5"/>
      <c r="Q12990" s="5"/>
      <c r="R12990" s="5"/>
      <c r="S12990" s="5"/>
      <c r="T12990" s="5"/>
      <c r="U12990" s="5"/>
      <c r="V12990" s="5"/>
      <c r="W12990" s="5"/>
      <c r="X12990" s="5"/>
      <c r="Y12990" s="5"/>
      <c r="Z12990" s="5"/>
    </row>
    <row r="12991" spans="1:26" ht="15" x14ac:dyDescent="0.25">
      <c r="A12991" s="4" t="s">
        <v>12988</v>
      </c>
      <c r="B12991" s="4" t="s">
        <v>9011</v>
      </c>
      <c r="C12991" s="2" t="str">
        <f ca="1">IFERROR(__xludf.DUMMYFUNCTION("GOOGLETRANSLATE(A12991,""bn"",""en"")"),"There will be new improvements in design")</f>
        <v>There will be new improvements in design</v>
      </c>
      <c r="D12991" s="5"/>
      <c r="E12991" s="5"/>
      <c r="F12991" s="5"/>
      <c r="G12991" s="5"/>
      <c r="H12991" s="5"/>
      <c r="I12991" s="5"/>
      <c r="J12991" s="5"/>
      <c r="K12991" s="5"/>
      <c r="L12991" s="5"/>
      <c r="M12991" s="5"/>
      <c r="N12991" s="5"/>
      <c r="O12991" s="5"/>
      <c r="P12991" s="5"/>
      <c r="Q12991" s="5"/>
      <c r="R12991" s="5"/>
      <c r="S12991" s="5"/>
      <c r="T12991" s="5"/>
      <c r="U12991" s="5"/>
      <c r="V12991" s="5"/>
      <c r="W12991" s="5"/>
      <c r="X12991" s="5"/>
      <c r="Y12991" s="5"/>
      <c r="Z12991" s="5"/>
    </row>
    <row r="12992" spans="1:26" ht="15" x14ac:dyDescent="0.25">
      <c r="A12992" s="4" t="s">
        <v>12989</v>
      </c>
      <c r="B12992" s="4" t="s">
        <v>9011</v>
      </c>
      <c r="C12992" s="2" t="str">
        <f ca="1">IFERROR(__xludf.DUMMYFUNCTION("GOOGLETRANSLATE(A12992,""bn"",""en"")"),"He will use biometrics")</f>
        <v>He will use biometrics</v>
      </c>
      <c r="D12992" s="5"/>
      <c r="E12992" s="5"/>
      <c r="F12992" s="5"/>
      <c r="G12992" s="5"/>
      <c r="H12992" s="5"/>
      <c r="I12992" s="5"/>
      <c r="J12992" s="5"/>
      <c r="K12992" s="5"/>
      <c r="L12992" s="5"/>
      <c r="M12992" s="5"/>
      <c r="N12992" s="5"/>
      <c r="O12992" s="5"/>
      <c r="P12992" s="5"/>
      <c r="Q12992" s="5"/>
      <c r="R12992" s="5"/>
      <c r="S12992" s="5"/>
      <c r="T12992" s="5"/>
      <c r="U12992" s="5"/>
      <c r="V12992" s="5"/>
      <c r="W12992" s="5"/>
      <c r="X12992" s="5"/>
      <c r="Y12992" s="5"/>
      <c r="Z12992" s="5"/>
    </row>
    <row r="12993" spans="1:26" ht="15" x14ac:dyDescent="0.25">
      <c r="A12993" s="4" t="s">
        <v>12990</v>
      </c>
      <c r="B12993" s="4" t="s">
        <v>9011</v>
      </c>
      <c r="C12993" s="2" t="str">
        <f ca="1">IFERROR(__xludf.DUMMYFUNCTION("GOOGLETRANSLATE(A12993,""bn"",""en"")"),"Rice will be harvested now")</f>
        <v>Rice will be harvested now</v>
      </c>
      <c r="D12993" s="5"/>
      <c r="E12993" s="5"/>
      <c r="F12993" s="5"/>
      <c r="G12993" s="5"/>
      <c r="H12993" s="5"/>
      <c r="I12993" s="5"/>
      <c r="J12993" s="5"/>
      <c r="K12993" s="5"/>
      <c r="L12993" s="5"/>
      <c r="M12993" s="5"/>
      <c r="N12993" s="5"/>
      <c r="O12993" s="5"/>
      <c r="P12993" s="5"/>
      <c r="Q12993" s="5"/>
      <c r="R12993" s="5"/>
      <c r="S12993" s="5"/>
      <c r="T12993" s="5"/>
      <c r="U12993" s="5"/>
      <c r="V12993" s="5"/>
      <c r="W12993" s="5"/>
      <c r="X12993" s="5"/>
      <c r="Y12993" s="5"/>
      <c r="Z12993" s="5"/>
    </row>
    <row r="12994" spans="1:26" ht="15" x14ac:dyDescent="0.25">
      <c r="A12994" s="4" t="s">
        <v>12991</v>
      </c>
      <c r="B12994" s="4" t="s">
        <v>9011</v>
      </c>
      <c r="C12994" s="2" t="str">
        <f ca="1">IFERROR(__xludf.DUMMYFUNCTION("GOOGLETRANSLATE(A12994,""bn"",""en"")"),"I will sit in the restaurant to eat")</f>
        <v>I will sit in the restaurant to eat</v>
      </c>
      <c r="D12994" s="5"/>
      <c r="E12994" s="5"/>
      <c r="F12994" s="5"/>
      <c r="G12994" s="5"/>
      <c r="H12994" s="5"/>
      <c r="I12994" s="5"/>
      <c r="J12994" s="5"/>
      <c r="K12994" s="5"/>
      <c r="L12994" s="5"/>
      <c r="M12994" s="5"/>
      <c r="N12994" s="5"/>
      <c r="O12994" s="5"/>
      <c r="P12994" s="5"/>
      <c r="Q12994" s="5"/>
      <c r="R12994" s="5"/>
      <c r="S12994" s="5"/>
      <c r="T12994" s="5"/>
      <c r="U12994" s="5"/>
      <c r="V12994" s="5"/>
      <c r="W12994" s="5"/>
      <c r="X12994" s="5"/>
      <c r="Y12994" s="5"/>
      <c r="Z12994" s="5"/>
    </row>
    <row r="12995" spans="1:26" ht="15" x14ac:dyDescent="0.25">
      <c r="A12995" s="4" t="s">
        <v>12992</v>
      </c>
      <c r="B12995" s="4" t="s">
        <v>9011</v>
      </c>
      <c r="C12995" s="2" t="str">
        <f ca="1">IFERROR(__xludf.DUMMYFUNCTION("GOOGLETRANSLATE(A12995,""bn"",""en"")"),"I will learn New Economy tomorrow")</f>
        <v>I will learn New Economy tomorrow</v>
      </c>
      <c r="D12995" s="5"/>
      <c r="E12995" s="5"/>
      <c r="F12995" s="5"/>
      <c r="G12995" s="5"/>
      <c r="H12995" s="5"/>
      <c r="I12995" s="5"/>
      <c r="J12995" s="5"/>
      <c r="K12995" s="5"/>
      <c r="L12995" s="5"/>
      <c r="M12995" s="5"/>
      <c r="N12995" s="5"/>
      <c r="O12995" s="5"/>
      <c r="P12995" s="5"/>
      <c r="Q12995" s="5"/>
      <c r="R12995" s="5"/>
      <c r="S12995" s="5"/>
      <c r="T12995" s="5"/>
      <c r="U12995" s="5"/>
      <c r="V12995" s="5"/>
      <c r="W12995" s="5"/>
      <c r="X12995" s="5"/>
      <c r="Y12995" s="5"/>
      <c r="Z12995" s="5"/>
    </row>
    <row r="12996" spans="1:26" ht="15" x14ac:dyDescent="0.25">
      <c r="A12996" s="4" t="s">
        <v>12993</v>
      </c>
      <c r="B12996" s="4" t="s">
        <v>9011</v>
      </c>
      <c r="C12996" s="2" t="str">
        <f ca="1">IFERROR(__xludf.DUMMYFUNCTION("GOOGLETRANSLATE(A12996,""bn"",""en"")"),"You will open a YouTube channel")</f>
        <v>You will open a YouTube channel</v>
      </c>
      <c r="D12996" s="5"/>
      <c r="E12996" s="5"/>
      <c r="F12996" s="5"/>
      <c r="G12996" s="5"/>
      <c r="H12996" s="5"/>
      <c r="I12996" s="5"/>
      <c r="J12996" s="5"/>
      <c r="K12996" s="5"/>
      <c r="L12996" s="5"/>
      <c r="M12996" s="5"/>
      <c r="N12996" s="5"/>
      <c r="O12996" s="5"/>
      <c r="P12996" s="5"/>
      <c r="Q12996" s="5"/>
      <c r="R12996" s="5"/>
      <c r="S12996" s="5"/>
      <c r="T12996" s="5"/>
      <c r="U12996" s="5"/>
      <c r="V12996" s="5"/>
      <c r="W12996" s="5"/>
      <c r="X12996" s="5"/>
      <c r="Y12996" s="5"/>
      <c r="Z12996" s="5"/>
    </row>
    <row r="12997" spans="1:26" ht="15" x14ac:dyDescent="0.25">
      <c r="A12997" s="4" t="s">
        <v>12994</v>
      </c>
      <c r="B12997" s="4" t="s">
        <v>9011</v>
      </c>
      <c r="C12997" s="2" t="str">
        <f ca="1">IFERROR(__xludf.DUMMYFUNCTION("GOOGLETRANSLATE(A12997,""bn"",""en"")"),"I will study at night for preparation")</f>
        <v>I will study at night for preparation</v>
      </c>
      <c r="D12997" s="5"/>
      <c r="E12997" s="5"/>
      <c r="F12997" s="5"/>
      <c r="G12997" s="5"/>
      <c r="H12997" s="5"/>
      <c r="I12997" s="5"/>
      <c r="J12997" s="5"/>
      <c r="K12997" s="5"/>
      <c r="L12997" s="5"/>
      <c r="M12997" s="5"/>
      <c r="N12997" s="5"/>
      <c r="O12997" s="5"/>
      <c r="P12997" s="5"/>
      <c r="Q12997" s="5"/>
      <c r="R12997" s="5"/>
      <c r="S12997" s="5"/>
      <c r="T12997" s="5"/>
      <c r="U12997" s="5"/>
      <c r="V12997" s="5"/>
      <c r="W12997" s="5"/>
      <c r="X12997" s="5"/>
      <c r="Y12997" s="5"/>
      <c r="Z12997" s="5"/>
    </row>
    <row r="12998" spans="1:26" ht="15" x14ac:dyDescent="0.25">
      <c r="A12998" s="4" t="s">
        <v>12995</v>
      </c>
      <c r="B12998" s="4" t="s">
        <v>9011</v>
      </c>
      <c r="C12998" s="2" t="str">
        <f ca="1">IFERROR(__xludf.DUMMYFUNCTION("GOOGLETRANSLATE(A12998,""bn"",""en"")"),"I will take the idea of ​​poetry")</f>
        <v>I will take the idea of ​​poetry</v>
      </c>
      <c r="D12998" s="5"/>
      <c r="E12998" s="5"/>
      <c r="F12998" s="5"/>
      <c r="G12998" s="5"/>
      <c r="H12998" s="5"/>
      <c r="I12998" s="5"/>
      <c r="J12998" s="5"/>
      <c r="K12998" s="5"/>
      <c r="L12998" s="5"/>
      <c r="M12998" s="5"/>
      <c r="N12998" s="5"/>
      <c r="O12998" s="5"/>
      <c r="P12998" s="5"/>
      <c r="Q12998" s="5"/>
      <c r="R12998" s="5"/>
      <c r="S12998" s="5"/>
      <c r="T12998" s="5"/>
      <c r="U12998" s="5"/>
      <c r="V12998" s="5"/>
      <c r="W12998" s="5"/>
      <c r="X12998" s="5"/>
      <c r="Y12998" s="5"/>
      <c r="Z12998" s="5"/>
    </row>
    <row r="12999" spans="1:26" ht="15" x14ac:dyDescent="0.25">
      <c r="A12999" s="4" t="s">
        <v>12996</v>
      </c>
      <c r="B12999" s="4" t="s">
        <v>9011</v>
      </c>
      <c r="C12999" s="2" t="str">
        <f ca="1">IFERROR(__xludf.DUMMYFUNCTION("GOOGLETRANSLATE(A12999,""bn"",""en"")"),"I will increase the standard of competition")</f>
        <v>I will increase the standard of competition</v>
      </c>
      <c r="D12999" s="5"/>
      <c r="E12999" s="5"/>
      <c r="F12999" s="5"/>
      <c r="G12999" s="5"/>
      <c r="H12999" s="5"/>
      <c r="I12999" s="5"/>
      <c r="J12999" s="5"/>
      <c r="K12999" s="5"/>
      <c r="L12999" s="5"/>
      <c r="M12999" s="5"/>
      <c r="N12999" s="5"/>
      <c r="O12999" s="5"/>
      <c r="P12999" s="5"/>
      <c r="Q12999" s="5"/>
      <c r="R12999" s="5"/>
      <c r="S12999" s="5"/>
      <c r="T12999" s="5"/>
      <c r="U12999" s="5"/>
      <c r="V12999" s="5"/>
      <c r="W12999" s="5"/>
      <c r="X12999" s="5"/>
      <c r="Y12999" s="5"/>
      <c r="Z12999" s="5"/>
    </row>
    <row r="13000" spans="1:26" ht="15" x14ac:dyDescent="0.25">
      <c r="A13000" s="4" t="s">
        <v>12997</v>
      </c>
      <c r="B13000" s="4" t="s">
        <v>9011</v>
      </c>
      <c r="C13000" s="2" t="str">
        <f ca="1">IFERROR(__xludf.DUMMYFUNCTION("GOOGLETRANSLATE(A13000,""bn"",""en"")"),"Constitutional principles will abound")</f>
        <v>Constitutional principles will abound</v>
      </c>
      <c r="D13000" s="5"/>
      <c r="E13000" s="5"/>
      <c r="F13000" s="5"/>
      <c r="G13000" s="5"/>
      <c r="H13000" s="5"/>
      <c r="I13000" s="5"/>
      <c r="J13000" s="5"/>
      <c r="K13000" s="5"/>
      <c r="L13000" s="5"/>
      <c r="M13000" s="5"/>
      <c r="N13000" s="5"/>
      <c r="O13000" s="5"/>
      <c r="P13000" s="5"/>
      <c r="Q13000" s="5"/>
      <c r="R13000" s="5"/>
      <c r="S13000" s="5"/>
      <c r="T13000" s="5"/>
      <c r="U13000" s="5"/>
      <c r="V13000" s="5"/>
      <c r="W13000" s="5"/>
      <c r="X13000" s="5"/>
      <c r="Y13000" s="5"/>
      <c r="Z13000" s="5"/>
    </row>
    <row r="13001" spans="1:26" ht="15" x14ac:dyDescent="0.25">
      <c r="A13001" s="4" t="s">
        <v>12998</v>
      </c>
      <c r="B13001" s="4" t="s">
        <v>9011</v>
      </c>
      <c r="C13001" s="2" t="str">
        <f ca="1">IFERROR(__xludf.DUMMYFUNCTION("GOOGLETRANSLATE(A13001,""bn"",""en"")"),"Secondary friends will be many")</f>
        <v>Secondary friends will be many</v>
      </c>
      <c r="D13001" s="5"/>
      <c r="E13001" s="5"/>
      <c r="F13001" s="5"/>
      <c r="G13001" s="5"/>
      <c r="H13001" s="5"/>
      <c r="I13001" s="5"/>
      <c r="J13001" s="5"/>
      <c r="K13001" s="5"/>
      <c r="L13001" s="5"/>
      <c r="M13001" s="5"/>
      <c r="N13001" s="5"/>
      <c r="O13001" s="5"/>
      <c r="P13001" s="5"/>
      <c r="Q13001" s="5"/>
      <c r="R13001" s="5"/>
      <c r="S13001" s="5"/>
      <c r="T13001" s="5"/>
      <c r="U13001" s="5"/>
      <c r="V13001" s="5"/>
      <c r="W13001" s="5"/>
      <c r="X13001" s="5"/>
      <c r="Y13001" s="5"/>
      <c r="Z13001" s="5"/>
    </row>
    <row r="13002" spans="1:26" ht="15" x14ac:dyDescent="0.25">
      <c r="A13002" s="4" t="s">
        <v>12999</v>
      </c>
      <c r="B13002" s="4" t="s">
        <v>9011</v>
      </c>
      <c r="C13002" s="2" t="str">
        <f ca="1">IFERROR(__xludf.DUMMYFUNCTION("GOOGLETRANSLATE(A13002,""bn"",""en"")"),"He will watch motorcycle racing")</f>
        <v>He will watch motorcycle racing</v>
      </c>
      <c r="D13002" s="5"/>
      <c r="E13002" s="5"/>
      <c r="F13002" s="5"/>
      <c r="G13002" s="5"/>
      <c r="H13002" s="5"/>
      <c r="I13002" s="5"/>
      <c r="J13002" s="5"/>
      <c r="K13002" s="5"/>
      <c r="L13002" s="5"/>
      <c r="M13002" s="5"/>
      <c r="N13002" s="5"/>
      <c r="O13002" s="5"/>
      <c r="P13002" s="5"/>
      <c r="Q13002" s="5"/>
      <c r="R13002" s="5"/>
      <c r="S13002" s="5"/>
      <c r="T13002" s="5"/>
      <c r="U13002" s="5"/>
      <c r="V13002" s="5"/>
      <c r="W13002" s="5"/>
      <c r="X13002" s="5"/>
      <c r="Y13002" s="5"/>
      <c r="Z13002" s="5"/>
    </row>
    <row r="13003" spans="1:26" ht="15" x14ac:dyDescent="0.25">
      <c r="A13003" s="4" t="s">
        <v>13000</v>
      </c>
      <c r="B13003" s="4" t="s">
        <v>9011</v>
      </c>
      <c r="C13003" s="2" t="str">
        <f ca="1">IFERROR(__xludf.DUMMYFUNCTION("GOOGLETRANSLATE(A13003,""bn"",""en"")"),"He will be a teacher in the campus")</f>
        <v>He will be a teacher in the campus</v>
      </c>
      <c r="D13003" s="5"/>
      <c r="E13003" s="5"/>
      <c r="F13003" s="5"/>
      <c r="G13003" s="5"/>
      <c r="H13003" s="5"/>
      <c r="I13003" s="5"/>
      <c r="J13003" s="5"/>
      <c r="K13003" s="5"/>
      <c r="L13003" s="5"/>
      <c r="M13003" s="5"/>
      <c r="N13003" s="5"/>
      <c r="O13003" s="5"/>
      <c r="P13003" s="5"/>
      <c r="Q13003" s="5"/>
      <c r="R13003" s="5"/>
      <c r="S13003" s="5"/>
      <c r="T13003" s="5"/>
      <c r="U13003" s="5"/>
      <c r="V13003" s="5"/>
      <c r="W13003" s="5"/>
      <c r="X13003" s="5"/>
      <c r="Y13003" s="5"/>
      <c r="Z13003" s="5"/>
    </row>
    <row r="13004" spans="1:26" ht="15" x14ac:dyDescent="0.25">
      <c r="A13004" s="4" t="s">
        <v>13001</v>
      </c>
      <c r="B13004" s="4" t="s">
        <v>9011</v>
      </c>
      <c r="C13004" s="2" t="str">
        <f ca="1">IFERROR(__xludf.DUMMYFUNCTION("GOOGLETRANSLATE(A13004,""bn"",""en"")"),"I will send the money to PayPal quickly")</f>
        <v>I will send the money to PayPal quickly</v>
      </c>
      <c r="D13004" s="5"/>
      <c r="E13004" s="5"/>
      <c r="F13004" s="5"/>
      <c r="G13004" s="5"/>
      <c r="H13004" s="5"/>
      <c r="I13004" s="5"/>
      <c r="J13004" s="5"/>
      <c r="K13004" s="5"/>
      <c r="L13004" s="5"/>
      <c r="M13004" s="5"/>
      <c r="N13004" s="5"/>
      <c r="O13004" s="5"/>
      <c r="P13004" s="5"/>
      <c r="Q13004" s="5"/>
      <c r="R13004" s="5"/>
      <c r="S13004" s="5"/>
      <c r="T13004" s="5"/>
      <c r="U13004" s="5"/>
      <c r="V13004" s="5"/>
      <c r="W13004" s="5"/>
      <c r="X13004" s="5"/>
      <c r="Y13004" s="5"/>
      <c r="Z13004" s="5"/>
    </row>
    <row r="13005" spans="1:26" ht="15" x14ac:dyDescent="0.25">
      <c r="A13005" s="4" t="s">
        <v>13002</v>
      </c>
      <c r="B13005" s="4" t="s">
        <v>9011</v>
      </c>
      <c r="C13005" s="2" t="str">
        <f ca="1">IFERROR(__xludf.DUMMYFUNCTION("GOOGLETRANSLATE(A13005,""bn"",""en"")"),"The game will be developed by the developer")</f>
        <v>The game will be developed by the developer</v>
      </c>
      <c r="D13005" s="5"/>
      <c r="E13005" s="5"/>
      <c r="F13005" s="5"/>
      <c r="G13005" s="5"/>
      <c r="H13005" s="5"/>
      <c r="I13005" s="5"/>
      <c r="J13005" s="5"/>
      <c r="K13005" s="5"/>
      <c r="L13005" s="5"/>
      <c r="M13005" s="5"/>
      <c r="N13005" s="5"/>
      <c r="O13005" s="5"/>
      <c r="P13005" s="5"/>
      <c r="Q13005" s="5"/>
      <c r="R13005" s="5"/>
      <c r="S13005" s="5"/>
      <c r="T13005" s="5"/>
      <c r="U13005" s="5"/>
      <c r="V13005" s="5"/>
      <c r="W13005" s="5"/>
      <c r="X13005" s="5"/>
      <c r="Y13005" s="5"/>
      <c r="Z13005" s="5"/>
    </row>
    <row r="13006" spans="1:26" ht="15" x14ac:dyDescent="0.25">
      <c r="A13006" s="4" t="s">
        <v>13003</v>
      </c>
      <c r="B13006" s="4" t="s">
        <v>9011</v>
      </c>
      <c r="C13006" s="2" t="str">
        <f ca="1">IFERROR(__xludf.DUMMYFUNCTION("GOOGLETRANSLATE(A13006,""bn"",""en"")"),"New curriculum will be introduced")</f>
        <v>New curriculum will be introduced</v>
      </c>
      <c r="D13006" s="5"/>
      <c r="E13006" s="5"/>
      <c r="F13006" s="5"/>
      <c r="G13006" s="5"/>
      <c r="H13006" s="5"/>
      <c r="I13006" s="5"/>
      <c r="J13006" s="5"/>
      <c r="K13006" s="5"/>
      <c r="L13006" s="5"/>
      <c r="M13006" s="5"/>
      <c r="N13006" s="5"/>
      <c r="O13006" s="5"/>
      <c r="P13006" s="5"/>
      <c r="Q13006" s="5"/>
      <c r="R13006" s="5"/>
      <c r="S13006" s="5"/>
      <c r="T13006" s="5"/>
      <c r="U13006" s="5"/>
      <c r="V13006" s="5"/>
      <c r="W13006" s="5"/>
      <c r="X13006" s="5"/>
      <c r="Y13006" s="5"/>
      <c r="Z13006" s="5"/>
    </row>
    <row r="13007" spans="1:26" ht="15" x14ac:dyDescent="0.25">
      <c r="A13007" s="4" t="s">
        <v>13004</v>
      </c>
      <c r="B13007" s="4" t="s">
        <v>9011</v>
      </c>
      <c r="C13007" s="2" t="str">
        <f ca="1">IFERROR(__xludf.DUMMYFUNCTION("GOOGLETRANSLATE(A13007,""bn"",""en"")"),"They will play as a team")</f>
        <v>They will play as a team</v>
      </c>
      <c r="D13007" s="5"/>
      <c r="E13007" s="5"/>
      <c r="F13007" s="5"/>
      <c r="G13007" s="5"/>
      <c r="H13007" s="5"/>
      <c r="I13007" s="5"/>
      <c r="J13007" s="5"/>
      <c r="K13007" s="5"/>
      <c r="L13007" s="5"/>
      <c r="M13007" s="5"/>
      <c r="N13007" s="5"/>
      <c r="O13007" s="5"/>
      <c r="P13007" s="5"/>
      <c r="Q13007" s="5"/>
      <c r="R13007" s="5"/>
      <c r="S13007" s="5"/>
      <c r="T13007" s="5"/>
      <c r="U13007" s="5"/>
      <c r="V13007" s="5"/>
      <c r="W13007" s="5"/>
      <c r="X13007" s="5"/>
      <c r="Y13007" s="5"/>
      <c r="Z13007" s="5"/>
    </row>
    <row r="13008" spans="1:26" ht="15" x14ac:dyDescent="0.25">
      <c r="A13008" s="4" t="s">
        <v>13005</v>
      </c>
      <c r="B13008" s="4" t="s">
        <v>9011</v>
      </c>
      <c r="C13008" s="2" t="str">
        <f ca="1">IFERROR(__xludf.DUMMYFUNCTION("GOOGLETRANSLATE(A13008,""bn"",""en"")"),"The movie will be nominated for an Oscar")</f>
        <v>The movie will be nominated for an Oscar</v>
      </c>
      <c r="D13008" s="5"/>
      <c r="E13008" s="5"/>
      <c r="F13008" s="5"/>
      <c r="G13008" s="5"/>
      <c r="H13008" s="5"/>
      <c r="I13008" s="5"/>
      <c r="J13008" s="5"/>
      <c r="K13008" s="5"/>
      <c r="L13008" s="5"/>
      <c r="M13008" s="5"/>
      <c r="N13008" s="5"/>
      <c r="O13008" s="5"/>
      <c r="P13008" s="5"/>
      <c r="Q13008" s="5"/>
      <c r="R13008" s="5"/>
      <c r="S13008" s="5"/>
      <c r="T13008" s="5"/>
      <c r="U13008" s="5"/>
      <c r="V13008" s="5"/>
      <c r="W13008" s="5"/>
      <c r="X13008" s="5"/>
      <c r="Y13008" s="5"/>
      <c r="Z13008" s="5"/>
    </row>
    <row r="13009" spans="1:26" ht="15" x14ac:dyDescent="0.25">
      <c r="A13009" s="4" t="s">
        <v>13006</v>
      </c>
      <c r="B13009" s="4" t="s">
        <v>9011</v>
      </c>
      <c r="C13009" s="2" t="str">
        <f ca="1">IFERROR(__xludf.DUMMYFUNCTION("GOOGLETRANSLATE(A13009,""bn"",""en"")"),"Robots will take care of health")</f>
        <v>Robots will take care of health</v>
      </c>
      <c r="D13009" s="5"/>
      <c r="E13009" s="5"/>
      <c r="F13009" s="5"/>
      <c r="G13009" s="5"/>
      <c r="H13009" s="5"/>
      <c r="I13009" s="5"/>
      <c r="J13009" s="5"/>
      <c r="K13009" s="5"/>
      <c r="L13009" s="5"/>
      <c r="M13009" s="5"/>
      <c r="N13009" s="5"/>
      <c r="O13009" s="5"/>
      <c r="P13009" s="5"/>
      <c r="Q13009" s="5"/>
      <c r="R13009" s="5"/>
      <c r="S13009" s="5"/>
      <c r="T13009" s="5"/>
      <c r="U13009" s="5"/>
      <c r="V13009" s="5"/>
      <c r="W13009" s="5"/>
      <c r="X13009" s="5"/>
      <c r="Y13009" s="5"/>
      <c r="Z13009" s="5"/>
    </row>
    <row r="13010" spans="1:26" ht="15" x14ac:dyDescent="0.25">
      <c r="A13010" s="4" t="s">
        <v>13007</v>
      </c>
      <c r="B13010" s="4" t="s">
        <v>9011</v>
      </c>
      <c r="C13010" s="2" t="str">
        <f ca="1">IFERROR(__xludf.DUMMYFUNCTION("GOOGLETRANSLATE(A13010,""bn"",""en"")"),"Resistance against germs will increase")</f>
        <v>Resistance against germs will increase</v>
      </c>
      <c r="D13010" s="5"/>
      <c r="E13010" s="5"/>
      <c r="F13010" s="5"/>
      <c r="G13010" s="5"/>
      <c r="H13010" s="5"/>
      <c r="I13010" s="5"/>
      <c r="J13010" s="5"/>
      <c r="K13010" s="5"/>
      <c r="L13010" s="5"/>
      <c r="M13010" s="5"/>
      <c r="N13010" s="5"/>
      <c r="O13010" s="5"/>
      <c r="P13010" s="5"/>
      <c r="Q13010" s="5"/>
      <c r="R13010" s="5"/>
      <c r="S13010" s="5"/>
      <c r="T13010" s="5"/>
      <c r="U13010" s="5"/>
      <c r="V13010" s="5"/>
      <c r="W13010" s="5"/>
      <c r="X13010" s="5"/>
      <c r="Y13010" s="5"/>
      <c r="Z13010" s="5"/>
    </row>
    <row r="13011" spans="1:26" ht="15" x14ac:dyDescent="0.25">
      <c r="A13011" s="4" t="s">
        <v>13008</v>
      </c>
      <c r="B13011" s="4" t="s">
        <v>9011</v>
      </c>
      <c r="C13011" s="2" t="str">
        <f ca="1">IFERROR(__xludf.DUMMYFUNCTION("GOOGLETRANSLATE(A13011,""bn"",""en"")"),"Robots will disrupt the situation")</f>
        <v>Robots will disrupt the situation</v>
      </c>
      <c r="D13011" s="5"/>
      <c r="E13011" s="5"/>
      <c r="F13011" s="5"/>
      <c r="G13011" s="5"/>
      <c r="H13011" s="5"/>
      <c r="I13011" s="5"/>
      <c r="J13011" s="5"/>
      <c r="K13011" s="5"/>
      <c r="L13011" s="5"/>
      <c r="M13011" s="5"/>
      <c r="N13011" s="5"/>
      <c r="O13011" s="5"/>
      <c r="P13011" s="5"/>
      <c r="Q13011" s="5"/>
      <c r="R13011" s="5"/>
      <c r="S13011" s="5"/>
      <c r="T13011" s="5"/>
      <c r="U13011" s="5"/>
      <c r="V13011" s="5"/>
      <c r="W13011" s="5"/>
      <c r="X13011" s="5"/>
      <c r="Y13011" s="5"/>
      <c r="Z13011" s="5"/>
    </row>
    <row r="13012" spans="1:26" ht="15" x14ac:dyDescent="0.25">
      <c r="A13012" s="4" t="s">
        <v>13009</v>
      </c>
      <c r="B13012" s="4" t="s">
        <v>9011</v>
      </c>
      <c r="C13012" s="2" t="str">
        <f ca="1">IFERROR(__xludf.DUMMYFUNCTION("GOOGLETRANSLATE(A13012,""bn"",""en"")"),"Google will be the best search engine")</f>
        <v>Google will be the best search engine</v>
      </c>
      <c r="D13012" s="5"/>
      <c r="E13012" s="5"/>
      <c r="F13012" s="5"/>
      <c r="G13012" s="5"/>
      <c r="H13012" s="5"/>
      <c r="I13012" s="5"/>
      <c r="J13012" s="5"/>
      <c r="K13012" s="5"/>
      <c r="L13012" s="5"/>
      <c r="M13012" s="5"/>
      <c r="N13012" s="5"/>
      <c r="O13012" s="5"/>
      <c r="P13012" s="5"/>
      <c r="Q13012" s="5"/>
      <c r="R13012" s="5"/>
      <c r="S13012" s="5"/>
      <c r="T13012" s="5"/>
      <c r="U13012" s="5"/>
      <c r="V13012" s="5"/>
      <c r="W13012" s="5"/>
      <c r="X13012" s="5"/>
      <c r="Y13012" s="5"/>
      <c r="Z13012" s="5"/>
    </row>
    <row r="13013" spans="1:26" ht="15" x14ac:dyDescent="0.25">
      <c r="A13013" s="4" t="s">
        <v>13010</v>
      </c>
      <c r="B13013" s="4" t="s">
        <v>9011</v>
      </c>
      <c r="C13013" s="2" t="str">
        <f ca="1">IFERROR(__xludf.DUMMYFUNCTION("GOOGLETRANSLATE(A13013,""bn"",""en"")"),"You will exercise every day")</f>
        <v>You will exercise every day</v>
      </c>
      <c r="D13013" s="5"/>
      <c r="E13013" s="5"/>
      <c r="F13013" s="5"/>
      <c r="G13013" s="5"/>
      <c r="H13013" s="5"/>
      <c r="I13013" s="5"/>
      <c r="J13013" s="5"/>
      <c r="K13013" s="5"/>
      <c r="L13013" s="5"/>
      <c r="M13013" s="5"/>
      <c r="N13013" s="5"/>
      <c r="O13013" s="5"/>
      <c r="P13013" s="5"/>
      <c r="Q13013" s="5"/>
      <c r="R13013" s="5"/>
      <c r="S13013" s="5"/>
      <c r="T13013" s="5"/>
      <c r="U13013" s="5"/>
      <c r="V13013" s="5"/>
      <c r="W13013" s="5"/>
      <c r="X13013" s="5"/>
      <c r="Y13013" s="5"/>
      <c r="Z13013" s="5"/>
    </row>
    <row r="13014" spans="1:26" ht="15" x14ac:dyDescent="0.25">
      <c r="A13014" s="4" t="s">
        <v>13011</v>
      </c>
      <c r="B13014" s="4" t="s">
        <v>9011</v>
      </c>
      <c r="C13014" s="2" t="str">
        <f ca="1">IFERROR(__xludf.DUMMYFUNCTION("GOOGLETRANSLATE(A13014,""bn"",""en"")"),"The people will stand by the soldiers")</f>
        <v>The people will stand by the soldiers</v>
      </c>
      <c r="D13014" s="5"/>
      <c r="E13014" s="5"/>
      <c r="F13014" s="5"/>
      <c r="G13014" s="5"/>
      <c r="H13014" s="5"/>
      <c r="I13014" s="5"/>
      <c r="J13014" s="5"/>
      <c r="K13014" s="5"/>
      <c r="L13014" s="5"/>
      <c r="M13014" s="5"/>
      <c r="N13014" s="5"/>
      <c r="O13014" s="5"/>
      <c r="P13014" s="5"/>
      <c r="Q13014" s="5"/>
      <c r="R13014" s="5"/>
      <c r="S13014" s="5"/>
      <c r="T13014" s="5"/>
      <c r="U13014" s="5"/>
      <c r="V13014" s="5"/>
      <c r="W13014" s="5"/>
      <c r="X13014" s="5"/>
      <c r="Y13014" s="5"/>
      <c r="Z13014" s="5"/>
    </row>
    <row r="13015" spans="1:26" ht="15" x14ac:dyDescent="0.25">
      <c r="A13015" s="4" t="s">
        <v>13012</v>
      </c>
      <c r="B13015" s="4" t="s">
        <v>9011</v>
      </c>
      <c r="C13015" s="2" t="str">
        <f ca="1">IFERROR(__xludf.DUMMYFUNCTION("GOOGLETRANSLATE(A13015,""bn"",""en"")"),"People will start angry marches")</f>
        <v>People will start angry marches</v>
      </c>
      <c r="D13015" s="5"/>
      <c r="E13015" s="5"/>
      <c r="F13015" s="5"/>
      <c r="G13015" s="5"/>
      <c r="H13015" s="5"/>
      <c r="I13015" s="5"/>
      <c r="J13015" s="5"/>
      <c r="K13015" s="5"/>
      <c r="L13015" s="5"/>
      <c r="M13015" s="5"/>
      <c r="N13015" s="5"/>
      <c r="O13015" s="5"/>
      <c r="P13015" s="5"/>
      <c r="Q13015" s="5"/>
      <c r="R13015" s="5"/>
      <c r="S13015" s="5"/>
      <c r="T13015" s="5"/>
      <c r="U13015" s="5"/>
      <c r="V13015" s="5"/>
      <c r="W13015" s="5"/>
      <c r="X13015" s="5"/>
      <c r="Y13015" s="5"/>
      <c r="Z13015" s="5"/>
    </row>
    <row r="13016" spans="1:26" ht="15" x14ac:dyDescent="0.25">
      <c r="A13016" s="4" t="s">
        <v>13013</v>
      </c>
      <c r="B13016" s="4" t="s">
        <v>9011</v>
      </c>
      <c r="C13016" s="2" t="str">
        <f ca="1">IFERROR(__xludf.DUMMYFUNCTION("GOOGLETRANSLATE(A13016,""bn"",""en"")"),"The economy will continue to improve")</f>
        <v>The economy will continue to improve</v>
      </c>
      <c r="D13016" s="5"/>
      <c r="E13016" s="5"/>
      <c r="F13016" s="5"/>
      <c r="G13016" s="5"/>
      <c r="H13016" s="5"/>
      <c r="I13016" s="5"/>
      <c r="J13016" s="5"/>
      <c r="K13016" s="5"/>
      <c r="L13016" s="5"/>
      <c r="M13016" s="5"/>
      <c r="N13016" s="5"/>
      <c r="O13016" s="5"/>
      <c r="P13016" s="5"/>
      <c r="Q13016" s="5"/>
      <c r="R13016" s="5"/>
      <c r="S13016" s="5"/>
      <c r="T13016" s="5"/>
      <c r="U13016" s="5"/>
      <c r="V13016" s="5"/>
      <c r="W13016" s="5"/>
      <c r="X13016" s="5"/>
      <c r="Y13016" s="5"/>
      <c r="Z13016" s="5"/>
    </row>
    <row r="13017" spans="1:26" ht="15" x14ac:dyDescent="0.25">
      <c r="A13017" s="4" t="s">
        <v>13014</v>
      </c>
      <c r="B13017" s="4" t="s">
        <v>9011</v>
      </c>
      <c r="C13017" s="2" t="str">
        <f ca="1">IFERROR(__xludf.DUMMYFUNCTION("GOOGLETRANSLATE(A13017,""bn"",""en"")"),"You buy cold coffee")</f>
        <v>You buy cold coffee</v>
      </c>
      <c r="D13017" s="5"/>
      <c r="E13017" s="5"/>
      <c r="F13017" s="5"/>
      <c r="G13017" s="5"/>
      <c r="H13017" s="5"/>
      <c r="I13017" s="5"/>
      <c r="J13017" s="5"/>
      <c r="K13017" s="5"/>
      <c r="L13017" s="5"/>
      <c r="M13017" s="5"/>
      <c r="N13017" s="5"/>
      <c r="O13017" s="5"/>
      <c r="P13017" s="5"/>
      <c r="Q13017" s="5"/>
      <c r="R13017" s="5"/>
      <c r="S13017" s="5"/>
      <c r="T13017" s="5"/>
      <c r="U13017" s="5"/>
      <c r="V13017" s="5"/>
      <c r="W13017" s="5"/>
      <c r="X13017" s="5"/>
      <c r="Y13017" s="5"/>
      <c r="Z13017" s="5"/>
    </row>
    <row r="13018" spans="1:26" ht="15" x14ac:dyDescent="0.25">
      <c r="A13018" s="4" t="s">
        <v>13015</v>
      </c>
      <c r="B13018" s="4" t="s">
        <v>9011</v>
      </c>
      <c r="C13018" s="2" t="str">
        <f ca="1">IFERROR(__xludf.DUMMYFUNCTION("GOOGLETRANSLATE(A13018,""bn"",""en"")"),"Testing will increase software quality")</f>
        <v>Testing will increase software quality</v>
      </c>
      <c r="D13018" s="5"/>
      <c r="E13018" s="5"/>
      <c r="F13018" s="5"/>
      <c r="G13018" s="5"/>
      <c r="H13018" s="5"/>
      <c r="I13018" s="5"/>
      <c r="J13018" s="5"/>
      <c r="K13018" s="5"/>
      <c r="L13018" s="5"/>
      <c r="M13018" s="5"/>
      <c r="N13018" s="5"/>
      <c r="O13018" s="5"/>
      <c r="P13018" s="5"/>
      <c r="Q13018" s="5"/>
      <c r="R13018" s="5"/>
      <c r="S13018" s="5"/>
      <c r="T13018" s="5"/>
      <c r="U13018" s="5"/>
      <c r="V13018" s="5"/>
      <c r="W13018" s="5"/>
      <c r="X13018" s="5"/>
      <c r="Y13018" s="5"/>
      <c r="Z13018" s="5"/>
    </row>
    <row r="13019" spans="1:26" ht="15" x14ac:dyDescent="0.25">
      <c r="A13019" s="4" t="s">
        <v>13016</v>
      </c>
      <c r="B13019" s="4" t="s">
        <v>9011</v>
      </c>
      <c r="C13019" s="2" t="str">
        <f ca="1">IFERROR(__xludf.DUMMYFUNCTION("GOOGLETRANSLATE(A13019,""bn"",""en"")"),"Robots will build relationships in the future")</f>
        <v>Robots will build relationships in the future</v>
      </c>
      <c r="D13019" s="5"/>
      <c r="E13019" s="5"/>
      <c r="F13019" s="5"/>
      <c r="G13019" s="5"/>
      <c r="H13019" s="5"/>
      <c r="I13019" s="5"/>
      <c r="J13019" s="5"/>
      <c r="K13019" s="5"/>
      <c r="L13019" s="5"/>
      <c r="M13019" s="5"/>
      <c r="N13019" s="5"/>
      <c r="O13019" s="5"/>
      <c r="P13019" s="5"/>
      <c r="Q13019" s="5"/>
      <c r="R13019" s="5"/>
      <c r="S13019" s="5"/>
      <c r="T13019" s="5"/>
      <c r="U13019" s="5"/>
      <c r="V13019" s="5"/>
      <c r="W13019" s="5"/>
      <c r="X13019" s="5"/>
      <c r="Y13019" s="5"/>
      <c r="Z13019" s="5"/>
    </row>
    <row r="13020" spans="1:26" ht="15" x14ac:dyDescent="0.25">
      <c r="A13020" s="4" t="s">
        <v>13017</v>
      </c>
      <c r="B13020" s="4" t="s">
        <v>9011</v>
      </c>
      <c r="C13020" s="2" t="str">
        <f ca="1">IFERROR(__xludf.DUMMYFUNCTION("GOOGLETRANSLATE(A13020,""bn"",""en"")"),"Will trade in new variants")</f>
        <v>Will trade in new variants</v>
      </c>
      <c r="D13020" s="5"/>
      <c r="E13020" s="5"/>
      <c r="F13020" s="5"/>
      <c r="G13020" s="5"/>
      <c r="H13020" s="5"/>
      <c r="I13020" s="5"/>
      <c r="J13020" s="5"/>
      <c r="K13020" s="5"/>
      <c r="L13020" s="5"/>
      <c r="M13020" s="5"/>
      <c r="N13020" s="5"/>
      <c r="O13020" s="5"/>
      <c r="P13020" s="5"/>
      <c r="Q13020" s="5"/>
      <c r="R13020" s="5"/>
      <c r="S13020" s="5"/>
      <c r="T13020" s="5"/>
      <c r="U13020" s="5"/>
      <c r="V13020" s="5"/>
      <c r="W13020" s="5"/>
      <c r="X13020" s="5"/>
      <c r="Y13020" s="5"/>
      <c r="Z13020" s="5"/>
    </row>
    <row r="13021" spans="1:26" ht="15" x14ac:dyDescent="0.25">
      <c r="A13021" s="4" t="s">
        <v>13018</v>
      </c>
      <c r="B13021" s="4" t="s">
        <v>9011</v>
      </c>
      <c r="C13021" s="2" t="str">
        <f ca="1">IFERROR(__xludf.DUMMYFUNCTION("GOOGLETRANSLATE(A13021,""bn"",""en"")"),"You will do higher education in the last year")</f>
        <v>You will do higher education in the last year</v>
      </c>
      <c r="D13021" s="5"/>
      <c r="E13021" s="5"/>
      <c r="F13021" s="5"/>
      <c r="G13021" s="5"/>
      <c r="H13021" s="5"/>
      <c r="I13021" s="5"/>
      <c r="J13021" s="5"/>
      <c r="K13021" s="5"/>
      <c r="L13021" s="5"/>
      <c r="M13021" s="5"/>
      <c r="N13021" s="5"/>
      <c r="O13021" s="5"/>
      <c r="P13021" s="5"/>
      <c r="Q13021" s="5"/>
      <c r="R13021" s="5"/>
      <c r="S13021" s="5"/>
      <c r="T13021" s="5"/>
      <c r="U13021" s="5"/>
      <c r="V13021" s="5"/>
      <c r="W13021" s="5"/>
      <c r="X13021" s="5"/>
      <c r="Y13021" s="5"/>
      <c r="Z13021" s="5"/>
    </row>
    <row r="13022" spans="1:26" ht="15" x14ac:dyDescent="0.25">
      <c r="A13022" s="4" t="s">
        <v>13019</v>
      </c>
      <c r="B13022" s="4" t="s">
        <v>9011</v>
      </c>
      <c r="C13022" s="2" t="str">
        <f ca="1">IFERROR(__xludf.DUMMYFUNCTION("GOOGLETRANSLATE(A13022,""bn"",""en"")"),"He will be a skilled programmer")</f>
        <v>He will be a skilled programmer</v>
      </c>
      <c r="D13022" s="5"/>
      <c r="E13022" s="5"/>
      <c r="F13022" s="5"/>
      <c r="G13022" s="5"/>
      <c r="H13022" s="5"/>
      <c r="I13022" s="5"/>
      <c r="J13022" s="5"/>
      <c r="K13022" s="5"/>
      <c r="L13022" s="5"/>
      <c r="M13022" s="5"/>
      <c r="N13022" s="5"/>
      <c r="O13022" s="5"/>
      <c r="P13022" s="5"/>
      <c r="Q13022" s="5"/>
      <c r="R13022" s="5"/>
      <c r="S13022" s="5"/>
      <c r="T13022" s="5"/>
      <c r="U13022" s="5"/>
      <c r="V13022" s="5"/>
      <c r="W13022" s="5"/>
      <c r="X13022" s="5"/>
      <c r="Y13022" s="5"/>
      <c r="Z13022" s="5"/>
    </row>
    <row r="13023" spans="1:26" ht="15" x14ac:dyDescent="0.25">
      <c r="A13023" s="4" t="s">
        <v>13020</v>
      </c>
      <c r="B13023" s="4" t="s">
        <v>9011</v>
      </c>
      <c r="C13023" s="2" t="str">
        <f ca="1">IFERROR(__xludf.DUMMYFUNCTION("GOOGLETRANSLATE(A13023,""bn"",""en"")"),"I will go on a safari in the jungle")</f>
        <v>I will go on a safari in the jungle</v>
      </c>
      <c r="D13023" s="5"/>
      <c r="E13023" s="5"/>
      <c r="F13023" s="5"/>
      <c r="G13023" s="5"/>
      <c r="H13023" s="5"/>
      <c r="I13023" s="5"/>
      <c r="J13023" s="5"/>
      <c r="K13023" s="5"/>
      <c r="L13023" s="5"/>
      <c r="M13023" s="5"/>
      <c r="N13023" s="5"/>
      <c r="O13023" s="5"/>
      <c r="P13023" s="5"/>
      <c r="Q13023" s="5"/>
      <c r="R13023" s="5"/>
      <c r="S13023" s="5"/>
      <c r="T13023" s="5"/>
      <c r="U13023" s="5"/>
      <c r="V13023" s="5"/>
      <c r="W13023" s="5"/>
      <c r="X13023" s="5"/>
      <c r="Y13023" s="5"/>
      <c r="Z13023" s="5"/>
    </row>
    <row r="13024" spans="1:26" ht="15" x14ac:dyDescent="0.25">
      <c r="A13024" s="4" t="s">
        <v>13021</v>
      </c>
      <c r="B13024" s="4" t="s">
        <v>9011</v>
      </c>
      <c r="C13024" s="2" t="str">
        <f ca="1">IFERROR(__xludf.DUMMYFUNCTION("GOOGLETRANSLATE(A13024,""bn"",""en"")"),"The restaurant will be assisted by robots")</f>
        <v>The restaurant will be assisted by robots</v>
      </c>
      <c r="D13024" s="5"/>
      <c r="E13024" s="5"/>
      <c r="F13024" s="5"/>
      <c r="G13024" s="5"/>
      <c r="H13024" s="5"/>
      <c r="I13024" s="5"/>
      <c r="J13024" s="5"/>
      <c r="K13024" s="5"/>
      <c r="L13024" s="5"/>
      <c r="M13024" s="5"/>
      <c r="N13024" s="5"/>
      <c r="O13024" s="5"/>
      <c r="P13024" s="5"/>
      <c r="Q13024" s="5"/>
      <c r="R13024" s="5"/>
      <c r="S13024" s="5"/>
      <c r="T13024" s="5"/>
      <c r="U13024" s="5"/>
      <c r="V13024" s="5"/>
      <c r="W13024" s="5"/>
      <c r="X13024" s="5"/>
      <c r="Y13024" s="5"/>
      <c r="Z13024" s="5"/>
    </row>
    <row r="13025" spans="1:26" ht="15" x14ac:dyDescent="0.25">
      <c r="A13025" s="4" t="s">
        <v>13022</v>
      </c>
      <c r="B13025" s="4" t="s">
        <v>9011</v>
      </c>
      <c r="C13025" s="2" t="str">
        <f ca="1">IFERROR(__xludf.DUMMYFUNCTION("GOOGLETRANSLATE(A13025,""bn"",""en"")"),"Create projects in Python")</f>
        <v>Create projects in Python</v>
      </c>
      <c r="D13025" s="5"/>
      <c r="E13025" s="5"/>
      <c r="F13025" s="5"/>
      <c r="G13025" s="5"/>
      <c r="H13025" s="5"/>
      <c r="I13025" s="5"/>
      <c r="J13025" s="5"/>
      <c r="K13025" s="5"/>
      <c r="L13025" s="5"/>
      <c r="M13025" s="5"/>
      <c r="N13025" s="5"/>
      <c r="O13025" s="5"/>
      <c r="P13025" s="5"/>
      <c r="Q13025" s="5"/>
      <c r="R13025" s="5"/>
      <c r="S13025" s="5"/>
      <c r="T13025" s="5"/>
      <c r="U13025" s="5"/>
      <c r="V13025" s="5"/>
      <c r="W13025" s="5"/>
      <c r="X13025" s="5"/>
      <c r="Y13025" s="5"/>
      <c r="Z13025" s="5"/>
    </row>
    <row r="13026" spans="1:26" ht="15" x14ac:dyDescent="0.25">
      <c r="A13026" s="4" t="s">
        <v>13023</v>
      </c>
      <c r="B13026" s="4" t="s">
        <v>9011</v>
      </c>
      <c r="C13026" s="2" t="str">
        <f ca="1">IFERROR(__xludf.DUMMYFUNCTION("GOOGLETRANSLATE(A13026,""bn"",""en"")"),"Movie songs will be popular")</f>
        <v>Movie songs will be popular</v>
      </c>
      <c r="D13026" s="5"/>
      <c r="E13026" s="5"/>
      <c r="F13026" s="5"/>
      <c r="G13026" s="5"/>
      <c r="H13026" s="5"/>
      <c r="I13026" s="5"/>
      <c r="J13026" s="5"/>
      <c r="K13026" s="5"/>
      <c r="L13026" s="5"/>
      <c r="M13026" s="5"/>
      <c r="N13026" s="5"/>
      <c r="O13026" s="5"/>
      <c r="P13026" s="5"/>
      <c r="Q13026" s="5"/>
      <c r="R13026" s="5"/>
      <c r="S13026" s="5"/>
      <c r="T13026" s="5"/>
      <c r="U13026" s="5"/>
      <c r="V13026" s="5"/>
      <c r="W13026" s="5"/>
      <c r="X13026" s="5"/>
      <c r="Y13026" s="5"/>
      <c r="Z13026" s="5"/>
    </row>
    <row r="13027" spans="1:26" ht="15" x14ac:dyDescent="0.25">
      <c r="A13027" s="4" t="s">
        <v>13024</v>
      </c>
      <c r="B13027" s="4" t="s">
        <v>9011</v>
      </c>
      <c r="C13027" s="2" t="str">
        <f ca="1">IFERROR(__xludf.DUMMYFUNCTION("GOOGLETRANSLATE(A13027,""bn"",""en"")"),"The boy will go to play in the field")</f>
        <v>The boy will go to play in the field</v>
      </c>
      <c r="D13027" s="5"/>
      <c r="E13027" s="5"/>
      <c r="F13027" s="5"/>
      <c r="G13027" s="5"/>
      <c r="H13027" s="5"/>
      <c r="I13027" s="5"/>
      <c r="J13027" s="5"/>
      <c r="K13027" s="5"/>
      <c r="L13027" s="5"/>
      <c r="M13027" s="5"/>
      <c r="N13027" s="5"/>
      <c r="O13027" s="5"/>
      <c r="P13027" s="5"/>
      <c r="Q13027" s="5"/>
      <c r="R13027" s="5"/>
      <c r="S13027" s="5"/>
      <c r="T13027" s="5"/>
      <c r="U13027" s="5"/>
      <c r="V13027" s="5"/>
      <c r="W13027" s="5"/>
      <c r="X13027" s="5"/>
      <c r="Y13027" s="5"/>
      <c r="Z13027" s="5"/>
    </row>
    <row r="13028" spans="1:26" ht="15" x14ac:dyDescent="0.25">
      <c r="A13028" s="4" t="s">
        <v>13025</v>
      </c>
      <c r="B13028" s="4" t="s">
        <v>9011</v>
      </c>
      <c r="C13028" s="2" t="str">
        <f ca="1">IFERROR(__xludf.DUMMYFUNCTION("GOOGLETRANSLATE(A13028,""bn"",""en"")"),"Robots will soon serve people")</f>
        <v>Robots will soon serve people</v>
      </c>
      <c r="D13028" s="5"/>
      <c r="E13028" s="5"/>
      <c r="F13028" s="5"/>
      <c r="G13028" s="5"/>
      <c r="H13028" s="5"/>
      <c r="I13028" s="5"/>
      <c r="J13028" s="5"/>
      <c r="K13028" s="5"/>
      <c r="L13028" s="5"/>
      <c r="M13028" s="5"/>
      <c r="N13028" s="5"/>
      <c r="O13028" s="5"/>
      <c r="P13028" s="5"/>
      <c r="Q13028" s="5"/>
      <c r="R13028" s="5"/>
      <c r="S13028" s="5"/>
      <c r="T13028" s="5"/>
      <c r="U13028" s="5"/>
      <c r="V13028" s="5"/>
      <c r="W13028" s="5"/>
      <c r="X13028" s="5"/>
      <c r="Y13028" s="5"/>
      <c r="Z13028" s="5"/>
    </row>
    <row r="13029" spans="1:26" ht="15" x14ac:dyDescent="0.25">
      <c r="A13029" s="4" t="s">
        <v>13026</v>
      </c>
      <c r="B13029" s="4" t="s">
        <v>9011</v>
      </c>
      <c r="C13029" s="2" t="str">
        <f ca="1">IFERROR(__xludf.DUMMYFUNCTION("GOOGLETRANSLATE(A13029,""bn"",""en"")"),"He will cut the fruit")</f>
        <v>He will cut the fruit</v>
      </c>
      <c r="D13029" s="5"/>
      <c r="E13029" s="5"/>
      <c r="F13029" s="5"/>
      <c r="G13029" s="5"/>
      <c r="H13029" s="5"/>
      <c r="I13029" s="5"/>
      <c r="J13029" s="5"/>
      <c r="K13029" s="5"/>
      <c r="L13029" s="5"/>
      <c r="M13029" s="5"/>
      <c r="N13029" s="5"/>
      <c r="O13029" s="5"/>
      <c r="P13029" s="5"/>
      <c r="Q13029" s="5"/>
      <c r="R13029" s="5"/>
      <c r="S13029" s="5"/>
      <c r="T13029" s="5"/>
      <c r="U13029" s="5"/>
      <c r="V13029" s="5"/>
      <c r="W13029" s="5"/>
      <c r="X13029" s="5"/>
      <c r="Y13029" s="5"/>
      <c r="Z13029" s="5"/>
    </row>
    <row r="13030" spans="1:26" ht="15" x14ac:dyDescent="0.25">
      <c r="A13030" s="4" t="s">
        <v>13027</v>
      </c>
      <c r="B13030" s="4" t="s">
        <v>9011</v>
      </c>
      <c r="C13030" s="2" t="str">
        <f ca="1">IFERROR(__xludf.DUMMYFUNCTION("GOOGLETRANSLATE(A13030,""bn"",""en"")"),"Start learning to surf")</f>
        <v>Start learning to surf</v>
      </c>
      <c r="D13030" s="5"/>
      <c r="E13030" s="5"/>
      <c r="F13030" s="5"/>
      <c r="G13030" s="5"/>
      <c r="H13030" s="5"/>
      <c r="I13030" s="5"/>
      <c r="J13030" s="5"/>
      <c r="K13030" s="5"/>
      <c r="L13030" s="5"/>
      <c r="M13030" s="5"/>
      <c r="N13030" s="5"/>
      <c r="O13030" s="5"/>
      <c r="P13030" s="5"/>
      <c r="Q13030" s="5"/>
      <c r="R13030" s="5"/>
      <c r="S13030" s="5"/>
      <c r="T13030" s="5"/>
      <c r="U13030" s="5"/>
      <c r="V13030" s="5"/>
      <c r="W13030" s="5"/>
      <c r="X13030" s="5"/>
      <c r="Y13030" s="5"/>
      <c r="Z13030" s="5"/>
    </row>
    <row r="13031" spans="1:26" ht="15" x14ac:dyDescent="0.25">
      <c r="A13031" s="4" t="s">
        <v>13028</v>
      </c>
      <c r="B13031" s="4" t="s">
        <v>9011</v>
      </c>
      <c r="C13031" s="2" t="str">
        <f ca="1">IFERROR(__xludf.DUMMYFUNCTION("GOOGLETRANSLATE(A13031,""bn"",""en"")"),"It will rain in the garden later")</f>
        <v>It will rain in the garden later</v>
      </c>
      <c r="D13031" s="5"/>
      <c r="E13031" s="5"/>
      <c r="F13031" s="5"/>
      <c r="G13031" s="5"/>
      <c r="H13031" s="5"/>
      <c r="I13031" s="5"/>
      <c r="J13031" s="5"/>
      <c r="K13031" s="5"/>
      <c r="L13031" s="5"/>
      <c r="M13031" s="5"/>
      <c r="N13031" s="5"/>
      <c r="O13031" s="5"/>
      <c r="P13031" s="5"/>
      <c r="Q13031" s="5"/>
      <c r="R13031" s="5"/>
      <c r="S13031" s="5"/>
      <c r="T13031" s="5"/>
      <c r="U13031" s="5"/>
      <c r="V13031" s="5"/>
      <c r="W13031" s="5"/>
      <c r="X13031" s="5"/>
      <c r="Y13031" s="5"/>
      <c r="Z13031" s="5"/>
    </row>
    <row r="13032" spans="1:26" ht="15" x14ac:dyDescent="0.25">
      <c r="A13032" s="4" t="s">
        <v>13029</v>
      </c>
      <c r="B13032" s="4" t="s">
        <v>9011</v>
      </c>
      <c r="C13032" s="2" t="str">
        <f ca="1">IFERROR(__xludf.DUMMYFUNCTION("GOOGLETRANSLATE(A13032,""bn"",""en"")"),"They will make new ground")</f>
        <v>They will make new ground</v>
      </c>
      <c r="D13032" s="5"/>
      <c r="E13032" s="5"/>
      <c r="F13032" s="5"/>
      <c r="G13032" s="5"/>
      <c r="H13032" s="5"/>
      <c r="I13032" s="5"/>
      <c r="J13032" s="5"/>
      <c r="K13032" s="5"/>
      <c r="L13032" s="5"/>
      <c r="M13032" s="5"/>
      <c r="N13032" s="5"/>
      <c r="O13032" s="5"/>
      <c r="P13032" s="5"/>
      <c r="Q13032" s="5"/>
      <c r="R13032" s="5"/>
      <c r="S13032" s="5"/>
      <c r="T13032" s="5"/>
      <c r="U13032" s="5"/>
      <c r="V13032" s="5"/>
      <c r="W13032" s="5"/>
      <c r="X13032" s="5"/>
      <c r="Y13032" s="5"/>
      <c r="Z13032" s="5"/>
    </row>
    <row r="13033" spans="1:26" ht="15" x14ac:dyDescent="0.25">
      <c r="A13033" s="4" t="s">
        <v>13030</v>
      </c>
      <c r="B13033" s="4" t="s">
        <v>9011</v>
      </c>
      <c r="C13033" s="2" t="str">
        <f ca="1">IFERROR(__xludf.DUMMYFUNCTION("GOOGLETRANSLATE(A13033,""bn"",""en"")"),"Will work on new framework")</f>
        <v>Will work on new framework</v>
      </c>
      <c r="D13033" s="5"/>
      <c r="E13033" s="5"/>
      <c r="F13033" s="5"/>
      <c r="G13033" s="5"/>
      <c r="H13033" s="5"/>
      <c r="I13033" s="5"/>
      <c r="J13033" s="5"/>
      <c r="K13033" s="5"/>
      <c r="L13033" s="5"/>
      <c r="M13033" s="5"/>
      <c r="N13033" s="5"/>
      <c r="O13033" s="5"/>
      <c r="P13033" s="5"/>
      <c r="Q13033" s="5"/>
      <c r="R13033" s="5"/>
      <c r="S13033" s="5"/>
      <c r="T13033" s="5"/>
      <c r="U13033" s="5"/>
      <c r="V13033" s="5"/>
      <c r="W13033" s="5"/>
      <c r="X13033" s="5"/>
      <c r="Y13033" s="5"/>
      <c r="Z13033" s="5"/>
    </row>
    <row r="13034" spans="1:26" ht="15" x14ac:dyDescent="0.25">
      <c r="A13034" s="4" t="s">
        <v>13031</v>
      </c>
      <c r="B13034" s="4" t="s">
        <v>9011</v>
      </c>
      <c r="C13034" s="2" t="str">
        <f ca="1">IFERROR(__xludf.DUMMYFUNCTION("GOOGLETRANSLATE(A13034,""bn"",""en"")"),"Computer software will improve")</f>
        <v>Computer software will improve</v>
      </c>
      <c r="D13034" s="5"/>
      <c r="E13034" s="5"/>
      <c r="F13034" s="5"/>
      <c r="G13034" s="5"/>
      <c r="H13034" s="5"/>
      <c r="I13034" s="5"/>
      <c r="J13034" s="5"/>
      <c r="K13034" s="5"/>
      <c r="L13034" s="5"/>
      <c r="M13034" s="5"/>
      <c r="N13034" s="5"/>
      <c r="O13034" s="5"/>
      <c r="P13034" s="5"/>
      <c r="Q13034" s="5"/>
      <c r="R13034" s="5"/>
      <c r="S13034" s="5"/>
      <c r="T13034" s="5"/>
      <c r="U13034" s="5"/>
      <c r="V13034" s="5"/>
      <c r="W13034" s="5"/>
      <c r="X13034" s="5"/>
      <c r="Y13034" s="5"/>
      <c r="Z13034" s="5"/>
    </row>
    <row r="13035" spans="1:26" ht="15" x14ac:dyDescent="0.25">
      <c r="A13035" s="4" t="s">
        <v>13032</v>
      </c>
      <c r="B13035" s="4" t="s">
        <v>9011</v>
      </c>
      <c r="C13035" s="2" t="str">
        <f ca="1">IFERROR(__xludf.DUMMYFUNCTION("GOOGLETRANSLATE(A13035,""bn"",""en"")"),"I will come with the author")</f>
        <v>I will come with the author</v>
      </c>
      <c r="D13035" s="5"/>
      <c r="E13035" s="5"/>
      <c r="F13035" s="5"/>
      <c r="G13035" s="5"/>
      <c r="H13035" s="5"/>
      <c r="I13035" s="5"/>
      <c r="J13035" s="5"/>
      <c r="K13035" s="5"/>
      <c r="L13035" s="5"/>
      <c r="M13035" s="5"/>
      <c r="N13035" s="5"/>
      <c r="O13035" s="5"/>
      <c r="P13035" s="5"/>
      <c r="Q13035" s="5"/>
      <c r="R13035" s="5"/>
      <c r="S13035" s="5"/>
      <c r="T13035" s="5"/>
      <c r="U13035" s="5"/>
      <c r="V13035" s="5"/>
      <c r="W13035" s="5"/>
      <c r="X13035" s="5"/>
      <c r="Y13035" s="5"/>
      <c r="Z13035" s="5"/>
    </row>
    <row r="13036" spans="1:26" ht="15" x14ac:dyDescent="0.25">
      <c r="A13036" s="4" t="s">
        <v>13033</v>
      </c>
      <c r="B13036" s="4" t="s">
        <v>9011</v>
      </c>
      <c r="C13036" s="2" t="str">
        <f ca="1">IFERROR(__xludf.DUMMYFUNCTION("GOOGLETRANSLATE(A13036,""bn"",""en"")"),"You will get a new checkbook")</f>
        <v>You will get a new checkbook</v>
      </c>
      <c r="D13036" s="5"/>
      <c r="E13036" s="5"/>
      <c r="F13036" s="5"/>
      <c r="G13036" s="5"/>
      <c r="H13036" s="5"/>
      <c r="I13036" s="5"/>
      <c r="J13036" s="5"/>
      <c r="K13036" s="5"/>
      <c r="L13036" s="5"/>
      <c r="M13036" s="5"/>
      <c r="N13036" s="5"/>
      <c r="O13036" s="5"/>
      <c r="P13036" s="5"/>
      <c r="Q13036" s="5"/>
      <c r="R13036" s="5"/>
      <c r="S13036" s="5"/>
      <c r="T13036" s="5"/>
      <c r="U13036" s="5"/>
      <c r="V13036" s="5"/>
      <c r="W13036" s="5"/>
      <c r="X13036" s="5"/>
      <c r="Y13036" s="5"/>
      <c r="Z13036" s="5"/>
    </row>
    <row r="13037" spans="1:26" ht="15" x14ac:dyDescent="0.25">
      <c r="A13037" s="4" t="s">
        <v>13034</v>
      </c>
      <c r="B13037" s="4" t="s">
        <v>9011</v>
      </c>
      <c r="C13037" s="2" t="str">
        <f ca="1">IFERROR(__xludf.DUMMYFUNCTION("GOOGLETRANSLATE(A13037,""bn"",""en"")"),"They will organize seminars")</f>
        <v>They will organize seminars</v>
      </c>
      <c r="D13037" s="5"/>
      <c r="E13037" s="5"/>
      <c r="F13037" s="5"/>
      <c r="G13037" s="5"/>
      <c r="H13037" s="5"/>
      <c r="I13037" s="5"/>
      <c r="J13037" s="5"/>
      <c r="K13037" s="5"/>
      <c r="L13037" s="5"/>
      <c r="M13037" s="5"/>
      <c r="N13037" s="5"/>
      <c r="O13037" s="5"/>
      <c r="P13037" s="5"/>
      <c r="Q13037" s="5"/>
      <c r="R13037" s="5"/>
      <c r="S13037" s="5"/>
      <c r="T13037" s="5"/>
      <c r="U13037" s="5"/>
      <c r="V13037" s="5"/>
      <c r="W13037" s="5"/>
      <c r="X13037" s="5"/>
      <c r="Y13037" s="5"/>
      <c r="Z13037" s="5"/>
    </row>
    <row r="13038" spans="1:26" ht="15" x14ac:dyDescent="0.25">
      <c r="A13038" s="4" t="s">
        <v>13035</v>
      </c>
      <c r="B13038" s="4" t="s">
        <v>9011</v>
      </c>
      <c r="C13038" s="2" t="str">
        <f ca="1">IFERROR(__xludf.DUMMYFUNCTION("GOOGLETRANSLATE(A13038,""bn"",""en"")"),"I will sing at the festival")</f>
        <v>I will sing at the festival</v>
      </c>
      <c r="D13038" s="5"/>
      <c r="E13038" s="5"/>
      <c r="F13038" s="5"/>
      <c r="G13038" s="5"/>
      <c r="H13038" s="5"/>
      <c r="I13038" s="5"/>
      <c r="J13038" s="5"/>
      <c r="K13038" s="5"/>
      <c r="L13038" s="5"/>
      <c r="M13038" s="5"/>
      <c r="N13038" s="5"/>
      <c r="O13038" s="5"/>
      <c r="P13038" s="5"/>
      <c r="Q13038" s="5"/>
      <c r="R13038" s="5"/>
      <c r="S13038" s="5"/>
      <c r="T13038" s="5"/>
      <c r="U13038" s="5"/>
      <c r="V13038" s="5"/>
      <c r="W13038" s="5"/>
      <c r="X13038" s="5"/>
      <c r="Y13038" s="5"/>
      <c r="Z13038" s="5"/>
    </row>
    <row r="13039" spans="1:26" ht="15" x14ac:dyDescent="0.25">
      <c r="A13039" s="4" t="s">
        <v>13036</v>
      </c>
      <c r="B13039" s="4" t="s">
        <v>9011</v>
      </c>
      <c r="C13039" s="2" t="str">
        <f ca="1">IFERROR(__xludf.DUMMYFUNCTION("GOOGLETRANSLATE(A13039,""bn"",""en"")"),"I would like to buy books at the book fair")</f>
        <v>I would like to buy books at the book fair</v>
      </c>
      <c r="D13039" s="5"/>
      <c r="E13039" s="5"/>
      <c r="F13039" s="5"/>
      <c r="G13039" s="5"/>
      <c r="H13039" s="5"/>
      <c r="I13039" s="5"/>
      <c r="J13039" s="5"/>
      <c r="K13039" s="5"/>
      <c r="L13039" s="5"/>
      <c r="M13039" s="5"/>
      <c r="N13039" s="5"/>
      <c r="O13039" s="5"/>
      <c r="P13039" s="5"/>
      <c r="Q13039" s="5"/>
      <c r="R13039" s="5"/>
      <c r="S13039" s="5"/>
      <c r="T13039" s="5"/>
      <c r="U13039" s="5"/>
      <c r="V13039" s="5"/>
      <c r="W13039" s="5"/>
      <c r="X13039" s="5"/>
      <c r="Y13039" s="5"/>
      <c r="Z13039" s="5"/>
    </row>
    <row r="13040" spans="1:26" ht="15" x14ac:dyDescent="0.25">
      <c r="A13040" s="4" t="s">
        <v>13037</v>
      </c>
      <c r="B13040" s="4" t="s">
        <v>9011</v>
      </c>
      <c r="C13040" s="2" t="str">
        <f ca="1">IFERROR(__xludf.DUMMYFUNCTION("GOOGLETRANSLATE(A13040,""bn"",""en"")"),"Enter new markets")</f>
        <v>Enter new markets</v>
      </c>
      <c r="D13040" s="5"/>
      <c r="E13040" s="5"/>
      <c r="F13040" s="5"/>
      <c r="G13040" s="5"/>
      <c r="H13040" s="5"/>
      <c r="I13040" s="5"/>
      <c r="J13040" s="5"/>
      <c r="K13040" s="5"/>
      <c r="L13040" s="5"/>
      <c r="M13040" s="5"/>
      <c r="N13040" s="5"/>
      <c r="O13040" s="5"/>
      <c r="P13040" s="5"/>
      <c r="Q13040" s="5"/>
      <c r="R13040" s="5"/>
      <c r="S13040" s="5"/>
      <c r="T13040" s="5"/>
      <c r="U13040" s="5"/>
      <c r="V13040" s="5"/>
      <c r="W13040" s="5"/>
      <c r="X13040" s="5"/>
      <c r="Y13040" s="5"/>
      <c r="Z13040" s="5"/>
    </row>
    <row r="13041" spans="1:26" ht="15" x14ac:dyDescent="0.25">
      <c r="A13041" s="4" t="s">
        <v>13038</v>
      </c>
      <c r="B13041" s="4" t="s">
        <v>9011</v>
      </c>
      <c r="C13041" s="2" t="str">
        <f ca="1">IFERROR(__xludf.DUMMYFUNCTION("GOOGLETRANSLATE(A13041,""bn"",""en"")"),"You will be an engineer in future")</f>
        <v>You will be an engineer in future</v>
      </c>
      <c r="D13041" s="5"/>
      <c r="E13041" s="5"/>
      <c r="F13041" s="5"/>
      <c r="G13041" s="5"/>
      <c r="H13041" s="5"/>
      <c r="I13041" s="5"/>
      <c r="J13041" s="5"/>
      <c r="K13041" s="5"/>
      <c r="L13041" s="5"/>
      <c r="M13041" s="5"/>
      <c r="N13041" s="5"/>
      <c r="O13041" s="5"/>
      <c r="P13041" s="5"/>
      <c r="Q13041" s="5"/>
      <c r="R13041" s="5"/>
      <c r="S13041" s="5"/>
      <c r="T13041" s="5"/>
      <c r="U13041" s="5"/>
      <c r="V13041" s="5"/>
      <c r="W13041" s="5"/>
      <c r="X13041" s="5"/>
      <c r="Y13041" s="5"/>
      <c r="Z13041" s="5"/>
    </row>
    <row r="13042" spans="1:26" ht="15" x14ac:dyDescent="0.25">
      <c r="A13042" s="4" t="s">
        <v>13039</v>
      </c>
      <c r="B13042" s="4" t="s">
        <v>9011</v>
      </c>
      <c r="C13042" s="2" t="str">
        <f ca="1">IFERROR(__xludf.DUMMYFUNCTION("GOOGLETRANSLATE(A13042,""bn"",""en"")"),"The bank will be crowded tomorrow")</f>
        <v>The bank will be crowded tomorrow</v>
      </c>
      <c r="D13042" s="5"/>
      <c r="E13042" s="5"/>
      <c r="F13042" s="5"/>
      <c r="G13042" s="5"/>
      <c r="H13042" s="5"/>
      <c r="I13042" s="5"/>
      <c r="J13042" s="5"/>
      <c r="K13042" s="5"/>
      <c r="L13042" s="5"/>
      <c r="M13042" s="5"/>
      <c r="N13042" s="5"/>
      <c r="O13042" s="5"/>
      <c r="P13042" s="5"/>
      <c r="Q13042" s="5"/>
      <c r="R13042" s="5"/>
      <c r="S13042" s="5"/>
      <c r="T13042" s="5"/>
      <c r="U13042" s="5"/>
      <c r="V13042" s="5"/>
      <c r="W13042" s="5"/>
      <c r="X13042" s="5"/>
      <c r="Y13042" s="5"/>
      <c r="Z13042" s="5"/>
    </row>
    <row r="13043" spans="1:26" ht="15" x14ac:dyDescent="0.25">
      <c r="A13043" s="4" t="s">
        <v>13040</v>
      </c>
      <c r="B13043" s="4" t="s">
        <v>9011</v>
      </c>
      <c r="C13043" s="2" t="str">
        <f ca="1">IFERROR(__xludf.DUMMYFUNCTION("GOOGLETRANSLATE(A13043,""bn"",""en"")"),"I will set up automation system")</f>
        <v>I will set up automation system</v>
      </c>
      <c r="D13043" s="5"/>
      <c r="E13043" s="5"/>
      <c r="F13043" s="5"/>
      <c r="G13043" s="5"/>
      <c r="H13043" s="5"/>
      <c r="I13043" s="5"/>
      <c r="J13043" s="5"/>
      <c r="K13043" s="5"/>
      <c r="L13043" s="5"/>
      <c r="M13043" s="5"/>
      <c r="N13043" s="5"/>
      <c r="O13043" s="5"/>
      <c r="P13043" s="5"/>
      <c r="Q13043" s="5"/>
      <c r="R13043" s="5"/>
      <c r="S13043" s="5"/>
      <c r="T13043" s="5"/>
      <c r="U13043" s="5"/>
      <c r="V13043" s="5"/>
      <c r="W13043" s="5"/>
      <c r="X13043" s="5"/>
      <c r="Y13043" s="5"/>
      <c r="Z13043" s="5"/>
    </row>
    <row r="13044" spans="1:26" ht="15" x14ac:dyDescent="0.25">
      <c r="A13044" s="4" t="s">
        <v>13041</v>
      </c>
      <c r="B13044" s="4" t="s">
        <v>9011</v>
      </c>
      <c r="C13044" s="2" t="str">
        <f ca="1">IFERROR(__xludf.DUMMYFUNCTION("GOOGLETRANSLATE(A13044,""bn"",""en"")"),"The sky will be covered with ice clouds")</f>
        <v>The sky will be covered with ice clouds</v>
      </c>
      <c r="D13044" s="5"/>
      <c r="E13044" s="5"/>
      <c r="F13044" s="5"/>
      <c r="G13044" s="5"/>
      <c r="H13044" s="5"/>
      <c r="I13044" s="5"/>
      <c r="J13044" s="5"/>
      <c r="K13044" s="5"/>
      <c r="L13044" s="5"/>
      <c r="M13044" s="5"/>
      <c r="N13044" s="5"/>
      <c r="O13044" s="5"/>
      <c r="P13044" s="5"/>
      <c r="Q13044" s="5"/>
      <c r="R13044" s="5"/>
      <c r="S13044" s="5"/>
      <c r="T13044" s="5"/>
      <c r="U13044" s="5"/>
      <c r="V13044" s="5"/>
      <c r="W13044" s="5"/>
      <c r="X13044" s="5"/>
      <c r="Y13044" s="5"/>
      <c r="Z13044" s="5"/>
    </row>
    <row r="13045" spans="1:26" ht="15" x14ac:dyDescent="0.25">
      <c r="A13045" s="4" t="s">
        <v>13042</v>
      </c>
      <c r="B13045" s="4" t="s">
        <v>9011</v>
      </c>
      <c r="C13045" s="2" t="str">
        <f ca="1">IFERROR(__xludf.DUMMYFUNCTION("GOOGLETRANSLATE(A13045,""bn"",""en"")"),"They will have game training")</f>
        <v>They will have game training</v>
      </c>
      <c r="D13045" s="5"/>
      <c r="E13045" s="5"/>
      <c r="F13045" s="5"/>
      <c r="G13045" s="5"/>
      <c r="H13045" s="5"/>
      <c r="I13045" s="5"/>
      <c r="J13045" s="5"/>
      <c r="K13045" s="5"/>
      <c r="L13045" s="5"/>
      <c r="M13045" s="5"/>
      <c r="N13045" s="5"/>
      <c r="O13045" s="5"/>
      <c r="P13045" s="5"/>
      <c r="Q13045" s="5"/>
      <c r="R13045" s="5"/>
      <c r="S13045" s="5"/>
      <c r="T13045" s="5"/>
      <c r="U13045" s="5"/>
      <c r="V13045" s="5"/>
      <c r="W13045" s="5"/>
      <c r="X13045" s="5"/>
      <c r="Y13045" s="5"/>
      <c r="Z13045" s="5"/>
    </row>
    <row r="13046" spans="1:26" ht="15" x14ac:dyDescent="0.25">
      <c r="A13046" s="4" t="s">
        <v>13043</v>
      </c>
      <c r="B13046" s="4" t="s">
        <v>9011</v>
      </c>
      <c r="C13046" s="2" t="str">
        <f ca="1">IFERROR(__xludf.DUMMYFUNCTION("GOOGLETRANSLATE(A13046,""bn"",""en"")"),"He will be at the beach")</f>
        <v>He will be at the beach</v>
      </c>
      <c r="D13046" s="5"/>
      <c r="E13046" s="5"/>
      <c r="F13046" s="5"/>
      <c r="G13046" s="5"/>
      <c r="H13046" s="5"/>
      <c r="I13046" s="5"/>
      <c r="J13046" s="5"/>
      <c r="K13046" s="5"/>
      <c r="L13046" s="5"/>
      <c r="M13046" s="5"/>
      <c r="N13046" s="5"/>
      <c r="O13046" s="5"/>
      <c r="P13046" s="5"/>
      <c r="Q13046" s="5"/>
      <c r="R13046" s="5"/>
      <c r="S13046" s="5"/>
      <c r="T13046" s="5"/>
      <c r="U13046" s="5"/>
      <c r="V13046" s="5"/>
      <c r="W13046" s="5"/>
      <c r="X13046" s="5"/>
      <c r="Y13046" s="5"/>
      <c r="Z13046" s="5"/>
    </row>
    <row r="13047" spans="1:26" ht="15" x14ac:dyDescent="0.25">
      <c r="A13047" s="4" t="s">
        <v>13044</v>
      </c>
      <c r="B13047" s="4" t="s">
        <v>9011</v>
      </c>
      <c r="C13047" s="2" t="str">
        <f ca="1">IFERROR(__xludf.DUMMYFUNCTION("GOOGLETRANSLATE(A13047,""bn"",""en"")"),"I will go on a safari park trip")</f>
        <v>I will go on a safari park trip</v>
      </c>
      <c r="D13047" s="5"/>
      <c r="E13047" s="5"/>
      <c r="F13047" s="5"/>
      <c r="G13047" s="5"/>
      <c r="H13047" s="5"/>
      <c r="I13047" s="5"/>
      <c r="J13047" s="5"/>
      <c r="K13047" s="5"/>
      <c r="L13047" s="5"/>
      <c r="M13047" s="5"/>
      <c r="N13047" s="5"/>
      <c r="O13047" s="5"/>
      <c r="P13047" s="5"/>
      <c r="Q13047" s="5"/>
      <c r="R13047" s="5"/>
      <c r="S13047" s="5"/>
      <c r="T13047" s="5"/>
      <c r="U13047" s="5"/>
      <c r="V13047" s="5"/>
      <c r="W13047" s="5"/>
      <c r="X13047" s="5"/>
      <c r="Y13047" s="5"/>
      <c r="Z13047" s="5"/>
    </row>
    <row r="13048" spans="1:26" ht="15" x14ac:dyDescent="0.25">
      <c r="A13048" s="4" t="s">
        <v>13045</v>
      </c>
      <c r="B13048" s="4" t="s">
        <v>9011</v>
      </c>
      <c r="C13048" s="2" t="str">
        <f ca="1">IFERROR(__xludf.DUMMYFUNCTION("GOOGLETRANSLATE(A13048,""bn"",""en"")"),"Books will change you")</f>
        <v>Books will change you</v>
      </c>
      <c r="D13048" s="5"/>
      <c r="E13048" s="5"/>
      <c r="F13048" s="5"/>
      <c r="G13048" s="5"/>
      <c r="H13048" s="5"/>
      <c r="I13048" s="5"/>
      <c r="J13048" s="5"/>
      <c r="K13048" s="5"/>
      <c r="L13048" s="5"/>
      <c r="M13048" s="5"/>
      <c r="N13048" s="5"/>
      <c r="O13048" s="5"/>
      <c r="P13048" s="5"/>
      <c r="Q13048" s="5"/>
      <c r="R13048" s="5"/>
      <c r="S13048" s="5"/>
      <c r="T13048" s="5"/>
      <c r="U13048" s="5"/>
      <c r="V13048" s="5"/>
      <c r="W13048" s="5"/>
      <c r="X13048" s="5"/>
      <c r="Y13048" s="5"/>
      <c r="Z13048" s="5"/>
    </row>
    <row r="13049" spans="1:26" ht="15" x14ac:dyDescent="0.25">
      <c r="A13049" s="4" t="s">
        <v>13046</v>
      </c>
      <c r="B13049" s="4" t="s">
        <v>9011</v>
      </c>
      <c r="C13049" s="2" t="str">
        <f ca="1">IFERROR(__xludf.DUMMYFUNCTION("GOOGLETRANSLATE(A13049,""bn"",""en"")"),"I will have my publication at the book fair")</f>
        <v>I will have my publication at the book fair</v>
      </c>
      <c r="D13049" s="5"/>
      <c r="E13049" s="5"/>
      <c r="F13049" s="5"/>
      <c r="G13049" s="5"/>
      <c r="H13049" s="5"/>
      <c r="I13049" s="5"/>
      <c r="J13049" s="5"/>
      <c r="K13049" s="5"/>
      <c r="L13049" s="5"/>
      <c r="M13049" s="5"/>
      <c r="N13049" s="5"/>
      <c r="O13049" s="5"/>
      <c r="P13049" s="5"/>
      <c r="Q13049" s="5"/>
      <c r="R13049" s="5"/>
      <c r="S13049" s="5"/>
      <c r="T13049" s="5"/>
      <c r="U13049" s="5"/>
      <c r="V13049" s="5"/>
      <c r="W13049" s="5"/>
      <c r="X13049" s="5"/>
      <c r="Y13049" s="5"/>
      <c r="Z13049" s="5"/>
    </row>
    <row r="13050" spans="1:26" ht="15" x14ac:dyDescent="0.25">
      <c r="A13050" s="4" t="s">
        <v>13047</v>
      </c>
      <c r="B13050" s="4" t="s">
        <v>9011</v>
      </c>
      <c r="C13050" s="2" t="str">
        <f ca="1">IFERROR(__xludf.DUMMYFUNCTION("GOOGLETRANSLATE(A13050,""bn"",""en"")"),"You take math class")</f>
        <v>You take math class</v>
      </c>
      <c r="D13050" s="5"/>
      <c r="E13050" s="5"/>
      <c r="F13050" s="5"/>
      <c r="G13050" s="5"/>
      <c r="H13050" s="5"/>
      <c r="I13050" s="5"/>
      <c r="J13050" s="5"/>
      <c r="K13050" s="5"/>
      <c r="L13050" s="5"/>
      <c r="M13050" s="5"/>
      <c r="N13050" s="5"/>
      <c r="O13050" s="5"/>
      <c r="P13050" s="5"/>
      <c r="Q13050" s="5"/>
      <c r="R13050" s="5"/>
      <c r="S13050" s="5"/>
      <c r="T13050" s="5"/>
      <c r="U13050" s="5"/>
      <c r="V13050" s="5"/>
      <c r="W13050" s="5"/>
      <c r="X13050" s="5"/>
      <c r="Y13050" s="5"/>
      <c r="Z13050" s="5"/>
    </row>
    <row r="13051" spans="1:26" ht="15" x14ac:dyDescent="0.25">
      <c r="A13051" s="4" t="s">
        <v>13048</v>
      </c>
      <c r="B13051" s="4" t="s">
        <v>9011</v>
      </c>
      <c r="C13051" s="2" t="str">
        <f ca="1">IFERROR(__xludf.DUMMYFUNCTION("GOOGLETRANSLATE(A13051,""bn"",""en"")"),"The fruit will radiate first")</f>
        <v>The fruit will radiate first</v>
      </c>
      <c r="D13051" s="5"/>
      <c r="E13051" s="5"/>
      <c r="F13051" s="5"/>
      <c r="G13051" s="5"/>
      <c r="H13051" s="5"/>
      <c r="I13051" s="5"/>
      <c r="J13051" s="5"/>
      <c r="K13051" s="5"/>
      <c r="L13051" s="5"/>
      <c r="M13051" s="5"/>
      <c r="N13051" s="5"/>
      <c r="O13051" s="5"/>
      <c r="P13051" s="5"/>
      <c r="Q13051" s="5"/>
      <c r="R13051" s="5"/>
      <c r="S13051" s="5"/>
      <c r="T13051" s="5"/>
      <c r="U13051" s="5"/>
      <c r="V13051" s="5"/>
      <c r="W13051" s="5"/>
      <c r="X13051" s="5"/>
      <c r="Y13051" s="5"/>
      <c r="Z13051" s="5"/>
    </row>
    <row r="13052" spans="1:26" ht="15" x14ac:dyDescent="0.25">
      <c r="A13052" s="4" t="s">
        <v>13049</v>
      </c>
      <c r="B13052" s="4" t="s">
        <v>9011</v>
      </c>
      <c r="C13052" s="2" t="str">
        <f ca="1">IFERROR(__xludf.DUMMYFUNCTION("GOOGLETRANSLATE(A13052,""bn"",""en"")"),"They will have preemption in the economy")</f>
        <v>They will have preemption in the economy</v>
      </c>
      <c r="D13052" s="5"/>
      <c r="E13052" s="5"/>
      <c r="F13052" s="5"/>
      <c r="G13052" s="5"/>
      <c r="H13052" s="5"/>
      <c r="I13052" s="5"/>
      <c r="J13052" s="5"/>
      <c r="K13052" s="5"/>
      <c r="L13052" s="5"/>
      <c r="M13052" s="5"/>
      <c r="N13052" s="5"/>
      <c r="O13052" s="5"/>
      <c r="P13052" s="5"/>
      <c r="Q13052" s="5"/>
      <c r="R13052" s="5"/>
      <c r="S13052" s="5"/>
      <c r="T13052" s="5"/>
      <c r="U13052" s="5"/>
      <c r="V13052" s="5"/>
      <c r="W13052" s="5"/>
      <c r="X13052" s="5"/>
      <c r="Y13052" s="5"/>
      <c r="Z13052" s="5"/>
    </row>
    <row r="13053" spans="1:26" ht="15" x14ac:dyDescent="0.25">
      <c r="A13053" s="4" t="s">
        <v>13050</v>
      </c>
      <c r="B13053" s="4" t="s">
        <v>9011</v>
      </c>
      <c r="C13053" s="2" t="str">
        <f ca="1">IFERROR(__xludf.DUMMYFUNCTION("GOOGLETRANSLATE(A13053,""bn"",""en"")"),"There will be workflow optimization")</f>
        <v>There will be workflow optimization</v>
      </c>
      <c r="D13053" s="5"/>
      <c r="E13053" s="5"/>
      <c r="F13053" s="5"/>
      <c r="G13053" s="5"/>
      <c r="H13053" s="5"/>
      <c r="I13053" s="5"/>
      <c r="J13053" s="5"/>
      <c r="K13053" s="5"/>
      <c r="L13053" s="5"/>
      <c r="M13053" s="5"/>
      <c r="N13053" s="5"/>
      <c r="O13053" s="5"/>
      <c r="P13053" s="5"/>
      <c r="Q13053" s="5"/>
      <c r="R13053" s="5"/>
      <c r="S13053" s="5"/>
      <c r="T13053" s="5"/>
      <c r="U13053" s="5"/>
      <c r="V13053" s="5"/>
      <c r="W13053" s="5"/>
      <c r="X13053" s="5"/>
      <c r="Y13053" s="5"/>
      <c r="Z13053" s="5"/>
    </row>
    <row r="13054" spans="1:26" ht="15" x14ac:dyDescent="0.25">
      <c r="A13054" s="4" t="s">
        <v>13051</v>
      </c>
      <c r="B13054" s="4" t="s">
        <v>9011</v>
      </c>
      <c r="C13054" s="2" t="str">
        <f ca="1">IFERROR(__xludf.DUMMYFUNCTION("GOOGLETRANSLATE(A13054,""bn"",""en"")"),"New steps will be in research")</f>
        <v>New steps will be in research</v>
      </c>
      <c r="D13054" s="5"/>
      <c r="E13054" s="5"/>
      <c r="F13054" s="5"/>
      <c r="G13054" s="5"/>
      <c r="H13054" s="5"/>
      <c r="I13054" s="5"/>
      <c r="J13054" s="5"/>
      <c r="K13054" s="5"/>
      <c r="L13054" s="5"/>
      <c r="M13054" s="5"/>
      <c r="N13054" s="5"/>
      <c r="O13054" s="5"/>
      <c r="P13054" s="5"/>
      <c r="Q13054" s="5"/>
      <c r="R13054" s="5"/>
      <c r="S13054" s="5"/>
      <c r="T13054" s="5"/>
      <c r="U13054" s="5"/>
      <c r="V13054" s="5"/>
      <c r="W13054" s="5"/>
      <c r="X13054" s="5"/>
      <c r="Y13054" s="5"/>
      <c r="Z13054" s="5"/>
    </row>
    <row r="13055" spans="1:26" ht="15" x14ac:dyDescent="0.25">
      <c r="A13055" s="4" t="s">
        <v>13052</v>
      </c>
      <c r="B13055" s="4" t="s">
        <v>9011</v>
      </c>
      <c r="C13055" s="2" t="str">
        <f ca="1">IFERROR(__xludf.DUMMYFUNCTION("GOOGLETRANSLATE(A13055,""bn"",""en"")"),"You eat chocolate biscuits")</f>
        <v>You eat chocolate biscuits</v>
      </c>
      <c r="D13055" s="5"/>
      <c r="E13055" s="5"/>
      <c r="F13055" s="5"/>
      <c r="G13055" s="5"/>
      <c r="H13055" s="5"/>
      <c r="I13055" s="5"/>
      <c r="J13055" s="5"/>
      <c r="K13055" s="5"/>
      <c r="L13055" s="5"/>
      <c r="M13055" s="5"/>
      <c r="N13055" s="5"/>
      <c r="O13055" s="5"/>
      <c r="P13055" s="5"/>
      <c r="Q13055" s="5"/>
      <c r="R13055" s="5"/>
      <c r="S13055" s="5"/>
      <c r="T13055" s="5"/>
      <c r="U13055" s="5"/>
      <c r="V13055" s="5"/>
      <c r="W13055" s="5"/>
      <c r="X13055" s="5"/>
      <c r="Y13055" s="5"/>
      <c r="Z13055" s="5"/>
    </row>
    <row r="13056" spans="1:26" ht="15" x14ac:dyDescent="0.25">
      <c r="A13056" s="4" t="s">
        <v>13053</v>
      </c>
      <c r="B13056" s="4" t="s">
        <v>9011</v>
      </c>
      <c r="C13056" s="2" t="str">
        <f ca="1">IFERROR(__xludf.DUMMYFUNCTION("GOOGLETRANSLATE(A13056,""bn"",""en"")"),"In winter it will be cold around")</f>
        <v>In winter it will be cold around</v>
      </c>
      <c r="D13056" s="5"/>
      <c r="E13056" s="5"/>
      <c r="F13056" s="5"/>
      <c r="G13056" s="5"/>
      <c r="H13056" s="5"/>
      <c r="I13056" s="5"/>
      <c r="J13056" s="5"/>
      <c r="K13056" s="5"/>
      <c r="L13056" s="5"/>
      <c r="M13056" s="5"/>
      <c r="N13056" s="5"/>
      <c r="O13056" s="5"/>
      <c r="P13056" s="5"/>
      <c r="Q13056" s="5"/>
      <c r="R13056" s="5"/>
      <c r="S13056" s="5"/>
      <c r="T13056" s="5"/>
      <c r="U13056" s="5"/>
      <c r="V13056" s="5"/>
      <c r="W13056" s="5"/>
      <c r="X13056" s="5"/>
      <c r="Y13056" s="5"/>
      <c r="Z13056" s="5"/>
    </row>
    <row r="13057" spans="1:26" ht="15" x14ac:dyDescent="0.25">
      <c r="A13057" s="4" t="s">
        <v>13054</v>
      </c>
      <c r="B13057" s="4" t="s">
        <v>9011</v>
      </c>
      <c r="C13057" s="2" t="str">
        <f ca="1">IFERROR(__xludf.DUMMYFUNCTION("GOOGLETRANSLATE(A13057,""bn"",""en"")"),"The patient will be accompanied by a health worker")</f>
        <v>The patient will be accompanied by a health worker</v>
      </c>
      <c r="D13057" s="5"/>
      <c r="E13057" s="5"/>
      <c r="F13057" s="5"/>
      <c r="G13057" s="5"/>
      <c r="H13057" s="5"/>
      <c r="I13057" s="5"/>
      <c r="J13057" s="5"/>
      <c r="K13057" s="5"/>
      <c r="L13057" s="5"/>
      <c r="M13057" s="5"/>
      <c r="N13057" s="5"/>
      <c r="O13057" s="5"/>
      <c r="P13057" s="5"/>
      <c r="Q13057" s="5"/>
      <c r="R13057" s="5"/>
      <c r="S13057" s="5"/>
      <c r="T13057" s="5"/>
      <c r="U13057" s="5"/>
      <c r="V13057" s="5"/>
      <c r="W13057" s="5"/>
      <c r="X13057" s="5"/>
      <c r="Y13057" s="5"/>
      <c r="Z13057" s="5"/>
    </row>
    <row r="13058" spans="1:26" ht="15" x14ac:dyDescent="0.25">
      <c r="A13058" s="4" t="s">
        <v>13055</v>
      </c>
      <c r="B13058" s="4" t="s">
        <v>9011</v>
      </c>
      <c r="C13058" s="2" t="str">
        <f ca="1">IFERROR(__xludf.DUMMYFUNCTION("GOOGLETRANSLATE(A13058,""bn"",""en"")"),"Many flowers will bloom on the tree")</f>
        <v>Many flowers will bloom on the tree</v>
      </c>
      <c r="D13058" s="5"/>
      <c r="E13058" s="5"/>
      <c r="F13058" s="5"/>
      <c r="G13058" s="5"/>
      <c r="H13058" s="5"/>
      <c r="I13058" s="5"/>
      <c r="J13058" s="5"/>
      <c r="K13058" s="5"/>
      <c r="L13058" s="5"/>
      <c r="M13058" s="5"/>
      <c r="N13058" s="5"/>
      <c r="O13058" s="5"/>
      <c r="P13058" s="5"/>
      <c r="Q13058" s="5"/>
      <c r="R13058" s="5"/>
      <c r="S13058" s="5"/>
      <c r="T13058" s="5"/>
      <c r="U13058" s="5"/>
      <c r="V13058" s="5"/>
      <c r="W13058" s="5"/>
      <c r="X13058" s="5"/>
      <c r="Y13058" s="5"/>
      <c r="Z13058" s="5"/>
    </row>
    <row r="13059" spans="1:26" ht="15" x14ac:dyDescent="0.25">
      <c r="A13059" s="4" t="s">
        <v>13056</v>
      </c>
      <c r="B13059" s="4" t="s">
        <v>9011</v>
      </c>
      <c r="C13059" s="2" t="str">
        <f ca="1">IFERROR(__xludf.DUMMYFUNCTION("GOOGLETRANSLATE(A13059,""bn"",""en"")"),"They will learn English stories")</f>
        <v>They will learn English stories</v>
      </c>
      <c r="D13059" s="5"/>
      <c r="E13059" s="5"/>
      <c r="F13059" s="5"/>
      <c r="G13059" s="5"/>
      <c r="H13059" s="5"/>
      <c r="I13059" s="5"/>
      <c r="J13059" s="5"/>
      <c r="K13059" s="5"/>
      <c r="L13059" s="5"/>
      <c r="M13059" s="5"/>
      <c r="N13059" s="5"/>
      <c r="O13059" s="5"/>
      <c r="P13059" s="5"/>
      <c r="Q13059" s="5"/>
      <c r="R13059" s="5"/>
      <c r="S13059" s="5"/>
      <c r="T13059" s="5"/>
      <c r="U13059" s="5"/>
      <c r="V13059" s="5"/>
      <c r="W13059" s="5"/>
      <c r="X13059" s="5"/>
      <c r="Y13059" s="5"/>
      <c r="Z13059" s="5"/>
    </row>
    <row r="13060" spans="1:26" ht="15" x14ac:dyDescent="0.25">
      <c r="A13060" s="4" t="s">
        <v>13057</v>
      </c>
      <c r="B13060" s="4" t="s">
        <v>9011</v>
      </c>
      <c r="C13060" s="2" t="str">
        <f ca="1">IFERROR(__xludf.DUMMYFUNCTION("GOOGLETRANSLATE(A13060,""bn"",""en"")"),"New Windows will be released")</f>
        <v>New Windows will be released</v>
      </c>
      <c r="D13060" s="5"/>
      <c r="E13060" s="5"/>
      <c r="F13060" s="5"/>
      <c r="G13060" s="5"/>
      <c r="H13060" s="5"/>
      <c r="I13060" s="5"/>
      <c r="J13060" s="5"/>
      <c r="K13060" s="5"/>
      <c r="L13060" s="5"/>
      <c r="M13060" s="5"/>
      <c r="N13060" s="5"/>
      <c r="O13060" s="5"/>
      <c r="P13060" s="5"/>
      <c r="Q13060" s="5"/>
      <c r="R13060" s="5"/>
      <c r="S13060" s="5"/>
      <c r="T13060" s="5"/>
      <c r="U13060" s="5"/>
      <c r="V13060" s="5"/>
      <c r="W13060" s="5"/>
      <c r="X13060" s="5"/>
      <c r="Y13060" s="5"/>
      <c r="Z13060" s="5"/>
    </row>
    <row r="13061" spans="1:26" ht="15" x14ac:dyDescent="0.25">
      <c r="A13061" s="4" t="s">
        <v>13058</v>
      </c>
      <c r="B13061" s="4" t="s">
        <v>9011</v>
      </c>
      <c r="C13061" s="2" t="str">
        <f ca="1">IFERROR(__xludf.DUMMYFUNCTION("GOOGLETRANSLATE(A13061,""bn"",""en"")"),"The hope of peace will decrease in the world")</f>
        <v>The hope of peace will decrease in the world</v>
      </c>
      <c r="D13061" s="5"/>
      <c r="E13061" s="5"/>
      <c r="F13061" s="5"/>
      <c r="G13061" s="5"/>
      <c r="H13061" s="5"/>
      <c r="I13061" s="5"/>
      <c r="J13061" s="5"/>
      <c r="K13061" s="5"/>
      <c r="L13061" s="5"/>
      <c r="M13061" s="5"/>
      <c r="N13061" s="5"/>
      <c r="O13061" s="5"/>
      <c r="P13061" s="5"/>
      <c r="Q13061" s="5"/>
      <c r="R13061" s="5"/>
      <c r="S13061" s="5"/>
      <c r="T13061" s="5"/>
      <c r="U13061" s="5"/>
      <c r="V13061" s="5"/>
      <c r="W13061" s="5"/>
      <c r="X13061" s="5"/>
      <c r="Y13061" s="5"/>
      <c r="Z13061" s="5"/>
    </row>
    <row r="13062" spans="1:26" ht="15" x14ac:dyDescent="0.25">
      <c r="A13062" s="4" t="s">
        <v>13059</v>
      </c>
      <c r="B13062" s="4" t="s">
        <v>9011</v>
      </c>
      <c r="C13062" s="2" t="str">
        <f ca="1">IFERROR(__xludf.DUMMYFUNCTION("GOOGLETRANSLATE(A13062,""bn"",""en"")"),"People will suffer in winter")</f>
        <v>People will suffer in winter</v>
      </c>
      <c r="D13062" s="5"/>
      <c r="E13062" s="5"/>
      <c r="F13062" s="5"/>
      <c r="G13062" s="5"/>
      <c r="H13062" s="5"/>
      <c r="I13062" s="5"/>
      <c r="J13062" s="5"/>
      <c r="K13062" s="5"/>
      <c r="L13062" s="5"/>
      <c r="M13062" s="5"/>
      <c r="N13062" s="5"/>
      <c r="O13062" s="5"/>
      <c r="P13062" s="5"/>
      <c r="Q13062" s="5"/>
      <c r="R13062" s="5"/>
      <c r="S13062" s="5"/>
      <c r="T13062" s="5"/>
      <c r="U13062" s="5"/>
      <c r="V13062" s="5"/>
      <c r="W13062" s="5"/>
      <c r="X13062" s="5"/>
      <c r="Y13062" s="5"/>
      <c r="Z13062" s="5"/>
    </row>
    <row r="13063" spans="1:26" ht="15" x14ac:dyDescent="0.25">
      <c r="A13063" s="4" t="s">
        <v>13060</v>
      </c>
      <c r="B13063" s="4" t="s">
        <v>9011</v>
      </c>
      <c r="C13063" s="2" t="str">
        <f ca="1">IFERROR(__xludf.DUMMYFUNCTION("GOOGLETRANSLATE(A13063,""bn"",""en"")"),"I will display the food in the restaurant")</f>
        <v>I will display the food in the restaurant</v>
      </c>
      <c r="D13063" s="5"/>
      <c r="E13063" s="5"/>
      <c r="F13063" s="5"/>
      <c r="G13063" s="5"/>
      <c r="H13063" s="5"/>
      <c r="I13063" s="5"/>
      <c r="J13063" s="5"/>
      <c r="K13063" s="5"/>
      <c r="L13063" s="5"/>
      <c r="M13063" s="5"/>
      <c r="N13063" s="5"/>
      <c r="O13063" s="5"/>
      <c r="P13063" s="5"/>
      <c r="Q13063" s="5"/>
      <c r="R13063" s="5"/>
      <c r="S13063" s="5"/>
      <c r="T13063" s="5"/>
      <c r="U13063" s="5"/>
      <c r="V13063" s="5"/>
      <c r="W13063" s="5"/>
      <c r="X13063" s="5"/>
      <c r="Y13063" s="5"/>
      <c r="Z13063" s="5"/>
    </row>
    <row r="13064" spans="1:26" ht="15" x14ac:dyDescent="0.25">
      <c r="A13064" s="4" t="s">
        <v>13061</v>
      </c>
      <c r="B13064" s="4" t="s">
        <v>9011</v>
      </c>
      <c r="C13064" s="2" t="str">
        <f ca="1">IFERROR(__xludf.DUMMYFUNCTION("GOOGLETRANSLATE(A13064,""bn"",""en"")"),"This will be the new course")</f>
        <v>This will be the new course</v>
      </c>
      <c r="D13064" s="5"/>
      <c r="E13064" s="5"/>
      <c r="F13064" s="5"/>
      <c r="G13064" s="5"/>
      <c r="H13064" s="5"/>
      <c r="I13064" s="5"/>
      <c r="J13064" s="5"/>
      <c r="K13064" s="5"/>
      <c r="L13064" s="5"/>
      <c r="M13064" s="5"/>
      <c r="N13064" s="5"/>
      <c r="O13064" s="5"/>
      <c r="P13064" s="5"/>
      <c r="Q13064" s="5"/>
      <c r="R13064" s="5"/>
      <c r="S13064" s="5"/>
      <c r="T13064" s="5"/>
      <c r="U13064" s="5"/>
      <c r="V13064" s="5"/>
      <c r="W13064" s="5"/>
      <c r="X13064" s="5"/>
      <c r="Y13064" s="5"/>
      <c r="Z13064" s="5"/>
    </row>
    <row r="13065" spans="1:26" ht="15" x14ac:dyDescent="0.25">
      <c r="A13065" s="4" t="s">
        <v>13062</v>
      </c>
      <c r="B13065" s="4" t="s">
        <v>9011</v>
      </c>
      <c r="C13065" s="2" t="str">
        <f ca="1">IFERROR(__xludf.DUMMYFUNCTION("GOOGLETRANSLATE(A13065,""bn"",""en"")"),"We will hold the passage")</f>
        <v>We will hold the passage</v>
      </c>
      <c r="D13065" s="5"/>
      <c r="E13065" s="5"/>
      <c r="F13065" s="5"/>
      <c r="G13065" s="5"/>
      <c r="H13065" s="5"/>
      <c r="I13065" s="5"/>
      <c r="J13065" s="5"/>
      <c r="K13065" s="5"/>
      <c r="L13065" s="5"/>
      <c r="M13065" s="5"/>
      <c r="N13065" s="5"/>
      <c r="O13065" s="5"/>
      <c r="P13065" s="5"/>
      <c r="Q13065" s="5"/>
      <c r="R13065" s="5"/>
      <c r="S13065" s="5"/>
      <c r="T13065" s="5"/>
      <c r="U13065" s="5"/>
      <c r="V13065" s="5"/>
      <c r="W13065" s="5"/>
      <c r="X13065" s="5"/>
      <c r="Y13065" s="5"/>
      <c r="Z13065" s="5"/>
    </row>
    <row r="13066" spans="1:26" ht="15" x14ac:dyDescent="0.25">
      <c r="A13066" s="4" t="s">
        <v>13063</v>
      </c>
      <c r="B13066" s="4" t="s">
        <v>9011</v>
      </c>
      <c r="C13066" s="2" t="str">
        <f ca="1">IFERROR(__xludf.DUMMYFUNCTION("GOOGLETRANSLATE(A13066,""bn"",""en"")"),"There will be a writer's gathering at the book fair")</f>
        <v>There will be a writer's gathering at the book fair</v>
      </c>
      <c r="D13066" s="5"/>
      <c r="E13066" s="5"/>
      <c r="F13066" s="5"/>
      <c r="G13066" s="5"/>
      <c r="H13066" s="5"/>
      <c r="I13066" s="5"/>
      <c r="J13066" s="5"/>
      <c r="K13066" s="5"/>
      <c r="L13066" s="5"/>
      <c r="M13066" s="5"/>
      <c r="N13066" s="5"/>
      <c r="O13066" s="5"/>
      <c r="P13066" s="5"/>
      <c r="Q13066" s="5"/>
      <c r="R13066" s="5"/>
      <c r="S13066" s="5"/>
      <c r="T13066" s="5"/>
      <c r="U13066" s="5"/>
      <c r="V13066" s="5"/>
      <c r="W13066" s="5"/>
      <c r="X13066" s="5"/>
      <c r="Y13066" s="5"/>
      <c r="Z13066" s="5"/>
    </row>
    <row r="13067" spans="1:26" ht="15" x14ac:dyDescent="0.25">
      <c r="A13067" s="4" t="s">
        <v>13064</v>
      </c>
      <c r="B13067" s="4" t="s">
        <v>9011</v>
      </c>
      <c r="C13067" s="2" t="str">
        <f ca="1">IFERROR(__xludf.DUMMYFUNCTION("GOOGLETRANSLATE(A13067,""bn"",""en"")"),"Everyone will comment on the information")</f>
        <v>Everyone will comment on the information</v>
      </c>
      <c r="D13067" s="5"/>
      <c r="E13067" s="5"/>
      <c r="F13067" s="5"/>
      <c r="G13067" s="5"/>
      <c r="H13067" s="5"/>
      <c r="I13067" s="5"/>
      <c r="J13067" s="5"/>
      <c r="K13067" s="5"/>
      <c r="L13067" s="5"/>
      <c r="M13067" s="5"/>
      <c r="N13067" s="5"/>
      <c r="O13067" s="5"/>
      <c r="P13067" s="5"/>
      <c r="Q13067" s="5"/>
      <c r="R13067" s="5"/>
      <c r="S13067" s="5"/>
      <c r="T13067" s="5"/>
      <c r="U13067" s="5"/>
      <c r="V13067" s="5"/>
      <c r="W13067" s="5"/>
      <c r="X13067" s="5"/>
      <c r="Y13067" s="5"/>
      <c r="Z13067" s="5"/>
    </row>
    <row r="13068" spans="1:26" ht="15" x14ac:dyDescent="0.25">
      <c r="A13068" s="4" t="s">
        <v>13065</v>
      </c>
      <c r="B13068" s="4" t="s">
        <v>9011</v>
      </c>
      <c r="C13068" s="2" t="str">
        <f ca="1">IFERROR(__xludf.DUMMYFUNCTION("GOOGLETRANSLATE(A13068,""bn"",""en"")"),"You will learn banking technology")</f>
        <v>You will learn banking technology</v>
      </c>
      <c r="D13068" s="5"/>
      <c r="E13068" s="5"/>
      <c r="F13068" s="5"/>
      <c r="G13068" s="5"/>
      <c r="H13068" s="5"/>
      <c r="I13068" s="5"/>
      <c r="J13068" s="5"/>
      <c r="K13068" s="5"/>
      <c r="L13068" s="5"/>
      <c r="M13068" s="5"/>
      <c r="N13068" s="5"/>
      <c r="O13068" s="5"/>
      <c r="P13068" s="5"/>
      <c r="Q13068" s="5"/>
      <c r="R13068" s="5"/>
      <c r="S13068" s="5"/>
      <c r="T13068" s="5"/>
      <c r="U13068" s="5"/>
      <c r="V13068" s="5"/>
      <c r="W13068" s="5"/>
      <c r="X13068" s="5"/>
      <c r="Y13068" s="5"/>
      <c r="Z13068" s="5"/>
    </row>
    <row r="13069" spans="1:26" ht="15" x14ac:dyDescent="0.25">
      <c r="A13069" s="4" t="s">
        <v>13066</v>
      </c>
      <c r="B13069" s="4" t="s">
        <v>9011</v>
      </c>
      <c r="C13069" s="2" t="str">
        <f ca="1">IFERROR(__xludf.DUMMYFUNCTION("GOOGLETRANSLATE(A13069,""bn"",""en"")"),"I will continue to read English novels")</f>
        <v>I will continue to read English novels</v>
      </c>
      <c r="D13069" s="5"/>
      <c r="E13069" s="5"/>
      <c r="F13069" s="5"/>
      <c r="G13069" s="5"/>
      <c r="H13069" s="5"/>
      <c r="I13069" s="5"/>
      <c r="J13069" s="5"/>
      <c r="K13069" s="5"/>
      <c r="L13069" s="5"/>
      <c r="M13069" s="5"/>
      <c r="N13069" s="5"/>
      <c r="O13069" s="5"/>
      <c r="P13069" s="5"/>
      <c r="Q13069" s="5"/>
      <c r="R13069" s="5"/>
      <c r="S13069" s="5"/>
      <c r="T13069" s="5"/>
      <c r="U13069" s="5"/>
      <c r="V13069" s="5"/>
      <c r="W13069" s="5"/>
      <c r="X13069" s="5"/>
      <c r="Y13069" s="5"/>
      <c r="Z13069" s="5"/>
    </row>
    <row r="13070" spans="1:26" ht="15" x14ac:dyDescent="0.25">
      <c r="A13070" s="4" t="s">
        <v>13067</v>
      </c>
      <c r="B13070" s="4" t="s">
        <v>9011</v>
      </c>
      <c r="C13070" s="2" t="str">
        <f ca="1">IFERROR(__xludf.DUMMYFUNCTION("GOOGLETRANSLATE(A13070,""bn"",""en"")"),"Citizens' rights should be increased")</f>
        <v>Citizens' rights should be increased</v>
      </c>
      <c r="D13070" s="5"/>
      <c r="E13070" s="5"/>
      <c r="F13070" s="5"/>
      <c r="G13070" s="5"/>
      <c r="H13070" s="5"/>
      <c r="I13070" s="5"/>
      <c r="J13070" s="5"/>
      <c r="K13070" s="5"/>
      <c r="L13070" s="5"/>
      <c r="M13070" s="5"/>
      <c r="N13070" s="5"/>
      <c r="O13070" s="5"/>
      <c r="P13070" s="5"/>
      <c r="Q13070" s="5"/>
      <c r="R13070" s="5"/>
      <c r="S13070" s="5"/>
      <c r="T13070" s="5"/>
      <c r="U13070" s="5"/>
      <c r="V13070" s="5"/>
      <c r="W13070" s="5"/>
      <c r="X13070" s="5"/>
      <c r="Y13070" s="5"/>
      <c r="Z13070" s="5"/>
    </row>
    <row r="13071" spans="1:26" ht="15" x14ac:dyDescent="0.25">
      <c r="A13071" s="4" t="s">
        <v>13068</v>
      </c>
      <c r="B13071" s="4" t="s">
        <v>9011</v>
      </c>
      <c r="C13071" s="2" t="str">
        <f ca="1">IFERROR(__xludf.DUMMYFUNCTION("GOOGLETRANSLATE(A13071,""bn"",""en"")"),"People will cooperate in prevention")</f>
        <v>People will cooperate in prevention</v>
      </c>
      <c r="D13071" s="5"/>
      <c r="E13071" s="5"/>
      <c r="F13071" s="5"/>
      <c r="G13071" s="5"/>
      <c r="H13071" s="5"/>
      <c r="I13071" s="5"/>
      <c r="J13071" s="5"/>
      <c r="K13071" s="5"/>
      <c r="L13071" s="5"/>
      <c r="M13071" s="5"/>
      <c r="N13071" s="5"/>
      <c r="O13071" s="5"/>
      <c r="P13071" s="5"/>
      <c r="Q13071" s="5"/>
      <c r="R13071" s="5"/>
      <c r="S13071" s="5"/>
      <c r="T13071" s="5"/>
      <c r="U13071" s="5"/>
      <c r="V13071" s="5"/>
      <c r="W13071" s="5"/>
      <c r="X13071" s="5"/>
      <c r="Y13071" s="5"/>
      <c r="Z13071" s="5"/>
    </row>
    <row r="13072" spans="1:26" ht="15" x14ac:dyDescent="0.25">
      <c r="A13072" s="4" t="s">
        <v>13069</v>
      </c>
      <c r="B13072" s="4" t="s">
        <v>9011</v>
      </c>
      <c r="C13072" s="2" t="str">
        <f ca="1">IFERROR(__xludf.DUMMYFUNCTION("GOOGLETRANSLATE(A13072,""bn"",""en"")"),"Will become watery in the sea")</f>
        <v>Will become watery in the sea</v>
      </c>
      <c r="D13072" s="5"/>
      <c r="E13072" s="5"/>
      <c r="F13072" s="5"/>
      <c r="G13072" s="5"/>
      <c r="H13072" s="5"/>
      <c r="I13072" s="5"/>
      <c r="J13072" s="5"/>
      <c r="K13072" s="5"/>
      <c r="L13072" s="5"/>
      <c r="M13072" s="5"/>
      <c r="N13072" s="5"/>
      <c r="O13072" s="5"/>
      <c r="P13072" s="5"/>
      <c r="Q13072" s="5"/>
      <c r="R13072" s="5"/>
      <c r="S13072" s="5"/>
      <c r="T13072" s="5"/>
      <c r="U13072" s="5"/>
      <c r="V13072" s="5"/>
      <c r="W13072" s="5"/>
      <c r="X13072" s="5"/>
      <c r="Y13072" s="5"/>
      <c r="Z13072" s="5"/>
    </row>
    <row r="13073" spans="1:26" ht="15" x14ac:dyDescent="0.25">
      <c r="A13073" s="4" t="s">
        <v>13070</v>
      </c>
      <c r="B13073" s="4" t="s">
        <v>9011</v>
      </c>
      <c r="C13073" s="2" t="str">
        <f ca="1">IFERROR(__xludf.DUMMYFUNCTION("GOOGLETRANSLATE(A13073,""bn"",""en"")"),"They will travel for a long time")</f>
        <v>They will travel for a long time</v>
      </c>
      <c r="D13073" s="5"/>
      <c r="E13073" s="5"/>
      <c r="F13073" s="5"/>
      <c r="G13073" s="5"/>
      <c r="H13073" s="5"/>
      <c r="I13073" s="5"/>
      <c r="J13073" s="5"/>
      <c r="K13073" s="5"/>
      <c r="L13073" s="5"/>
      <c r="M13073" s="5"/>
      <c r="N13073" s="5"/>
      <c r="O13073" s="5"/>
      <c r="P13073" s="5"/>
      <c r="Q13073" s="5"/>
      <c r="R13073" s="5"/>
      <c r="S13073" s="5"/>
      <c r="T13073" s="5"/>
      <c r="U13073" s="5"/>
      <c r="V13073" s="5"/>
      <c r="W13073" s="5"/>
      <c r="X13073" s="5"/>
      <c r="Y13073" s="5"/>
      <c r="Z13073" s="5"/>
    </row>
    <row r="13074" spans="1:26" ht="15" x14ac:dyDescent="0.25">
      <c r="A13074" s="4" t="s">
        <v>13071</v>
      </c>
      <c r="B13074" s="4" t="s">
        <v>9011</v>
      </c>
      <c r="C13074" s="2" t="str">
        <f ca="1">IFERROR(__xludf.DUMMYFUNCTION("GOOGLETRANSLATE(A13074,""bn"",""en"")"),"Wikipedia will have a lot of information")</f>
        <v>Wikipedia will have a lot of information</v>
      </c>
      <c r="D13074" s="5"/>
      <c r="E13074" s="5"/>
      <c r="F13074" s="5"/>
      <c r="G13074" s="5"/>
      <c r="H13074" s="5"/>
      <c r="I13074" s="5"/>
      <c r="J13074" s="5"/>
      <c r="K13074" s="5"/>
      <c r="L13074" s="5"/>
      <c r="M13074" s="5"/>
      <c r="N13074" s="5"/>
      <c r="O13074" s="5"/>
      <c r="P13074" s="5"/>
      <c r="Q13074" s="5"/>
      <c r="R13074" s="5"/>
      <c r="S13074" s="5"/>
      <c r="T13074" s="5"/>
      <c r="U13074" s="5"/>
      <c r="V13074" s="5"/>
      <c r="W13074" s="5"/>
      <c r="X13074" s="5"/>
      <c r="Y13074" s="5"/>
      <c r="Z13074" s="5"/>
    </row>
    <row r="13075" spans="1:26" ht="15" x14ac:dyDescent="0.25">
      <c r="A13075" s="4" t="s">
        <v>13072</v>
      </c>
      <c r="B13075" s="4" t="s">
        <v>9011</v>
      </c>
      <c r="C13075" s="2" t="str">
        <f ca="1">IFERROR(__xludf.DUMMYFUNCTION("GOOGLETRANSLATE(A13075,""bn"",""en"")"),"I will come soon to eat")</f>
        <v>I will come soon to eat</v>
      </c>
      <c r="D13075" s="5"/>
      <c r="E13075" s="5"/>
      <c r="F13075" s="5"/>
      <c r="G13075" s="5"/>
      <c r="H13075" s="5"/>
      <c r="I13075" s="5"/>
      <c r="J13075" s="5"/>
      <c r="K13075" s="5"/>
      <c r="L13075" s="5"/>
      <c r="M13075" s="5"/>
      <c r="N13075" s="5"/>
      <c r="O13075" s="5"/>
      <c r="P13075" s="5"/>
      <c r="Q13075" s="5"/>
      <c r="R13075" s="5"/>
      <c r="S13075" s="5"/>
      <c r="T13075" s="5"/>
      <c r="U13075" s="5"/>
      <c r="V13075" s="5"/>
      <c r="W13075" s="5"/>
      <c r="X13075" s="5"/>
      <c r="Y13075" s="5"/>
      <c r="Z13075" s="5"/>
    </row>
    <row r="13076" spans="1:26" ht="15" x14ac:dyDescent="0.25">
      <c r="A13076" s="4" t="s">
        <v>13073</v>
      </c>
      <c r="B13076" s="4" t="s">
        <v>9011</v>
      </c>
      <c r="C13076" s="2" t="str">
        <f ca="1">IFERROR(__xludf.DUMMYFUNCTION("GOOGLETRANSLATE(A13076,""bn"",""en"")"),"They will sit on the train")</f>
        <v>They will sit on the train</v>
      </c>
      <c r="D13076" s="5"/>
      <c r="E13076" s="5"/>
      <c r="F13076" s="5"/>
      <c r="G13076" s="5"/>
      <c r="H13076" s="5"/>
      <c r="I13076" s="5"/>
      <c r="J13076" s="5"/>
      <c r="K13076" s="5"/>
      <c r="L13076" s="5"/>
      <c r="M13076" s="5"/>
      <c r="N13076" s="5"/>
      <c r="O13076" s="5"/>
      <c r="P13076" s="5"/>
      <c r="Q13076" s="5"/>
      <c r="R13076" s="5"/>
      <c r="S13076" s="5"/>
      <c r="T13076" s="5"/>
      <c r="U13076" s="5"/>
      <c r="V13076" s="5"/>
      <c r="W13076" s="5"/>
      <c r="X13076" s="5"/>
      <c r="Y13076" s="5"/>
      <c r="Z13076" s="5"/>
    </row>
    <row r="13077" spans="1:26" ht="15" x14ac:dyDescent="0.25">
      <c r="A13077" s="4" t="s">
        <v>13074</v>
      </c>
      <c r="B13077" s="4" t="s">
        <v>9011</v>
      </c>
      <c r="C13077" s="2" t="str">
        <f ca="1">IFERROR(__xludf.DUMMYFUNCTION("GOOGLETRANSLATE(A13077,""bn"",""en"")"),"I will read literature books")</f>
        <v>I will read literature books</v>
      </c>
      <c r="D13077" s="5"/>
      <c r="E13077" s="5"/>
      <c r="F13077" s="5"/>
      <c r="G13077" s="5"/>
      <c r="H13077" s="5"/>
      <c r="I13077" s="5"/>
      <c r="J13077" s="5"/>
      <c r="K13077" s="5"/>
      <c r="L13077" s="5"/>
      <c r="M13077" s="5"/>
      <c r="N13077" s="5"/>
      <c r="O13077" s="5"/>
      <c r="P13077" s="5"/>
      <c r="Q13077" s="5"/>
      <c r="R13077" s="5"/>
      <c r="S13077" s="5"/>
      <c r="T13077" s="5"/>
      <c r="U13077" s="5"/>
      <c r="V13077" s="5"/>
      <c r="W13077" s="5"/>
      <c r="X13077" s="5"/>
      <c r="Y13077" s="5"/>
      <c r="Z13077" s="5"/>
    </row>
    <row r="13078" spans="1:26" ht="15" x14ac:dyDescent="0.25">
      <c r="A13078" s="4" t="s">
        <v>13075</v>
      </c>
      <c r="B13078" s="4" t="s">
        <v>9011</v>
      </c>
      <c r="C13078" s="2" t="str">
        <f ca="1">IFERROR(__xludf.DUMMYFUNCTION("GOOGLETRANSLATE(A13078,""bn"",""en"")"),"I will hire again")</f>
        <v>I will hire again</v>
      </c>
      <c r="D13078" s="5"/>
      <c r="E13078" s="5"/>
      <c r="F13078" s="5"/>
      <c r="G13078" s="5"/>
      <c r="H13078" s="5"/>
      <c r="I13078" s="5"/>
      <c r="J13078" s="5"/>
      <c r="K13078" s="5"/>
      <c r="L13078" s="5"/>
      <c r="M13078" s="5"/>
      <c r="N13078" s="5"/>
      <c r="O13078" s="5"/>
      <c r="P13078" s="5"/>
      <c r="Q13078" s="5"/>
      <c r="R13078" s="5"/>
      <c r="S13078" s="5"/>
      <c r="T13078" s="5"/>
      <c r="U13078" s="5"/>
      <c r="V13078" s="5"/>
      <c r="W13078" s="5"/>
      <c r="X13078" s="5"/>
      <c r="Y13078" s="5"/>
      <c r="Z13078" s="5"/>
    </row>
    <row r="13079" spans="1:26" ht="15" x14ac:dyDescent="0.25">
      <c r="A13079" s="4" t="s">
        <v>13076</v>
      </c>
      <c r="B13079" s="4" t="s">
        <v>9011</v>
      </c>
      <c r="C13079" s="2" t="str">
        <f ca="1">IFERROR(__xludf.DUMMYFUNCTION("GOOGLETRANSLATE(A13079,""bn"",""en"")"),"I will buy new flowers")</f>
        <v>I will buy new flowers</v>
      </c>
      <c r="D13079" s="5"/>
      <c r="E13079" s="5"/>
      <c r="F13079" s="5"/>
      <c r="G13079" s="5"/>
      <c r="H13079" s="5"/>
      <c r="I13079" s="5"/>
      <c r="J13079" s="5"/>
      <c r="K13079" s="5"/>
      <c r="L13079" s="5"/>
      <c r="M13079" s="5"/>
      <c r="N13079" s="5"/>
      <c r="O13079" s="5"/>
      <c r="P13079" s="5"/>
      <c r="Q13079" s="5"/>
      <c r="R13079" s="5"/>
      <c r="S13079" s="5"/>
      <c r="T13079" s="5"/>
      <c r="U13079" s="5"/>
      <c r="V13079" s="5"/>
      <c r="W13079" s="5"/>
      <c r="X13079" s="5"/>
      <c r="Y13079" s="5"/>
      <c r="Z13079" s="5"/>
    </row>
    <row r="13080" spans="1:26" ht="15" x14ac:dyDescent="0.25">
      <c r="A13080" s="4" t="s">
        <v>13077</v>
      </c>
      <c r="B13080" s="4" t="s">
        <v>9011</v>
      </c>
      <c r="C13080" s="2" t="str">
        <f ca="1">IFERROR(__xludf.DUMMYFUNCTION("GOOGLETRANSLATE(A13080,""bn"",""en"")"),"I will go around by car")</f>
        <v>I will go around by car</v>
      </c>
      <c r="D13080" s="5"/>
      <c r="E13080" s="5"/>
      <c r="F13080" s="5"/>
      <c r="G13080" s="5"/>
      <c r="H13080" s="5"/>
      <c r="I13080" s="5"/>
      <c r="J13080" s="5"/>
      <c r="K13080" s="5"/>
      <c r="L13080" s="5"/>
      <c r="M13080" s="5"/>
      <c r="N13080" s="5"/>
      <c r="O13080" s="5"/>
      <c r="P13080" s="5"/>
      <c r="Q13080" s="5"/>
      <c r="R13080" s="5"/>
      <c r="S13080" s="5"/>
      <c r="T13080" s="5"/>
      <c r="U13080" s="5"/>
      <c r="V13080" s="5"/>
      <c r="W13080" s="5"/>
      <c r="X13080" s="5"/>
      <c r="Y13080" s="5"/>
      <c r="Z13080" s="5"/>
    </row>
    <row r="13081" spans="1:26" ht="15" x14ac:dyDescent="0.25">
      <c r="A13081" s="4" t="s">
        <v>13078</v>
      </c>
      <c r="B13081" s="4" t="s">
        <v>9011</v>
      </c>
      <c r="C13081" s="2" t="str">
        <f ca="1">IFERROR(__xludf.DUMMYFUNCTION("GOOGLETRANSLATE(A13081,""bn"",""en"")"),"New investments will be made tomorrow")</f>
        <v>New investments will be made tomorrow</v>
      </c>
      <c r="D13081" s="5"/>
      <c r="E13081" s="5"/>
      <c r="F13081" s="5"/>
      <c r="G13081" s="5"/>
      <c r="H13081" s="5"/>
      <c r="I13081" s="5"/>
      <c r="J13081" s="5"/>
      <c r="K13081" s="5"/>
      <c r="L13081" s="5"/>
      <c r="M13081" s="5"/>
      <c r="N13081" s="5"/>
      <c r="O13081" s="5"/>
      <c r="P13081" s="5"/>
      <c r="Q13081" s="5"/>
      <c r="R13081" s="5"/>
      <c r="S13081" s="5"/>
      <c r="T13081" s="5"/>
      <c r="U13081" s="5"/>
      <c r="V13081" s="5"/>
      <c r="W13081" s="5"/>
      <c r="X13081" s="5"/>
      <c r="Y13081" s="5"/>
      <c r="Z13081" s="5"/>
    </row>
    <row r="13082" spans="1:26" ht="15" x14ac:dyDescent="0.25">
      <c r="A13082" s="4" t="s">
        <v>13079</v>
      </c>
      <c r="B13082" s="4" t="s">
        <v>9011</v>
      </c>
      <c r="C13082" s="2" t="str">
        <f ca="1">IFERROR(__xludf.DUMMYFUNCTION("GOOGLETRANSLATE(A13082,""bn"",""en"")"),"The budget will increase as necessary")</f>
        <v>The budget will increase as necessary</v>
      </c>
      <c r="D13082" s="5"/>
      <c r="E13082" s="5"/>
      <c r="F13082" s="5"/>
      <c r="G13082" s="5"/>
      <c r="H13082" s="5"/>
      <c r="I13082" s="5"/>
      <c r="J13082" s="5"/>
      <c r="K13082" s="5"/>
      <c r="L13082" s="5"/>
      <c r="M13082" s="5"/>
      <c r="N13082" s="5"/>
      <c r="O13082" s="5"/>
      <c r="P13082" s="5"/>
      <c r="Q13082" s="5"/>
      <c r="R13082" s="5"/>
      <c r="S13082" s="5"/>
      <c r="T13082" s="5"/>
      <c r="U13082" s="5"/>
      <c r="V13082" s="5"/>
      <c r="W13082" s="5"/>
      <c r="X13082" s="5"/>
      <c r="Y13082" s="5"/>
      <c r="Z13082" s="5"/>
    </row>
    <row r="13083" spans="1:26" ht="15" x14ac:dyDescent="0.25">
      <c r="A13083" s="4" t="s">
        <v>13080</v>
      </c>
      <c r="B13083" s="4" t="s">
        <v>9011</v>
      </c>
      <c r="C13083" s="2" t="str">
        <f ca="1">IFERROR(__xludf.DUMMYFUNCTION("GOOGLETRANSLATE(A13083,""bn"",""en"")"),"Everyone will make a movie together")</f>
        <v>Everyone will make a movie together</v>
      </c>
      <c r="D13083" s="5"/>
      <c r="E13083" s="5"/>
      <c r="F13083" s="5"/>
      <c r="G13083" s="5"/>
      <c r="H13083" s="5"/>
      <c r="I13083" s="5"/>
      <c r="J13083" s="5"/>
      <c r="K13083" s="5"/>
      <c r="L13083" s="5"/>
      <c r="M13083" s="5"/>
      <c r="N13083" s="5"/>
      <c r="O13083" s="5"/>
      <c r="P13083" s="5"/>
      <c r="Q13083" s="5"/>
      <c r="R13083" s="5"/>
      <c r="S13083" s="5"/>
      <c r="T13083" s="5"/>
      <c r="U13083" s="5"/>
      <c r="V13083" s="5"/>
      <c r="W13083" s="5"/>
      <c r="X13083" s="5"/>
      <c r="Y13083" s="5"/>
      <c r="Z13083" s="5"/>
    </row>
    <row r="13084" spans="1:26" ht="15" x14ac:dyDescent="0.25">
      <c r="A13084" s="4" t="s">
        <v>13081</v>
      </c>
      <c r="B13084" s="4" t="s">
        <v>9011</v>
      </c>
      <c r="C13084" s="2" t="str">
        <f ca="1">IFERROR(__xludf.DUMMYFUNCTION("GOOGLETRANSLATE(A13084,""bn"",""en"")"),"I will be with the tour guide")</f>
        <v>I will be with the tour guide</v>
      </c>
      <c r="D13084" s="5"/>
      <c r="E13084" s="5"/>
      <c r="F13084" s="5"/>
      <c r="G13084" s="5"/>
      <c r="H13084" s="5"/>
      <c r="I13084" s="5"/>
      <c r="J13084" s="5"/>
      <c r="K13084" s="5"/>
      <c r="L13084" s="5"/>
      <c r="M13084" s="5"/>
      <c r="N13084" s="5"/>
      <c r="O13084" s="5"/>
      <c r="P13084" s="5"/>
      <c r="Q13084" s="5"/>
      <c r="R13084" s="5"/>
      <c r="S13084" s="5"/>
      <c r="T13084" s="5"/>
      <c r="U13084" s="5"/>
      <c r="V13084" s="5"/>
      <c r="W13084" s="5"/>
      <c r="X13084" s="5"/>
      <c r="Y13084" s="5"/>
      <c r="Z13084" s="5"/>
    </row>
    <row r="13085" spans="1:26" ht="15" x14ac:dyDescent="0.25">
      <c r="A13085" s="4" t="s">
        <v>13082</v>
      </c>
      <c r="B13085" s="4" t="s">
        <v>9011</v>
      </c>
      <c r="C13085" s="2" t="str">
        <f ca="1">IFERROR(__xludf.DUMMYFUNCTION("GOOGLETRANSLATE(A13085,""bn"",""en"")"),"Will be ready to defend")</f>
        <v>Will be ready to defend</v>
      </c>
      <c r="D13085" s="5"/>
      <c r="E13085" s="5"/>
      <c r="F13085" s="5"/>
      <c r="G13085" s="5"/>
      <c r="H13085" s="5"/>
      <c r="I13085" s="5"/>
      <c r="J13085" s="5"/>
      <c r="K13085" s="5"/>
      <c r="L13085" s="5"/>
      <c r="M13085" s="5"/>
      <c r="N13085" s="5"/>
      <c r="O13085" s="5"/>
      <c r="P13085" s="5"/>
      <c r="Q13085" s="5"/>
      <c r="R13085" s="5"/>
      <c r="S13085" s="5"/>
      <c r="T13085" s="5"/>
      <c r="U13085" s="5"/>
      <c r="V13085" s="5"/>
      <c r="W13085" s="5"/>
      <c r="X13085" s="5"/>
      <c r="Y13085" s="5"/>
      <c r="Z13085" s="5"/>
    </row>
    <row r="13086" spans="1:26" ht="15" x14ac:dyDescent="0.25">
      <c r="A13086" s="4" t="s">
        <v>13083</v>
      </c>
      <c r="B13086" s="4" t="s">
        <v>9011</v>
      </c>
      <c r="C13086" s="2" t="str">
        <f ca="1">IFERROR(__xludf.DUMMYFUNCTION("GOOGLETRANSLATE(A13086,""bn"",""en"")"),"I will take legal action to protect")</f>
        <v>I will take legal action to protect</v>
      </c>
      <c r="D13086" s="5"/>
      <c r="E13086" s="5"/>
      <c r="F13086" s="5"/>
      <c r="G13086" s="5"/>
      <c r="H13086" s="5"/>
      <c r="I13086" s="5"/>
      <c r="J13086" s="5"/>
      <c r="K13086" s="5"/>
      <c r="L13086" s="5"/>
      <c r="M13086" s="5"/>
      <c r="N13086" s="5"/>
      <c r="O13086" s="5"/>
      <c r="P13086" s="5"/>
      <c r="Q13086" s="5"/>
      <c r="R13086" s="5"/>
      <c r="S13086" s="5"/>
      <c r="T13086" s="5"/>
      <c r="U13086" s="5"/>
      <c r="V13086" s="5"/>
      <c r="W13086" s="5"/>
      <c r="X13086" s="5"/>
      <c r="Y13086" s="5"/>
      <c r="Z13086" s="5"/>
    </row>
    <row r="13087" spans="1:26" ht="15" x14ac:dyDescent="0.25">
      <c r="A13087" s="4" t="s">
        <v>13084</v>
      </c>
      <c r="B13087" s="4" t="s">
        <v>9011</v>
      </c>
      <c r="C13087" s="2" t="str">
        <f ca="1">IFERROR(__xludf.DUMMYFUNCTION("GOOGLETRANSLATE(A13087,""bn"",""en"")"),"The harvest will be after the rains")</f>
        <v>The harvest will be after the rains</v>
      </c>
      <c r="D13087" s="5"/>
      <c r="E13087" s="5"/>
      <c r="F13087" s="5"/>
      <c r="G13087" s="5"/>
      <c r="H13087" s="5"/>
      <c r="I13087" s="5"/>
      <c r="J13087" s="5"/>
      <c r="K13087" s="5"/>
      <c r="L13087" s="5"/>
      <c r="M13087" s="5"/>
      <c r="N13087" s="5"/>
      <c r="O13087" s="5"/>
      <c r="P13087" s="5"/>
      <c r="Q13087" s="5"/>
      <c r="R13087" s="5"/>
      <c r="S13087" s="5"/>
      <c r="T13087" s="5"/>
      <c r="U13087" s="5"/>
      <c r="V13087" s="5"/>
      <c r="W13087" s="5"/>
      <c r="X13087" s="5"/>
      <c r="Y13087" s="5"/>
      <c r="Z13087" s="5"/>
    </row>
    <row r="13088" spans="1:26" ht="15" x14ac:dyDescent="0.25">
      <c r="A13088" s="4" t="s">
        <v>13085</v>
      </c>
      <c r="B13088" s="4" t="s">
        <v>9011</v>
      </c>
      <c r="C13088" s="2" t="str">
        <f ca="1">IFERROR(__xludf.DUMMYFUNCTION("GOOGLETRANSLATE(A13088,""bn"",""en"")"),"She will make chocolate")</f>
        <v>She will make chocolate</v>
      </c>
      <c r="D13088" s="5"/>
      <c r="E13088" s="5"/>
      <c r="F13088" s="5"/>
      <c r="G13088" s="5"/>
      <c r="H13088" s="5"/>
      <c r="I13088" s="5"/>
      <c r="J13088" s="5"/>
      <c r="K13088" s="5"/>
      <c r="L13088" s="5"/>
      <c r="M13088" s="5"/>
      <c r="N13088" s="5"/>
      <c r="O13088" s="5"/>
      <c r="P13088" s="5"/>
      <c r="Q13088" s="5"/>
      <c r="R13088" s="5"/>
      <c r="S13088" s="5"/>
      <c r="T13088" s="5"/>
      <c r="U13088" s="5"/>
      <c r="V13088" s="5"/>
      <c r="W13088" s="5"/>
      <c r="X13088" s="5"/>
      <c r="Y13088" s="5"/>
      <c r="Z13088" s="5"/>
    </row>
    <row r="13089" spans="1:26" ht="15" x14ac:dyDescent="0.25">
      <c r="A13089" s="4" t="s">
        <v>13086</v>
      </c>
      <c r="B13089" s="4" t="s">
        <v>9011</v>
      </c>
      <c r="C13089" s="2" t="str">
        <f ca="1">IFERROR(__xludf.DUMMYFUNCTION("GOOGLETRANSLATE(A13089,""bn"",""en"")"),"We will eat on the train")</f>
        <v>We will eat on the train</v>
      </c>
      <c r="D13089" s="5"/>
      <c r="E13089" s="5"/>
      <c r="F13089" s="5"/>
      <c r="G13089" s="5"/>
      <c r="H13089" s="5"/>
      <c r="I13089" s="5"/>
      <c r="J13089" s="5"/>
      <c r="K13089" s="5"/>
      <c r="L13089" s="5"/>
      <c r="M13089" s="5"/>
      <c r="N13089" s="5"/>
      <c r="O13089" s="5"/>
      <c r="P13089" s="5"/>
      <c r="Q13089" s="5"/>
      <c r="R13089" s="5"/>
      <c r="S13089" s="5"/>
      <c r="T13089" s="5"/>
      <c r="U13089" s="5"/>
      <c r="V13089" s="5"/>
      <c r="W13089" s="5"/>
      <c r="X13089" s="5"/>
      <c r="Y13089" s="5"/>
      <c r="Z13089" s="5"/>
    </row>
    <row r="13090" spans="1:26" ht="15" x14ac:dyDescent="0.25">
      <c r="A13090" s="4" t="s">
        <v>13087</v>
      </c>
      <c r="B13090" s="4" t="s">
        <v>9011</v>
      </c>
      <c r="C13090" s="2" t="str">
        <f ca="1">IFERROR(__xludf.DUMMYFUNCTION("GOOGLETRANSLATE(A13090,""bn"",""en"")"),"Visa card will be used")</f>
        <v>Visa card will be used</v>
      </c>
      <c r="D13090" s="5"/>
      <c r="E13090" s="5"/>
      <c r="F13090" s="5"/>
      <c r="G13090" s="5"/>
      <c r="H13090" s="5"/>
      <c r="I13090" s="5"/>
      <c r="J13090" s="5"/>
      <c r="K13090" s="5"/>
      <c r="L13090" s="5"/>
      <c r="M13090" s="5"/>
      <c r="N13090" s="5"/>
      <c r="O13090" s="5"/>
      <c r="P13090" s="5"/>
      <c r="Q13090" s="5"/>
      <c r="R13090" s="5"/>
      <c r="S13090" s="5"/>
      <c r="T13090" s="5"/>
      <c r="U13090" s="5"/>
      <c r="V13090" s="5"/>
      <c r="W13090" s="5"/>
      <c r="X13090" s="5"/>
      <c r="Y13090" s="5"/>
      <c r="Z13090" s="5"/>
    </row>
    <row r="13091" spans="1:26" ht="15" x14ac:dyDescent="0.25">
      <c r="A13091" s="4" t="s">
        <v>13088</v>
      </c>
      <c r="B13091" s="4" t="s">
        <v>9011</v>
      </c>
      <c r="C13091" s="2" t="str">
        <f ca="1">IFERROR(__xludf.DUMMYFUNCTION("GOOGLETRANSLATE(A13091,""bn"",""en"")"),"Soldiers will conduct operations on the border")</f>
        <v>Soldiers will conduct operations on the border</v>
      </c>
      <c r="D13091" s="5"/>
      <c r="E13091" s="5"/>
      <c r="F13091" s="5"/>
      <c r="G13091" s="5"/>
      <c r="H13091" s="5"/>
      <c r="I13091" s="5"/>
      <c r="J13091" s="5"/>
      <c r="K13091" s="5"/>
      <c r="L13091" s="5"/>
      <c r="M13091" s="5"/>
      <c r="N13091" s="5"/>
      <c r="O13091" s="5"/>
      <c r="P13091" s="5"/>
      <c r="Q13091" s="5"/>
      <c r="R13091" s="5"/>
      <c r="S13091" s="5"/>
      <c r="T13091" s="5"/>
      <c r="U13091" s="5"/>
      <c r="V13091" s="5"/>
      <c r="W13091" s="5"/>
      <c r="X13091" s="5"/>
      <c r="Y13091" s="5"/>
      <c r="Z13091" s="5"/>
    </row>
    <row r="13092" spans="1:26" ht="15" x14ac:dyDescent="0.25">
      <c r="A13092" s="4" t="s">
        <v>13089</v>
      </c>
      <c r="B13092" s="4" t="s">
        <v>9011</v>
      </c>
      <c r="C13092" s="2" t="str">
        <f ca="1">IFERROR(__xludf.DUMMYFUNCTION("GOOGLETRANSLATE(A13092,""bn"",""en"")"),"You will book the hotel")</f>
        <v>You will book the hotel</v>
      </c>
      <c r="D13092" s="5"/>
      <c r="E13092" s="5"/>
      <c r="F13092" s="5"/>
      <c r="G13092" s="5"/>
      <c r="H13092" s="5"/>
      <c r="I13092" s="5"/>
      <c r="J13092" s="5"/>
      <c r="K13092" s="5"/>
      <c r="L13092" s="5"/>
      <c r="M13092" s="5"/>
      <c r="N13092" s="5"/>
      <c r="O13092" s="5"/>
      <c r="P13092" s="5"/>
      <c r="Q13092" s="5"/>
      <c r="R13092" s="5"/>
      <c r="S13092" s="5"/>
      <c r="T13092" s="5"/>
      <c r="U13092" s="5"/>
      <c r="V13092" s="5"/>
      <c r="W13092" s="5"/>
      <c r="X13092" s="5"/>
      <c r="Y13092" s="5"/>
      <c r="Z13092" s="5"/>
    </row>
    <row r="13093" spans="1:26" ht="15" x14ac:dyDescent="0.25">
      <c r="A13093" s="4" t="s">
        <v>13090</v>
      </c>
      <c r="B13093" s="4" t="s">
        <v>9011</v>
      </c>
      <c r="C13093" s="2" t="str">
        <f ca="1">IFERROR(__xludf.DUMMYFUNCTION("GOOGLETRANSLATE(A13093,""bn"",""en"")"),"I will read a new book")</f>
        <v>I will read a new book</v>
      </c>
      <c r="D13093" s="5"/>
      <c r="E13093" s="5"/>
      <c r="F13093" s="5"/>
      <c r="G13093" s="5"/>
      <c r="H13093" s="5"/>
      <c r="I13093" s="5"/>
      <c r="J13093" s="5"/>
      <c r="K13093" s="5"/>
      <c r="L13093" s="5"/>
      <c r="M13093" s="5"/>
      <c r="N13093" s="5"/>
      <c r="O13093" s="5"/>
      <c r="P13093" s="5"/>
      <c r="Q13093" s="5"/>
      <c r="R13093" s="5"/>
      <c r="S13093" s="5"/>
      <c r="T13093" s="5"/>
      <c r="U13093" s="5"/>
      <c r="V13093" s="5"/>
      <c r="W13093" s="5"/>
      <c r="X13093" s="5"/>
      <c r="Y13093" s="5"/>
      <c r="Z13093" s="5"/>
    </row>
    <row r="13094" spans="1:26" ht="15" x14ac:dyDescent="0.25">
      <c r="A13094" s="4" t="s">
        <v>13091</v>
      </c>
      <c r="B13094" s="4" t="s">
        <v>9011</v>
      </c>
      <c r="C13094" s="2" t="str">
        <f ca="1">IFERROR(__xludf.DUMMYFUNCTION("GOOGLETRANSLATE(A13094,""bn"",""en"")"),"New technologies will be discovered")</f>
        <v>New technologies will be discovered</v>
      </c>
      <c r="D13094" s="5"/>
      <c r="E13094" s="5"/>
      <c r="F13094" s="5"/>
      <c r="G13094" s="5"/>
      <c r="H13094" s="5"/>
      <c r="I13094" s="5"/>
      <c r="J13094" s="5"/>
      <c r="K13094" s="5"/>
      <c r="L13094" s="5"/>
      <c r="M13094" s="5"/>
      <c r="N13094" s="5"/>
      <c r="O13094" s="5"/>
      <c r="P13094" s="5"/>
      <c r="Q13094" s="5"/>
      <c r="R13094" s="5"/>
      <c r="S13094" s="5"/>
      <c r="T13094" s="5"/>
      <c r="U13094" s="5"/>
      <c r="V13094" s="5"/>
      <c r="W13094" s="5"/>
      <c r="X13094" s="5"/>
      <c r="Y13094" s="5"/>
      <c r="Z13094" s="5"/>
    </row>
    <row r="13095" spans="1:26" ht="15" x14ac:dyDescent="0.25">
      <c r="A13095" s="4" t="s">
        <v>13092</v>
      </c>
      <c r="B13095" s="4" t="s">
        <v>9011</v>
      </c>
      <c r="C13095" s="2" t="str">
        <f ca="1">IFERROR(__xludf.DUMMYFUNCTION("GOOGLETRANSLATE(A13095,""bn"",""en"")"),"The team will always work")</f>
        <v>The team will always work</v>
      </c>
      <c r="D13095" s="5"/>
      <c r="E13095" s="5"/>
      <c r="F13095" s="5"/>
      <c r="G13095" s="5"/>
      <c r="H13095" s="5"/>
      <c r="I13095" s="5"/>
      <c r="J13095" s="5"/>
      <c r="K13095" s="5"/>
      <c r="L13095" s="5"/>
      <c r="M13095" s="5"/>
      <c r="N13095" s="5"/>
      <c r="O13095" s="5"/>
      <c r="P13095" s="5"/>
      <c r="Q13095" s="5"/>
      <c r="R13095" s="5"/>
      <c r="S13095" s="5"/>
      <c r="T13095" s="5"/>
      <c r="U13095" s="5"/>
      <c r="V13095" s="5"/>
      <c r="W13095" s="5"/>
      <c r="X13095" s="5"/>
      <c r="Y13095" s="5"/>
      <c r="Z13095" s="5"/>
    </row>
    <row r="13096" spans="1:26" ht="15" x14ac:dyDescent="0.25">
      <c r="A13096" s="4" t="s">
        <v>13093</v>
      </c>
      <c r="B13096" s="4" t="s">
        <v>9011</v>
      </c>
      <c r="C13096" s="2" t="str">
        <f ca="1">IFERROR(__xludf.DUMMYFUNCTION("GOOGLETRANSLATE(A13096,""bn"",""en"")"),"You will be the future guide")</f>
        <v>You will be the future guide</v>
      </c>
      <c r="D13096" s="5"/>
      <c r="E13096" s="5"/>
      <c r="F13096" s="5"/>
      <c r="G13096" s="5"/>
      <c r="H13096" s="5"/>
      <c r="I13096" s="5"/>
      <c r="J13096" s="5"/>
      <c r="K13096" s="5"/>
      <c r="L13096" s="5"/>
      <c r="M13096" s="5"/>
      <c r="N13096" s="5"/>
      <c r="O13096" s="5"/>
      <c r="P13096" s="5"/>
      <c r="Q13096" s="5"/>
      <c r="R13096" s="5"/>
      <c r="S13096" s="5"/>
      <c r="T13096" s="5"/>
      <c r="U13096" s="5"/>
      <c r="V13096" s="5"/>
      <c r="W13096" s="5"/>
      <c r="X13096" s="5"/>
      <c r="Y13096" s="5"/>
      <c r="Z13096" s="5"/>
    </row>
    <row r="13097" spans="1:26" ht="15" x14ac:dyDescent="0.25">
      <c r="A13097" s="4" t="s">
        <v>13094</v>
      </c>
      <c r="B13097" s="4" t="s">
        <v>9011</v>
      </c>
      <c r="C13097" s="2" t="str">
        <f ca="1">IFERROR(__xludf.DUMMYFUNCTION("GOOGLETRANSLATE(A13097,""bn"",""en"")"),"I will use the backend framework")</f>
        <v>I will use the backend framework</v>
      </c>
      <c r="D13097" s="5"/>
      <c r="E13097" s="5"/>
      <c r="F13097" s="5"/>
      <c r="G13097" s="5"/>
      <c r="H13097" s="5"/>
      <c r="I13097" s="5"/>
      <c r="J13097" s="5"/>
      <c r="K13097" s="5"/>
      <c r="L13097" s="5"/>
      <c r="M13097" s="5"/>
      <c r="N13097" s="5"/>
      <c r="O13097" s="5"/>
      <c r="P13097" s="5"/>
      <c r="Q13097" s="5"/>
      <c r="R13097" s="5"/>
      <c r="S13097" s="5"/>
      <c r="T13097" s="5"/>
      <c r="U13097" s="5"/>
      <c r="V13097" s="5"/>
      <c r="W13097" s="5"/>
      <c r="X13097" s="5"/>
      <c r="Y13097" s="5"/>
      <c r="Z13097" s="5"/>
    </row>
    <row r="13098" spans="1:26" ht="15" x14ac:dyDescent="0.25">
      <c r="A13098" s="4" t="s">
        <v>13095</v>
      </c>
      <c r="B13098" s="4" t="s">
        <v>9011</v>
      </c>
      <c r="C13098" s="2" t="str">
        <f ca="1">IFERROR(__xludf.DUMMYFUNCTION("GOOGLETRANSLATE(A13098,""bn"",""en"")"),"I will organize an educational conference")</f>
        <v>I will organize an educational conference</v>
      </c>
      <c r="D13098" s="5"/>
      <c r="E13098" s="5"/>
      <c r="F13098" s="5"/>
      <c r="G13098" s="5"/>
      <c r="H13098" s="5"/>
      <c r="I13098" s="5"/>
      <c r="J13098" s="5"/>
      <c r="K13098" s="5"/>
      <c r="L13098" s="5"/>
      <c r="M13098" s="5"/>
      <c r="N13098" s="5"/>
      <c r="O13098" s="5"/>
      <c r="P13098" s="5"/>
      <c r="Q13098" s="5"/>
      <c r="R13098" s="5"/>
      <c r="S13098" s="5"/>
      <c r="T13098" s="5"/>
      <c r="U13098" s="5"/>
      <c r="V13098" s="5"/>
      <c r="W13098" s="5"/>
      <c r="X13098" s="5"/>
      <c r="Y13098" s="5"/>
      <c r="Z13098" s="5"/>
    </row>
    <row r="13099" spans="1:26" ht="15" x14ac:dyDescent="0.25">
      <c r="A13099" s="4" t="s">
        <v>13096</v>
      </c>
      <c r="B13099" s="4" t="s">
        <v>9011</v>
      </c>
      <c r="C13099" s="2" t="str">
        <f ca="1">IFERROR(__xludf.DUMMYFUNCTION("GOOGLETRANSLATE(A13099,""bn"",""en"")"),"He will recite English Shayari")</f>
        <v>He will recite English Shayari</v>
      </c>
      <c r="D13099" s="5"/>
      <c r="E13099" s="5"/>
      <c r="F13099" s="5"/>
      <c r="G13099" s="5"/>
      <c r="H13099" s="5"/>
      <c r="I13099" s="5"/>
      <c r="J13099" s="5"/>
      <c r="K13099" s="5"/>
      <c r="L13099" s="5"/>
      <c r="M13099" s="5"/>
      <c r="N13099" s="5"/>
      <c r="O13099" s="5"/>
      <c r="P13099" s="5"/>
      <c r="Q13099" s="5"/>
      <c r="R13099" s="5"/>
      <c r="S13099" s="5"/>
      <c r="T13099" s="5"/>
      <c r="U13099" s="5"/>
      <c r="V13099" s="5"/>
      <c r="W13099" s="5"/>
      <c r="X13099" s="5"/>
      <c r="Y13099" s="5"/>
      <c r="Z13099" s="5"/>
    </row>
    <row r="13100" spans="1:26" ht="15" x14ac:dyDescent="0.25">
      <c r="A13100" s="4" t="s">
        <v>13097</v>
      </c>
      <c r="B13100" s="4" t="s">
        <v>9011</v>
      </c>
      <c r="C13100" s="2" t="str">
        <f ca="1">IFERROR(__xludf.DUMMYFUNCTION("GOOGLETRANSLATE(A13100,""bn"",""en"")"),"I will visit the country of ice")</f>
        <v>I will visit the country of ice</v>
      </c>
      <c r="D13100" s="5"/>
      <c r="E13100" s="5"/>
      <c r="F13100" s="5"/>
      <c r="G13100" s="5"/>
      <c r="H13100" s="5"/>
      <c r="I13100" s="5"/>
      <c r="J13100" s="5"/>
      <c r="K13100" s="5"/>
      <c r="L13100" s="5"/>
      <c r="M13100" s="5"/>
      <c r="N13100" s="5"/>
      <c r="O13100" s="5"/>
      <c r="P13100" s="5"/>
      <c r="Q13100" s="5"/>
      <c r="R13100" s="5"/>
      <c r="S13100" s="5"/>
      <c r="T13100" s="5"/>
      <c r="U13100" s="5"/>
      <c r="V13100" s="5"/>
      <c r="W13100" s="5"/>
      <c r="X13100" s="5"/>
      <c r="Y13100" s="5"/>
      <c r="Z13100" s="5"/>
    </row>
    <row r="13101" spans="1:26" ht="15" x14ac:dyDescent="0.25">
      <c r="A13101" s="4" t="s">
        <v>13098</v>
      </c>
      <c r="B13101" s="4" t="s">
        <v>9011</v>
      </c>
      <c r="C13101" s="2" t="str">
        <f ca="1">IFERROR(__xludf.DUMMYFUNCTION("GOOGLETRANSLATE(A13101,""bn"",""en"")"),"I would like to major in novels")</f>
        <v>I would like to major in novels</v>
      </c>
      <c r="D13101" s="5"/>
      <c r="E13101" s="5"/>
      <c r="F13101" s="5"/>
      <c r="G13101" s="5"/>
      <c r="H13101" s="5"/>
      <c r="I13101" s="5"/>
      <c r="J13101" s="5"/>
      <c r="K13101" s="5"/>
      <c r="L13101" s="5"/>
      <c r="M13101" s="5"/>
      <c r="N13101" s="5"/>
      <c r="O13101" s="5"/>
      <c r="P13101" s="5"/>
      <c r="Q13101" s="5"/>
      <c r="R13101" s="5"/>
      <c r="S13101" s="5"/>
      <c r="T13101" s="5"/>
      <c r="U13101" s="5"/>
      <c r="V13101" s="5"/>
      <c r="W13101" s="5"/>
      <c r="X13101" s="5"/>
      <c r="Y13101" s="5"/>
      <c r="Z13101" s="5"/>
    </row>
    <row r="13102" spans="1:26" ht="15" x14ac:dyDescent="0.25">
      <c r="A13102" s="4" t="s">
        <v>13099</v>
      </c>
      <c r="B13102" s="4" t="s">
        <v>9011</v>
      </c>
      <c r="C13102" s="2" t="str">
        <f ca="1">IFERROR(__xludf.DUMMYFUNCTION("GOOGLETRANSLATE(A13102,""bn"",""en"")"),"Develop new markets")</f>
        <v>Develop new markets</v>
      </c>
      <c r="D13102" s="5"/>
      <c r="E13102" s="5"/>
      <c r="F13102" s="5"/>
      <c r="G13102" s="5"/>
      <c r="H13102" s="5"/>
      <c r="I13102" s="5"/>
      <c r="J13102" s="5"/>
      <c r="K13102" s="5"/>
      <c r="L13102" s="5"/>
      <c r="M13102" s="5"/>
      <c r="N13102" s="5"/>
      <c r="O13102" s="5"/>
      <c r="P13102" s="5"/>
      <c r="Q13102" s="5"/>
      <c r="R13102" s="5"/>
      <c r="S13102" s="5"/>
      <c r="T13102" s="5"/>
      <c r="U13102" s="5"/>
      <c r="V13102" s="5"/>
      <c r="W13102" s="5"/>
      <c r="X13102" s="5"/>
      <c r="Y13102" s="5"/>
      <c r="Z13102" s="5"/>
    </row>
    <row r="13103" spans="1:26" ht="15" x14ac:dyDescent="0.25">
      <c r="A13103" s="4" t="s">
        <v>13100</v>
      </c>
      <c r="B13103" s="4" t="s">
        <v>9011</v>
      </c>
      <c r="C13103" s="2" t="str">
        <f ca="1">IFERROR(__xludf.DUMMYFUNCTION("GOOGLETRANSLATE(A13103,""bn"",""en"")"),"I will go to see the silent sea")</f>
        <v>I will go to see the silent sea</v>
      </c>
      <c r="D13103" s="5"/>
      <c r="E13103" s="5"/>
      <c r="F13103" s="5"/>
      <c r="G13103" s="5"/>
      <c r="H13103" s="5"/>
      <c r="I13103" s="5"/>
      <c r="J13103" s="5"/>
      <c r="K13103" s="5"/>
      <c r="L13103" s="5"/>
      <c r="M13103" s="5"/>
      <c r="N13103" s="5"/>
      <c r="O13103" s="5"/>
      <c r="P13103" s="5"/>
      <c r="Q13103" s="5"/>
      <c r="R13103" s="5"/>
      <c r="S13103" s="5"/>
      <c r="T13103" s="5"/>
      <c r="U13103" s="5"/>
      <c r="V13103" s="5"/>
      <c r="W13103" s="5"/>
      <c r="X13103" s="5"/>
      <c r="Y13103" s="5"/>
      <c r="Z13103" s="5"/>
    </row>
    <row r="13104" spans="1:26" ht="15" x14ac:dyDescent="0.25">
      <c r="A13104" s="4" t="s">
        <v>13101</v>
      </c>
      <c r="B13104" s="4" t="s">
        <v>9011</v>
      </c>
      <c r="C13104" s="2" t="str">
        <f ca="1">IFERROR(__xludf.DUMMYFUNCTION("GOOGLETRANSLATE(A13104,""bn"",""en"")"),"You will write a novel")</f>
        <v>You will write a novel</v>
      </c>
      <c r="D13104" s="5"/>
      <c r="E13104" s="5"/>
      <c r="F13104" s="5"/>
      <c r="G13104" s="5"/>
      <c r="H13104" s="5"/>
      <c r="I13104" s="5"/>
      <c r="J13104" s="5"/>
      <c r="K13104" s="5"/>
      <c r="L13104" s="5"/>
      <c r="M13104" s="5"/>
      <c r="N13104" s="5"/>
      <c r="O13104" s="5"/>
      <c r="P13104" s="5"/>
      <c r="Q13104" s="5"/>
      <c r="R13104" s="5"/>
      <c r="S13104" s="5"/>
      <c r="T13104" s="5"/>
      <c r="U13104" s="5"/>
      <c r="V13104" s="5"/>
      <c r="W13104" s="5"/>
      <c r="X13104" s="5"/>
      <c r="Y13104" s="5"/>
      <c r="Z13104" s="5"/>
    </row>
    <row r="13105" spans="1:26" ht="15" x14ac:dyDescent="0.25">
      <c r="A13105" s="4" t="s">
        <v>13102</v>
      </c>
      <c r="B13105" s="4" t="s">
        <v>9011</v>
      </c>
      <c r="C13105" s="2" t="str">
        <f ca="1">IFERROR(__xludf.DUMMYFUNCTION("GOOGLETRANSLATE(A13105,""bn"",""en"")"),"Will pay in monthly installments")</f>
        <v>Will pay in monthly installments</v>
      </c>
      <c r="D13105" s="5"/>
      <c r="E13105" s="5"/>
      <c r="F13105" s="5"/>
      <c r="G13105" s="5"/>
      <c r="H13105" s="5"/>
      <c r="I13105" s="5"/>
      <c r="J13105" s="5"/>
      <c r="K13105" s="5"/>
      <c r="L13105" s="5"/>
      <c r="M13105" s="5"/>
      <c r="N13105" s="5"/>
      <c r="O13105" s="5"/>
      <c r="P13105" s="5"/>
      <c r="Q13105" s="5"/>
      <c r="R13105" s="5"/>
      <c r="S13105" s="5"/>
      <c r="T13105" s="5"/>
      <c r="U13105" s="5"/>
      <c r="V13105" s="5"/>
      <c r="W13105" s="5"/>
      <c r="X13105" s="5"/>
      <c r="Y13105" s="5"/>
      <c r="Z13105" s="5"/>
    </row>
    <row r="13106" spans="1:26" ht="15" x14ac:dyDescent="0.25">
      <c r="A13106" s="4" t="s">
        <v>13103</v>
      </c>
      <c r="B13106" s="4" t="s">
        <v>9011</v>
      </c>
      <c r="C13106" s="2" t="str">
        <f ca="1">IFERROR(__xludf.DUMMYFUNCTION("GOOGLETRANSLATE(A13106,""bn"",""en"")"),"Automated home will use")</f>
        <v>Automated home will use</v>
      </c>
      <c r="D13106" s="5"/>
      <c r="E13106" s="5"/>
      <c r="F13106" s="5"/>
      <c r="G13106" s="5"/>
      <c r="H13106" s="5"/>
      <c r="I13106" s="5"/>
      <c r="J13106" s="5"/>
      <c r="K13106" s="5"/>
      <c r="L13106" s="5"/>
      <c r="M13106" s="5"/>
      <c r="N13106" s="5"/>
      <c r="O13106" s="5"/>
      <c r="P13106" s="5"/>
      <c r="Q13106" s="5"/>
      <c r="R13106" s="5"/>
      <c r="S13106" s="5"/>
      <c r="T13106" s="5"/>
      <c r="U13106" s="5"/>
      <c r="V13106" s="5"/>
      <c r="W13106" s="5"/>
      <c r="X13106" s="5"/>
      <c r="Y13106" s="5"/>
      <c r="Z13106" s="5"/>
    </row>
    <row r="13107" spans="1:26" ht="15" x14ac:dyDescent="0.25">
      <c r="A13107" s="4" t="s">
        <v>13104</v>
      </c>
      <c r="B13107" s="4" t="s">
        <v>9011</v>
      </c>
      <c r="C13107" s="2" t="str">
        <f ca="1">IFERROR(__xludf.DUMMYFUNCTION("GOOGLETRANSLATE(A13107,""bn"",""en"")"),"The robot will determine the danger")</f>
        <v>The robot will determine the danger</v>
      </c>
      <c r="D13107" s="5"/>
      <c r="E13107" s="5"/>
      <c r="F13107" s="5"/>
      <c r="G13107" s="5"/>
      <c r="H13107" s="5"/>
      <c r="I13107" s="5"/>
      <c r="J13107" s="5"/>
      <c r="K13107" s="5"/>
      <c r="L13107" s="5"/>
      <c r="M13107" s="5"/>
      <c r="N13107" s="5"/>
      <c r="O13107" s="5"/>
      <c r="P13107" s="5"/>
      <c r="Q13107" s="5"/>
      <c r="R13107" s="5"/>
      <c r="S13107" s="5"/>
      <c r="T13107" s="5"/>
      <c r="U13107" s="5"/>
      <c r="V13107" s="5"/>
      <c r="W13107" s="5"/>
      <c r="X13107" s="5"/>
      <c r="Y13107" s="5"/>
      <c r="Z13107" s="5"/>
    </row>
    <row r="13108" spans="1:26" ht="15" x14ac:dyDescent="0.25">
      <c r="A13108" s="4" t="s">
        <v>13105</v>
      </c>
      <c r="B13108" s="4" t="s">
        <v>9011</v>
      </c>
      <c r="C13108" s="2" t="str">
        <f ca="1">IFERROR(__xludf.DUMMYFUNCTION("GOOGLETRANSLATE(A13108,""bn"",""en"")"),"He will deposit the money")</f>
        <v>He will deposit the money</v>
      </c>
      <c r="D13108" s="5"/>
      <c r="E13108" s="5"/>
      <c r="F13108" s="5"/>
      <c r="G13108" s="5"/>
      <c r="H13108" s="5"/>
      <c r="I13108" s="5"/>
      <c r="J13108" s="5"/>
      <c r="K13108" s="5"/>
      <c r="L13108" s="5"/>
      <c r="M13108" s="5"/>
      <c r="N13108" s="5"/>
      <c r="O13108" s="5"/>
      <c r="P13108" s="5"/>
      <c r="Q13108" s="5"/>
      <c r="R13108" s="5"/>
      <c r="S13108" s="5"/>
      <c r="T13108" s="5"/>
      <c r="U13108" s="5"/>
      <c r="V13108" s="5"/>
      <c r="W13108" s="5"/>
      <c r="X13108" s="5"/>
      <c r="Y13108" s="5"/>
      <c r="Z13108" s="5"/>
    </row>
    <row r="13109" spans="1:26" ht="15" x14ac:dyDescent="0.25">
      <c r="A13109" s="4" t="s">
        <v>13106</v>
      </c>
      <c r="B13109" s="4" t="s">
        <v>9011</v>
      </c>
      <c r="C13109" s="2" t="str">
        <f ca="1">IFERROR(__xludf.DUMMYFUNCTION("GOOGLETRANSLATE(A13109,""bn"",""en"")"),"The sound of the melody will play in the heart")</f>
        <v>The sound of the melody will play in the heart</v>
      </c>
      <c r="D13109" s="5"/>
      <c r="E13109" s="5"/>
      <c r="F13109" s="5"/>
      <c r="G13109" s="5"/>
      <c r="H13109" s="5"/>
      <c r="I13109" s="5"/>
      <c r="J13109" s="5"/>
      <c r="K13109" s="5"/>
      <c r="L13109" s="5"/>
      <c r="M13109" s="5"/>
      <c r="N13109" s="5"/>
      <c r="O13109" s="5"/>
      <c r="P13109" s="5"/>
      <c r="Q13109" s="5"/>
      <c r="R13109" s="5"/>
      <c r="S13109" s="5"/>
      <c r="T13109" s="5"/>
      <c r="U13109" s="5"/>
      <c r="V13109" s="5"/>
      <c r="W13109" s="5"/>
      <c r="X13109" s="5"/>
      <c r="Y13109" s="5"/>
      <c r="Z13109" s="5"/>
    </row>
    <row r="13110" spans="1:26" ht="15" x14ac:dyDescent="0.25">
      <c r="A13110" s="4" t="s">
        <v>13107</v>
      </c>
      <c r="B13110" s="4" t="s">
        <v>9011</v>
      </c>
      <c r="C13110" s="2" t="str">
        <f ca="1">IFERROR(__xludf.DUMMYFUNCTION("GOOGLETRANSLATE(A13110,""bn"",""en"")"),"Outsourcing will increase next year")</f>
        <v>Outsourcing will increase next year</v>
      </c>
      <c r="D13110" s="5"/>
      <c r="E13110" s="5"/>
      <c r="F13110" s="5"/>
      <c r="G13110" s="5"/>
      <c r="H13110" s="5"/>
      <c r="I13110" s="5"/>
      <c r="J13110" s="5"/>
      <c r="K13110" s="5"/>
      <c r="L13110" s="5"/>
      <c r="M13110" s="5"/>
      <c r="N13110" s="5"/>
      <c r="O13110" s="5"/>
      <c r="P13110" s="5"/>
      <c r="Q13110" s="5"/>
      <c r="R13110" s="5"/>
      <c r="S13110" s="5"/>
      <c r="T13110" s="5"/>
      <c r="U13110" s="5"/>
      <c r="V13110" s="5"/>
      <c r="W13110" s="5"/>
      <c r="X13110" s="5"/>
      <c r="Y13110" s="5"/>
      <c r="Z13110" s="5"/>
    </row>
    <row r="13111" spans="1:26" ht="15" x14ac:dyDescent="0.25">
      <c r="A13111" s="4" t="s">
        <v>13108</v>
      </c>
      <c r="B13111" s="4" t="s">
        <v>9011</v>
      </c>
      <c r="C13111" s="2" t="str">
        <f ca="1">IFERROR(__xludf.DUMMYFUNCTION("GOOGLETRANSLATE(A13111,""bn"",""en"")"),"I will be in the bug after the rain")</f>
        <v>I will be in the bug after the rain</v>
      </c>
      <c r="D13111" s="5"/>
      <c r="E13111" s="5"/>
      <c r="F13111" s="5"/>
      <c r="G13111" s="5"/>
      <c r="H13111" s="5"/>
      <c r="I13111" s="5"/>
      <c r="J13111" s="5"/>
      <c r="K13111" s="5"/>
      <c r="L13111" s="5"/>
      <c r="M13111" s="5"/>
      <c r="N13111" s="5"/>
      <c r="O13111" s="5"/>
      <c r="P13111" s="5"/>
      <c r="Q13111" s="5"/>
      <c r="R13111" s="5"/>
      <c r="S13111" s="5"/>
      <c r="T13111" s="5"/>
      <c r="U13111" s="5"/>
      <c r="V13111" s="5"/>
      <c r="W13111" s="5"/>
      <c r="X13111" s="5"/>
      <c r="Y13111" s="5"/>
      <c r="Z13111" s="5"/>
    </row>
    <row r="13112" spans="1:26" ht="15" x14ac:dyDescent="0.25">
      <c r="A13112" s="4" t="s">
        <v>13109</v>
      </c>
      <c r="B13112" s="4" t="s">
        <v>9011</v>
      </c>
      <c r="C13112" s="2" t="str">
        <f ca="1">IFERROR(__xludf.DUMMYFUNCTION("GOOGLETRANSLATE(A13112,""bn"",""en"")"),"He will break his sivings")</f>
        <v>He will break his sivings</v>
      </c>
      <c r="D13112" s="5"/>
      <c r="E13112" s="5"/>
      <c r="F13112" s="5"/>
      <c r="G13112" s="5"/>
      <c r="H13112" s="5"/>
      <c r="I13112" s="5"/>
      <c r="J13112" s="5"/>
      <c r="K13112" s="5"/>
      <c r="L13112" s="5"/>
      <c r="M13112" s="5"/>
      <c r="N13112" s="5"/>
      <c r="O13112" s="5"/>
      <c r="P13112" s="5"/>
      <c r="Q13112" s="5"/>
      <c r="R13112" s="5"/>
      <c r="S13112" s="5"/>
      <c r="T13112" s="5"/>
      <c r="U13112" s="5"/>
      <c r="V13112" s="5"/>
      <c r="W13112" s="5"/>
      <c r="X13112" s="5"/>
      <c r="Y13112" s="5"/>
      <c r="Z13112" s="5"/>
    </row>
    <row r="13113" spans="1:26" ht="15" x14ac:dyDescent="0.25">
      <c r="A13113" s="4" t="s">
        <v>13110</v>
      </c>
      <c r="B13113" s="4" t="s">
        <v>9011</v>
      </c>
      <c r="C13113" s="2" t="str">
        <f ca="1">IFERROR(__xludf.DUMMYFUNCTION("GOOGLETRANSLATE(A13113,""bn"",""en"")"),"I will not use Twitter")</f>
        <v>I will not use Twitter</v>
      </c>
      <c r="D13113" s="5"/>
      <c r="E13113" s="5"/>
      <c r="F13113" s="5"/>
      <c r="G13113" s="5"/>
      <c r="H13113" s="5"/>
      <c r="I13113" s="5"/>
      <c r="J13113" s="5"/>
      <c r="K13113" s="5"/>
      <c r="L13113" s="5"/>
      <c r="M13113" s="5"/>
      <c r="N13113" s="5"/>
      <c r="O13113" s="5"/>
      <c r="P13113" s="5"/>
      <c r="Q13113" s="5"/>
      <c r="R13113" s="5"/>
      <c r="S13113" s="5"/>
      <c r="T13113" s="5"/>
      <c r="U13113" s="5"/>
      <c r="V13113" s="5"/>
      <c r="W13113" s="5"/>
      <c r="X13113" s="5"/>
      <c r="Y13113" s="5"/>
      <c r="Z13113" s="5"/>
    </row>
    <row r="13114" spans="1:26" ht="15" x14ac:dyDescent="0.25">
      <c r="A13114" s="4" t="s">
        <v>13111</v>
      </c>
      <c r="B13114" s="4" t="s">
        <v>9011</v>
      </c>
      <c r="C13114" s="2" t="str">
        <f ca="1">IFERROR(__xludf.DUMMYFUNCTION("GOOGLETRANSLATE(A13114,""bn"",""en"")"),"The army will continue to prepare for war")</f>
        <v>The army will continue to prepare for war</v>
      </c>
      <c r="D13114" s="5"/>
      <c r="E13114" s="5"/>
      <c r="F13114" s="5"/>
      <c r="G13114" s="5"/>
      <c r="H13114" s="5"/>
      <c r="I13114" s="5"/>
      <c r="J13114" s="5"/>
      <c r="K13114" s="5"/>
      <c r="L13114" s="5"/>
      <c r="M13114" s="5"/>
      <c r="N13114" s="5"/>
      <c r="O13114" s="5"/>
      <c r="P13114" s="5"/>
      <c r="Q13114" s="5"/>
      <c r="R13114" s="5"/>
      <c r="S13114" s="5"/>
      <c r="T13114" s="5"/>
      <c r="U13114" s="5"/>
      <c r="V13114" s="5"/>
      <c r="W13114" s="5"/>
      <c r="X13114" s="5"/>
      <c r="Y13114" s="5"/>
      <c r="Z13114" s="5"/>
    </row>
    <row r="13115" spans="1:26" ht="15" x14ac:dyDescent="0.25">
      <c r="A13115" s="4" t="s">
        <v>13112</v>
      </c>
      <c r="B13115" s="4" t="s">
        <v>9011</v>
      </c>
      <c r="C13115" s="2" t="str">
        <f ca="1">IFERROR(__xludf.DUMMYFUNCTION("GOOGLETRANSLATE(A13115,""bn"",""en"")"),"The bank service will be closed")</f>
        <v>The bank service will be closed</v>
      </c>
      <c r="D13115" s="5"/>
      <c r="E13115" s="5"/>
      <c r="F13115" s="5"/>
      <c r="G13115" s="5"/>
      <c r="H13115" s="5"/>
      <c r="I13115" s="5"/>
      <c r="J13115" s="5"/>
      <c r="K13115" s="5"/>
      <c r="L13115" s="5"/>
      <c r="M13115" s="5"/>
      <c r="N13115" s="5"/>
      <c r="O13115" s="5"/>
      <c r="P13115" s="5"/>
      <c r="Q13115" s="5"/>
      <c r="R13115" s="5"/>
      <c r="S13115" s="5"/>
      <c r="T13115" s="5"/>
      <c r="U13115" s="5"/>
      <c r="V13115" s="5"/>
      <c r="W13115" s="5"/>
      <c r="X13115" s="5"/>
      <c r="Y13115" s="5"/>
      <c r="Z13115" s="5"/>
    </row>
    <row r="13116" spans="1:26" ht="15" x14ac:dyDescent="0.25">
      <c r="A13116" s="4" t="s">
        <v>13113</v>
      </c>
      <c r="B13116" s="4" t="s">
        <v>9011</v>
      </c>
      <c r="C13116" s="2" t="str">
        <f ca="1">IFERROR(__xludf.DUMMYFUNCTION("GOOGLETRANSLATE(A13116,""bn"",""en"")"),"Cyclone will come with strong winds")</f>
        <v>Cyclone will come with strong winds</v>
      </c>
      <c r="D13116" s="5"/>
      <c r="E13116" s="5"/>
      <c r="F13116" s="5"/>
      <c r="G13116" s="5"/>
      <c r="H13116" s="5"/>
      <c r="I13116" s="5"/>
      <c r="J13116" s="5"/>
      <c r="K13116" s="5"/>
      <c r="L13116" s="5"/>
      <c r="M13116" s="5"/>
      <c r="N13116" s="5"/>
      <c r="O13116" s="5"/>
      <c r="P13116" s="5"/>
      <c r="Q13116" s="5"/>
      <c r="R13116" s="5"/>
      <c r="S13116" s="5"/>
      <c r="T13116" s="5"/>
      <c r="U13116" s="5"/>
      <c r="V13116" s="5"/>
      <c r="W13116" s="5"/>
      <c r="X13116" s="5"/>
      <c r="Y13116" s="5"/>
      <c r="Z13116" s="5"/>
    </row>
    <row r="13117" spans="1:26" ht="15" x14ac:dyDescent="0.25">
      <c r="A13117" s="4" t="s">
        <v>13114</v>
      </c>
      <c r="B13117" s="4" t="s">
        <v>9011</v>
      </c>
      <c r="C13117" s="2" t="str">
        <f ca="1">IFERROR(__xludf.DUMMYFUNCTION("GOOGLETRANSLATE(A13117,""bn"",""en"")"),"will install the banking application")</f>
        <v>will install the banking application</v>
      </c>
      <c r="D13117" s="5"/>
      <c r="E13117" s="5"/>
      <c r="F13117" s="5"/>
      <c r="G13117" s="5"/>
      <c r="H13117" s="5"/>
      <c r="I13117" s="5"/>
      <c r="J13117" s="5"/>
      <c r="K13117" s="5"/>
      <c r="L13117" s="5"/>
      <c r="M13117" s="5"/>
      <c r="N13117" s="5"/>
      <c r="O13117" s="5"/>
      <c r="P13117" s="5"/>
      <c r="Q13117" s="5"/>
      <c r="R13117" s="5"/>
      <c r="S13117" s="5"/>
      <c r="T13117" s="5"/>
      <c r="U13117" s="5"/>
      <c r="V13117" s="5"/>
      <c r="W13117" s="5"/>
      <c r="X13117" s="5"/>
      <c r="Y13117" s="5"/>
      <c r="Z13117" s="5"/>
    </row>
    <row r="13118" spans="1:26" ht="15" x14ac:dyDescent="0.25">
      <c r="A13118" s="4" t="s">
        <v>13115</v>
      </c>
      <c r="B13118" s="4" t="s">
        <v>9011</v>
      </c>
      <c r="C13118" s="2" t="str">
        <f ca="1">IFERROR(__xludf.DUMMYFUNCTION("GOOGLETRANSLATE(A13118,""bn"",""en"")"),"He will be cast as the villain")</f>
        <v>He will be cast as the villain</v>
      </c>
      <c r="D13118" s="5"/>
      <c r="E13118" s="5"/>
      <c r="F13118" s="5"/>
      <c r="G13118" s="5"/>
      <c r="H13118" s="5"/>
      <c r="I13118" s="5"/>
      <c r="J13118" s="5"/>
      <c r="K13118" s="5"/>
      <c r="L13118" s="5"/>
      <c r="M13118" s="5"/>
      <c r="N13118" s="5"/>
      <c r="O13118" s="5"/>
      <c r="P13118" s="5"/>
      <c r="Q13118" s="5"/>
      <c r="R13118" s="5"/>
      <c r="S13118" s="5"/>
      <c r="T13118" s="5"/>
      <c r="U13118" s="5"/>
      <c r="V13118" s="5"/>
      <c r="W13118" s="5"/>
      <c r="X13118" s="5"/>
      <c r="Y13118" s="5"/>
      <c r="Z13118" s="5"/>
    </row>
    <row r="13119" spans="1:26" ht="15" x14ac:dyDescent="0.25">
      <c r="A13119" s="4" t="s">
        <v>13116</v>
      </c>
      <c r="B13119" s="4" t="s">
        <v>9011</v>
      </c>
      <c r="C13119" s="2" t="str">
        <f ca="1">IFERROR(__xludf.DUMMYFUNCTION("GOOGLETRANSLATE(A13119,""bn"",""en"")"),"Soldiers will demonstrate their presence")</f>
        <v>Soldiers will demonstrate their presence</v>
      </c>
      <c r="D13119" s="5"/>
      <c r="E13119" s="5"/>
      <c r="F13119" s="5"/>
      <c r="G13119" s="5"/>
      <c r="H13119" s="5"/>
      <c r="I13119" s="5"/>
      <c r="J13119" s="5"/>
      <c r="K13119" s="5"/>
      <c r="L13119" s="5"/>
      <c r="M13119" s="5"/>
      <c r="N13119" s="5"/>
      <c r="O13119" s="5"/>
      <c r="P13119" s="5"/>
      <c r="Q13119" s="5"/>
      <c r="R13119" s="5"/>
      <c r="S13119" s="5"/>
      <c r="T13119" s="5"/>
      <c r="U13119" s="5"/>
      <c r="V13119" s="5"/>
      <c r="W13119" s="5"/>
      <c r="X13119" s="5"/>
      <c r="Y13119" s="5"/>
      <c r="Z13119" s="5"/>
    </row>
    <row r="13120" spans="1:26" ht="15" x14ac:dyDescent="0.25">
      <c r="A13120" s="4" t="s">
        <v>13117</v>
      </c>
      <c r="B13120" s="4" t="s">
        <v>9011</v>
      </c>
      <c r="C13120" s="2" t="str">
        <f ca="1">IFERROR(__xludf.DUMMYFUNCTION("GOOGLETRANSLATE(A13120,""bn"",""en"")"),"Friends will go swimming")</f>
        <v>Friends will go swimming</v>
      </c>
      <c r="D13120" s="5"/>
      <c r="E13120" s="5"/>
      <c r="F13120" s="5"/>
      <c r="G13120" s="5"/>
      <c r="H13120" s="5"/>
      <c r="I13120" s="5"/>
      <c r="J13120" s="5"/>
      <c r="K13120" s="5"/>
      <c r="L13120" s="5"/>
      <c r="M13120" s="5"/>
      <c r="N13120" s="5"/>
      <c r="O13120" s="5"/>
      <c r="P13120" s="5"/>
      <c r="Q13120" s="5"/>
      <c r="R13120" s="5"/>
      <c r="S13120" s="5"/>
      <c r="T13120" s="5"/>
      <c r="U13120" s="5"/>
      <c r="V13120" s="5"/>
      <c r="W13120" s="5"/>
      <c r="X13120" s="5"/>
      <c r="Y13120" s="5"/>
      <c r="Z13120" s="5"/>
    </row>
    <row r="13121" spans="1:26" ht="15" x14ac:dyDescent="0.25">
      <c r="A13121" s="4" t="s">
        <v>13118</v>
      </c>
      <c r="B13121" s="4" t="s">
        <v>9011</v>
      </c>
      <c r="C13121" s="2" t="str">
        <f ca="1">IFERROR(__xludf.DUMMYFUNCTION("GOOGLETRANSLATE(A13121,""bn"",""en"")"),"It will be gray after rain")</f>
        <v>It will be gray after rain</v>
      </c>
      <c r="D13121" s="5"/>
      <c r="E13121" s="5"/>
      <c r="F13121" s="5"/>
      <c r="G13121" s="5"/>
      <c r="H13121" s="5"/>
      <c r="I13121" s="5"/>
      <c r="J13121" s="5"/>
      <c r="K13121" s="5"/>
      <c r="L13121" s="5"/>
      <c r="M13121" s="5"/>
      <c r="N13121" s="5"/>
      <c r="O13121" s="5"/>
      <c r="P13121" s="5"/>
      <c r="Q13121" s="5"/>
      <c r="R13121" s="5"/>
      <c r="S13121" s="5"/>
      <c r="T13121" s="5"/>
      <c r="U13121" s="5"/>
      <c r="V13121" s="5"/>
      <c r="W13121" s="5"/>
      <c r="X13121" s="5"/>
      <c r="Y13121" s="5"/>
      <c r="Z13121" s="5"/>
    </row>
    <row r="13122" spans="1:26" ht="15" x14ac:dyDescent="0.25">
      <c r="A13122" s="4" t="s">
        <v>13119</v>
      </c>
      <c r="B13122" s="4" t="s">
        <v>9011</v>
      </c>
      <c r="C13122" s="2" t="str">
        <f ca="1">IFERROR(__xludf.DUMMYFUNCTION("GOOGLETRANSLATE(A13122,""bn"",""en"")"),"Unprotected areas will be mysterious")</f>
        <v>Unprotected areas will be mysterious</v>
      </c>
      <c r="D13122" s="5"/>
      <c r="E13122" s="5"/>
      <c r="F13122" s="5"/>
      <c r="G13122" s="5"/>
      <c r="H13122" s="5"/>
      <c r="I13122" s="5"/>
      <c r="J13122" s="5"/>
      <c r="K13122" s="5"/>
      <c r="L13122" s="5"/>
      <c r="M13122" s="5"/>
      <c r="N13122" s="5"/>
      <c r="O13122" s="5"/>
      <c r="P13122" s="5"/>
      <c r="Q13122" s="5"/>
      <c r="R13122" s="5"/>
      <c r="S13122" s="5"/>
      <c r="T13122" s="5"/>
      <c r="U13122" s="5"/>
      <c r="V13122" s="5"/>
      <c r="W13122" s="5"/>
      <c r="X13122" s="5"/>
      <c r="Y13122" s="5"/>
      <c r="Z13122" s="5"/>
    </row>
    <row r="13123" spans="1:26" ht="15" x14ac:dyDescent="0.25">
      <c r="A13123" s="4" t="s">
        <v>13120</v>
      </c>
      <c r="B13123" s="4" t="s">
        <v>9011</v>
      </c>
      <c r="C13123" s="2" t="str">
        <f ca="1">IFERROR(__xludf.DUMMYFUNCTION("GOOGLETRANSLATE(A13123,""bn"",""en"")"),"I will bowl tomorrow")</f>
        <v>I will bowl tomorrow</v>
      </c>
      <c r="D13123" s="5"/>
      <c r="E13123" s="5"/>
      <c r="F13123" s="5"/>
      <c r="G13123" s="5"/>
      <c r="H13123" s="5"/>
      <c r="I13123" s="5"/>
      <c r="J13123" s="5"/>
      <c r="K13123" s="5"/>
      <c r="L13123" s="5"/>
      <c r="M13123" s="5"/>
      <c r="N13123" s="5"/>
      <c r="O13123" s="5"/>
      <c r="P13123" s="5"/>
      <c r="Q13123" s="5"/>
      <c r="R13123" s="5"/>
      <c r="S13123" s="5"/>
      <c r="T13123" s="5"/>
      <c r="U13123" s="5"/>
      <c r="V13123" s="5"/>
      <c r="W13123" s="5"/>
      <c r="X13123" s="5"/>
      <c r="Y13123" s="5"/>
      <c r="Z13123" s="5"/>
    </row>
    <row r="13124" spans="1:26" ht="15" x14ac:dyDescent="0.25">
      <c r="A13124" s="4" t="s">
        <v>13121</v>
      </c>
      <c r="B13124" s="4" t="s">
        <v>9011</v>
      </c>
      <c r="C13124" s="2" t="str">
        <f ca="1">IFERROR(__xludf.DUMMYFUNCTION("GOOGLETRANSLATE(A13124,""bn"",""en"")"),"Tests will be required to recover")</f>
        <v>Tests will be required to recover</v>
      </c>
      <c r="D13124" s="5"/>
      <c r="E13124" s="5"/>
      <c r="F13124" s="5"/>
      <c r="G13124" s="5"/>
      <c r="H13124" s="5"/>
      <c r="I13124" s="5"/>
      <c r="J13124" s="5"/>
      <c r="K13124" s="5"/>
      <c r="L13124" s="5"/>
      <c r="M13124" s="5"/>
      <c r="N13124" s="5"/>
      <c r="O13124" s="5"/>
      <c r="P13124" s="5"/>
      <c r="Q13124" s="5"/>
      <c r="R13124" s="5"/>
      <c r="S13124" s="5"/>
      <c r="T13124" s="5"/>
      <c r="U13124" s="5"/>
      <c r="V13124" s="5"/>
      <c r="W13124" s="5"/>
      <c r="X13124" s="5"/>
      <c r="Y13124" s="5"/>
      <c r="Z13124" s="5"/>
    </row>
    <row r="13125" spans="1:26" ht="15" x14ac:dyDescent="0.25">
      <c r="A13125" s="4" t="s">
        <v>13122</v>
      </c>
      <c r="B13125" s="4" t="s">
        <v>9011</v>
      </c>
      <c r="C13125" s="2" t="str">
        <f ca="1">IFERROR(__xludf.DUMMYFUNCTION("GOOGLETRANSLATE(A13125,""bn"",""en"")"),"Masters will be done later")</f>
        <v>Masters will be done later</v>
      </c>
      <c r="D13125" s="5"/>
      <c r="E13125" s="5"/>
      <c r="F13125" s="5"/>
      <c r="G13125" s="5"/>
      <c r="H13125" s="5"/>
      <c r="I13125" s="5"/>
      <c r="J13125" s="5"/>
      <c r="K13125" s="5"/>
      <c r="L13125" s="5"/>
      <c r="M13125" s="5"/>
      <c r="N13125" s="5"/>
      <c r="O13125" s="5"/>
      <c r="P13125" s="5"/>
      <c r="Q13125" s="5"/>
      <c r="R13125" s="5"/>
      <c r="S13125" s="5"/>
      <c r="T13125" s="5"/>
      <c r="U13125" s="5"/>
      <c r="V13125" s="5"/>
      <c r="W13125" s="5"/>
      <c r="X13125" s="5"/>
      <c r="Y13125" s="5"/>
      <c r="Z13125" s="5"/>
    </row>
    <row r="13126" spans="1:26" ht="15" x14ac:dyDescent="0.25">
      <c r="A13126" s="4" t="s">
        <v>13123</v>
      </c>
      <c r="B13126" s="4" t="s">
        <v>9011</v>
      </c>
      <c r="C13126" s="2" t="str">
        <f ca="1">IFERROR(__xludf.DUMMYFUNCTION("GOOGLETRANSLATE(A13126,""bn"",""en"")"),"The new tune will be a hit")</f>
        <v>The new tune will be a hit</v>
      </c>
      <c r="D13126" s="5"/>
      <c r="E13126" s="5"/>
      <c r="F13126" s="5"/>
      <c r="G13126" s="5"/>
      <c r="H13126" s="5"/>
      <c r="I13126" s="5"/>
      <c r="J13126" s="5"/>
      <c r="K13126" s="5"/>
      <c r="L13126" s="5"/>
      <c r="M13126" s="5"/>
      <c r="N13126" s="5"/>
      <c r="O13126" s="5"/>
      <c r="P13126" s="5"/>
      <c r="Q13126" s="5"/>
      <c r="R13126" s="5"/>
      <c r="S13126" s="5"/>
      <c r="T13126" s="5"/>
      <c r="U13126" s="5"/>
      <c r="V13126" s="5"/>
      <c r="W13126" s="5"/>
      <c r="X13126" s="5"/>
      <c r="Y13126" s="5"/>
      <c r="Z13126" s="5"/>
    </row>
    <row r="13127" spans="1:26" ht="15" x14ac:dyDescent="0.25">
      <c r="A13127" s="4" t="s">
        <v>13124</v>
      </c>
      <c r="B13127" s="4" t="s">
        <v>9011</v>
      </c>
      <c r="C13127" s="2" t="str">
        <f ca="1">IFERROR(__xludf.DUMMYFUNCTION("GOOGLETRANSLATE(A13127,""bn"",""en"")"),"The program will create the executable")</f>
        <v>The program will create the executable</v>
      </c>
      <c r="D13127" s="5"/>
      <c r="E13127" s="5"/>
      <c r="F13127" s="5"/>
      <c r="G13127" s="5"/>
      <c r="H13127" s="5"/>
      <c r="I13127" s="5"/>
      <c r="J13127" s="5"/>
      <c r="K13127" s="5"/>
      <c r="L13127" s="5"/>
      <c r="M13127" s="5"/>
      <c r="N13127" s="5"/>
      <c r="O13127" s="5"/>
      <c r="P13127" s="5"/>
      <c r="Q13127" s="5"/>
      <c r="R13127" s="5"/>
      <c r="S13127" s="5"/>
      <c r="T13127" s="5"/>
      <c r="U13127" s="5"/>
      <c r="V13127" s="5"/>
      <c r="W13127" s="5"/>
      <c r="X13127" s="5"/>
      <c r="Y13127" s="5"/>
      <c r="Z13127" s="5"/>
    </row>
    <row r="13128" spans="1:26" ht="15" x14ac:dyDescent="0.25">
      <c r="A13128" s="4" t="s">
        <v>13125</v>
      </c>
      <c r="B13128" s="4" t="s">
        <v>9011</v>
      </c>
      <c r="C13128" s="2" t="str">
        <f ca="1">IFERROR(__xludf.DUMMYFUNCTION("GOOGLETRANSLATE(A13128,""bn"",""en"")"),"No play if it rains")</f>
        <v>No play if it rains</v>
      </c>
      <c r="D13128" s="5"/>
      <c r="E13128" s="5"/>
      <c r="F13128" s="5"/>
      <c r="G13128" s="5"/>
      <c r="H13128" s="5"/>
      <c r="I13128" s="5"/>
      <c r="J13128" s="5"/>
      <c r="K13128" s="5"/>
      <c r="L13128" s="5"/>
      <c r="M13128" s="5"/>
      <c r="N13128" s="5"/>
      <c r="O13128" s="5"/>
      <c r="P13128" s="5"/>
      <c r="Q13128" s="5"/>
      <c r="R13128" s="5"/>
      <c r="S13128" s="5"/>
      <c r="T13128" s="5"/>
      <c r="U13128" s="5"/>
      <c r="V13128" s="5"/>
      <c r="W13128" s="5"/>
      <c r="X13128" s="5"/>
      <c r="Y13128" s="5"/>
      <c r="Z13128" s="5"/>
    </row>
    <row r="13129" spans="1:26" ht="15" x14ac:dyDescent="0.25">
      <c r="A13129" s="4" t="s">
        <v>13126</v>
      </c>
      <c r="B13129" s="4" t="s">
        <v>9011</v>
      </c>
      <c r="C13129" s="2" t="str">
        <f ca="1">IFERROR(__xludf.DUMMYFUNCTION("GOOGLETRANSLATE(A13129,""bn"",""en"")"),"I will develop the app")</f>
        <v>I will develop the app</v>
      </c>
      <c r="D13129" s="5"/>
      <c r="E13129" s="5"/>
      <c r="F13129" s="5"/>
      <c r="G13129" s="5"/>
      <c r="H13129" s="5"/>
      <c r="I13129" s="5"/>
      <c r="J13129" s="5"/>
      <c r="K13129" s="5"/>
      <c r="L13129" s="5"/>
      <c r="M13129" s="5"/>
      <c r="N13129" s="5"/>
      <c r="O13129" s="5"/>
      <c r="P13129" s="5"/>
      <c r="Q13129" s="5"/>
      <c r="R13129" s="5"/>
      <c r="S13129" s="5"/>
      <c r="T13129" s="5"/>
      <c r="U13129" s="5"/>
      <c r="V13129" s="5"/>
      <c r="W13129" s="5"/>
      <c r="X13129" s="5"/>
      <c r="Y13129" s="5"/>
      <c r="Z13129" s="5"/>
    </row>
    <row r="13130" spans="1:26" ht="15" x14ac:dyDescent="0.25">
      <c r="A13130" s="4" t="s">
        <v>13127</v>
      </c>
      <c r="B13130" s="4" t="s">
        <v>9011</v>
      </c>
      <c r="C13130" s="2" t="str">
        <f ca="1">IFERROR(__xludf.DUMMYFUNCTION("GOOGLETRANSLATE(A13130,""bn"",""en"")"),"Women will be the head of the organization")</f>
        <v>Women will be the head of the organization</v>
      </c>
      <c r="D13130" s="5"/>
      <c r="E13130" s="5"/>
      <c r="F13130" s="5"/>
      <c r="G13130" s="5"/>
      <c r="H13130" s="5"/>
      <c r="I13130" s="5"/>
      <c r="J13130" s="5"/>
      <c r="K13130" s="5"/>
      <c r="L13130" s="5"/>
      <c r="M13130" s="5"/>
      <c r="N13130" s="5"/>
      <c r="O13130" s="5"/>
      <c r="P13130" s="5"/>
      <c r="Q13130" s="5"/>
      <c r="R13130" s="5"/>
      <c r="S13130" s="5"/>
      <c r="T13130" s="5"/>
      <c r="U13130" s="5"/>
      <c r="V13130" s="5"/>
      <c r="W13130" s="5"/>
      <c r="X13130" s="5"/>
      <c r="Y13130" s="5"/>
      <c r="Z13130" s="5"/>
    </row>
    <row r="13131" spans="1:26" ht="15" x14ac:dyDescent="0.25">
      <c r="A13131" s="4" t="s">
        <v>13128</v>
      </c>
      <c r="B13131" s="4" t="s">
        <v>9011</v>
      </c>
      <c r="C13131" s="2" t="str">
        <f ca="1">IFERROR(__xludf.DUMMYFUNCTION("GOOGLETRANSLATE(A13131,""bn"",""en"")"),"They will make the basketball team")</f>
        <v>They will make the basketball team</v>
      </c>
      <c r="D13131" s="5"/>
      <c r="E13131" s="5"/>
      <c r="F13131" s="5"/>
      <c r="G13131" s="5"/>
      <c r="H13131" s="5"/>
      <c r="I13131" s="5"/>
      <c r="J13131" s="5"/>
      <c r="K13131" s="5"/>
      <c r="L13131" s="5"/>
      <c r="M13131" s="5"/>
      <c r="N13131" s="5"/>
      <c r="O13131" s="5"/>
      <c r="P13131" s="5"/>
      <c r="Q13131" s="5"/>
      <c r="R13131" s="5"/>
      <c r="S13131" s="5"/>
      <c r="T13131" s="5"/>
      <c r="U13131" s="5"/>
      <c r="V13131" s="5"/>
      <c r="W13131" s="5"/>
      <c r="X13131" s="5"/>
      <c r="Y13131" s="5"/>
      <c r="Z13131" s="5"/>
    </row>
    <row r="13132" spans="1:26" ht="15" x14ac:dyDescent="0.25">
      <c r="A13132" s="4" t="s">
        <v>13129</v>
      </c>
      <c r="B13132" s="4" t="s">
        <v>9011</v>
      </c>
      <c r="C13132" s="2" t="str">
        <f ca="1">IFERROR(__xludf.DUMMYFUNCTION("GOOGLETRANSLATE(A13132,""bn"",""en"")"),"Software testing will be taught")</f>
        <v>Software testing will be taught</v>
      </c>
      <c r="D13132" s="5"/>
      <c r="E13132" s="5"/>
      <c r="F13132" s="5"/>
      <c r="G13132" s="5"/>
      <c r="H13132" s="5"/>
      <c r="I13132" s="5"/>
      <c r="J13132" s="5"/>
      <c r="K13132" s="5"/>
      <c r="L13132" s="5"/>
      <c r="M13132" s="5"/>
      <c r="N13132" s="5"/>
      <c r="O13132" s="5"/>
      <c r="P13132" s="5"/>
      <c r="Q13132" s="5"/>
      <c r="R13132" s="5"/>
      <c r="S13132" s="5"/>
      <c r="T13132" s="5"/>
      <c r="U13132" s="5"/>
      <c r="V13132" s="5"/>
      <c r="W13132" s="5"/>
      <c r="X13132" s="5"/>
      <c r="Y13132" s="5"/>
      <c r="Z13132" s="5"/>
    </row>
    <row r="13133" spans="1:26" ht="15" x14ac:dyDescent="0.25">
      <c r="A13133" s="4" t="s">
        <v>13130</v>
      </c>
      <c r="B13133" s="4" t="s">
        <v>9011</v>
      </c>
      <c r="C13133" s="2" t="str">
        <f ca="1">IFERROR(__xludf.DUMMYFUNCTION("GOOGLETRANSLATE(A13133,""bn"",""en"")"),"Read more English literature")</f>
        <v>Read more English literature</v>
      </c>
      <c r="D13133" s="5"/>
      <c r="E13133" s="5"/>
      <c r="F13133" s="5"/>
      <c r="G13133" s="5"/>
      <c r="H13133" s="5"/>
      <c r="I13133" s="5"/>
      <c r="J13133" s="5"/>
      <c r="K13133" s="5"/>
      <c r="L13133" s="5"/>
      <c r="M13133" s="5"/>
      <c r="N13133" s="5"/>
      <c r="O13133" s="5"/>
      <c r="P13133" s="5"/>
      <c r="Q13133" s="5"/>
      <c r="R13133" s="5"/>
      <c r="S13133" s="5"/>
      <c r="T13133" s="5"/>
      <c r="U13133" s="5"/>
      <c r="V13133" s="5"/>
      <c r="W13133" s="5"/>
      <c r="X13133" s="5"/>
      <c r="Y13133" s="5"/>
      <c r="Z13133" s="5"/>
    </row>
    <row r="13134" spans="1:26" ht="15" x14ac:dyDescent="0.25">
      <c r="A13134" s="4" t="s">
        <v>13131</v>
      </c>
      <c r="B13134" s="4" t="s">
        <v>9011</v>
      </c>
      <c r="C13134" s="2" t="str">
        <f ca="1">IFERROR(__xludf.DUMMYFUNCTION("GOOGLETRANSLATE(A13134,""bn"",""en"")"),"Patient will have specific rules")</f>
        <v>Patient will have specific rules</v>
      </c>
      <c r="D13134" s="5"/>
      <c r="E13134" s="5"/>
      <c r="F13134" s="5"/>
      <c r="G13134" s="5"/>
      <c r="H13134" s="5"/>
      <c r="I13134" s="5"/>
      <c r="J13134" s="5"/>
      <c r="K13134" s="5"/>
      <c r="L13134" s="5"/>
      <c r="M13134" s="5"/>
      <c r="N13134" s="5"/>
      <c r="O13134" s="5"/>
      <c r="P13134" s="5"/>
      <c r="Q13134" s="5"/>
      <c r="R13134" s="5"/>
      <c r="S13134" s="5"/>
      <c r="T13134" s="5"/>
      <c r="U13134" s="5"/>
      <c r="V13134" s="5"/>
      <c r="W13134" s="5"/>
      <c r="X13134" s="5"/>
      <c r="Y13134" s="5"/>
      <c r="Z13134" s="5"/>
    </row>
    <row r="13135" spans="1:26" ht="15" x14ac:dyDescent="0.25">
      <c r="A13135" s="4" t="s">
        <v>13132</v>
      </c>
      <c r="B13135" s="4" t="s">
        <v>9011</v>
      </c>
      <c r="C13135" s="2" t="str">
        <f ca="1">IFERROR(__xludf.DUMMYFUNCTION("GOOGLETRANSLATE(A13135,""bn"",""en"")"),"Talk by song")</f>
        <v>Talk by song</v>
      </c>
      <c r="D13135" s="5"/>
      <c r="E13135" s="5"/>
      <c r="F13135" s="5"/>
      <c r="G13135" s="5"/>
      <c r="H13135" s="5"/>
      <c r="I13135" s="5"/>
      <c r="J13135" s="5"/>
      <c r="K13135" s="5"/>
      <c r="L13135" s="5"/>
      <c r="M13135" s="5"/>
      <c r="N13135" s="5"/>
      <c r="O13135" s="5"/>
      <c r="P13135" s="5"/>
      <c r="Q13135" s="5"/>
      <c r="R13135" s="5"/>
      <c r="S13135" s="5"/>
      <c r="T13135" s="5"/>
      <c r="U13135" s="5"/>
      <c r="V13135" s="5"/>
      <c r="W13135" s="5"/>
      <c r="X13135" s="5"/>
      <c r="Y13135" s="5"/>
      <c r="Z13135" s="5"/>
    </row>
    <row r="13136" spans="1:26" ht="15" x14ac:dyDescent="0.25">
      <c r="A13136" s="4" t="s">
        <v>13133</v>
      </c>
      <c r="B13136" s="4" t="s">
        <v>9011</v>
      </c>
      <c r="C13136" s="2" t="str">
        <f ca="1">IFERROR(__xludf.DUMMYFUNCTION("GOOGLETRANSLATE(A13136,""bn"",""en"")"),"The country will be cold in winter")</f>
        <v>The country will be cold in winter</v>
      </c>
      <c r="D13136" s="5"/>
      <c r="E13136" s="5"/>
      <c r="F13136" s="5"/>
      <c r="G13136" s="5"/>
      <c r="H13136" s="5"/>
      <c r="I13136" s="5"/>
      <c r="J13136" s="5"/>
      <c r="K13136" s="5"/>
      <c r="L13136" s="5"/>
      <c r="M13136" s="5"/>
      <c r="N13136" s="5"/>
      <c r="O13136" s="5"/>
      <c r="P13136" s="5"/>
      <c r="Q13136" s="5"/>
      <c r="R13136" s="5"/>
      <c r="S13136" s="5"/>
      <c r="T13136" s="5"/>
      <c r="U13136" s="5"/>
      <c r="V13136" s="5"/>
      <c r="W13136" s="5"/>
      <c r="X13136" s="5"/>
      <c r="Y13136" s="5"/>
      <c r="Z13136" s="5"/>
    </row>
    <row r="13137" spans="1:26" ht="15" x14ac:dyDescent="0.25">
      <c r="A13137" s="4" t="s">
        <v>13134</v>
      </c>
      <c r="B13137" s="4" t="s">
        <v>9011</v>
      </c>
      <c r="C13137" s="2" t="str">
        <f ca="1">IFERROR(__xludf.DUMMYFUNCTION("GOOGLETRANSLATE(A13137,""bn"",""en"")"),"Water will be given daily")</f>
        <v>Water will be given daily</v>
      </c>
      <c r="D13137" s="5"/>
      <c r="E13137" s="5"/>
      <c r="F13137" s="5"/>
      <c r="G13137" s="5"/>
      <c r="H13137" s="5"/>
      <c r="I13137" s="5"/>
      <c r="J13137" s="5"/>
      <c r="K13137" s="5"/>
      <c r="L13137" s="5"/>
      <c r="M13137" s="5"/>
      <c r="N13137" s="5"/>
      <c r="O13137" s="5"/>
      <c r="P13137" s="5"/>
      <c r="Q13137" s="5"/>
      <c r="R13137" s="5"/>
      <c r="S13137" s="5"/>
      <c r="T13137" s="5"/>
      <c r="U13137" s="5"/>
      <c r="V13137" s="5"/>
      <c r="W13137" s="5"/>
      <c r="X13137" s="5"/>
      <c r="Y13137" s="5"/>
      <c r="Z13137" s="5"/>
    </row>
    <row r="13138" spans="1:26" ht="15" x14ac:dyDescent="0.25">
      <c r="A13138" s="4" t="s">
        <v>13135</v>
      </c>
      <c r="B13138" s="4" t="s">
        <v>9011</v>
      </c>
      <c r="C13138" s="2" t="str">
        <f ca="1">IFERROR(__xludf.DUMMYFUNCTION("GOOGLETRANSLATE(A13138,""bn"",""en"")"),"He will buy water and eat")</f>
        <v>He will buy water and eat</v>
      </c>
      <c r="D13138" s="5"/>
      <c r="E13138" s="5"/>
      <c r="F13138" s="5"/>
      <c r="G13138" s="5"/>
      <c r="H13138" s="5"/>
      <c r="I13138" s="5"/>
      <c r="J13138" s="5"/>
      <c r="K13138" s="5"/>
      <c r="L13138" s="5"/>
      <c r="M13138" s="5"/>
      <c r="N13138" s="5"/>
      <c r="O13138" s="5"/>
      <c r="P13138" s="5"/>
      <c r="Q13138" s="5"/>
      <c r="R13138" s="5"/>
      <c r="S13138" s="5"/>
      <c r="T13138" s="5"/>
      <c r="U13138" s="5"/>
      <c r="V13138" s="5"/>
      <c r="W13138" s="5"/>
      <c r="X13138" s="5"/>
      <c r="Y13138" s="5"/>
      <c r="Z13138" s="5"/>
    </row>
    <row r="13139" spans="1:26" ht="15" x14ac:dyDescent="0.25">
      <c r="A13139" s="4" t="s">
        <v>13136</v>
      </c>
      <c r="B13139" s="4" t="s">
        <v>9011</v>
      </c>
      <c r="C13139" s="2" t="str">
        <f ca="1">IFERROR(__xludf.DUMMYFUNCTION("GOOGLETRANSLATE(A13139,""bn"",""en"")"),"I will spend time sitting in the restaurant")</f>
        <v>I will spend time sitting in the restaurant</v>
      </c>
      <c r="D13139" s="5"/>
      <c r="E13139" s="5"/>
      <c r="F13139" s="5"/>
      <c r="G13139" s="5"/>
      <c r="H13139" s="5"/>
      <c r="I13139" s="5"/>
      <c r="J13139" s="5"/>
      <c r="K13139" s="5"/>
      <c r="L13139" s="5"/>
      <c r="M13139" s="5"/>
      <c r="N13139" s="5"/>
      <c r="O13139" s="5"/>
      <c r="P13139" s="5"/>
      <c r="Q13139" s="5"/>
      <c r="R13139" s="5"/>
      <c r="S13139" s="5"/>
      <c r="T13139" s="5"/>
      <c r="U13139" s="5"/>
      <c r="V13139" s="5"/>
      <c r="W13139" s="5"/>
      <c r="X13139" s="5"/>
      <c r="Y13139" s="5"/>
      <c r="Z13139" s="5"/>
    </row>
    <row r="13140" spans="1:26" ht="15" x14ac:dyDescent="0.25">
      <c r="A13140" s="4" t="s">
        <v>13137</v>
      </c>
      <c r="B13140" s="4" t="s">
        <v>9011</v>
      </c>
      <c r="C13140" s="2" t="str">
        <f ca="1">IFERROR(__xludf.DUMMYFUNCTION("GOOGLETRANSLATE(A13140,""bn"",""en"")"),"Data science requires Python")</f>
        <v>Data science requires Python</v>
      </c>
      <c r="D13140" s="5"/>
      <c r="E13140" s="5"/>
      <c r="F13140" s="5"/>
      <c r="G13140" s="5"/>
      <c r="H13140" s="5"/>
      <c r="I13140" s="5"/>
      <c r="J13140" s="5"/>
      <c r="K13140" s="5"/>
      <c r="L13140" s="5"/>
      <c r="M13140" s="5"/>
      <c r="N13140" s="5"/>
      <c r="O13140" s="5"/>
      <c r="P13140" s="5"/>
      <c r="Q13140" s="5"/>
      <c r="R13140" s="5"/>
      <c r="S13140" s="5"/>
      <c r="T13140" s="5"/>
      <c r="U13140" s="5"/>
      <c r="V13140" s="5"/>
      <c r="W13140" s="5"/>
      <c r="X13140" s="5"/>
      <c r="Y13140" s="5"/>
      <c r="Z13140" s="5"/>
    </row>
    <row r="13141" spans="1:26" ht="15" x14ac:dyDescent="0.25">
      <c r="A13141" s="4" t="s">
        <v>13138</v>
      </c>
      <c r="B13141" s="4" t="s">
        <v>9011</v>
      </c>
      <c r="C13141" s="2" t="str">
        <f ca="1">IFERROR(__xludf.DUMMYFUNCTION("GOOGLETRANSLATE(A13141,""bn"",""en"")"),"Essays will be created in ideals")</f>
        <v>Essays will be created in ideals</v>
      </c>
      <c r="D13141" s="5"/>
      <c r="E13141" s="5"/>
      <c r="F13141" s="5"/>
      <c r="G13141" s="5"/>
      <c r="H13141" s="5"/>
      <c r="I13141" s="5"/>
      <c r="J13141" s="5"/>
      <c r="K13141" s="5"/>
      <c r="L13141" s="5"/>
      <c r="M13141" s="5"/>
      <c r="N13141" s="5"/>
      <c r="O13141" s="5"/>
      <c r="P13141" s="5"/>
      <c r="Q13141" s="5"/>
      <c r="R13141" s="5"/>
      <c r="S13141" s="5"/>
      <c r="T13141" s="5"/>
      <c r="U13141" s="5"/>
      <c r="V13141" s="5"/>
      <c r="W13141" s="5"/>
      <c r="X13141" s="5"/>
      <c r="Y13141" s="5"/>
      <c r="Z13141" s="5"/>
    </row>
    <row r="13142" spans="1:26" ht="15" x14ac:dyDescent="0.25">
      <c r="A13142" s="4" t="s">
        <v>13139</v>
      </c>
      <c r="B13142" s="4" t="s">
        <v>9011</v>
      </c>
      <c r="C13142" s="2" t="str">
        <f ca="1">IFERROR(__xludf.DUMMYFUNCTION("GOOGLETRANSLATE(A13142,""bn"",""en"")"),"Will study biohacking theory")</f>
        <v>Will study biohacking theory</v>
      </c>
      <c r="D13142" s="5"/>
      <c r="E13142" s="5"/>
      <c r="F13142" s="5"/>
      <c r="G13142" s="5"/>
      <c r="H13142" s="5"/>
      <c r="I13142" s="5"/>
      <c r="J13142" s="5"/>
      <c r="K13142" s="5"/>
      <c r="L13142" s="5"/>
      <c r="M13142" s="5"/>
      <c r="N13142" s="5"/>
      <c r="O13142" s="5"/>
      <c r="P13142" s="5"/>
      <c r="Q13142" s="5"/>
      <c r="R13142" s="5"/>
      <c r="S13142" s="5"/>
      <c r="T13142" s="5"/>
      <c r="U13142" s="5"/>
      <c r="V13142" s="5"/>
      <c r="W13142" s="5"/>
      <c r="X13142" s="5"/>
      <c r="Y13142" s="5"/>
      <c r="Z13142" s="5"/>
    </row>
    <row r="13143" spans="1:26" ht="15" x14ac:dyDescent="0.25">
      <c r="A13143" s="4" t="s">
        <v>13140</v>
      </c>
      <c r="B13143" s="4" t="s">
        <v>9011</v>
      </c>
      <c r="C13143" s="2" t="str">
        <f ca="1">IFERROR(__xludf.DUMMYFUNCTION("GOOGLETRANSLATE(A13143,""bn"",""en"")"),"The sunset in the sea will be colorful")</f>
        <v>The sunset in the sea will be colorful</v>
      </c>
      <c r="D13143" s="5"/>
      <c r="E13143" s="5"/>
      <c r="F13143" s="5"/>
      <c r="G13143" s="5"/>
      <c r="H13143" s="5"/>
      <c r="I13143" s="5"/>
      <c r="J13143" s="5"/>
      <c r="K13143" s="5"/>
      <c r="L13143" s="5"/>
      <c r="M13143" s="5"/>
      <c r="N13143" s="5"/>
      <c r="O13143" s="5"/>
      <c r="P13143" s="5"/>
      <c r="Q13143" s="5"/>
      <c r="R13143" s="5"/>
      <c r="S13143" s="5"/>
      <c r="T13143" s="5"/>
      <c r="U13143" s="5"/>
      <c r="V13143" s="5"/>
      <c r="W13143" s="5"/>
      <c r="X13143" s="5"/>
      <c r="Y13143" s="5"/>
      <c r="Z13143" s="5"/>
    </row>
    <row r="13144" spans="1:26" ht="15" x14ac:dyDescent="0.25">
      <c r="A13144" s="4" t="s">
        <v>13141</v>
      </c>
      <c r="B13144" s="4" t="s">
        <v>9011</v>
      </c>
      <c r="C13144" s="2" t="str">
        <f ca="1">IFERROR(__xludf.DUMMYFUNCTION("GOOGLETRANSLATE(A13144,""bn"",""en"")"),"I will order a special dessert")</f>
        <v>I will order a special dessert</v>
      </c>
      <c r="D13144" s="5"/>
      <c r="E13144" s="5"/>
      <c r="F13144" s="5"/>
      <c r="G13144" s="5"/>
      <c r="H13144" s="5"/>
      <c r="I13144" s="5"/>
      <c r="J13144" s="5"/>
      <c r="K13144" s="5"/>
      <c r="L13144" s="5"/>
      <c r="M13144" s="5"/>
      <c r="N13144" s="5"/>
      <c r="O13144" s="5"/>
      <c r="P13144" s="5"/>
      <c r="Q13144" s="5"/>
      <c r="R13144" s="5"/>
      <c r="S13144" s="5"/>
      <c r="T13144" s="5"/>
      <c r="U13144" s="5"/>
      <c r="V13144" s="5"/>
      <c r="W13144" s="5"/>
      <c r="X13144" s="5"/>
      <c r="Y13144" s="5"/>
      <c r="Z13144" s="5"/>
    </row>
    <row r="13145" spans="1:26" ht="15" x14ac:dyDescent="0.25">
      <c r="A13145" s="4" t="s">
        <v>13142</v>
      </c>
      <c r="B13145" s="4" t="s">
        <v>9011</v>
      </c>
      <c r="C13145" s="2" t="str">
        <f ca="1">IFERROR(__xludf.DUMMYFUNCTION("GOOGLETRANSLATE(A13145,""bn"",""en"")"),"Will invest in valuable projects")</f>
        <v>Will invest in valuable projects</v>
      </c>
      <c r="D13145" s="5"/>
      <c r="E13145" s="5"/>
      <c r="F13145" s="5"/>
      <c r="G13145" s="5"/>
      <c r="H13145" s="5"/>
      <c r="I13145" s="5"/>
      <c r="J13145" s="5"/>
      <c r="K13145" s="5"/>
      <c r="L13145" s="5"/>
      <c r="M13145" s="5"/>
      <c r="N13145" s="5"/>
      <c r="O13145" s="5"/>
      <c r="P13145" s="5"/>
      <c r="Q13145" s="5"/>
      <c r="R13145" s="5"/>
      <c r="S13145" s="5"/>
      <c r="T13145" s="5"/>
      <c r="U13145" s="5"/>
      <c r="V13145" s="5"/>
      <c r="W13145" s="5"/>
      <c r="X13145" s="5"/>
      <c r="Y13145" s="5"/>
      <c r="Z13145" s="5"/>
    </row>
    <row r="13146" spans="1:26" ht="15" x14ac:dyDescent="0.25">
      <c r="A13146" s="4" t="s">
        <v>13143</v>
      </c>
      <c r="B13146" s="4" t="s">
        <v>9011</v>
      </c>
      <c r="C13146" s="2" t="str">
        <f ca="1">IFERROR(__xludf.DUMMYFUNCTION("GOOGLETRANSLATE(A13146,""bn"",""en"")"),"There will be a lot of confusion at the border")</f>
        <v>There will be a lot of confusion at the border</v>
      </c>
      <c r="D13146" s="5"/>
      <c r="E13146" s="5"/>
      <c r="F13146" s="5"/>
      <c r="G13146" s="5"/>
      <c r="H13146" s="5"/>
      <c r="I13146" s="5"/>
      <c r="J13146" s="5"/>
      <c r="K13146" s="5"/>
      <c r="L13146" s="5"/>
      <c r="M13146" s="5"/>
      <c r="N13146" s="5"/>
      <c r="O13146" s="5"/>
      <c r="P13146" s="5"/>
      <c r="Q13146" s="5"/>
      <c r="R13146" s="5"/>
      <c r="S13146" s="5"/>
      <c r="T13146" s="5"/>
      <c r="U13146" s="5"/>
      <c r="V13146" s="5"/>
      <c r="W13146" s="5"/>
      <c r="X13146" s="5"/>
      <c r="Y13146" s="5"/>
      <c r="Z13146" s="5"/>
    </row>
    <row r="13147" spans="1:26" ht="15" x14ac:dyDescent="0.25">
      <c r="A13147" s="4" t="s">
        <v>13144</v>
      </c>
      <c r="B13147" s="4" t="s">
        <v>9011</v>
      </c>
      <c r="C13147" s="2" t="str">
        <f ca="1">IFERROR(__xludf.DUMMYFUNCTION("GOOGLETRANSLATE(A13147,""bn"",""en"")"),"Design the code base")</f>
        <v>Design the code base</v>
      </c>
      <c r="D13147" s="5"/>
      <c r="E13147" s="5"/>
      <c r="F13147" s="5"/>
      <c r="G13147" s="5"/>
      <c r="H13147" s="5"/>
      <c r="I13147" s="5"/>
      <c r="J13147" s="5"/>
      <c r="K13147" s="5"/>
      <c r="L13147" s="5"/>
      <c r="M13147" s="5"/>
      <c r="N13147" s="5"/>
      <c r="O13147" s="5"/>
      <c r="P13147" s="5"/>
      <c r="Q13147" s="5"/>
      <c r="R13147" s="5"/>
      <c r="S13147" s="5"/>
      <c r="T13147" s="5"/>
      <c r="U13147" s="5"/>
      <c r="V13147" s="5"/>
      <c r="W13147" s="5"/>
      <c r="X13147" s="5"/>
      <c r="Y13147" s="5"/>
      <c r="Z13147" s="5"/>
    </row>
    <row r="13148" spans="1:26" ht="15" x14ac:dyDescent="0.25">
      <c r="A13148" s="4" t="s">
        <v>13145</v>
      </c>
      <c r="B13148" s="4" t="s">
        <v>9011</v>
      </c>
      <c r="C13148" s="2" t="str">
        <f ca="1">IFERROR(__xludf.DUMMYFUNCTION("GOOGLETRANSLATE(A13148,""bn"",""en"")"),"The new law will come soon")</f>
        <v>The new law will come soon</v>
      </c>
      <c r="D13148" s="5"/>
      <c r="E13148" s="5"/>
      <c r="F13148" s="5"/>
      <c r="G13148" s="5"/>
      <c r="H13148" s="5"/>
      <c r="I13148" s="5"/>
      <c r="J13148" s="5"/>
      <c r="K13148" s="5"/>
      <c r="L13148" s="5"/>
      <c r="M13148" s="5"/>
      <c r="N13148" s="5"/>
      <c r="O13148" s="5"/>
      <c r="P13148" s="5"/>
      <c r="Q13148" s="5"/>
      <c r="R13148" s="5"/>
      <c r="S13148" s="5"/>
      <c r="T13148" s="5"/>
      <c r="U13148" s="5"/>
      <c r="V13148" s="5"/>
      <c r="W13148" s="5"/>
      <c r="X13148" s="5"/>
      <c r="Y13148" s="5"/>
      <c r="Z13148" s="5"/>
    </row>
    <row r="13149" spans="1:26" ht="15" x14ac:dyDescent="0.25">
      <c r="A13149" s="4" t="s">
        <v>13146</v>
      </c>
      <c r="B13149" s="4" t="s">
        <v>9011</v>
      </c>
      <c r="C13149" s="2" t="str">
        <f ca="1">IFERROR(__xludf.DUMMYFUNCTION("GOOGLETRANSLATE(A13149,""bn"",""en"")"),"I will come to eat at the restaurant at night")</f>
        <v>I will come to eat at the restaurant at night</v>
      </c>
      <c r="D13149" s="5"/>
      <c r="E13149" s="5"/>
      <c r="F13149" s="5"/>
      <c r="G13149" s="5"/>
      <c r="H13149" s="5"/>
      <c r="I13149" s="5"/>
      <c r="J13149" s="5"/>
      <c r="K13149" s="5"/>
      <c r="L13149" s="5"/>
      <c r="M13149" s="5"/>
      <c r="N13149" s="5"/>
      <c r="O13149" s="5"/>
      <c r="P13149" s="5"/>
      <c r="Q13149" s="5"/>
      <c r="R13149" s="5"/>
      <c r="S13149" s="5"/>
      <c r="T13149" s="5"/>
      <c r="U13149" s="5"/>
      <c r="V13149" s="5"/>
      <c r="W13149" s="5"/>
      <c r="X13149" s="5"/>
      <c r="Y13149" s="5"/>
      <c r="Z13149" s="5"/>
    </row>
    <row r="13150" spans="1:26" ht="15" x14ac:dyDescent="0.25">
      <c r="A13150" s="4" t="s">
        <v>13147</v>
      </c>
      <c r="B13150" s="4" t="s">
        <v>9011</v>
      </c>
      <c r="C13150" s="2" t="str">
        <f ca="1">IFERROR(__xludf.DUMMYFUNCTION("GOOGLETRANSLATE(A13150,""bn"",""en"")"),"I will sit on the shore and see the sea")</f>
        <v>I will sit on the shore and see the sea</v>
      </c>
      <c r="D13150" s="5"/>
      <c r="E13150" s="5"/>
      <c r="F13150" s="5"/>
      <c r="G13150" s="5"/>
      <c r="H13150" s="5"/>
      <c r="I13150" s="5"/>
      <c r="J13150" s="5"/>
      <c r="K13150" s="5"/>
      <c r="L13150" s="5"/>
      <c r="M13150" s="5"/>
      <c r="N13150" s="5"/>
      <c r="O13150" s="5"/>
      <c r="P13150" s="5"/>
      <c r="Q13150" s="5"/>
      <c r="R13150" s="5"/>
      <c r="S13150" s="5"/>
      <c r="T13150" s="5"/>
      <c r="U13150" s="5"/>
      <c r="V13150" s="5"/>
      <c r="W13150" s="5"/>
      <c r="X13150" s="5"/>
      <c r="Y13150" s="5"/>
      <c r="Z13150" s="5"/>
    </row>
    <row r="13151" spans="1:26" ht="15" x14ac:dyDescent="0.25">
      <c r="A13151" s="4" t="s">
        <v>13148</v>
      </c>
      <c r="B13151" s="4" t="s">
        <v>9011</v>
      </c>
      <c r="C13151" s="2" t="str">
        <f ca="1">IFERROR(__xludf.DUMMYFUNCTION("GOOGLETRANSLATE(A13151,""bn"",""en"")"),"They will be computer literate")</f>
        <v>They will be computer literate</v>
      </c>
      <c r="D13151" s="5"/>
      <c r="E13151" s="5"/>
      <c r="F13151" s="5"/>
      <c r="G13151" s="5"/>
      <c r="H13151" s="5"/>
      <c r="I13151" s="5"/>
      <c r="J13151" s="5"/>
      <c r="K13151" s="5"/>
      <c r="L13151" s="5"/>
      <c r="M13151" s="5"/>
      <c r="N13151" s="5"/>
      <c r="O13151" s="5"/>
      <c r="P13151" s="5"/>
      <c r="Q13151" s="5"/>
      <c r="R13151" s="5"/>
      <c r="S13151" s="5"/>
      <c r="T13151" s="5"/>
      <c r="U13151" s="5"/>
      <c r="V13151" s="5"/>
      <c r="W13151" s="5"/>
      <c r="X13151" s="5"/>
      <c r="Y13151" s="5"/>
      <c r="Z13151" s="5"/>
    </row>
    <row r="13152" spans="1:26" ht="15" x14ac:dyDescent="0.25">
      <c r="A13152" s="4" t="s">
        <v>13149</v>
      </c>
      <c r="B13152" s="4" t="s">
        <v>9011</v>
      </c>
      <c r="C13152" s="2" t="str">
        <f ca="1">IFERROR(__xludf.DUMMYFUNCTION("GOOGLETRANSLATE(A13152,""bn"",""en"")"),"The war must not stop")</f>
        <v>The war must not stop</v>
      </c>
      <c r="D13152" s="5"/>
      <c r="E13152" s="5"/>
      <c r="F13152" s="5"/>
      <c r="G13152" s="5"/>
      <c r="H13152" s="5"/>
      <c r="I13152" s="5"/>
      <c r="J13152" s="5"/>
      <c r="K13152" s="5"/>
      <c r="L13152" s="5"/>
      <c r="M13152" s="5"/>
      <c r="N13152" s="5"/>
      <c r="O13152" s="5"/>
      <c r="P13152" s="5"/>
      <c r="Q13152" s="5"/>
      <c r="R13152" s="5"/>
      <c r="S13152" s="5"/>
      <c r="T13152" s="5"/>
      <c r="U13152" s="5"/>
      <c r="V13152" s="5"/>
      <c r="W13152" s="5"/>
      <c r="X13152" s="5"/>
      <c r="Y13152" s="5"/>
      <c r="Z13152" s="5"/>
    </row>
    <row r="13153" spans="1:26" ht="15" x14ac:dyDescent="0.25">
      <c r="A13153" s="4" t="s">
        <v>13150</v>
      </c>
      <c r="B13153" s="4" t="s">
        <v>9011</v>
      </c>
      <c r="C13153" s="2" t="str">
        <f ca="1">IFERROR(__xludf.DUMMYFUNCTION("GOOGLETRANSLATE(A13153,""bn"",""en"")"),"They will understand blockchain theory")</f>
        <v>They will understand blockchain theory</v>
      </c>
      <c r="D13153" s="5"/>
      <c r="E13153" s="5"/>
      <c r="F13153" s="5"/>
      <c r="G13153" s="5"/>
      <c r="H13153" s="5"/>
      <c r="I13153" s="5"/>
      <c r="J13153" s="5"/>
      <c r="K13153" s="5"/>
      <c r="L13153" s="5"/>
      <c r="M13153" s="5"/>
      <c r="N13153" s="5"/>
      <c r="O13153" s="5"/>
      <c r="P13153" s="5"/>
      <c r="Q13153" s="5"/>
      <c r="R13153" s="5"/>
      <c r="S13153" s="5"/>
      <c r="T13153" s="5"/>
      <c r="U13153" s="5"/>
      <c r="V13153" s="5"/>
      <c r="W13153" s="5"/>
      <c r="X13153" s="5"/>
      <c r="Y13153" s="5"/>
      <c r="Z13153" s="5"/>
    </row>
    <row r="13154" spans="1:26" ht="15" x14ac:dyDescent="0.25">
      <c r="A13154" s="4" t="s">
        <v>13151</v>
      </c>
      <c r="B13154" s="4" t="s">
        <v>9011</v>
      </c>
      <c r="C13154" s="2" t="str">
        <f ca="1">IFERROR(__xludf.DUMMYFUNCTION("GOOGLETRANSLATE(A13154,""bn"",""en"")"),"He will buy sports shoes")</f>
        <v>He will buy sports shoes</v>
      </c>
      <c r="D13154" s="5"/>
      <c r="E13154" s="5"/>
      <c r="F13154" s="5"/>
      <c r="G13154" s="5"/>
      <c r="H13154" s="5"/>
      <c r="I13154" s="5"/>
      <c r="J13154" s="5"/>
      <c r="K13154" s="5"/>
      <c r="L13154" s="5"/>
      <c r="M13154" s="5"/>
      <c r="N13154" s="5"/>
      <c r="O13154" s="5"/>
      <c r="P13154" s="5"/>
      <c r="Q13154" s="5"/>
      <c r="R13154" s="5"/>
      <c r="S13154" s="5"/>
      <c r="T13154" s="5"/>
      <c r="U13154" s="5"/>
      <c r="V13154" s="5"/>
      <c r="W13154" s="5"/>
      <c r="X13154" s="5"/>
      <c r="Y13154" s="5"/>
      <c r="Z13154" s="5"/>
    </row>
    <row r="13155" spans="1:26" ht="15" x14ac:dyDescent="0.25">
      <c r="A13155" s="4" t="s">
        <v>13152</v>
      </c>
      <c r="B13155" s="4" t="s">
        <v>9011</v>
      </c>
      <c r="C13155" s="2" t="str">
        <f ca="1">IFERROR(__xludf.DUMMYFUNCTION("GOOGLETRANSLATE(A13155,""bn"",""en"")"),"Market conditions will be good")</f>
        <v>Market conditions will be good</v>
      </c>
      <c r="D13155" s="5"/>
      <c r="E13155" s="5"/>
      <c r="F13155" s="5"/>
      <c r="G13155" s="5"/>
      <c r="H13155" s="5"/>
      <c r="I13155" s="5"/>
      <c r="J13155" s="5"/>
      <c r="K13155" s="5"/>
      <c r="L13155" s="5"/>
      <c r="M13155" s="5"/>
      <c r="N13155" s="5"/>
      <c r="O13155" s="5"/>
      <c r="P13155" s="5"/>
      <c r="Q13155" s="5"/>
      <c r="R13155" s="5"/>
      <c r="S13155" s="5"/>
      <c r="T13155" s="5"/>
      <c r="U13155" s="5"/>
      <c r="V13155" s="5"/>
      <c r="W13155" s="5"/>
      <c r="X13155" s="5"/>
      <c r="Y13155" s="5"/>
      <c r="Z13155" s="5"/>
    </row>
    <row r="13156" spans="1:26" ht="15" x14ac:dyDescent="0.25">
      <c r="A13156" s="4" t="s">
        <v>13153</v>
      </c>
      <c r="B13156" s="4" t="s">
        <v>9011</v>
      </c>
      <c r="C13156" s="2" t="str">
        <f ca="1">IFERROR(__xludf.DUMMYFUNCTION("GOOGLETRANSLATE(A13156,""bn"",""en"")"),"Research will analyze the data")</f>
        <v>Research will analyze the data</v>
      </c>
      <c r="D13156" s="5"/>
      <c r="E13156" s="5"/>
      <c r="F13156" s="5"/>
      <c r="G13156" s="5"/>
      <c r="H13156" s="5"/>
      <c r="I13156" s="5"/>
      <c r="J13156" s="5"/>
      <c r="K13156" s="5"/>
      <c r="L13156" s="5"/>
      <c r="M13156" s="5"/>
      <c r="N13156" s="5"/>
      <c r="O13156" s="5"/>
      <c r="P13156" s="5"/>
      <c r="Q13156" s="5"/>
      <c r="R13156" s="5"/>
      <c r="S13156" s="5"/>
      <c r="T13156" s="5"/>
      <c r="U13156" s="5"/>
      <c r="V13156" s="5"/>
      <c r="W13156" s="5"/>
      <c r="X13156" s="5"/>
      <c r="Y13156" s="5"/>
      <c r="Z13156" s="5"/>
    </row>
    <row r="13157" spans="1:26" ht="15" x14ac:dyDescent="0.25">
      <c r="A13157" s="4" t="s">
        <v>13154</v>
      </c>
      <c r="B13157" s="4" t="s">
        <v>9011</v>
      </c>
      <c r="C13157" s="2" t="str">
        <f ca="1">IFERROR(__xludf.DUMMYFUNCTION("GOOGLETRANSLATE(A13157,""bn"",""en"")"),"I will see the moon in the sky")</f>
        <v>I will see the moon in the sky</v>
      </c>
      <c r="D13157" s="5"/>
      <c r="E13157" s="5"/>
      <c r="F13157" s="5"/>
      <c r="G13157" s="5"/>
      <c r="H13157" s="5"/>
      <c r="I13157" s="5"/>
      <c r="J13157" s="5"/>
      <c r="K13157" s="5"/>
      <c r="L13157" s="5"/>
      <c r="M13157" s="5"/>
      <c r="N13157" s="5"/>
      <c r="O13157" s="5"/>
      <c r="P13157" s="5"/>
      <c r="Q13157" s="5"/>
      <c r="R13157" s="5"/>
      <c r="S13157" s="5"/>
      <c r="T13157" s="5"/>
      <c r="U13157" s="5"/>
      <c r="V13157" s="5"/>
      <c r="W13157" s="5"/>
      <c r="X13157" s="5"/>
      <c r="Y13157" s="5"/>
      <c r="Z13157" s="5"/>
    </row>
    <row r="13158" spans="1:26" ht="15" x14ac:dyDescent="0.25">
      <c r="A13158" s="4" t="s">
        <v>13155</v>
      </c>
      <c r="B13158" s="4" t="s">
        <v>9011</v>
      </c>
      <c r="C13158" s="2" t="str">
        <f ca="1">IFERROR(__xludf.DUMMYFUNCTION("GOOGLETRANSLATE(A13158,""bn"",""en"")"),"I will write an essay on biography")</f>
        <v>I will write an essay on biography</v>
      </c>
      <c r="D13158" s="5"/>
      <c r="E13158" s="5"/>
      <c r="F13158" s="5"/>
      <c r="G13158" s="5"/>
      <c r="H13158" s="5"/>
      <c r="I13158" s="5"/>
      <c r="J13158" s="5"/>
      <c r="K13158" s="5"/>
      <c r="L13158" s="5"/>
      <c r="M13158" s="5"/>
      <c r="N13158" s="5"/>
      <c r="O13158" s="5"/>
      <c r="P13158" s="5"/>
      <c r="Q13158" s="5"/>
      <c r="R13158" s="5"/>
      <c r="S13158" s="5"/>
      <c r="T13158" s="5"/>
      <c r="U13158" s="5"/>
      <c r="V13158" s="5"/>
      <c r="W13158" s="5"/>
      <c r="X13158" s="5"/>
      <c r="Y13158" s="5"/>
      <c r="Z13158" s="5"/>
    </row>
    <row r="13159" spans="1:26" ht="15" x14ac:dyDescent="0.25">
      <c r="A13159" s="4" t="s">
        <v>13156</v>
      </c>
      <c r="B13159" s="4" t="s">
        <v>9011</v>
      </c>
      <c r="C13159" s="2" t="str">
        <f ca="1">IFERROR(__xludf.DUMMYFUNCTION("GOOGLETRANSLATE(A13159,""bn"",""en"")"),"His passport will be renewed")</f>
        <v>His passport will be renewed</v>
      </c>
      <c r="D13159" s="5"/>
      <c r="E13159" s="5"/>
      <c r="F13159" s="5"/>
      <c r="G13159" s="5"/>
      <c r="H13159" s="5"/>
      <c r="I13159" s="5"/>
      <c r="J13159" s="5"/>
      <c r="K13159" s="5"/>
      <c r="L13159" s="5"/>
      <c r="M13159" s="5"/>
      <c r="N13159" s="5"/>
      <c r="O13159" s="5"/>
      <c r="P13159" s="5"/>
      <c r="Q13159" s="5"/>
      <c r="R13159" s="5"/>
      <c r="S13159" s="5"/>
      <c r="T13159" s="5"/>
      <c r="U13159" s="5"/>
      <c r="V13159" s="5"/>
      <c r="W13159" s="5"/>
      <c r="X13159" s="5"/>
      <c r="Y13159" s="5"/>
      <c r="Z13159" s="5"/>
    </row>
    <row r="13160" spans="1:26" ht="15" x14ac:dyDescent="0.25">
      <c r="A13160" s="4" t="s">
        <v>13157</v>
      </c>
      <c r="B13160" s="4" t="s">
        <v>9011</v>
      </c>
      <c r="C13160" s="2" t="str">
        <f ca="1">IFERROR(__xludf.DUMMYFUNCTION("GOOGLETRANSLATE(A13160,""bn"",""en"")"),"I will play cricket tomorrow")</f>
        <v>I will play cricket tomorrow</v>
      </c>
      <c r="D13160" s="5"/>
      <c r="E13160" s="5"/>
      <c r="F13160" s="5"/>
      <c r="G13160" s="5"/>
      <c r="H13160" s="5"/>
      <c r="I13160" s="5"/>
      <c r="J13160" s="5"/>
      <c r="K13160" s="5"/>
      <c r="L13160" s="5"/>
      <c r="M13160" s="5"/>
      <c r="N13160" s="5"/>
      <c r="O13160" s="5"/>
      <c r="P13160" s="5"/>
      <c r="Q13160" s="5"/>
      <c r="R13160" s="5"/>
      <c r="S13160" s="5"/>
      <c r="T13160" s="5"/>
      <c r="U13160" s="5"/>
      <c r="V13160" s="5"/>
      <c r="W13160" s="5"/>
      <c r="X13160" s="5"/>
      <c r="Y13160" s="5"/>
      <c r="Z13160" s="5"/>
    </row>
    <row r="13161" spans="1:26" ht="15" x14ac:dyDescent="0.25">
      <c r="A13161" s="4" t="s">
        <v>13158</v>
      </c>
      <c r="B13161" s="4" t="s">
        <v>9011</v>
      </c>
      <c r="C13161" s="2" t="str">
        <f ca="1">IFERROR(__xludf.DUMMYFUNCTION("GOOGLETRANSLATE(A13161,""bn"",""en"")"),"Commercial will be spread in the future")</f>
        <v>Commercial will be spread in the future</v>
      </c>
      <c r="D13161" s="5"/>
      <c r="E13161" s="5"/>
      <c r="F13161" s="5"/>
      <c r="G13161" s="5"/>
      <c r="H13161" s="5"/>
      <c r="I13161" s="5"/>
      <c r="J13161" s="5"/>
      <c r="K13161" s="5"/>
      <c r="L13161" s="5"/>
      <c r="M13161" s="5"/>
      <c r="N13161" s="5"/>
      <c r="O13161" s="5"/>
      <c r="P13161" s="5"/>
      <c r="Q13161" s="5"/>
      <c r="R13161" s="5"/>
      <c r="S13161" s="5"/>
      <c r="T13161" s="5"/>
      <c r="U13161" s="5"/>
      <c r="V13161" s="5"/>
      <c r="W13161" s="5"/>
      <c r="X13161" s="5"/>
      <c r="Y13161" s="5"/>
      <c r="Z13161" s="5"/>
    </row>
    <row r="13162" spans="1:26" ht="15" x14ac:dyDescent="0.25">
      <c r="A13162" s="4" t="s">
        <v>13159</v>
      </c>
      <c r="B13162" s="4" t="s">
        <v>9011</v>
      </c>
      <c r="C13162" s="2" t="str">
        <f ca="1">IFERROR(__xludf.DUMMYFUNCTION("GOOGLETRANSLATE(A13162,""bn"",""en"")"),"Modern robots will perform surgery")</f>
        <v>Modern robots will perform surgery</v>
      </c>
      <c r="D13162" s="5"/>
      <c r="E13162" s="5"/>
      <c r="F13162" s="5"/>
      <c r="G13162" s="5"/>
      <c r="H13162" s="5"/>
      <c r="I13162" s="5"/>
      <c r="J13162" s="5"/>
      <c r="K13162" s="5"/>
      <c r="L13162" s="5"/>
      <c r="M13162" s="5"/>
      <c r="N13162" s="5"/>
      <c r="O13162" s="5"/>
      <c r="P13162" s="5"/>
      <c r="Q13162" s="5"/>
      <c r="R13162" s="5"/>
      <c r="S13162" s="5"/>
      <c r="T13162" s="5"/>
      <c r="U13162" s="5"/>
      <c r="V13162" s="5"/>
      <c r="W13162" s="5"/>
      <c r="X13162" s="5"/>
      <c r="Y13162" s="5"/>
      <c r="Z13162" s="5"/>
    </row>
    <row r="13163" spans="1:26" ht="15" x14ac:dyDescent="0.25">
      <c r="A13163" s="4" t="s">
        <v>13160</v>
      </c>
      <c r="B13163" s="4" t="s">
        <v>9011</v>
      </c>
      <c r="C13163" s="2" t="str">
        <f ca="1">IFERROR(__xludf.DUMMYFUNCTION("GOOGLETRANSLATE(A13163,""bn"",""en"")"),"I will take swimming training")</f>
        <v>I will take swimming training</v>
      </c>
      <c r="D13163" s="5"/>
      <c r="E13163" s="5"/>
      <c r="F13163" s="5"/>
      <c r="G13163" s="5"/>
      <c r="H13163" s="5"/>
      <c r="I13163" s="5"/>
      <c r="J13163" s="5"/>
      <c r="K13163" s="5"/>
      <c r="L13163" s="5"/>
      <c r="M13163" s="5"/>
      <c r="N13163" s="5"/>
      <c r="O13163" s="5"/>
      <c r="P13163" s="5"/>
      <c r="Q13163" s="5"/>
      <c r="R13163" s="5"/>
      <c r="S13163" s="5"/>
      <c r="T13163" s="5"/>
      <c r="U13163" s="5"/>
      <c r="V13163" s="5"/>
      <c r="W13163" s="5"/>
      <c r="X13163" s="5"/>
      <c r="Y13163" s="5"/>
      <c r="Z13163" s="5"/>
    </row>
    <row r="13164" spans="1:26" ht="15" x14ac:dyDescent="0.25">
      <c r="A13164" s="4" t="s">
        <v>13161</v>
      </c>
      <c r="B13164" s="4" t="s">
        <v>9011</v>
      </c>
      <c r="C13164" s="2" t="str">
        <f ca="1">IFERROR(__xludf.DUMMYFUNCTION("GOOGLETRANSLATE(A13164,""bn"",""en"")"),"You need a partner to play tennis")</f>
        <v>You need a partner to play tennis</v>
      </c>
      <c r="D13164" s="5"/>
      <c r="E13164" s="5"/>
      <c r="F13164" s="5"/>
      <c r="G13164" s="5"/>
      <c r="H13164" s="5"/>
      <c r="I13164" s="5"/>
      <c r="J13164" s="5"/>
      <c r="K13164" s="5"/>
      <c r="L13164" s="5"/>
      <c r="M13164" s="5"/>
      <c r="N13164" s="5"/>
      <c r="O13164" s="5"/>
      <c r="P13164" s="5"/>
      <c r="Q13164" s="5"/>
      <c r="R13164" s="5"/>
      <c r="S13164" s="5"/>
      <c r="T13164" s="5"/>
      <c r="U13164" s="5"/>
      <c r="V13164" s="5"/>
      <c r="W13164" s="5"/>
      <c r="X13164" s="5"/>
      <c r="Y13164" s="5"/>
      <c r="Z13164" s="5"/>
    </row>
    <row r="13165" spans="1:26" ht="15" x14ac:dyDescent="0.25">
      <c r="A13165" s="4" t="s">
        <v>13162</v>
      </c>
      <c r="B13165" s="4" t="s">
        <v>9011</v>
      </c>
      <c r="C13165" s="2" t="str">
        <f ca="1">IFERROR(__xludf.DUMMYFUNCTION("GOOGLETRANSLATE(A13165,""bn"",""en"")"),"Zooey will swim every day")</f>
        <v>Zooey will swim every day</v>
      </c>
      <c r="D13165" s="5"/>
      <c r="E13165" s="5"/>
      <c r="F13165" s="5"/>
      <c r="G13165" s="5"/>
      <c r="H13165" s="5"/>
      <c r="I13165" s="5"/>
      <c r="J13165" s="5"/>
      <c r="K13165" s="5"/>
      <c r="L13165" s="5"/>
      <c r="M13165" s="5"/>
      <c r="N13165" s="5"/>
      <c r="O13165" s="5"/>
      <c r="P13165" s="5"/>
      <c r="Q13165" s="5"/>
      <c r="R13165" s="5"/>
      <c r="S13165" s="5"/>
      <c r="T13165" s="5"/>
      <c r="U13165" s="5"/>
      <c r="V13165" s="5"/>
      <c r="W13165" s="5"/>
      <c r="X13165" s="5"/>
      <c r="Y13165" s="5"/>
      <c r="Z13165" s="5"/>
    </row>
    <row r="13166" spans="1:26" ht="15" x14ac:dyDescent="0.25">
      <c r="A13166" s="4" t="s">
        <v>13163</v>
      </c>
      <c r="B13166" s="4" t="s">
        <v>9011</v>
      </c>
      <c r="C13166" s="2" t="str">
        <f ca="1">IFERROR(__xludf.DUMMYFUNCTION("GOOGLETRANSLATE(A13166,""bn"",""en"")"),"You will catch fish in the pond")</f>
        <v>You will catch fish in the pond</v>
      </c>
      <c r="D13166" s="5"/>
      <c r="E13166" s="5"/>
      <c r="F13166" s="5"/>
      <c r="G13166" s="5"/>
      <c r="H13166" s="5"/>
      <c r="I13166" s="5"/>
      <c r="J13166" s="5"/>
      <c r="K13166" s="5"/>
      <c r="L13166" s="5"/>
      <c r="M13166" s="5"/>
      <c r="N13166" s="5"/>
      <c r="O13166" s="5"/>
      <c r="P13166" s="5"/>
      <c r="Q13166" s="5"/>
      <c r="R13166" s="5"/>
      <c r="S13166" s="5"/>
      <c r="T13166" s="5"/>
      <c r="U13166" s="5"/>
      <c r="V13166" s="5"/>
      <c r="W13166" s="5"/>
      <c r="X13166" s="5"/>
      <c r="Y13166" s="5"/>
      <c r="Z13166" s="5"/>
    </row>
    <row r="13167" spans="1:26" ht="15" x14ac:dyDescent="0.25">
      <c r="A13167" s="4" t="s">
        <v>13164</v>
      </c>
      <c r="B13167" s="4" t="s">
        <v>9011</v>
      </c>
      <c r="C13167" s="2" t="str">
        <f ca="1">IFERROR(__xludf.DUMMYFUNCTION("GOOGLETRANSLATE(A13167,""bn"",""en"")"),"Scripting should be nice")</f>
        <v>Scripting should be nice</v>
      </c>
      <c r="D13167" s="5"/>
      <c r="E13167" s="5"/>
      <c r="F13167" s="5"/>
      <c r="G13167" s="5"/>
      <c r="H13167" s="5"/>
      <c r="I13167" s="5"/>
      <c r="J13167" s="5"/>
      <c r="K13167" s="5"/>
      <c r="L13167" s="5"/>
      <c r="M13167" s="5"/>
      <c r="N13167" s="5"/>
      <c r="O13167" s="5"/>
      <c r="P13167" s="5"/>
      <c r="Q13167" s="5"/>
      <c r="R13167" s="5"/>
      <c r="S13167" s="5"/>
      <c r="T13167" s="5"/>
      <c r="U13167" s="5"/>
      <c r="V13167" s="5"/>
      <c r="W13167" s="5"/>
      <c r="X13167" s="5"/>
      <c r="Y13167" s="5"/>
      <c r="Z13167" s="5"/>
    </row>
    <row r="13168" spans="1:26" ht="15" x14ac:dyDescent="0.25">
      <c r="A13168" s="4" t="s">
        <v>13165</v>
      </c>
      <c r="B13168" s="4" t="s">
        <v>9011</v>
      </c>
      <c r="C13168" s="2" t="str">
        <f ca="1">IFERROR(__xludf.DUMMYFUNCTION("GOOGLETRANSLATE(A13168,""bn"",""en"")"),"I will test the network")</f>
        <v>I will test the network</v>
      </c>
      <c r="D13168" s="5"/>
      <c r="E13168" s="5"/>
      <c r="F13168" s="5"/>
      <c r="G13168" s="5"/>
      <c r="H13168" s="5"/>
      <c r="I13168" s="5"/>
      <c r="J13168" s="5"/>
      <c r="K13168" s="5"/>
      <c r="L13168" s="5"/>
      <c r="M13168" s="5"/>
      <c r="N13168" s="5"/>
      <c r="O13168" s="5"/>
      <c r="P13168" s="5"/>
      <c r="Q13168" s="5"/>
      <c r="R13168" s="5"/>
      <c r="S13168" s="5"/>
      <c r="T13168" s="5"/>
      <c r="U13168" s="5"/>
      <c r="V13168" s="5"/>
      <c r="W13168" s="5"/>
      <c r="X13168" s="5"/>
      <c r="Y13168" s="5"/>
      <c r="Z13168" s="5"/>
    </row>
    <row r="13169" spans="1:26" ht="15" x14ac:dyDescent="0.25">
      <c r="A13169" s="4" t="s">
        <v>13166</v>
      </c>
      <c r="B13169" s="4" t="s">
        <v>9011</v>
      </c>
      <c r="C13169" s="2" t="str">
        <f ca="1">IFERROR(__xludf.DUMMYFUNCTION("GOOGLETRANSLATE(A13169,""bn"",""en"")"),"Medical material will be tested")</f>
        <v>Medical material will be tested</v>
      </c>
      <c r="D13169" s="5"/>
      <c r="E13169" s="5"/>
      <c r="F13169" s="5"/>
      <c r="G13169" s="5"/>
      <c r="H13169" s="5"/>
      <c r="I13169" s="5"/>
      <c r="J13169" s="5"/>
      <c r="K13169" s="5"/>
      <c r="L13169" s="5"/>
      <c r="M13169" s="5"/>
      <c r="N13169" s="5"/>
      <c r="O13169" s="5"/>
      <c r="P13169" s="5"/>
      <c r="Q13169" s="5"/>
      <c r="R13169" s="5"/>
      <c r="S13169" s="5"/>
      <c r="T13169" s="5"/>
      <c r="U13169" s="5"/>
      <c r="V13169" s="5"/>
      <c r="W13169" s="5"/>
      <c r="X13169" s="5"/>
      <c r="Y13169" s="5"/>
      <c r="Z13169" s="5"/>
    </row>
    <row r="13170" spans="1:26" ht="15" x14ac:dyDescent="0.25">
      <c r="A13170" s="4" t="s">
        <v>13167</v>
      </c>
      <c r="B13170" s="4" t="s">
        <v>9011</v>
      </c>
      <c r="C13170" s="2" t="str">
        <f ca="1">IFERROR(__xludf.DUMMYFUNCTION("GOOGLETRANSLATE(A13170,""bn"",""en"")"),"Everyone will read food tokens")</f>
        <v>Everyone will read food tokens</v>
      </c>
      <c r="D13170" s="5"/>
      <c r="E13170" s="5"/>
      <c r="F13170" s="5"/>
      <c r="G13170" s="5"/>
      <c r="H13170" s="5"/>
      <c r="I13170" s="5"/>
      <c r="J13170" s="5"/>
      <c r="K13170" s="5"/>
      <c r="L13170" s="5"/>
      <c r="M13170" s="5"/>
      <c r="N13170" s="5"/>
      <c r="O13170" s="5"/>
      <c r="P13170" s="5"/>
      <c r="Q13170" s="5"/>
      <c r="R13170" s="5"/>
      <c r="S13170" s="5"/>
      <c r="T13170" s="5"/>
      <c r="U13170" s="5"/>
      <c r="V13170" s="5"/>
      <c r="W13170" s="5"/>
      <c r="X13170" s="5"/>
      <c r="Y13170" s="5"/>
      <c r="Z13170" s="5"/>
    </row>
    <row r="13171" spans="1:26" ht="15" x14ac:dyDescent="0.25">
      <c r="A13171" s="4" t="s">
        <v>13168</v>
      </c>
      <c r="B13171" s="4" t="s">
        <v>9011</v>
      </c>
      <c r="C13171" s="2" t="str">
        <f ca="1">IFERROR(__xludf.DUMMYFUNCTION("GOOGLETRANSLATE(A13171,""bn"",""en"")"),"You will build hardware prototypes")</f>
        <v>You will build hardware prototypes</v>
      </c>
      <c r="D13171" s="5"/>
      <c r="E13171" s="5"/>
      <c r="F13171" s="5"/>
      <c r="G13171" s="5"/>
      <c r="H13171" s="5"/>
      <c r="I13171" s="5"/>
      <c r="J13171" s="5"/>
      <c r="K13171" s="5"/>
      <c r="L13171" s="5"/>
      <c r="M13171" s="5"/>
      <c r="N13171" s="5"/>
      <c r="O13171" s="5"/>
      <c r="P13171" s="5"/>
      <c r="Q13171" s="5"/>
      <c r="R13171" s="5"/>
      <c r="S13171" s="5"/>
      <c r="T13171" s="5"/>
      <c r="U13171" s="5"/>
      <c r="V13171" s="5"/>
      <c r="W13171" s="5"/>
      <c r="X13171" s="5"/>
      <c r="Y13171" s="5"/>
      <c r="Z13171" s="5"/>
    </row>
    <row r="13172" spans="1:26" ht="15" x14ac:dyDescent="0.25">
      <c r="A13172" s="4" t="s">
        <v>13169</v>
      </c>
      <c r="B13172" s="4" t="s">
        <v>9011</v>
      </c>
      <c r="C13172" s="2" t="str">
        <f ca="1">IFERROR(__xludf.DUMMYFUNCTION("GOOGLETRANSLATE(A13172,""bn"",""en"")"),"I will spend time on code review")</f>
        <v>I will spend time on code review</v>
      </c>
      <c r="D13172" s="5"/>
      <c r="E13172" s="5"/>
      <c r="F13172" s="5"/>
      <c r="G13172" s="5"/>
      <c r="H13172" s="5"/>
      <c r="I13172" s="5"/>
      <c r="J13172" s="5"/>
      <c r="K13172" s="5"/>
      <c r="L13172" s="5"/>
      <c r="M13172" s="5"/>
      <c r="N13172" s="5"/>
      <c r="O13172" s="5"/>
      <c r="P13172" s="5"/>
      <c r="Q13172" s="5"/>
      <c r="R13172" s="5"/>
      <c r="S13172" s="5"/>
      <c r="T13172" s="5"/>
      <c r="U13172" s="5"/>
      <c r="V13172" s="5"/>
      <c r="W13172" s="5"/>
      <c r="X13172" s="5"/>
      <c r="Y13172" s="5"/>
      <c r="Z13172" s="5"/>
    </row>
    <row r="13173" spans="1:26" ht="15" x14ac:dyDescent="0.25">
      <c r="A13173" s="4" t="s">
        <v>13170</v>
      </c>
      <c r="B13173" s="4" t="s">
        <v>9011</v>
      </c>
      <c r="C13173" s="2" t="str">
        <f ca="1">IFERROR(__xludf.DUMMYFUNCTION("GOOGLETRANSLATE(A13173,""bn"",""en"")"),"I will watch the football match")</f>
        <v>I will watch the football match</v>
      </c>
      <c r="D13173" s="5"/>
      <c r="E13173" s="5"/>
      <c r="F13173" s="5"/>
      <c r="G13173" s="5"/>
      <c r="H13173" s="5"/>
      <c r="I13173" s="5"/>
      <c r="J13173" s="5"/>
      <c r="K13173" s="5"/>
      <c r="L13173" s="5"/>
      <c r="M13173" s="5"/>
      <c r="N13173" s="5"/>
      <c r="O13173" s="5"/>
      <c r="P13173" s="5"/>
      <c r="Q13173" s="5"/>
      <c r="R13173" s="5"/>
      <c r="S13173" s="5"/>
      <c r="T13173" s="5"/>
      <c r="U13173" s="5"/>
      <c r="V13173" s="5"/>
      <c r="W13173" s="5"/>
      <c r="X13173" s="5"/>
      <c r="Y13173" s="5"/>
      <c r="Z13173" s="5"/>
    </row>
    <row r="13174" spans="1:26" ht="15" x14ac:dyDescent="0.25">
      <c r="A13174" s="4" t="s">
        <v>13171</v>
      </c>
      <c r="B13174" s="4" t="s">
        <v>9011</v>
      </c>
      <c r="C13174" s="2" t="str">
        <f ca="1">IFERROR(__xludf.DUMMYFUNCTION("GOOGLETRANSLATE(A13174,""bn"",""en"")"),"He will eat Bengali curd")</f>
        <v>He will eat Bengali curd</v>
      </c>
      <c r="D13174" s="5"/>
      <c r="E13174" s="5"/>
      <c r="F13174" s="5"/>
      <c r="G13174" s="5"/>
      <c r="H13174" s="5"/>
      <c r="I13174" s="5"/>
      <c r="J13174" s="5"/>
      <c r="K13174" s="5"/>
      <c r="L13174" s="5"/>
      <c r="M13174" s="5"/>
      <c r="N13174" s="5"/>
      <c r="O13174" s="5"/>
      <c r="P13174" s="5"/>
      <c r="Q13174" s="5"/>
      <c r="R13174" s="5"/>
      <c r="S13174" s="5"/>
      <c r="T13174" s="5"/>
      <c r="U13174" s="5"/>
      <c r="V13174" s="5"/>
      <c r="W13174" s="5"/>
      <c r="X13174" s="5"/>
      <c r="Y13174" s="5"/>
      <c r="Z13174" s="5"/>
    </row>
    <row r="13175" spans="1:26" ht="15" x14ac:dyDescent="0.25">
      <c r="A13175" s="4" t="s">
        <v>13172</v>
      </c>
      <c r="B13175" s="4" t="s">
        <v>9011</v>
      </c>
      <c r="C13175" s="2" t="str">
        <f ca="1">IFERROR(__xludf.DUMMYFUNCTION("GOOGLETRANSLATE(A13175,""bn"",""en"")"),"Development technology will improve a lot")</f>
        <v>Development technology will improve a lot</v>
      </c>
      <c r="D13175" s="5"/>
      <c r="E13175" s="5"/>
      <c r="F13175" s="5"/>
      <c r="G13175" s="5"/>
      <c r="H13175" s="5"/>
      <c r="I13175" s="5"/>
      <c r="J13175" s="5"/>
      <c r="K13175" s="5"/>
      <c r="L13175" s="5"/>
      <c r="M13175" s="5"/>
      <c r="N13175" s="5"/>
      <c r="O13175" s="5"/>
      <c r="P13175" s="5"/>
      <c r="Q13175" s="5"/>
      <c r="R13175" s="5"/>
      <c r="S13175" s="5"/>
      <c r="T13175" s="5"/>
      <c r="U13175" s="5"/>
      <c r="V13175" s="5"/>
      <c r="W13175" s="5"/>
      <c r="X13175" s="5"/>
      <c r="Y13175" s="5"/>
      <c r="Z13175" s="5"/>
    </row>
    <row r="13176" spans="1:26" ht="15" x14ac:dyDescent="0.25">
      <c r="A13176" s="4" t="s">
        <v>13173</v>
      </c>
      <c r="B13176" s="4" t="s">
        <v>9011</v>
      </c>
      <c r="C13176" s="2" t="str">
        <f ca="1">IFERROR(__xludf.DUMMYFUNCTION("GOOGLETRANSLATE(A13176,""bn"",""en"")"),"The material will be made as appropriate")</f>
        <v>The material will be made as appropriate</v>
      </c>
      <c r="D13176" s="5"/>
      <c r="E13176" s="5"/>
      <c r="F13176" s="5"/>
      <c r="G13176" s="5"/>
      <c r="H13176" s="5"/>
      <c r="I13176" s="5"/>
      <c r="J13176" s="5"/>
      <c r="K13176" s="5"/>
      <c r="L13176" s="5"/>
      <c r="M13176" s="5"/>
      <c r="N13176" s="5"/>
      <c r="O13176" s="5"/>
      <c r="P13176" s="5"/>
      <c r="Q13176" s="5"/>
      <c r="R13176" s="5"/>
      <c r="S13176" s="5"/>
      <c r="T13176" s="5"/>
      <c r="U13176" s="5"/>
      <c r="V13176" s="5"/>
      <c r="W13176" s="5"/>
      <c r="X13176" s="5"/>
      <c r="Y13176" s="5"/>
      <c r="Z13176" s="5"/>
    </row>
    <row r="13177" spans="1:26" ht="15" x14ac:dyDescent="0.25">
      <c r="A13177" s="4" t="s">
        <v>13174</v>
      </c>
      <c r="B13177" s="4" t="s">
        <v>9011</v>
      </c>
      <c r="C13177" s="2" t="str">
        <f ca="1">IFERROR(__xludf.DUMMYFUNCTION("GOOGLETRANSLATE(A13177,""bn"",""en"")"),"They will have a compass with them")</f>
        <v>They will have a compass with them</v>
      </c>
      <c r="D13177" s="5"/>
      <c r="E13177" s="5"/>
      <c r="F13177" s="5"/>
      <c r="G13177" s="5"/>
      <c r="H13177" s="5"/>
      <c r="I13177" s="5"/>
      <c r="J13177" s="5"/>
      <c r="K13177" s="5"/>
      <c r="L13177" s="5"/>
      <c r="M13177" s="5"/>
      <c r="N13177" s="5"/>
      <c r="O13177" s="5"/>
      <c r="P13177" s="5"/>
      <c r="Q13177" s="5"/>
      <c r="R13177" s="5"/>
      <c r="S13177" s="5"/>
      <c r="T13177" s="5"/>
      <c r="U13177" s="5"/>
      <c r="V13177" s="5"/>
      <c r="W13177" s="5"/>
      <c r="X13177" s="5"/>
      <c r="Y13177" s="5"/>
      <c r="Z13177" s="5"/>
    </row>
    <row r="13178" spans="1:26" ht="15" x14ac:dyDescent="0.25">
      <c r="A13178" s="4" t="s">
        <v>13175</v>
      </c>
      <c r="B13178" s="4" t="s">
        <v>9011</v>
      </c>
      <c r="C13178" s="2" t="str">
        <f ca="1">IFERROR(__xludf.DUMMYFUNCTION("GOOGLETRANSLATE(A13178,""bn"",""en"")"),"New articles will be published")</f>
        <v>New articles will be published</v>
      </c>
      <c r="D13178" s="5"/>
      <c r="E13178" s="5"/>
      <c r="F13178" s="5"/>
      <c r="G13178" s="5"/>
      <c r="H13178" s="5"/>
      <c r="I13178" s="5"/>
      <c r="J13178" s="5"/>
      <c r="K13178" s="5"/>
      <c r="L13178" s="5"/>
      <c r="M13178" s="5"/>
      <c r="N13178" s="5"/>
      <c r="O13178" s="5"/>
      <c r="P13178" s="5"/>
      <c r="Q13178" s="5"/>
      <c r="R13178" s="5"/>
      <c r="S13178" s="5"/>
      <c r="T13178" s="5"/>
      <c r="U13178" s="5"/>
      <c r="V13178" s="5"/>
      <c r="W13178" s="5"/>
      <c r="X13178" s="5"/>
      <c r="Y13178" s="5"/>
      <c r="Z13178" s="5"/>
    </row>
    <row r="13179" spans="1:26" ht="15" x14ac:dyDescent="0.25">
      <c r="A13179" s="4" t="s">
        <v>13176</v>
      </c>
      <c r="B13179" s="4" t="s">
        <v>9011</v>
      </c>
      <c r="C13179" s="2" t="str">
        <f ca="1">IFERROR(__xludf.DUMMYFUNCTION("GOOGLETRANSLATE(A13179,""bn"",""en"")"),"Author accounts will be rewarded")</f>
        <v>Author accounts will be rewarded</v>
      </c>
      <c r="D13179" s="5"/>
      <c r="E13179" s="5"/>
      <c r="F13179" s="5"/>
      <c r="G13179" s="5"/>
      <c r="H13179" s="5"/>
      <c r="I13179" s="5"/>
      <c r="J13179" s="5"/>
      <c r="K13179" s="5"/>
      <c r="L13179" s="5"/>
      <c r="M13179" s="5"/>
      <c r="N13179" s="5"/>
      <c r="O13179" s="5"/>
      <c r="P13179" s="5"/>
      <c r="Q13179" s="5"/>
      <c r="R13179" s="5"/>
      <c r="S13179" s="5"/>
      <c r="T13179" s="5"/>
      <c r="U13179" s="5"/>
      <c r="V13179" s="5"/>
      <c r="W13179" s="5"/>
      <c r="X13179" s="5"/>
      <c r="Y13179" s="5"/>
      <c r="Z13179" s="5"/>
    </row>
    <row r="13180" spans="1:26" ht="15" x14ac:dyDescent="0.25">
      <c r="A13180" s="4" t="s">
        <v>13177</v>
      </c>
      <c r="B13180" s="4" t="s">
        <v>9011</v>
      </c>
      <c r="C13180" s="2" t="str">
        <f ca="1">IFERROR(__xludf.DUMMYFUNCTION("GOOGLETRANSLATE(A13180,""bn"",""en"")"),"There will be sympathy for the patient")</f>
        <v>There will be sympathy for the patient</v>
      </c>
      <c r="D13180" s="5"/>
      <c r="E13180" s="5"/>
      <c r="F13180" s="5"/>
      <c r="G13180" s="5"/>
      <c r="H13180" s="5"/>
      <c r="I13180" s="5"/>
      <c r="J13180" s="5"/>
      <c r="K13180" s="5"/>
      <c r="L13180" s="5"/>
      <c r="M13180" s="5"/>
      <c r="N13180" s="5"/>
      <c r="O13180" s="5"/>
      <c r="P13180" s="5"/>
      <c r="Q13180" s="5"/>
      <c r="R13180" s="5"/>
      <c r="S13180" s="5"/>
      <c r="T13180" s="5"/>
      <c r="U13180" s="5"/>
      <c r="V13180" s="5"/>
      <c r="W13180" s="5"/>
      <c r="X13180" s="5"/>
      <c r="Y13180" s="5"/>
      <c r="Z13180" s="5"/>
    </row>
    <row r="13181" spans="1:26" ht="15" x14ac:dyDescent="0.25">
      <c r="A13181" s="4" t="s">
        <v>13178</v>
      </c>
      <c r="B13181" s="4" t="s">
        <v>9011</v>
      </c>
      <c r="C13181" s="2" t="str">
        <f ca="1">IFERROR(__xludf.DUMMYFUNCTION("GOOGLETRANSLATE(A13181,""bn"",""en"")"),"The ship will always go to sea")</f>
        <v>The ship will always go to sea</v>
      </c>
      <c r="D13181" s="5"/>
      <c r="E13181" s="5"/>
      <c r="F13181" s="5"/>
      <c r="G13181" s="5"/>
      <c r="H13181" s="5"/>
      <c r="I13181" s="5"/>
      <c r="J13181" s="5"/>
      <c r="K13181" s="5"/>
      <c r="L13181" s="5"/>
      <c r="M13181" s="5"/>
      <c r="N13181" s="5"/>
      <c r="O13181" s="5"/>
      <c r="P13181" s="5"/>
      <c r="Q13181" s="5"/>
      <c r="R13181" s="5"/>
      <c r="S13181" s="5"/>
      <c r="T13181" s="5"/>
      <c r="U13181" s="5"/>
      <c r="V13181" s="5"/>
      <c r="W13181" s="5"/>
      <c r="X13181" s="5"/>
      <c r="Y13181" s="5"/>
      <c r="Z13181" s="5"/>
    </row>
    <row r="13182" spans="1:26" ht="15" x14ac:dyDescent="0.25">
      <c r="A13182" s="4" t="s">
        <v>13179</v>
      </c>
      <c r="B13182" s="4" t="s">
        <v>9011</v>
      </c>
      <c r="C13182" s="2" t="str">
        <f ca="1">IFERROR(__xludf.DUMMYFUNCTION("GOOGLETRANSLATE(A13182,""bn"",""en"")"),"The grain will be sown in the garden")</f>
        <v>The grain will be sown in the garden</v>
      </c>
      <c r="D13182" s="5"/>
      <c r="E13182" s="5"/>
      <c r="F13182" s="5"/>
      <c r="G13182" s="5"/>
      <c r="H13182" s="5"/>
      <c r="I13182" s="5"/>
      <c r="J13182" s="5"/>
      <c r="K13182" s="5"/>
      <c r="L13182" s="5"/>
      <c r="M13182" s="5"/>
      <c r="N13182" s="5"/>
      <c r="O13182" s="5"/>
      <c r="P13182" s="5"/>
      <c r="Q13182" s="5"/>
      <c r="R13182" s="5"/>
      <c r="S13182" s="5"/>
      <c r="T13182" s="5"/>
      <c r="U13182" s="5"/>
      <c r="V13182" s="5"/>
      <c r="W13182" s="5"/>
      <c r="X13182" s="5"/>
      <c r="Y13182" s="5"/>
      <c r="Z13182" s="5"/>
    </row>
    <row r="13183" spans="1:26" ht="15" x14ac:dyDescent="0.25">
      <c r="A13183" s="4" t="s">
        <v>13180</v>
      </c>
      <c r="B13183" s="4" t="s">
        <v>9011</v>
      </c>
      <c r="C13183" s="2" t="str">
        <f ca="1">IFERROR(__xludf.DUMMYFUNCTION("GOOGLETRANSLATE(A13183,""bn"",""en"")"),"We will make new pasta")</f>
        <v>We will make new pasta</v>
      </c>
      <c r="D13183" s="5"/>
      <c r="E13183" s="5"/>
      <c r="F13183" s="5"/>
      <c r="G13183" s="5"/>
      <c r="H13183" s="5"/>
      <c r="I13183" s="5"/>
      <c r="J13183" s="5"/>
      <c r="K13183" s="5"/>
      <c r="L13183" s="5"/>
      <c r="M13183" s="5"/>
      <c r="N13183" s="5"/>
      <c r="O13183" s="5"/>
      <c r="P13183" s="5"/>
      <c r="Q13183" s="5"/>
      <c r="R13183" s="5"/>
      <c r="S13183" s="5"/>
      <c r="T13183" s="5"/>
      <c r="U13183" s="5"/>
      <c r="V13183" s="5"/>
      <c r="W13183" s="5"/>
      <c r="X13183" s="5"/>
      <c r="Y13183" s="5"/>
      <c r="Z13183" s="5"/>
    </row>
    <row r="13184" spans="1:26" ht="15" x14ac:dyDescent="0.25">
      <c r="A13184" s="4" t="s">
        <v>13181</v>
      </c>
      <c r="B13184" s="4" t="s">
        <v>9011</v>
      </c>
      <c r="C13184" s="2" t="str">
        <f ca="1">IFERROR(__xludf.DUMMYFUNCTION("GOOGLETRANSLATE(A13184,""bn"",""en"")"),"Classes will be taken online")</f>
        <v>Classes will be taken online</v>
      </c>
      <c r="D13184" s="5"/>
      <c r="E13184" s="5"/>
      <c r="F13184" s="5"/>
      <c r="G13184" s="5"/>
      <c r="H13184" s="5"/>
      <c r="I13184" s="5"/>
      <c r="J13184" s="5"/>
      <c r="K13184" s="5"/>
      <c r="L13184" s="5"/>
      <c r="M13184" s="5"/>
      <c r="N13184" s="5"/>
      <c r="O13184" s="5"/>
      <c r="P13184" s="5"/>
      <c r="Q13184" s="5"/>
      <c r="R13184" s="5"/>
      <c r="S13184" s="5"/>
      <c r="T13184" s="5"/>
      <c r="U13184" s="5"/>
      <c r="V13184" s="5"/>
      <c r="W13184" s="5"/>
      <c r="X13184" s="5"/>
      <c r="Y13184" s="5"/>
      <c r="Z13184" s="5"/>
    </row>
    <row r="13185" spans="1:26" ht="15" x14ac:dyDescent="0.25">
      <c r="A13185" s="4" t="s">
        <v>13182</v>
      </c>
      <c r="B13185" s="4" t="s">
        <v>9011</v>
      </c>
      <c r="C13185" s="2" t="str">
        <f ca="1">IFERROR(__xludf.DUMMYFUNCTION("GOOGLETRANSLATE(A13185,""bn"",""en"")"),"They will make bank ads")</f>
        <v>They will make bank ads</v>
      </c>
      <c r="D13185" s="5"/>
      <c r="E13185" s="5"/>
      <c r="F13185" s="5"/>
      <c r="G13185" s="5"/>
      <c r="H13185" s="5"/>
      <c r="I13185" s="5"/>
      <c r="J13185" s="5"/>
      <c r="K13185" s="5"/>
      <c r="L13185" s="5"/>
      <c r="M13185" s="5"/>
      <c r="N13185" s="5"/>
      <c r="O13185" s="5"/>
      <c r="P13185" s="5"/>
      <c r="Q13185" s="5"/>
      <c r="R13185" s="5"/>
      <c r="S13185" s="5"/>
      <c r="T13185" s="5"/>
      <c r="U13185" s="5"/>
      <c r="V13185" s="5"/>
      <c r="W13185" s="5"/>
      <c r="X13185" s="5"/>
      <c r="Y13185" s="5"/>
      <c r="Z13185" s="5"/>
    </row>
    <row r="13186" spans="1:26" ht="15" x14ac:dyDescent="0.25">
      <c r="A13186" s="4" t="s">
        <v>13183</v>
      </c>
      <c r="B13186" s="4" t="s">
        <v>9011</v>
      </c>
      <c r="C13186" s="2" t="str">
        <f ca="1">IFERROR(__xludf.DUMMYFUNCTION("GOOGLETRANSLATE(A13186,""bn"",""en"")"),"I will check your menu")</f>
        <v>I will check your menu</v>
      </c>
      <c r="D13186" s="5"/>
      <c r="E13186" s="5"/>
      <c r="F13186" s="5"/>
      <c r="G13186" s="5"/>
      <c r="H13186" s="5"/>
      <c r="I13186" s="5"/>
      <c r="J13186" s="5"/>
      <c r="K13186" s="5"/>
      <c r="L13186" s="5"/>
      <c r="M13186" s="5"/>
      <c r="N13186" s="5"/>
      <c r="O13186" s="5"/>
      <c r="P13186" s="5"/>
      <c r="Q13186" s="5"/>
      <c r="R13186" s="5"/>
      <c r="S13186" s="5"/>
      <c r="T13186" s="5"/>
      <c r="U13186" s="5"/>
      <c r="V13186" s="5"/>
      <c r="W13186" s="5"/>
      <c r="X13186" s="5"/>
      <c r="Y13186" s="5"/>
      <c r="Z13186" s="5"/>
    </row>
    <row r="13187" spans="1:26" ht="15" x14ac:dyDescent="0.25">
      <c r="A13187" s="4" t="s">
        <v>13184</v>
      </c>
      <c r="B13187" s="4" t="s">
        <v>9011</v>
      </c>
      <c r="C13187" s="2" t="str">
        <f ca="1">IFERROR(__xludf.DUMMYFUNCTION("GOOGLETRANSLATE(A13187,""bn"",""en"")"),"Self-denial will gradually increase")</f>
        <v>Self-denial will gradually increase</v>
      </c>
      <c r="D13187" s="5"/>
      <c r="E13187" s="5"/>
      <c r="F13187" s="5"/>
      <c r="G13187" s="5"/>
      <c r="H13187" s="5"/>
      <c r="I13187" s="5"/>
      <c r="J13187" s="5"/>
      <c r="K13187" s="5"/>
      <c r="L13187" s="5"/>
      <c r="M13187" s="5"/>
      <c r="N13187" s="5"/>
      <c r="O13187" s="5"/>
      <c r="P13187" s="5"/>
      <c r="Q13187" s="5"/>
      <c r="R13187" s="5"/>
      <c r="S13187" s="5"/>
      <c r="T13187" s="5"/>
      <c r="U13187" s="5"/>
      <c r="V13187" s="5"/>
      <c r="W13187" s="5"/>
      <c r="X13187" s="5"/>
      <c r="Y13187" s="5"/>
      <c r="Z13187" s="5"/>
    </row>
    <row r="13188" spans="1:26" ht="15" x14ac:dyDescent="0.25">
      <c r="A13188" s="4" t="s">
        <v>13185</v>
      </c>
      <c r="B13188" s="4" t="s">
        <v>9011</v>
      </c>
      <c r="C13188" s="2" t="str">
        <f ca="1">IFERROR(__xludf.DUMMYFUNCTION("GOOGLETRANSLATE(A13188,""bn"",""en"")"),"The doctor will determine the treatment")</f>
        <v>The doctor will determine the treatment</v>
      </c>
      <c r="D13188" s="5"/>
      <c r="E13188" s="5"/>
      <c r="F13188" s="5"/>
      <c r="G13188" s="5"/>
      <c r="H13188" s="5"/>
      <c r="I13188" s="5"/>
      <c r="J13188" s="5"/>
      <c r="K13188" s="5"/>
      <c r="L13188" s="5"/>
      <c r="M13188" s="5"/>
      <c r="N13188" s="5"/>
      <c r="O13188" s="5"/>
      <c r="P13188" s="5"/>
      <c r="Q13188" s="5"/>
      <c r="R13188" s="5"/>
      <c r="S13188" s="5"/>
      <c r="T13188" s="5"/>
      <c r="U13188" s="5"/>
      <c r="V13188" s="5"/>
      <c r="W13188" s="5"/>
      <c r="X13188" s="5"/>
      <c r="Y13188" s="5"/>
      <c r="Z13188" s="5"/>
    </row>
    <row r="13189" spans="1:26" ht="15" x14ac:dyDescent="0.25">
      <c r="A13189" s="4" t="s">
        <v>13186</v>
      </c>
      <c r="B13189" s="4" t="s">
        <v>9011</v>
      </c>
      <c r="C13189" s="2" t="str">
        <f ca="1">IFERROR(__xludf.DUMMYFUNCTION("GOOGLETRANSLATE(A13189,""bn"",""en"")"),"He will be computer literate")</f>
        <v>He will be computer literate</v>
      </c>
      <c r="D13189" s="5"/>
      <c r="E13189" s="5"/>
      <c r="F13189" s="5"/>
      <c r="G13189" s="5"/>
      <c r="H13189" s="5"/>
      <c r="I13189" s="5"/>
      <c r="J13189" s="5"/>
      <c r="K13189" s="5"/>
      <c r="L13189" s="5"/>
      <c r="M13189" s="5"/>
      <c r="N13189" s="5"/>
      <c r="O13189" s="5"/>
      <c r="P13189" s="5"/>
      <c r="Q13189" s="5"/>
      <c r="R13189" s="5"/>
      <c r="S13189" s="5"/>
      <c r="T13189" s="5"/>
      <c r="U13189" s="5"/>
      <c r="V13189" s="5"/>
      <c r="W13189" s="5"/>
      <c r="X13189" s="5"/>
      <c r="Y13189" s="5"/>
      <c r="Z13189" s="5"/>
    </row>
    <row r="13190" spans="1:26" ht="15" x14ac:dyDescent="0.25">
      <c r="A13190" s="4" t="s">
        <v>13187</v>
      </c>
      <c r="B13190" s="4" t="s">
        <v>9011</v>
      </c>
      <c r="C13190" s="2" t="str">
        <f ca="1">IFERROR(__xludf.DUMMYFUNCTION("GOOGLETRANSLATE(A13190,""bn"",""en"")"),"Everyone will sit in the concert")</f>
        <v>Everyone will sit in the concert</v>
      </c>
      <c r="D13190" s="5"/>
      <c r="E13190" s="5"/>
      <c r="F13190" s="5"/>
      <c r="G13190" s="5"/>
      <c r="H13190" s="5"/>
      <c r="I13190" s="5"/>
      <c r="J13190" s="5"/>
      <c r="K13190" s="5"/>
      <c r="L13190" s="5"/>
      <c r="M13190" s="5"/>
      <c r="N13190" s="5"/>
      <c r="O13190" s="5"/>
      <c r="P13190" s="5"/>
      <c r="Q13190" s="5"/>
      <c r="R13190" s="5"/>
      <c r="S13190" s="5"/>
      <c r="T13190" s="5"/>
      <c r="U13190" s="5"/>
      <c r="V13190" s="5"/>
      <c r="W13190" s="5"/>
      <c r="X13190" s="5"/>
      <c r="Y13190" s="5"/>
      <c r="Z13190" s="5"/>
    </row>
    <row r="13191" spans="1:26" ht="15" x14ac:dyDescent="0.25">
      <c r="A13191" s="4" t="s">
        <v>13188</v>
      </c>
      <c r="B13191" s="4" t="s">
        <v>9011</v>
      </c>
      <c r="C13191" s="2" t="str">
        <f ca="1">IFERROR(__xludf.DUMMYFUNCTION("GOOGLETRANSLATE(A13191,""bn"",""en"")"),"She will do the housework")</f>
        <v>She will do the housework</v>
      </c>
      <c r="D13191" s="5"/>
      <c r="E13191" s="5"/>
      <c r="F13191" s="5"/>
      <c r="G13191" s="5"/>
      <c r="H13191" s="5"/>
      <c r="I13191" s="5"/>
      <c r="J13191" s="5"/>
      <c r="K13191" s="5"/>
      <c r="L13191" s="5"/>
      <c r="M13191" s="5"/>
      <c r="N13191" s="5"/>
      <c r="O13191" s="5"/>
      <c r="P13191" s="5"/>
      <c r="Q13191" s="5"/>
      <c r="R13191" s="5"/>
      <c r="S13191" s="5"/>
      <c r="T13191" s="5"/>
      <c r="U13191" s="5"/>
      <c r="V13191" s="5"/>
      <c r="W13191" s="5"/>
      <c r="X13191" s="5"/>
      <c r="Y13191" s="5"/>
      <c r="Z13191" s="5"/>
    </row>
    <row r="13192" spans="1:26" ht="15" x14ac:dyDescent="0.25">
      <c r="A13192" s="4" t="s">
        <v>13189</v>
      </c>
      <c r="B13192" s="4" t="s">
        <v>9011</v>
      </c>
      <c r="C13192" s="2" t="str">
        <f ca="1">IFERROR(__xludf.DUMMYFUNCTION("GOOGLETRANSLATE(A13192,""bn"",""en"")"),"Garment industry will play a role in the economy")</f>
        <v>Garment industry will play a role in the economy</v>
      </c>
      <c r="D13192" s="5"/>
      <c r="E13192" s="5"/>
      <c r="F13192" s="5"/>
      <c r="G13192" s="5"/>
      <c r="H13192" s="5"/>
      <c r="I13192" s="5"/>
      <c r="J13192" s="5"/>
      <c r="K13192" s="5"/>
      <c r="L13192" s="5"/>
      <c r="M13192" s="5"/>
      <c r="N13192" s="5"/>
      <c r="O13192" s="5"/>
      <c r="P13192" s="5"/>
      <c r="Q13192" s="5"/>
      <c r="R13192" s="5"/>
      <c r="S13192" s="5"/>
      <c r="T13192" s="5"/>
      <c r="U13192" s="5"/>
      <c r="V13192" s="5"/>
      <c r="W13192" s="5"/>
      <c r="X13192" s="5"/>
      <c r="Y13192" s="5"/>
      <c r="Z13192" s="5"/>
    </row>
    <row r="13193" spans="1:26" ht="15" x14ac:dyDescent="0.25">
      <c r="A13193" s="4" t="s">
        <v>13190</v>
      </c>
      <c r="B13193" s="4" t="s">
        <v>9011</v>
      </c>
      <c r="C13193" s="2" t="str">
        <f ca="1">IFERROR(__xludf.DUMMYFUNCTION("GOOGLETRANSLATE(A13193,""bn"",""en"")"),"English story should be written")</f>
        <v>English story should be written</v>
      </c>
      <c r="D13193" s="5"/>
      <c r="E13193" s="5"/>
      <c r="F13193" s="5"/>
      <c r="G13193" s="5"/>
      <c r="H13193" s="5"/>
      <c r="I13193" s="5"/>
      <c r="J13193" s="5"/>
      <c r="K13193" s="5"/>
      <c r="L13193" s="5"/>
      <c r="M13193" s="5"/>
      <c r="N13193" s="5"/>
      <c r="O13193" s="5"/>
      <c r="P13193" s="5"/>
      <c r="Q13193" s="5"/>
      <c r="R13193" s="5"/>
      <c r="S13193" s="5"/>
      <c r="T13193" s="5"/>
      <c r="U13193" s="5"/>
      <c r="V13193" s="5"/>
      <c r="W13193" s="5"/>
      <c r="X13193" s="5"/>
      <c r="Y13193" s="5"/>
      <c r="Z13193" s="5"/>
    </row>
    <row r="13194" spans="1:26" ht="15" x14ac:dyDescent="0.25">
      <c r="A13194" s="4" t="s">
        <v>13191</v>
      </c>
      <c r="B13194" s="4" t="s">
        <v>9011</v>
      </c>
      <c r="C13194" s="2" t="str">
        <f ca="1">IFERROR(__xludf.DUMMYFUNCTION("GOOGLETRANSLATE(A13194,""bn"",""en"")"),"They will build a campfire")</f>
        <v>They will build a campfire</v>
      </c>
      <c r="D13194" s="5"/>
      <c r="E13194" s="5"/>
      <c r="F13194" s="5"/>
      <c r="G13194" s="5"/>
      <c r="H13194" s="5"/>
      <c r="I13194" s="5"/>
      <c r="J13194" s="5"/>
      <c r="K13194" s="5"/>
      <c r="L13194" s="5"/>
      <c r="M13194" s="5"/>
      <c r="N13194" s="5"/>
      <c r="O13194" s="5"/>
      <c r="P13194" s="5"/>
      <c r="Q13194" s="5"/>
      <c r="R13194" s="5"/>
      <c r="S13194" s="5"/>
      <c r="T13194" s="5"/>
      <c r="U13194" s="5"/>
      <c r="V13194" s="5"/>
      <c r="W13194" s="5"/>
      <c r="X13194" s="5"/>
      <c r="Y13194" s="5"/>
      <c r="Z13194" s="5"/>
    </row>
    <row r="13195" spans="1:26" ht="15" x14ac:dyDescent="0.25">
      <c r="A13195" s="4" t="s">
        <v>13192</v>
      </c>
      <c r="B13195" s="4" t="s">
        <v>9011</v>
      </c>
      <c r="C13195" s="2" t="str">
        <f ca="1">IFERROR(__xludf.DUMMYFUNCTION("GOOGLETRANSLATE(A13195,""bn"",""en"")"),"Spend time following trends")</f>
        <v>Spend time following trends</v>
      </c>
      <c r="D13195" s="5"/>
      <c r="E13195" s="5"/>
      <c r="F13195" s="5"/>
      <c r="G13195" s="5"/>
      <c r="H13195" s="5"/>
      <c r="I13195" s="5"/>
      <c r="J13195" s="5"/>
      <c r="K13195" s="5"/>
      <c r="L13195" s="5"/>
      <c r="M13195" s="5"/>
      <c r="N13195" s="5"/>
      <c r="O13195" s="5"/>
      <c r="P13195" s="5"/>
      <c r="Q13195" s="5"/>
      <c r="R13195" s="5"/>
      <c r="S13195" s="5"/>
      <c r="T13195" s="5"/>
      <c r="U13195" s="5"/>
      <c r="V13195" s="5"/>
      <c r="W13195" s="5"/>
      <c r="X13195" s="5"/>
      <c r="Y13195" s="5"/>
      <c r="Z13195" s="5"/>
    </row>
    <row r="13196" spans="1:26" ht="15" x14ac:dyDescent="0.25">
      <c r="A13196" s="4" t="s">
        <v>13193</v>
      </c>
      <c r="B13196" s="4" t="s">
        <v>9011</v>
      </c>
      <c r="C13196" s="2" t="str">
        <f ca="1">IFERROR(__xludf.DUMMYFUNCTION("GOOGLETRANSLATE(A13196,""bn"",""en"")"),"He will teach swimming at the university")</f>
        <v>He will teach swimming at the university</v>
      </c>
      <c r="D13196" s="5"/>
      <c r="E13196" s="5"/>
      <c r="F13196" s="5"/>
      <c r="G13196" s="5"/>
      <c r="H13196" s="5"/>
      <c r="I13196" s="5"/>
      <c r="J13196" s="5"/>
      <c r="K13196" s="5"/>
      <c r="L13196" s="5"/>
      <c r="M13196" s="5"/>
      <c r="N13196" s="5"/>
      <c r="O13196" s="5"/>
      <c r="P13196" s="5"/>
      <c r="Q13196" s="5"/>
      <c r="R13196" s="5"/>
      <c r="S13196" s="5"/>
      <c r="T13196" s="5"/>
      <c r="U13196" s="5"/>
      <c r="V13196" s="5"/>
      <c r="W13196" s="5"/>
      <c r="X13196" s="5"/>
      <c r="Y13196" s="5"/>
      <c r="Z13196" s="5"/>
    </row>
    <row r="13197" spans="1:26" ht="15" x14ac:dyDescent="0.25">
      <c r="A13197" s="4" t="s">
        <v>13194</v>
      </c>
      <c r="B13197" s="4" t="s">
        <v>9011</v>
      </c>
      <c r="C13197" s="2" t="str">
        <f ca="1">IFERROR(__xludf.DUMMYFUNCTION("GOOGLETRANSLATE(A13197,""bn"",""en"")"),"There will be stormy waves in the sea")</f>
        <v>There will be stormy waves in the sea</v>
      </c>
      <c r="D13197" s="5"/>
      <c r="E13197" s="5"/>
      <c r="F13197" s="5"/>
      <c r="G13197" s="5"/>
      <c r="H13197" s="5"/>
      <c r="I13197" s="5"/>
      <c r="J13197" s="5"/>
      <c r="K13197" s="5"/>
      <c r="L13197" s="5"/>
      <c r="M13197" s="5"/>
      <c r="N13197" s="5"/>
      <c r="O13197" s="5"/>
      <c r="P13197" s="5"/>
      <c r="Q13197" s="5"/>
      <c r="R13197" s="5"/>
      <c r="S13197" s="5"/>
      <c r="T13197" s="5"/>
      <c r="U13197" s="5"/>
      <c r="V13197" s="5"/>
      <c r="W13197" s="5"/>
      <c r="X13197" s="5"/>
      <c r="Y13197" s="5"/>
      <c r="Z13197" s="5"/>
    </row>
    <row r="13198" spans="1:26" ht="15" x14ac:dyDescent="0.25">
      <c r="A13198" s="4" t="s">
        <v>13195</v>
      </c>
      <c r="B13198" s="4" t="s">
        <v>9011</v>
      </c>
      <c r="C13198" s="2" t="str">
        <f ca="1">IFERROR(__xludf.DUMMYFUNCTION("GOOGLETRANSLATE(A13198,""bn"",""en"")"),"Weather in the country will be bad")</f>
        <v>Weather in the country will be bad</v>
      </c>
      <c r="D13198" s="5"/>
      <c r="E13198" s="5"/>
      <c r="F13198" s="5"/>
      <c r="G13198" s="5"/>
      <c r="H13198" s="5"/>
      <c r="I13198" s="5"/>
      <c r="J13198" s="5"/>
      <c r="K13198" s="5"/>
      <c r="L13198" s="5"/>
      <c r="M13198" s="5"/>
      <c r="N13198" s="5"/>
      <c r="O13198" s="5"/>
      <c r="P13198" s="5"/>
      <c r="Q13198" s="5"/>
      <c r="R13198" s="5"/>
      <c r="S13198" s="5"/>
      <c r="T13198" s="5"/>
      <c r="U13198" s="5"/>
      <c r="V13198" s="5"/>
      <c r="W13198" s="5"/>
      <c r="X13198" s="5"/>
      <c r="Y13198" s="5"/>
      <c r="Z13198" s="5"/>
    </row>
    <row r="13199" spans="1:26" ht="15" x14ac:dyDescent="0.25">
      <c r="A13199" s="4" t="s">
        <v>13196</v>
      </c>
      <c r="B13199" s="4" t="s">
        <v>9011</v>
      </c>
      <c r="C13199" s="2" t="str">
        <f ca="1">IFERROR(__xludf.DUMMYFUNCTION("GOOGLETRANSLATE(A13199,""bn"",""en"")"),"It always rains on the beach")</f>
        <v>It always rains on the beach</v>
      </c>
      <c r="D13199" s="5"/>
      <c r="E13199" s="5"/>
      <c r="F13199" s="5"/>
      <c r="G13199" s="5"/>
      <c r="H13199" s="5"/>
      <c r="I13199" s="5"/>
      <c r="J13199" s="5"/>
      <c r="K13199" s="5"/>
      <c r="L13199" s="5"/>
      <c r="M13199" s="5"/>
      <c r="N13199" s="5"/>
      <c r="O13199" s="5"/>
      <c r="P13199" s="5"/>
      <c r="Q13199" s="5"/>
      <c r="R13199" s="5"/>
      <c r="S13199" s="5"/>
      <c r="T13199" s="5"/>
      <c r="U13199" s="5"/>
      <c r="V13199" s="5"/>
      <c r="W13199" s="5"/>
      <c r="X13199" s="5"/>
      <c r="Y13199" s="5"/>
      <c r="Z13199" s="5"/>
    </row>
    <row r="13200" spans="1:26" ht="15" x14ac:dyDescent="0.25">
      <c r="A13200" s="4" t="s">
        <v>13197</v>
      </c>
      <c r="B13200" s="4" t="s">
        <v>9011</v>
      </c>
      <c r="C13200" s="2" t="str">
        <f ca="1">IFERROR(__xludf.DUMMYFUNCTION("GOOGLETRANSLATE(A13200,""bn"",""en"")"),"Prepare to defend")</f>
        <v>Prepare to defend</v>
      </c>
      <c r="D13200" s="5"/>
      <c r="E13200" s="5"/>
      <c r="F13200" s="5"/>
      <c r="G13200" s="5"/>
      <c r="H13200" s="5"/>
      <c r="I13200" s="5"/>
      <c r="J13200" s="5"/>
      <c r="K13200" s="5"/>
      <c r="L13200" s="5"/>
      <c r="M13200" s="5"/>
      <c r="N13200" s="5"/>
      <c r="O13200" s="5"/>
      <c r="P13200" s="5"/>
      <c r="Q13200" s="5"/>
      <c r="R13200" s="5"/>
      <c r="S13200" s="5"/>
      <c r="T13200" s="5"/>
      <c r="U13200" s="5"/>
      <c r="V13200" s="5"/>
      <c r="W13200" s="5"/>
      <c r="X13200" s="5"/>
      <c r="Y13200" s="5"/>
      <c r="Z13200" s="5"/>
    </row>
    <row r="13201" spans="1:26" ht="15" x14ac:dyDescent="0.25">
      <c r="A13201" s="4" t="s">
        <v>13198</v>
      </c>
      <c r="B13201" s="4" t="s">
        <v>9011</v>
      </c>
      <c r="C13201" s="2" t="str">
        <f ca="1">IFERROR(__xludf.DUMMYFUNCTION("GOOGLETRANSLATE(A13201,""bn"",""en"")"),"I will show you their menu at the restaurant")</f>
        <v>I will show you their menu at the restaurant</v>
      </c>
      <c r="D13201" s="5"/>
      <c r="E13201" s="5"/>
      <c r="F13201" s="5"/>
      <c r="G13201" s="5"/>
      <c r="H13201" s="5"/>
      <c r="I13201" s="5"/>
      <c r="J13201" s="5"/>
      <c r="K13201" s="5"/>
      <c r="L13201" s="5"/>
      <c r="M13201" s="5"/>
      <c r="N13201" s="5"/>
      <c r="O13201" s="5"/>
      <c r="P13201" s="5"/>
      <c r="Q13201" s="5"/>
      <c r="R13201" s="5"/>
      <c r="S13201" s="5"/>
      <c r="T13201" s="5"/>
      <c r="U13201" s="5"/>
      <c r="V13201" s="5"/>
      <c r="W13201" s="5"/>
      <c r="X13201" s="5"/>
      <c r="Y13201" s="5"/>
      <c r="Z13201" s="5"/>
    </row>
    <row r="13202" spans="1:26" ht="15" x14ac:dyDescent="0.25">
      <c r="A13202" s="4" t="s">
        <v>13199</v>
      </c>
      <c r="B13202" s="4" t="s">
        <v>9011</v>
      </c>
      <c r="C13202" s="2" t="str">
        <f ca="1">IFERROR(__xludf.DUMMYFUNCTION("GOOGLETRANSLATE(A13202,""bn"",""en"")"),"I will drink hot tea in winter")</f>
        <v>I will drink hot tea in winter</v>
      </c>
      <c r="D13202" s="5"/>
      <c r="E13202" s="5"/>
      <c r="F13202" s="5"/>
      <c r="G13202" s="5"/>
      <c r="H13202" s="5"/>
      <c r="I13202" s="5"/>
      <c r="J13202" s="5"/>
      <c r="K13202" s="5"/>
      <c r="L13202" s="5"/>
      <c r="M13202" s="5"/>
      <c r="N13202" s="5"/>
      <c r="O13202" s="5"/>
      <c r="P13202" s="5"/>
      <c r="Q13202" s="5"/>
      <c r="R13202" s="5"/>
      <c r="S13202" s="5"/>
      <c r="T13202" s="5"/>
      <c r="U13202" s="5"/>
      <c r="V13202" s="5"/>
      <c r="W13202" s="5"/>
      <c r="X13202" s="5"/>
      <c r="Y13202" s="5"/>
      <c r="Z13202" s="5"/>
    </row>
    <row r="13203" spans="1:26" ht="15" x14ac:dyDescent="0.25">
      <c r="A13203" s="4" t="s">
        <v>13200</v>
      </c>
      <c r="B13203" s="4" t="s">
        <v>9011</v>
      </c>
      <c r="C13203" s="2" t="str">
        <f ca="1">IFERROR(__xludf.DUMMYFUNCTION("GOOGLETRANSLATE(A13203,""bn"",""en"")"),"Smart biometric input will be provided")</f>
        <v>Smart biometric input will be provided</v>
      </c>
      <c r="D13203" s="5"/>
      <c r="E13203" s="5"/>
      <c r="F13203" s="5"/>
      <c r="G13203" s="5"/>
      <c r="H13203" s="5"/>
      <c r="I13203" s="5"/>
      <c r="J13203" s="5"/>
      <c r="K13203" s="5"/>
      <c r="L13203" s="5"/>
      <c r="M13203" s="5"/>
      <c r="N13203" s="5"/>
      <c r="O13203" s="5"/>
      <c r="P13203" s="5"/>
      <c r="Q13203" s="5"/>
      <c r="R13203" s="5"/>
      <c r="S13203" s="5"/>
      <c r="T13203" s="5"/>
      <c r="U13203" s="5"/>
      <c r="V13203" s="5"/>
      <c r="W13203" s="5"/>
      <c r="X13203" s="5"/>
      <c r="Y13203" s="5"/>
      <c r="Z13203" s="5"/>
    </row>
    <row r="13204" spans="1:26" ht="15" x14ac:dyDescent="0.25">
      <c r="A13204" s="4" t="s">
        <v>13201</v>
      </c>
      <c r="B13204" s="4" t="s">
        <v>9011</v>
      </c>
      <c r="C13204" s="2" t="str">
        <f ca="1">IFERROR(__xludf.DUMMYFUNCTION("GOOGLETRANSLATE(A13204,""bn"",""en"")"),"I will hire for new projects")</f>
        <v>I will hire for new projects</v>
      </c>
      <c r="D13204" s="5"/>
      <c r="E13204" s="5"/>
      <c r="F13204" s="5"/>
      <c r="G13204" s="5"/>
      <c r="H13204" s="5"/>
      <c r="I13204" s="5"/>
      <c r="J13204" s="5"/>
      <c r="K13204" s="5"/>
      <c r="L13204" s="5"/>
      <c r="M13204" s="5"/>
      <c r="N13204" s="5"/>
      <c r="O13204" s="5"/>
      <c r="P13204" s="5"/>
      <c r="Q13204" s="5"/>
      <c r="R13204" s="5"/>
      <c r="S13204" s="5"/>
      <c r="T13204" s="5"/>
      <c r="U13204" s="5"/>
      <c r="V13204" s="5"/>
      <c r="W13204" s="5"/>
      <c r="X13204" s="5"/>
      <c r="Y13204" s="5"/>
      <c r="Z13204" s="5"/>
    </row>
    <row r="13205" spans="1:26" ht="15" x14ac:dyDescent="0.25">
      <c r="A13205" s="4" t="s">
        <v>13202</v>
      </c>
      <c r="B13205" s="4" t="s">
        <v>9011</v>
      </c>
      <c r="C13205" s="2" t="str">
        <f ca="1">IFERROR(__xludf.DUMMYFUNCTION("GOOGLETRANSLATE(A13205,""bn"",""en"")"),"Cyber ​​crime will be prevented")</f>
        <v>Cyber ​​crime will be prevented</v>
      </c>
      <c r="D13205" s="5"/>
      <c r="E13205" s="5"/>
      <c r="F13205" s="5"/>
      <c r="G13205" s="5"/>
      <c r="H13205" s="5"/>
      <c r="I13205" s="5"/>
      <c r="J13205" s="5"/>
      <c r="K13205" s="5"/>
      <c r="L13205" s="5"/>
      <c r="M13205" s="5"/>
      <c r="N13205" s="5"/>
      <c r="O13205" s="5"/>
      <c r="P13205" s="5"/>
      <c r="Q13205" s="5"/>
      <c r="R13205" s="5"/>
      <c r="S13205" s="5"/>
      <c r="T13205" s="5"/>
      <c r="U13205" s="5"/>
      <c r="V13205" s="5"/>
      <c r="W13205" s="5"/>
      <c r="X13205" s="5"/>
      <c r="Y13205" s="5"/>
      <c r="Z13205" s="5"/>
    </row>
    <row r="13206" spans="1:26" ht="15" x14ac:dyDescent="0.25">
      <c r="A13206" s="4" t="s">
        <v>13203</v>
      </c>
      <c r="B13206" s="4" t="s">
        <v>9011</v>
      </c>
      <c r="C13206" s="2" t="str">
        <f ca="1">IFERROR(__xludf.DUMMYFUNCTION("GOOGLETRANSLATE(A13206,""bn"",""en"")"),"Prosperity will be in the country soon")</f>
        <v>Prosperity will be in the country soon</v>
      </c>
      <c r="D13206" s="5"/>
      <c r="E13206" s="5"/>
      <c r="F13206" s="5"/>
      <c r="G13206" s="5"/>
      <c r="H13206" s="5"/>
      <c r="I13206" s="5"/>
      <c r="J13206" s="5"/>
      <c r="K13206" s="5"/>
      <c r="L13206" s="5"/>
      <c r="M13206" s="5"/>
      <c r="N13206" s="5"/>
      <c r="O13206" s="5"/>
      <c r="P13206" s="5"/>
      <c r="Q13206" s="5"/>
      <c r="R13206" s="5"/>
      <c r="S13206" s="5"/>
      <c r="T13206" s="5"/>
      <c r="U13206" s="5"/>
      <c r="V13206" s="5"/>
      <c r="W13206" s="5"/>
      <c r="X13206" s="5"/>
      <c r="Y13206" s="5"/>
      <c r="Z13206" s="5"/>
    </row>
    <row r="13207" spans="1:26" ht="15" x14ac:dyDescent="0.25">
      <c r="A13207" s="4" t="s">
        <v>13204</v>
      </c>
      <c r="B13207" s="4" t="s">
        <v>9011</v>
      </c>
      <c r="C13207" s="2" t="str">
        <f ca="1">IFERROR(__xludf.DUMMYFUNCTION("GOOGLETRANSLATE(A13207,""bn"",""en"")"),"Education system will be improved")</f>
        <v>Education system will be improved</v>
      </c>
      <c r="D13207" s="5"/>
      <c r="E13207" s="5"/>
      <c r="F13207" s="5"/>
      <c r="G13207" s="5"/>
      <c r="H13207" s="5"/>
      <c r="I13207" s="5"/>
      <c r="J13207" s="5"/>
      <c r="K13207" s="5"/>
      <c r="L13207" s="5"/>
      <c r="M13207" s="5"/>
      <c r="N13207" s="5"/>
      <c r="O13207" s="5"/>
      <c r="P13207" s="5"/>
      <c r="Q13207" s="5"/>
      <c r="R13207" s="5"/>
      <c r="S13207" s="5"/>
      <c r="T13207" s="5"/>
      <c r="U13207" s="5"/>
      <c r="V13207" s="5"/>
      <c r="W13207" s="5"/>
      <c r="X13207" s="5"/>
      <c r="Y13207" s="5"/>
      <c r="Z13207" s="5"/>
    </row>
    <row r="13208" spans="1:26" ht="15" x14ac:dyDescent="0.25">
      <c r="A13208" s="4" t="s">
        <v>13205</v>
      </c>
      <c r="B13208" s="4" t="s">
        <v>9011</v>
      </c>
      <c r="C13208" s="2" t="str">
        <f ca="1">IFERROR(__xludf.DUMMYFUNCTION("GOOGLETRANSLATE(A13208,""bn"",""en"")"),"Crop disease will be common")</f>
        <v>Crop disease will be common</v>
      </c>
      <c r="D13208" s="5"/>
      <c r="E13208" s="5"/>
      <c r="F13208" s="5"/>
      <c r="G13208" s="5"/>
      <c r="H13208" s="5"/>
      <c r="I13208" s="5"/>
      <c r="J13208" s="5"/>
      <c r="K13208" s="5"/>
      <c r="L13208" s="5"/>
      <c r="M13208" s="5"/>
      <c r="N13208" s="5"/>
      <c r="O13208" s="5"/>
      <c r="P13208" s="5"/>
      <c r="Q13208" s="5"/>
      <c r="R13208" s="5"/>
      <c r="S13208" s="5"/>
      <c r="T13208" s="5"/>
      <c r="U13208" s="5"/>
      <c r="V13208" s="5"/>
      <c r="W13208" s="5"/>
      <c r="X13208" s="5"/>
      <c r="Y13208" s="5"/>
      <c r="Z13208" s="5"/>
    </row>
    <row r="13209" spans="1:26" ht="15" x14ac:dyDescent="0.25">
      <c r="A13209" s="4" t="s">
        <v>13206</v>
      </c>
      <c r="B13209" s="4" t="s">
        <v>9011</v>
      </c>
      <c r="C13209" s="2" t="str">
        <f ca="1">IFERROR(__xludf.DUMMYFUNCTION("GOOGLETRANSLATE(A13209,""bn"",""en"")"),"We will visit a museum")</f>
        <v>We will visit a museum</v>
      </c>
      <c r="D13209" s="5"/>
      <c r="E13209" s="5"/>
      <c r="F13209" s="5"/>
      <c r="G13209" s="5"/>
      <c r="H13209" s="5"/>
      <c r="I13209" s="5"/>
      <c r="J13209" s="5"/>
      <c r="K13209" s="5"/>
      <c r="L13209" s="5"/>
      <c r="M13209" s="5"/>
      <c r="N13209" s="5"/>
      <c r="O13209" s="5"/>
      <c r="P13209" s="5"/>
      <c r="Q13209" s="5"/>
      <c r="R13209" s="5"/>
      <c r="S13209" s="5"/>
      <c r="T13209" s="5"/>
      <c r="U13209" s="5"/>
      <c r="V13209" s="5"/>
      <c r="W13209" s="5"/>
      <c r="X13209" s="5"/>
      <c r="Y13209" s="5"/>
      <c r="Z13209" s="5"/>
    </row>
    <row r="13210" spans="1:26" ht="15" x14ac:dyDescent="0.25">
      <c r="A13210" s="4" t="s">
        <v>13207</v>
      </c>
      <c r="B13210" s="4" t="s">
        <v>9011</v>
      </c>
      <c r="C13210" s="2" t="str">
        <f ca="1">IFERROR(__xludf.DUMMYFUNCTION("GOOGLETRANSLATE(A13210,""bn"",""en"")"),"Tesla's satellite will go to Mars")</f>
        <v>Tesla's satellite will go to Mars</v>
      </c>
      <c r="D13210" s="5"/>
      <c r="E13210" s="5"/>
      <c r="F13210" s="5"/>
      <c r="G13210" s="5"/>
      <c r="H13210" s="5"/>
      <c r="I13210" s="5"/>
      <c r="J13210" s="5"/>
      <c r="K13210" s="5"/>
      <c r="L13210" s="5"/>
      <c r="M13210" s="5"/>
      <c r="N13210" s="5"/>
      <c r="O13210" s="5"/>
      <c r="P13210" s="5"/>
      <c r="Q13210" s="5"/>
      <c r="R13210" s="5"/>
      <c r="S13210" s="5"/>
      <c r="T13210" s="5"/>
      <c r="U13210" s="5"/>
      <c r="V13210" s="5"/>
      <c r="W13210" s="5"/>
      <c r="X13210" s="5"/>
      <c r="Y13210" s="5"/>
      <c r="Z13210" s="5"/>
    </row>
    <row r="13211" spans="1:26" ht="15" x14ac:dyDescent="0.25">
      <c r="A13211" s="4" t="s">
        <v>13208</v>
      </c>
      <c r="B13211" s="4" t="s">
        <v>9011</v>
      </c>
      <c r="C13211" s="2" t="str">
        <f ca="1">IFERROR(__xludf.DUMMYFUNCTION("GOOGLETRANSLATE(A13211,""bn"",""en"")"),"Everyone will sit and sing")</f>
        <v>Everyone will sit and sing</v>
      </c>
      <c r="D13211" s="5"/>
      <c r="E13211" s="5"/>
      <c r="F13211" s="5"/>
      <c r="G13211" s="5"/>
      <c r="H13211" s="5"/>
      <c r="I13211" s="5"/>
      <c r="J13211" s="5"/>
      <c r="K13211" s="5"/>
      <c r="L13211" s="5"/>
      <c r="M13211" s="5"/>
      <c r="N13211" s="5"/>
      <c r="O13211" s="5"/>
      <c r="P13211" s="5"/>
      <c r="Q13211" s="5"/>
      <c r="R13211" s="5"/>
      <c r="S13211" s="5"/>
      <c r="T13211" s="5"/>
      <c r="U13211" s="5"/>
      <c r="V13211" s="5"/>
      <c r="W13211" s="5"/>
      <c r="X13211" s="5"/>
      <c r="Y13211" s="5"/>
      <c r="Z13211" s="5"/>
    </row>
    <row r="13212" spans="1:26" ht="15" x14ac:dyDescent="0.25">
      <c r="A13212" s="4" t="s">
        <v>13209</v>
      </c>
      <c r="B13212" s="4" t="s">
        <v>9011</v>
      </c>
      <c r="C13212" s="2" t="str">
        <f ca="1">IFERROR(__xludf.DUMMYFUNCTION("GOOGLETRANSLATE(A13212,""bn"",""en"")"),"View Virus will be under control")</f>
        <v>View Virus will be under control</v>
      </c>
      <c r="D13212" s="5"/>
      <c r="E13212" s="5"/>
      <c r="F13212" s="5"/>
      <c r="G13212" s="5"/>
      <c r="H13212" s="5"/>
      <c r="I13212" s="5"/>
      <c r="J13212" s="5"/>
      <c r="K13212" s="5"/>
      <c r="L13212" s="5"/>
      <c r="M13212" s="5"/>
      <c r="N13212" s="5"/>
      <c r="O13212" s="5"/>
      <c r="P13212" s="5"/>
      <c r="Q13212" s="5"/>
      <c r="R13212" s="5"/>
      <c r="S13212" s="5"/>
      <c r="T13212" s="5"/>
      <c r="U13212" s="5"/>
      <c r="V13212" s="5"/>
      <c r="W13212" s="5"/>
      <c r="X13212" s="5"/>
      <c r="Y13212" s="5"/>
      <c r="Z13212" s="5"/>
    </row>
    <row r="13213" spans="1:26" ht="15" x14ac:dyDescent="0.25">
      <c r="A13213" s="4" t="s">
        <v>13210</v>
      </c>
      <c r="B13213" s="4" t="s">
        <v>9011</v>
      </c>
      <c r="C13213" s="2" t="str">
        <f ca="1">IFERROR(__xludf.DUMMYFUNCTION("GOOGLETRANSLATE(A13213,""bn"",""en"")"),"The teacher will teach the students")</f>
        <v>The teacher will teach the students</v>
      </c>
      <c r="D13213" s="5"/>
      <c r="E13213" s="5"/>
      <c r="F13213" s="5"/>
      <c r="G13213" s="5"/>
      <c r="H13213" s="5"/>
      <c r="I13213" s="5"/>
      <c r="J13213" s="5"/>
      <c r="K13213" s="5"/>
      <c r="L13213" s="5"/>
      <c r="M13213" s="5"/>
      <c r="N13213" s="5"/>
      <c r="O13213" s="5"/>
      <c r="P13213" s="5"/>
      <c r="Q13213" s="5"/>
      <c r="R13213" s="5"/>
      <c r="S13213" s="5"/>
      <c r="T13213" s="5"/>
      <c r="U13213" s="5"/>
      <c r="V13213" s="5"/>
      <c r="W13213" s="5"/>
      <c r="X13213" s="5"/>
      <c r="Y13213" s="5"/>
      <c r="Z13213" s="5"/>
    </row>
    <row r="13214" spans="1:26" ht="15" x14ac:dyDescent="0.25">
      <c r="A13214" s="4" t="s">
        <v>13211</v>
      </c>
      <c r="B13214" s="4" t="s">
        <v>9011</v>
      </c>
      <c r="C13214" s="2" t="str">
        <f ca="1">IFERROR(__xludf.DUMMYFUNCTION("GOOGLETRANSLATE(A13214,""bn"",""en"")"),"Tent will be pitched before night")</f>
        <v>Tent will be pitched before night</v>
      </c>
      <c r="D13214" s="5"/>
      <c r="E13214" s="5"/>
      <c r="F13214" s="5"/>
      <c r="G13214" s="5"/>
      <c r="H13214" s="5"/>
      <c r="I13214" s="5"/>
      <c r="J13214" s="5"/>
      <c r="K13214" s="5"/>
      <c r="L13214" s="5"/>
      <c r="M13214" s="5"/>
      <c r="N13214" s="5"/>
      <c r="O13214" s="5"/>
      <c r="P13214" s="5"/>
      <c r="Q13214" s="5"/>
      <c r="R13214" s="5"/>
      <c r="S13214" s="5"/>
      <c r="T13214" s="5"/>
      <c r="U13214" s="5"/>
      <c r="V13214" s="5"/>
      <c r="W13214" s="5"/>
      <c r="X13214" s="5"/>
      <c r="Y13214" s="5"/>
      <c r="Z13214" s="5"/>
    </row>
    <row r="13215" spans="1:26" ht="15" x14ac:dyDescent="0.25">
      <c r="A13215" s="4" t="s">
        <v>13212</v>
      </c>
      <c r="B13215" s="4" t="s">
        <v>9011</v>
      </c>
      <c r="C13215" s="2" t="str">
        <f ca="1">IFERROR(__xludf.DUMMYFUNCTION("GOOGLETRANSLATE(A13215,""bn"",""en"")"),"Friends will meet in the same tune")</f>
        <v>Friends will meet in the same tune</v>
      </c>
      <c r="D13215" s="5"/>
      <c r="E13215" s="5"/>
      <c r="F13215" s="5"/>
      <c r="G13215" s="5"/>
      <c r="H13215" s="5"/>
      <c r="I13215" s="5"/>
      <c r="J13215" s="5"/>
      <c r="K13215" s="5"/>
      <c r="L13215" s="5"/>
      <c r="M13215" s="5"/>
      <c r="N13215" s="5"/>
      <c r="O13215" s="5"/>
      <c r="P13215" s="5"/>
      <c r="Q13215" s="5"/>
      <c r="R13215" s="5"/>
      <c r="S13215" s="5"/>
      <c r="T13215" s="5"/>
      <c r="U13215" s="5"/>
      <c r="V13215" s="5"/>
      <c r="W13215" s="5"/>
      <c r="X13215" s="5"/>
      <c r="Y13215" s="5"/>
      <c r="Z13215" s="5"/>
    </row>
    <row r="13216" spans="1:26" ht="15" x14ac:dyDescent="0.25">
      <c r="A13216" s="4" t="s">
        <v>13213</v>
      </c>
      <c r="B13216" s="4" t="s">
        <v>9011</v>
      </c>
      <c r="C13216" s="2" t="str">
        <f ca="1">IFERROR(__xludf.DUMMYFUNCTION("GOOGLETRANSLATE(A13216,""bn"",""en"")"),"Blockchain will be difficult to use")</f>
        <v>Blockchain will be difficult to use</v>
      </c>
      <c r="D13216" s="5"/>
      <c r="E13216" s="5"/>
      <c r="F13216" s="5"/>
      <c r="G13216" s="5"/>
      <c r="H13216" s="5"/>
      <c r="I13216" s="5"/>
      <c r="J13216" s="5"/>
      <c r="K13216" s="5"/>
      <c r="L13216" s="5"/>
      <c r="M13216" s="5"/>
      <c r="N13216" s="5"/>
      <c r="O13216" s="5"/>
      <c r="P13216" s="5"/>
      <c r="Q13216" s="5"/>
      <c r="R13216" s="5"/>
      <c r="S13216" s="5"/>
      <c r="T13216" s="5"/>
      <c r="U13216" s="5"/>
      <c r="V13216" s="5"/>
      <c r="W13216" s="5"/>
      <c r="X13216" s="5"/>
      <c r="Y13216" s="5"/>
      <c r="Z13216" s="5"/>
    </row>
    <row r="13217" spans="1:26" ht="15" x14ac:dyDescent="0.25">
      <c r="A13217" s="4" t="s">
        <v>13214</v>
      </c>
      <c r="B13217" s="4" t="s">
        <v>9011</v>
      </c>
      <c r="C13217" s="2" t="str">
        <f ca="1">IFERROR(__xludf.DUMMYFUNCTION("GOOGLETRANSLATE(A13217,""bn"",""en"")"),"Develop better market policies")</f>
        <v>Develop better market policies</v>
      </c>
      <c r="D13217" s="5"/>
      <c r="E13217" s="5"/>
      <c r="F13217" s="5"/>
      <c r="G13217" s="5"/>
      <c r="H13217" s="5"/>
      <c r="I13217" s="5"/>
      <c r="J13217" s="5"/>
      <c r="K13217" s="5"/>
      <c r="L13217" s="5"/>
      <c r="M13217" s="5"/>
      <c r="N13217" s="5"/>
      <c r="O13217" s="5"/>
      <c r="P13217" s="5"/>
      <c r="Q13217" s="5"/>
      <c r="R13217" s="5"/>
      <c r="S13217" s="5"/>
      <c r="T13217" s="5"/>
      <c r="U13217" s="5"/>
      <c r="V13217" s="5"/>
      <c r="W13217" s="5"/>
      <c r="X13217" s="5"/>
      <c r="Y13217" s="5"/>
      <c r="Z13217" s="5"/>
    </row>
    <row r="13218" spans="1:26" ht="15" x14ac:dyDescent="0.25">
      <c r="A13218" s="4" t="s">
        <v>13215</v>
      </c>
      <c r="B13218" s="4" t="s">
        <v>9011</v>
      </c>
      <c r="C13218" s="2" t="str">
        <f ca="1">IFERROR(__xludf.DUMMYFUNCTION("GOOGLETRANSLATE(A13218,""bn"",""en"")"),"The tune will play in many languages")</f>
        <v>The tune will play in many languages</v>
      </c>
      <c r="D13218" s="5"/>
      <c r="E13218" s="5"/>
      <c r="F13218" s="5"/>
      <c r="G13218" s="5"/>
      <c r="H13218" s="5"/>
      <c r="I13218" s="5"/>
      <c r="J13218" s="5"/>
      <c r="K13218" s="5"/>
      <c r="L13218" s="5"/>
      <c r="M13218" s="5"/>
      <c r="N13218" s="5"/>
      <c r="O13218" s="5"/>
      <c r="P13218" s="5"/>
      <c r="Q13218" s="5"/>
      <c r="R13218" s="5"/>
      <c r="S13218" s="5"/>
      <c r="T13218" s="5"/>
      <c r="U13218" s="5"/>
      <c r="V13218" s="5"/>
      <c r="W13218" s="5"/>
      <c r="X13218" s="5"/>
      <c r="Y13218" s="5"/>
      <c r="Z13218" s="5"/>
    </row>
    <row r="13219" spans="1:26" ht="15" x14ac:dyDescent="0.25">
      <c r="A13219" s="4" t="s">
        <v>13216</v>
      </c>
      <c r="B13219" s="4" t="s">
        <v>9011</v>
      </c>
      <c r="C13219" s="2" t="str">
        <f ca="1">IFERROR(__xludf.DUMMYFUNCTION("GOOGLETRANSLATE(A13219,""bn"",""en"")"),"The price of sound box will increase")</f>
        <v>The price of sound box will increase</v>
      </c>
      <c r="D13219" s="5"/>
      <c r="E13219" s="5"/>
      <c r="F13219" s="5"/>
      <c r="G13219" s="5"/>
      <c r="H13219" s="5"/>
      <c r="I13219" s="5"/>
      <c r="J13219" s="5"/>
      <c r="K13219" s="5"/>
      <c r="L13219" s="5"/>
      <c r="M13219" s="5"/>
      <c r="N13219" s="5"/>
      <c r="O13219" s="5"/>
      <c r="P13219" s="5"/>
      <c r="Q13219" s="5"/>
      <c r="R13219" s="5"/>
      <c r="S13219" s="5"/>
      <c r="T13219" s="5"/>
      <c r="U13219" s="5"/>
      <c r="V13219" s="5"/>
      <c r="W13219" s="5"/>
      <c r="X13219" s="5"/>
      <c r="Y13219" s="5"/>
      <c r="Z13219" s="5"/>
    </row>
    <row r="13220" spans="1:26" ht="15" x14ac:dyDescent="0.25">
      <c r="A13220" s="4" t="s">
        <v>13217</v>
      </c>
      <c r="B13220" s="4" t="s">
        <v>9011</v>
      </c>
      <c r="C13220" s="2" t="str">
        <f ca="1">IFERROR(__xludf.DUMMYFUNCTION("GOOGLETRANSLATE(A13220,""bn"",""en"")"),"Customer service will increase")</f>
        <v>Customer service will increase</v>
      </c>
      <c r="D13220" s="5"/>
      <c r="E13220" s="5"/>
      <c r="F13220" s="5"/>
      <c r="G13220" s="5"/>
      <c r="H13220" s="5"/>
      <c r="I13220" s="5"/>
      <c r="J13220" s="5"/>
      <c r="K13220" s="5"/>
      <c r="L13220" s="5"/>
      <c r="M13220" s="5"/>
      <c r="N13220" s="5"/>
      <c r="O13220" s="5"/>
      <c r="P13220" s="5"/>
      <c r="Q13220" s="5"/>
      <c r="R13220" s="5"/>
      <c r="S13220" s="5"/>
      <c r="T13220" s="5"/>
      <c r="U13220" s="5"/>
      <c r="V13220" s="5"/>
      <c r="W13220" s="5"/>
      <c r="X13220" s="5"/>
      <c r="Y13220" s="5"/>
      <c r="Z13220" s="5"/>
    </row>
    <row r="13221" spans="1:26" ht="15" x14ac:dyDescent="0.25">
      <c r="A13221" s="4" t="s">
        <v>13218</v>
      </c>
      <c r="B13221" s="4" t="s">
        <v>9011</v>
      </c>
      <c r="C13221" s="2" t="str">
        <f ca="1">IFERROR(__xludf.DUMMYFUNCTION("GOOGLETRANSLATE(A13221,""bn"",""en"")"),"You play football on vacation")</f>
        <v>You play football on vacation</v>
      </c>
      <c r="D13221" s="5"/>
      <c r="E13221" s="5"/>
      <c r="F13221" s="5"/>
      <c r="G13221" s="5"/>
      <c r="H13221" s="5"/>
      <c r="I13221" s="5"/>
      <c r="J13221" s="5"/>
      <c r="K13221" s="5"/>
      <c r="L13221" s="5"/>
      <c r="M13221" s="5"/>
      <c r="N13221" s="5"/>
      <c r="O13221" s="5"/>
      <c r="P13221" s="5"/>
      <c r="Q13221" s="5"/>
      <c r="R13221" s="5"/>
      <c r="S13221" s="5"/>
      <c r="T13221" s="5"/>
      <c r="U13221" s="5"/>
      <c r="V13221" s="5"/>
      <c r="W13221" s="5"/>
      <c r="X13221" s="5"/>
      <c r="Y13221" s="5"/>
      <c r="Z13221" s="5"/>
    </row>
    <row r="13222" spans="1:26" ht="15" x14ac:dyDescent="0.25">
      <c r="A13222" s="4" t="s">
        <v>13219</v>
      </c>
      <c r="B13222" s="4" t="s">
        <v>9011</v>
      </c>
      <c r="C13222" s="2" t="str">
        <f ca="1">IFERROR(__xludf.DUMMYFUNCTION("GOOGLETRANSLATE(A13222,""bn"",""en"")"),"Everyone will read literature in time")</f>
        <v>Everyone will read literature in time</v>
      </c>
      <c r="D13222" s="5"/>
      <c r="E13222" s="5"/>
      <c r="F13222" s="5"/>
      <c r="G13222" s="5"/>
      <c r="H13222" s="5"/>
      <c r="I13222" s="5"/>
      <c r="J13222" s="5"/>
      <c r="K13222" s="5"/>
      <c r="L13222" s="5"/>
      <c r="M13222" s="5"/>
      <c r="N13222" s="5"/>
      <c r="O13222" s="5"/>
      <c r="P13222" s="5"/>
      <c r="Q13222" s="5"/>
      <c r="R13222" s="5"/>
      <c r="S13222" s="5"/>
      <c r="T13222" s="5"/>
      <c r="U13222" s="5"/>
      <c r="V13222" s="5"/>
      <c r="W13222" s="5"/>
      <c r="X13222" s="5"/>
      <c r="Y13222" s="5"/>
      <c r="Z13222" s="5"/>
    </row>
    <row r="13223" spans="1:26" ht="15" x14ac:dyDescent="0.25">
      <c r="A13223" s="4" t="s">
        <v>13220</v>
      </c>
      <c r="B13223" s="4" t="s">
        <v>9011</v>
      </c>
      <c r="C13223" s="2" t="str">
        <f ca="1">IFERROR(__xludf.DUMMYFUNCTION("GOOGLETRANSLATE(A13223,""bn"",""en"")"),"I will be walking in a park")</f>
        <v>I will be walking in a park</v>
      </c>
      <c r="D13223" s="5"/>
      <c r="E13223" s="5"/>
      <c r="F13223" s="5"/>
      <c r="G13223" s="5"/>
      <c r="H13223" s="5"/>
      <c r="I13223" s="5"/>
      <c r="J13223" s="5"/>
      <c r="K13223" s="5"/>
      <c r="L13223" s="5"/>
      <c r="M13223" s="5"/>
      <c r="N13223" s="5"/>
      <c r="O13223" s="5"/>
      <c r="P13223" s="5"/>
      <c r="Q13223" s="5"/>
      <c r="R13223" s="5"/>
      <c r="S13223" s="5"/>
      <c r="T13223" s="5"/>
      <c r="U13223" s="5"/>
      <c r="V13223" s="5"/>
      <c r="W13223" s="5"/>
      <c r="X13223" s="5"/>
      <c r="Y13223" s="5"/>
      <c r="Z13223" s="5"/>
    </row>
    <row r="13224" spans="1:26" ht="15" x14ac:dyDescent="0.25">
      <c r="A13224" s="4" t="s">
        <v>13221</v>
      </c>
      <c r="B13224" s="4" t="s">
        <v>9011</v>
      </c>
      <c r="C13224" s="2" t="str">
        <f ca="1">IFERROR(__xludf.DUMMYFUNCTION("GOOGLETRANSLATE(A13224,""bn"",""en"")"),"Cow should be eaten in winter")</f>
        <v>Cow should be eaten in winter</v>
      </c>
      <c r="D13224" s="5"/>
      <c r="E13224" s="5"/>
      <c r="F13224" s="5"/>
      <c r="G13224" s="5"/>
      <c r="H13224" s="5"/>
      <c r="I13224" s="5"/>
      <c r="J13224" s="5"/>
      <c r="K13224" s="5"/>
      <c r="L13224" s="5"/>
      <c r="M13224" s="5"/>
      <c r="N13224" s="5"/>
      <c r="O13224" s="5"/>
      <c r="P13224" s="5"/>
      <c r="Q13224" s="5"/>
      <c r="R13224" s="5"/>
      <c r="S13224" s="5"/>
      <c r="T13224" s="5"/>
      <c r="U13224" s="5"/>
      <c r="V13224" s="5"/>
      <c r="W13224" s="5"/>
      <c r="X13224" s="5"/>
      <c r="Y13224" s="5"/>
      <c r="Z13224" s="5"/>
    </row>
    <row r="13225" spans="1:26" ht="15" x14ac:dyDescent="0.25">
      <c r="A13225" s="4" t="s">
        <v>13222</v>
      </c>
      <c r="B13225" s="4" t="s">
        <v>9011</v>
      </c>
      <c r="C13225" s="2" t="str">
        <f ca="1">IFERROR(__xludf.DUMMYFUNCTION("GOOGLETRANSLATE(A13225,""bn"",""en"")"),"Cyber ​​security will improve")</f>
        <v>Cyber ​​security will improve</v>
      </c>
      <c r="D13225" s="5"/>
      <c r="E13225" s="5"/>
      <c r="F13225" s="5"/>
      <c r="G13225" s="5"/>
      <c r="H13225" s="5"/>
      <c r="I13225" s="5"/>
      <c r="J13225" s="5"/>
      <c r="K13225" s="5"/>
      <c r="L13225" s="5"/>
      <c r="M13225" s="5"/>
      <c r="N13225" s="5"/>
      <c r="O13225" s="5"/>
      <c r="P13225" s="5"/>
      <c r="Q13225" s="5"/>
      <c r="R13225" s="5"/>
      <c r="S13225" s="5"/>
      <c r="T13225" s="5"/>
      <c r="U13225" s="5"/>
      <c r="V13225" s="5"/>
      <c r="W13225" s="5"/>
      <c r="X13225" s="5"/>
      <c r="Y13225" s="5"/>
      <c r="Z13225" s="5"/>
    </row>
    <row r="13226" spans="1:26" ht="15" x14ac:dyDescent="0.25">
      <c r="A13226" s="4" t="s">
        <v>13223</v>
      </c>
      <c r="B13226" s="4" t="s">
        <v>9011</v>
      </c>
      <c r="C13226" s="2" t="str">
        <f ca="1">IFERROR(__xludf.DUMMYFUNCTION("GOOGLETRANSLATE(A13226,""bn"",""en"")"),"He will use cinnamon")</f>
        <v>He will use cinnamon</v>
      </c>
      <c r="D13226" s="5"/>
      <c r="E13226" s="5"/>
      <c r="F13226" s="5"/>
      <c r="G13226" s="5"/>
      <c r="H13226" s="5"/>
      <c r="I13226" s="5"/>
      <c r="J13226" s="5"/>
      <c r="K13226" s="5"/>
      <c r="L13226" s="5"/>
      <c r="M13226" s="5"/>
      <c r="N13226" s="5"/>
      <c r="O13226" s="5"/>
      <c r="P13226" s="5"/>
      <c r="Q13226" s="5"/>
      <c r="R13226" s="5"/>
      <c r="S13226" s="5"/>
      <c r="T13226" s="5"/>
      <c r="U13226" s="5"/>
      <c r="V13226" s="5"/>
      <c r="W13226" s="5"/>
      <c r="X13226" s="5"/>
      <c r="Y13226" s="5"/>
      <c r="Z13226" s="5"/>
    </row>
    <row r="13227" spans="1:26" ht="15" x14ac:dyDescent="0.25">
      <c r="A13227" s="4" t="s">
        <v>13224</v>
      </c>
      <c r="B13227" s="4" t="s">
        <v>9011</v>
      </c>
      <c r="C13227" s="2" t="str">
        <f ca="1">IFERROR(__xludf.DUMMYFUNCTION("GOOGLETRANSLATE(A13227,""bn"",""en"")"),"The material will be made in excellence")</f>
        <v>The material will be made in excellence</v>
      </c>
      <c r="D13227" s="5"/>
      <c r="E13227" s="5"/>
      <c r="F13227" s="5"/>
      <c r="G13227" s="5"/>
      <c r="H13227" s="5"/>
      <c r="I13227" s="5"/>
      <c r="J13227" s="5"/>
      <c r="K13227" s="5"/>
      <c r="L13227" s="5"/>
      <c r="M13227" s="5"/>
      <c r="N13227" s="5"/>
      <c r="O13227" s="5"/>
      <c r="P13227" s="5"/>
      <c r="Q13227" s="5"/>
      <c r="R13227" s="5"/>
      <c r="S13227" s="5"/>
      <c r="T13227" s="5"/>
      <c r="U13227" s="5"/>
      <c r="V13227" s="5"/>
      <c r="W13227" s="5"/>
      <c r="X13227" s="5"/>
      <c r="Y13227" s="5"/>
      <c r="Z13227" s="5"/>
    </row>
    <row r="13228" spans="1:26" ht="15" x14ac:dyDescent="0.25">
      <c r="A13228" s="4" t="s">
        <v>13225</v>
      </c>
      <c r="B13228" s="4" t="s">
        <v>9011</v>
      </c>
      <c r="C13228" s="2" t="str">
        <f ca="1">IFERROR(__xludf.DUMMYFUNCTION("GOOGLETRANSLATE(A13228,""bn"",""en"")"),"Green leaves will grow in winter")</f>
        <v>Green leaves will grow in winter</v>
      </c>
      <c r="D13228" s="5"/>
      <c r="E13228" s="5"/>
      <c r="F13228" s="5"/>
      <c r="G13228" s="5"/>
      <c r="H13228" s="5"/>
      <c r="I13228" s="5"/>
      <c r="J13228" s="5"/>
      <c r="K13228" s="5"/>
      <c r="L13228" s="5"/>
      <c r="M13228" s="5"/>
      <c r="N13228" s="5"/>
      <c r="O13228" s="5"/>
      <c r="P13228" s="5"/>
      <c r="Q13228" s="5"/>
      <c r="R13228" s="5"/>
      <c r="S13228" s="5"/>
      <c r="T13228" s="5"/>
      <c r="U13228" s="5"/>
      <c r="V13228" s="5"/>
      <c r="W13228" s="5"/>
      <c r="X13228" s="5"/>
      <c r="Y13228" s="5"/>
      <c r="Z13228" s="5"/>
    </row>
    <row r="13229" spans="1:26" ht="15" x14ac:dyDescent="0.25">
      <c r="A13229" s="4" t="s">
        <v>13226</v>
      </c>
      <c r="B13229" s="4" t="s">
        <v>9011</v>
      </c>
      <c r="C13229" s="2" t="str">
        <f ca="1">IFERROR(__xludf.DUMMYFUNCTION("GOOGLETRANSLATE(A13229,""bn"",""en"")"),"The bank will provide ATM services")</f>
        <v>The bank will provide ATM services</v>
      </c>
      <c r="D13229" s="5"/>
      <c r="E13229" s="5"/>
      <c r="F13229" s="5"/>
      <c r="G13229" s="5"/>
      <c r="H13229" s="5"/>
      <c r="I13229" s="5"/>
      <c r="J13229" s="5"/>
      <c r="K13229" s="5"/>
      <c r="L13229" s="5"/>
      <c r="M13229" s="5"/>
      <c r="N13229" s="5"/>
      <c r="O13229" s="5"/>
      <c r="P13229" s="5"/>
      <c r="Q13229" s="5"/>
      <c r="R13229" s="5"/>
      <c r="S13229" s="5"/>
      <c r="T13229" s="5"/>
      <c r="U13229" s="5"/>
      <c r="V13229" s="5"/>
      <c r="W13229" s="5"/>
      <c r="X13229" s="5"/>
      <c r="Y13229" s="5"/>
      <c r="Z13229" s="5"/>
    </row>
    <row r="13230" spans="1:26" ht="15" x14ac:dyDescent="0.25">
      <c r="A13230" s="4" t="s">
        <v>13227</v>
      </c>
      <c r="B13230" s="4" t="s">
        <v>9011</v>
      </c>
      <c r="C13230" s="2" t="str">
        <f ca="1">IFERROR(__xludf.DUMMYFUNCTION("GOOGLETRANSLATE(A13230,""bn"",""en"")"),"Will get better commercial ability")</f>
        <v>Will get better commercial ability</v>
      </c>
      <c r="D13230" s="5"/>
      <c r="E13230" s="5"/>
      <c r="F13230" s="5"/>
      <c r="G13230" s="5"/>
      <c r="H13230" s="5"/>
      <c r="I13230" s="5"/>
      <c r="J13230" s="5"/>
      <c r="K13230" s="5"/>
      <c r="L13230" s="5"/>
      <c r="M13230" s="5"/>
      <c r="N13230" s="5"/>
      <c r="O13230" s="5"/>
      <c r="P13230" s="5"/>
      <c r="Q13230" s="5"/>
      <c r="R13230" s="5"/>
      <c r="S13230" s="5"/>
      <c r="T13230" s="5"/>
      <c r="U13230" s="5"/>
      <c r="V13230" s="5"/>
      <c r="W13230" s="5"/>
      <c r="X13230" s="5"/>
      <c r="Y13230" s="5"/>
      <c r="Z13230" s="5"/>
    </row>
    <row r="13231" spans="1:26" ht="15" x14ac:dyDescent="0.25">
      <c r="A13231" s="4" t="s">
        <v>13228</v>
      </c>
      <c r="B13231" s="4" t="s">
        <v>9011</v>
      </c>
      <c r="C13231" s="2" t="str">
        <f ca="1">IFERROR(__xludf.DUMMYFUNCTION("GOOGLETRANSLATE(A13231,""bn"",""en"")"),"You will learn data science")</f>
        <v>You will learn data science</v>
      </c>
      <c r="D13231" s="5"/>
      <c r="E13231" s="5"/>
      <c r="F13231" s="5"/>
      <c r="G13231" s="5"/>
      <c r="H13231" s="5"/>
      <c r="I13231" s="5"/>
      <c r="J13231" s="5"/>
      <c r="K13231" s="5"/>
      <c r="L13231" s="5"/>
      <c r="M13231" s="5"/>
      <c r="N13231" s="5"/>
      <c r="O13231" s="5"/>
      <c r="P13231" s="5"/>
      <c r="Q13231" s="5"/>
      <c r="R13231" s="5"/>
      <c r="S13231" s="5"/>
      <c r="T13231" s="5"/>
      <c r="U13231" s="5"/>
      <c r="V13231" s="5"/>
      <c r="W13231" s="5"/>
      <c r="X13231" s="5"/>
      <c r="Y13231" s="5"/>
      <c r="Z13231" s="5"/>
    </row>
    <row r="13232" spans="1:26" ht="15" x14ac:dyDescent="0.25">
      <c r="A13232" s="4" t="s">
        <v>13229</v>
      </c>
      <c r="B13232" s="4" t="s">
        <v>9011</v>
      </c>
      <c r="C13232" s="2" t="str">
        <f ca="1">IFERROR(__xludf.DUMMYFUNCTION("GOOGLETRANSLATE(A13232,""bn"",""en"")"),"The republic will last forever")</f>
        <v>The republic will last forever</v>
      </c>
      <c r="D13232" s="5"/>
      <c r="E13232" s="5"/>
      <c r="F13232" s="5"/>
      <c r="G13232" s="5"/>
      <c r="H13232" s="5"/>
      <c r="I13232" s="5"/>
      <c r="J13232" s="5"/>
      <c r="K13232" s="5"/>
      <c r="L13232" s="5"/>
      <c r="M13232" s="5"/>
      <c r="N13232" s="5"/>
      <c r="O13232" s="5"/>
      <c r="P13232" s="5"/>
      <c r="Q13232" s="5"/>
      <c r="R13232" s="5"/>
      <c r="S13232" s="5"/>
      <c r="T13232" s="5"/>
      <c r="U13232" s="5"/>
      <c r="V13232" s="5"/>
      <c r="W13232" s="5"/>
      <c r="X13232" s="5"/>
      <c r="Y13232" s="5"/>
      <c r="Z13232" s="5"/>
    </row>
    <row r="13233" spans="1:26" ht="15" x14ac:dyDescent="0.25">
      <c r="A13233" s="4" t="s">
        <v>13230</v>
      </c>
      <c r="B13233" s="4" t="s">
        <v>9011</v>
      </c>
      <c r="C13233" s="2" t="str">
        <f ca="1">IFERROR(__xludf.DUMMYFUNCTION("GOOGLETRANSLATE(A13233,""bn"",""en"")"),"Melody will be our language")</f>
        <v>Melody will be our language</v>
      </c>
      <c r="D13233" s="5"/>
      <c r="E13233" s="5"/>
      <c r="F13233" s="5"/>
      <c r="G13233" s="5"/>
      <c r="H13233" s="5"/>
      <c r="I13233" s="5"/>
      <c r="J13233" s="5"/>
      <c r="K13233" s="5"/>
      <c r="L13233" s="5"/>
      <c r="M13233" s="5"/>
      <c r="N13233" s="5"/>
      <c r="O13233" s="5"/>
      <c r="P13233" s="5"/>
      <c r="Q13233" s="5"/>
      <c r="R13233" s="5"/>
      <c r="S13233" s="5"/>
      <c r="T13233" s="5"/>
      <c r="U13233" s="5"/>
      <c r="V13233" s="5"/>
      <c r="W13233" s="5"/>
      <c r="X13233" s="5"/>
      <c r="Y13233" s="5"/>
      <c r="Z13233" s="5"/>
    </row>
    <row r="13234" spans="1:26" ht="15" x14ac:dyDescent="0.25">
      <c r="A13234" s="4" t="s">
        <v>13231</v>
      </c>
      <c r="B13234" s="4" t="s">
        <v>9011</v>
      </c>
      <c r="C13234" s="2" t="str">
        <f ca="1">IFERROR(__xludf.DUMMYFUNCTION("GOOGLETRANSLATE(A13234,""bn"",""en"")"),"Trees will grow in rain")</f>
        <v>Trees will grow in rain</v>
      </c>
      <c r="D13234" s="5"/>
      <c r="E13234" s="5"/>
      <c r="F13234" s="5"/>
      <c r="G13234" s="5"/>
      <c r="H13234" s="5"/>
      <c r="I13234" s="5"/>
      <c r="J13234" s="5"/>
      <c r="K13234" s="5"/>
      <c r="L13234" s="5"/>
      <c r="M13234" s="5"/>
      <c r="N13234" s="5"/>
      <c r="O13234" s="5"/>
      <c r="P13234" s="5"/>
      <c r="Q13234" s="5"/>
      <c r="R13234" s="5"/>
      <c r="S13234" s="5"/>
      <c r="T13234" s="5"/>
      <c r="U13234" s="5"/>
      <c r="V13234" s="5"/>
      <c r="W13234" s="5"/>
      <c r="X13234" s="5"/>
      <c r="Y13234" s="5"/>
      <c r="Z13234" s="5"/>
    </row>
    <row r="13235" spans="1:26" ht="15" x14ac:dyDescent="0.25">
      <c r="A13235" s="4" t="s">
        <v>13232</v>
      </c>
      <c r="B13235" s="4" t="s">
        <v>9011</v>
      </c>
      <c r="C13235" s="2" t="str">
        <f ca="1">IFERROR(__xludf.DUMMYFUNCTION("GOOGLETRANSLATE(A13235,""bn"",""en"")"),"Football will be given from the school")</f>
        <v>Football will be given from the school</v>
      </c>
      <c r="D13235" s="5"/>
      <c r="E13235" s="5"/>
      <c r="F13235" s="5"/>
      <c r="G13235" s="5"/>
      <c r="H13235" s="5"/>
      <c r="I13235" s="5"/>
      <c r="J13235" s="5"/>
      <c r="K13235" s="5"/>
      <c r="L13235" s="5"/>
      <c r="M13235" s="5"/>
      <c r="N13235" s="5"/>
      <c r="O13235" s="5"/>
      <c r="P13235" s="5"/>
      <c r="Q13235" s="5"/>
      <c r="R13235" s="5"/>
      <c r="S13235" s="5"/>
      <c r="T13235" s="5"/>
      <c r="U13235" s="5"/>
      <c r="V13235" s="5"/>
      <c r="W13235" s="5"/>
      <c r="X13235" s="5"/>
      <c r="Y13235" s="5"/>
      <c r="Z13235" s="5"/>
    </row>
    <row r="13236" spans="1:26" ht="15" x14ac:dyDescent="0.25">
      <c r="A13236" s="4" t="s">
        <v>13233</v>
      </c>
      <c r="B13236" s="4" t="s">
        <v>9011</v>
      </c>
      <c r="C13236" s="2" t="str">
        <f ca="1">IFERROR(__xludf.DUMMYFUNCTION("GOOGLETRANSLATE(A13236,""bn"",""en"")"),"I want to write a ghost story")</f>
        <v>I want to write a ghost story</v>
      </c>
      <c r="D13236" s="5"/>
      <c r="E13236" s="5"/>
      <c r="F13236" s="5"/>
      <c r="G13236" s="5"/>
      <c r="H13236" s="5"/>
      <c r="I13236" s="5"/>
      <c r="J13236" s="5"/>
      <c r="K13236" s="5"/>
      <c r="L13236" s="5"/>
      <c r="M13236" s="5"/>
      <c r="N13236" s="5"/>
      <c r="O13236" s="5"/>
      <c r="P13236" s="5"/>
      <c r="Q13236" s="5"/>
      <c r="R13236" s="5"/>
      <c r="S13236" s="5"/>
      <c r="T13236" s="5"/>
      <c r="U13236" s="5"/>
      <c r="V13236" s="5"/>
      <c r="W13236" s="5"/>
      <c r="X13236" s="5"/>
      <c r="Y13236" s="5"/>
      <c r="Z13236" s="5"/>
    </row>
    <row r="13237" spans="1:26" ht="15" x14ac:dyDescent="0.25">
      <c r="A13237" s="4" t="s">
        <v>13234</v>
      </c>
      <c r="B13237" s="4" t="s">
        <v>9011</v>
      </c>
      <c r="C13237" s="2" t="str">
        <f ca="1">IFERROR(__xludf.DUMMYFUNCTION("GOOGLETRANSLATE(A13237,""bn"",""en"")"),"Fruit attack will increase")</f>
        <v>Fruit attack will increase</v>
      </c>
      <c r="D13237" s="5"/>
      <c r="E13237" s="5"/>
      <c r="F13237" s="5"/>
      <c r="G13237" s="5"/>
      <c r="H13237" s="5"/>
      <c r="I13237" s="5"/>
      <c r="J13237" s="5"/>
      <c r="K13237" s="5"/>
      <c r="L13237" s="5"/>
      <c r="M13237" s="5"/>
      <c r="N13237" s="5"/>
      <c r="O13237" s="5"/>
      <c r="P13237" s="5"/>
      <c r="Q13237" s="5"/>
      <c r="R13237" s="5"/>
      <c r="S13237" s="5"/>
      <c r="T13237" s="5"/>
      <c r="U13237" s="5"/>
      <c r="V13237" s="5"/>
      <c r="W13237" s="5"/>
      <c r="X13237" s="5"/>
      <c r="Y13237" s="5"/>
      <c r="Z13237" s="5"/>
    </row>
    <row r="13238" spans="1:26" ht="15" x14ac:dyDescent="0.25">
      <c r="A13238" s="4" t="s">
        <v>13235</v>
      </c>
      <c r="B13238" s="4" t="s">
        <v>9011</v>
      </c>
      <c r="C13238" s="2" t="str">
        <f ca="1">IFERROR(__xludf.DUMMYFUNCTION("GOOGLETRANSLATE(A13238,""bn"",""en"")"),"War will increase on the border")</f>
        <v>War will increase on the border</v>
      </c>
      <c r="D13238" s="5"/>
      <c r="E13238" s="5"/>
      <c r="F13238" s="5"/>
      <c r="G13238" s="5"/>
      <c r="H13238" s="5"/>
      <c r="I13238" s="5"/>
      <c r="J13238" s="5"/>
      <c r="K13238" s="5"/>
      <c r="L13238" s="5"/>
      <c r="M13238" s="5"/>
      <c r="N13238" s="5"/>
      <c r="O13238" s="5"/>
      <c r="P13238" s="5"/>
      <c r="Q13238" s="5"/>
      <c r="R13238" s="5"/>
      <c r="S13238" s="5"/>
      <c r="T13238" s="5"/>
      <c r="U13238" s="5"/>
      <c r="V13238" s="5"/>
      <c r="W13238" s="5"/>
      <c r="X13238" s="5"/>
      <c r="Y13238" s="5"/>
      <c r="Z13238" s="5"/>
    </row>
    <row r="13239" spans="1:26" ht="15" x14ac:dyDescent="0.25">
      <c r="A13239" s="4" t="s">
        <v>13236</v>
      </c>
      <c r="B13239" s="4" t="s">
        <v>9011</v>
      </c>
      <c r="C13239" s="2" t="str">
        <f ca="1">IFERROR(__xludf.DUMMYFUNCTION("GOOGLETRANSLATE(A13239,""bn"",""en"")"),"I will read literature in all languages")</f>
        <v>I will read literature in all languages</v>
      </c>
      <c r="D13239" s="5"/>
      <c r="E13239" s="5"/>
      <c r="F13239" s="5"/>
      <c r="G13239" s="5"/>
      <c r="H13239" s="5"/>
      <c r="I13239" s="5"/>
      <c r="J13239" s="5"/>
      <c r="K13239" s="5"/>
      <c r="L13239" s="5"/>
      <c r="M13239" s="5"/>
      <c r="N13239" s="5"/>
      <c r="O13239" s="5"/>
      <c r="P13239" s="5"/>
      <c r="Q13239" s="5"/>
      <c r="R13239" s="5"/>
      <c r="S13239" s="5"/>
      <c r="T13239" s="5"/>
      <c r="U13239" s="5"/>
      <c r="V13239" s="5"/>
      <c r="W13239" s="5"/>
      <c r="X13239" s="5"/>
      <c r="Y13239" s="5"/>
      <c r="Z13239" s="5"/>
    </row>
    <row r="13240" spans="1:26" ht="15" x14ac:dyDescent="0.25">
      <c r="A13240" s="4" t="s">
        <v>13237</v>
      </c>
      <c r="B13240" s="4" t="s">
        <v>9011</v>
      </c>
      <c r="C13240" s="2" t="str">
        <f ca="1">IFERROR(__xludf.DUMMYFUNCTION("GOOGLETRANSLATE(A13240,""bn"",""en"")"),"You write economic articles")</f>
        <v>You write economic articles</v>
      </c>
      <c r="D13240" s="5"/>
      <c r="E13240" s="5"/>
      <c r="F13240" s="5"/>
      <c r="G13240" s="5"/>
      <c r="H13240" s="5"/>
      <c r="I13240" s="5"/>
      <c r="J13240" s="5"/>
      <c r="K13240" s="5"/>
      <c r="L13240" s="5"/>
      <c r="M13240" s="5"/>
      <c r="N13240" s="5"/>
      <c r="O13240" s="5"/>
      <c r="P13240" s="5"/>
      <c r="Q13240" s="5"/>
      <c r="R13240" s="5"/>
      <c r="S13240" s="5"/>
      <c r="T13240" s="5"/>
      <c r="U13240" s="5"/>
      <c r="V13240" s="5"/>
      <c r="W13240" s="5"/>
      <c r="X13240" s="5"/>
      <c r="Y13240" s="5"/>
      <c r="Z13240" s="5"/>
    </row>
    <row r="13241" spans="1:26" ht="15" x14ac:dyDescent="0.25">
      <c r="A13241" s="4" t="s">
        <v>13238</v>
      </c>
      <c r="B13241" s="4" t="s">
        <v>9011</v>
      </c>
      <c r="C13241" s="2" t="str">
        <f ca="1">IFERROR(__xludf.DUMMYFUNCTION("GOOGLETRANSLATE(A13241,""bn"",""en"")"),"You will focus on the project")</f>
        <v>You will focus on the project</v>
      </c>
      <c r="D13241" s="5"/>
      <c r="E13241" s="5"/>
      <c r="F13241" s="5"/>
      <c r="G13241" s="5"/>
      <c r="H13241" s="5"/>
      <c r="I13241" s="5"/>
      <c r="J13241" s="5"/>
      <c r="K13241" s="5"/>
      <c r="L13241" s="5"/>
      <c r="M13241" s="5"/>
      <c r="N13241" s="5"/>
      <c r="O13241" s="5"/>
      <c r="P13241" s="5"/>
      <c r="Q13241" s="5"/>
      <c r="R13241" s="5"/>
      <c r="S13241" s="5"/>
      <c r="T13241" s="5"/>
      <c r="U13241" s="5"/>
      <c r="V13241" s="5"/>
      <c r="W13241" s="5"/>
      <c r="X13241" s="5"/>
      <c r="Y13241" s="5"/>
      <c r="Z13241" s="5"/>
    </row>
    <row r="13242" spans="1:26" ht="15" x14ac:dyDescent="0.25">
      <c r="A13242" s="4" t="s">
        <v>13239</v>
      </c>
      <c r="B13242" s="4" t="s">
        <v>9011</v>
      </c>
      <c r="C13242" s="2" t="str">
        <f ca="1">IFERROR(__xludf.DUMMYFUNCTION("GOOGLETRANSLATE(A13242,""bn"",""en"")"),"We will go by car at night")</f>
        <v>We will go by car at night</v>
      </c>
      <c r="D13242" s="5"/>
      <c r="E13242" s="5"/>
      <c r="F13242" s="5"/>
      <c r="G13242" s="5"/>
      <c r="H13242" s="5"/>
      <c r="I13242" s="5"/>
      <c r="J13242" s="5"/>
      <c r="K13242" s="5"/>
      <c r="L13242" s="5"/>
      <c r="M13242" s="5"/>
      <c r="N13242" s="5"/>
      <c r="O13242" s="5"/>
      <c r="P13242" s="5"/>
      <c r="Q13242" s="5"/>
      <c r="R13242" s="5"/>
      <c r="S13242" s="5"/>
      <c r="T13242" s="5"/>
      <c r="U13242" s="5"/>
      <c r="V13242" s="5"/>
      <c r="W13242" s="5"/>
      <c r="X13242" s="5"/>
      <c r="Y13242" s="5"/>
      <c r="Z13242" s="5"/>
    </row>
    <row r="13243" spans="1:26" ht="15" x14ac:dyDescent="0.25">
      <c r="A13243" s="4" t="s">
        <v>13240</v>
      </c>
      <c r="B13243" s="4" t="s">
        <v>9011</v>
      </c>
      <c r="C13243" s="2" t="str">
        <f ca="1">IFERROR(__xludf.DUMMYFUNCTION("GOOGLETRANSLATE(A13243,""bn"",""en"")"),"Reading books will be addictive")</f>
        <v>Reading books will be addictive</v>
      </c>
      <c r="D13243" s="5"/>
      <c r="E13243" s="5"/>
      <c r="F13243" s="5"/>
      <c r="G13243" s="5"/>
      <c r="H13243" s="5"/>
      <c r="I13243" s="5"/>
      <c r="J13243" s="5"/>
      <c r="K13243" s="5"/>
      <c r="L13243" s="5"/>
      <c r="M13243" s="5"/>
      <c r="N13243" s="5"/>
      <c r="O13243" s="5"/>
      <c r="P13243" s="5"/>
      <c r="Q13243" s="5"/>
      <c r="R13243" s="5"/>
      <c r="S13243" s="5"/>
      <c r="T13243" s="5"/>
      <c r="U13243" s="5"/>
      <c r="V13243" s="5"/>
      <c r="W13243" s="5"/>
      <c r="X13243" s="5"/>
      <c r="Y13243" s="5"/>
      <c r="Z13243" s="5"/>
    </row>
    <row r="13244" spans="1:26" ht="15" x14ac:dyDescent="0.25">
      <c r="A13244" s="4" t="s">
        <v>13241</v>
      </c>
      <c r="B13244" s="4" t="s">
        <v>9011</v>
      </c>
      <c r="C13244" s="2" t="str">
        <f ca="1">IFERROR(__xludf.DUMMYFUNCTION("GOOGLETRANSLATE(A13244,""bn"",""en"")"),"Two meals will be served at the restaurant")</f>
        <v>Two meals will be served at the restaurant</v>
      </c>
      <c r="D13244" s="5"/>
      <c r="E13244" s="5"/>
      <c r="F13244" s="5"/>
      <c r="G13244" s="5"/>
      <c r="H13244" s="5"/>
      <c r="I13244" s="5"/>
      <c r="J13244" s="5"/>
      <c r="K13244" s="5"/>
      <c r="L13244" s="5"/>
      <c r="M13244" s="5"/>
      <c r="N13244" s="5"/>
      <c r="O13244" s="5"/>
      <c r="P13244" s="5"/>
      <c r="Q13244" s="5"/>
      <c r="R13244" s="5"/>
      <c r="S13244" s="5"/>
      <c r="T13244" s="5"/>
      <c r="U13244" s="5"/>
      <c r="V13244" s="5"/>
      <c r="W13244" s="5"/>
      <c r="X13244" s="5"/>
      <c r="Y13244" s="5"/>
      <c r="Z13244" s="5"/>
    </row>
    <row r="13245" spans="1:26" ht="15" x14ac:dyDescent="0.25">
      <c r="A13245" s="4" t="s">
        <v>13242</v>
      </c>
      <c r="B13245" s="4" t="s">
        <v>9011</v>
      </c>
      <c r="C13245" s="2" t="str">
        <f ca="1">IFERROR(__xludf.DUMMYFUNCTION("GOOGLETRANSLATE(A13245,""bn"",""en"")"),"The doctor will see the patient in the morning")</f>
        <v>The doctor will see the patient in the morning</v>
      </c>
      <c r="D13245" s="5"/>
      <c r="E13245" s="5"/>
      <c r="F13245" s="5"/>
      <c r="G13245" s="5"/>
      <c r="H13245" s="5"/>
      <c r="I13245" s="5"/>
      <c r="J13245" s="5"/>
      <c r="K13245" s="5"/>
      <c r="L13245" s="5"/>
      <c r="M13245" s="5"/>
      <c r="N13245" s="5"/>
      <c r="O13245" s="5"/>
      <c r="P13245" s="5"/>
      <c r="Q13245" s="5"/>
      <c r="R13245" s="5"/>
      <c r="S13245" s="5"/>
      <c r="T13245" s="5"/>
      <c r="U13245" s="5"/>
      <c r="V13245" s="5"/>
      <c r="W13245" s="5"/>
      <c r="X13245" s="5"/>
      <c r="Y13245" s="5"/>
      <c r="Z13245" s="5"/>
    </row>
    <row r="13246" spans="1:26" ht="15" x14ac:dyDescent="0.25">
      <c r="A13246" s="4" t="s">
        <v>13243</v>
      </c>
      <c r="B13246" s="4" t="s">
        <v>9011</v>
      </c>
      <c r="C13246" s="2" t="str">
        <f ca="1">IFERROR(__xludf.DUMMYFUNCTION("GOOGLETRANSLATE(A13246,""bn"",""en"")"),"Discover new markets")</f>
        <v>Discover new markets</v>
      </c>
      <c r="D13246" s="5"/>
      <c r="E13246" s="5"/>
      <c r="F13246" s="5"/>
      <c r="G13246" s="5"/>
      <c r="H13246" s="5"/>
      <c r="I13246" s="5"/>
      <c r="J13246" s="5"/>
      <c r="K13246" s="5"/>
      <c r="L13246" s="5"/>
      <c r="M13246" s="5"/>
      <c r="N13246" s="5"/>
      <c r="O13246" s="5"/>
      <c r="P13246" s="5"/>
      <c r="Q13246" s="5"/>
      <c r="R13246" s="5"/>
      <c r="S13246" s="5"/>
      <c r="T13246" s="5"/>
      <c r="U13246" s="5"/>
      <c r="V13246" s="5"/>
      <c r="W13246" s="5"/>
      <c r="X13246" s="5"/>
      <c r="Y13246" s="5"/>
      <c r="Z13246" s="5"/>
    </row>
    <row r="13247" spans="1:26" ht="15" x14ac:dyDescent="0.25">
      <c r="A13247" s="4" t="s">
        <v>13244</v>
      </c>
      <c r="B13247" s="4" t="s">
        <v>9011</v>
      </c>
      <c r="C13247" s="2" t="str">
        <f ca="1">IFERROR(__xludf.DUMMYFUNCTION("GOOGLETRANSLATE(A13247,""bn"",""en"")"),"I will focus on coding")</f>
        <v>I will focus on coding</v>
      </c>
      <c r="D13247" s="5"/>
      <c r="E13247" s="5"/>
      <c r="F13247" s="5"/>
      <c r="G13247" s="5"/>
      <c r="H13247" s="5"/>
      <c r="I13247" s="5"/>
      <c r="J13247" s="5"/>
      <c r="K13247" s="5"/>
      <c r="L13247" s="5"/>
      <c r="M13247" s="5"/>
      <c r="N13247" s="5"/>
      <c r="O13247" s="5"/>
      <c r="P13247" s="5"/>
      <c r="Q13247" s="5"/>
      <c r="R13247" s="5"/>
      <c r="S13247" s="5"/>
      <c r="T13247" s="5"/>
      <c r="U13247" s="5"/>
      <c r="V13247" s="5"/>
      <c r="W13247" s="5"/>
      <c r="X13247" s="5"/>
      <c r="Y13247" s="5"/>
      <c r="Z13247" s="5"/>
    </row>
    <row r="13248" spans="1:26" ht="15" x14ac:dyDescent="0.25">
      <c r="A13248" s="4" t="s">
        <v>13245</v>
      </c>
      <c r="B13248" s="4" t="s">
        <v>9011</v>
      </c>
      <c r="C13248" s="2" t="str">
        <f ca="1">IFERROR(__xludf.DUMMYFUNCTION("GOOGLETRANSLATE(A13248,""bn"",""en"")"),"Market price will increase")</f>
        <v>Market price will increase</v>
      </c>
      <c r="D13248" s="5"/>
      <c r="E13248" s="5"/>
      <c r="F13248" s="5"/>
      <c r="G13248" s="5"/>
      <c r="H13248" s="5"/>
      <c r="I13248" s="5"/>
      <c r="J13248" s="5"/>
      <c r="K13248" s="5"/>
      <c r="L13248" s="5"/>
      <c r="M13248" s="5"/>
      <c r="N13248" s="5"/>
      <c r="O13248" s="5"/>
      <c r="P13248" s="5"/>
      <c r="Q13248" s="5"/>
      <c r="R13248" s="5"/>
      <c r="S13248" s="5"/>
      <c r="T13248" s="5"/>
      <c r="U13248" s="5"/>
      <c r="V13248" s="5"/>
      <c r="W13248" s="5"/>
      <c r="X13248" s="5"/>
      <c r="Y13248" s="5"/>
      <c r="Z13248" s="5"/>
    </row>
    <row r="13249" spans="1:26" ht="15" x14ac:dyDescent="0.25">
      <c r="A13249" s="4" t="s">
        <v>13246</v>
      </c>
      <c r="B13249" s="4" t="s">
        <v>9011</v>
      </c>
      <c r="C13249" s="2" t="str">
        <f ca="1">IFERROR(__xludf.DUMMYFUNCTION("GOOGLETRANSLATE(A13249,""bn"",""en"")"),"This project will be big")</f>
        <v>This project will be big</v>
      </c>
      <c r="D13249" s="5"/>
      <c r="E13249" s="5"/>
      <c r="F13249" s="5"/>
      <c r="G13249" s="5"/>
      <c r="H13249" s="5"/>
      <c r="I13249" s="5"/>
      <c r="J13249" s="5"/>
      <c r="K13249" s="5"/>
      <c r="L13249" s="5"/>
      <c r="M13249" s="5"/>
      <c r="N13249" s="5"/>
      <c r="O13249" s="5"/>
      <c r="P13249" s="5"/>
      <c r="Q13249" s="5"/>
      <c r="R13249" s="5"/>
      <c r="S13249" s="5"/>
      <c r="T13249" s="5"/>
      <c r="U13249" s="5"/>
      <c r="V13249" s="5"/>
      <c r="W13249" s="5"/>
      <c r="X13249" s="5"/>
      <c r="Y13249" s="5"/>
      <c r="Z13249" s="5"/>
    </row>
    <row r="13250" spans="1:26" ht="15" x14ac:dyDescent="0.25">
      <c r="A13250" s="4" t="s">
        <v>13247</v>
      </c>
      <c r="B13250" s="4" t="s">
        <v>9011</v>
      </c>
      <c r="C13250" s="2" t="str">
        <f ca="1">IFERROR(__xludf.DUMMYFUNCTION("GOOGLETRANSLATE(A13250,""bn"",""en"")"),"They will have regular programming")</f>
        <v>They will have regular programming</v>
      </c>
      <c r="D13250" s="5"/>
      <c r="E13250" s="5"/>
      <c r="F13250" s="5"/>
      <c r="G13250" s="5"/>
      <c r="H13250" s="5"/>
      <c r="I13250" s="5"/>
      <c r="J13250" s="5"/>
      <c r="K13250" s="5"/>
      <c r="L13250" s="5"/>
      <c r="M13250" s="5"/>
      <c r="N13250" s="5"/>
      <c r="O13250" s="5"/>
      <c r="P13250" s="5"/>
      <c r="Q13250" s="5"/>
      <c r="R13250" s="5"/>
      <c r="S13250" s="5"/>
      <c r="T13250" s="5"/>
      <c r="U13250" s="5"/>
      <c r="V13250" s="5"/>
      <c r="W13250" s="5"/>
      <c r="X13250" s="5"/>
      <c r="Y13250" s="5"/>
      <c r="Z13250" s="5"/>
    </row>
    <row r="13251" spans="1:26" ht="15" x14ac:dyDescent="0.25">
      <c r="A13251" s="4" t="s">
        <v>13248</v>
      </c>
      <c r="B13251" s="4" t="s">
        <v>9011</v>
      </c>
      <c r="C13251" s="2" t="str">
        <f ca="1">IFERROR(__xludf.DUMMYFUNCTION("GOOGLETRANSLATE(A13251,""bn"",""en"")"),"The market will improve soon")</f>
        <v>The market will improve soon</v>
      </c>
      <c r="D13251" s="5"/>
      <c r="E13251" s="5"/>
      <c r="F13251" s="5"/>
      <c r="G13251" s="5"/>
      <c r="H13251" s="5"/>
      <c r="I13251" s="5"/>
      <c r="J13251" s="5"/>
      <c r="K13251" s="5"/>
      <c r="L13251" s="5"/>
      <c r="M13251" s="5"/>
      <c r="N13251" s="5"/>
      <c r="O13251" s="5"/>
      <c r="P13251" s="5"/>
      <c r="Q13251" s="5"/>
      <c r="R13251" s="5"/>
      <c r="S13251" s="5"/>
      <c r="T13251" s="5"/>
      <c r="U13251" s="5"/>
      <c r="V13251" s="5"/>
      <c r="W13251" s="5"/>
      <c r="X13251" s="5"/>
      <c r="Y13251" s="5"/>
      <c r="Z13251" s="5"/>
    </row>
    <row r="13252" spans="1:26" ht="15" x14ac:dyDescent="0.25">
      <c r="A13252" s="4" t="s">
        <v>13249</v>
      </c>
      <c r="B13252" s="4" t="s">
        <v>9011</v>
      </c>
      <c r="C13252" s="2" t="str">
        <f ca="1">IFERROR(__xludf.DUMMYFUNCTION("GOOGLETRANSLATE(A13252,""bn"",""en"")"),"I will create excel documents")</f>
        <v>I will create excel documents</v>
      </c>
      <c r="D13252" s="5"/>
      <c r="E13252" s="5"/>
      <c r="F13252" s="5"/>
      <c r="G13252" s="5"/>
      <c r="H13252" s="5"/>
      <c r="I13252" s="5"/>
      <c r="J13252" s="5"/>
      <c r="K13252" s="5"/>
      <c r="L13252" s="5"/>
      <c r="M13252" s="5"/>
      <c r="N13252" s="5"/>
      <c r="O13252" s="5"/>
      <c r="P13252" s="5"/>
      <c r="Q13252" s="5"/>
      <c r="R13252" s="5"/>
      <c r="S13252" s="5"/>
      <c r="T13252" s="5"/>
      <c r="U13252" s="5"/>
      <c r="V13252" s="5"/>
      <c r="W13252" s="5"/>
      <c r="X13252" s="5"/>
      <c r="Y13252" s="5"/>
      <c r="Z13252" s="5"/>
    </row>
    <row r="13253" spans="1:26" ht="15" x14ac:dyDescent="0.25">
      <c r="A13253" s="4" t="s">
        <v>13250</v>
      </c>
      <c r="B13253" s="4" t="s">
        <v>9011</v>
      </c>
      <c r="C13253" s="2" t="str">
        <f ca="1">IFERROR(__xludf.DUMMYFUNCTION("GOOGLETRANSLATE(A13253,""bn"",""en"")"),"War will never be without sorrow")</f>
        <v>War will never be without sorrow</v>
      </c>
      <c r="D13253" s="5"/>
      <c r="E13253" s="5"/>
      <c r="F13253" s="5"/>
      <c r="G13253" s="5"/>
      <c r="H13253" s="5"/>
      <c r="I13253" s="5"/>
      <c r="J13253" s="5"/>
      <c r="K13253" s="5"/>
      <c r="L13253" s="5"/>
      <c r="M13253" s="5"/>
      <c r="N13253" s="5"/>
      <c r="O13253" s="5"/>
      <c r="P13253" s="5"/>
      <c r="Q13253" s="5"/>
      <c r="R13253" s="5"/>
      <c r="S13253" s="5"/>
      <c r="T13253" s="5"/>
      <c r="U13253" s="5"/>
      <c r="V13253" s="5"/>
      <c r="W13253" s="5"/>
      <c r="X13253" s="5"/>
      <c r="Y13253" s="5"/>
      <c r="Z13253" s="5"/>
    </row>
    <row r="13254" spans="1:26" ht="15" x14ac:dyDescent="0.25">
      <c r="A13254" s="4" t="s">
        <v>13251</v>
      </c>
      <c r="B13254" s="4" t="s">
        <v>9011</v>
      </c>
      <c r="C13254" s="2" t="str">
        <f ca="1">IFERROR(__xludf.DUMMYFUNCTION("GOOGLETRANSLATE(A13254,""bn"",""en"")"),"Will sell marketing materials")</f>
        <v>Will sell marketing materials</v>
      </c>
      <c r="D13254" s="5"/>
      <c r="E13254" s="5"/>
      <c r="F13254" s="5"/>
      <c r="G13254" s="5"/>
      <c r="H13254" s="5"/>
      <c r="I13254" s="5"/>
      <c r="J13254" s="5"/>
      <c r="K13254" s="5"/>
      <c r="L13254" s="5"/>
      <c r="M13254" s="5"/>
      <c r="N13254" s="5"/>
      <c r="O13254" s="5"/>
      <c r="P13254" s="5"/>
      <c r="Q13254" s="5"/>
      <c r="R13254" s="5"/>
      <c r="S13254" s="5"/>
      <c r="T13254" s="5"/>
      <c r="U13254" s="5"/>
      <c r="V13254" s="5"/>
      <c r="W13254" s="5"/>
      <c r="X13254" s="5"/>
      <c r="Y13254" s="5"/>
      <c r="Z13254" s="5"/>
    </row>
    <row r="13255" spans="1:26" ht="15" x14ac:dyDescent="0.25">
      <c r="A13255" s="4" t="s">
        <v>13252</v>
      </c>
      <c r="B13255" s="4" t="s">
        <v>9011</v>
      </c>
      <c r="C13255" s="2" t="str">
        <f ca="1">IFERROR(__xludf.DUMMYFUNCTION("GOOGLETRANSLATE(A13255,""bn"",""en"")"),"Board exam will be given")</f>
        <v>Board exam will be given</v>
      </c>
      <c r="D13255" s="5"/>
      <c r="E13255" s="5"/>
      <c r="F13255" s="5"/>
      <c r="G13255" s="5"/>
      <c r="H13255" s="5"/>
      <c r="I13255" s="5"/>
      <c r="J13255" s="5"/>
      <c r="K13255" s="5"/>
      <c r="L13255" s="5"/>
      <c r="M13255" s="5"/>
      <c r="N13255" s="5"/>
      <c r="O13255" s="5"/>
      <c r="P13255" s="5"/>
      <c r="Q13255" s="5"/>
      <c r="R13255" s="5"/>
      <c r="S13255" s="5"/>
      <c r="T13255" s="5"/>
      <c r="U13255" s="5"/>
      <c r="V13255" s="5"/>
      <c r="W13255" s="5"/>
      <c r="X13255" s="5"/>
      <c r="Y13255" s="5"/>
      <c r="Z13255" s="5"/>
    </row>
    <row r="13256" spans="1:26" ht="15" x14ac:dyDescent="0.25">
      <c r="A13256" s="4" t="s">
        <v>13253</v>
      </c>
      <c r="B13256" s="4" t="s">
        <v>9011</v>
      </c>
      <c r="C13256" s="2" t="str">
        <f ca="1">IFERROR(__xludf.DUMMYFUNCTION("GOOGLETRANSLATE(A13256,""bn"",""en"")"),"A war situation will arise")</f>
        <v>A war situation will arise</v>
      </c>
      <c r="D13256" s="5"/>
      <c r="E13256" s="5"/>
      <c r="F13256" s="5"/>
      <c r="G13256" s="5"/>
      <c r="H13256" s="5"/>
      <c r="I13256" s="5"/>
      <c r="J13256" s="5"/>
      <c r="K13256" s="5"/>
      <c r="L13256" s="5"/>
      <c r="M13256" s="5"/>
      <c r="N13256" s="5"/>
      <c r="O13256" s="5"/>
      <c r="P13256" s="5"/>
      <c r="Q13256" s="5"/>
      <c r="R13256" s="5"/>
      <c r="S13256" s="5"/>
      <c r="T13256" s="5"/>
      <c r="U13256" s="5"/>
      <c r="V13256" s="5"/>
      <c r="W13256" s="5"/>
      <c r="X13256" s="5"/>
      <c r="Y13256" s="5"/>
      <c r="Z13256" s="5"/>
    </row>
    <row r="13257" spans="1:26" ht="15" x14ac:dyDescent="0.25">
      <c r="A13257" s="4" t="s">
        <v>13254</v>
      </c>
      <c r="B13257" s="4" t="s">
        <v>9011</v>
      </c>
      <c r="C13257" s="2" t="str">
        <f ca="1">IFERROR(__xludf.DUMMYFUNCTION("GOOGLETRANSLATE(A13257,""bn"",""en"")"),"There will be a debate between MPs")</f>
        <v>There will be a debate between MPs</v>
      </c>
      <c r="D13257" s="5"/>
      <c r="E13257" s="5"/>
      <c r="F13257" s="5"/>
      <c r="G13257" s="5"/>
      <c r="H13257" s="5"/>
      <c r="I13257" s="5"/>
      <c r="J13257" s="5"/>
      <c r="K13257" s="5"/>
      <c r="L13257" s="5"/>
      <c r="M13257" s="5"/>
      <c r="N13257" s="5"/>
      <c r="O13257" s="5"/>
      <c r="P13257" s="5"/>
      <c r="Q13257" s="5"/>
      <c r="R13257" s="5"/>
      <c r="S13257" s="5"/>
      <c r="T13257" s="5"/>
      <c r="U13257" s="5"/>
      <c r="V13257" s="5"/>
      <c r="W13257" s="5"/>
      <c r="X13257" s="5"/>
      <c r="Y13257" s="5"/>
      <c r="Z13257" s="5"/>
    </row>
    <row r="13258" spans="1:26" ht="15" x14ac:dyDescent="0.25">
      <c r="A13258" s="4" t="s">
        <v>13255</v>
      </c>
      <c r="B13258" s="4" t="s">
        <v>9011</v>
      </c>
      <c r="C13258" s="2" t="str">
        <f ca="1">IFERROR(__xludf.DUMMYFUNCTION("GOOGLETRANSLATE(A13258,""bn"",""en"")"),"I will be a scientist in the future")</f>
        <v>I will be a scientist in the future</v>
      </c>
      <c r="D13258" s="5"/>
      <c r="E13258" s="5"/>
      <c r="F13258" s="5"/>
      <c r="G13258" s="5"/>
      <c r="H13258" s="5"/>
      <c r="I13258" s="5"/>
      <c r="J13258" s="5"/>
      <c r="K13258" s="5"/>
      <c r="L13258" s="5"/>
      <c r="M13258" s="5"/>
      <c r="N13258" s="5"/>
      <c r="O13258" s="5"/>
      <c r="P13258" s="5"/>
      <c r="Q13258" s="5"/>
      <c r="R13258" s="5"/>
      <c r="S13258" s="5"/>
      <c r="T13258" s="5"/>
      <c r="U13258" s="5"/>
      <c r="V13258" s="5"/>
      <c r="W13258" s="5"/>
      <c r="X13258" s="5"/>
      <c r="Y13258" s="5"/>
      <c r="Z13258" s="5"/>
    </row>
    <row r="13259" spans="1:26" ht="15" x14ac:dyDescent="0.25">
      <c r="A13259" s="4" t="s">
        <v>13256</v>
      </c>
      <c r="B13259" s="4" t="s">
        <v>9011</v>
      </c>
      <c r="C13259" s="2" t="str">
        <f ca="1">IFERROR(__xludf.DUMMYFUNCTION("GOOGLETRANSLATE(A13259,""bn"",""en"")"),"Management will be a joint effort")</f>
        <v>Management will be a joint effort</v>
      </c>
      <c r="D13259" s="5"/>
      <c r="E13259" s="5"/>
      <c r="F13259" s="5"/>
      <c r="G13259" s="5"/>
      <c r="H13259" s="5"/>
      <c r="I13259" s="5"/>
      <c r="J13259" s="5"/>
      <c r="K13259" s="5"/>
      <c r="L13259" s="5"/>
      <c r="M13259" s="5"/>
      <c r="N13259" s="5"/>
      <c r="O13259" s="5"/>
      <c r="P13259" s="5"/>
      <c r="Q13259" s="5"/>
      <c r="R13259" s="5"/>
      <c r="S13259" s="5"/>
      <c r="T13259" s="5"/>
      <c r="U13259" s="5"/>
      <c r="V13259" s="5"/>
      <c r="W13259" s="5"/>
      <c r="X13259" s="5"/>
      <c r="Y13259" s="5"/>
      <c r="Z13259" s="5"/>
    </row>
    <row r="13260" spans="1:26" ht="15" x14ac:dyDescent="0.25">
      <c r="A13260" s="4" t="s">
        <v>13257</v>
      </c>
      <c r="B13260" s="4" t="s">
        <v>9011</v>
      </c>
      <c r="C13260" s="2" t="str">
        <f ca="1">IFERROR(__xludf.DUMMYFUNCTION("GOOGLETRANSLATE(A13260,""bn"",""en"")"),"He will swim in the river")</f>
        <v>He will swim in the river</v>
      </c>
      <c r="D13260" s="5"/>
      <c r="E13260" s="5"/>
      <c r="F13260" s="5"/>
      <c r="G13260" s="5"/>
      <c r="H13260" s="5"/>
      <c r="I13260" s="5"/>
      <c r="J13260" s="5"/>
      <c r="K13260" s="5"/>
      <c r="L13260" s="5"/>
      <c r="M13260" s="5"/>
      <c r="N13260" s="5"/>
      <c r="O13260" s="5"/>
      <c r="P13260" s="5"/>
      <c r="Q13260" s="5"/>
      <c r="R13260" s="5"/>
      <c r="S13260" s="5"/>
      <c r="T13260" s="5"/>
      <c r="U13260" s="5"/>
      <c r="V13260" s="5"/>
      <c r="W13260" s="5"/>
      <c r="X13260" s="5"/>
      <c r="Y13260" s="5"/>
      <c r="Z13260" s="5"/>
    </row>
    <row r="13261" spans="1:26" ht="15" x14ac:dyDescent="0.25">
      <c r="A13261" s="4" t="s">
        <v>13258</v>
      </c>
      <c r="B13261" s="4" t="s">
        <v>9011</v>
      </c>
      <c r="C13261" s="2" t="str">
        <f ca="1">IFERROR(__xludf.DUMMYFUNCTION("GOOGLETRANSLATE(A13261,""bn"",""en"")"),"New courses will come in education")</f>
        <v>New courses will come in education</v>
      </c>
      <c r="D13261" s="5"/>
      <c r="E13261" s="5"/>
      <c r="F13261" s="5"/>
      <c r="G13261" s="5"/>
      <c r="H13261" s="5"/>
      <c r="I13261" s="5"/>
      <c r="J13261" s="5"/>
      <c r="K13261" s="5"/>
      <c r="L13261" s="5"/>
      <c r="M13261" s="5"/>
      <c r="N13261" s="5"/>
      <c r="O13261" s="5"/>
      <c r="P13261" s="5"/>
      <c r="Q13261" s="5"/>
      <c r="R13261" s="5"/>
      <c r="S13261" s="5"/>
      <c r="T13261" s="5"/>
      <c r="U13261" s="5"/>
      <c r="V13261" s="5"/>
      <c r="W13261" s="5"/>
      <c r="X13261" s="5"/>
      <c r="Y13261" s="5"/>
      <c r="Z13261" s="5"/>
    </row>
    <row r="13262" spans="1:26" ht="15" x14ac:dyDescent="0.25">
      <c r="A13262" s="4" t="s">
        <v>13259</v>
      </c>
      <c r="B13262" s="4" t="s">
        <v>9011</v>
      </c>
      <c r="C13262" s="2" t="str">
        <f ca="1">IFERROR(__xludf.DUMMYFUNCTION("GOOGLETRANSLATE(A13262,""bn"",""en"")"),"I will bring new flowers")</f>
        <v>I will bring new flowers</v>
      </c>
      <c r="D13262" s="5"/>
      <c r="E13262" s="5"/>
      <c r="F13262" s="5"/>
      <c r="G13262" s="5"/>
      <c r="H13262" s="5"/>
      <c r="I13262" s="5"/>
      <c r="J13262" s="5"/>
      <c r="K13262" s="5"/>
      <c r="L13262" s="5"/>
      <c r="M13262" s="5"/>
      <c r="N13262" s="5"/>
      <c r="O13262" s="5"/>
      <c r="P13262" s="5"/>
      <c r="Q13262" s="5"/>
      <c r="R13262" s="5"/>
      <c r="S13262" s="5"/>
      <c r="T13262" s="5"/>
      <c r="U13262" s="5"/>
      <c r="V13262" s="5"/>
      <c r="W13262" s="5"/>
      <c r="X13262" s="5"/>
      <c r="Y13262" s="5"/>
      <c r="Z13262" s="5"/>
    </row>
    <row r="13263" spans="1:26" ht="15" x14ac:dyDescent="0.25">
      <c r="A13263" s="4" t="s">
        <v>13260</v>
      </c>
      <c r="B13263" s="4" t="s">
        <v>9011</v>
      </c>
      <c r="C13263" s="2" t="str">
        <f ca="1">IFERROR(__xludf.DUMMYFUNCTION("GOOGLETRANSLATE(A13263,""bn"",""en"")"),"You will come to the campus for the book fair")</f>
        <v>You will come to the campus for the book fair</v>
      </c>
      <c r="D13263" s="5"/>
      <c r="E13263" s="5"/>
      <c r="F13263" s="5"/>
      <c r="G13263" s="5"/>
      <c r="H13263" s="5"/>
      <c r="I13263" s="5"/>
      <c r="J13263" s="5"/>
      <c r="K13263" s="5"/>
      <c r="L13263" s="5"/>
      <c r="M13263" s="5"/>
      <c r="N13263" s="5"/>
      <c r="O13263" s="5"/>
      <c r="P13263" s="5"/>
      <c r="Q13263" s="5"/>
      <c r="R13263" s="5"/>
      <c r="S13263" s="5"/>
      <c r="T13263" s="5"/>
      <c r="U13263" s="5"/>
      <c r="V13263" s="5"/>
      <c r="W13263" s="5"/>
      <c r="X13263" s="5"/>
      <c r="Y13263" s="5"/>
      <c r="Z13263" s="5"/>
    </row>
    <row r="13264" spans="1:26" ht="15" x14ac:dyDescent="0.25">
      <c r="A13264" s="4" t="s">
        <v>13261</v>
      </c>
      <c r="B13264" s="4" t="s">
        <v>9011</v>
      </c>
      <c r="C13264" s="2" t="str">
        <f ca="1">IFERROR(__xludf.DUMMYFUNCTION("GOOGLETRANSLATE(A13264,""bn"",""en"")"),"They will study on campus")</f>
        <v>They will study on campus</v>
      </c>
      <c r="D13264" s="5"/>
      <c r="E13264" s="5"/>
      <c r="F13264" s="5"/>
      <c r="G13264" s="5"/>
      <c r="H13264" s="5"/>
      <c r="I13264" s="5"/>
      <c r="J13264" s="5"/>
      <c r="K13264" s="5"/>
      <c r="L13264" s="5"/>
      <c r="M13264" s="5"/>
      <c r="N13264" s="5"/>
      <c r="O13264" s="5"/>
      <c r="P13264" s="5"/>
      <c r="Q13264" s="5"/>
      <c r="R13264" s="5"/>
      <c r="S13264" s="5"/>
      <c r="T13264" s="5"/>
      <c r="U13264" s="5"/>
      <c r="V13264" s="5"/>
      <c r="W13264" s="5"/>
      <c r="X13264" s="5"/>
      <c r="Y13264" s="5"/>
      <c r="Z13264" s="5"/>
    </row>
    <row r="13265" spans="1:26" ht="15" x14ac:dyDescent="0.25">
      <c r="A13265" s="4" t="s">
        <v>13262</v>
      </c>
      <c r="B13265" s="4" t="s">
        <v>9011</v>
      </c>
      <c r="C13265" s="2" t="str">
        <f ca="1">IFERROR(__xludf.DUMMYFUNCTION("GOOGLETRANSLATE(A13265,""bn"",""en"")"),"Dance to modern tunes")</f>
        <v>Dance to modern tunes</v>
      </c>
      <c r="D13265" s="5"/>
      <c r="E13265" s="5"/>
      <c r="F13265" s="5"/>
      <c r="G13265" s="5"/>
      <c r="H13265" s="5"/>
      <c r="I13265" s="5"/>
      <c r="J13265" s="5"/>
      <c r="K13265" s="5"/>
      <c r="L13265" s="5"/>
      <c r="M13265" s="5"/>
      <c r="N13265" s="5"/>
      <c r="O13265" s="5"/>
      <c r="P13265" s="5"/>
      <c r="Q13265" s="5"/>
      <c r="R13265" s="5"/>
      <c r="S13265" s="5"/>
      <c r="T13265" s="5"/>
      <c r="U13265" s="5"/>
      <c r="V13265" s="5"/>
      <c r="W13265" s="5"/>
      <c r="X13265" s="5"/>
      <c r="Y13265" s="5"/>
      <c r="Z13265" s="5"/>
    </row>
    <row r="13266" spans="1:26" ht="15" x14ac:dyDescent="0.25">
      <c r="A13266" s="4" t="s">
        <v>13263</v>
      </c>
      <c r="B13266" s="4" t="s">
        <v>9011</v>
      </c>
      <c r="C13266" s="2" t="str">
        <f ca="1">IFERROR(__xludf.DUMMYFUNCTION("GOOGLETRANSLATE(A13266,""bn"",""en"")"),"Crop production will increase")</f>
        <v>Crop production will increase</v>
      </c>
      <c r="D13266" s="5"/>
      <c r="E13266" s="5"/>
      <c r="F13266" s="5"/>
      <c r="G13266" s="5"/>
      <c r="H13266" s="5"/>
      <c r="I13266" s="5"/>
      <c r="J13266" s="5"/>
      <c r="K13266" s="5"/>
      <c r="L13266" s="5"/>
      <c r="M13266" s="5"/>
      <c r="N13266" s="5"/>
      <c r="O13266" s="5"/>
      <c r="P13266" s="5"/>
      <c r="Q13266" s="5"/>
      <c r="R13266" s="5"/>
      <c r="S13266" s="5"/>
      <c r="T13266" s="5"/>
      <c r="U13266" s="5"/>
      <c r="V13266" s="5"/>
      <c r="W13266" s="5"/>
      <c r="X13266" s="5"/>
      <c r="Y13266" s="5"/>
      <c r="Z13266" s="5"/>
    </row>
    <row r="13267" spans="1:26" ht="15" x14ac:dyDescent="0.25">
      <c r="A13267" s="4" t="s">
        <v>13264</v>
      </c>
      <c r="B13267" s="4" t="s">
        <v>9011</v>
      </c>
      <c r="C13267" s="2" t="str">
        <f ca="1">IFERROR(__xludf.DUMMYFUNCTION("GOOGLETRANSLATE(A13267,""bn"",""en"")"),"Amazon products will be better")</f>
        <v>Amazon products will be better</v>
      </c>
      <c r="D13267" s="5"/>
      <c r="E13267" s="5"/>
      <c r="F13267" s="5"/>
      <c r="G13267" s="5"/>
      <c r="H13267" s="5"/>
      <c r="I13267" s="5"/>
      <c r="J13267" s="5"/>
      <c r="K13267" s="5"/>
      <c r="L13267" s="5"/>
      <c r="M13267" s="5"/>
      <c r="N13267" s="5"/>
      <c r="O13267" s="5"/>
      <c r="P13267" s="5"/>
      <c r="Q13267" s="5"/>
      <c r="R13267" s="5"/>
      <c r="S13267" s="5"/>
      <c r="T13267" s="5"/>
      <c r="U13267" s="5"/>
      <c r="V13267" s="5"/>
      <c r="W13267" s="5"/>
      <c r="X13267" s="5"/>
      <c r="Y13267" s="5"/>
      <c r="Z13267" s="5"/>
    </row>
    <row r="13268" spans="1:26" ht="15" x14ac:dyDescent="0.25">
      <c r="A13268" s="4" t="s">
        <v>13265</v>
      </c>
      <c r="B13268" s="4" t="s">
        <v>9011</v>
      </c>
      <c r="C13268" s="2" t="str">
        <f ca="1">IFERROR(__xludf.DUMMYFUNCTION("GOOGLETRANSLATE(A13268,""bn"",""en"")"),"They will pass on the campus")</f>
        <v>They will pass on the campus</v>
      </c>
      <c r="D13268" s="5"/>
      <c r="E13268" s="5"/>
      <c r="F13268" s="5"/>
      <c r="G13268" s="5"/>
      <c r="H13268" s="5"/>
      <c r="I13268" s="5"/>
      <c r="J13268" s="5"/>
      <c r="K13268" s="5"/>
      <c r="L13268" s="5"/>
      <c r="M13268" s="5"/>
      <c r="N13268" s="5"/>
      <c r="O13268" s="5"/>
      <c r="P13268" s="5"/>
      <c r="Q13268" s="5"/>
      <c r="R13268" s="5"/>
      <c r="S13268" s="5"/>
      <c r="T13268" s="5"/>
      <c r="U13268" s="5"/>
      <c r="V13268" s="5"/>
      <c r="W13268" s="5"/>
      <c r="X13268" s="5"/>
      <c r="Y13268" s="5"/>
      <c r="Z13268" s="5"/>
    </row>
    <row r="13269" spans="1:26" ht="15" x14ac:dyDescent="0.25">
      <c r="A13269" s="4" t="s">
        <v>13266</v>
      </c>
      <c r="B13269" s="4" t="s">
        <v>9011</v>
      </c>
      <c r="C13269" s="2" t="str">
        <f ca="1">IFERROR(__xludf.DUMMYFUNCTION("GOOGLETRANSLATE(A13269,""bn"",""en"")"),"I will plant new plants")</f>
        <v>I will plant new plants</v>
      </c>
      <c r="D13269" s="5"/>
      <c r="E13269" s="5"/>
      <c r="F13269" s="5"/>
      <c r="G13269" s="5"/>
      <c r="H13269" s="5"/>
      <c r="I13269" s="5"/>
      <c r="J13269" s="5"/>
      <c r="K13269" s="5"/>
      <c r="L13269" s="5"/>
      <c r="M13269" s="5"/>
      <c r="N13269" s="5"/>
      <c r="O13269" s="5"/>
      <c r="P13269" s="5"/>
      <c r="Q13269" s="5"/>
      <c r="R13269" s="5"/>
      <c r="S13269" s="5"/>
      <c r="T13269" s="5"/>
      <c r="U13269" s="5"/>
      <c r="V13269" s="5"/>
      <c r="W13269" s="5"/>
      <c r="X13269" s="5"/>
      <c r="Y13269" s="5"/>
      <c r="Z13269" s="5"/>
    </row>
    <row r="13270" spans="1:26" ht="15" x14ac:dyDescent="0.25">
      <c r="A13270" s="4" t="s">
        <v>13267</v>
      </c>
      <c r="B13270" s="4" t="s">
        <v>9011</v>
      </c>
      <c r="C13270" s="2" t="str">
        <f ca="1">IFERROR(__xludf.DUMMYFUNCTION("GOOGLETRANSLATE(A13270,""bn"",""en"")"),"Banking services will start")</f>
        <v>Banking services will start</v>
      </c>
      <c r="D13270" s="5"/>
      <c r="E13270" s="5"/>
      <c r="F13270" s="5"/>
      <c r="G13270" s="5"/>
      <c r="H13270" s="5"/>
      <c r="I13270" s="5"/>
      <c r="J13270" s="5"/>
      <c r="K13270" s="5"/>
      <c r="L13270" s="5"/>
      <c r="M13270" s="5"/>
      <c r="N13270" s="5"/>
      <c r="O13270" s="5"/>
      <c r="P13270" s="5"/>
      <c r="Q13270" s="5"/>
      <c r="R13270" s="5"/>
      <c r="S13270" s="5"/>
      <c r="T13270" s="5"/>
      <c r="U13270" s="5"/>
      <c r="V13270" s="5"/>
      <c r="W13270" s="5"/>
      <c r="X13270" s="5"/>
      <c r="Y13270" s="5"/>
      <c r="Z13270" s="5"/>
    </row>
    <row r="13271" spans="1:26" ht="15" x14ac:dyDescent="0.25">
      <c r="A13271" s="4" t="s">
        <v>13268</v>
      </c>
      <c r="B13271" s="4" t="s">
        <v>9011</v>
      </c>
      <c r="C13271" s="2" t="str">
        <f ca="1">IFERROR(__xludf.DUMMYFUNCTION("GOOGLETRANSLATE(A13271,""bn"",""en"")"),"New products will come to the market")</f>
        <v>New products will come to the market</v>
      </c>
      <c r="D13271" s="5"/>
      <c r="E13271" s="5"/>
      <c r="F13271" s="5"/>
      <c r="G13271" s="5"/>
      <c r="H13271" s="5"/>
      <c r="I13271" s="5"/>
      <c r="J13271" s="5"/>
      <c r="K13271" s="5"/>
      <c r="L13271" s="5"/>
      <c r="M13271" s="5"/>
      <c r="N13271" s="5"/>
      <c r="O13271" s="5"/>
      <c r="P13271" s="5"/>
      <c r="Q13271" s="5"/>
      <c r="R13271" s="5"/>
      <c r="S13271" s="5"/>
      <c r="T13271" s="5"/>
      <c r="U13271" s="5"/>
      <c r="V13271" s="5"/>
      <c r="W13271" s="5"/>
      <c r="X13271" s="5"/>
      <c r="Y13271" s="5"/>
      <c r="Z13271" s="5"/>
    </row>
    <row r="13272" spans="1:26" ht="15" x14ac:dyDescent="0.25">
      <c r="A13272" s="4" t="s">
        <v>13269</v>
      </c>
      <c r="B13272" s="4" t="s">
        <v>9011</v>
      </c>
      <c r="C13272" s="2" t="str">
        <f ca="1">IFERROR(__xludf.DUMMYFUNCTION("GOOGLETRANSLATE(A13272,""bn"",""en"")"),"Technology will work for the benefit")</f>
        <v>Technology will work for the benefit</v>
      </c>
      <c r="D13272" s="5"/>
      <c r="E13272" s="5"/>
      <c r="F13272" s="5"/>
      <c r="G13272" s="5"/>
      <c r="H13272" s="5"/>
      <c r="I13272" s="5"/>
      <c r="J13272" s="5"/>
      <c r="K13272" s="5"/>
      <c r="L13272" s="5"/>
      <c r="M13272" s="5"/>
      <c r="N13272" s="5"/>
      <c r="O13272" s="5"/>
      <c r="P13272" s="5"/>
      <c r="Q13272" s="5"/>
      <c r="R13272" s="5"/>
      <c r="S13272" s="5"/>
      <c r="T13272" s="5"/>
      <c r="U13272" s="5"/>
      <c r="V13272" s="5"/>
      <c r="W13272" s="5"/>
      <c r="X13272" s="5"/>
      <c r="Y13272" s="5"/>
      <c r="Z13272" s="5"/>
    </row>
    <row r="13273" spans="1:26" ht="15" x14ac:dyDescent="0.25">
      <c r="A13273" s="4" t="s">
        <v>13270</v>
      </c>
      <c r="B13273" s="4" t="s">
        <v>9011</v>
      </c>
      <c r="C13273" s="2" t="str">
        <f ca="1">IFERROR(__xludf.DUMMYFUNCTION("GOOGLETRANSLATE(A13273,""bn"",""en"")"),"White birds will fly in the sea")</f>
        <v>White birds will fly in the sea</v>
      </c>
      <c r="D13273" s="5"/>
      <c r="E13273" s="5"/>
      <c r="F13273" s="5"/>
      <c r="G13273" s="5"/>
      <c r="H13273" s="5"/>
      <c r="I13273" s="5"/>
      <c r="J13273" s="5"/>
      <c r="K13273" s="5"/>
      <c r="L13273" s="5"/>
      <c r="M13273" s="5"/>
      <c r="N13273" s="5"/>
      <c r="O13273" s="5"/>
      <c r="P13273" s="5"/>
      <c r="Q13273" s="5"/>
      <c r="R13273" s="5"/>
      <c r="S13273" s="5"/>
      <c r="T13273" s="5"/>
      <c r="U13273" s="5"/>
      <c r="V13273" s="5"/>
      <c r="W13273" s="5"/>
      <c r="X13273" s="5"/>
      <c r="Y13273" s="5"/>
      <c r="Z13273" s="5"/>
    </row>
    <row r="13274" spans="1:26" ht="15" x14ac:dyDescent="0.25">
      <c r="A13274" s="4" t="s">
        <v>13271</v>
      </c>
      <c r="B13274" s="4" t="s">
        <v>9011</v>
      </c>
      <c r="C13274" s="2" t="str">
        <f ca="1">IFERROR(__xludf.DUMMYFUNCTION("GOOGLETRANSLATE(A13274,""bn"",""en"")"),"Will ask questions about the economy")</f>
        <v>Will ask questions about the economy</v>
      </c>
      <c r="D13274" s="5"/>
      <c r="E13274" s="5"/>
      <c r="F13274" s="5"/>
      <c r="G13274" s="5"/>
      <c r="H13274" s="5"/>
      <c r="I13274" s="5"/>
      <c r="J13274" s="5"/>
      <c r="K13274" s="5"/>
      <c r="L13274" s="5"/>
      <c r="M13274" s="5"/>
      <c r="N13274" s="5"/>
      <c r="O13274" s="5"/>
      <c r="P13274" s="5"/>
      <c r="Q13274" s="5"/>
      <c r="R13274" s="5"/>
      <c r="S13274" s="5"/>
      <c r="T13274" s="5"/>
      <c r="U13274" s="5"/>
      <c r="V13274" s="5"/>
      <c r="W13274" s="5"/>
      <c r="X13274" s="5"/>
      <c r="Y13274" s="5"/>
      <c r="Z13274" s="5"/>
    </row>
    <row r="13275" spans="1:26" ht="15" x14ac:dyDescent="0.25">
      <c r="A13275" s="4" t="s">
        <v>13272</v>
      </c>
      <c r="B13275" s="4" t="s">
        <v>9011</v>
      </c>
      <c r="C13275" s="2" t="str">
        <f ca="1">IFERROR(__xludf.DUMMYFUNCTION("GOOGLETRANSLATE(A13275,""bn"",""en"")"),"Technology dependency will be freed")</f>
        <v>Technology dependency will be freed</v>
      </c>
      <c r="D13275" s="5"/>
      <c r="E13275" s="5"/>
      <c r="F13275" s="5"/>
      <c r="G13275" s="5"/>
      <c r="H13275" s="5"/>
      <c r="I13275" s="5"/>
      <c r="J13275" s="5"/>
      <c r="K13275" s="5"/>
      <c r="L13275" s="5"/>
      <c r="M13275" s="5"/>
      <c r="N13275" s="5"/>
      <c r="O13275" s="5"/>
      <c r="P13275" s="5"/>
      <c r="Q13275" s="5"/>
      <c r="R13275" s="5"/>
      <c r="S13275" s="5"/>
      <c r="T13275" s="5"/>
      <c r="U13275" s="5"/>
      <c r="V13275" s="5"/>
      <c r="W13275" s="5"/>
      <c r="X13275" s="5"/>
      <c r="Y13275" s="5"/>
      <c r="Z13275" s="5"/>
    </row>
    <row r="13276" spans="1:26" ht="15" x14ac:dyDescent="0.25">
      <c r="A13276" s="4" t="s">
        <v>13273</v>
      </c>
      <c r="B13276" s="4" t="s">
        <v>9011</v>
      </c>
      <c r="C13276" s="2" t="str">
        <f ca="1">IFERROR(__xludf.DUMMYFUNCTION("GOOGLETRANSLATE(A13276,""bn"",""en"")"),"Government will increase in science")</f>
        <v>Government will increase in science</v>
      </c>
      <c r="D13276" s="5"/>
      <c r="E13276" s="5"/>
      <c r="F13276" s="5"/>
      <c r="G13276" s="5"/>
      <c r="H13276" s="5"/>
      <c r="I13276" s="5"/>
      <c r="J13276" s="5"/>
      <c r="K13276" s="5"/>
      <c r="L13276" s="5"/>
      <c r="M13276" s="5"/>
      <c r="N13276" s="5"/>
      <c r="O13276" s="5"/>
      <c r="P13276" s="5"/>
      <c r="Q13276" s="5"/>
      <c r="R13276" s="5"/>
      <c r="S13276" s="5"/>
      <c r="T13276" s="5"/>
      <c r="U13276" s="5"/>
      <c r="V13276" s="5"/>
      <c r="W13276" s="5"/>
      <c r="X13276" s="5"/>
      <c r="Y13276" s="5"/>
      <c r="Z13276" s="5"/>
    </row>
    <row r="13277" spans="1:26" ht="15" x14ac:dyDescent="0.25">
      <c r="A13277" s="4" t="s">
        <v>13274</v>
      </c>
      <c r="B13277" s="4" t="s">
        <v>9011</v>
      </c>
      <c r="C13277" s="2" t="str">
        <f ca="1">IFERROR(__xludf.DUMMYFUNCTION("GOOGLETRANSLATE(A13277,""bn"",""en"")"),"Robotics technology will be developed")</f>
        <v>Robotics technology will be developed</v>
      </c>
      <c r="D13277" s="5"/>
      <c r="E13277" s="5"/>
      <c r="F13277" s="5"/>
      <c r="G13277" s="5"/>
      <c r="H13277" s="5"/>
      <c r="I13277" s="5"/>
      <c r="J13277" s="5"/>
      <c r="K13277" s="5"/>
      <c r="L13277" s="5"/>
      <c r="M13277" s="5"/>
      <c r="N13277" s="5"/>
      <c r="O13277" s="5"/>
      <c r="P13277" s="5"/>
      <c r="Q13277" s="5"/>
      <c r="R13277" s="5"/>
      <c r="S13277" s="5"/>
      <c r="T13277" s="5"/>
      <c r="U13277" s="5"/>
      <c r="V13277" s="5"/>
      <c r="W13277" s="5"/>
      <c r="X13277" s="5"/>
      <c r="Y13277" s="5"/>
      <c r="Z13277" s="5"/>
    </row>
    <row r="13278" spans="1:26" ht="15" x14ac:dyDescent="0.25">
      <c r="A13278" s="4" t="s">
        <v>13275</v>
      </c>
      <c r="B13278" s="4" t="s">
        <v>9011</v>
      </c>
      <c r="C13278" s="2" t="str">
        <f ca="1">IFERROR(__xludf.DUMMYFUNCTION("GOOGLETRANSLATE(A13278,""bn"",""en"")"),"Main server will have problem")</f>
        <v>Main server will have problem</v>
      </c>
      <c r="D13278" s="5"/>
      <c r="E13278" s="5"/>
      <c r="F13278" s="5"/>
      <c r="G13278" s="5"/>
      <c r="H13278" s="5"/>
      <c r="I13278" s="5"/>
      <c r="J13278" s="5"/>
      <c r="K13278" s="5"/>
      <c r="L13278" s="5"/>
      <c r="M13278" s="5"/>
      <c r="N13278" s="5"/>
      <c r="O13278" s="5"/>
      <c r="P13278" s="5"/>
      <c r="Q13278" s="5"/>
      <c r="R13278" s="5"/>
      <c r="S13278" s="5"/>
      <c r="T13278" s="5"/>
      <c r="U13278" s="5"/>
      <c r="V13278" s="5"/>
      <c r="W13278" s="5"/>
      <c r="X13278" s="5"/>
      <c r="Y13278" s="5"/>
      <c r="Z13278" s="5"/>
    </row>
    <row r="13279" spans="1:26" ht="15" x14ac:dyDescent="0.25">
      <c r="A13279" s="4" t="s">
        <v>13276</v>
      </c>
      <c r="B13279" s="4" t="s">
        <v>9011</v>
      </c>
      <c r="C13279" s="2" t="str">
        <f ca="1">IFERROR(__xludf.DUMMYFUNCTION("GOOGLETRANSLATE(A13279,""bn"",""en"")"),"I will write a report on the economic situation")</f>
        <v>I will write a report on the economic situation</v>
      </c>
      <c r="D13279" s="5"/>
      <c r="E13279" s="5"/>
      <c r="F13279" s="5"/>
      <c r="G13279" s="5"/>
      <c r="H13279" s="5"/>
      <c r="I13279" s="5"/>
      <c r="J13279" s="5"/>
      <c r="K13279" s="5"/>
      <c r="L13279" s="5"/>
      <c r="M13279" s="5"/>
      <c r="N13279" s="5"/>
      <c r="O13279" s="5"/>
      <c r="P13279" s="5"/>
      <c r="Q13279" s="5"/>
      <c r="R13279" s="5"/>
      <c r="S13279" s="5"/>
      <c r="T13279" s="5"/>
      <c r="U13279" s="5"/>
      <c r="V13279" s="5"/>
      <c r="W13279" s="5"/>
      <c r="X13279" s="5"/>
      <c r="Y13279" s="5"/>
      <c r="Z13279" s="5"/>
    </row>
    <row r="13280" spans="1:26" ht="15" x14ac:dyDescent="0.25">
      <c r="A13280" s="4" t="s">
        <v>13277</v>
      </c>
      <c r="B13280" s="4" t="s">
        <v>9011</v>
      </c>
      <c r="C13280" s="2" t="str">
        <f ca="1">IFERROR(__xludf.DUMMYFUNCTION("GOOGLETRANSLATE(A13280,""bn"",""en"")"),"Features will be upgraded last week")</f>
        <v>Features will be upgraded last week</v>
      </c>
      <c r="D13280" s="5"/>
      <c r="E13280" s="5"/>
      <c r="F13280" s="5"/>
      <c r="G13280" s="5"/>
      <c r="H13280" s="5"/>
      <c r="I13280" s="5"/>
      <c r="J13280" s="5"/>
      <c r="K13280" s="5"/>
      <c r="L13280" s="5"/>
      <c r="M13280" s="5"/>
      <c r="N13280" s="5"/>
      <c r="O13280" s="5"/>
      <c r="P13280" s="5"/>
      <c r="Q13280" s="5"/>
      <c r="R13280" s="5"/>
      <c r="S13280" s="5"/>
      <c r="T13280" s="5"/>
      <c r="U13280" s="5"/>
      <c r="V13280" s="5"/>
      <c r="W13280" s="5"/>
      <c r="X13280" s="5"/>
      <c r="Y13280" s="5"/>
      <c r="Z13280" s="5"/>
    </row>
    <row r="13281" spans="1:26" ht="15" x14ac:dyDescent="0.25">
      <c r="A13281" s="4" t="s">
        <v>13278</v>
      </c>
      <c r="B13281" s="4" t="s">
        <v>9011</v>
      </c>
      <c r="C13281" s="2" t="str">
        <f ca="1">IFERROR(__xludf.DUMMYFUNCTION("GOOGLETRANSLATE(A13281,""bn"",""en"")"),"Get driving license online")</f>
        <v>Get driving license online</v>
      </c>
      <c r="D13281" s="5"/>
      <c r="E13281" s="5"/>
      <c r="F13281" s="5"/>
      <c r="G13281" s="5"/>
      <c r="H13281" s="5"/>
      <c r="I13281" s="5"/>
      <c r="J13281" s="5"/>
      <c r="K13281" s="5"/>
      <c r="L13281" s="5"/>
      <c r="M13281" s="5"/>
      <c r="N13281" s="5"/>
      <c r="O13281" s="5"/>
      <c r="P13281" s="5"/>
      <c r="Q13281" s="5"/>
      <c r="R13281" s="5"/>
      <c r="S13281" s="5"/>
      <c r="T13281" s="5"/>
      <c r="U13281" s="5"/>
      <c r="V13281" s="5"/>
      <c r="W13281" s="5"/>
      <c r="X13281" s="5"/>
      <c r="Y13281" s="5"/>
      <c r="Z13281" s="5"/>
    </row>
    <row r="13282" spans="1:26" ht="15" x14ac:dyDescent="0.25">
      <c r="A13282" s="4" t="s">
        <v>13279</v>
      </c>
      <c r="B13282" s="4" t="s">
        <v>9011</v>
      </c>
      <c r="C13282" s="2" t="str">
        <f ca="1">IFERROR(__xludf.DUMMYFUNCTION("GOOGLETRANSLATE(A13282,""bn"",""en"")"),"Come to the restaurant and get tea")</f>
        <v>Come to the restaurant and get tea</v>
      </c>
      <c r="D13282" s="5"/>
      <c r="E13282" s="5"/>
      <c r="F13282" s="5"/>
      <c r="G13282" s="5"/>
      <c r="H13282" s="5"/>
      <c r="I13282" s="5"/>
      <c r="J13282" s="5"/>
      <c r="K13282" s="5"/>
      <c r="L13282" s="5"/>
      <c r="M13282" s="5"/>
      <c r="N13282" s="5"/>
      <c r="O13282" s="5"/>
      <c r="P13282" s="5"/>
      <c r="Q13282" s="5"/>
      <c r="R13282" s="5"/>
      <c r="S13282" s="5"/>
      <c r="T13282" s="5"/>
      <c r="U13282" s="5"/>
      <c r="V13282" s="5"/>
      <c r="W13282" s="5"/>
      <c r="X13282" s="5"/>
      <c r="Y13282" s="5"/>
      <c r="Z13282" s="5"/>
    </row>
    <row r="13283" spans="1:26" ht="15" x14ac:dyDescent="0.25">
      <c r="A13283" s="4" t="s">
        <v>13280</v>
      </c>
      <c r="B13283" s="4" t="s">
        <v>9011</v>
      </c>
      <c r="C13283" s="2" t="str">
        <f ca="1">IFERROR(__xludf.DUMMYFUNCTION("GOOGLETRANSLATE(A13283,""bn"",""en"")"),"He will write sports reports")</f>
        <v>He will write sports reports</v>
      </c>
      <c r="D13283" s="5"/>
      <c r="E13283" s="5"/>
      <c r="F13283" s="5"/>
      <c r="G13283" s="5"/>
      <c r="H13283" s="5"/>
      <c r="I13283" s="5"/>
      <c r="J13283" s="5"/>
      <c r="K13283" s="5"/>
      <c r="L13283" s="5"/>
      <c r="M13283" s="5"/>
      <c r="N13283" s="5"/>
      <c r="O13283" s="5"/>
      <c r="P13283" s="5"/>
      <c r="Q13283" s="5"/>
      <c r="R13283" s="5"/>
      <c r="S13283" s="5"/>
      <c r="T13283" s="5"/>
      <c r="U13283" s="5"/>
      <c r="V13283" s="5"/>
      <c r="W13283" s="5"/>
      <c r="X13283" s="5"/>
      <c r="Y13283" s="5"/>
      <c r="Z13283" s="5"/>
    </row>
    <row r="13284" spans="1:26" ht="15" x14ac:dyDescent="0.25">
      <c r="A13284" s="4" t="s">
        <v>13281</v>
      </c>
      <c r="B13284" s="4" t="s">
        <v>9011</v>
      </c>
      <c r="C13284" s="2" t="str">
        <f ca="1">IFERROR(__xludf.DUMMYFUNCTION("GOOGLETRANSLATE(A13284,""bn"",""en"")"),"Come to see patients")</f>
        <v>Come to see patients</v>
      </c>
      <c r="D13284" s="5"/>
      <c r="E13284" s="5"/>
      <c r="F13284" s="5"/>
      <c r="G13284" s="5"/>
      <c r="H13284" s="5"/>
      <c r="I13284" s="5"/>
      <c r="J13284" s="5"/>
      <c r="K13284" s="5"/>
      <c r="L13284" s="5"/>
      <c r="M13284" s="5"/>
      <c r="N13284" s="5"/>
      <c r="O13284" s="5"/>
      <c r="P13284" s="5"/>
      <c r="Q13284" s="5"/>
      <c r="R13284" s="5"/>
      <c r="S13284" s="5"/>
      <c r="T13284" s="5"/>
      <c r="U13284" s="5"/>
      <c r="V13284" s="5"/>
      <c r="W13284" s="5"/>
      <c r="X13284" s="5"/>
      <c r="Y13284" s="5"/>
      <c r="Z13284" s="5"/>
    </row>
    <row r="13285" spans="1:26" ht="15" x14ac:dyDescent="0.25">
      <c r="A13285" s="4" t="s">
        <v>13282</v>
      </c>
      <c r="B13285" s="4" t="s">
        <v>9011</v>
      </c>
      <c r="C13285" s="2" t="str">
        <f ca="1">IFERROR(__xludf.DUMMYFUNCTION("GOOGLETRANSLATE(A13285,""bn"",""en"")"),"Heart will be treated")</f>
        <v>Heart will be treated</v>
      </c>
      <c r="D13285" s="5"/>
      <c r="E13285" s="5"/>
      <c r="F13285" s="5"/>
      <c r="G13285" s="5"/>
      <c r="H13285" s="5"/>
      <c r="I13285" s="5"/>
      <c r="J13285" s="5"/>
      <c r="K13285" s="5"/>
      <c r="L13285" s="5"/>
      <c r="M13285" s="5"/>
      <c r="N13285" s="5"/>
      <c r="O13285" s="5"/>
      <c r="P13285" s="5"/>
      <c r="Q13285" s="5"/>
      <c r="R13285" s="5"/>
      <c r="S13285" s="5"/>
      <c r="T13285" s="5"/>
      <c r="U13285" s="5"/>
      <c r="V13285" s="5"/>
      <c r="W13285" s="5"/>
      <c r="X13285" s="5"/>
      <c r="Y13285" s="5"/>
      <c r="Z13285" s="5"/>
    </row>
    <row r="13286" spans="1:26" ht="15" x14ac:dyDescent="0.25">
      <c r="A13286" s="4" t="s">
        <v>13283</v>
      </c>
      <c r="B13286" s="4" t="s">
        <v>9011</v>
      </c>
      <c r="C13286" s="2" t="str">
        <f ca="1">IFERROR(__xludf.DUMMYFUNCTION("GOOGLETRANSLATE(A13286,""bn"",""en"")"),"They will manage the economy")</f>
        <v>They will manage the economy</v>
      </c>
      <c r="D13286" s="5"/>
      <c r="E13286" s="5"/>
      <c r="F13286" s="5"/>
      <c r="G13286" s="5"/>
      <c r="H13286" s="5"/>
      <c r="I13286" s="5"/>
      <c r="J13286" s="5"/>
      <c r="K13286" s="5"/>
      <c r="L13286" s="5"/>
      <c r="M13286" s="5"/>
      <c r="N13286" s="5"/>
      <c r="O13286" s="5"/>
      <c r="P13286" s="5"/>
      <c r="Q13286" s="5"/>
      <c r="R13286" s="5"/>
      <c r="S13286" s="5"/>
      <c r="T13286" s="5"/>
      <c r="U13286" s="5"/>
      <c r="V13286" s="5"/>
      <c r="W13286" s="5"/>
      <c r="X13286" s="5"/>
      <c r="Y13286" s="5"/>
      <c r="Z13286" s="5"/>
    </row>
    <row r="13287" spans="1:26" ht="15" x14ac:dyDescent="0.25">
      <c r="A13287" s="4" t="s">
        <v>13284</v>
      </c>
      <c r="B13287" s="4" t="s">
        <v>9011</v>
      </c>
      <c r="C13287" s="2" t="str">
        <f ca="1">IFERROR(__xludf.DUMMYFUNCTION("GOOGLETRANSLATE(A13287,""bn"",""en"")"),"Opium cultivation will be in it")</f>
        <v>Opium cultivation will be in it</v>
      </c>
      <c r="D13287" s="5"/>
      <c r="E13287" s="5"/>
      <c r="F13287" s="5"/>
      <c r="G13287" s="5"/>
      <c r="H13287" s="5"/>
      <c r="I13287" s="5"/>
      <c r="J13287" s="5"/>
      <c r="K13287" s="5"/>
      <c r="L13287" s="5"/>
      <c r="M13287" s="5"/>
      <c r="N13287" s="5"/>
      <c r="O13287" s="5"/>
      <c r="P13287" s="5"/>
      <c r="Q13287" s="5"/>
      <c r="R13287" s="5"/>
      <c r="S13287" s="5"/>
      <c r="T13287" s="5"/>
      <c r="U13287" s="5"/>
      <c r="V13287" s="5"/>
      <c r="W13287" s="5"/>
      <c r="X13287" s="5"/>
      <c r="Y13287" s="5"/>
      <c r="Z13287" s="5"/>
    </row>
    <row r="13288" spans="1:26" ht="15" x14ac:dyDescent="0.25">
      <c r="A13288" s="4" t="s">
        <v>13285</v>
      </c>
      <c r="B13288" s="4" t="s">
        <v>9011</v>
      </c>
      <c r="C13288" s="2" t="str">
        <f ca="1">IFERROR(__xludf.DUMMYFUNCTION("GOOGLETRANSLATE(A13288,""bn"",""en"")"),"He will read books every day")</f>
        <v>He will read books every day</v>
      </c>
      <c r="D13288" s="5"/>
      <c r="E13288" s="5"/>
      <c r="F13288" s="5"/>
      <c r="G13288" s="5"/>
      <c r="H13288" s="5"/>
      <c r="I13288" s="5"/>
      <c r="J13288" s="5"/>
      <c r="K13288" s="5"/>
      <c r="L13288" s="5"/>
      <c r="M13288" s="5"/>
      <c r="N13288" s="5"/>
      <c r="O13288" s="5"/>
      <c r="P13288" s="5"/>
      <c r="Q13288" s="5"/>
      <c r="R13288" s="5"/>
      <c r="S13288" s="5"/>
      <c r="T13288" s="5"/>
      <c r="U13288" s="5"/>
      <c r="V13288" s="5"/>
      <c r="W13288" s="5"/>
      <c r="X13288" s="5"/>
      <c r="Y13288" s="5"/>
      <c r="Z13288" s="5"/>
    </row>
    <row r="13289" spans="1:26" ht="15" x14ac:dyDescent="0.25">
      <c r="A13289" s="4" t="s">
        <v>13286</v>
      </c>
      <c r="B13289" s="4" t="s">
        <v>9011</v>
      </c>
      <c r="C13289" s="2" t="str">
        <f ca="1">IFERROR(__xludf.DUMMYFUNCTION("GOOGLETRANSLATE(A13289,""bn"",""en"")"),"Different recipes will apply")</f>
        <v>Different recipes will apply</v>
      </c>
      <c r="D13289" s="5"/>
      <c r="E13289" s="5"/>
      <c r="F13289" s="5"/>
      <c r="G13289" s="5"/>
      <c r="H13289" s="5"/>
      <c r="I13289" s="5"/>
      <c r="J13289" s="5"/>
      <c r="K13289" s="5"/>
      <c r="L13289" s="5"/>
      <c r="M13289" s="5"/>
      <c r="N13289" s="5"/>
      <c r="O13289" s="5"/>
      <c r="P13289" s="5"/>
      <c r="Q13289" s="5"/>
      <c r="R13289" s="5"/>
      <c r="S13289" s="5"/>
      <c r="T13289" s="5"/>
      <c r="U13289" s="5"/>
      <c r="V13289" s="5"/>
      <c r="W13289" s="5"/>
      <c r="X13289" s="5"/>
      <c r="Y13289" s="5"/>
      <c r="Z13289" s="5"/>
    </row>
    <row r="13290" spans="1:26" ht="15" x14ac:dyDescent="0.25">
      <c r="A13290" s="4" t="s">
        <v>13287</v>
      </c>
      <c r="B13290" s="4" t="s">
        <v>9011</v>
      </c>
      <c r="C13290" s="2" t="str">
        <f ca="1">IFERROR(__xludf.DUMMYFUNCTION("GOOGLETRANSLATE(A13290,""bn"",""en"")"),"Web development will be popular")</f>
        <v>Web development will be popular</v>
      </c>
      <c r="D13290" s="5"/>
      <c r="E13290" s="5"/>
      <c r="F13290" s="5"/>
      <c r="G13290" s="5"/>
      <c r="H13290" s="5"/>
      <c r="I13290" s="5"/>
      <c r="J13290" s="5"/>
      <c r="K13290" s="5"/>
      <c r="L13290" s="5"/>
      <c r="M13290" s="5"/>
      <c r="N13290" s="5"/>
      <c r="O13290" s="5"/>
      <c r="P13290" s="5"/>
      <c r="Q13290" s="5"/>
      <c r="R13290" s="5"/>
      <c r="S13290" s="5"/>
      <c r="T13290" s="5"/>
      <c r="U13290" s="5"/>
      <c r="V13290" s="5"/>
      <c r="W13290" s="5"/>
      <c r="X13290" s="5"/>
      <c r="Y13290" s="5"/>
      <c r="Z13290" s="5"/>
    </row>
    <row r="13291" spans="1:26" ht="15" x14ac:dyDescent="0.25">
      <c r="A13291" s="4" t="s">
        <v>13288</v>
      </c>
      <c r="B13291" s="4" t="s">
        <v>9011</v>
      </c>
      <c r="C13291" s="2" t="str">
        <f ca="1">IFERROR(__xludf.DUMMYFUNCTION("GOOGLETRANSLATE(A13291,""bn"",""en"")"),"The boat will float in blue water")</f>
        <v>The boat will float in blue water</v>
      </c>
      <c r="D13291" s="5"/>
      <c r="E13291" s="5"/>
      <c r="F13291" s="5"/>
      <c r="G13291" s="5"/>
      <c r="H13291" s="5"/>
      <c r="I13291" s="5"/>
      <c r="J13291" s="5"/>
      <c r="K13291" s="5"/>
      <c r="L13291" s="5"/>
      <c r="M13291" s="5"/>
      <c r="N13291" s="5"/>
      <c r="O13291" s="5"/>
      <c r="P13291" s="5"/>
      <c r="Q13291" s="5"/>
      <c r="R13291" s="5"/>
      <c r="S13291" s="5"/>
      <c r="T13291" s="5"/>
      <c r="U13291" s="5"/>
      <c r="V13291" s="5"/>
      <c r="W13291" s="5"/>
      <c r="X13291" s="5"/>
      <c r="Y13291" s="5"/>
      <c r="Z13291" s="5"/>
    </row>
    <row r="13292" spans="1:26" ht="15" x14ac:dyDescent="0.25">
      <c r="A13292" s="4" t="s">
        <v>13289</v>
      </c>
      <c r="B13292" s="4" t="s">
        <v>9011</v>
      </c>
      <c r="C13292" s="2" t="str">
        <f ca="1">IFERROR(__xludf.DUMMYFUNCTION("GOOGLETRANSLATE(A13292,""bn"",""en"")"),"Bengali literature will be rich")</f>
        <v>Bengali literature will be rich</v>
      </c>
      <c r="D13292" s="5"/>
      <c r="E13292" s="5"/>
      <c r="F13292" s="5"/>
      <c r="G13292" s="5"/>
      <c r="H13292" s="5"/>
      <c r="I13292" s="5"/>
      <c r="J13292" s="5"/>
      <c r="K13292" s="5"/>
      <c r="L13292" s="5"/>
      <c r="M13292" s="5"/>
      <c r="N13292" s="5"/>
      <c r="O13292" s="5"/>
      <c r="P13292" s="5"/>
      <c r="Q13292" s="5"/>
      <c r="R13292" s="5"/>
      <c r="S13292" s="5"/>
      <c r="T13292" s="5"/>
      <c r="U13292" s="5"/>
      <c r="V13292" s="5"/>
      <c r="W13292" s="5"/>
      <c r="X13292" s="5"/>
      <c r="Y13292" s="5"/>
      <c r="Z13292" s="5"/>
    </row>
    <row r="13293" spans="1:26" ht="15" x14ac:dyDescent="0.25">
      <c r="A13293" s="4" t="s">
        <v>13290</v>
      </c>
      <c r="B13293" s="4" t="s">
        <v>9011</v>
      </c>
      <c r="C13293" s="2" t="str">
        <f ca="1">IFERROR(__xludf.DUMMYFUNCTION("GOOGLETRANSLATE(A13293,""bn"",""en"")"),"The language will change in tone")</f>
        <v>The language will change in tone</v>
      </c>
      <c r="D13293" s="5"/>
      <c r="E13293" s="5"/>
      <c r="F13293" s="5"/>
      <c r="G13293" s="5"/>
      <c r="H13293" s="5"/>
      <c r="I13293" s="5"/>
      <c r="J13293" s="5"/>
      <c r="K13293" s="5"/>
      <c r="L13293" s="5"/>
      <c r="M13293" s="5"/>
      <c r="N13293" s="5"/>
      <c r="O13293" s="5"/>
      <c r="P13293" s="5"/>
      <c r="Q13293" s="5"/>
      <c r="R13293" s="5"/>
      <c r="S13293" s="5"/>
      <c r="T13293" s="5"/>
      <c r="U13293" s="5"/>
      <c r="V13293" s="5"/>
      <c r="W13293" s="5"/>
      <c r="X13293" s="5"/>
      <c r="Y13293" s="5"/>
      <c r="Z13293" s="5"/>
    </row>
    <row r="13294" spans="1:26" ht="15" x14ac:dyDescent="0.25">
      <c r="A13294" s="4" t="s">
        <v>13291</v>
      </c>
      <c r="B13294" s="4" t="s">
        <v>9011</v>
      </c>
      <c r="C13294" s="2" t="str">
        <f ca="1">IFERROR(__xludf.DUMMYFUNCTION("GOOGLETRANSLATE(A13294,""bn"",""en"")"),"The girls team will be ahead")</f>
        <v>The girls team will be ahead</v>
      </c>
      <c r="D13294" s="5"/>
      <c r="E13294" s="5"/>
      <c r="F13294" s="5"/>
      <c r="G13294" s="5"/>
      <c r="H13294" s="5"/>
      <c r="I13294" s="5"/>
      <c r="J13294" s="5"/>
      <c r="K13294" s="5"/>
      <c r="L13294" s="5"/>
      <c r="M13294" s="5"/>
      <c r="N13294" s="5"/>
      <c r="O13294" s="5"/>
      <c r="P13294" s="5"/>
      <c r="Q13294" s="5"/>
      <c r="R13294" s="5"/>
      <c r="S13294" s="5"/>
      <c r="T13294" s="5"/>
      <c r="U13294" s="5"/>
      <c r="V13294" s="5"/>
      <c r="W13294" s="5"/>
      <c r="X13294" s="5"/>
      <c r="Y13294" s="5"/>
      <c r="Z13294" s="5"/>
    </row>
    <row r="13295" spans="1:26" ht="15" x14ac:dyDescent="0.25">
      <c r="A13295" s="4" t="s">
        <v>13292</v>
      </c>
      <c r="B13295" s="4" t="s">
        <v>9011</v>
      </c>
      <c r="C13295" s="2" t="str">
        <f ca="1">IFERROR(__xludf.DUMMYFUNCTION("GOOGLETRANSLATE(A13295,""bn"",""en"")"),"Technology will change a lot")</f>
        <v>Technology will change a lot</v>
      </c>
      <c r="D13295" s="5"/>
      <c r="E13295" s="5"/>
      <c r="F13295" s="5"/>
      <c r="G13295" s="5"/>
      <c r="H13295" s="5"/>
      <c r="I13295" s="5"/>
      <c r="J13295" s="5"/>
      <c r="K13295" s="5"/>
      <c r="L13295" s="5"/>
      <c r="M13295" s="5"/>
      <c r="N13295" s="5"/>
      <c r="O13295" s="5"/>
      <c r="P13295" s="5"/>
      <c r="Q13295" s="5"/>
      <c r="R13295" s="5"/>
      <c r="S13295" s="5"/>
      <c r="T13295" s="5"/>
      <c r="U13295" s="5"/>
      <c r="V13295" s="5"/>
      <c r="W13295" s="5"/>
      <c r="X13295" s="5"/>
      <c r="Y13295" s="5"/>
      <c r="Z13295" s="5"/>
    </row>
    <row r="13296" spans="1:26" ht="15" x14ac:dyDescent="0.25">
      <c r="A13296" s="4" t="s">
        <v>13293</v>
      </c>
      <c r="B13296" s="4" t="s">
        <v>9011</v>
      </c>
      <c r="C13296" s="2" t="str">
        <f ca="1">IFERROR(__xludf.DUMMYFUNCTION("GOOGLETRANSLATE(A13296,""bn"",""en"")"),"I will go to university to study literature")</f>
        <v>I will go to university to study literature</v>
      </c>
      <c r="D13296" s="5"/>
      <c r="E13296" s="5"/>
      <c r="F13296" s="5"/>
      <c r="G13296" s="5"/>
      <c r="H13296" s="5"/>
      <c r="I13296" s="5"/>
      <c r="J13296" s="5"/>
      <c r="K13296" s="5"/>
      <c r="L13296" s="5"/>
      <c r="M13296" s="5"/>
      <c r="N13296" s="5"/>
      <c r="O13296" s="5"/>
      <c r="P13296" s="5"/>
      <c r="Q13296" s="5"/>
      <c r="R13296" s="5"/>
      <c r="S13296" s="5"/>
      <c r="T13296" s="5"/>
      <c r="U13296" s="5"/>
      <c r="V13296" s="5"/>
      <c r="W13296" s="5"/>
      <c r="X13296" s="5"/>
      <c r="Y13296" s="5"/>
      <c r="Z13296" s="5"/>
    </row>
    <row r="13297" spans="1:26" ht="15" x14ac:dyDescent="0.25">
      <c r="A13297" s="4" t="s">
        <v>13294</v>
      </c>
      <c r="B13297" s="4" t="s">
        <v>9011</v>
      </c>
      <c r="C13297" s="2" t="str">
        <f ca="1">IFERROR(__xludf.DUMMYFUNCTION("GOOGLETRANSLATE(A13297,""bn"",""en"")"),"Electronics will be researched")</f>
        <v>Electronics will be researched</v>
      </c>
      <c r="D13297" s="5"/>
      <c r="E13297" s="5"/>
      <c r="F13297" s="5"/>
      <c r="G13297" s="5"/>
      <c r="H13297" s="5"/>
      <c r="I13297" s="5"/>
      <c r="J13297" s="5"/>
      <c r="K13297" s="5"/>
      <c r="L13297" s="5"/>
      <c r="M13297" s="5"/>
      <c r="N13297" s="5"/>
      <c r="O13297" s="5"/>
      <c r="P13297" s="5"/>
      <c r="Q13297" s="5"/>
      <c r="R13297" s="5"/>
      <c r="S13297" s="5"/>
      <c r="T13297" s="5"/>
      <c r="U13297" s="5"/>
      <c r="V13297" s="5"/>
      <c r="W13297" s="5"/>
      <c r="X13297" s="5"/>
      <c r="Y13297" s="5"/>
      <c r="Z13297" s="5"/>
    </row>
    <row r="13298" spans="1:26" ht="15" x14ac:dyDescent="0.25">
      <c r="A13298" s="4" t="s">
        <v>13295</v>
      </c>
      <c r="B13298" s="4" t="s">
        <v>9011</v>
      </c>
      <c r="C13298" s="2" t="str">
        <f ca="1">IFERROR(__xludf.DUMMYFUNCTION("GOOGLETRANSLATE(A13298,""bn"",""en"")"),"He will dance in the rain")</f>
        <v>He will dance in the rain</v>
      </c>
      <c r="D13298" s="5"/>
      <c r="E13298" s="5"/>
      <c r="F13298" s="5"/>
      <c r="G13298" s="5"/>
      <c r="H13298" s="5"/>
      <c r="I13298" s="5"/>
      <c r="J13298" s="5"/>
      <c r="K13298" s="5"/>
      <c r="L13298" s="5"/>
      <c r="M13298" s="5"/>
      <c r="N13298" s="5"/>
      <c r="O13298" s="5"/>
      <c r="P13298" s="5"/>
      <c r="Q13298" s="5"/>
      <c r="R13298" s="5"/>
      <c r="S13298" s="5"/>
      <c r="T13298" s="5"/>
      <c r="U13298" s="5"/>
      <c r="V13298" s="5"/>
      <c r="W13298" s="5"/>
      <c r="X13298" s="5"/>
      <c r="Y13298" s="5"/>
      <c r="Z13298" s="5"/>
    </row>
    <row r="13299" spans="1:26" ht="15" x14ac:dyDescent="0.25">
      <c r="A13299" s="4" t="s">
        <v>13296</v>
      </c>
      <c r="B13299" s="4" t="s">
        <v>9011</v>
      </c>
      <c r="C13299" s="2" t="str">
        <f ca="1">IFERROR(__xludf.DUMMYFUNCTION("GOOGLETRANSLATE(A13299,""bn"",""en"")"),"Will help with treatment")</f>
        <v>Will help with treatment</v>
      </c>
      <c r="D13299" s="5"/>
      <c r="E13299" s="5"/>
      <c r="F13299" s="5"/>
      <c r="G13299" s="5"/>
      <c r="H13299" s="5"/>
      <c r="I13299" s="5"/>
      <c r="J13299" s="5"/>
      <c r="K13299" s="5"/>
      <c r="L13299" s="5"/>
      <c r="M13299" s="5"/>
      <c r="N13299" s="5"/>
      <c r="O13299" s="5"/>
      <c r="P13299" s="5"/>
      <c r="Q13299" s="5"/>
      <c r="R13299" s="5"/>
      <c r="S13299" s="5"/>
      <c r="T13299" s="5"/>
      <c r="U13299" s="5"/>
      <c r="V13299" s="5"/>
      <c r="W13299" s="5"/>
      <c r="X13299" s="5"/>
      <c r="Y13299" s="5"/>
      <c r="Z13299" s="5"/>
    </row>
    <row r="13300" spans="1:26" ht="15" x14ac:dyDescent="0.25">
      <c r="A13300" s="4" t="s">
        <v>13297</v>
      </c>
      <c r="B13300" s="4" t="s">
        <v>9011</v>
      </c>
      <c r="C13300" s="2" t="str">
        <f ca="1">IFERROR(__xludf.DUMMYFUNCTION("GOOGLETRANSLATE(A13300,""bn"",""en"")"),"They will build the website today")</f>
        <v>They will build the website today</v>
      </c>
      <c r="D13300" s="5"/>
      <c r="E13300" s="5"/>
      <c r="F13300" s="5"/>
      <c r="G13300" s="5"/>
      <c r="H13300" s="5"/>
      <c r="I13300" s="5"/>
      <c r="J13300" s="5"/>
      <c r="K13300" s="5"/>
      <c r="L13300" s="5"/>
      <c r="M13300" s="5"/>
      <c r="N13300" s="5"/>
      <c r="O13300" s="5"/>
      <c r="P13300" s="5"/>
      <c r="Q13300" s="5"/>
      <c r="R13300" s="5"/>
      <c r="S13300" s="5"/>
      <c r="T13300" s="5"/>
      <c r="U13300" s="5"/>
      <c r="V13300" s="5"/>
      <c r="W13300" s="5"/>
      <c r="X13300" s="5"/>
      <c r="Y13300" s="5"/>
      <c r="Z13300" s="5"/>
    </row>
    <row r="13301" spans="1:26" ht="15" x14ac:dyDescent="0.25">
      <c r="A13301" s="4" t="s">
        <v>13298</v>
      </c>
      <c r="B13301" s="4" t="s">
        <v>9011</v>
      </c>
      <c r="C13301" s="2" t="str">
        <f ca="1">IFERROR(__xludf.DUMMYFUNCTION("GOOGLETRANSLATE(A13301,""bn"",""en"")"),"The army will retaliate fiercely")</f>
        <v>The army will retaliate fiercely</v>
      </c>
      <c r="D13301" s="5"/>
      <c r="E13301" s="5"/>
      <c r="F13301" s="5"/>
      <c r="G13301" s="5"/>
      <c r="H13301" s="5"/>
      <c r="I13301" s="5"/>
      <c r="J13301" s="5"/>
      <c r="K13301" s="5"/>
      <c r="L13301" s="5"/>
      <c r="M13301" s="5"/>
      <c r="N13301" s="5"/>
      <c r="O13301" s="5"/>
      <c r="P13301" s="5"/>
      <c r="Q13301" s="5"/>
      <c r="R13301" s="5"/>
      <c r="S13301" s="5"/>
      <c r="T13301" s="5"/>
      <c r="U13301" s="5"/>
      <c r="V13301" s="5"/>
      <c r="W13301" s="5"/>
      <c r="X13301" s="5"/>
      <c r="Y13301" s="5"/>
      <c r="Z13301" s="5"/>
    </row>
    <row r="13302" spans="1:26" ht="15" x14ac:dyDescent="0.25">
      <c r="A13302" s="4" t="s">
        <v>13299</v>
      </c>
      <c r="B13302" s="4" t="s">
        <v>9011</v>
      </c>
      <c r="C13302" s="2" t="str">
        <f ca="1">IFERROR(__xludf.DUMMYFUNCTION("GOOGLETRANSLATE(A13302,""bn"",""en"")"),"The patient will be tested")</f>
        <v>The patient will be tested</v>
      </c>
      <c r="D13302" s="5"/>
      <c r="E13302" s="5"/>
      <c r="F13302" s="5"/>
      <c r="G13302" s="5"/>
      <c r="H13302" s="5"/>
      <c r="I13302" s="5"/>
      <c r="J13302" s="5"/>
      <c r="K13302" s="5"/>
      <c r="L13302" s="5"/>
      <c r="M13302" s="5"/>
      <c r="N13302" s="5"/>
      <c r="O13302" s="5"/>
      <c r="P13302" s="5"/>
      <c r="Q13302" s="5"/>
      <c r="R13302" s="5"/>
      <c r="S13302" s="5"/>
      <c r="T13302" s="5"/>
      <c r="U13302" s="5"/>
      <c r="V13302" s="5"/>
      <c r="W13302" s="5"/>
      <c r="X13302" s="5"/>
      <c r="Y13302" s="5"/>
      <c r="Z13302" s="5"/>
    </row>
    <row r="13303" spans="1:26" ht="15" x14ac:dyDescent="0.25">
      <c r="A13303" s="4" t="s">
        <v>13300</v>
      </c>
      <c r="B13303" s="4" t="s">
        <v>9011</v>
      </c>
      <c r="C13303" s="2" t="str">
        <f ca="1">IFERROR(__xludf.DUMMYFUNCTION("GOOGLETRANSLATE(A13303,""bn"",""en"")"),"We will run new projects")</f>
        <v>We will run new projects</v>
      </c>
      <c r="D13303" s="5"/>
      <c r="E13303" s="5"/>
      <c r="F13303" s="5"/>
      <c r="G13303" s="5"/>
      <c r="H13303" s="5"/>
      <c r="I13303" s="5"/>
      <c r="J13303" s="5"/>
      <c r="K13303" s="5"/>
      <c r="L13303" s="5"/>
      <c r="M13303" s="5"/>
      <c r="N13303" s="5"/>
      <c r="O13303" s="5"/>
      <c r="P13303" s="5"/>
      <c r="Q13303" s="5"/>
      <c r="R13303" s="5"/>
      <c r="S13303" s="5"/>
      <c r="T13303" s="5"/>
      <c r="U13303" s="5"/>
      <c r="V13303" s="5"/>
      <c r="W13303" s="5"/>
      <c r="X13303" s="5"/>
      <c r="Y13303" s="5"/>
      <c r="Z13303" s="5"/>
    </row>
    <row r="13304" spans="1:26" ht="15" x14ac:dyDescent="0.25">
      <c r="A13304" s="4" t="s">
        <v>13301</v>
      </c>
      <c r="B13304" s="4" t="s">
        <v>9011</v>
      </c>
      <c r="C13304" s="2" t="str">
        <f ca="1">IFERROR(__xludf.DUMMYFUNCTION("GOOGLETRANSLATE(A13304,""bn"",""en"")"),"Try new medications")</f>
        <v>Try new medications</v>
      </c>
      <c r="D13304" s="5"/>
      <c r="E13304" s="5"/>
      <c r="F13304" s="5"/>
      <c r="G13304" s="5"/>
      <c r="H13304" s="5"/>
      <c r="I13304" s="5"/>
      <c r="J13304" s="5"/>
      <c r="K13304" s="5"/>
      <c r="L13304" s="5"/>
      <c r="M13304" s="5"/>
      <c r="N13304" s="5"/>
      <c r="O13304" s="5"/>
      <c r="P13304" s="5"/>
      <c r="Q13304" s="5"/>
      <c r="R13304" s="5"/>
      <c r="S13304" s="5"/>
      <c r="T13304" s="5"/>
      <c r="U13304" s="5"/>
      <c r="V13304" s="5"/>
      <c r="W13304" s="5"/>
      <c r="X13304" s="5"/>
      <c r="Y13304" s="5"/>
      <c r="Z13304" s="5"/>
    </row>
    <row r="13305" spans="1:26" ht="15" x14ac:dyDescent="0.25">
      <c r="A13305" s="4" t="s">
        <v>13302</v>
      </c>
      <c r="B13305" s="4" t="s">
        <v>9011</v>
      </c>
      <c r="C13305" s="2" t="str">
        <f ca="1">IFERROR(__xludf.DUMMYFUNCTION("GOOGLETRANSLATE(A13305,""bn"",""en"")"),"He will help the teacher")</f>
        <v>He will help the teacher</v>
      </c>
      <c r="D13305" s="5"/>
      <c r="E13305" s="5"/>
      <c r="F13305" s="5"/>
      <c r="G13305" s="5"/>
      <c r="H13305" s="5"/>
      <c r="I13305" s="5"/>
      <c r="J13305" s="5"/>
      <c r="K13305" s="5"/>
      <c r="L13305" s="5"/>
      <c r="M13305" s="5"/>
      <c r="N13305" s="5"/>
      <c r="O13305" s="5"/>
      <c r="P13305" s="5"/>
      <c r="Q13305" s="5"/>
      <c r="R13305" s="5"/>
      <c r="S13305" s="5"/>
      <c r="T13305" s="5"/>
      <c r="U13305" s="5"/>
      <c r="V13305" s="5"/>
      <c r="W13305" s="5"/>
      <c r="X13305" s="5"/>
      <c r="Y13305" s="5"/>
      <c r="Z13305" s="5"/>
    </row>
    <row r="13306" spans="1:26" ht="15" x14ac:dyDescent="0.25">
      <c r="A13306" s="4" t="s">
        <v>13303</v>
      </c>
      <c r="B13306" s="4" t="s">
        <v>9011</v>
      </c>
      <c r="C13306" s="2" t="str">
        <f ca="1">IFERROR(__xludf.DUMMYFUNCTION("GOOGLETRANSLATE(A13306,""bn"",""en"")"),"You will get a scholarship")</f>
        <v>You will get a scholarship</v>
      </c>
      <c r="D13306" s="5"/>
      <c r="E13306" s="5"/>
      <c r="F13306" s="5"/>
      <c r="G13306" s="5"/>
      <c r="H13306" s="5"/>
      <c r="I13306" s="5"/>
      <c r="J13306" s="5"/>
      <c r="K13306" s="5"/>
      <c r="L13306" s="5"/>
      <c r="M13306" s="5"/>
      <c r="N13306" s="5"/>
      <c r="O13306" s="5"/>
      <c r="P13306" s="5"/>
      <c r="Q13306" s="5"/>
      <c r="R13306" s="5"/>
      <c r="S13306" s="5"/>
      <c r="T13306" s="5"/>
      <c r="U13306" s="5"/>
      <c r="V13306" s="5"/>
      <c r="W13306" s="5"/>
      <c r="X13306" s="5"/>
      <c r="Y13306" s="5"/>
      <c r="Z13306" s="5"/>
    </row>
    <row r="13307" spans="1:26" ht="15" x14ac:dyDescent="0.25">
      <c r="A13307" s="4" t="s">
        <v>13304</v>
      </c>
      <c r="B13307" s="4" t="s">
        <v>9011</v>
      </c>
      <c r="C13307" s="2" t="str">
        <f ca="1">IFERROR(__xludf.DUMMYFUNCTION("GOOGLETRANSLATE(A13307,""bn"",""en"")"),"The research process will be adequate")</f>
        <v>The research process will be adequate</v>
      </c>
      <c r="D13307" s="5"/>
      <c r="E13307" s="5"/>
      <c r="F13307" s="5"/>
      <c r="G13307" s="5"/>
      <c r="H13307" s="5"/>
      <c r="I13307" s="5"/>
      <c r="J13307" s="5"/>
      <c r="K13307" s="5"/>
      <c r="L13307" s="5"/>
      <c r="M13307" s="5"/>
      <c r="N13307" s="5"/>
      <c r="O13307" s="5"/>
      <c r="P13307" s="5"/>
      <c r="Q13307" s="5"/>
      <c r="R13307" s="5"/>
      <c r="S13307" s="5"/>
      <c r="T13307" s="5"/>
      <c r="U13307" s="5"/>
      <c r="V13307" s="5"/>
      <c r="W13307" s="5"/>
      <c r="X13307" s="5"/>
      <c r="Y13307" s="5"/>
      <c r="Z13307" s="5"/>
    </row>
    <row r="13308" spans="1:26" ht="15" x14ac:dyDescent="0.25">
      <c r="A13308" s="4" t="s">
        <v>13305</v>
      </c>
      <c r="B13308" s="4" t="s">
        <v>9011</v>
      </c>
      <c r="C13308" s="2" t="str">
        <f ca="1">IFERROR(__xludf.DUMMYFUNCTION("GOOGLETRANSLATE(A13308,""bn"",""en"")"),"Everyone will sing together")</f>
        <v>Everyone will sing together</v>
      </c>
      <c r="D13308" s="5"/>
      <c r="E13308" s="5"/>
      <c r="F13308" s="5"/>
      <c r="G13308" s="5"/>
      <c r="H13308" s="5"/>
      <c r="I13308" s="5"/>
      <c r="J13308" s="5"/>
      <c r="K13308" s="5"/>
      <c r="L13308" s="5"/>
      <c r="M13308" s="5"/>
      <c r="N13308" s="5"/>
      <c r="O13308" s="5"/>
      <c r="P13308" s="5"/>
      <c r="Q13308" s="5"/>
      <c r="R13308" s="5"/>
      <c r="S13308" s="5"/>
      <c r="T13308" s="5"/>
      <c r="U13308" s="5"/>
      <c r="V13308" s="5"/>
      <c r="W13308" s="5"/>
      <c r="X13308" s="5"/>
      <c r="Y13308" s="5"/>
      <c r="Z13308" s="5"/>
    </row>
    <row r="13309" spans="1:26" ht="15" x14ac:dyDescent="0.25">
      <c r="A13309" s="4" t="s">
        <v>13306</v>
      </c>
      <c r="B13309" s="4" t="s">
        <v>9011</v>
      </c>
      <c r="C13309" s="2" t="str">
        <f ca="1">IFERROR(__xludf.DUMMYFUNCTION("GOOGLETRANSLATE(A13309,""bn"",""en"")"),"New diseases will be tested")</f>
        <v>New diseases will be tested</v>
      </c>
      <c r="D13309" s="5"/>
      <c r="E13309" s="5"/>
      <c r="F13309" s="5"/>
      <c r="G13309" s="5"/>
      <c r="H13309" s="5"/>
      <c r="I13309" s="5"/>
      <c r="J13309" s="5"/>
      <c r="K13309" s="5"/>
      <c r="L13309" s="5"/>
      <c r="M13309" s="5"/>
      <c r="N13309" s="5"/>
      <c r="O13309" s="5"/>
      <c r="P13309" s="5"/>
      <c r="Q13309" s="5"/>
      <c r="R13309" s="5"/>
      <c r="S13309" s="5"/>
      <c r="T13309" s="5"/>
      <c r="U13309" s="5"/>
      <c r="V13309" s="5"/>
      <c r="W13309" s="5"/>
      <c r="X13309" s="5"/>
      <c r="Y13309" s="5"/>
      <c r="Z13309" s="5"/>
    </row>
    <row r="13310" spans="1:26" ht="15" x14ac:dyDescent="0.25">
      <c r="A13310" s="4" t="s">
        <v>13307</v>
      </c>
      <c r="B13310" s="4" t="s">
        <v>9011</v>
      </c>
      <c r="C13310" s="2" t="str">
        <f ca="1">IFERROR(__xludf.DUMMYFUNCTION("GOOGLETRANSLATE(A13310,""bn"",""en"")"),"Mental stability will be obtained")</f>
        <v>Mental stability will be obtained</v>
      </c>
      <c r="D13310" s="5"/>
      <c r="E13310" s="5"/>
      <c r="F13310" s="5"/>
      <c r="G13310" s="5"/>
      <c r="H13310" s="5"/>
      <c r="I13310" s="5"/>
      <c r="J13310" s="5"/>
      <c r="K13310" s="5"/>
      <c r="L13310" s="5"/>
      <c r="M13310" s="5"/>
      <c r="N13310" s="5"/>
      <c r="O13310" s="5"/>
      <c r="P13310" s="5"/>
      <c r="Q13310" s="5"/>
      <c r="R13310" s="5"/>
      <c r="S13310" s="5"/>
      <c r="T13310" s="5"/>
      <c r="U13310" s="5"/>
      <c r="V13310" s="5"/>
      <c r="W13310" s="5"/>
      <c r="X13310" s="5"/>
      <c r="Y13310" s="5"/>
      <c r="Z13310" s="5"/>
    </row>
    <row r="13311" spans="1:26" ht="15" x14ac:dyDescent="0.25">
      <c r="A13311" s="4" t="s">
        <v>13308</v>
      </c>
      <c r="B13311" s="4" t="s">
        <v>9011</v>
      </c>
      <c r="C13311" s="2" t="str">
        <f ca="1">IFERROR(__xludf.DUMMYFUNCTION("GOOGLETRANSLATE(A13311,""bn"",""en"")"),"Flowers will grow in winter")</f>
        <v>Flowers will grow in winter</v>
      </c>
      <c r="D13311" s="5"/>
      <c r="E13311" s="5"/>
      <c r="F13311" s="5"/>
      <c r="G13311" s="5"/>
      <c r="H13311" s="5"/>
      <c r="I13311" s="5"/>
      <c r="J13311" s="5"/>
      <c r="K13311" s="5"/>
      <c r="L13311" s="5"/>
      <c r="M13311" s="5"/>
      <c r="N13311" s="5"/>
      <c r="O13311" s="5"/>
      <c r="P13311" s="5"/>
      <c r="Q13311" s="5"/>
      <c r="R13311" s="5"/>
      <c r="S13311" s="5"/>
      <c r="T13311" s="5"/>
      <c r="U13311" s="5"/>
      <c r="V13311" s="5"/>
      <c r="W13311" s="5"/>
      <c r="X13311" s="5"/>
      <c r="Y13311" s="5"/>
      <c r="Z13311" s="5"/>
    </row>
    <row r="13312" spans="1:26" ht="15" x14ac:dyDescent="0.25">
      <c r="A13312" s="4" t="s">
        <v>13309</v>
      </c>
      <c r="B13312" s="4" t="s">
        <v>9011</v>
      </c>
      <c r="C13312" s="2" t="str">
        <f ca="1">IFERROR(__xludf.DUMMYFUNCTION("GOOGLETRANSLATE(A13312,""bn"",""en"")"),"They will come to the campus for the festival")</f>
        <v>They will come to the campus for the festival</v>
      </c>
      <c r="D13312" s="5"/>
      <c r="E13312" s="5"/>
      <c r="F13312" s="5"/>
      <c r="G13312" s="5"/>
      <c r="H13312" s="5"/>
      <c r="I13312" s="5"/>
      <c r="J13312" s="5"/>
      <c r="K13312" s="5"/>
      <c r="L13312" s="5"/>
      <c r="M13312" s="5"/>
      <c r="N13312" s="5"/>
      <c r="O13312" s="5"/>
      <c r="P13312" s="5"/>
      <c r="Q13312" s="5"/>
      <c r="R13312" s="5"/>
      <c r="S13312" s="5"/>
      <c r="T13312" s="5"/>
      <c r="U13312" s="5"/>
      <c r="V13312" s="5"/>
      <c r="W13312" s="5"/>
      <c r="X13312" s="5"/>
      <c r="Y13312" s="5"/>
      <c r="Z13312" s="5"/>
    </row>
    <row r="13313" spans="1:26" ht="15" x14ac:dyDescent="0.25">
      <c r="A13313" s="4" t="s">
        <v>13310</v>
      </c>
      <c r="B13313" s="4" t="s">
        <v>9011</v>
      </c>
      <c r="C13313" s="2" t="str">
        <f ca="1">IFERROR(__xludf.DUMMYFUNCTION("GOOGLETRANSLATE(A13313,""bn"",""en"")"),"Robots will help students")</f>
        <v>Robots will help students</v>
      </c>
      <c r="D13313" s="5"/>
      <c r="E13313" s="5"/>
      <c r="F13313" s="5"/>
      <c r="G13313" s="5"/>
      <c r="H13313" s="5"/>
      <c r="I13313" s="5"/>
      <c r="J13313" s="5"/>
      <c r="K13313" s="5"/>
      <c r="L13313" s="5"/>
      <c r="M13313" s="5"/>
      <c r="N13313" s="5"/>
      <c r="O13313" s="5"/>
      <c r="P13313" s="5"/>
      <c r="Q13313" s="5"/>
      <c r="R13313" s="5"/>
      <c r="S13313" s="5"/>
      <c r="T13313" s="5"/>
      <c r="U13313" s="5"/>
      <c r="V13313" s="5"/>
      <c r="W13313" s="5"/>
      <c r="X13313" s="5"/>
      <c r="Y13313" s="5"/>
      <c r="Z13313" s="5"/>
    </row>
    <row r="13314" spans="1:26" ht="15" x14ac:dyDescent="0.25">
      <c r="A13314" s="4" t="s">
        <v>13311</v>
      </c>
      <c r="B13314" s="4" t="s">
        <v>9011</v>
      </c>
      <c r="C13314" s="2" t="str">
        <f ca="1">IFERROR(__xludf.DUMMYFUNCTION("GOOGLETRANSLATE(A13314,""bn"",""en"")"),"This winter there will be snow")</f>
        <v>This winter there will be snow</v>
      </c>
      <c r="D13314" s="5"/>
      <c r="E13314" s="5"/>
      <c r="F13314" s="5"/>
      <c r="G13314" s="5"/>
      <c r="H13314" s="5"/>
      <c r="I13314" s="5"/>
      <c r="J13314" s="5"/>
      <c r="K13314" s="5"/>
      <c r="L13314" s="5"/>
      <c r="M13314" s="5"/>
      <c r="N13314" s="5"/>
      <c r="O13314" s="5"/>
      <c r="P13314" s="5"/>
      <c r="Q13314" s="5"/>
      <c r="R13314" s="5"/>
      <c r="S13314" s="5"/>
      <c r="T13314" s="5"/>
      <c r="U13314" s="5"/>
      <c r="V13314" s="5"/>
      <c r="W13314" s="5"/>
      <c r="X13314" s="5"/>
      <c r="Y13314" s="5"/>
      <c r="Z13314" s="5"/>
    </row>
    <row r="13315" spans="1:26" ht="15" x14ac:dyDescent="0.25">
      <c r="A13315" s="4" t="s">
        <v>13312</v>
      </c>
      <c r="B13315" s="4" t="s">
        <v>9011</v>
      </c>
      <c r="C13315" s="2" t="str">
        <f ca="1">IFERROR(__xludf.DUMMYFUNCTION("GOOGLETRANSLATE(A13315,""bn"",""en"")"),"The doctor will write the prescription to the patient")</f>
        <v>The doctor will write the prescription to the patient</v>
      </c>
      <c r="D13315" s="5"/>
      <c r="E13315" s="5"/>
      <c r="F13315" s="5"/>
      <c r="G13315" s="5"/>
      <c r="H13315" s="5"/>
      <c r="I13315" s="5"/>
      <c r="J13315" s="5"/>
      <c r="K13315" s="5"/>
      <c r="L13315" s="5"/>
      <c r="M13315" s="5"/>
      <c r="N13315" s="5"/>
      <c r="O13315" s="5"/>
      <c r="P13315" s="5"/>
      <c r="Q13315" s="5"/>
      <c r="R13315" s="5"/>
      <c r="S13315" s="5"/>
      <c r="T13315" s="5"/>
      <c r="U13315" s="5"/>
      <c r="V13315" s="5"/>
      <c r="W13315" s="5"/>
      <c r="X13315" s="5"/>
      <c r="Y13315" s="5"/>
      <c r="Z13315" s="5"/>
    </row>
    <row r="13316" spans="1:26" ht="15" x14ac:dyDescent="0.25">
      <c r="A13316" s="4" t="s">
        <v>13313</v>
      </c>
      <c r="B13316" s="4" t="s">
        <v>9011</v>
      </c>
      <c r="C13316" s="2" t="str">
        <f ca="1">IFERROR(__xludf.DUMMYFUNCTION("GOOGLETRANSLATE(A13316,""bn"",""en"")"),"They will read books in the morning")</f>
        <v>They will read books in the morning</v>
      </c>
      <c r="D13316" s="5"/>
      <c r="E13316" s="5"/>
      <c r="F13316" s="5"/>
      <c r="G13316" s="5"/>
      <c r="H13316" s="5"/>
      <c r="I13316" s="5"/>
      <c r="J13316" s="5"/>
      <c r="K13316" s="5"/>
      <c r="L13316" s="5"/>
      <c r="M13316" s="5"/>
      <c r="N13316" s="5"/>
      <c r="O13316" s="5"/>
      <c r="P13316" s="5"/>
      <c r="Q13316" s="5"/>
      <c r="R13316" s="5"/>
      <c r="S13316" s="5"/>
      <c r="T13316" s="5"/>
      <c r="U13316" s="5"/>
      <c r="V13316" s="5"/>
      <c r="W13316" s="5"/>
      <c r="X13316" s="5"/>
      <c r="Y13316" s="5"/>
      <c r="Z13316" s="5"/>
    </row>
    <row r="13317" spans="1:26" ht="15" x14ac:dyDescent="0.25">
      <c r="A13317" s="4" t="s">
        <v>13314</v>
      </c>
      <c r="B13317" s="4" t="s">
        <v>9011</v>
      </c>
      <c r="C13317" s="2" t="str">
        <f ca="1">IFERROR(__xludf.DUMMYFUNCTION("GOOGLETRANSLATE(A13317,""bn"",""en"")"),"Learn English Bengali poetry")</f>
        <v>Learn English Bengali poetry</v>
      </c>
      <c r="D13317" s="5"/>
      <c r="E13317" s="5"/>
      <c r="F13317" s="5"/>
      <c r="G13317" s="5"/>
      <c r="H13317" s="5"/>
      <c r="I13317" s="5"/>
      <c r="J13317" s="5"/>
      <c r="K13317" s="5"/>
      <c r="L13317" s="5"/>
      <c r="M13317" s="5"/>
      <c r="N13317" s="5"/>
      <c r="O13317" s="5"/>
      <c r="P13317" s="5"/>
      <c r="Q13317" s="5"/>
      <c r="R13317" s="5"/>
      <c r="S13317" s="5"/>
      <c r="T13317" s="5"/>
      <c r="U13317" s="5"/>
      <c r="V13317" s="5"/>
      <c r="W13317" s="5"/>
      <c r="X13317" s="5"/>
      <c r="Y13317" s="5"/>
      <c r="Z13317" s="5"/>
    </row>
    <row r="13318" spans="1:26" ht="15" x14ac:dyDescent="0.25">
      <c r="A13318" s="4" t="s">
        <v>13315</v>
      </c>
      <c r="B13318" s="4" t="s">
        <v>9011</v>
      </c>
      <c r="C13318" s="2" t="str">
        <f ca="1">IFERROR(__xludf.DUMMYFUNCTION("GOOGLETRANSLATE(A13318,""bn"",""en"")"),"Defense will be prepared mainly")</f>
        <v>Defense will be prepared mainly</v>
      </c>
      <c r="D13318" s="5"/>
      <c r="E13318" s="5"/>
      <c r="F13318" s="5"/>
      <c r="G13318" s="5"/>
      <c r="H13318" s="5"/>
      <c r="I13318" s="5"/>
      <c r="J13318" s="5"/>
      <c r="K13318" s="5"/>
      <c r="L13318" s="5"/>
      <c r="M13318" s="5"/>
      <c r="N13318" s="5"/>
      <c r="O13318" s="5"/>
      <c r="P13318" s="5"/>
      <c r="Q13318" s="5"/>
      <c r="R13318" s="5"/>
      <c r="S13318" s="5"/>
      <c r="T13318" s="5"/>
      <c r="U13318" s="5"/>
      <c r="V13318" s="5"/>
      <c r="W13318" s="5"/>
      <c r="X13318" s="5"/>
      <c r="Y13318" s="5"/>
      <c r="Z13318" s="5"/>
    </row>
    <row r="13319" spans="1:26" ht="15" x14ac:dyDescent="0.25">
      <c r="A13319" s="4" t="s">
        <v>13316</v>
      </c>
      <c r="B13319" s="4" t="s">
        <v>9011</v>
      </c>
      <c r="C13319" s="2" t="str">
        <f ca="1">IFERROR(__xludf.DUMMYFUNCTION("GOOGLETRANSLATE(A13319,""bn"",""en"")"),"The use of nanotechnology will increase")</f>
        <v>The use of nanotechnology will increase</v>
      </c>
      <c r="D13319" s="5"/>
      <c r="E13319" s="5"/>
      <c r="F13319" s="5"/>
      <c r="G13319" s="5"/>
      <c r="H13319" s="5"/>
      <c r="I13319" s="5"/>
      <c r="J13319" s="5"/>
      <c r="K13319" s="5"/>
      <c r="L13319" s="5"/>
      <c r="M13319" s="5"/>
      <c r="N13319" s="5"/>
      <c r="O13319" s="5"/>
      <c r="P13319" s="5"/>
      <c r="Q13319" s="5"/>
      <c r="R13319" s="5"/>
      <c r="S13319" s="5"/>
      <c r="T13319" s="5"/>
      <c r="U13319" s="5"/>
      <c r="V13319" s="5"/>
      <c r="W13319" s="5"/>
      <c r="X13319" s="5"/>
      <c r="Y13319" s="5"/>
      <c r="Z13319" s="5"/>
    </row>
    <row r="13320" spans="1:26" ht="15" x14ac:dyDescent="0.25">
      <c r="A13320" s="4" t="s">
        <v>13317</v>
      </c>
      <c r="B13320" s="4" t="s">
        <v>9011</v>
      </c>
      <c r="C13320" s="2" t="str">
        <f ca="1">IFERROR(__xludf.DUMMYFUNCTION("GOOGLETRANSLATE(A13320,""bn"",""en"")"),"Everyone will read romantic novels")</f>
        <v>Everyone will read romantic novels</v>
      </c>
      <c r="D13320" s="5"/>
      <c r="E13320" s="5"/>
      <c r="F13320" s="5"/>
      <c r="G13320" s="5"/>
      <c r="H13320" s="5"/>
      <c r="I13320" s="5"/>
      <c r="J13320" s="5"/>
      <c r="K13320" s="5"/>
      <c r="L13320" s="5"/>
      <c r="M13320" s="5"/>
      <c r="N13320" s="5"/>
      <c r="O13320" s="5"/>
      <c r="P13320" s="5"/>
      <c r="Q13320" s="5"/>
      <c r="R13320" s="5"/>
      <c r="S13320" s="5"/>
      <c r="T13320" s="5"/>
      <c r="U13320" s="5"/>
      <c r="V13320" s="5"/>
      <c r="W13320" s="5"/>
      <c r="X13320" s="5"/>
      <c r="Y13320" s="5"/>
      <c r="Z13320" s="5"/>
    </row>
    <row r="13321" spans="1:26" ht="15" x14ac:dyDescent="0.25">
      <c r="A13321" s="4" t="s">
        <v>13318</v>
      </c>
      <c r="B13321" s="4" t="s">
        <v>9011</v>
      </c>
      <c r="C13321" s="2" t="str">
        <f ca="1">IFERROR(__xludf.DUMMYFUNCTION("GOOGLETRANSLATE(A13321,""bn"",""en"")"),"Bachelor party will be held here")</f>
        <v>Bachelor party will be held here</v>
      </c>
      <c r="D13321" s="5"/>
      <c r="E13321" s="5"/>
      <c r="F13321" s="5"/>
      <c r="G13321" s="5"/>
      <c r="H13321" s="5"/>
      <c r="I13321" s="5"/>
      <c r="J13321" s="5"/>
      <c r="K13321" s="5"/>
      <c r="L13321" s="5"/>
      <c r="M13321" s="5"/>
      <c r="N13321" s="5"/>
      <c r="O13321" s="5"/>
      <c r="P13321" s="5"/>
      <c r="Q13321" s="5"/>
      <c r="R13321" s="5"/>
      <c r="S13321" s="5"/>
      <c r="T13321" s="5"/>
      <c r="U13321" s="5"/>
      <c r="V13321" s="5"/>
      <c r="W13321" s="5"/>
      <c r="X13321" s="5"/>
      <c r="Y13321" s="5"/>
      <c r="Z13321" s="5"/>
    </row>
    <row r="13322" spans="1:26" ht="15" x14ac:dyDescent="0.25">
      <c r="A13322" s="4" t="s">
        <v>13319</v>
      </c>
      <c r="B13322" s="4" t="s">
        <v>9011</v>
      </c>
      <c r="C13322" s="2" t="str">
        <f ca="1">IFERROR(__xludf.DUMMYFUNCTION("GOOGLETRANSLATE(A13322,""bn"",""en"")"),"People will be involved in danger")</f>
        <v>People will be involved in danger</v>
      </c>
      <c r="D13322" s="5"/>
      <c r="E13322" s="5"/>
      <c r="F13322" s="5"/>
      <c r="G13322" s="5"/>
      <c r="H13322" s="5"/>
      <c r="I13322" s="5"/>
      <c r="J13322" s="5"/>
      <c r="K13322" s="5"/>
      <c r="L13322" s="5"/>
      <c r="M13322" s="5"/>
      <c r="N13322" s="5"/>
      <c r="O13322" s="5"/>
      <c r="P13322" s="5"/>
      <c r="Q13322" s="5"/>
      <c r="R13322" s="5"/>
      <c r="S13322" s="5"/>
      <c r="T13322" s="5"/>
      <c r="U13322" s="5"/>
      <c r="V13322" s="5"/>
      <c r="W13322" s="5"/>
      <c r="X13322" s="5"/>
      <c r="Y13322" s="5"/>
      <c r="Z13322" s="5"/>
    </row>
    <row r="13323" spans="1:26" ht="15" x14ac:dyDescent="0.25">
      <c r="A13323" s="4" t="s">
        <v>13320</v>
      </c>
      <c r="B13323" s="4" t="s">
        <v>9011</v>
      </c>
      <c r="C13323" s="2" t="str">
        <f ca="1">IFERROR(__xludf.DUMMYFUNCTION("GOOGLETRANSLATE(A13323,""bn"",""en"")"),"You will eat Bengali food")</f>
        <v>You will eat Bengali food</v>
      </c>
      <c r="D13323" s="5"/>
      <c r="E13323" s="5"/>
      <c r="F13323" s="5"/>
      <c r="G13323" s="5"/>
      <c r="H13323" s="5"/>
      <c r="I13323" s="5"/>
      <c r="J13323" s="5"/>
      <c r="K13323" s="5"/>
      <c r="L13323" s="5"/>
      <c r="M13323" s="5"/>
      <c r="N13323" s="5"/>
      <c r="O13323" s="5"/>
      <c r="P13323" s="5"/>
      <c r="Q13323" s="5"/>
      <c r="R13323" s="5"/>
      <c r="S13323" s="5"/>
      <c r="T13323" s="5"/>
      <c r="U13323" s="5"/>
      <c r="V13323" s="5"/>
      <c r="W13323" s="5"/>
      <c r="X13323" s="5"/>
      <c r="Y13323" s="5"/>
      <c r="Z13323" s="5"/>
    </row>
    <row r="13324" spans="1:26" ht="15" x14ac:dyDescent="0.25">
      <c r="A13324" s="4" t="s">
        <v>13321</v>
      </c>
      <c r="B13324" s="4" t="s">
        <v>9011</v>
      </c>
      <c r="C13324" s="2" t="str">
        <f ca="1">IFERROR(__xludf.DUMMYFUNCTION("GOOGLETRANSLATE(A13324,""bn"",""en"")"),"All around will be covered with snow")</f>
        <v>All around will be covered with snow</v>
      </c>
      <c r="D13324" s="5"/>
      <c r="E13324" s="5"/>
      <c r="F13324" s="5"/>
      <c r="G13324" s="5"/>
      <c r="H13324" s="5"/>
      <c r="I13324" s="5"/>
      <c r="J13324" s="5"/>
      <c r="K13324" s="5"/>
      <c r="L13324" s="5"/>
      <c r="M13324" s="5"/>
      <c r="N13324" s="5"/>
      <c r="O13324" s="5"/>
      <c r="P13324" s="5"/>
      <c r="Q13324" s="5"/>
      <c r="R13324" s="5"/>
      <c r="S13324" s="5"/>
      <c r="T13324" s="5"/>
      <c r="U13324" s="5"/>
      <c r="V13324" s="5"/>
      <c r="W13324" s="5"/>
      <c r="X13324" s="5"/>
      <c r="Y13324" s="5"/>
      <c r="Z13324" s="5"/>
    </row>
    <row r="13325" spans="1:26" ht="15" x14ac:dyDescent="0.25">
      <c r="A13325" s="4" t="s">
        <v>13322</v>
      </c>
      <c r="B13325" s="4" t="s">
        <v>9011</v>
      </c>
      <c r="C13325" s="2" t="str">
        <f ca="1">IFERROR(__xludf.DUMMYFUNCTION("GOOGLETRANSLATE(A13325,""bn"",""en"")"),"The robot will detect the situation")</f>
        <v>The robot will detect the situation</v>
      </c>
      <c r="D13325" s="5"/>
      <c r="E13325" s="5"/>
      <c r="F13325" s="5"/>
      <c r="G13325" s="5"/>
      <c r="H13325" s="5"/>
      <c r="I13325" s="5"/>
      <c r="J13325" s="5"/>
      <c r="K13325" s="5"/>
      <c r="L13325" s="5"/>
      <c r="M13325" s="5"/>
      <c r="N13325" s="5"/>
      <c r="O13325" s="5"/>
      <c r="P13325" s="5"/>
      <c r="Q13325" s="5"/>
      <c r="R13325" s="5"/>
      <c r="S13325" s="5"/>
      <c r="T13325" s="5"/>
      <c r="U13325" s="5"/>
      <c r="V13325" s="5"/>
      <c r="W13325" s="5"/>
      <c r="X13325" s="5"/>
      <c r="Y13325" s="5"/>
      <c r="Z13325" s="5"/>
    </row>
    <row r="13326" spans="1:26" ht="15" x14ac:dyDescent="0.25">
      <c r="A13326" s="4" t="s">
        <v>13323</v>
      </c>
      <c r="B13326" s="4" t="s">
        <v>9011</v>
      </c>
      <c r="C13326" s="2" t="str">
        <f ca="1">IFERROR(__xludf.DUMMYFUNCTION("GOOGLETRANSLATE(A13326,""bn"",""en"")"),"Students will exhibit posters")</f>
        <v>Students will exhibit posters</v>
      </c>
      <c r="D13326" s="5"/>
      <c r="E13326" s="5"/>
      <c r="F13326" s="5"/>
      <c r="G13326" s="5"/>
      <c r="H13326" s="5"/>
      <c r="I13326" s="5"/>
      <c r="J13326" s="5"/>
      <c r="K13326" s="5"/>
      <c r="L13326" s="5"/>
      <c r="M13326" s="5"/>
      <c r="N13326" s="5"/>
      <c r="O13326" s="5"/>
      <c r="P13326" s="5"/>
      <c r="Q13326" s="5"/>
      <c r="R13326" s="5"/>
      <c r="S13326" s="5"/>
      <c r="T13326" s="5"/>
      <c r="U13326" s="5"/>
      <c r="V13326" s="5"/>
      <c r="W13326" s="5"/>
      <c r="X13326" s="5"/>
      <c r="Y13326" s="5"/>
      <c r="Z13326" s="5"/>
    </row>
    <row r="13327" spans="1:26" ht="15" x14ac:dyDescent="0.25">
      <c r="A13327" s="4" t="s">
        <v>13324</v>
      </c>
      <c r="B13327" s="4" t="s">
        <v>9011</v>
      </c>
      <c r="C13327" s="2" t="str">
        <f ca="1">IFERROR(__xludf.DUMMYFUNCTION("GOOGLETRANSLATE(A13327,""bn"",""en"")"),"The opposition will be in the real role")</f>
        <v>The opposition will be in the real role</v>
      </c>
      <c r="D13327" s="5"/>
      <c r="E13327" s="5"/>
      <c r="F13327" s="5"/>
      <c r="G13327" s="5"/>
      <c r="H13327" s="5"/>
      <c r="I13327" s="5"/>
      <c r="J13327" s="5"/>
      <c r="K13327" s="5"/>
      <c r="L13327" s="5"/>
      <c r="M13327" s="5"/>
      <c r="N13327" s="5"/>
      <c r="O13327" s="5"/>
      <c r="P13327" s="5"/>
      <c r="Q13327" s="5"/>
      <c r="R13327" s="5"/>
      <c r="S13327" s="5"/>
      <c r="T13327" s="5"/>
      <c r="U13327" s="5"/>
      <c r="V13327" s="5"/>
      <c r="W13327" s="5"/>
      <c r="X13327" s="5"/>
      <c r="Y13327" s="5"/>
      <c r="Z13327" s="5"/>
    </row>
    <row r="13328" spans="1:26" ht="15" x14ac:dyDescent="0.25">
      <c r="A13328" s="4" t="s">
        <v>13325</v>
      </c>
      <c r="B13328" s="4" t="s">
        <v>9011</v>
      </c>
      <c r="C13328" s="2" t="str">
        <f ca="1">IFERROR(__xludf.DUMMYFUNCTION("GOOGLETRANSLATE(A13328,""bn"",""en"")"),"Hair will be dry in winter")</f>
        <v>Hair will be dry in winter</v>
      </c>
      <c r="D13328" s="5"/>
      <c r="E13328" s="5"/>
      <c r="F13328" s="5"/>
      <c r="G13328" s="5"/>
      <c r="H13328" s="5"/>
      <c r="I13328" s="5"/>
      <c r="J13328" s="5"/>
      <c r="K13328" s="5"/>
      <c r="L13328" s="5"/>
      <c r="M13328" s="5"/>
      <c r="N13328" s="5"/>
      <c r="O13328" s="5"/>
      <c r="P13328" s="5"/>
      <c r="Q13328" s="5"/>
      <c r="R13328" s="5"/>
      <c r="S13328" s="5"/>
      <c r="T13328" s="5"/>
      <c r="U13328" s="5"/>
      <c r="V13328" s="5"/>
      <c r="W13328" s="5"/>
      <c r="X13328" s="5"/>
      <c r="Y13328" s="5"/>
      <c r="Z13328" s="5"/>
    </row>
    <row r="13329" spans="1:26" ht="15" x14ac:dyDescent="0.25">
      <c r="A13329" s="4" t="s">
        <v>13326</v>
      </c>
      <c r="B13329" s="4" t="s">
        <v>9011</v>
      </c>
      <c r="C13329" s="2" t="str">
        <f ca="1">IFERROR(__xludf.DUMMYFUNCTION("GOOGLETRANSLATE(A13329,""bn"",""en"")"),"Will re-evaluate policies")</f>
        <v>Will re-evaluate policies</v>
      </c>
      <c r="D13329" s="5"/>
      <c r="E13329" s="5"/>
      <c r="F13329" s="5"/>
      <c r="G13329" s="5"/>
      <c r="H13329" s="5"/>
      <c r="I13329" s="5"/>
      <c r="J13329" s="5"/>
      <c r="K13329" s="5"/>
      <c r="L13329" s="5"/>
      <c r="M13329" s="5"/>
      <c r="N13329" s="5"/>
      <c r="O13329" s="5"/>
      <c r="P13329" s="5"/>
      <c r="Q13329" s="5"/>
      <c r="R13329" s="5"/>
      <c r="S13329" s="5"/>
      <c r="T13329" s="5"/>
      <c r="U13329" s="5"/>
      <c r="V13329" s="5"/>
      <c r="W13329" s="5"/>
      <c r="X13329" s="5"/>
      <c r="Y13329" s="5"/>
      <c r="Z13329" s="5"/>
    </row>
    <row r="13330" spans="1:26" ht="15" x14ac:dyDescent="0.25">
      <c r="A13330" s="4" t="s">
        <v>13327</v>
      </c>
      <c r="B13330" s="4" t="s">
        <v>9011</v>
      </c>
      <c r="C13330" s="2" t="str">
        <f ca="1">IFERROR(__xludf.DUMMYFUNCTION("GOOGLETRANSLATE(A13330,""bn"",""en"")"),"They will develop the application")</f>
        <v>They will develop the application</v>
      </c>
      <c r="D13330" s="5"/>
      <c r="E13330" s="5"/>
      <c r="F13330" s="5"/>
      <c r="G13330" s="5"/>
      <c r="H13330" s="5"/>
      <c r="I13330" s="5"/>
      <c r="J13330" s="5"/>
      <c r="K13330" s="5"/>
      <c r="L13330" s="5"/>
      <c r="M13330" s="5"/>
      <c r="N13330" s="5"/>
      <c r="O13330" s="5"/>
      <c r="P13330" s="5"/>
      <c r="Q13330" s="5"/>
      <c r="R13330" s="5"/>
      <c r="S13330" s="5"/>
      <c r="T13330" s="5"/>
      <c r="U13330" s="5"/>
      <c r="V13330" s="5"/>
      <c r="W13330" s="5"/>
      <c r="X13330" s="5"/>
      <c r="Y13330" s="5"/>
      <c r="Z13330" s="5"/>
    </row>
    <row r="13331" spans="1:26" ht="15" x14ac:dyDescent="0.25">
      <c r="A13331" s="4" t="s">
        <v>13328</v>
      </c>
      <c r="B13331" s="4" t="s">
        <v>9011</v>
      </c>
      <c r="C13331" s="2" t="str">
        <f ca="1">IFERROR(__xludf.DUMMYFUNCTION("GOOGLETRANSLATE(A13331,""bn"",""en"")"),"You will eat chocolate milk")</f>
        <v>You will eat chocolate milk</v>
      </c>
      <c r="D13331" s="5"/>
      <c r="E13331" s="5"/>
      <c r="F13331" s="5"/>
      <c r="G13331" s="5"/>
      <c r="H13331" s="5"/>
      <c r="I13331" s="5"/>
      <c r="J13331" s="5"/>
      <c r="K13331" s="5"/>
      <c r="L13331" s="5"/>
      <c r="M13331" s="5"/>
      <c r="N13331" s="5"/>
      <c r="O13331" s="5"/>
      <c r="P13331" s="5"/>
      <c r="Q13331" s="5"/>
      <c r="R13331" s="5"/>
      <c r="S13331" s="5"/>
      <c r="T13331" s="5"/>
      <c r="U13331" s="5"/>
      <c r="V13331" s="5"/>
      <c r="W13331" s="5"/>
      <c r="X13331" s="5"/>
      <c r="Y13331" s="5"/>
      <c r="Z13331" s="5"/>
    </row>
    <row r="13332" spans="1:26" ht="15" x14ac:dyDescent="0.25">
      <c r="A13332" s="4" t="s">
        <v>13329</v>
      </c>
      <c r="B13332" s="4" t="s">
        <v>9011</v>
      </c>
      <c r="C13332" s="2" t="str">
        <f ca="1">IFERROR(__xludf.DUMMYFUNCTION("GOOGLETRANSLATE(A13332,""bn"",""en"")"),"Experts will discuss in the meeting")</f>
        <v>Experts will discuss in the meeting</v>
      </c>
      <c r="D13332" s="5"/>
      <c r="E13332" s="5"/>
      <c r="F13332" s="5"/>
      <c r="G13332" s="5"/>
      <c r="H13332" s="5"/>
      <c r="I13332" s="5"/>
      <c r="J13332" s="5"/>
      <c r="K13332" s="5"/>
      <c r="L13332" s="5"/>
      <c r="M13332" s="5"/>
      <c r="N13332" s="5"/>
      <c r="O13332" s="5"/>
      <c r="P13332" s="5"/>
      <c r="Q13332" s="5"/>
      <c r="R13332" s="5"/>
      <c r="S13332" s="5"/>
      <c r="T13332" s="5"/>
      <c r="U13332" s="5"/>
      <c r="V13332" s="5"/>
      <c r="W13332" s="5"/>
      <c r="X13332" s="5"/>
      <c r="Y13332" s="5"/>
      <c r="Z13332" s="5"/>
    </row>
    <row r="13333" spans="1:26" ht="15" x14ac:dyDescent="0.25">
      <c r="A13333" s="4" t="s">
        <v>13330</v>
      </c>
      <c r="B13333" s="4" t="s">
        <v>9011</v>
      </c>
      <c r="C13333" s="2" t="str">
        <f ca="1">IFERROR(__xludf.DUMMYFUNCTION("GOOGLETRANSLATE(A13333,""bn"",""en"")"),"Will continue to tell stories of laughter")</f>
        <v>Will continue to tell stories of laughter</v>
      </c>
      <c r="D13333" s="5"/>
      <c r="E13333" s="5"/>
      <c r="F13333" s="5"/>
      <c r="G13333" s="5"/>
      <c r="H13333" s="5"/>
      <c r="I13333" s="5"/>
      <c r="J13333" s="5"/>
      <c r="K13333" s="5"/>
      <c r="L13333" s="5"/>
      <c r="M13333" s="5"/>
      <c r="N13333" s="5"/>
      <c r="O13333" s="5"/>
      <c r="P13333" s="5"/>
      <c r="Q13333" s="5"/>
      <c r="R13333" s="5"/>
      <c r="S13333" s="5"/>
      <c r="T13333" s="5"/>
      <c r="U13333" s="5"/>
      <c r="V13333" s="5"/>
      <c r="W13333" s="5"/>
      <c r="X13333" s="5"/>
      <c r="Y13333" s="5"/>
      <c r="Z13333" s="5"/>
    </row>
    <row r="13334" spans="1:26" ht="15" x14ac:dyDescent="0.25">
      <c r="A13334" s="4" t="s">
        <v>13331</v>
      </c>
      <c r="B13334" s="4" t="s">
        <v>9011</v>
      </c>
      <c r="C13334" s="2" t="str">
        <f ca="1">IFERROR(__xludf.DUMMYFUNCTION("GOOGLETRANSLATE(A13334,""bn"",""en"")"),"You will see ancient palaces")</f>
        <v>You will see ancient palaces</v>
      </c>
      <c r="D13334" s="5"/>
      <c r="E13334" s="5"/>
      <c r="F13334" s="5"/>
      <c r="G13334" s="5"/>
      <c r="H13334" s="5"/>
      <c r="I13334" s="5"/>
      <c r="J13334" s="5"/>
      <c r="K13334" s="5"/>
      <c r="L13334" s="5"/>
      <c r="M13334" s="5"/>
      <c r="N13334" s="5"/>
      <c r="O13334" s="5"/>
      <c r="P13334" s="5"/>
      <c r="Q13334" s="5"/>
      <c r="R13334" s="5"/>
      <c r="S13334" s="5"/>
      <c r="T13334" s="5"/>
      <c r="U13334" s="5"/>
      <c r="V13334" s="5"/>
      <c r="W13334" s="5"/>
      <c r="X13334" s="5"/>
      <c r="Y13334" s="5"/>
      <c r="Z13334" s="5"/>
    </row>
    <row r="13335" spans="1:26" ht="15" x14ac:dyDescent="0.25">
      <c r="A13335" s="4" t="s">
        <v>13332</v>
      </c>
      <c r="B13335" s="4" t="s">
        <v>9011</v>
      </c>
      <c r="C13335" s="2" t="str">
        <f ca="1">IFERROR(__xludf.DUMMYFUNCTION("GOOGLETRANSLATE(A13335,""bn"",""en"")"),"He will eat Thai food")</f>
        <v>He will eat Thai food</v>
      </c>
      <c r="D13335" s="5"/>
      <c r="E13335" s="5"/>
      <c r="F13335" s="5"/>
      <c r="G13335" s="5"/>
      <c r="H13335" s="5"/>
      <c r="I13335" s="5"/>
      <c r="J13335" s="5"/>
      <c r="K13335" s="5"/>
      <c r="L13335" s="5"/>
      <c r="M13335" s="5"/>
      <c r="N13335" s="5"/>
      <c r="O13335" s="5"/>
      <c r="P13335" s="5"/>
      <c r="Q13335" s="5"/>
      <c r="R13335" s="5"/>
      <c r="S13335" s="5"/>
      <c r="T13335" s="5"/>
      <c r="U13335" s="5"/>
      <c r="V13335" s="5"/>
      <c r="W13335" s="5"/>
      <c r="X13335" s="5"/>
      <c r="Y13335" s="5"/>
      <c r="Z13335" s="5"/>
    </row>
    <row r="13336" spans="1:26" ht="15" x14ac:dyDescent="0.25">
      <c r="A13336" s="4" t="s">
        <v>13333</v>
      </c>
      <c r="B13336" s="4" t="s">
        <v>9011</v>
      </c>
      <c r="C13336" s="2" t="str">
        <f ca="1">IFERROR(__xludf.DUMMYFUNCTION("GOOGLETRANSLATE(A13336,""bn"",""en"")"),"The radio will tell the news of the match")</f>
        <v>The radio will tell the news of the match</v>
      </c>
      <c r="D13336" s="5"/>
      <c r="E13336" s="5"/>
      <c r="F13336" s="5"/>
      <c r="G13336" s="5"/>
      <c r="H13336" s="5"/>
      <c r="I13336" s="5"/>
      <c r="J13336" s="5"/>
      <c r="K13336" s="5"/>
      <c r="L13336" s="5"/>
      <c r="M13336" s="5"/>
      <c r="N13336" s="5"/>
      <c r="O13336" s="5"/>
      <c r="P13336" s="5"/>
      <c r="Q13336" s="5"/>
      <c r="R13336" s="5"/>
      <c r="S13336" s="5"/>
      <c r="T13336" s="5"/>
      <c r="U13336" s="5"/>
      <c r="V13336" s="5"/>
      <c r="W13336" s="5"/>
      <c r="X13336" s="5"/>
      <c r="Y13336" s="5"/>
      <c r="Z13336" s="5"/>
    </row>
    <row r="13337" spans="1:26" ht="15" x14ac:dyDescent="0.25">
      <c r="A13337" s="4" t="s">
        <v>13334</v>
      </c>
      <c r="B13337" s="4" t="s">
        <v>9011</v>
      </c>
      <c r="C13337" s="2" t="str">
        <f ca="1">IFERROR(__xludf.DUMMYFUNCTION("GOOGLETRANSLATE(A13337,""bn"",""en"")"),"You will eat raw fish")</f>
        <v>You will eat raw fish</v>
      </c>
      <c r="D13337" s="5"/>
      <c r="E13337" s="5"/>
      <c r="F13337" s="5"/>
      <c r="G13337" s="5"/>
      <c r="H13337" s="5"/>
      <c r="I13337" s="5"/>
      <c r="J13337" s="5"/>
      <c r="K13337" s="5"/>
      <c r="L13337" s="5"/>
      <c r="M13337" s="5"/>
      <c r="N13337" s="5"/>
      <c r="O13337" s="5"/>
      <c r="P13337" s="5"/>
      <c r="Q13337" s="5"/>
      <c r="R13337" s="5"/>
      <c r="S13337" s="5"/>
      <c r="T13337" s="5"/>
      <c r="U13337" s="5"/>
      <c r="V13337" s="5"/>
      <c r="W13337" s="5"/>
      <c r="X13337" s="5"/>
      <c r="Y13337" s="5"/>
      <c r="Z13337" s="5"/>
    </row>
    <row r="13338" spans="1:26" ht="15" x14ac:dyDescent="0.25">
      <c r="A13338" s="4" t="s">
        <v>13335</v>
      </c>
      <c r="B13338" s="4" t="s">
        <v>9011</v>
      </c>
      <c r="C13338" s="2" t="str">
        <f ca="1">IFERROR(__xludf.DUMMYFUNCTION("GOOGLETRANSLATE(A13338,""bn"",""en"")"),"Flowers will be planted in the garden")</f>
        <v>Flowers will be planted in the garden</v>
      </c>
      <c r="D13338" s="5"/>
      <c r="E13338" s="5"/>
      <c r="F13338" s="5"/>
      <c r="G13338" s="5"/>
      <c r="H13338" s="5"/>
      <c r="I13338" s="5"/>
      <c r="J13338" s="5"/>
      <c r="K13338" s="5"/>
      <c r="L13338" s="5"/>
      <c r="M13338" s="5"/>
      <c r="N13338" s="5"/>
      <c r="O13338" s="5"/>
      <c r="P13338" s="5"/>
      <c r="Q13338" s="5"/>
      <c r="R13338" s="5"/>
      <c r="S13338" s="5"/>
      <c r="T13338" s="5"/>
      <c r="U13338" s="5"/>
      <c r="V13338" s="5"/>
      <c r="W13338" s="5"/>
      <c r="X13338" s="5"/>
      <c r="Y13338" s="5"/>
      <c r="Z13338" s="5"/>
    </row>
    <row r="13339" spans="1:26" ht="15" x14ac:dyDescent="0.25">
      <c r="A13339" s="4" t="s">
        <v>13336</v>
      </c>
      <c r="B13339" s="4" t="s">
        <v>9011</v>
      </c>
      <c r="C13339" s="2" t="str">
        <f ca="1">IFERROR(__xludf.DUMMYFUNCTION("GOOGLETRANSLATE(A13339,""bn"",""en"")"),"New software will come")</f>
        <v>New software will come</v>
      </c>
      <c r="D13339" s="5"/>
      <c r="E13339" s="5"/>
      <c r="F13339" s="5"/>
      <c r="G13339" s="5"/>
      <c r="H13339" s="5"/>
      <c r="I13339" s="5"/>
      <c r="J13339" s="5"/>
      <c r="K13339" s="5"/>
      <c r="L13339" s="5"/>
      <c r="M13339" s="5"/>
      <c r="N13339" s="5"/>
      <c r="O13339" s="5"/>
      <c r="P13339" s="5"/>
      <c r="Q13339" s="5"/>
      <c r="R13339" s="5"/>
      <c r="S13339" s="5"/>
      <c r="T13339" s="5"/>
      <c r="U13339" s="5"/>
      <c r="V13339" s="5"/>
      <c r="W13339" s="5"/>
      <c r="X13339" s="5"/>
      <c r="Y13339" s="5"/>
      <c r="Z13339" s="5"/>
    </row>
    <row r="13340" spans="1:26" ht="15" x14ac:dyDescent="0.25">
      <c r="A13340" s="4" t="s">
        <v>13337</v>
      </c>
      <c r="B13340" s="4" t="s">
        <v>9011</v>
      </c>
      <c r="C13340" s="2" t="str">
        <f ca="1">IFERROR(__xludf.DUMMYFUNCTION("GOOGLETRANSLATE(A13340,""bn"",""en"")"),"Military strength should be increased")</f>
        <v>Military strength should be increased</v>
      </c>
      <c r="D13340" s="5"/>
      <c r="E13340" s="5"/>
      <c r="F13340" s="5"/>
      <c r="G13340" s="5"/>
      <c r="H13340" s="5"/>
      <c r="I13340" s="5"/>
      <c r="J13340" s="5"/>
      <c r="K13340" s="5"/>
      <c r="L13340" s="5"/>
      <c r="M13340" s="5"/>
      <c r="N13340" s="5"/>
      <c r="O13340" s="5"/>
      <c r="P13340" s="5"/>
      <c r="Q13340" s="5"/>
      <c r="R13340" s="5"/>
      <c r="S13340" s="5"/>
      <c r="T13340" s="5"/>
      <c r="U13340" s="5"/>
      <c r="V13340" s="5"/>
      <c r="W13340" s="5"/>
      <c r="X13340" s="5"/>
      <c r="Y13340" s="5"/>
      <c r="Z13340" s="5"/>
    </row>
    <row r="13341" spans="1:26" ht="15" x14ac:dyDescent="0.25">
      <c r="A13341" s="4" t="s">
        <v>13338</v>
      </c>
      <c r="B13341" s="4" t="s">
        <v>9011</v>
      </c>
      <c r="C13341" s="2" t="str">
        <f ca="1">IFERROR(__xludf.DUMMYFUNCTION("GOOGLETRANSLATE(A13341,""bn"",""en"")"),"They will get geography books")</f>
        <v>They will get geography books</v>
      </c>
      <c r="D13341" s="5"/>
      <c r="E13341" s="5"/>
      <c r="F13341" s="5"/>
      <c r="G13341" s="5"/>
      <c r="H13341" s="5"/>
      <c r="I13341" s="5"/>
      <c r="J13341" s="5"/>
      <c r="K13341" s="5"/>
      <c r="L13341" s="5"/>
      <c r="M13341" s="5"/>
      <c r="N13341" s="5"/>
      <c r="O13341" s="5"/>
      <c r="P13341" s="5"/>
      <c r="Q13341" s="5"/>
      <c r="R13341" s="5"/>
      <c r="S13341" s="5"/>
      <c r="T13341" s="5"/>
      <c r="U13341" s="5"/>
      <c r="V13341" s="5"/>
      <c r="W13341" s="5"/>
      <c r="X13341" s="5"/>
      <c r="Y13341" s="5"/>
      <c r="Z13341" s="5"/>
    </row>
    <row r="13342" spans="1:26" ht="15" x14ac:dyDescent="0.25">
      <c r="A13342" s="4" t="s">
        <v>13339</v>
      </c>
      <c r="B13342" s="4" t="s">
        <v>9011</v>
      </c>
      <c r="C13342" s="2" t="str">
        <f ca="1">IFERROR(__xludf.DUMMYFUNCTION("GOOGLETRANSLATE(A13342,""bn"",""en"")"),"Bathe daily in winter")</f>
        <v>Bathe daily in winter</v>
      </c>
      <c r="D13342" s="5"/>
      <c r="E13342" s="5"/>
      <c r="F13342" s="5"/>
      <c r="G13342" s="5"/>
      <c r="H13342" s="5"/>
      <c r="I13342" s="5"/>
      <c r="J13342" s="5"/>
      <c r="K13342" s="5"/>
      <c r="L13342" s="5"/>
      <c r="M13342" s="5"/>
      <c r="N13342" s="5"/>
      <c r="O13342" s="5"/>
      <c r="P13342" s="5"/>
      <c r="Q13342" s="5"/>
      <c r="R13342" s="5"/>
      <c r="S13342" s="5"/>
      <c r="T13342" s="5"/>
      <c r="U13342" s="5"/>
      <c r="V13342" s="5"/>
      <c r="W13342" s="5"/>
      <c r="X13342" s="5"/>
      <c r="Y13342" s="5"/>
      <c r="Z13342" s="5"/>
    </row>
    <row r="13343" spans="1:26" ht="15" x14ac:dyDescent="0.25">
      <c r="A13343" s="4" t="s">
        <v>13340</v>
      </c>
      <c r="B13343" s="4" t="s">
        <v>9011</v>
      </c>
      <c r="C13343" s="2" t="str">
        <f ca="1">IFERROR(__xludf.DUMMYFUNCTION("GOOGLETRANSLATE(A13343,""bn"",""en"")"),"The robot will learn the new code")</f>
        <v>The robot will learn the new code</v>
      </c>
      <c r="D13343" s="5"/>
      <c r="E13343" s="5"/>
      <c r="F13343" s="5"/>
      <c r="G13343" s="5"/>
      <c r="H13343" s="5"/>
      <c r="I13343" s="5"/>
      <c r="J13343" s="5"/>
      <c r="K13343" s="5"/>
      <c r="L13343" s="5"/>
      <c r="M13343" s="5"/>
      <c r="N13343" s="5"/>
      <c r="O13343" s="5"/>
      <c r="P13343" s="5"/>
      <c r="Q13343" s="5"/>
      <c r="R13343" s="5"/>
      <c r="S13343" s="5"/>
      <c r="T13343" s="5"/>
      <c r="U13343" s="5"/>
      <c r="V13343" s="5"/>
      <c r="W13343" s="5"/>
      <c r="X13343" s="5"/>
      <c r="Y13343" s="5"/>
      <c r="Z13343" s="5"/>
    </row>
    <row r="13344" spans="1:26" ht="15" x14ac:dyDescent="0.25">
      <c r="A13344" s="4" t="s">
        <v>13341</v>
      </c>
      <c r="B13344" s="4" t="s">
        <v>9011</v>
      </c>
      <c r="C13344" s="2" t="str">
        <f ca="1">IFERROR(__xludf.DUMMYFUNCTION("GOOGLETRANSLATE(A13344,""bn"",""en"")"),"He will need his checkbook tomorrow")</f>
        <v>He will need his checkbook tomorrow</v>
      </c>
      <c r="D13344" s="5"/>
      <c r="E13344" s="5"/>
      <c r="F13344" s="5"/>
      <c r="G13344" s="5"/>
      <c r="H13344" s="5"/>
      <c r="I13344" s="5"/>
      <c r="J13344" s="5"/>
      <c r="K13344" s="5"/>
      <c r="L13344" s="5"/>
      <c r="M13344" s="5"/>
      <c r="N13344" s="5"/>
      <c r="O13344" s="5"/>
      <c r="P13344" s="5"/>
      <c r="Q13344" s="5"/>
      <c r="R13344" s="5"/>
      <c r="S13344" s="5"/>
      <c r="T13344" s="5"/>
      <c r="U13344" s="5"/>
      <c r="V13344" s="5"/>
      <c r="W13344" s="5"/>
      <c r="X13344" s="5"/>
      <c r="Y13344" s="5"/>
      <c r="Z13344" s="5"/>
    </row>
    <row r="13345" spans="1:26" ht="15" x14ac:dyDescent="0.25">
      <c r="A13345" s="4" t="s">
        <v>13342</v>
      </c>
      <c r="B13345" s="4" t="s">
        <v>9011</v>
      </c>
      <c r="C13345" s="2" t="str">
        <f ca="1">IFERROR(__xludf.DUMMYFUNCTION("GOOGLETRANSLATE(A13345,""bn"",""en"")"),"They will read Harry Potter")</f>
        <v>They will read Harry Potter</v>
      </c>
      <c r="D13345" s="5"/>
      <c r="E13345" s="5"/>
      <c r="F13345" s="5"/>
      <c r="G13345" s="5"/>
      <c r="H13345" s="5"/>
      <c r="I13345" s="5"/>
      <c r="J13345" s="5"/>
      <c r="K13345" s="5"/>
      <c r="L13345" s="5"/>
      <c r="M13345" s="5"/>
      <c r="N13345" s="5"/>
      <c r="O13345" s="5"/>
      <c r="P13345" s="5"/>
      <c r="Q13345" s="5"/>
      <c r="R13345" s="5"/>
      <c r="S13345" s="5"/>
      <c r="T13345" s="5"/>
      <c r="U13345" s="5"/>
      <c r="V13345" s="5"/>
      <c r="W13345" s="5"/>
      <c r="X13345" s="5"/>
      <c r="Y13345" s="5"/>
      <c r="Z13345" s="5"/>
    </row>
    <row r="13346" spans="1:26" ht="15" x14ac:dyDescent="0.25">
      <c r="A13346" s="4" t="s">
        <v>13343</v>
      </c>
      <c r="B13346" s="4" t="s">
        <v>9011</v>
      </c>
      <c r="C13346" s="2" t="str">
        <f ca="1">IFERROR(__xludf.DUMMYFUNCTION("GOOGLETRANSLATE(A13346,""bn"",""en"")"),"He will ask to run")</f>
        <v>He will ask to run</v>
      </c>
      <c r="D13346" s="5"/>
      <c r="E13346" s="5"/>
      <c r="F13346" s="5"/>
      <c r="G13346" s="5"/>
      <c r="H13346" s="5"/>
      <c r="I13346" s="5"/>
      <c r="J13346" s="5"/>
      <c r="K13346" s="5"/>
      <c r="L13346" s="5"/>
      <c r="M13346" s="5"/>
      <c r="N13346" s="5"/>
      <c r="O13346" s="5"/>
      <c r="P13346" s="5"/>
      <c r="Q13346" s="5"/>
      <c r="R13346" s="5"/>
      <c r="S13346" s="5"/>
      <c r="T13346" s="5"/>
      <c r="U13346" s="5"/>
      <c r="V13346" s="5"/>
      <c r="W13346" s="5"/>
      <c r="X13346" s="5"/>
      <c r="Y13346" s="5"/>
      <c r="Z13346" s="5"/>
    </row>
    <row r="13347" spans="1:26" ht="15" x14ac:dyDescent="0.25">
      <c r="A13347" s="4" t="s">
        <v>13344</v>
      </c>
      <c r="B13347" s="4" t="s">
        <v>9011</v>
      </c>
      <c r="C13347" s="2" t="str">
        <f ca="1">IFERROR(__xludf.DUMMYFUNCTION("GOOGLETRANSLATE(A13347,""bn"",""en"")"),"I will go to literary discussion")</f>
        <v>I will go to literary discussion</v>
      </c>
      <c r="D13347" s="5"/>
      <c r="E13347" s="5"/>
      <c r="F13347" s="5"/>
      <c r="G13347" s="5"/>
      <c r="H13347" s="5"/>
      <c r="I13347" s="5"/>
      <c r="J13347" s="5"/>
      <c r="K13347" s="5"/>
      <c r="L13347" s="5"/>
      <c r="M13347" s="5"/>
      <c r="N13347" s="5"/>
      <c r="O13347" s="5"/>
      <c r="P13347" s="5"/>
      <c r="Q13347" s="5"/>
      <c r="R13347" s="5"/>
      <c r="S13347" s="5"/>
      <c r="T13347" s="5"/>
      <c r="U13347" s="5"/>
      <c r="V13347" s="5"/>
      <c r="W13347" s="5"/>
      <c r="X13347" s="5"/>
      <c r="Y13347" s="5"/>
      <c r="Z13347" s="5"/>
    </row>
    <row r="13348" spans="1:26" ht="15" x14ac:dyDescent="0.25">
      <c r="A13348" s="4" t="s">
        <v>13345</v>
      </c>
      <c r="B13348" s="4" t="s">
        <v>9011</v>
      </c>
      <c r="C13348" s="2" t="str">
        <f ca="1">IFERROR(__xludf.DUMMYFUNCTION("GOOGLETRANSLATE(A13348,""bn"",""en"")"),"World War II will be an example")</f>
        <v>World War II will be an example</v>
      </c>
      <c r="D13348" s="5"/>
      <c r="E13348" s="5"/>
      <c r="F13348" s="5"/>
      <c r="G13348" s="5"/>
      <c r="H13348" s="5"/>
      <c r="I13348" s="5"/>
      <c r="J13348" s="5"/>
      <c r="K13348" s="5"/>
      <c r="L13348" s="5"/>
      <c r="M13348" s="5"/>
      <c r="N13348" s="5"/>
      <c r="O13348" s="5"/>
      <c r="P13348" s="5"/>
      <c r="Q13348" s="5"/>
      <c r="R13348" s="5"/>
      <c r="S13348" s="5"/>
      <c r="T13348" s="5"/>
      <c r="U13348" s="5"/>
      <c r="V13348" s="5"/>
      <c r="W13348" s="5"/>
      <c r="X13348" s="5"/>
      <c r="Y13348" s="5"/>
      <c r="Z13348" s="5"/>
    </row>
    <row r="13349" spans="1:26" ht="15" x14ac:dyDescent="0.25">
      <c r="A13349" s="4" t="s">
        <v>13346</v>
      </c>
      <c r="B13349" s="4" t="s">
        <v>9011</v>
      </c>
      <c r="C13349" s="2" t="str">
        <f ca="1">IFERROR(__xludf.DUMMYFUNCTION("GOOGLETRANSLATE(A13349,""bn"",""en"")"),"Be careful with online banking")</f>
        <v>Be careful with online banking</v>
      </c>
      <c r="D13349" s="5"/>
      <c r="E13349" s="5"/>
      <c r="F13349" s="5"/>
      <c r="G13349" s="5"/>
      <c r="H13349" s="5"/>
      <c r="I13349" s="5"/>
      <c r="J13349" s="5"/>
      <c r="K13349" s="5"/>
      <c r="L13349" s="5"/>
      <c r="M13349" s="5"/>
      <c r="N13349" s="5"/>
      <c r="O13349" s="5"/>
      <c r="P13349" s="5"/>
      <c r="Q13349" s="5"/>
      <c r="R13349" s="5"/>
      <c r="S13349" s="5"/>
      <c r="T13349" s="5"/>
      <c r="U13349" s="5"/>
      <c r="V13349" s="5"/>
      <c r="W13349" s="5"/>
      <c r="X13349" s="5"/>
      <c r="Y13349" s="5"/>
      <c r="Z13349" s="5"/>
    </row>
    <row r="13350" spans="1:26" ht="15" x14ac:dyDescent="0.25">
      <c r="A13350" s="4" t="s">
        <v>13347</v>
      </c>
      <c r="B13350" s="4" t="s">
        <v>9011</v>
      </c>
      <c r="C13350" s="2" t="str">
        <f ca="1">IFERROR(__xludf.DUMMYFUNCTION("GOOGLETRANSLATE(A13350,""bn"",""en"")"),"New technology will advance")</f>
        <v>New technology will advance</v>
      </c>
      <c r="D13350" s="5"/>
      <c r="E13350" s="5"/>
      <c r="F13350" s="5"/>
      <c r="G13350" s="5"/>
      <c r="H13350" s="5"/>
      <c r="I13350" s="5"/>
      <c r="J13350" s="5"/>
      <c r="K13350" s="5"/>
      <c r="L13350" s="5"/>
      <c r="M13350" s="5"/>
      <c r="N13350" s="5"/>
      <c r="O13350" s="5"/>
      <c r="P13350" s="5"/>
      <c r="Q13350" s="5"/>
      <c r="R13350" s="5"/>
      <c r="S13350" s="5"/>
      <c r="T13350" s="5"/>
      <c r="U13350" s="5"/>
      <c r="V13350" s="5"/>
      <c r="W13350" s="5"/>
      <c r="X13350" s="5"/>
      <c r="Y13350" s="5"/>
      <c r="Z13350" s="5"/>
    </row>
    <row r="13351" spans="1:26" ht="15" x14ac:dyDescent="0.25">
      <c r="A13351" s="4" t="s">
        <v>13348</v>
      </c>
      <c r="B13351" s="4" t="s">
        <v>9011</v>
      </c>
      <c r="C13351" s="2" t="str">
        <f ca="1">IFERROR(__xludf.DUMMYFUNCTION("GOOGLETRANSLATE(A13351,""bn"",""en"")"),"Robotic work will increase")</f>
        <v>Robotic work will increase</v>
      </c>
      <c r="D13351" s="5"/>
      <c r="E13351" s="5"/>
      <c r="F13351" s="5"/>
      <c r="G13351" s="5"/>
      <c r="H13351" s="5"/>
      <c r="I13351" s="5"/>
      <c r="J13351" s="5"/>
      <c r="K13351" s="5"/>
      <c r="L13351" s="5"/>
      <c r="M13351" s="5"/>
      <c r="N13351" s="5"/>
      <c r="O13351" s="5"/>
      <c r="P13351" s="5"/>
      <c r="Q13351" s="5"/>
      <c r="R13351" s="5"/>
      <c r="S13351" s="5"/>
      <c r="T13351" s="5"/>
      <c r="U13351" s="5"/>
      <c r="V13351" s="5"/>
      <c r="W13351" s="5"/>
      <c r="X13351" s="5"/>
      <c r="Y13351" s="5"/>
      <c r="Z13351" s="5"/>
    </row>
    <row r="13352" spans="1:26" ht="15" x14ac:dyDescent="0.25">
      <c r="A13352" s="4" t="s">
        <v>13349</v>
      </c>
      <c r="B13352" s="4" t="s">
        <v>9011</v>
      </c>
      <c r="C13352" s="2" t="str">
        <f ca="1">IFERROR(__xludf.DUMMYFUNCTION("GOOGLETRANSLATE(A13352,""bn"",""en"")"),"I will write many poems")</f>
        <v>I will write many poems</v>
      </c>
      <c r="D13352" s="5"/>
      <c r="E13352" s="5"/>
      <c r="F13352" s="5"/>
      <c r="G13352" s="5"/>
      <c r="H13352" s="5"/>
      <c r="I13352" s="5"/>
      <c r="J13352" s="5"/>
      <c r="K13352" s="5"/>
      <c r="L13352" s="5"/>
      <c r="M13352" s="5"/>
      <c r="N13352" s="5"/>
      <c r="O13352" s="5"/>
      <c r="P13352" s="5"/>
      <c r="Q13352" s="5"/>
      <c r="R13352" s="5"/>
      <c r="S13352" s="5"/>
      <c r="T13352" s="5"/>
      <c r="U13352" s="5"/>
      <c r="V13352" s="5"/>
      <c r="W13352" s="5"/>
      <c r="X13352" s="5"/>
      <c r="Y13352" s="5"/>
      <c r="Z13352" s="5"/>
    </row>
    <row r="13353" spans="1:26" ht="15" x14ac:dyDescent="0.25">
      <c r="A13353" s="4" t="s">
        <v>13350</v>
      </c>
      <c r="B13353" s="4" t="s">
        <v>9011</v>
      </c>
      <c r="C13353" s="2" t="str">
        <f ca="1">IFERROR(__xludf.DUMMYFUNCTION("GOOGLETRANSLATE(A13353,""bn"",""en"")"),"Learn cyber security")</f>
        <v>Learn cyber security</v>
      </c>
      <c r="D13353" s="5"/>
      <c r="E13353" s="5"/>
      <c r="F13353" s="5"/>
      <c r="G13353" s="5"/>
      <c r="H13353" s="5"/>
      <c r="I13353" s="5"/>
      <c r="J13353" s="5"/>
      <c r="K13353" s="5"/>
      <c r="L13353" s="5"/>
      <c r="M13353" s="5"/>
      <c r="N13353" s="5"/>
      <c r="O13353" s="5"/>
      <c r="P13353" s="5"/>
      <c r="Q13353" s="5"/>
      <c r="R13353" s="5"/>
      <c r="S13353" s="5"/>
      <c r="T13353" s="5"/>
      <c r="U13353" s="5"/>
      <c r="V13353" s="5"/>
      <c r="W13353" s="5"/>
      <c r="X13353" s="5"/>
      <c r="Y13353" s="5"/>
      <c r="Z13353" s="5"/>
    </row>
    <row r="13354" spans="1:26" ht="15" x14ac:dyDescent="0.25">
      <c r="A13354" s="4" t="s">
        <v>13351</v>
      </c>
      <c r="B13354" s="4" t="s">
        <v>9011</v>
      </c>
      <c r="C13354" s="2" t="str">
        <f ca="1">IFERROR(__xludf.DUMMYFUNCTION("GOOGLETRANSLATE(A13354,""bn"",""en"")"),"The test will be next week")</f>
        <v>The test will be next week</v>
      </c>
      <c r="D13354" s="5"/>
      <c r="E13354" s="5"/>
      <c r="F13354" s="5"/>
      <c r="G13354" s="5"/>
      <c r="H13354" s="5"/>
      <c r="I13354" s="5"/>
      <c r="J13354" s="5"/>
      <c r="K13354" s="5"/>
      <c r="L13354" s="5"/>
      <c r="M13354" s="5"/>
      <c r="N13354" s="5"/>
      <c r="O13354" s="5"/>
      <c r="P13354" s="5"/>
      <c r="Q13354" s="5"/>
      <c r="R13354" s="5"/>
      <c r="S13354" s="5"/>
      <c r="T13354" s="5"/>
      <c r="U13354" s="5"/>
      <c r="V13354" s="5"/>
      <c r="W13354" s="5"/>
      <c r="X13354" s="5"/>
      <c r="Y13354" s="5"/>
      <c r="Z13354" s="5"/>
    </row>
    <row r="13355" spans="1:26" ht="15" x14ac:dyDescent="0.25">
      <c r="A13355" s="4" t="s">
        <v>13352</v>
      </c>
      <c r="B13355" s="4" t="s">
        <v>9011</v>
      </c>
      <c r="C13355" s="2" t="str">
        <f ca="1">IFERROR(__xludf.DUMMYFUNCTION("GOOGLETRANSLATE(A13355,""bn"",""en"")"),"Prosperity will be by all means")</f>
        <v>Prosperity will be by all means</v>
      </c>
      <c r="D13355" s="5"/>
      <c r="E13355" s="5"/>
      <c r="F13355" s="5"/>
      <c r="G13355" s="5"/>
      <c r="H13355" s="5"/>
      <c r="I13355" s="5"/>
      <c r="J13355" s="5"/>
      <c r="K13355" s="5"/>
      <c r="L13355" s="5"/>
      <c r="M13355" s="5"/>
      <c r="N13355" s="5"/>
      <c r="O13355" s="5"/>
      <c r="P13355" s="5"/>
      <c r="Q13355" s="5"/>
      <c r="R13355" s="5"/>
      <c r="S13355" s="5"/>
      <c r="T13355" s="5"/>
      <c r="U13355" s="5"/>
      <c r="V13355" s="5"/>
      <c r="W13355" s="5"/>
      <c r="X13355" s="5"/>
      <c r="Y13355" s="5"/>
      <c r="Z13355" s="5"/>
    </row>
    <row r="13356" spans="1:26" ht="15" x14ac:dyDescent="0.25">
      <c r="A13356" s="4" t="s">
        <v>13353</v>
      </c>
      <c r="B13356" s="4" t="s">
        <v>9011</v>
      </c>
      <c r="C13356" s="2" t="str">
        <f ca="1">IFERROR(__xludf.DUMMYFUNCTION("GOOGLETRANSLATE(A13356,""bn"",""en"")"),"Operating on Linux will be difficult")</f>
        <v>Operating on Linux will be difficult</v>
      </c>
      <c r="D13356" s="5"/>
      <c r="E13356" s="5"/>
      <c r="F13356" s="5"/>
      <c r="G13356" s="5"/>
      <c r="H13356" s="5"/>
      <c r="I13356" s="5"/>
      <c r="J13356" s="5"/>
      <c r="K13356" s="5"/>
      <c r="L13356" s="5"/>
      <c r="M13356" s="5"/>
      <c r="N13356" s="5"/>
      <c r="O13356" s="5"/>
      <c r="P13356" s="5"/>
      <c r="Q13356" s="5"/>
      <c r="R13356" s="5"/>
      <c r="S13356" s="5"/>
      <c r="T13356" s="5"/>
      <c r="U13356" s="5"/>
      <c r="V13356" s="5"/>
      <c r="W13356" s="5"/>
      <c r="X13356" s="5"/>
      <c r="Y13356" s="5"/>
      <c r="Z13356" s="5"/>
    </row>
    <row r="13357" spans="1:26" ht="15" x14ac:dyDescent="0.25">
      <c r="A13357" s="4" t="s">
        <v>13354</v>
      </c>
      <c r="B13357" s="4" t="s">
        <v>9011</v>
      </c>
      <c r="C13357" s="2" t="str">
        <f ca="1">IFERROR(__xludf.DUMMYFUNCTION("GOOGLETRANSLATE(A13357,""bn"",""en"")"),"New ideas will come")</f>
        <v>New ideas will come</v>
      </c>
      <c r="D13357" s="5"/>
      <c r="E13357" s="5"/>
      <c r="F13357" s="5"/>
      <c r="G13357" s="5"/>
      <c r="H13357" s="5"/>
      <c r="I13357" s="5"/>
      <c r="J13357" s="5"/>
      <c r="K13357" s="5"/>
      <c r="L13357" s="5"/>
      <c r="M13357" s="5"/>
      <c r="N13357" s="5"/>
      <c r="O13357" s="5"/>
      <c r="P13357" s="5"/>
      <c r="Q13357" s="5"/>
      <c r="R13357" s="5"/>
      <c r="S13357" s="5"/>
      <c r="T13357" s="5"/>
      <c r="U13357" s="5"/>
      <c r="V13357" s="5"/>
      <c r="W13357" s="5"/>
      <c r="X13357" s="5"/>
      <c r="Y13357" s="5"/>
      <c r="Z13357" s="5"/>
    </row>
    <row r="13358" spans="1:26" ht="15" x14ac:dyDescent="0.25">
      <c r="A13358" s="4" t="s">
        <v>13355</v>
      </c>
      <c r="B13358" s="4" t="s">
        <v>9011</v>
      </c>
      <c r="C13358" s="2" t="str">
        <f ca="1">IFERROR(__xludf.DUMMYFUNCTION("GOOGLETRANSLATE(A13358,""bn"",""en"")"),"I will read English literature")</f>
        <v>I will read English literature</v>
      </c>
      <c r="D13358" s="5"/>
      <c r="E13358" s="5"/>
      <c r="F13358" s="5"/>
      <c r="G13358" s="5"/>
      <c r="H13358" s="5"/>
      <c r="I13358" s="5"/>
      <c r="J13358" s="5"/>
      <c r="K13358" s="5"/>
      <c r="L13358" s="5"/>
      <c r="M13358" s="5"/>
      <c r="N13358" s="5"/>
      <c r="O13358" s="5"/>
      <c r="P13358" s="5"/>
      <c r="Q13358" s="5"/>
      <c r="R13358" s="5"/>
      <c r="S13358" s="5"/>
      <c r="T13358" s="5"/>
      <c r="U13358" s="5"/>
      <c r="V13358" s="5"/>
      <c r="W13358" s="5"/>
      <c r="X13358" s="5"/>
      <c r="Y13358" s="5"/>
      <c r="Z13358" s="5"/>
    </row>
    <row r="13359" spans="1:26" ht="15" x14ac:dyDescent="0.25">
      <c r="A13359" s="4" t="s">
        <v>13356</v>
      </c>
      <c r="B13359" s="4" t="s">
        <v>9011</v>
      </c>
      <c r="C13359" s="2" t="str">
        <f ca="1">IFERROR(__xludf.DUMMYFUNCTION("GOOGLETRANSLATE(A13359,""bn"",""en"")"),"Their future will be journalists")</f>
        <v>Their future will be journalists</v>
      </c>
      <c r="D13359" s="5"/>
      <c r="E13359" s="5"/>
      <c r="F13359" s="5"/>
      <c r="G13359" s="5"/>
      <c r="H13359" s="5"/>
      <c r="I13359" s="5"/>
      <c r="J13359" s="5"/>
      <c r="K13359" s="5"/>
      <c r="L13359" s="5"/>
      <c r="M13359" s="5"/>
      <c r="N13359" s="5"/>
      <c r="O13359" s="5"/>
      <c r="P13359" s="5"/>
      <c r="Q13359" s="5"/>
      <c r="R13359" s="5"/>
      <c r="S13359" s="5"/>
      <c r="T13359" s="5"/>
      <c r="U13359" s="5"/>
      <c r="V13359" s="5"/>
      <c r="W13359" s="5"/>
      <c r="X13359" s="5"/>
      <c r="Y13359" s="5"/>
      <c r="Z13359" s="5"/>
    </row>
    <row r="13360" spans="1:26" ht="15" x14ac:dyDescent="0.25">
      <c r="A13360" s="4" t="s">
        <v>13357</v>
      </c>
      <c r="B13360" s="4" t="s">
        <v>9011</v>
      </c>
      <c r="C13360" s="2" t="str">
        <f ca="1">IFERROR(__xludf.DUMMYFUNCTION("GOOGLETRANSLATE(A13360,""bn"",""en"")"),"All students will swim")</f>
        <v>All students will swim</v>
      </c>
      <c r="D13360" s="5"/>
      <c r="E13360" s="5"/>
      <c r="F13360" s="5"/>
      <c r="G13360" s="5"/>
      <c r="H13360" s="5"/>
      <c r="I13360" s="5"/>
      <c r="J13360" s="5"/>
      <c r="K13360" s="5"/>
      <c r="L13360" s="5"/>
      <c r="M13360" s="5"/>
      <c r="N13360" s="5"/>
      <c r="O13360" s="5"/>
      <c r="P13360" s="5"/>
      <c r="Q13360" s="5"/>
      <c r="R13360" s="5"/>
      <c r="S13360" s="5"/>
      <c r="T13360" s="5"/>
      <c r="U13360" s="5"/>
      <c r="V13360" s="5"/>
      <c r="W13360" s="5"/>
      <c r="X13360" s="5"/>
      <c r="Y13360" s="5"/>
      <c r="Z13360" s="5"/>
    </row>
    <row r="13361" spans="1:26" ht="15" x14ac:dyDescent="0.25">
      <c r="A13361" s="4" t="s">
        <v>13358</v>
      </c>
      <c r="B13361" s="4" t="s">
        <v>9011</v>
      </c>
      <c r="C13361" s="2" t="str">
        <f ca="1">IFERROR(__xludf.DUMMYFUNCTION("GOOGLETRANSLATE(A13361,""bn"",""en"")"),"Movies will be shown on TV")</f>
        <v>Movies will be shown on TV</v>
      </c>
      <c r="D13361" s="5"/>
      <c r="E13361" s="5"/>
      <c r="F13361" s="5"/>
      <c r="G13361" s="5"/>
      <c r="H13361" s="5"/>
      <c r="I13361" s="5"/>
      <c r="J13361" s="5"/>
      <c r="K13361" s="5"/>
      <c r="L13361" s="5"/>
      <c r="M13361" s="5"/>
      <c r="N13361" s="5"/>
      <c r="O13361" s="5"/>
      <c r="P13361" s="5"/>
      <c r="Q13361" s="5"/>
      <c r="R13361" s="5"/>
      <c r="S13361" s="5"/>
      <c r="T13361" s="5"/>
      <c r="U13361" s="5"/>
      <c r="V13361" s="5"/>
      <c r="W13361" s="5"/>
      <c r="X13361" s="5"/>
      <c r="Y13361" s="5"/>
      <c r="Z13361" s="5"/>
    </row>
    <row r="13362" spans="1:26" ht="15" x14ac:dyDescent="0.25">
      <c r="A13362" s="4" t="s">
        <v>13359</v>
      </c>
      <c r="B13362" s="4" t="s">
        <v>9011</v>
      </c>
      <c r="C13362" s="2" t="str">
        <f ca="1">IFERROR(__xludf.DUMMYFUNCTION("GOOGLETRANSLATE(A13362,""bn"",""en"")"),"People will rest on the shore")</f>
        <v>People will rest on the shore</v>
      </c>
      <c r="D13362" s="5"/>
      <c r="E13362" s="5"/>
      <c r="F13362" s="5"/>
      <c r="G13362" s="5"/>
      <c r="H13362" s="5"/>
      <c r="I13362" s="5"/>
      <c r="J13362" s="5"/>
      <c r="K13362" s="5"/>
      <c r="L13362" s="5"/>
      <c r="M13362" s="5"/>
      <c r="N13362" s="5"/>
      <c r="O13362" s="5"/>
      <c r="P13362" s="5"/>
      <c r="Q13362" s="5"/>
      <c r="R13362" s="5"/>
      <c r="S13362" s="5"/>
      <c r="T13362" s="5"/>
      <c r="U13362" s="5"/>
      <c r="V13362" s="5"/>
      <c r="W13362" s="5"/>
      <c r="X13362" s="5"/>
      <c r="Y13362" s="5"/>
      <c r="Z13362" s="5"/>
    </row>
    <row r="13363" spans="1:26" ht="15" x14ac:dyDescent="0.25">
      <c r="A13363" s="4" t="s">
        <v>13360</v>
      </c>
      <c r="B13363" s="4" t="s">
        <v>9011</v>
      </c>
      <c r="C13363" s="2" t="str">
        <f ca="1">IFERROR(__xludf.DUMMYFUNCTION("GOOGLETRANSLATE(A13363,""bn"",""en"")"),"The ambassador will edit the law")</f>
        <v>The ambassador will edit the law</v>
      </c>
      <c r="D13363" s="5"/>
      <c r="E13363" s="5"/>
      <c r="F13363" s="5"/>
      <c r="G13363" s="5"/>
      <c r="H13363" s="5"/>
      <c r="I13363" s="5"/>
      <c r="J13363" s="5"/>
      <c r="K13363" s="5"/>
      <c r="L13363" s="5"/>
      <c r="M13363" s="5"/>
      <c r="N13363" s="5"/>
      <c r="O13363" s="5"/>
      <c r="P13363" s="5"/>
      <c r="Q13363" s="5"/>
      <c r="R13363" s="5"/>
      <c r="S13363" s="5"/>
      <c r="T13363" s="5"/>
      <c r="U13363" s="5"/>
      <c r="V13363" s="5"/>
      <c r="W13363" s="5"/>
      <c r="X13363" s="5"/>
      <c r="Y13363" s="5"/>
      <c r="Z13363" s="5"/>
    </row>
    <row r="13364" spans="1:26" ht="15" x14ac:dyDescent="0.25">
      <c r="A13364" s="4" t="s">
        <v>13361</v>
      </c>
      <c r="B13364" s="4" t="s">
        <v>9011</v>
      </c>
      <c r="C13364" s="2" t="str">
        <f ca="1">IFERROR(__xludf.DUMMYFUNCTION("GOOGLETRANSLATE(A13364,""bn"",""en"")"),"I will go to fitness class")</f>
        <v>I will go to fitness class</v>
      </c>
      <c r="D13364" s="5"/>
      <c r="E13364" s="5"/>
      <c r="F13364" s="5"/>
      <c r="G13364" s="5"/>
      <c r="H13364" s="5"/>
      <c r="I13364" s="5"/>
      <c r="J13364" s="5"/>
      <c r="K13364" s="5"/>
      <c r="L13364" s="5"/>
      <c r="M13364" s="5"/>
      <c r="N13364" s="5"/>
      <c r="O13364" s="5"/>
      <c r="P13364" s="5"/>
      <c r="Q13364" s="5"/>
      <c r="R13364" s="5"/>
      <c r="S13364" s="5"/>
      <c r="T13364" s="5"/>
      <c r="U13364" s="5"/>
      <c r="V13364" s="5"/>
      <c r="W13364" s="5"/>
      <c r="X13364" s="5"/>
      <c r="Y13364" s="5"/>
      <c r="Z13364" s="5"/>
    </row>
    <row r="13365" spans="1:26" ht="15" x14ac:dyDescent="0.25">
      <c r="A13365" s="4" t="s">
        <v>13362</v>
      </c>
      <c r="B13365" s="4" t="s">
        <v>9011</v>
      </c>
      <c r="C13365" s="2" t="str">
        <f ca="1">IFERROR(__xludf.DUMMYFUNCTION("GOOGLETRANSLATE(A13365,""bn"",""en"")"),"Artisans will attend classes")</f>
        <v>Artisans will attend classes</v>
      </c>
      <c r="D13365" s="5"/>
      <c r="E13365" s="5"/>
      <c r="F13365" s="5"/>
      <c r="G13365" s="5"/>
      <c r="H13365" s="5"/>
      <c r="I13365" s="5"/>
      <c r="J13365" s="5"/>
      <c r="K13365" s="5"/>
      <c r="L13365" s="5"/>
      <c r="M13365" s="5"/>
      <c r="N13365" s="5"/>
      <c r="O13365" s="5"/>
      <c r="P13365" s="5"/>
      <c r="Q13365" s="5"/>
      <c r="R13365" s="5"/>
      <c r="S13365" s="5"/>
      <c r="T13365" s="5"/>
      <c r="U13365" s="5"/>
      <c r="V13365" s="5"/>
      <c r="W13365" s="5"/>
      <c r="X13365" s="5"/>
      <c r="Y13365" s="5"/>
      <c r="Z13365" s="5"/>
    </row>
    <row r="13366" spans="1:26" ht="15" x14ac:dyDescent="0.25">
      <c r="A13366" s="4" t="s">
        <v>13363</v>
      </c>
      <c r="B13366" s="4" t="s">
        <v>9011</v>
      </c>
      <c r="C13366" s="2" t="str">
        <f ca="1">IFERROR(__xludf.DUMMYFUNCTION("GOOGLETRANSLATE(A13366,""bn"",""en"")"),"You will open a student account")</f>
        <v>You will open a student account</v>
      </c>
      <c r="D13366" s="5"/>
      <c r="E13366" s="5"/>
      <c r="F13366" s="5"/>
      <c r="G13366" s="5"/>
      <c r="H13366" s="5"/>
      <c r="I13366" s="5"/>
      <c r="J13366" s="5"/>
      <c r="K13366" s="5"/>
      <c r="L13366" s="5"/>
      <c r="M13366" s="5"/>
      <c r="N13366" s="5"/>
      <c r="O13366" s="5"/>
      <c r="P13366" s="5"/>
      <c r="Q13366" s="5"/>
      <c r="R13366" s="5"/>
      <c r="S13366" s="5"/>
      <c r="T13366" s="5"/>
      <c r="U13366" s="5"/>
      <c r="V13366" s="5"/>
      <c r="W13366" s="5"/>
      <c r="X13366" s="5"/>
      <c r="Y13366" s="5"/>
      <c r="Z13366" s="5"/>
    </row>
    <row r="13367" spans="1:26" ht="15" x14ac:dyDescent="0.25">
      <c r="A13367" s="4" t="s">
        <v>13364</v>
      </c>
      <c r="B13367" s="4" t="s">
        <v>9011</v>
      </c>
      <c r="C13367" s="2" t="str">
        <f ca="1">IFERROR(__xludf.DUMMYFUNCTION("GOOGLETRANSLATE(A13367,""bn"",""en"")"),"I will develop new games")</f>
        <v>I will develop new games</v>
      </c>
      <c r="D13367" s="5"/>
      <c r="E13367" s="5"/>
      <c r="F13367" s="5"/>
      <c r="G13367" s="5"/>
      <c r="H13367" s="5"/>
      <c r="I13367" s="5"/>
      <c r="J13367" s="5"/>
      <c r="K13367" s="5"/>
      <c r="L13367" s="5"/>
      <c r="M13367" s="5"/>
      <c r="N13367" s="5"/>
      <c r="O13367" s="5"/>
      <c r="P13367" s="5"/>
      <c r="Q13367" s="5"/>
      <c r="R13367" s="5"/>
      <c r="S13367" s="5"/>
      <c r="T13367" s="5"/>
      <c r="U13367" s="5"/>
      <c r="V13367" s="5"/>
      <c r="W13367" s="5"/>
      <c r="X13367" s="5"/>
      <c r="Y13367" s="5"/>
      <c r="Z13367" s="5"/>
    </row>
    <row r="13368" spans="1:26" ht="15" x14ac:dyDescent="0.25">
      <c r="A13368" s="4" t="s">
        <v>13365</v>
      </c>
      <c r="B13368" s="4" t="s">
        <v>9011</v>
      </c>
      <c r="C13368" s="2" t="str">
        <f ca="1">IFERROR(__xludf.DUMMYFUNCTION("GOOGLETRANSLATE(A13368,""bn"",""en"")"),"I will sit on the shore for a while")</f>
        <v>I will sit on the shore for a while</v>
      </c>
      <c r="D13368" s="5"/>
      <c r="E13368" s="5"/>
      <c r="F13368" s="5"/>
      <c r="G13368" s="5"/>
      <c r="H13368" s="5"/>
      <c r="I13368" s="5"/>
      <c r="J13368" s="5"/>
      <c r="K13368" s="5"/>
      <c r="L13368" s="5"/>
      <c r="M13368" s="5"/>
      <c r="N13368" s="5"/>
      <c r="O13368" s="5"/>
      <c r="P13368" s="5"/>
      <c r="Q13368" s="5"/>
      <c r="R13368" s="5"/>
      <c r="S13368" s="5"/>
      <c r="T13368" s="5"/>
      <c r="U13368" s="5"/>
      <c r="V13368" s="5"/>
      <c r="W13368" s="5"/>
      <c r="X13368" s="5"/>
      <c r="Y13368" s="5"/>
      <c r="Z13368" s="5"/>
    </row>
    <row r="13369" spans="1:26" ht="15" x14ac:dyDescent="0.25">
      <c r="A13369" s="4" t="s">
        <v>13366</v>
      </c>
      <c r="B13369" s="4" t="s">
        <v>9011</v>
      </c>
      <c r="C13369" s="2" t="str">
        <f ca="1">IFERROR(__xludf.DUMMYFUNCTION("GOOGLETRANSLATE(A13369,""bn"",""en"")"),"Literature course should be done")</f>
        <v>Literature course should be done</v>
      </c>
      <c r="D13369" s="5"/>
      <c r="E13369" s="5"/>
      <c r="F13369" s="5"/>
      <c r="G13369" s="5"/>
      <c r="H13369" s="5"/>
      <c r="I13369" s="5"/>
      <c r="J13369" s="5"/>
      <c r="K13369" s="5"/>
      <c r="L13369" s="5"/>
      <c r="M13369" s="5"/>
      <c r="N13369" s="5"/>
      <c r="O13369" s="5"/>
      <c r="P13369" s="5"/>
      <c r="Q13369" s="5"/>
      <c r="R13369" s="5"/>
      <c r="S13369" s="5"/>
      <c r="T13369" s="5"/>
      <c r="U13369" s="5"/>
      <c r="V13369" s="5"/>
      <c r="W13369" s="5"/>
      <c r="X13369" s="5"/>
      <c r="Y13369" s="5"/>
      <c r="Z13369" s="5"/>
    </row>
    <row r="13370" spans="1:26" ht="15" x14ac:dyDescent="0.25">
      <c r="A13370" s="4" t="s">
        <v>13367</v>
      </c>
      <c r="B13370" s="4" t="s">
        <v>9011</v>
      </c>
      <c r="C13370" s="2" t="str">
        <f ca="1">IFERROR(__xludf.DUMMYFUNCTION("GOOGLETRANSLATE(A13370,""bn"",""en"")"),"Implement design patterns")</f>
        <v>Implement design patterns</v>
      </c>
      <c r="D13370" s="5"/>
      <c r="E13370" s="5"/>
      <c r="F13370" s="5"/>
      <c r="G13370" s="5"/>
      <c r="H13370" s="5"/>
      <c r="I13370" s="5"/>
      <c r="J13370" s="5"/>
      <c r="K13370" s="5"/>
      <c r="L13370" s="5"/>
      <c r="M13370" s="5"/>
      <c r="N13370" s="5"/>
      <c r="O13370" s="5"/>
      <c r="P13370" s="5"/>
      <c r="Q13370" s="5"/>
      <c r="R13370" s="5"/>
      <c r="S13370" s="5"/>
      <c r="T13370" s="5"/>
      <c r="U13370" s="5"/>
      <c r="V13370" s="5"/>
      <c r="W13370" s="5"/>
      <c r="X13370" s="5"/>
      <c r="Y13370" s="5"/>
      <c r="Z13370" s="5"/>
    </row>
    <row r="13371" spans="1:26" ht="15" x14ac:dyDescent="0.25">
      <c r="A13371" s="4" t="s">
        <v>13368</v>
      </c>
      <c r="B13371" s="4" t="s">
        <v>9011</v>
      </c>
      <c r="C13371" s="2" t="str">
        <f ca="1">IFERROR(__xludf.DUMMYFUNCTION("GOOGLETRANSLATE(A13371,""bn"",""en"")"),"I will provide economic consultancy")</f>
        <v>I will provide economic consultancy</v>
      </c>
      <c r="D13371" s="5"/>
      <c r="E13371" s="5"/>
      <c r="F13371" s="5"/>
      <c r="G13371" s="5"/>
      <c r="H13371" s="5"/>
      <c r="I13371" s="5"/>
      <c r="J13371" s="5"/>
      <c r="K13371" s="5"/>
      <c r="L13371" s="5"/>
      <c r="M13371" s="5"/>
      <c r="N13371" s="5"/>
      <c r="O13371" s="5"/>
      <c r="P13371" s="5"/>
      <c r="Q13371" s="5"/>
      <c r="R13371" s="5"/>
      <c r="S13371" s="5"/>
      <c r="T13371" s="5"/>
      <c r="U13371" s="5"/>
      <c r="V13371" s="5"/>
      <c r="W13371" s="5"/>
      <c r="X13371" s="5"/>
      <c r="Y13371" s="5"/>
      <c r="Z13371" s="5"/>
    </row>
    <row r="13372" spans="1:26" ht="15" x14ac:dyDescent="0.25">
      <c r="A13372" s="4" t="s">
        <v>13369</v>
      </c>
      <c r="B13372" s="4" t="s">
        <v>9011</v>
      </c>
      <c r="C13372" s="2" t="str">
        <f ca="1">IFERROR(__xludf.DUMMYFUNCTION("GOOGLETRANSLATE(A13372,""bn"",""en"")"),"I will make a website with Java")</f>
        <v>I will make a website with Java</v>
      </c>
      <c r="D13372" s="5"/>
      <c r="E13372" s="5"/>
      <c r="F13372" s="5"/>
      <c r="G13372" s="5"/>
      <c r="H13372" s="5"/>
      <c r="I13372" s="5"/>
      <c r="J13372" s="5"/>
      <c r="K13372" s="5"/>
      <c r="L13372" s="5"/>
      <c r="M13372" s="5"/>
      <c r="N13372" s="5"/>
      <c r="O13372" s="5"/>
      <c r="P13372" s="5"/>
      <c r="Q13372" s="5"/>
      <c r="R13372" s="5"/>
      <c r="S13372" s="5"/>
      <c r="T13372" s="5"/>
      <c r="U13372" s="5"/>
      <c r="V13372" s="5"/>
      <c r="W13372" s="5"/>
      <c r="X13372" s="5"/>
      <c r="Y13372" s="5"/>
      <c r="Z13372" s="5"/>
    </row>
    <row r="13373" spans="1:26" ht="15" x14ac:dyDescent="0.25">
      <c r="A13373" s="4" t="s">
        <v>13370</v>
      </c>
      <c r="B13373" s="4" t="s">
        <v>9011</v>
      </c>
      <c r="C13373" s="2" t="str">
        <f ca="1">IFERROR(__xludf.DUMMYFUNCTION("GOOGLETRANSLATE(A13373,""bn"",""en"")"),"AI will do the heavy lifting")</f>
        <v>AI will do the heavy lifting</v>
      </c>
      <c r="D13373" s="5"/>
      <c r="E13373" s="5"/>
      <c r="F13373" s="5"/>
      <c r="G13373" s="5"/>
      <c r="H13373" s="5"/>
      <c r="I13373" s="5"/>
      <c r="J13373" s="5"/>
      <c r="K13373" s="5"/>
      <c r="L13373" s="5"/>
      <c r="M13373" s="5"/>
      <c r="N13373" s="5"/>
      <c r="O13373" s="5"/>
      <c r="P13373" s="5"/>
      <c r="Q13373" s="5"/>
      <c r="R13373" s="5"/>
      <c r="S13373" s="5"/>
      <c r="T13373" s="5"/>
      <c r="U13373" s="5"/>
      <c r="V13373" s="5"/>
      <c r="W13373" s="5"/>
      <c r="X13373" s="5"/>
      <c r="Y13373" s="5"/>
      <c r="Z13373" s="5"/>
    </row>
    <row r="13374" spans="1:26" ht="15" x14ac:dyDescent="0.25">
      <c r="A13374" s="4" t="s">
        <v>13371</v>
      </c>
      <c r="B13374" s="4" t="s">
        <v>9011</v>
      </c>
      <c r="C13374" s="2" t="str">
        <f ca="1">IFERROR(__xludf.DUMMYFUNCTION("GOOGLETRANSLATE(A13374,""bn"",""en"")"),"We will go to the campus for the opening")</f>
        <v>We will go to the campus for the opening</v>
      </c>
      <c r="D13374" s="5"/>
      <c r="E13374" s="5"/>
      <c r="F13374" s="5"/>
      <c r="G13374" s="5"/>
      <c r="H13374" s="5"/>
      <c r="I13374" s="5"/>
      <c r="J13374" s="5"/>
      <c r="K13374" s="5"/>
      <c r="L13374" s="5"/>
      <c r="M13374" s="5"/>
      <c r="N13374" s="5"/>
      <c r="O13374" s="5"/>
      <c r="P13374" s="5"/>
      <c r="Q13374" s="5"/>
      <c r="R13374" s="5"/>
      <c r="S13374" s="5"/>
      <c r="T13374" s="5"/>
      <c r="U13374" s="5"/>
      <c r="V13374" s="5"/>
      <c r="W13374" s="5"/>
      <c r="X13374" s="5"/>
      <c r="Y13374" s="5"/>
      <c r="Z13374" s="5"/>
    </row>
    <row r="13375" spans="1:26" ht="15" x14ac:dyDescent="0.25">
      <c r="A13375" s="4" t="s">
        <v>13372</v>
      </c>
      <c r="B13375" s="4" t="s">
        <v>9011</v>
      </c>
      <c r="C13375" s="2" t="str">
        <f ca="1">IFERROR(__xludf.DUMMYFUNCTION("GOOGLETRANSLATE(A13375,""bn"",""en"")"),"We will travel by car")</f>
        <v>We will travel by car</v>
      </c>
      <c r="D13375" s="5"/>
      <c r="E13375" s="5"/>
      <c r="F13375" s="5"/>
      <c r="G13375" s="5"/>
      <c r="H13375" s="5"/>
      <c r="I13375" s="5"/>
      <c r="J13375" s="5"/>
      <c r="K13375" s="5"/>
      <c r="L13375" s="5"/>
      <c r="M13375" s="5"/>
      <c r="N13375" s="5"/>
      <c r="O13375" s="5"/>
      <c r="P13375" s="5"/>
      <c r="Q13375" s="5"/>
      <c r="R13375" s="5"/>
      <c r="S13375" s="5"/>
      <c r="T13375" s="5"/>
      <c r="U13375" s="5"/>
      <c r="V13375" s="5"/>
      <c r="W13375" s="5"/>
      <c r="X13375" s="5"/>
      <c r="Y13375" s="5"/>
      <c r="Z13375" s="5"/>
    </row>
    <row r="13376" spans="1:26" ht="15" x14ac:dyDescent="0.25">
      <c r="A13376" s="4" t="s">
        <v>13373</v>
      </c>
      <c r="B13376" s="4" t="s">
        <v>9011</v>
      </c>
      <c r="C13376" s="2" t="str">
        <f ca="1">IFERROR(__xludf.DUMMYFUNCTION("GOOGLETRANSLATE(A13376,""bn"",""en"")"),"Wearing uniform will be compulsory")</f>
        <v>Wearing uniform will be compulsory</v>
      </c>
      <c r="D13376" s="5"/>
      <c r="E13376" s="5"/>
      <c r="F13376" s="5"/>
      <c r="G13376" s="5"/>
      <c r="H13376" s="5"/>
      <c r="I13376" s="5"/>
      <c r="J13376" s="5"/>
      <c r="K13376" s="5"/>
      <c r="L13376" s="5"/>
      <c r="M13376" s="5"/>
      <c r="N13376" s="5"/>
      <c r="O13376" s="5"/>
      <c r="P13376" s="5"/>
      <c r="Q13376" s="5"/>
      <c r="R13376" s="5"/>
      <c r="S13376" s="5"/>
      <c r="T13376" s="5"/>
      <c r="U13376" s="5"/>
      <c r="V13376" s="5"/>
      <c r="W13376" s="5"/>
      <c r="X13376" s="5"/>
      <c r="Y13376" s="5"/>
      <c r="Z13376" s="5"/>
    </row>
    <row r="13377" spans="1:26" ht="15" x14ac:dyDescent="0.25">
      <c r="A13377" s="4" t="s">
        <v>13374</v>
      </c>
      <c r="B13377" s="4" t="s">
        <v>9011</v>
      </c>
      <c r="C13377" s="2" t="str">
        <f ca="1">IFERROR(__xludf.DUMMYFUNCTION("GOOGLETRANSLATE(A13377,""bn"",""en"")"),"Many flowers will bloom in winter")</f>
        <v>Many flowers will bloom in winter</v>
      </c>
      <c r="D13377" s="5"/>
      <c r="E13377" s="5"/>
      <c r="F13377" s="5"/>
      <c r="G13377" s="5"/>
      <c r="H13377" s="5"/>
      <c r="I13377" s="5"/>
      <c r="J13377" s="5"/>
      <c r="K13377" s="5"/>
      <c r="L13377" s="5"/>
      <c r="M13377" s="5"/>
      <c r="N13377" s="5"/>
      <c r="O13377" s="5"/>
      <c r="P13377" s="5"/>
      <c r="Q13377" s="5"/>
      <c r="R13377" s="5"/>
      <c r="S13377" s="5"/>
      <c r="T13377" s="5"/>
      <c r="U13377" s="5"/>
      <c r="V13377" s="5"/>
      <c r="W13377" s="5"/>
      <c r="X13377" s="5"/>
      <c r="Y13377" s="5"/>
      <c r="Z13377" s="5"/>
    </row>
    <row r="13378" spans="1:26" ht="15" x14ac:dyDescent="0.25">
      <c r="A13378" s="4" t="s">
        <v>13375</v>
      </c>
      <c r="B13378" s="4" t="s">
        <v>9011</v>
      </c>
      <c r="C13378" s="2" t="str">
        <f ca="1">IFERROR(__xludf.DUMMYFUNCTION("GOOGLETRANSLATE(A13378,""bn"",""en"")"),"Robots will teach in the future")</f>
        <v>Robots will teach in the future</v>
      </c>
      <c r="D13378" s="5"/>
      <c r="E13378" s="5"/>
      <c r="F13378" s="5"/>
      <c r="G13378" s="5"/>
      <c r="H13378" s="5"/>
      <c r="I13378" s="5"/>
      <c r="J13378" s="5"/>
      <c r="K13378" s="5"/>
      <c r="L13378" s="5"/>
      <c r="M13378" s="5"/>
      <c r="N13378" s="5"/>
      <c r="O13378" s="5"/>
      <c r="P13378" s="5"/>
      <c r="Q13378" s="5"/>
      <c r="R13378" s="5"/>
      <c r="S13378" s="5"/>
      <c r="T13378" s="5"/>
      <c r="U13378" s="5"/>
      <c r="V13378" s="5"/>
      <c r="W13378" s="5"/>
      <c r="X13378" s="5"/>
      <c r="Y13378" s="5"/>
      <c r="Z13378" s="5"/>
    </row>
    <row r="13379" spans="1:26" ht="15" x14ac:dyDescent="0.25">
      <c r="A13379" s="4" t="s">
        <v>13376</v>
      </c>
      <c r="B13379" s="4" t="s">
        <v>9011</v>
      </c>
      <c r="C13379" s="2" t="str">
        <f ca="1">IFERROR(__xludf.DUMMYFUNCTION("GOOGLETRANSLATE(A13379,""bn"",""en"")"),"He will open a bank branch")</f>
        <v>He will open a bank branch</v>
      </c>
      <c r="D13379" s="5"/>
      <c r="E13379" s="5"/>
      <c r="F13379" s="5"/>
      <c r="G13379" s="5"/>
      <c r="H13379" s="5"/>
      <c r="I13379" s="5"/>
      <c r="J13379" s="5"/>
      <c r="K13379" s="5"/>
      <c r="L13379" s="5"/>
      <c r="M13379" s="5"/>
      <c r="N13379" s="5"/>
      <c r="O13379" s="5"/>
      <c r="P13379" s="5"/>
      <c r="Q13379" s="5"/>
      <c r="R13379" s="5"/>
      <c r="S13379" s="5"/>
      <c r="T13379" s="5"/>
      <c r="U13379" s="5"/>
      <c r="V13379" s="5"/>
      <c r="W13379" s="5"/>
      <c r="X13379" s="5"/>
      <c r="Y13379" s="5"/>
      <c r="Z13379" s="5"/>
    </row>
    <row r="13380" spans="1:26" ht="15" x14ac:dyDescent="0.25">
      <c r="A13380" s="4" t="s">
        <v>13377</v>
      </c>
      <c r="B13380" s="4" t="s">
        <v>9011</v>
      </c>
      <c r="C13380" s="2" t="str">
        <f ca="1">IFERROR(__xludf.DUMMYFUNCTION("GOOGLETRANSLATE(A13380,""bn"",""en"")"),"We will be at the music festival")</f>
        <v>We will be at the music festival</v>
      </c>
      <c r="D13380" s="5"/>
      <c r="E13380" s="5"/>
      <c r="F13380" s="5"/>
      <c r="G13380" s="5"/>
      <c r="H13380" s="5"/>
      <c r="I13380" s="5"/>
      <c r="J13380" s="5"/>
      <c r="K13380" s="5"/>
      <c r="L13380" s="5"/>
      <c r="M13380" s="5"/>
      <c r="N13380" s="5"/>
      <c r="O13380" s="5"/>
      <c r="P13380" s="5"/>
      <c r="Q13380" s="5"/>
      <c r="R13380" s="5"/>
      <c r="S13380" s="5"/>
      <c r="T13380" s="5"/>
      <c r="U13380" s="5"/>
      <c r="V13380" s="5"/>
      <c r="W13380" s="5"/>
      <c r="X13380" s="5"/>
      <c r="Y13380" s="5"/>
      <c r="Z13380" s="5"/>
    </row>
    <row r="13381" spans="1:26" ht="15" x14ac:dyDescent="0.25">
      <c r="A13381" s="4" t="s">
        <v>13378</v>
      </c>
      <c r="B13381" s="4" t="s">
        <v>9011</v>
      </c>
      <c r="C13381" s="2" t="str">
        <f ca="1">IFERROR(__xludf.DUMMYFUNCTION("GOOGLETRANSLATE(A13381,""bn"",""en"")"),"Kamal will play new songs")</f>
        <v>Kamal will play new songs</v>
      </c>
      <c r="D13381" s="5"/>
      <c r="E13381" s="5"/>
      <c r="F13381" s="5"/>
      <c r="G13381" s="5"/>
      <c r="H13381" s="5"/>
      <c r="I13381" s="5"/>
      <c r="J13381" s="5"/>
      <c r="K13381" s="5"/>
      <c r="L13381" s="5"/>
      <c r="M13381" s="5"/>
      <c r="N13381" s="5"/>
      <c r="O13381" s="5"/>
      <c r="P13381" s="5"/>
      <c r="Q13381" s="5"/>
      <c r="R13381" s="5"/>
      <c r="S13381" s="5"/>
      <c r="T13381" s="5"/>
      <c r="U13381" s="5"/>
      <c r="V13381" s="5"/>
      <c r="W13381" s="5"/>
      <c r="X13381" s="5"/>
      <c r="Y13381" s="5"/>
      <c r="Z13381" s="5"/>
    </row>
    <row r="13382" spans="1:26" ht="15" x14ac:dyDescent="0.25">
      <c r="A13382" s="4" t="s">
        <v>13379</v>
      </c>
      <c r="B13382" s="4" t="s">
        <v>9011</v>
      </c>
      <c r="C13382" s="2" t="str">
        <f ca="1">IFERROR(__xludf.DUMMYFUNCTION("GOOGLETRANSLATE(A13382,""bn"",""en"")"),"Modern preparations will continue in agriculture")</f>
        <v>Modern preparations will continue in agriculture</v>
      </c>
      <c r="D13382" s="5"/>
      <c r="E13382" s="5"/>
      <c r="F13382" s="5"/>
      <c r="G13382" s="5"/>
      <c r="H13382" s="5"/>
      <c r="I13382" s="5"/>
      <c r="J13382" s="5"/>
      <c r="K13382" s="5"/>
      <c r="L13382" s="5"/>
      <c r="M13382" s="5"/>
      <c r="N13382" s="5"/>
      <c r="O13382" s="5"/>
      <c r="P13382" s="5"/>
      <c r="Q13382" s="5"/>
      <c r="R13382" s="5"/>
      <c r="S13382" s="5"/>
      <c r="T13382" s="5"/>
      <c r="U13382" s="5"/>
      <c r="V13382" s="5"/>
      <c r="W13382" s="5"/>
      <c r="X13382" s="5"/>
      <c r="Y13382" s="5"/>
      <c r="Z13382" s="5"/>
    </row>
    <row r="13383" spans="1:26" ht="15" x14ac:dyDescent="0.25">
      <c r="A13383" s="4" t="s">
        <v>13380</v>
      </c>
      <c r="B13383" s="4" t="s">
        <v>9011</v>
      </c>
      <c r="C13383" s="2" t="str">
        <f ca="1">IFERROR(__xludf.DUMMYFUNCTION("GOOGLETRANSLATE(A13383,""bn"",""en"")"),"I will book the table")</f>
        <v>I will book the table</v>
      </c>
      <c r="D13383" s="5"/>
      <c r="E13383" s="5"/>
      <c r="F13383" s="5"/>
      <c r="G13383" s="5"/>
      <c r="H13383" s="5"/>
      <c r="I13383" s="5"/>
      <c r="J13383" s="5"/>
      <c r="K13383" s="5"/>
      <c r="L13383" s="5"/>
      <c r="M13383" s="5"/>
      <c r="N13383" s="5"/>
      <c r="O13383" s="5"/>
      <c r="P13383" s="5"/>
      <c r="Q13383" s="5"/>
      <c r="R13383" s="5"/>
      <c r="S13383" s="5"/>
      <c r="T13383" s="5"/>
      <c r="U13383" s="5"/>
      <c r="V13383" s="5"/>
      <c r="W13383" s="5"/>
      <c r="X13383" s="5"/>
      <c r="Y13383" s="5"/>
      <c r="Z13383" s="5"/>
    </row>
    <row r="13384" spans="1:26" ht="15" x14ac:dyDescent="0.25">
      <c r="A13384" s="4" t="s">
        <v>13381</v>
      </c>
      <c r="B13384" s="4" t="s">
        <v>9011</v>
      </c>
      <c r="C13384" s="2" t="str">
        <f ca="1">IFERROR(__xludf.DUMMYFUNCTION("GOOGLETRANSLATE(A13384,""bn"",""en"")"),"I will follow the design pattern")</f>
        <v>I will follow the design pattern</v>
      </c>
      <c r="D13384" s="5"/>
      <c r="E13384" s="5"/>
      <c r="F13384" s="5"/>
      <c r="G13384" s="5"/>
      <c r="H13384" s="5"/>
      <c r="I13384" s="5"/>
      <c r="J13384" s="5"/>
      <c r="K13384" s="5"/>
      <c r="L13384" s="5"/>
      <c r="M13384" s="5"/>
      <c r="N13384" s="5"/>
      <c r="O13384" s="5"/>
      <c r="P13384" s="5"/>
      <c r="Q13384" s="5"/>
      <c r="R13384" s="5"/>
      <c r="S13384" s="5"/>
      <c r="T13384" s="5"/>
      <c r="U13384" s="5"/>
      <c r="V13384" s="5"/>
      <c r="W13384" s="5"/>
      <c r="X13384" s="5"/>
      <c r="Y13384" s="5"/>
      <c r="Z13384" s="5"/>
    </row>
    <row r="13385" spans="1:26" ht="15" x14ac:dyDescent="0.25">
      <c r="A13385" s="4" t="s">
        <v>13382</v>
      </c>
      <c r="B13385" s="4" t="s">
        <v>9011</v>
      </c>
      <c r="C13385" s="2" t="str">
        <f ca="1">IFERROR(__xludf.DUMMYFUNCTION("GOOGLETRANSLATE(A13385,""bn"",""en"")"),"Software testing will be implemented")</f>
        <v>Software testing will be implemented</v>
      </c>
      <c r="D13385" s="5"/>
      <c r="E13385" s="5"/>
      <c r="F13385" s="5"/>
      <c r="G13385" s="5"/>
      <c r="H13385" s="5"/>
      <c r="I13385" s="5"/>
      <c r="J13385" s="5"/>
      <c r="K13385" s="5"/>
      <c r="L13385" s="5"/>
      <c r="M13385" s="5"/>
      <c r="N13385" s="5"/>
      <c r="O13385" s="5"/>
      <c r="P13385" s="5"/>
      <c r="Q13385" s="5"/>
      <c r="R13385" s="5"/>
      <c r="S13385" s="5"/>
      <c r="T13385" s="5"/>
      <c r="U13385" s="5"/>
      <c r="V13385" s="5"/>
      <c r="W13385" s="5"/>
      <c r="X13385" s="5"/>
      <c r="Y13385" s="5"/>
      <c r="Z13385" s="5"/>
    </row>
    <row r="13386" spans="1:26" ht="15" x14ac:dyDescent="0.25">
      <c r="A13386" s="4" t="s">
        <v>13383</v>
      </c>
      <c r="B13386" s="4" t="s">
        <v>9011</v>
      </c>
      <c r="C13386" s="2" t="str">
        <f ca="1">IFERROR(__xludf.DUMMYFUNCTION("GOOGLETRANSLATE(A13386,""bn"",""en"")"),"Biometric verification will continue")</f>
        <v>Biometric verification will continue</v>
      </c>
      <c r="D13386" s="5"/>
      <c r="E13386" s="5"/>
      <c r="F13386" s="5"/>
      <c r="G13386" s="5"/>
      <c r="H13386" s="5"/>
      <c r="I13386" s="5"/>
      <c r="J13386" s="5"/>
      <c r="K13386" s="5"/>
      <c r="L13386" s="5"/>
      <c r="M13386" s="5"/>
      <c r="N13386" s="5"/>
      <c r="O13386" s="5"/>
      <c r="P13386" s="5"/>
      <c r="Q13386" s="5"/>
      <c r="R13386" s="5"/>
      <c r="S13386" s="5"/>
      <c r="T13386" s="5"/>
      <c r="U13386" s="5"/>
      <c r="V13386" s="5"/>
      <c r="W13386" s="5"/>
      <c r="X13386" s="5"/>
      <c r="Y13386" s="5"/>
      <c r="Z13386" s="5"/>
    </row>
    <row r="13387" spans="1:26" ht="15" x14ac:dyDescent="0.25">
      <c r="A13387" s="4" t="s">
        <v>13384</v>
      </c>
      <c r="B13387" s="4" t="s">
        <v>9011</v>
      </c>
      <c r="C13387" s="2" t="str">
        <f ca="1">IFERROR(__xludf.DUMMYFUNCTION("GOOGLETRANSLATE(A13387,""bn"",""en"")"),"This will be the new library")</f>
        <v>This will be the new library</v>
      </c>
      <c r="D13387" s="5"/>
      <c r="E13387" s="5"/>
      <c r="F13387" s="5"/>
      <c r="G13387" s="5"/>
      <c r="H13387" s="5"/>
      <c r="I13387" s="5"/>
      <c r="J13387" s="5"/>
      <c r="K13387" s="5"/>
      <c r="L13387" s="5"/>
      <c r="M13387" s="5"/>
      <c r="N13387" s="5"/>
      <c r="O13387" s="5"/>
      <c r="P13387" s="5"/>
      <c r="Q13387" s="5"/>
      <c r="R13387" s="5"/>
      <c r="S13387" s="5"/>
      <c r="T13387" s="5"/>
      <c r="U13387" s="5"/>
      <c r="V13387" s="5"/>
      <c r="W13387" s="5"/>
      <c r="X13387" s="5"/>
      <c r="Y13387" s="5"/>
      <c r="Z13387" s="5"/>
    </row>
    <row r="13388" spans="1:26" ht="15" x14ac:dyDescent="0.25">
      <c r="A13388" s="4" t="s">
        <v>13385</v>
      </c>
      <c r="B13388" s="4" t="s">
        <v>9011</v>
      </c>
      <c r="C13388" s="2" t="str">
        <f ca="1">IFERROR(__xludf.DUMMYFUNCTION("GOOGLETRANSLATE(A13388,""bn"",""en"")"),"The developed market will be in exchange")</f>
        <v>The developed market will be in exchange</v>
      </c>
      <c r="D13388" s="5"/>
      <c r="E13388" s="5"/>
      <c r="F13388" s="5"/>
      <c r="G13388" s="5"/>
      <c r="H13388" s="5"/>
      <c r="I13388" s="5"/>
      <c r="J13388" s="5"/>
      <c r="K13388" s="5"/>
      <c r="L13388" s="5"/>
      <c r="M13388" s="5"/>
      <c r="N13388" s="5"/>
      <c r="O13388" s="5"/>
      <c r="P13388" s="5"/>
      <c r="Q13388" s="5"/>
      <c r="R13388" s="5"/>
      <c r="S13388" s="5"/>
      <c r="T13388" s="5"/>
      <c r="U13388" s="5"/>
      <c r="V13388" s="5"/>
      <c r="W13388" s="5"/>
      <c r="X13388" s="5"/>
      <c r="Y13388" s="5"/>
      <c r="Z13388" s="5"/>
    </row>
    <row r="13389" spans="1:26" ht="15" x14ac:dyDescent="0.25">
      <c r="A13389" s="4" t="s">
        <v>13386</v>
      </c>
      <c r="B13389" s="4" t="s">
        <v>9011</v>
      </c>
      <c r="C13389" s="2" t="str">
        <f ca="1">IFERROR(__xludf.DUMMYFUNCTION("GOOGLETRANSLATE(A13389,""bn"",""en"")"),"It will rain with strong winds")</f>
        <v>It will rain with strong winds</v>
      </c>
      <c r="D13389" s="5"/>
      <c r="E13389" s="5"/>
      <c r="F13389" s="5"/>
      <c r="G13389" s="5"/>
      <c r="H13389" s="5"/>
      <c r="I13389" s="5"/>
      <c r="J13389" s="5"/>
      <c r="K13389" s="5"/>
      <c r="L13389" s="5"/>
      <c r="M13389" s="5"/>
      <c r="N13389" s="5"/>
      <c r="O13389" s="5"/>
      <c r="P13389" s="5"/>
      <c r="Q13389" s="5"/>
      <c r="R13389" s="5"/>
      <c r="S13389" s="5"/>
      <c r="T13389" s="5"/>
      <c r="U13389" s="5"/>
      <c r="V13389" s="5"/>
      <c r="W13389" s="5"/>
      <c r="X13389" s="5"/>
      <c r="Y13389" s="5"/>
      <c r="Z13389" s="5"/>
    </row>
    <row r="13390" spans="1:26" ht="15" x14ac:dyDescent="0.25">
      <c r="A13390" s="4" t="s">
        <v>13387</v>
      </c>
      <c r="B13390" s="4" t="s">
        <v>9011</v>
      </c>
      <c r="C13390" s="2" t="str">
        <f ca="1">IFERROR(__xludf.DUMMYFUNCTION("GOOGLETRANSLATE(A13390,""bn"",""en"")"),"All waterfalls will freeze")</f>
        <v>All waterfalls will freeze</v>
      </c>
      <c r="D13390" s="5"/>
      <c r="E13390" s="5"/>
      <c r="F13390" s="5"/>
      <c r="G13390" s="5"/>
      <c r="H13390" s="5"/>
      <c r="I13390" s="5"/>
      <c r="J13390" s="5"/>
      <c r="K13390" s="5"/>
      <c r="L13390" s="5"/>
      <c r="M13390" s="5"/>
      <c r="N13390" s="5"/>
      <c r="O13390" s="5"/>
      <c r="P13390" s="5"/>
      <c r="Q13390" s="5"/>
      <c r="R13390" s="5"/>
      <c r="S13390" s="5"/>
      <c r="T13390" s="5"/>
      <c r="U13390" s="5"/>
      <c r="V13390" s="5"/>
      <c r="W13390" s="5"/>
      <c r="X13390" s="5"/>
      <c r="Y13390" s="5"/>
      <c r="Z13390" s="5"/>
    </row>
    <row r="13391" spans="1:26" ht="15" x14ac:dyDescent="0.25">
      <c r="A13391" s="4" t="s">
        <v>13388</v>
      </c>
      <c r="B13391" s="4" t="s">
        <v>9011</v>
      </c>
      <c r="C13391" s="2" t="str">
        <f ca="1">IFERROR(__xludf.DUMMYFUNCTION("GOOGLETRANSLATE(A13391,""bn"",""en"")"),"Robots will work in factories")</f>
        <v>Robots will work in factories</v>
      </c>
      <c r="D13391" s="5"/>
      <c r="E13391" s="5"/>
      <c r="F13391" s="5"/>
      <c r="G13391" s="5"/>
      <c r="H13391" s="5"/>
      <c r="I13391" s="5"/>
      <c r="J13391" s="5"/>
      <c r="K13391" s="5"/>
      <c r="L13391" s="5"/>
      <c r="M13391" s="5"/>
      <c r="N13391" s="5"/>
      <c r="O13391" s="5"/>
      <c r="P13391" s="5"/>
      <c r="Q13391" s="5"/>
      <c r="R13391" s="5"/>
      <c r="S13391" s="5"/>
      <c r="T13391" s="5"/>
      <c r="U13391" s="5"/>
      <c r="V13391" s="5"/>
      <c r="W13391" s="5"/>
      <c r="X13391" s="5"/>
      <c r="Y13391" s="5"/>
      <c r="Z13391" s="5"/>
    </row>
    <row r="13392" spans="1:26" ht="15" x14ac:dyDescent="0.25">
      <c r="A13392" s="4" t="s">
        <v>13389</v>
      </c>
      <c r="B13392" s="4" t="s">
        <v>9011</v>
      </c>
      <c r="C13392" s="2" t="str">
        <f ca="1">IFERROR(__xludf.DUMMYFUNCTION("GOOGLETRANSLATE(A13392,""bn"",""en"")"),"The sound of the rain will be mind blowing")</f>
        <v>The sound of the rain will be mind blowing</v>
      </c>
      <c r="D13392" s="5"/>
      <c r="E13392" s="5"/>
      <c r="F13392" s="5"/>
      <c r="G13392" s="5"/>
      <c r="H13392" s="5"/>
      <c r="I13392" s="5"/>
      <c r="J13392" s="5"/>
      <c r="K13392" s="5"/>
      <c r="L13392" s="5"/>
      <c r="M13392" s="5"/>
      <c r="N13392" s="5"/>
      <c r="O13392" s="5"/>
      <c r="P13392" s="5"/>
      <c r="Q13392" s="5"/>
      <c r="R13392" s="5"/>
      <c r="S13392" s="5"/>
      <c r="T13392" s="5"/>
      <c r="U13392" s="5"/>
      <c r="V13392" s="5"/>
      <c r="W13392" s="5"/>
      <c r="X13392" s="5"/>
      <c r="Y13392" s="5"/>
      <c r="Z13392" s="5"/>
    </row>
    <row r="13393" spans="1:26" ht="15" x14ac:dyDescent="0.25">
      <c r="A13393" s="4" t="s">
        <v>13390</v>
      </c>
      <c r="B13393" s="4" t="s">
        <v>9011</v>
      </c>
      <c r="C13393" s="2" t="str">
        <f ca="1">IFERROR(__xludf.DUMMYFUNCTION("GOOGLETRANSLATE(A13393,""bn"",""en"")"),"The use of technology will increase in education")</f>
        <v>The use of technology will increase in education</v>
      </c>
      <c r="D13393" s="5"/>
      <c r="E13393" s="5"/>
      <c r="F13393" s="5"/>
      <c r="G13393" s="5"/>
      <c r="H13393" s="5"/>
      <c r="I13393" s="5"/>
      <c r="J13393" s="5"/>
      <c r="K13393" s="5"/>
      <c r="L13393" s="5"/>
      <c r="M13393" s="5"/>
      <c r="N13393" s="5"/>
      <c r="O13393" s="5"/>
      <c r="P13393" s="5"/>
      <c r="Q13393" s="5"/>
      <c r="R13393" s="5"/>
      <c r="S13393" s="5"/>
      <c r="T13393" s="5"/>
      <c r="U13393" s="5"/>
      <c r="V13393" s="5"/>
      <c r="W13393" s="5"/>
      <c r="X13393" s="5"/>
      <c r="Y13393" s="5"/>
      <c r="Z13393" s="5"/>
    </row>
    <row r="13394" spans="1:26" ht="15" x14ac:dyDescent="0.25">
      <c r="A13394" s="4" t="s">
        <v>13391</v>
      </c>
      <c r="B13394" s="4" t="s">
        <v>9011</v>
      </c>
      <c r="C13394" s="2" t="str">
        <f ca="1">IFERROR(__xludf.DUMMYFUNCTION("GOOGLETRANSLATE(A13394,""bn"",""en"")"),"Education will develop rapidly")</f>
        <v>Education will develop rapidly</v>
      </c>
      <c r="D13394" s="5"/>
      <c r="E13394" s="5"/>
      <c r="F13394" s="5"/>
      <c r="G13394" s="5"/>
      <c r="H13394" s="5"/>
      <c r="I13394" s="5"/>
      <c r="J13394" s="5"/>
      <c r="K13394" s="5"/>
      <c r="L13394" s="5"/>
      <c r="M13394" s="5"/>
      <c r="N13394" s="5"/>
      <c r="O13394" s="5"/>
      <c r="P13394" s="5"/>
      <c r="Q13394" s="5"/>
      <c r="R13394" s="5"/>
      <c r="S13394" s="5"/>
      <c r="T13394" s="5"/>
      <c r="U13394" s="5"/>
      <c r="V13394" s="5"/>
      <c r="W13394" s="5"/>
      <c r="X13394" s="5"/>
      <c r="Y13394" s="5"/>
      <c r="Z13394" s="5"/>
    </row>
    <row r="13395" spans="1:26" ht="15" x14ac:dyDescent="0.25">
      <c r="A13395" s="4" t="s">
        <v>13392</v>
      </c>
      <c r="B13395" s="4" t="s">
        <v>9011</v>
      </c>
      <c r="C13395" s="2" t="str">
        <f ca="1">IFERROR(__xludf.DUMMYFUNCTION("GOOGLETRANSLATE(A13395,""bn"",""en"")"),"I will see the city by sitting on the train")</f>
        <v>I will see the city by sitting on the train</v>
      </c>
      <c r="D13395" s="5"/>
      <c r="E13395" s="5"/>
      <c r="F13395" s="5"/>
      <c r="G13395" s="5"/>
      <c r="H13395" s="5"/>
      <c r="I13395" s="5"/>
      <c r="J13395" s="5"/>
      <c r="K13395" s="5"/>
      <c r="L13395" s="5"/>
      <c r="M13395" s="5"/>
      <c r="N13395" s="5"/>
      <c r="O13395" s="5"/>
      <c r="P13395" s="5"/>
      <c r="Q13395" s="5"/>
      <c r="R13395" s="5"/>
      <c r="S13395" s="5"/>
      <c r="T13395" s="5"/>
      <c r="U13395" s="5"/>
      <c r="V13395" s="5"/>
      <c r="W13395" s="5"/>
      <c r="X13395" s="5"/>
      <c r="Y13395" s="5"/>
      <c r="Z13395" s="5"/>
    </row>
    <row r="13396" spans="1:26" ht="15" x14ac:dyDescent="0.25">
      <c r="A13396" s="4" t="s">
        <v>13393</v>
      </c>
      <c r="B13396" s="4" t="s">
        <v>9011</v>
      </c>
      <c r="C13396" s="2" t="str">
        <f ca="1">IFERROR(__xludf.DUMMYFUNCTION("GOOGLETRANSLATE(A13396,""bn"",""en"")"),"will add real profit")</f>
        <v>will add real profit</v>
      </c>
      <c r="D13396" s="5"/>
      <c r="E13396" s="5"/>
      <c r="F13396" s="5"/>
      <c r="G13396" s="5"/>
      <c r="H13396" s="5"/>
      <c r="I13396" s="5"/>
      <c r="J13396" s="5"/>
      <c r="K13396" s="5"/>
      <c r="L13396" s="5"/>
      <c r="M13396" s="5"/>
      <c r="N13396" s="5"/>
      <c r="O13396" s="5"/>
      <c r="P13396" s="5"/>
      <c r="Q13396" s="5"/>
      <c r="R13396" s="5"/>
      <c r="S13396" s="5"/>
      <c r="T13396" s="5"/>
      <c r="U13396" s="5"/>
      <c r="V13396" s="5"/>
      <c r="W13396" s="5"/>
      <c r="X13396" s="5"/>
      <c r="Y13396" s="5"/>
      <c r="Z13396" s="5"/>
    </row>
    <row r="13397" spans="1:26" ht="15" x14ac:dyDescent="0.25">
      <c r="A13397" s="4" t="s">
        <v>13394</v>
      </c>
      <c r="B13397" s="4" t="s">
        <v>9011</v>
      </c>
      <c r="C13397" s="2" t="str">
        <f ca="1">IFERROR(__xludf.DUMMYFUNCTION("GOOGLETRANSLATE(A13397,""bn"",""en"")"),"I will get many books at the book fair")</f>
        <v>I will get many books at the book fair</v>
      </c>
      <c r="D13397" s="5"/>
      <c r="E13397" s="5"/>
      <c r="F13397" s="5"/>
      <c r="G13397" s="5"/>
      <c r="H13397" s="5"/>
      <c r="I13397" s="5"/>
      <c r="J13397" s="5"/>
      <c r="K13397" s="5"/>
      <c r="L13397" s="5"/>
      <c r="M13397" s="5"/>
      <c r="N13397" s="5"/>
      <c r="O13397" s="5"/>
      <c r="P13397" s="5"/>
      <c r="Q13397" s="5"/>
      <c r="R13397" s="5"/>
      <c r="S13397" s="5"/>
      <c r="T13397" s="5"/>
      <c r="U13397" s="5"/>
      <c r="V13397" s="5"/>
      <c r="W13397" s="5"/>
      <c r="X13397" s="5"/>
      <c r="Y13397" s="5"/>
      <c r="Z13397" s="5"/>
    </row>
    <row r="13398" spans="1:26" ht="15" x14ac:dyDescent="0.25">
      <c r="A13398" s="4" t="s">
        <v>13395</v>
      </c>
      <c r="B13398" s="4" t="s">
        <v>9011</v>
      </c>
      <c r="C13398" s="2" t="str">
        <f ca="1">IFERROR(__xludf.DUMMYFUNCTION("GOOGLETRANSLATE(A13398,""bn"",""en"")"),"I will go on a mountain tour in winter")</f>
        <v>I will go on a mountain tour in winter</v>
      </c>
      <c r="D13398" s="5"/>
      <c r="E13398" s="5"/>
      <c r="F13398" s="5"/>
      <c r="G13398" s="5"/>
      <c r="H13398" s="5"/>
      <c r="I13398" s="5"/>
      <c r="J13398" s="5"/>
      <c r="K13398" s="5"/>
      <c r="L13398" s="5"/>
      <c r="M13398" s="5"/>
      <c r="N13398" s="5"/>
      <c r="O13398" s="5"/>
      <c r="P13398" s="5"/>
      <c r="Q13398" s="5"/>
      <c r="R13398" s="5"/>
      <c r="S13398" s="5"/>
      <c r="T13398" s="5"/>
      <c r="U13398" s="5"/>
      <c r="V13398" s="5"/>
      <c r="W13398" s="5"/>
      <c r="X13398" s="5"/>
      <c r="Y13398" s="5"/>
      <c r="Z13398" s="5"/>
    </row>
    <row r="13399" spans="1:26" ht="15" x14ac:dyDescent="0.25">
      <c r="A13399" s="4" t="s">
        <v>13396</v>
      </c>
      <c r="B13399" s="4" t="s">
        <v>9011</v>
      </c>
      <c r="C13399" s="2" t="str">
        <f ca="1">IFERROR(__xludf.DUMMYFUNCTION("GOOGLETRANSLATE(A13399,""bn"",""en"")"),"Healthy food will be ordered")</f>
        <v>Healthy food will be ordered</v>
      </c>
      <c r="D13399" s="5"/>
      <c r="E13399" s="5"/>
      <c r="F13399" s="5"/>
      <c r="G13399" s="5"/>
      <c r="H13399" s="5"/>
      <c r="I13399" s="5"/>
      <c r="J13399" s="5"/>
      <c r="K13399" s="5"/>
      <c r="L13399" s="5"/>
      <c r="M13399" s="5"/>
      <c r="N13399" s="5"/>
      <c r="O13399" s="5"/>
      <c r="P13399" s="5"/>
      <c r="Q13399" s="5"/>
      <c r="R13399" s="5"/>
      <c r="S13399" s="5"/>
      <c r="T13399" s="5"/>
      <c r="U13399" s="5"/>
      <c r="V13399" s="5"/>
      <c r="W13399" s="5"/>
      <c r="X13399" s="5"/>
      <c r="Y13399" s="5"/>
      <c r="Z13399" s="5"/>
    </row>
    <row r="13400" spans="1:26" ht="15" x14ac:dyDescent="0.25">
      <c r="A13400" s="4" t="s">
        <v>13397</v>
      </c>
      <c r="B13400" s="4" t="s">
        <v>9011</v>
      </c>
      <c r="C13400" s="2" t="str">
        <f ca="1">IFERROR(__xludf.DUMMYFUNCTION("GOOGLETRANSLATE(A13400,""bn"",""en"")"),"He will use IR")</f>
        <v>He will use IR</v>
      </c>
      <c r="D13400" s="5"/>
      <c r="E13400" s="5"/>
      <c r="F13400" s="5"/>
      <c r="G13400" s="5"/>
      <c r="H13400" s="5"/>
      <c r="I13400" s="5"/>
      <c r="J13400" s="5"/>
      <c r="K13400" s="5"/>
      <c r="L13400" s="5"/>
      <c r="M13400" s="5"/>
      <c r="N13400" s="5"/>
      <c r="O13400" s="5"/>
      <c r="P13400" s="5"/>
      <c r="Q13400" s="5"/>
      <c r="R13400" s="5"/>
      <c r="S13400" s="5"/>
      <c r="T13400" s="5"/>
      <c r="U13400" s="5"/>
      <c r="V13400" s="5"/>
      <c r="W13400" s="5"/>
      <c r="X13400" s="5"/>
      <c r="Y13400" s="5"/>
      <c r="Z13400" s="5"/>
    </row>
    <row r="13401" spans="1:26" ht="15" x14ac:dyDescent="0.25">
      <c r="A13401" s="4" t="s">
        <v>13398</v>
      </c>
      <c r="B13401" s="4" t="s">
        <v>9011</v>
      </c>
      <c r="C13401" s="2" t="str">
        <f ca="1">IFERROR(__xludf.DUMMYFUNCTION("GOOGLETRANSLATE(A13401,""bn"",""en"")"),"Cold air will move more")</f>
        <v>Cold air will move more</v>
      </c>
      <c r="D13401" s="5"/>
      <c r="E13401" s="5"/>
      <c r="F13401" s="5"/>
      <c r="G13401" s="5"/>
      <c r="H13401" s="5"/>
      <c r="I13401" s="5"/>
      <c r="J13401" s="5"/>
      <c r="K13401" s="5"/>
      <c r="L13401" s="5"/>
      <c r="M13401" s="5"/>
      <c r="N13401" s="5"/>
      <c r="O13401" s="5"/>
      <c r="P13401" s="5"/>
      <c r="Q13401" s="5"/>
      <c r="R13401" s="5"/>
      <c r="S13401" s="5"/>
      <c r="T13401" s="5"/>
      <c r="U13401" s="5"/>
      <c r="V13401" s="5"/>
      <c r="W13401" s="5"/>
      <c r="X13401" s="5"/>
      <c r="Y13401" s="5"/>
      <c r="Z13401" s="5"/>
    </row>
    <row r="13402" spans="1:26" ht="15" x14ac:dyDescent="0.25">
      <c r="A13402" s="4" t="s">
        <v>13399</v>
      </c>
      <c r="B13402" s="4" t="s">
        <v>9011</v>
      </c>
      <c r="C13402" s="2" t="str">
        <f ca="1">IFERROR(__xludf.DUMMYFUNCTION("GOOGLETRANSLATE(A13402,""bn"",""en"")"),"You eat hot dogs")</f>
        <v>You eat hot dogs</v>
      </c>
      <c r="D13402" s="5"/>
      <c r="E13402" s="5"/>
      <c r="F13402" s="5"/>
      <c r="G13402" s="5"/>
      <c r="H13402" s="5"/>
      <c r="I13402" s="5"/>
      <c r="J13402" s="5"/>
      <c r="K13402" s="5"/>
      <c r="L13402" s="5"/>
      <c r="M13402" s="5"/>
      <c r="N13402" s="5"/>
      <c r="O13402" s="5"/>
      <c r="P13402" s="5"/>
      <c r="Q13402" s="5"/>
      <c r="R13402" s="5"/>
      <c r="S13402" s="5"/>
      <c r="T13402" s="5"/>
      <c r="U13402" s="5"/>
      <c r="V13402" s="5"/>
      <c r="W13402" s="5"/>
      <c r="X13402" s="5"/>
      <c r="Y13402" s="5"/>
      <c r="Z13402" s="5"/>
    </row>
    <row r="13403" spans="1:26" ht="15" x14ac:dyDescent="0.25">
      <c r="A13403" s="4" t="s">
        <v>13400</v>
      </c>
      <c r="B13403" s="4" t="s">
        <v>9011</v>
      </c>
      <c r="C13403" s="2" t="str">
        <f ca="1">IFERROR(__xludf.DUMMYFUNCTION("GOOGLETRANSLATE(A13403,""bn"",""en"")"),"Doing business will be easy")</f>
        <v>Doing business will be easy</v>
      </c>
      <c r="D13403" s="5"/>
      <c r="E13403" s="5"/>
      <c r="F13403" s="5"/>
      <c r="G13403" s="5"/>
      <c r="H13403" s="5"/>
      <c r="I13403" s="5"/>
      <c r="J13403" s="5"/>
      <c r="K13403" s="5"/>
      <c r="L13403" s="5"/>
      <c r="M13403" s="5"/>
      <c r="N13403" s="5"/>
      <c r="O13403" s="5"/>
      <c r="P13403" s="5"/>
      <c r="Q13403" s="5"/>
      <c r="R13403" s="5"/>
      <c r="S13403" s="5"/>
      <c r="T13403" s="5"/>
      <c r="U13403" s="5"/>
      <c r="V13403" s="5"/>
      <c r="W13403" s="5"/>
      <c r="X13403" s="5"/>
      <c r="Y13403" s="5"/>
      <c r="Z13403" s="5"/>
    </row>
    <row r="13404" spans="1:26" ht="15" x14ac:dyDescent="0.25">
      <c r="A13404" s="4" t="s">
        <v>13401</v>
      </c>
      <c r="B13404" s="4" t="s">
        <v>9011</v>
      </c>
      <c r="C13404" s="2" t="str">
        <f ca="1">IFERROR(__xludf.DUMMYFUNCTION("GOOGLETRANSLATE(A13404,""bn"",""en"")"),"The patient will come again")</f>
        <v>The patient will come again</v>
      </c>
      <c r="D13404" s="5"/>
      <c r="E13404" s="5"/>
      <c r="F13404" s="5"/>
      <c r="G13404" s="5"/>
      <c r="H13404" s="5"/>
      <c r="I13404" s="5"/>
      <c r="J13404" s="5"/>
      <c r="K13404" s="5"/>
      <c r="L13404" s="5"/>
      <c r="M13404" s="5"/>
      <c r="N13404" s="5"/>
      <c r="O13404" s="5"/>
      <c r="P13404" s="5"/>
      <c r="Q13404" s="5"/>
      <c r="R13404" s="5"/>
      <c r="S13404" s="5"/>
      <c r="T13404" s="5"/>
      <c r="U13404" s="5"/>
      <c r="V13404" s="5"/>
      <c r="W13404" s="5"/>
      <c r="X13404" s="5"/>
      <c r="Y13404" s="5"/>
      <c r="Z13404" s="5"/>
    </row>
    <row r="13405" spans="1:26" ht="15" x14ac:dyDescent="0.25">
      <c r="A13405" s="4" t="s">
        <v>13402</v>
      </c>
      <c r="B13405" s="4" t="s">
        <v>9011</v>
      </c>
      <c r="C13405" s="2" t="str">
        <f ca="1">IFERROR(__xludf.DUMMYFUNCTION("GOOGLETRANSLATE(A13405,""bn"",""en"")"),"They will go to the new classroom")</f>
        <v>They will go to the new classroom</v>
      </c>
      <c r="D13405" s="5"/>
      <c r="E13405" s="5"/>
      <c r="F13405" s="5"/>
      <c r="G13405" s="5"/>
      <c r="H13405" s="5"/>
      <c r="I13405" s="5"/>
      <c r="J13405" s="5"/>
      <c r="K13405" s="5"/>
      <c r="L13405" s="5"/>
      <c r="M13405" s="5"/>
      <c r="N13405" s="5"/>
      <c r="O13405" s="5"/>
      <c r="P13405" s="5"/>
      <c r="Q13405" s="5"/>
      <c r="R13405" s="5"/>
      <c r="S13405" s="5"/>
      <c r="T13405" s="5"/>
      <c r="U13405" s="5"/>
      <c r="V13405" s="5"/>
      <c r="W13405" s="5"/>
      <c r="X13405" s="5"/>
      <c r="Y13405" s="5"/>
      <c r="Z13405" s="5"/>
    </row>
    <row r="13406" spans="1:26" ht="15" x14ac:dyDescent="0.25">
      <c r="A13406" s="4" t="s">
        <v>13403</v>
      </c>
      <c r="B13406" s="4" t="s">
        <v>9011</v>
      </c>
      <c r="C13406" s="2" t="str">
        <f ca="1">IFERROR(__xludf.DUMMYFUNCTION("GOOGLETRANSLATE(A13406,""bn"",""en"")"),"The music will start playing")</f>
        <v>The music will start playing</v>
      </c>
      <c r="D13406" s="5"/>
      <c r="E13406" s="5"/>
      <c r="F13406" s="5"/>
      <c r="G13406" s="5"/>
      <c r="H13406" s="5"/>
      <c r="I13406" s="5"/>
      <c r="J13406" s="5"/>
      <c r="K13406" s="5"/>
      <c r="L13406" s="5"/>
      <c r="M13406" s="5"/>
      <c r="N13406" s="5"/>
      <c r="O13406" s="5"/>
      <c r="P13406" s="5"/>
      <c r="Q13406" s="5"/>
      <c r="R13406" s="5"/>
      <c r="S13406" s="5"/>
      <c r="T13406" s="5"/>
      <c r="U13406" s="5"/>
      <c r="V13406" s="5"/>
      <c r="W13406" s="5"/>
      <c r="X13406" s="5"/>
      <c r="Y13406" s="5"/>
      <c r="Z13406" s="5"/>
    </row>
    <row r="13407" spans="1:26" ht="15" x14ac:dyDescent="0.25">
      <c r="A13407" s="4" t="s">
        <v>13404</v>
      </c>
      <c r="B13407" s="4" t="s">
        <v>9011</v>
      </c>
      <c r="C13407" s="2" t="str">
        <f ca="1">IFERROR(__xludf.DUMMYFUNCTION("GOOGLETRANSLATE(A13407,""bn"",""en"")"),"We will swim in the afternoon")</f>
        <v>We will swim in the afternoon</v>
      </c>
      <c r="D13407" s="5"/>
      <c r="E13407" s="5"/>
      <c r="F13407" s="5"/>
      <c r="G13407" s="5"/>
      <c r="H13407" s="5"/>
      <c r="I13407" s="5"/>
      <c r="J13407" s="5"/>
      <c r="K13407" s="5"/>
      <c r="L13407" s="5"/>
      <c r="M13407" s="5"/>
      <c r="N13407" s="5"/>
      <c r="O13407" s="5"/>
      <c r="P13407" s="5"/>
      <c r="Q13407" s="5"/>
      <c r="R13407" s="5"/>
      <c r="S13407" s="5"/>
      <c r="T13407" s="5"/>
      <c r="U13407" s="5"/>
      <c r="V13407" s="5"/>
      <c r="W13407" s="5"/>
      <c r="X13407" s="5"/>
      <c r="Y13407" s="5"/>
      <c r="Z13407" s="5"/>
    </row>
    <row r="13408" spans="1:26" ht="15" x14ac:dyDescent="0.25">
      <c r="A13408" s="4" t="s">
        <v>13405</v>
      </c>
      <c r="B13408" s="4" t="s">
        <v>9011</v>
      </c>
      <c r="C13408" s="2" t="str">
        <f ca="1">IFERROR(__xludf.DUMMYFUNCTION("GOOGLETRANSLATE(A13408,""bn"",""en"")"),"You order pizza")</f>
        <v>You order pizza</v>
      </c>
      <c r="D13408" s="5"/>
      <c r="E13408" s="5"/>
      <c r="F13408" s="5"/>
      <c r="G13408" s="5"/>
      <c r="H13408" s="5"/>
      <c r="I13408" s="5"/>
      <c r="J13408" s="5"/>
      <c r="K13408" s="5"/>
      <c r="L13408" s="5"/>
      <c r="M13408" s="5"/>
      <c r="N13408" s="5"/>
      <c r="O13408" s="5"/>
      <c r="P13408" s="5"/>
      <c r="Q13408" s="5"/>
      <c r="R13408" s="5"/>
      <c r="S13408" s="5"/>
      <c r="T13408" s="5"/>
      <c r="U13408" s="5"/>
      <c r="V13408" s="5"/>
      <c r="W13408" s="5"/>
      <c r="X13408" s="5"/>
      <c r="Y13408" s="5"/>
      <c r="Z13408" s="5"/>
    </row>
    <row r="13409" spans="1:26" ht="15" x14ac:dyDescent="0.25">
      <c r="A13409" s="4" t="s">
        <v>13406</v>
      </c>
      <c r="B13409" s="4" t="s">
        <v>9011</v>
      </c>
      <c r="C13409" s="2" t="str">
        <f ca="1">IFERROR(__xludf.DUMMYFUNCTION("GOOGLETRANSLATE(A13409,""bn"",""en"")"),"The World Bank will list them")</f>
        <v>The World Bank will list them</v>
      </c>
      <c r="D13409" s="5"/>
      <c r="E13409" s="5"/>
      <c r="F13409" s="5"/>
      <c r="G13409" s="5"/>
      <c r="H13409" s="5"/>
      <c r="I13409" s="5"/>
      <c r="J13409" s="5"/>
      <c r="K13409" s="5"/>
      <c r="L13409" s="5"/>
      <c r="M13409" s="5"/>
      <c r="N13409" s="5"/>
      <c r="O13409" s="5"/>
      <c r="P13409" s="5"/>
      <c r="Q13409" s="5"/>
      <c r="R13409" s="5"/>
      <c r="S13409" s="5"/>
      <c r="T13409" s="5"/>
      <c r="U13409" s="5"/>
      <c r="V13409" s="5"/>
      <c r="W13409" s="5"/>
      <c r="X13409" s="5"/>
      <c r="Y13409" s="5"/>
      <c r="Z13409" s="5"/>
    </row>
    <row r="13410" spans="1:26" ht="15" x14ac:dyDescent="0.25">
      <c r="A13410" s="4" t="s">
        <v>13407</v>
      </c>
      <c r="B13410" s="4" t="s">
        <v>9011</v>
      </c>
      <c r="C13410" s="2" t="str">
        <f ca="1">IFERROR(__xludf.DUMMYFUNCTION("GOOGLETRANSLATE(A13410,""bn"",""en"")"),"The exam will be organized successfully")</f>
        <v>The exam will be organized successfully</v>
      </c>
      <c r="D13410" s="5"/>
      <c r="E13410" s="5"/>
      <c r="F13410" s="5"/>
      <c r="G13410" s="5"/>
      <c r="H13410" s="5"/>
      <c r="I13410" s="5"/>
      <c r="J13410" s="5"/>
      <c r="K13410" s="5"/>
      <c r="L13410" s="5"/>
      <c r="M13410" s="5"/>
      <c r="N13410" s="5"/>
      <c r="O13410" s="5"/>
      <c r="P13410" s="5"/>
      <c r="Q13410" s="5"/>
      <c r="R13410" s="5"/>
      <c r="S13410" s="5"/>
      <c r="T13410" s="5"/>
      <c r="U13410" s="5"/>
      <c r="V13410" s="5"/>
      <c r="W13410" s="5"/>
      <c r="X13410" s="5"/>
      <c r="Y13410" s="5"/>
      <c r="Z13410" s="5"/>
    </row>
    <row r="13411" spans="1:26" ht="15" x14ac:dyDescent="0.25">
      <c r="A13411" s="4" t="s">
        <v>13408</v>
      </c>
      <c r="B13411" s="4" t="s">
        <v>9011</v>
      </c>
      <c r="C13411" s="2" t="str">
        <f ca="1">IFERROR(__xludf.DUMMYFUNCTION("GOOGLETRANSLATE(A13411,""bn"",""en"")"),"Put the notebooks in a bag")</f>
        <v>Put the notebooks in a bag</v>
      </c>
      <c r="D13411" s="5"/>
      <c r="E13411" s="5"/>
      <c r="F13411" s="5"/>
      <c r="G13411" s="5"/>
      <c r="H13411" s="5"/>
      <c r="I13411" s="5"/>
      <c r="J13411" s="5"/>
      <c r="K13411" s="5"/>
      <c r="L13411" s="5"/>
      <c r="M13411" s="5"/>
      <c r="N13411" s="5"/>
      <c r="O13411" s="5"/>
      <c r="P13411" s="5"/>
      <c r="Q13411" s="5"/>
      <c r="R13411" s="5"/>
      <c r="S13411" s="5"/>
      <c r="T13411" s="5"/>
      <c r="U13411" s="5"/>
      <c r="V13411" s="5"/>
      <c r="W13411" s="5"/>
      <c r="X13411" s="5"/>
      <c r="Y13411" s="5"/>
      <c r="Z13411" s="5"/>
    </row>
    <row r="13412" spans="1:26" ht="15" x14ac:dyDescent="0.25">
      <c r="A13412" s="4" t="s">
        <v>13409</v>
      </c>
      <c r="B13412" s="4" t="s">
        <v>9011</v>
      </c>
      <c r="C13412" s="2" t="str">
        <f ca="1">IFERROR(__xludf.DUMMYFUNCTION("GOOGLETRANSLATE(A13412,""bn"",""en"")"),"Programming languages ​​will evolve")</f>
        <v>Programming languages ​​will evolve</v>
      </c>
      <c r="D13412" s="5"/>
      <c r="E13412" s="5"/>
      <c r="F13412" s="5"/>
      <c r="G13412" s="5"/>
      <c r="H13412" s="5"/>
      <c r="I13412" s="5"/>
      <c r="J13412" s="5"/>
      <c r="K13412" s="5"/>
      <c r="L13412" s="5"/>
      <c r="M13412" s="5"/>
      <c r="N13412" s="5"/>
      <c r="O13412" s="5"/>
      <c r="P13412" s="5"/>
      <c r="Q13412" s="5"/>
      <c r="R13412" s="5"/>
      <c r="S13412" s="5"/>
      <c r="T13412" s="5"/>
      <c r="U13412" s="5"/>
      <c r="V13412" s="5"/>
      <c r="W13412" s="5"/>
      <c r="X13412" s="5"/>
      <c r="Y13412" s="5"/>
      <c r="Z13412" s="5"/>
    </row>
    <row r="13413" spans="1:26" ht="15" x14ac:dyDescent="0.25">
      <c r="A13413" s="4" t="s">
        <v>13410</v>
      </c>
      <c r="B13413" s="4" t="s">
        <v>9011</v>
      </c>
      <c r="C13413" s="2" t="str">
        <f ca="1">IFERROR(__xludf.DUMMYFUNCTION("GOOGLETRANSLATE(A13413,""bn"",""en"")"),"Create virtual reality")</f>
        <v>Create virtual reality</v>
      </c>
      <c r="D13413" s="5"/>
      <c r="E13413" s="5"/>
      <c r="F13413" s="5"/>
      <c r="G13413" s="5"/>
      <c r="H13413" s="5"/>
      <c r="I13413" s="5"/>
      <c r="J13413" s="5"/>
      <c r="K13413" s="5"/>
      <c r="L13413" s="5"/>
      <c r="M13413" s="5"/>
      <c r="N13413" s="5"/>
      <c r="O13413" s="5"/>
      <c r="P13413" s="5"/>
      <c r="Q13413" s="5"/>
      <c r="R13413" s="5"/>
      <c r="S13413" s="5"/>
      <c r="T13413" s="5"/>
      <c r="U13413" s="5"/>
      <c r="V13413" s="5"/>
      <c r="W13413" s="5"/>
      <c r="X13413" s="5"/>
      <c r="Y13413" s="5"/>
      <c r="Z13413" s="5"/>
    </row>
    <row r="13414" spans="1:26" ht="15" x14ac:dyDescent="0.25">
      <c r="A13414" s="4" t="s">
        <v>13411</v>
      </c>
      <c r="B13414" s="4" t="s">
        <v>9011</v>
      </c>
      <c r="C13414" s="2" t="str">
        <f ca="1">IFERROR(__xludf.DUMMYFUNCTION("GOOGLETRANSLATE(A13414,""bn"",""en"")"),"New ideas will be provided")</f>
        <v>New ideas will be provided</v>
      </c>
      <c r="D13414" s="5"/>
      <c r="E13414" s="5"/>
      <c r="F13414" s="5"/>
      <c r="G13414" s="5"/>
      <c r="H13414" s="5"/>
      <c r="I13414" s="5"/>
      <c r="J13414" s="5"/>
      <c r="K13414" s="5"/>
      <c r="L13414" s="5"/>
      <c r="M13414" s="5"/>
      <c r="N13414" s="5"/>
      <c r="O13414" s="5"/>
      <c r="P13414" s="5"/>
      <c r="Q13414" s="5"/>
      <c r="R13414" s="5"/>
      <c r="S13414" s="5"/>
      <c r="T13414" s="5"/>
      <c r="U13414" s="5"/>
      <c r="V13414" s="5"/>
      <c r="W13414" s="5"/>
      <c r="X13414" s="5"/>
      <c r="Y13414" s="5"/>
      <c r="Z13414" s="5"/>
    </row>
    <row r="13415" spans="1:26" ht="15" x14ac:dyDescent="0.25">
      <c r="A13415" s="4" t="s">
        <v>13412</v>
      </c>
      <c r="B13415" s="4" t="s">
        <v>9011</v>
      </c>
      <c r="C13415" s="2" t="str">
        <f ca="1">IFERROR(__xludf.DUMMYFUNCTION("GOOGLETRANSLATE(A13415,""bn"",""en"")"),"He will be a cricketer one day")</f>
        <v>He will be a cricketer one day</v>
      </c>
      <c r="D13415" s="5"/>
      <c r="E13415" s="5"/>
      <c r="F13415" s="5"/>
      <c r="G13415" s="5"/>
      <c r="H13415" s="5"/>
      <c r="I13415" s="5"/>
      <c r="J13415" s="5"/>
      <c r="K13415" s="5"/>
      <c r="L13415" s="5"/>
      <c r="M13415" s="5"/>
      <c r="N13415" s="5"/>
      <c r="O13415" s="5"/>
      <c r="P13415" s="5"/>
      <c r="Q13415" s="5"/>
      <c r="R13415" s="5"/>
      <c r="S13415" s="5"/>
      <c r="T13415" s="5"/>
      <c r="U13415" s="5"/>
      <c r="V13415" s="5"/>
      <c r="W13415" s="5"/>
      <c r="X13415" s="5"/>
      <c r="Y13415" s="5"/>
      <c r="Z13415" s="5"/>
    </row>
    <row r="13416" spans="1:26" ht="15" x14ac:dyDescent="0.25">
      <c r="A13416" s="4" t="s">
        <v>13413</v>
      </c>
      <c r="B13416" s="4" t="s">
        <v>9011</v>
      </c>
      <c r="C13416" s="2" t="str">
        <f ca="1">IFERROR(__xludf.DUMMYFUNCTION("GOOGLETRANSLATE(A13416,""bn"",""en"")"),"They will know about technology")</f>
        <v>They will know about technology</v>
      </c>
      <c r="D13416" s="5"/>
      <c r="E13416" s="5"/>
      <c r="F13416" s="5"/>
      <c r="G13416" s="5"/>
      <c r="H13416" s="5"/>
      <c r="I13416" s="5"/>
      <c r="J13416" s="5"/>
      <c r="K13416" s="5"/>
      <c r="L13416" s="5"/>
      <c r="M13416" s="5"/>
      <c r="N13416" s="5"/>
      <c r="O13416" s="5"/>
      <c r="P13416" s="5"/>
      <c r="Q13416" s="5"/>
      <c r="R13416" s="5"/>
      <c r="S13416" s="5"/>
      <c r="T13416" s="5"/>
      <c r="U13416" s="5"/>
      <c r="V13416" s="5"/>
      <c r="W13416" s="5"/>
      <c r="X13416" s="5"/>
      <c r="Y13416" s="5"/>
      <c r="Z13416" s="5"/>
    </row>
    <row r="13417" spans="1:26" ht="15" x14ac:dyDescent="0.25">
      <c r="A13417" s="4" t="s">
        <v>13414</v>
      </c>
      <c r="B13417" s="4" t="s">
        <v>9011</v>
      </c>
      <c r="C13417" s="2" t="str">
        <f ca="1">IFERROR(__xludf.DUMMYFUNCTION("GOOGLETRANSLATE(A13417,""bn"",""en"")"),"The collection of flowers will be large")</f>
        <v>The collection of flowers will be large</v>
      </c>
      <c r="D13417" s="5"/>
      <c r="E13417" s="5"/>
      <c r="F13417" s="5"/>
      <c r="G13417" s="5"/>
      <c r="H13417" s="5"/>
      <c r="I13417" s="5"/>
      <c r="J13417" s="5"/>
      <c r="K13417" s="5"/>
      <c r="L13417" s="5"/>
      <c r="M13417" s="5"/>
      <c r="N13417" s="5"/>
      <c r="O13417" s="5"/>
      <c r="P13417" s="5"/>
      <c r="Q13417" s="5"/>
      <c r="R13417" s="5"/>
      <c r="S13417" s="5"/>
      <c r="T13417" s="5"/>
      <c r="U13417" s="5"/>
      <c r="V13417" s="5"/>
      <c r="W13417" s="5"/>
      <c r="X13417" s="5"/>
      <c r="Y13417" s="5"/>
      <c r="Z13417" s="5"/>
    </row>
    <row r="13418" spans="1:26" ht="15" x14ac:dyDescent="0.25">
      <c r="A13418" s="4" t="s">
        <v>13415</v>
      </c>
      <c r="B13418" s="4" t="s">
        <v>9011</v>
      </c>
      <c r="C13418" s="2" t="str">
        <f ca="1">IFERROR(__xludf.DUMMYFUNCTION("GOOGLETRANSLATE(A13418,""bn"",""en"")"),"Food will be sold on the shore")</f>
        <v>Food will be sold on the shore</v>
      </c>
      <c r="D13418" s="5"/>
      <c r="E13418" s="5"/>
      <c r="F13418" s="5"/>
      <c r="G13418" s="5"/>
      <c r="H13418" s="5"/>
      <c r="I13418" s="5"/>
      <c r="J13418" s="5"/>
      <c r="K13418" s="5"/>
      <c r="L13418" s="5"/>
      <c r="M13418" s="5"/>
      <c r="N13418" s="5"/>
      <c r="O13418" s="5"/>
      <c r="P13418" s="5"/>
      <c r="Q13418" s="5"/>
      <c r="R13418" s="5"/>
      <c r="S13418" s="5"/>
      <c r="T13418" s="5"/>
      <c r="U13418" s="5"/>
      <c r="V13418" s="5"/>
      <c r="W13418" s="5"/>
      <c r="X13418" s="5"/>
      <c r="Y13418" s="5"/>
      <c r="Z13418" s="5"/>
    </row>
    <row r="13419" spans="1:26" ht="15" x14ac:dyDescent="0.25">
      <c r="A13419" s="4" t="s">
        <v>13416</v>
      </c>
      <c r="B13419" s="4" t="s">
        <v>9011</v>
      </c>
      <c r="C13419" s="2" t="str">
        <f ca="1">IFERROR(__xludf.DUMMYFUNCTION("GOOGLETRANSLATE(A13419,""bn"",""en"")"),"The sea will be cold in Kusumkanan")</f>
        <v>The sea will be cold in Kusumkanan</v>
      </c>
      <c r="D13419" s="5"/>
      <c r="E13419" s="5"/>
      <c r="F13419" s="5"/>
      <c r="G13419" s="5"/>
      <c r="H13419" s="5"/>
      <c r="I13419" s="5"/>
      <c r="J13419" s="5"/>
      <c r="K13419" s="5"/>
      <c r="L13419" s="5"/>
      <c r="M13419" s="5"/>
      <c r="N13419" s="5"/>
      <c r="O13419" s="5"/>
      <c r="P13419" s="5"/>
      <c r="Q13419" s="5"/>
      <c r="R13419" s="5"/>
      <c r="S13419" s="5"/>
      <c r="T13419" s="5"/>
      <c r="U13419" s="5"/>
      <c r="V13419" s="5"/>
      <c r="W13419" s="5"/>
      <c r="X13419" s="5"/>
      <c r="Y13419" s="5"/>
      <c r="Z13419" s="5"/>
    </row>
    <row r="13420" spans="1:26" ht="15" x14ac:dyDescent="0.25">
      <c r="A13420" s="4" t="s">
        <v>13417</v>
      </c>
      <c r="B13420" s="4" t="s">
        <v>9011</v>
      </c>
      <c r="C13420" s="2" t="str">
        <f ca="1">IFERROR(__xludf.DUMMYFUNCTION("GOOGLETRANSLATE(A13420,""bn"",""en"")"),"The battle will continue next month")</f>
        <v>The battle will continue next month</v>
      </c>
      <c r="D13420" s="5"/>
      <c r="E13420" s="5"/>
      <c r="F13420" s="5"/>
      <c r="G13420" s="5"/>
      <c r="H13420" s="5"/>
      <c r="I13420" s="5"/>
      <c r="J13420" s="5"/>
      <c r="K13420" s="5"/>
      <c r="L13420" s="5"/>
      <c r="M13420" s="5"/>
      <c r="N13420" s="5"/>
      <c r="O13420" s="5"/>
      <c r="P13420" s="5"/>
      <c r="Q13420" s="5"/>
      <c r="R13420" s="5"/>
      <c r="S13420" s="5"/>
      <c r="T13420" s="5"/>
      <c r="U13420" s="5"/>
      <c r="V13420" s="5"/>
      <c r="W13420" s="5"/>
      <c r="X13420" s="5"/>
      <c r="Y13420" s="5"/>
      <c r="Z13420" s="5"/>
    </row>
    <row r="13421" spans="1:26" ht="15" x14ac:dyDescent="0.25">
      <c r="A13421" s="4" t="s">
        <v>13418</v>
      </c>
      <c r="B13421" s="4" t="s">
        <v>9011</v>
      </c>
      <c r="C13421" s="2" t="str">
        <f ca="1">IFERROR(__xludf.DUMMYFUNCTION("GOOGLETRANSLATE(A13421,""bn"",""en"")"),"The code should be backed up")</f>
        <v>The code should be backed up</v>
      </c>
      <c r="D13421" s="5"/>
      <c r="E13421" s="5"/>
      <c r="F13421" s="5"/>
      <c r="G13421" s="5"/>
      <c r="H13421" s="5"/>
      <c r="I13421" s="5"/>
      <c r="J13421" s="5"/>
      <c r="K13421" s="5"/>
      <c r="L13421" s="5"/>
      <c r="M13421" s="5"/>
      <c r="N13421" s="5"/>
      <c r="O13421" s="5"/>
      <c r="P13421" s="5"/>
      <c r="Q13421" s="5"/>
      <c r="R13421" s="5"/>
      <c r="S13421" s="5"/>
      <c r="T13421" s="5"/>
      <c r="U13421" s="5"/>
      <c r="V13421" s="5"/>
      <c r="W13421" s="5"/>
      <c r="X13421" s="5"/>
      <c r="Y13421" s="5"/>
      <c r="Z13421" s="5"/>
    </row>
    <row r="13422" spans="1:26" ht="15" x14ac:dyDescent="0.25">
      <c r="A13422" s="4" t="s">
        <v>13419</v>
      </c>
      <c r="B13422" s="4" t="s">
        <v>9011</v>
      </c>
      <c r="C13422" s="2" t="str">
        <f ca="1">IFERROR(__xludf.DUMMYFUNCTION("GOOGLETRANSLATE(A13422,""bn"",""en"")"),"will be successful at the box office")</f>
        <v>will be successful at the box office</v>
      </c>
      <c r="D13422" s="5"/>
      <c r="E13422" s="5"/>
      <c r="F13422" s="5"/>
      <c r="G13422" s="5"/>
      <c r="H13422" s="5"/>
      <c r="I13422" s="5"/>
      <c r="J13422" s="5"/>
      <c r="K13422" s="5"/>
      <c r="L13422" s="5"/>
      <c r="M13422" s="5"/>
      <c r="N13422" s="5"/>
      <c r="O13422" s="5"/>
      <c r="P13422" s="5"/>
      <c r="Q13422" s="5"/>
      <c r="R13422" s="5"/>
      <c r="S13422" s="5"/>
      <c r="T13422" s="5"/>
      <c r="U13422" s="5"/>
      <c r="V13422" s="5"/>
      <c r="W13422" s="5"/>
      <c r="X13422" s="5"/>
      <c r="Y13422" s="5"/>
      <c r="Z13422" s="5"/>
    </row>
    <row r="13423" spans="1:26" ht="15" x14ac:dyDescent="0.25">
      <c r="A13423" s="4" t="s">
        <v>13420</v>
      </c>
      <c r="B13423" s="4" t="s">
        <v>9011</v>
      </c>
      <c r="C13423" s="2" t="str">
        <f ca="1">IFERROR(__xludf.DUMMYFUNCTION("GOOGLETRANSLATE(A13423,""bn"",""en"")"),"You will eat less ice cream")</f>
        <v>You will eat less ice cream</v>
      </c>
      <c r="D13423" s="5"/>
      <c r="E13423" s="5"/>
      <c r="F13423" s="5"/>
      <c r="G13423" s="5"/>
      <c r="H13423" s="5"/>
      <c r="I13423" s="5"/>
      <c r="J13423" s="5"/>
      <c r="K13423" s="5"/>
      <c r="L13423" s="5"/>
      <c r="M13423" s="5"/>
      <c r="N13423" s="5"/>
      <c r="O13423" s="5"/>
      <c r="P13423" s="5"/>
      <c r="Q13423" s="5"/>
      <c r="R13423" s="5"/>
      <c r="S13423" s="5"/>
      <c r="T13423" s="5"/>
      <c r="U13423" s="5"/>
      <c r="V13423" s="5"/>
      <c r="W13423" s="5"/>
      <c r="X13423" s="5"/>
      <c r="Y13423" s="5"/>
      <c r="Z13423" s="5"/>
    </row>
    <row r="13424" spans="1:26" ht="15" x14ac:dyDescent="0.25">
      <c r="A13424" s="4" t="s">
        <v>13421</v>
      </c>
      <c r="B13424" s="4" t="s">
        <v>9011</v>
      </c>
      <c r="C13424" s="2" t="str">
        <f ca="1">IFERROR(__xludf.DUMMYFUNCTION("GOOGLETRANSLATE(A13424,""bn"",""en"")"),"I will order food at foodpanda")</f>
        <v>I will order food at foodpanda</v>
      </c>
      <c r="D13424" s="5"/>
      <c r="E13424" s="5"/>
      <c r="F13424" s="5"/>
      <c r="G13424" s="5"/>
      <c r="H13424" s="5"/>
      <c r="I13424" s="5"/>
      <c r="J13424" s="5"/>
      <c r="K13424" s="5"/>
      <c r="L13424" s="5"/>
      <c r="M13424" s="5"/>
      <c r="N13424" s="5"/>
      <c r="O13424" s="5"/>
      <c r="P13424" s="5"/>
      <c r="Q13424" s="5"/>
      <c r="R13424" s="5"/>
      <c r="S13424" s="5"/>
      <c r="T13424" s="5"/>
      <c r="U13424" s="5"/>
      <c r="V13424" s="5"/>
      <c r="W13424" s="5"/>
      <c r="X13424" s="5"/>
      <c r="Y13424" s="5"/>
      <c r="Z13424" s="5"/>
    </row>
    <row r="13425" spans="1:26" ht="15" x14ac:dyDescent="0.25">
      <c r="A13425" s="4" t="s">
        <v>13422</v>
      </c>
      <c r="B13425" s="4" t="s">
        <v>9011</v>
      </c>
      <c r="C13425" s="2" t="str">
        <f ca="1">IFERROR(__xludf.DUMMYFUNCTION("GOOGLETRANSLATE(A13425,""bn"",""en"")"),"I will go to water sports")</f>
        <v>I will go to water sports</v>
      </c>
      <c r="D13425" s="5"/>
      <c r="E13425" s="5"/>
      <c r="F13425" s="5"/>
      <c r="G13425" s="5"/>
      <c r="H13425" s="5"/>
      <c r="I13425" s="5"/>
      <c r="J13425" s="5"/>
      <c r="K13425" s="5"/>
      <c r="L13425" s="5"/>
      <c r="M13425" s="5"/>
      <c r="N13425" s="5"/>
      <c r="O13425" s="5"/>
      <c r="P13425" s="5"/>
      <c r="Q13425" s="5"/>
      <c r="R13425" s="5"/>
      <c r="S13425" s="5"/>
      <c r="T13425" s="5"/>
      <c r="U13425" s="5"/>
      <c r="V13425" s="5"/>
      <c r="W13425" s="5"/>
      <c r="X13425" s="5"/>
      <c r="Y13425" s="5"/>
      <c r="Z13425" s="5"/>
    </row>
    <row r="13426" spans="1:26" ht="15" x14ac:dyDescent="0.25">
      <c r="A13426" s="4" t="s">
        <v>13423</v>
      </c>
      <c r="B13426" s="4" t="s">
        <v>9011</v>
      </c>
      <c r="C13426" s="2" t="str">
        <f ca="1">IFERROR(__xludf.DUMMYFUNCTION("GOOGLETRANSLATE(A13426,""bn"",""en"")"),"Programming career will advance")</f>
        <v>Programming career will advance</v>
      </c>
      <c r="D13426" s="5"/>
      <c r="E13426" s="5"/>
      <c r="F13426" s="5"/>
      <c r="G13426" s="5"/>
      <c r="H13426" s="5"/>
      <c r="I13426" s="5"/>
      <c r="J13426" s="5"/>
      <c r="K13426" s="5"/>
      <c r="L13426" s="5"/>
      <c r="M13426" s="5"/>
      <c r="N13426" s="5"/>
      <c r="O13426" s="5"/>
      <c r="P13426" s="5"/>
      <c r="Q13426" s="5"/>
      <c r="R13426" s="5"/>
      <c r="S13426" s="5"/>
      <c r="T13426" s="5"/>
      <c r="U13426" s="5"/>
      <c r="V13426" s="5"/>
      <c r="W13426" s="5"/>
      <c r="X13426" s="5"/>
      <c r="Y13426" s="5"/>
      <c r="Z13426" s="5"/>
    </row>
    <row r="13427" spans="1:26" ht="15" x14ac:dyDescent="0.25">
      <c r="A13427" s="4" t="s">
        <v>13424</v>
      </c>
      <c r="B13427" s="4" t="s">
        <v>9011</v>
      </c>
      <c r="C13427" s="2" t="str">
        <f ca="1">IFERROR(__xludf.DUMMYFUNCTION("GOOGLETRANSLATE(A13427,""bn"",""en"")"),"Crop helpers will be needed")</f>
        <v>Crop helpers will be needed</v>
      </c>
      <c r="D13427" s="5"/>
      <c r="E13427" s="5"/>
      <c r="F13427" s="5"/>
      <c r="G13427" s="5"/>
      <c r="H13427" s="5"/>
      <c r="I13427" s="5"/>
      <c r="J13427" s="5"/>
      <c r="K13427" s="5"/>
      <c r="L13427" s="5"/>
      <c r="M13427" s="5"/>
      <c r="N13427" s="5"/>
      <c r="O13427" s="5"/>
      <c r="P13427" s="5"/>
      <c r="Q13427" s="5"/>
      <c r="R13427" s="5"/>
      <c r="S13427" s="5"/>
      <c r="T13427" s="5"/>
      <c r="U13427" s="5"/>
      <c r="V13427" s="5"/>
      <c r="W13427" s="5"/>
      <c r="X13427" s="5"/>
      <c r="Y13427" s="5"/>
      <c r="Z13427" s="5"/>
    </row>
    <row r="13428" spans="1:26" ht="15" x14ac:dyDescent="0.25">
      <c r="A13428" s="4" t="s">
        <v>13425</v>
      </c>
      <c r="B13428" s="4" t="s">
        <v>9011</v>
      </c>
      <c r="C13428" s="2" t="str">
        <f ca="1">IFERROR(__xludf.DUMMYFUNCTION("GOOGLETRANSLATE(A13428,""bn"",""en"")"),"There will be many types of mobiles")</f>
        <v>There will be many types of mobiles</v>
      </c>
      <c r="D13428" s="5"/>
      <c r="E13428" s="5"/>
      <c r="F13428" s="5"/>
      <c r="G13428" s="5"/>
      <c r="H13428" s="5"/>
      <c r="I13428" s="5"/>
      <c r="J13428" s="5"/>
      <c r="K13428" s="5"/>
      <c r="L13428" s="5"/>
      <c r="M13428" s="5"/>
      <c r="N13428" s="5"/>
      <c r="O13428" s="5"/>
      <c r="P13428" s="5"/>
      <c r="Q13428" s="5"/>
      <c r="R13428" s="5"/>
      <c r="S13428" s="5"/>
      <c r="T13428" s="5"/>
      <c r="U13428" s="5"/>
      <c r="V13428" s="5"/>
      <c r="W13428" s="5"/>
      <c r="X13428" s="5"/>
      <c r="Y13428" s="5"/>
      <c r="Z13428" s="5"/>
    </row>
    <row r="13429" spans="1:26" ht="15" x14ac:dyDescent="0.25">
      <c r="A13429" s="4" t="s">
        <v>13426</v>
      </c>
      <c r="B13429" s="4" t="s">
        <v>9011</v>
      </c>
      <c r="C13429" s="2" t="str">
        <f ca="1">IFERROR(__xludf.DUMMYFUNCTION("GOOGLETRANSLATE(A13429,""bn"",""en"")"),"Use smart technology")</f>
        <v>Use smart technology</v>
      </c>
      <c r="D13429" s="5"/>
      <c r="E13429" s="5"/>
      <c r="F13429" s="5"/>
      <c r="G13429" s="5"/>
      <c r="H13429" s="5"/>
      <c r="I13429" s="5"/>
      <c r="J13429" s="5"/>
      <c r="K13429" s="5"/>
      <c r="L13429" s="5"/>
      <c r="M13429" s="5"/>
      <c r="N13429" s="5"/>
      <c r="O13429" s="5"/>
      <c r="P13429" s="5"/>
      <c r="Q13429" s="5"/>
      <c r="R13429" s="5"/>
      <c r="S13429" s="5"/>
      <c r="T13429" s="5"/>
      <c r="U13429" s="5"/>
      <c r="V13429" s="5"/>
      <c r="W13429" s="5"/>
      <c r="X13429" s="5"/>
      <c r="Y13429" s="5"/>
      <c r="Z13429" s="5"/>
    </row>
    <row r="13430" spans="1:26" ht="15" x14ac:dyDescent="0.25">
      <c r="A13430" s="4" t="s">
        <v>13427</v>
      </c>
      <c r="B13430" s="4" t="s">
        <v>9011</v>
      </c>
      <c r="C13430" s="2" t="str">
        <f ca="1">IFERROR(__xludf.DUMMYFUNCTION("GOOGLETRANSLATE(A13430,""bn"",""en"")"),"They have to study in the past")</f>
        <v>They have to study in the past</v>
      </c>
      <c r="D13430" s="5"/>
      <c r="E13430" s="5"/>
      <c r="F13430" s="5"/>
      <c r="G13430" s="5"/>
      <c r="H13430" s="5"/>
      <c r="I13430" s="5"/>
      <c r="J13430" s="5"/>
      <c r="K13430" s="5"/>
      <c r="L13430" s="5"/>
      <c r="M13430" s="5"/>
      <c r="N13430" s="5"/>
      <c r="O13430" s="5"/>
      <c r="P13430" s="5"/>
      <c r="Q13430" s="5"/>
      <c r="R13430" s="5"/>
      <c r="S13430" s="5"/>
      <c r="T13430" s="5"/>
      <c r="U13430" s="5"/>
      <c r="V13430" s="5"/>
      <c r="W13430" s="5"/>
      <c r="X13430" s="5"/>
      <c r="Y13430" s="5"/>
      <c r="Z13430" s="5"/>
    </row>
    <row r="13431" spans="1:26" ht="15" x14ac:dyDescent="0.25">
      <c r="A13431" s="4" t="s">
        <v>13428</v>
      </c>
      <c r="B13431" s="4" t="s">
        <v>9011</v>
      </c>
      <c r="C13431" s="2" t="str">
        <f ca="1">IFERROR(__xludf.DUMMYFUNCTION("GOOGLETRANSLATE(A13431,""bn"",""en"")"),"He will take the ATM card")</f>
        <v>He will take the ATM card</v>
      </c>
      <c r="D13431" s="5"/>
      <c r="E13431" s="5"/>
      <c r="F13431" s="5"/>
      <c r="G13431" s="5"/>
      <c r="H13431" s="5"/>
      <c r="I13431" s="5"/>
      <c r="J13431" s="5"/>
      <c r="K13431" s="5"/>
      <c r="L13431" s="5"/>
      <c r="M13431" s="5"/>
      <c r="N13431" s="5"/>
      <c r="O13431" s="5"/>
      <c r="P13431" s="5"/>
      <c r="Q13431" s="5"/>
      <c r="R13431" s="5"/>
      <c r="S13431" s="5"/>
      <c r="T13431" s="5"/>
      <c r="U13431" s="5"/>
      <c r="V13431" s="5"/>
      <c r="W13431" s="5"/>
      <c r="X13431" s="5"/>
      <c r="Y13431" s="5"/>
      <c r="Z13431" s="5"/>
    </row>
    <row r="13432" spans="1:26" ht="15" x14ac:dyDescent="0.25">
      <c r="A13432" s="4" t="s">
        <v>13429</v>
      </c>
      <c r="B13432" s="4" t="s">
        <v>9011</v>
      </c>
      <c r="C13432" s="2" t="str">
        <f ca="1">IFERROR(__xludf.DUMMYFUNCTION("GOOGLETRANSLATE(A13432,""bn"",""en"")"),"Space will be covered in ice")</f>
        <v>Space will be covered in ice</v>
      </c>
      <c r="D13432" s="5"/>
      <c r="E13432" s="5"/>
      <c r="F13432" s="5"/>
      <c r="G13432" s="5"/>
      <c r="H13432" s="5"/>
      <c r="I13432" s="5"/>
      <c r="J13432" s="5"/>
      <c r="K13432" s="5"/>
      <c r="L13432" s="5"/>
      <c r="M13432" s="5"/>
      <c r="N13432" s="5"/>
      <c r="O13432" s="5"/>
      <c r="P13432" s="5"/>
      <c r="Q13432" s="5"/>
      <c r="R13432" s="5"/>
      <c r="S13432" s="5"/>
      <c r="T13432" s="5"/>
      <c r="U13432" s="5"/>
      <c r="V13432" s="5"/>
      <c r="W13432" s="5"/>
      <c r="X13432" s="5"/>
      <c r="Y13432" s="5"/>
      <c r="Z13432" s="5"/>
    </row>
    <row r="13433" spans="1:26" ht="15" x14ac:dyDescent="0.25">
      <c r="A13433" s="4" t="s">
        <v>13430</v>
      </c>
      <c r="B13433" s="4" t="s">
        <v>9011</v>
      </c>
      <c r="C13433" s="2" t="str">
        <f ca="1">IFERROR(__xludf.DUMMYFUNCTION("GOOGLETRANSLATE(A13433,""bn"",""en"")"),"Will lie on the shore in the sea")</f>
        <v>Will lie on the shore in the sea</v>
      </c>
      <c r="D13433" s="5"/>
      <c r="E13433" s="5"/>
      <c r="F13433" s="5"/>
      <c r="G13433" s="5"/>
      <c r="H13433" s="5"/>
      <c r="I13433" s="5"/>
      <c r="J13433" s="5"/>
      <c r="K13433" s="5"/>
      <c r="L13433" s="5"/>
      <c r="M13433" s="5"/>
      <c r="N13433" s="5"/>
      <c r="O13433" s="5"/>
      <c r="P13433" s="5"/>
      <c r="Q13433" s="5"/>
      <c r="R13433" s="5"/>
      <c r="S13433" s="5"/>
      <c r="T13433" s="5"/>
      <c r="U13433" s="5"/>
      <c r="V13433" s="5"/>
      <c r="W13433" s="5"/>
      <c r="X13433" s="5"/>
      <c r="Y13433" s="5"/>
      <c r="Z13433" s="5"/>
    </row>
    <row r="13434" spans="1:26" ht="15" x14ac:dyDescent="0.25">
      <c r="A13434" s="4" t="s">
        <v>13431</v>
      </c>
      <c r="B13434" s="4" t="s">
        <v>9011</v>
      </c>
      <c r="C13434" s="2" t="str">
        <f ca="1">IFERROR(__xludf.DUMMYFUNCTION("GOOGLETRANSLATE(A13434,""bn"",""en"")"),"Robots will help with housework")</f>
        <v>Robots will help with housework</v>
      </c>
      <c r="D13434" s="5"/>
      <c r="E13434" s="5"/>
      <c r="F13434" s="5"/>
      <c r="G13434" s="5"/>
      <c r="H13434" s="5"/>
      <c r="I13434" s="5"/>
      <c r="J13434" s="5"/>
      <c r="K13434" s="5"/>
      <c r="L13434" s="5"/>
      <c r="M13434" s="5"/>
      <c r="N13434" s="5"/>
      <c r="O13434" s="5"/>
      <c r="P13434" s="5"/>
      <c r="Q13434" s="5"/>
      <c r="R13434" s="5"/>
      <c r="S13434" s="5"/>
      <c r="T13434" s="5"/>
      <c r="U13434" s="5"/>
      <c r="V13434" s="5"/>
      <c r="W13434" s="5"/>
      <c r="X13434" s="5"/>
      <c r="Y13434" s="5"/>
      <c r="Z13434" s="5"/>
    </row>
    <row r="13435" spans="1:26" ht="15" x14ac:dyDescent="0.25">
      <c r="A13435" s="4" t="s">
        <v>13432</v>
      </c>
      <c r="B13435" s="4" t="s">
        <v>9011</v>
      </c>
      <c r="C13435" s="2" t="str">
        <f ca="1">IFERROR(__xludf.DUMMYFUNCTION("GOOGLETRANSLATE(A13435,""bn"",""en"")"),"I will continue to learn technology")</f>
        <v>I will continue to learn technology</v>
      </c>
      <c r="D13435" s="5"/>
      <c r="E13435" s="5"/>
      <c r="F13435" s="5"/>
      <c r="G13435" s="5"/>
      <c r="H13435" s="5"/>
      <c r="I13435" s="5"/>
      <c r="J13435" s="5"/>
      <c r="K13435" s="5"/>
      <c r="L13435" s="5"/>
      <c r="M13435" s="5"/>
      <c r="N13435" s="5"/>
      <c r="O13435" s="5"/>
      <c r="P13435" s="5"/>
      <c r="Q13435" s="5"/>
      <c r="R13435" s="5"/>
      <c r="S13435" s="5"/>
      <c r="T13435" s="5"/>
      <c r="U13435" s="5"/>
      <c r="V13435" s="5"/>
      <c r="W13435" s="5"/>
      <c r="X13435" s="5"/>
      <c r="Y13435" s="5"/>
      <c r="Z13435" s="5"/>
    </row>
    <row r="13436" spans="1:26" ht="15" x14ac:dyDescent="0.25">
      <c r="A13436" s="4" t="s">
        <v>13433</v>
      </c>
      <c r="B13436" s="4" t="s">
        <v>9011</v>
      </c>
      <c r="C13436" s="2" t="str">
        <f ca="1">IFERROR(__xludf.DUMMYFUNCTION("GOOGLETRANSLATE(A13436,""bn"",""en"")"),"The operation will complete successfully")</f>
        <v>The operation will complete successfully</v>
      </c>
      <c r="D13436" s="5"/>
      <c r="E13436" s="5"/>
      <c r="F13436" s="5"/>
      <c r="G13436" s="5"/>
      <c r="H13436" s="5"/>
      <c r="I13436" s="5"/>
      <c r="J13436" s="5"/>
      <c r="K13436" s="5"/>
      <c r="L13436" s="5"/>
      <c r="M13436" s="5"/>
      <c r="N13436" s="5"/>
      <c r="O13436" s="5"/>
      <c r="P13436" s="5"/>
      <c r="Q13436" s="5"/>
      <c r="R13436" s="5"/>
      <c r="S13436" s="5"/>
      <c r="T13436" s="5"/>
      <c r="U13436" s="5"/>
      <c r="V13436" s="5"/>
      <c r="W13436" s="5"/>
      <c r="X13436" s="5"/>
      <c r="Y13436" s="5"/>
      <c r="Z13436" s="5"/>
    </row>
    <row r="13437" spans="1:26" ht="15" x14ac:dyDescent="0.25">
      <c r="A13437" s="4" t="s">
        <v>13434</v>
      </c>
      <c r="B13437" s="4" t="s">
        <v>9011</v>
      </c>
      <c r="C13437" s="2" t="str">
        <f ca="1">IFERROR(__xludf.DUMMYFUNCTION("GOOGLETRANSLATE(A13437,""bn"",""en"")"),"The doctor will take new steps")</f>
        <v>The doctor will take new steps</v>
      </c>
      <c r="D13437" s="5"/>
      <c r="E13437" s="5"/>
      <c r="F13437" s="5"/>
      <c r="G13437" s="5"/>
      <c r="H13437" s="5"/>
      <c r="I13437" s="5"/>
      <c r="J13437" s="5"/>
      <c r="K13437" s="5"/>
      <c r="L13437" s="5"/>
      <c r="M13437" s="5"/>
      <c r="N13437" s="5"/>
      <c r="O13437" s="5"/>
      <c r="P13437" s="5"/>
      <c r="Q13437" s="5"/>
      <c r="R13437" s="5"/>
      <c r="S13437" s="5"/>
      <c r="T13437" s="5"/>
      <c r="U13437" s="5"/>
      <c r="V13437" s="5"/>
      <c r="W13437" s="5"/>
      <c r="X13437" s="5"/>
      <c r="Y13437" s="5"/>
      <c r="Z13437" s="5"/>
    </row>
    <row r="13438" spans="1:26" ht="15" x14ac:dyDescent="0.25">
      <c r="A13438" s="4" t="s">
        <v>13435</v>
      </c>
      <c r="B13438" s="4" t="s">
        <v>9011</v>
      </c>
      <c r="C13438" s="2" t="str">
        <f ca="1">IFERROR(__xludf.DUMMYFUNCTION("GOOGLETRANSLATE(A13438,""bn"",""en"")"),"Coding technology will rise")</f>
        <v>Coding technology will rise</v>
      </c>
      <c r="D13438" s="5"/>
      <c r="E13438" s="5"/>
      <c r="F13438" s="5"/>
      <c r="G13438" s="5"/>
      <c r="H13438" s="5"/>
      <c r="I13438" s="5"/>
      <c r="J13438" s="5"/>
      <c r="K13438" s="5"/>
      <c r="L13438" s="5"/>
      <c r="M13438" s="5"/>
      <c r="N13438" s="5"/>
      <c r="O13438" s="5"/>
      <c r="P13438" s="5"/>
      <c r="Q13438" s="5"/>
      <c r="R13438" s="5"/>
      <c r="S13438" s="5"/>
      <c r="T13438" s="5"/>
      <c r="U13438" s="5"/>
      <c r="V13438" s="5"/>
      <c r="W13438" s="5"/>
      <c r="X13438" s="5"/>
      <c r="Y13438" s="5"/>
      <c r="Z13438" s="5"/>
    </row>
    <row r="13439" spans="1:26" ht="15" x14ac:dyDescent="0.25">
      <c r="A13439" s="4" t="s">
        <v>13436</v>
      </c>
      <c r="B13439" s="4" t="s">
        <v>9011</v>
      </c>
      <c r="C13439" s="2" t="str">
        <f ca="1">IFERROR(__xludf.DUMMYFUNCTION("GOOGLETRANSLATE(A13439,""bn"",""en"")"),"Everyone will be cured with treatment")</f>
        <v>Everyone will be cured with treatment</v>
      </c>
      <c r="D13439" s="5"/>
      <c r="E13439" s="5"/>
      <c r="F13439" s="5"/>
      <c r="G13439" s="5"/>
      <c r="H13439" s="5"/>
      <c r="I13439" s="5"/>
      <c r="J13439" s="5"/>
      <c r="K13439" s="5"/>
      <c r="L13439" s="5"/>
      <c r="M13439" s="5"/>
      <c r="N13439" s="5"/>
      <c r="O13439" s="5"/>
      <c r="P13439" s="5"/>
      <c r="Q13439" s="5"/>
      <c r="R13439" s="5"/>
      <c r="S13439" s="5"/>
      <c r="T13439" s="5"/>
      <c r="U13439" s="5"/>
      <c r="V13439" s="5"/>
      <c r="W13439" s="5"/>
      <c r="X13439" s="5"/>
      <c r="Y13439" s="5"/>
      <c r="Z13439" s="5"/>
    </row>
    <row r="13440" spans="1:26" ht="15" x14ac:dyDescent="0.25">
      <c r="A13440" s="4" t="s">
        <v>13437</v>
      </c>
      <c r="B13440" s="4" t="s">
        <v>9011</v>
      </c>
      <c r="C13440" s="2" t="str">
        <f ca="1">IFERROR(__xludf.DUMMYFUNCTION("GOOGLETRANSLATE(A13440,""bn"",""en"")"),"Industrial sector will improve")</f>
        <v>Industrial sector will improve</v>
      </c>
      <c r="D13440" s="5"/>
      <c r="E13440" s="5"/>
      <c r="F13440" s="5"/>
      <c r="G13440" s="5"/>
      <c r="H13440" s="5"/>
      <c r="I13440" s="5"/>
      <c r="J13440" s="5"/>
      <c r="K13440" s="5"/>
      <c r="L13440" s="5"/>
      <c r="M13440" s="5"/>
      <c r="N13440" s="5"/>
      <c r="O13440" s="5"/>
      <c r="P13440" s="5"/>
      <c r="Q13440" s="5"/>
      <c r="R13440" s="5"/>
      <c r="S13440" s="5"/>
      <c r="T13440" s="5"/>
      <c r="U13440" s="5"/>
      <c r="V13440" s="5"/>
      <c r="W13440" s="5"/>
      <c r="X13440" s="5"/>
      <c r="Y13440" s="5"/>
      <c r="Z13440" s="5"/>
    </row>
    <row r="13441" spans="1:26" ht="15" x14ac:dyDescent="0.25">
      <c r="A13441" s="4" t="s">
        <v>13438</v>
      </c>
      <c r="B13441" s="4" t="s">
        <v>9011</v>
      </c>
      <c r="C13441" s="2" t="str">
        <f ca="1">IFERROR(__xludf.DUMMYFUNCTION("GOOGLETRANSLATE(A13441,""bn"",""en"")"),"Data scientists will be in demand")</f>
        <v>Data scientists will be in demand</v>
      </c>
      <c r="D13441" s="5"/>
      <c r="E13441" s="5"/>
      <c r="F13441" s="5"/>
      <c r="G13441" s="5"/>
      <c r="H13441" s="5"/>
      <c r="I13441" s="5"/>
      <c r="J13441" s="5"/>
      <c r="K13441" s="5"/>
      <c r="L13441" s="5"/>
      <c r="M13441" s="5"/>
      <c r="N13441" s="5"/>
      <c r="O13441" s="5"/>
      <c r="P13441" s="5"/>
      <c r="Q13441" s="5"/>
      <c r="R13441" s="5"/>
      <c r="S13441" s="5"/>
      <c r="T13441" s="5"/>
      <c r="U13441" s="5"/>
      <c r="V13441" s="5"/>
      <c r="W13441" s="5"/>
      <c r="X13441" s="5"/>
      <c r="Y13441" s="5"/>
      <c r="Z13441" s="5"/>
    </row>
    <row r="13442" spans="1:26" ht="15" x14ac:dyDescent="0.25">
      <c r="A13442" s="4" t="s">
        <v>13439</v>
      </c>
      <c r="B13442" s="4" t="s">
        <v>9011</v>
      </c>
      <c r="C13442" s="2" t="str">
        <f ca="1">IFERROR(__xludf.DUMMYFUNCTION("GOOGLETRANSLATE(A13442,""bn"",""en"")"),"Advances in cybernetics will soon follow")</f>
        <v>Advances in cybernetics will soon follow</v>
      </c>
      <c r="D13442" s="5"/>
      <c r="E13442" s="5"/>
      <c r="F13442" s="5"/>
      <c r="G13442" s="5"/>
      <c r="H13442" s="5"/>
      <c r="I13442" s="5"/>
      <c r="J13442" s="5"/>
      <c r="K13442" s="5"/>
      <c r="L13442" s="5"/>
      <c r="M13442" s="5"/>
      <c r="N13442" s="5"/>
      <c r="O13442" s="5"/>
      <c r="P13442" s="5"/>
      <c r="Q13442" s="5"/>
      <c r="R13442" s="5"/>
      <c r="S13442" s="5"/>
      <c r="T13442" s="5"/>
      <c r="U13442" s="5"/>
      <c r="V13442" s="5"/>
      <c r="W13442" s="5"/>
      <c r="X13442" s="5"/>
      <c r="Y13442" s="5"/>
      <c r="Z13442" s="5"/>
    </row>
    <row r="13443" spans="1:26" ht="15" x14ac:dyDescent="0.25">
      <c r="A13443" s="4" t="s">
        <v>13440</v>
      </c>
      <c r="B13443" s="4" t="s">
        <v>9011</v>
      </c>
      <c r="C13443" s="2" t="str">
        <f ca="1">IFERROR(__xludf.DUMMYFUNCTION("GOOGLETRANSLATE(A13443,""bn"",""en"")"),"You read sports news")</f>
        <v>You read sports news</v>
      </c>
      <c r="D13443" s="5"/>
      <c r="E13443" s="5"/>
      <c r="F13443" s="5"/>
      <c r="G13443" s="5"/>
      <c r="H13443" s="5"/>
      <c r="I13443" s="5"/>
      <c r="J13443" s="5"/>
      <c r="K13443" s="5"/>
      <c r="L13443" s="5"/>
      <c r="M13443" s="5"/>
      <c r="N13443" s="5"/>
      <c r="O13443" s="5"/>
      <c r="P13443" s="5"/>
      <c r="Q13443" s="5"/>
      <c r="R13443" s="5"/>
      <c r="S13443" s="5"/>
      <c r="T13443" s="5"/>
      <c r="U13443" s="5"/>
      <c r="V13443" s="5"/>
      <c r="W13443" s="5"/>
      <c r="X13443" s="5"/>
      <c r="Y13443" s="5"/>
      <c r="Z13443" s="5"/>
    </row>
    <row r="13444" spans="1:26" ht="15" x14ac:dyDescent="0.25">
      <c r="A13444" s="4" t="s">
        <v>13441</v>
      </c>
      <c r="B13444" s="4" t="s">
        <v>9011</v>
      </c>
      <c r="C13444" s="2" t="str">
        <f ca="1">IFERROR(__xludf.DUMMYFUNCTION("GOOGLETRANSLATE(A13444,""bn"",""en"")"),"New policies will be announced")</f>
        <v>New policies will be announced</v>
      </c>
      <c r="D13444" s="5"/>
      <c r="E13444" s="5"/>
      <c r="F13444" s="5"/>
      <c r="G13444" s="5"/>
      <c r="H13444" s="5"/>
      <c r="I13444" s="5"/>
      <c r="J13444" s="5"/>
      <c r="K13444" s="5"/>
      <c r="L13444" s="5"/>
      <c r="M13444" s="5"/>
      <c r="N13444" s="5"/>
      <c r="O13444" s="5"/>
      <c r="P13444" s="5"/>
      <c r="Q13444" s="5"/>
      <c r="R13444" s="5"/>
      <c r="S13444" s="5"/>
      <c r="T13444" s="5"/>
      <c r="U13444" s="5"/>
      <c r="V13444" s="5"/>
      <c r="W13444" s="5"/>
      <c r="X13444" s="5"/>
      <c r="Y13444" s="5"/>
      <c r="Z13444" s="5"/>
    </row>
    <row r="13445" spans="1:26" ht="15" x14ac:dyDescent="0.25">
      <c r="A13445" s="4" t="s">
        <v>13442</v>
      </c>
      <c r="B13445" s="4" t="s">
        <v>9011</v>
      </c>
      <c r="C13445" s="2" t="str">
        <f ca="1">IFERROR(__xludf.DUMMYFUNCTION("GOOGLETRANSLATE(A13445,""bn"",""en"")"),"I will see their wonderful performance")</f>
        <v>I will see their wonderful performance</v>
      </c>
      <c r="D13445" s="5"/>
      <c r="E13445" s="5"/>
      <c r="F13445" s="5"/>
      <c r="G13445" s="5"/>
      <c r="H13445" s="5"/>
      <c r="I13445" s="5"/>
      <c r="J13445" s="5"/>
      <c r="K13445" s="5"/>
      <c r="L13445" s="5"/>
      <c r="M13445" s="5"/>
      <c r="N13445" s="5"/>
      <c r="O13445" s="5"/>
      <c r="P13445" s="5"/>
      <c r="Q13445" s="5"/>
      <c r="R13445" s="5"/>
      <c r="S13445" s="5"/>
      <c r="T13445" s="5"/>
      <c r="U13445" s="5"/>
      <c r="V13445" s="5"/>
      <c r="W13445" s="5"/>
      <c r="X13445" s="5"/>
      <c r="Y13445" s="5"/>
      <c r="Z13445" s="5"/>
    </row>
    <row r="13446" spans="1:26" ht="15" x14ac:dyDescent="0.25">
      <c r="A13446" s="4" t="s">
        <v>13443</v>
      </c>
      <c r="B13446" s="4" t="s">
        <v>9011</v>
      </c>
      <c r="C13446" s="2" t="str">
        <f ca="1">IFERROR(__xludf.DUMMYFUNCTION("GOOGLETRANSLATE(A13446,""bn"",""en"")"),"I will write English stories in future")</f>
        <v>I will write English stories in future</v>
      </c>
      <c r="D13446" s="5"/>
      <c r="E13446" s="5"/>
      <c r="F13446" s="5"/>
      <c r="G13446" s="5"/>
      <c r="H13446" s="5"/>
      <c r="I13446" s="5"/>
      <c r="J13446" s="5"/>
      <c r="K13446" s="5"/>
      <c r="L13446" s="5"/>
      <c r="M13446" s="5"/>
      <c r="N13446" s="5"/>
      <c r="O13446" s="5"/>
      <c r="P13446" s="5"/>
      <c r="Q13446" s="5"/>
      <c r="R13446" s="5"/>
      <c r="S13446" s="5"/>
      <c r="T13446" s="5"/>
      <c r="U13446" s="5"/>
      <c r="V13446" s="5"/>
      <c r="W13446" s="5"/>
      <c r="X13446" s="5"/>
      <c r="Y13446" s="5"/>
      <c r="Z13446" s="5"/>
    </row>
    <row r="13447" spans="1:26" ht="15" x14ac:dyDescent="0.25">
      <c r="A13447" s="4" t="s">
        <v>13444</v>
      </c>
      <c r="B13447" s="4" t="s">
        <v>9011</v>
      </c>
      <c r="C13447" s="2" t="str">
        <f ca="1">IFERROR(__xludf.DUMMYFUNCTION("GOOGLETRANSLATE(A13447,""bn"",""en"")"),"Go for a walk in the snow")</f>
        <v>Go for a walk in the snow</v>
      </c>
      <c r="D13447" s="5"/>
      <c r="E13447" s="5"/>
      <c r="F13447" s="5"/>
      <c r="G13447" s="5"/>
      <c r="H13447" s="5"/>
      <c r="I13447" s="5"/>
      <c r="J13447" s="5"/>
      <c r="K13447" s="5"/>
      <c r="L13447" s="5"/>
      <c r="M13447" s="5"/>
      <c r="N13447" s="5"/>
      <c r="O13447" s="5"/>
      <c r="P13447" s="5"/>
      <c r="Q13447" s="5"/>
      <c r="R13447" s="5"/>
      <c r="S13447" s="5"/>
      <c r="T13447" s="5"/>
      <c r="U13447" s="5"/>
      <c r="V13447" s="5"/>
      <c r="W13447" s="5"/>
      <c r="X13447" s="5"/>
      <c r="Y13447" s="5"/>
      <c r="Z13447" s="5"/>
    </row>
    <row r="13448" spans="1:26" ht="15" x14ac:dyDescent="0.25">
      <c r="A13448" s="4" t="s">
        <v>13445</v>
      </c>
      <c r="B13448" s="4" t="s">
        <v>9011</v>
      </c>
      <c r="C13448" s="2" t="str">
        <f ca="1">IFERROR(__xludf.DUMMYFUNCTION("GOOGLETRANSLATE(A13448,""bn"",""en"")"),"Assistants will always see the patient")</f>
        <v>Assistants will always see the patient</v>
      </c>
      <c r="D13448" s="5"/>
      <c r="E13448" s="5"/>
      <c r="F13448" s="5"/>
      <c r="G13448" s="5"/>
      <c r="H13448" s="5"/>
      <c r="I13448" s="5"/>
      <c r="J13448" s="5"/>
      <c r="K13448" s="5"/>
      <c r="L13448" s="5"/>
      <c r="M13448" s="5"/>
      <c r="N13448" s="5"/>
      <c r="O13448" s="5"/>
      <c r="P13448" s="5"/>
      <c r="Q13448" s="5"/>
      <c r="R13448" s="5"/>
      <c r="S13448" s="5"/>
      <c r="T13448" s="5"/>
      <c r="U13448" s="5"/>
      <c r="V13448" s="5"/>
      <c r="W13448" s="5"/>
      <c r="X13448" s="5"/>
      <c r="Y13448" s="5"/>
      <c r="Z13448" s="5"/>
    </row>
    <row r="13449" spans="1:26" ht="15" x14ac:dyDescent="0.25">
      <c r="A13449" s="4" t="s">
        <v>13446</v>
      </c>
      <c r="B13449" s="4" t="s">
        <v>9011</v>
      </c>
      <c r="C13449" s="2" t="str">
        <f ca="1">IFERROR(__xludf.DUMMYFUNCTION("GOOGLETRANSLATE(A13449,""bn"",""en"")"),"The sea will be covered with ice")</f>
        <v>The sea will be covered with ice</v>
      </c>
      <c r="D13449" s="5"/>
      <c r="E13449" s="5"/>
      <c r="F13449" s="5"/>
      <c r="G13449" s="5"/>
      <c r="H13449" s="5"/>
      <c r="I13449" s="5"/>
      <c r="J13449" s="5"/>
      <c r="K13449" s="5"/>
      <c r="L13449" s="5"/>
      <c r="M13449" s="5"/>
      <c r="N13449" s="5"/>
      <c r="O13449" s="5"/>
      <c r="P13449" s="5"/>
      <c r="Q13449" s="5"/>
      <c r="R13449" s="5"/>
      <c r="S13449" s="5"/>
      <c r="T13449" s="5"/>
      <c r="U13449" s="5"/>
      <c r="V13449" s="5"/>
      <c r="W13449" s="5"/>
      <c r="X13449" s="5"/>
      <c r="Y13449" s="5"/>
      <c r="Z13449" s="5"/>
    </row>
    <row r="13450" spans="1:26" ht="15" x14ac:dyDescent="0.25">
      <c r="A13450" s="4" t="s">
        <v>13447</v>
      </c>
      <c r="B13450" s="4" t="s">
        <v>9011</v>
      </c>
      <c r="C13450" s="2" t="str">
        <f ca="1">IFERROR(__xludf.DUMMYFUNCTION("GOOGLETRANSLATE(A13450,""bn"",""en"")"),"This disease will benefit")</f>
        <v>This disease will benefit</v>
      </c>
      <c r="D13450" s="5"/>
      <c r="E13450" s="5"/>
      <c r="F13450" s="5"/>
      <c r="G13450" s="5"/>
      <c r="H13450" s="5"/>
      <c r="I13450" s="5"/>
      <c r="J13450" s="5"/>
      <c r="K13450" s="5"/>
      <c r="L13450" s="5"/>
      <c r="M13450" s="5"/>
      <c r="N13450" s="5"/>
      <c r="O13450" s="5"/>
      <c r="P13450" s="5"/>
      <c r="Q13450" s="5"/>
      <c r="R13450" s="5"/>
      <c r="S13450" s="5"/>
      <c r="T13450" s="5"/>
      <c r="U13450" s="5"/>
      <c r="V13450" s="5"/>
      <c r="W13450" s="5"/>
      <c r="X13450" s="5"/>
      <c r="Y13450" s="5"/>
      <c r="Z13450" s="5"/>
    </row>
    <row r="13451" spans="1:26" ht="15" x14ac:dyDescent="0.25">
      <c r="A13451" s="4" t="s">
        <v>13448</v>
      </c>
      <c r="B13451" s="4" t="s">
        <v>9011</v>
      </c>
      <c r="C13451" s="2" t="str">
        <f ca="1">IFERROR(__xludf.DUMMYFUNCTION("GOOGLETRANSLATE(A13451,""bn"",""en"")"),"We will write test cases")</f>
        <v>We will write test cases</v>
      </c>
      <c r="D13451" s="5"/>
      <c r="E13451" s="5"/>
      <c r="F13451" s="5"/>
      <c r="G13451" s="5"/>
      <c r="H13451" s="5"/>
      <c r="I13451" s="5"/>
      <c r="J13451" s="5"/>
      <c r="K13451" s="5"/>
      <c r="L13451" s="5"/>
      <c r="M13451" s="5"/>
      <c r="N13451" s="5"/>
      <c r="O13451" s="5"/>
      <c r="P13451" s="5"/>
      <c r="Q13451" s="5"/>
      <c r="R13451" s="5"/>
      <c r="S13451" s="5"/>
      <c r="T13451" s="5"/>
      <c r="U13451" s="5"/>
      <c r="V13451" s="5"/>
      <c r="W13451" s="5"/>
      <c r="X13451" s="5"/>
      <c r="Y13451" s="5"/>
      <c r="Z13451" s="5"/>
    </row>
    <row r="13452" spans="1:26" ht="15" x14ac:dyDescent="0.25">
      <c r="A13452" s="4" t="s">
        <v>13449</v>
      </c>
      <c r="B13452" s="4" t="s">
        <v>9011</v>
      </c>
      <c r="C13452" s="2" t="str">
        <f ca="1">IFERROR(__xludf.DUMMYFUNCTION("GOOGLETRANSLATE(A13452,""bn"",""en"")"),"I will look at the economic interview")</f>
        <v>I will look at the economic interview</v>
      </c>
      <c r="D13452" s="5"/>
      <c r="E13452" s="5"/>
      <c r="F13452" s="5"/>
      <c r="G13452" s="5"/>
      <c r="H13452" s="5"/>
      <c r="I13452" s="5"/>
      <c r="J13452" s="5"/>
      <c r="K13452" s="5"/>
      <c r="L13452" s="5"/>
      <c r="M13452" s="5"/>
      <c r="N13452" s="5"/>
      <c r="O13452" s="5"/>
      <c r="P13452" s="5"/>
      <c r="Q13452" s="5"/>
      <c r="R13452" s="5"/>
      <c r="S13452" s="5"/>
      <c r="T13452" s="5"/>
      <c r="U13452" s="5"/>
      <c r="V13452" s="5"/>
      <c r="W13452" s="5"/>
      <c r="X13452" s="5"/>
      <c r="Y13452" s="5"/>
      <c r="Z13452" s="5"/>
    </row>
    <row r="13453" spans="1:26" ht="15" x14ac:dyDescent="0.25">
      <c r="A13453" s="4" t="s">
        <v>13450</v>
      </c>
      <c r="B13453" s="4" t="s">
        <v>9011</v>
      </c>
      <c r="C13453" s="2" t="str">
        <f ca="1">IFERROR(__xludf.DUMMYFUNCTION("GOOGLETRANSLATE(A13453,""bn"",""en"")"),"There will be fruit production training")</f>
        <v>There will be fruit production training</v>
      </c>
      <c r="D13453" s="5"/>
      <c r="E13453" s="5"/>
      <c r="F13453" s="5"/>
      <c r="G13453" s="5"/>
      <c r="H13453" s="5"/>
      <c r="I13453" s="5"/>
      <c r="J13453" s="5"/>
      <c r="K13453" s="5"/>
      <c r="L13453" s="5"/>
      <c r="M13453" s="5"/>
      <c r="N13453" s="5"/>
      <c r="O13453" s="5"/>
      <c r="P13453" s="5"/>
      <c r="Q13453" s="5"/>
      <c r="R13453" s="5"/>
      <c r="S13453" s="5"/>
      <c r="T13453" s="5"/>
      <c r="U13453" s="5"/>
      <c r="V13453" s="5"/>
      <c r="W13453" s="5"/>
      <c r="X13453" s="5"/>
      <c r="Y13453" s="5"/>
      <c r="Z13453" s="5"/>
    </row>
    <row r="13454" spans="1:26" ht="15" x14ac:dyDescent="0.25">
      <c r="A13454" s="4" t="s">
        <v>13451</v>
      </c>
      <c r="B13454" s="4" t="s">
        <v>9011</v>
      </c>
      <c r="C13454" s="2" t="str">
        <f ca="1">IFERROR(__xludf.DUMMYFUNCTION("GOOGLETRANSLATE(A13454,""bn"",""en"")"),"There will be poisonous snakes in the forest")</f>
        <v>There will be poisonous snakes in the forest</v>
      </c>
      <c r="D13454" s="5"/>
      <c r="E13454" s="5"/>
      <c r="F13454" s="5"/>
      <c r="G13454" s="5"/>
      <c r="H13454" s="5"/>
      <c r="I13454" s="5"/>
      <c r="J13454" s="5"/>
      <c r="K13454" s="5"/>
      <c r="L13454" s="5"/>
      <c r="M13454" s="5"/>
      <c r="N13454" s="5"/>
      <c r="O13454" s="5"/>
      <c r="P13454" s="5"/>
      <c r="Q13454" s="5"/>
      <c r="R13454" s="5"/>
      <c r="S13454" s="5"/>
      <c r="T13454" s="5"/>
      <c r="U13454" s="5"/>
      <c r="V13454" s="5"/>
      <c r="W13454" s="5"/>
      <c r="X13454" s="5"/>
      <c r="Y13454" s="5"/>
      <c r="Z13454" s="5"/>
    </row>
    <row r="13455" spans="1:26" ht="15" x14ac:dyDescent="0.25">
      <c r="A13455" s="4" t="s">
        <v>13452</v>
      </c>
      <c r="B13455" s="4" t="s">
        <v>9011</v>
      </c>
      <c r="C13455" s="2" t="str">
        <f ca="1">IFERROR(__xludf.DUMMYFUNCTION("GOOGLETRANSLATE(A13455,""bn"",""en"")"),"You will read all the books")</f>
        <v>You will read all the books</v>
      </c>
      <c r="D13455" s="5"/>
      <c r="E13455" s="5"/>
      <c r="F13455" s="5"/>
      <c r="G13455" s="5"/>
      <c r="H13455" s="5"/>
      <c r="I13455" s="5"/>
      <c r="J13455" s="5"/>
      <c r="K13455" s="5"/>
      <c r="L13455" s="5"/>
      <c r="M13455" s="5"/>
      <c r="N13455" s="5"/>
      <c r="O13455" s="5"/>
      <c r="P13455" s="5"/>
      <c r="Q13455" s="5"/>
      <c r="R13455" s="5"/>
      <c r="S13455" s="5"/>
      <c r="T13455" s="5"/>
      <c r="U13455" s="5"/>
      <c r="V13455" s="5"/>
      <c r="W13455" s="5"/>
      <c r="X13455" s="5"/>
      <c r="Y13455" s="5"/>
      <c r="Z13455" s="5"/>
    </row>
    <row r="13456" spans="1:26" ht="15" x14ac:dyDescent="0.25">
      <c r="A13456" s="4" t="s">
        <v>13453</v>
      </c>
      <c r="B13456" s="4" t="s">
        <v>9011</v>
      </c>
      <c r="C13456" s="2" t="str">
        <f ca="1">IFERROR(__xludf.DUMMYFUNCTION("GOOGLETRANSLATE(A13456,""bn"",""en"")"),"There will be new treatment for cancer")</f>
        <v>There will be new treatment for cancer</v>
      </c>
      <c r="D13456" s="5"/>
      <c r="E13456" s="5"/>
      <c r="F13456" s="5"/>
      <c r="G13456" s="5"/>
      <c r="H13456" s="5"/>
      <c r="I13456" s="5"/>
      <c r="J13456" s="5"/>
      <c r="K13456" s="5"/>
      <c r="L13456" s="5"/>
      <c r="M13456" s="5"/>
      <c r="N13456" s="5"/>
      <c r="O13456" s="5"/>
      <c r="P13456" s="5"/>
      <c r="Q13456" s="5"/>
      <c r="R13456" s="5"/>
      <c r="S13456" s="5"/>
      <c r="T13456" s="5"/>
      <c r="U13456" s="5"/>
      <c r="V13456" s="5"/>
      <c r="W13456" s="5"/>
      <c r="X13456" s="5"/>
      <c r="Y13456" s="5"/>
      <c r="Z13456" s="5"/>
    </row>
    <row r="13457" spans="1:26" ht="15" x14ac:dyDescent="0.25">
      <c r="A13457" s="4" t="s">
        <v>13454</v>
      </c>
      <c r="B13457" s="4" t="s">
        <v>9011</v>
      </c>
      <c r="C13457" s="2" t="str">
        <f ca="1">IFERROR(__xludf.DUMMYFUNCTION("GOOGLETRANSLATE(A13457,""bn"",""en"")"),"The tree will dry up in winter")</f>
        <v>The tree will dry up in winter</v>
      </c>
      <c r="D13457" s="5"/>
      <c r="E13457" s="5"/>
      <c r="F13457" s="5"/>
      <c r="G13457" s="5"/>
      <c r="H13457" s="5"/>
      <c r="I13457" s="5"/>
      <c r="J13457" s="5"/>
      <c r="K13457" s="5"/>
      <c r="L13457" s="5"/>
      <c r="M13457" s="5"/>
      <c r="N13457" s="5"/>
      <c r="O13457" s="5"/>
      <c r="P13457" s="5"/>
      <c r="Q13457" s="5"/>
      <c r="R13457" s="5"/>
      <c r="S13457" s="5"/>
      <c r="T13457" s="5"/>
      <c r="U13457" s="5"/>
      <c r="V13457" s="5"/>
      <c r="W13457" s="5"/>
      <c r="X13457" s="5"/>
      <c r="Y13457" s="5"/>
      <c r="Z13457" s="5"/>
    </row>
    <row r="13458" spans="1:26" ht="15" x14ac:dyDescent="0.25">
      <c r="A13458" s="4" t="s">
        <v>13455</v>
      </c>
      <c r="B13458" s="4" t="s">
        <v>9011</v>
      </c>
      <c r="C13458" s="2" t="str">
        <f ca="1">IFERROR(__xludf.DUMMYFUNCTION("GOOGLETRANSLATE(A13458,""bn"",""en"")"),"You will stay on campus")</f>
        <v>You will stay on campus</v>
      </c>
      <c r="D13458" s="5"/>
      <c r="E13458" s="5"/>
      <c r="F13458" s="5"/>
      <c r="G13458" s="5"/>
      <c r="H13458" s="5"/>
      <c r="I13458" s="5"/>
      <c r="J13458" s="5"/>
      <c r="K13458" s="5"/>
      <c r="L13458" s="5"/>
      <c r="M13458" s="5"/>
      <c r="N13458" s="5"/>
      <c r="O13458" s="5"/>
      <c r="P13458" s="5"/>
      <c r="Q13458" s="5"/>
      <c r="R13458" s="5"/>
      <c r="S13458" s="5"/>
      <c r="T13458" s="5"/>
      <c r="U13458" s="5"/>
      <c r="V13458" s="5"/>
      <c r="W13458" s="5"/>
      <c r="X13458" s="5"/>
      <c r="Y13458" s="5"/>
      <c r="Z13458" s="5"/>
    </row>
    <row r="13459" spans="1:26" ht="15" x14ac:dyDescent="0.25">
      <c r="A13459" s="4" t="s">
        <v>13456</v>
      </c>
      <c r="B13459" s="4" t="s">
        <v>9011</v>
      </c>
      <c r="C13459" s="2" t="str">
        <f ca="1">IFERROR(__xludf.DUMMYFUNCTION("GOOGLETRANSLATE(A13459,""bn"",""en"")"),"We will do catering at the restaurant")</f>
        <v>We will do catering at the restaurant</v>
      </c>
      <c r="D13459" s="5"/>
      <c r="E13459" s="5"/>
      <c r="F13459" s="5"/>
      <c r="G13459" s="5"/>
      <c r="H13459" s="5"/>
      <c r="I13459" s="5"/>
      <c r="J13459" s="5"/>
      <c r="K13459" s="5"/>
      <c r="L13459" s="5"/>
      <c r="M13459" s="5"/>
      <c r="N13459" s="5"/>
      <c r="O13459" s="5"/>
      <c r="P13459" s="5"/>
      <c r="Q13459" s="5"/>
      <c r="R13459" s="5"/>
      <c r="S13459" s="5"/>
      <c r="T13459" s="5"/>
      <c r="U13459" s="5"/>
      <c r="V13459" s="5"/>
      <c r="W13459" s="5"/>
      <c r="X13459" s="5"/>
      <c r="Y13459" s="5"/>
      <c r="Z13459" s="5"/>
    </row>
    <row r="13460" spans="1:26" ht="15" x14ac:dyDescent="0.25">
      <c r="A13460" s="4" t="s">
        <v>13457</v>
      </c>
      <c r="B13460" s="4" t="s">
        <v>9011</v>
      </c>
      <c r="C13460" s="2" t="str">
        <f ca="1">IFERROR(__xludf.DUMMYFUNCTION("GOOGLETRANSLATE(A13460,""bn"",""en"")"),"He will eat football shekels")</f>
        <v>He will eat football shekels</v>
      </c>
      <c r="D13460" s="5"/>
      <c r="E13460" s="5"/>
      <c r="F13460" s="5"/>
      <c r="G13460" s="5"/>
      <c r="H13460" s="5"/>
      <c r="I13460" s="5"/>
      <c r="J13460" s="5"/>
      <c r="K13460" s="5"/>
      <c r="L13460" s="5"/>
      <c r="M13460" s="5"/>
      <c r="N13460" s="5"/>
      <c r="O13460" s="5"/>
      <c r="P13460" s="5"/>
      <c r="Q13460" s="5"/>
      <c r="R13460" s="5"/>
      <c r="S13460" s="5"/>
      <c r="T13460" s="5"/>
      <c r="U13460" s="5"/>
      <c r="V13460" s="5"/>
      <c r="W13460" s="5"/>
      <c r="X13460" s="5"/>
      <c r="Y13460" s="5"/>
      <c r="Z13460" s="5"/>
    </row>
    <row r="13461" spans="1:26" ht="15" x14ac:dyDescent="0.25">
      <c r="A13461" s="4" t="s">
        <v>13458</v>
      </c>
      <c r="B13461" s="4" t="s">
        <v>9011</v>
      </c>
      <c r="C13461" s="2" t="str">
        <f ca="1">IFERROR(__xludf.DUMMYFUNCTION("GOOGLETRANSLATE(A13461,""bn"",""en"")"),"They will buy playing jerseys")</f>
        <v>They will buy playing jerseys</v>
      </c>
      <c r="D13461" s="5"/>
      <c r="E13461" s="5"/>
      <c r="F13461" s="5"/>
      <c r="G13461" s="5"/>
      <c r="H13461" s="5"/>
      <c r="I13461" s="5"/>
      <c r="J13461" s="5"/>
      <c r="K13461" s="5"/>
      <c r="L13461" s="5"/>
      <c r="M13461" s="5"/>
      <c r="N13461" s="5"/>
      <c r="O13461" s="5"/>
      <c r="P13461" s="5"/>
      <c r="Q13461" s="5"/>
      <c r="R13461" s="5"/>
      <c r="S13461" s="5"/>
      <c r="T13461" s="5"/>
      <c r="U13461" s="5"/>
      <c r="V13461" s="5"/>
      <c r="W13461" s="5"/>
      <c r="X13461" s="5"/>
      <c r="Y13461" s="5"/>
      <c r="Z13461" s="5"/>
    </row>
    <row r="13462" spans="1:26" ht="15" x14ac:dyDescent="0.25">
      <c r="A13462" s="4" t="s">
        <v>13459</v>
      </c>
      <c r="B13462" s="4" t="s">
        <v>9011</v>
      </c>
      <c r="C13462" s="2" t="str">
        <f ca="1">IFERROR(__xludf.DUMMYFUNCTION("GOOGLETRANSLATE(A13462,""bn"",""en"")"),"Everyone will prepare for war")</f>
        <v>Everyone will prepare for war</v>
      </c>
      <c r="D13462" s="5"/>
      <c r="E13462" s="5"/>
      <c r="F13462" s="5"/>
      <c r="G13462" s="5"/>
      <c r="H13462" s="5"/>
      <c r="I13462" s="5"/>
      <c r="J13462" s="5"/>
      <c r="K13462" s="5"/>
      <c r="L13462" s="5"/>
      <c r="M13462" s="5"/>
      <c r="N13462" s="5"/>
      <c r="O13462" s="5"/>
      <c r="P13462" s="5"/>
      <c r="Q13462" s="5"/>
      <c r="R13462" s="5"/>
      <c r="S13462" s="5"/>
      <c r="T13462" s="5"/>
      <c r="U13462" s="5"/>
      <c r="V13462" s="5"/>
      <c r="W13462" s="5"/>
      <c r="X13462" s="5"/>
      <c r="Y13462" s="5"/>
      <c r="Z13462" s="5"/>
    </row>
    <row r="13463" spans="1:26" ht="15" x14ac:dyDescent="0.25">
      <c r="A13463" s="4" t="s">
        <v>13460</v>
      </c>
      <c r="B13463" s="4" t="s">
        <v>9011</v>
      </c>
      <c r="C13463" s="2" t="str">
        <f ca="1">IFERROR(__xludf.DUMMYFUNCTION("GOOGLETRANSLATE(A13463,""bn"",""en"")"),"I will be a researcher in the future")</f>
        <v>I will be a researcher in the future</v>
      </c>
      <c r="D13463" s="5"/>
      <c r="E13463" s="5"/>
      <c r="F13463" s="5"/>
      <c r="G13463" s="5"/>
      <c r="H13463" s="5"/>
      <c r="I13463" s="5"/>
      <c r="J13463" s="5"/>
      <c r="K13463" s="5"/>
      <c r="L13463" s="5"/>
      <c r="M13463" s="5"/>
      <c r="N13463" s="5"/>
      <c r="O13463" s="5"/>
      <c r="P13463" s="5"/>
      <c r="Q13463" s="5"/>
      <c r="R13463" s="5"/>
      <c r="S13463" s="5"/>
      <c r="T13463" s="5"/>
      <c r="U13463" s="5"/>
      <c r="V13463" s="5"/>
      <c r="W13463" s="5"/>
      <c r="X13463" s="5"/>
      <c r="Y13463" s="5"/>
      <c r="Z13463" s="5"/>
    </row>
    <row r="13464" spans="1:26" ht="15" x14ac:dyDescent="0.25">
      <c r="A13464" s="4" t="s">
        <v>13461</v>
      </c>
      <c r="B13464" s="4" t="s">
        <v>9011</v>
      </c>
      <c r="C13464" s="2" t="str">
        <f ca="1">IFERROR(__xludf.DUMMYFUNCTION("GOOGLETRANSLATE(A13464,""bn"",""en"")"),"I want to write an English novel")</f>
        <v>I want to write an English novel</v>
      </c>
      <c r="D13464" s="5"/>
      <c r="E13464" s="5"/>
      <c r="F13464" s="5"/>
      <c r="G13464" s="5"/>
      <c r="H13464" s="5"/>
      <c r="I13464" s="5"/>
      <c r="J13464" s="5"/>
      <c r="K13464" s="5"/>
      <c r="L13464" s="5"/>
      <c r="M13464" s="5"/>
      <c r="N13464" s="5"/>
      <c r="O13464" s="5"/>
      <c r="P13464" s="5"/>
      <c r="Q13464" s="5"/>
      <c r="R13464" s="5"/>
      <c r="S13464" s="5"/>
      <c r="T13464" s="5"/>
      <c r="U13464" s="5"/>
      <c r="V13464" s="5"/>
      <c r="W13464" s="5"/>
      <c r="X13464" s="5"/>
      <c r="Y13464" s="5"/>
      <c r="Z13464" s="5"/>
    </row>
    <row r="13465" spans="1:26" ht="15" x14ac:dyDescent="0.25">
      <c r="A13465" s="4" t="s">
        <v>13462</v>
      </c>
      <c r="B13465" s="4" t="s">
        <v>9011</v>
      </c>
      <c r="C13465" s="2" t="str">
        <f ca="1">IFERROR(__xludf.DUMMYFUNCTION("GOOGLETRANSLATE(A13465,""bn"",""en"")"),"I will plant new trees")</f>
        <v>I will plant new trees</v>
      </c>
      <c r="D13465" s="5"/>
      <c r="E13465" s="5"/>
      <c r="F13465" s="5"/>
      <c r="G13465" s="5"/>
      <c r="H13465" s="5"/>
      <c r="I13465" s="5"/>
      <c r="J13465" s="5"/>
      <c r="K13465" s="5"/>
      <c r="L13465" s="5"/>
      <c r="M13465" s="5"/>
      <c r="N13465" s="5"/>
      <c r="O13465" s="5"/>
      <c r="P13465" s="5"/>
      <c r="Q13465" s="5"/>
      <c r="R13465" s="5"/>
      <c r="S13465" s="5"/>
      <c r="T13465" s="5"/>
      <c r="U13465" s="5"/>
      <c r="V13465" s="5"/>
      <c r="W13465" s="5"/>
      <c r="X13465" s="5"/>
      <c r="Y13465" s="5"/>
      <c r="Z13465" s="5"/>
    </row>
    <row r="13466" spans="1:26" ht="15" x14ac:dyDescent="0.25">
      <c r="A13466" s="4" t="s">
        <v>13463</v>
      </c>
      <c r="B13466" s="4" t="s">
        <v>9011</v>
      </c>
      <c r="C13466" s="2" t="str">
        <f ca="1">IFERROR(__xludf.DUMMYFUNCTION("GOOGLETRANSLATE(A13466,""bn"",""en"")"),"Will prepare for ethics")</f>
        <v>Will prepare for ethics</v>
      </c>
      <c r="D13466" s="5"/>
      <c r="E13466" s="5"/>
      <c r="F13466" s="5"/>
      <c r="G13466" s="5"/>
      <c r="H13466" s="5"/>
      <c r="I13466" s="5"/>
      <c r="J13466" s="5"/>
      <c r="K13466" s="5"/>
      <c r="L13466" s="5"/>
      <c r="M13466" s="5"/>
      <c r="N13466" s="5"/>
      <c r="O13466" s="5"/>
      <c r="P13466" s="5"/>
      <c r="Q13466" s="5"/>
      <c r="R13466" s="5"/>
      <c r="S13466" s="5"/>
      <c r="T13466" s="5"/>
      <c r="U13466" s="5"/>
      <c r="V13466" s="5"/>
      <c r="W13466" s="5"/>
      <c r="X13466" s="5"/>
      <c r="Y13466" s="5"/>
      <c r="Z13466" s="5"/>
    </row>
    <row r="13467" spans="1:26" ht="15" x14ac:dyDescent="0.25">
      <c r="A13467" s="4" t="s">
        <v>13464</v>
      </c>
      <c r="B13467" s="4" t="s">
        <v>9011</v>
      </c>
      <c r="C13467" s="2" t="str">
        <f ca="1">IFERROR(__xludf.DUMMYFUNCTION("GOOGLETRANSLATE(A13467,""bn"",""en"")"),"Farmers will take care of crops")</f>
        <v>Farmers will take care of crops</v>
      </c>
      <c r="D13467" s="5"/>
      <c r="E13467" s="5"/>
      <c r="F13467" s="5"/>
      <c r="G13467" s="5"/>
      <c r="H13467" s="5"/>
      <c r="I13467" s="5"/>
      <c r="J13467" s="5"/>
      <c r="K13467" s="5"/>
      <c r="L13467" s="5"/>
      <c r="M13467" s="5"/>
      <c r="N13467" s="5"/>
      <c r="O13467" s="5"/>
      <c r="P13467" s="5"/>
      <c r="Q13467" s="5"/>
      <c r="R13467" s="5"/>
      <c r="S13467" s="5"/>
      <c r="T13467" s="5"/>
      <c r="U13467" s="5"/>
      <c r="V13467" s="5"/>
      <c r="W13467" s="5"/>
      <c r="X13467" s="5"/>
      <c r="Y13467" s="5"/>
      <c r="Z13467" s="5"/>
    </row>
    <row r="13468" spans="1:26" ht="15" x14ac:dyDescent="0.25">
      <c r="A13468" s="4" t="s">
        <v>13465</v>
      </c>
      <c r="B13468" s="4" t="s">
        <v>9011</v>
      </c>
      <c r="C13468" s="2" t="str">
        <f ca="1">IFERROR(__xludf.DUMMYFUNCTION("GOOGLETRANSLATE(A13468,""bn"",""en"")"),"It will not be good to eat in a restaurant")</f>
        <v>It will not be good to eat in a restaurant</v>
      </c>
      <c r="D13468" s="5"/>
      <c r="E13468" s="5"/>
      <c r="F13468" s="5"/>
      <c r="G13468" s="5"/>
      <c r="H13468" s="5"/>
      <c r="I13468" s="5"/>
      <c r="J13468" s="5"/>
      <c r="K13468" s="5"/>
      <c r="L13468" s="5"/>
      <c r="M13468" s="5"/>
      <c r="N13468" s="5"/>
      <c r="O13468" s="5"/>
      <c r="P13468" s="5"/>
      <c r="Q13468" s="5"/>
      <c r="R13468" s="5"/>
      <c r="S13468" s="5"/>
      <c r="T13468" s="5"/>
      <c r="U13468" s="5"/>
      <c r="V13468" s="5"/>
      <c r="W13468" s="5"/>
      <c r="X13468" s="5"/>
      <c r="Y13468" s="5"/>
      <c r="Z13468" s="5"/>
    </row>
    <row r="13469" spans="1:26" ht="15" x14ac:dyDescent="0.25">
      <c r="A13469" s="4" t="s">
        <v>13466</v>
      </c>
      <c r="B13469" s="4" t="s">
        <v>9011</v>
      </c>
      <c r="C13469" s="2" t="str">
        <f ca="1">IFERROR(__xludf.DUMMYFUNCTION("GOOGLETRANSLATE(A13469,""bn"",""en"")"),"You will walk alone in the campus")</f>
        <v>You will walk alone in the campus</v>
      </c>
      <c r="D13469" s="5"/>
      <c r="E13469" s="5"/>
      <c r="F13469" s="5"/>
      <c r="G13469" s="5"/>
      <c r="H13469" s="5"/>
      <c r="I13469" s="5"/>
      <c r="J13469" s="5"/>
      <c r="K13469" s="5"/>
      <c r="L13469" s="5"/>
      <c r="M13469" s="5"/>
      <c r="N13469" s="5"/>
      <c r="O13469" s="5"/>
      <c r="P13469" s="5"/>
      <c r="Q13469" s="5"/>
      <c r="R13469" s="5"/>
      <c r="S13469" s="5"/>
      <c r="T13469" s="5"/>
      <c r="U13469" s="5"/>
      <c r="V13469" s="5"/>
      <c r="W13469" s="5"/>
      <c r="X13469" s="5"/>
      <c r="Y13469" s="5"/>
      <c r="Z13469" s="5"/>
    </row>
    <row r="13470" spans="1:26" ht="15" x14ac:dyDescent="0.25">
      <c r="A13470" s="4" t="s">
        <v>13467</v>
      </c>
      <c r="B13470" s="4" t="s">
        <v>9011</v>
      </c>
      <c r="C13470" s="2" t="str">
        <f ca="1">IFERROR(__xludf.DUMMYFUNCTION("GOOGLETRANSLATE(A13470,""bn"",""en"")"),"I will use security tools")</f>
        <v>I will use security tools</v>
      </c>
      <c r="D13470" s="5"/>
      <c r="E13470" s="5"/>
      <c r="F13470" s="5"/>
      <c r="G13470" s="5"/>
      <c r="H13470" s="5"/>
      <c r="I13470" s="5"/>
      <c r="J13470" s="5"/>
      <c r="K13470" s="5"/>
      <c r="L13470" s="5"/>
      <c r="M13470" s="5"/>
      <c r="N13470" s="5"/>
      <c r="O13470" s="5"/>
      <c r="P13470" s="5"/>
      <c r="Q13470" s="5"/>
      <c r="R13470" s="5"/>
      <c r="S13470" s="5"/>
      <c r="T13470" s="5"/>
      <c r="U13470" s="5"/>
      <c r="V13470" s="5"/>
      <c r="W13470" s="5"/>
      <c r="X13470" s="5"/>
      <c r="Y13470" s="5"/>
      <c r="Z13470" s="5"/>
    </row>
    <row r="13471" spans="1:26" ht="15" x14ac:dyDescent="0.25">
      <c r="A13471" s="4" t="s">
        <v>13468</v>
      </c>
      <c r="B13471" s="4" t="s">
        <v>9011</v>
      </c>
      <c r="C13471" s="2" t="str">
        <f ca="1">IFERROR(__xludf.DUMMYFUNCTION("GOOGLETRANSLATE(A13471,""bn"",""en"")"),"Air tickets will be booked online")</f>
        <v>Air tickets will be booked online</v>
      </c>
      <c r="D13471" s="5"/>
      <c r="E13471" s="5"/>
      <c r="F13471" s="5"/>
      <c r="G13471" s="5"/>
      <c r="H13471" s="5"/>
      <c r="I13471" s="5"/>
      <c r="J13471" s="5"/>
      <c r="K13471" s="5"/>
      <c r="L13471" s="5"/>
      <c r="M13471" s="5"/>
      <c r="N13471" s="5"/>
      <c r="O13471" s="5"/>
      <c r="P13471" s="5"/>
      <c r="Q13471" s="5"/>
      <c r="R13471" s="5"/>
      <c r="S13471" s="5"/>
      <c r="T13471" s="5"/>
      <c r="U13471" s="5"/>
      <c r="V13471" s="5"/>
      <c r="W13471" s="5"/>
      <c r="X13471" s="5"/>
      <c r="Y13471" s="5"/>
      <c r="Z13471" s="5"/>
    </row>
    <row r="13472" spans="1:26" ht="15" x14ac:dyDescent="0.25">
      <c r="A13472" s="4" t="s">
        <v>13469</v>
      </c>
      <c r="B13472" s="4" t="s">
        <v>9011</v>
      </c>
      <c r="C13472" s="2" t="str">
        <f ca="1">IFERROR(__xludf.DUMMYFUNCTION("GOOGLETRANSLATE(A13472,""bn"",""en"")"),"The story of the movie will make everyone cry")</f>
        <v>The story of the movie will make everyone cry</v>
      </c>
      <c r="D13472" s="5"/>
      <c r="E13472" s="5"/>
      <c r="F13472" s="5"/>
      <c r="G13472" s="5"/>
      <c r="H13472" s="5"/>
      <c r="I13472" s="5"/>
      <c r="J13472" s="5"/>
      <c r="K13472" s="5"/>
      <c r="L13472" s="5"/>
      <c r="M13472" s="5"/>
      <c r="N13472" s="5"/>
      <c r="O13472" s="5"/>
      <c r="P13472" s="5"/>
      <c r="Q13472" s="5"/>
      <c r="R13472" s="5"/>
      <c r="S13472" s="5"/>
      <c r="T13472" s="5"/>
      <c r="U13472" s="5"/>
      <c r="V13472" s="5"/>
      <c r="W13472" s="5"/>
      <c r="X13472" s="5"/>
      <c r="Y13472" s="5"/>
      <c r="Z13472" s="5"/>
    </row>
    <row r="13473" spans="1:26" ht="15" x14ac:dyDescent="0.25">
      <c r="A13473" s="4" t="s">
        <v>13470</v>
      </c>
      <c r="B13473" s="4" t="s">
        <v>9011</v>
      </c>
      <c r="C13473" s="2" t="str">
        <f ca="1">IFERROR(__xludf.DUMMYFUNCTION("GOOGLETRANSLATE(A13473,""bn"",""en"")"),"Your vote will change the government")</f>
        <v>Your vote will change the government</v>
      </c>
      <c r="D13473" s="5"/>
      <c r="E13473" s="5"/>
      <c r="F13473" s="5"/>
      <c r="G13473" s="5"/>
      <c r="H13473" s="5"/>
      <c r="I13473" s="5"/>
      <c r="J13473" s="5"/>
      <c r="K13473" s="5"/>
      <c r="L13473" s="5"/>
      <c r="M13473" s="5"/>
      <c r="N13473" s="5"/>
      <c r="O13473" s="5"/>
      <c r="P13473" s="5"/>
      <c r="Q13473" s="5"/>
      <c r="R13473" s="5"/>
      <c r="S13473" s="5"/>
      <c r="T13473" s="5"/>
      <c r="U13473" s="5"/>
      <c r="V13473" s="5"/>
      <c r="W13473" s="5"/>
      <c r="X13473" s="5"/>
      <c r="Y13473" s="5"/>
      <c r="Z13473" s="5"/>
    </row>
    <row r="13474" spans="1:26" ht="15" x14ac:dyDescent="0.25">
      <c r="A13474" s="4" t="s">
        <v>13471</v>
      </c>
      <c r="B13474" s="4" t="s">
        <v>9011</v>
      </c>
      <c r="C13474" s="2" t="str">
        <f ca="1">IFERROR(__xludf.DUMMYFUNCTION("GOOGLETRANSLATE(A13474,""bn"",""en"")"),"Crops will be resistant to diseases")</f>
        <v>Crops will be resistant to diseases</v>
      </c>
      <c r="D13474" s="5"/>
      <c r="E13474" s="5"/>
      <c r="F13474" s="5"/>
      <c r="G13474" s="5"/>
      <c r="H13474" s="5"/>
      <c r="I13474" s="5"/>
      <c r="J13474" s="5"/>
      <c r="K13474" s="5"/>
      <c r="L13474" s="5"/>
      <c r="M13474" s="5"/>
      <c r="N13474" s="5"/>
      <c r="O13474" s="5"/>
      <c r="P13474" s="5"/>
      <c r="Q13474" s="5"/>
      <c r="R13474" s="5"/>
      <c r="S13474" s="5"/>
      <c r="T13474" s="5"/>
      <c r="U13474" s="5"/>
      <c r="V13474" s="5"/>
      <c r="W13474" s="5"/>
      <c r="X13474" s="5"/>
      <c r="Y13474" s="5"/>
      <c r="Z13474" s="5"/>
    </row>
    <row r="13475" spans="1:26" ht="15" x14ac:dyDescent="0.25">
      <c r="A13475" s="4" t="s">
        <v>13472</v>
      </c>
      <c r="B13475" s="4" t="s">
        <v>9011</v>
      </c>
      <c r="C13475" s="2" t="str">
        <f ca="1">IFERROR(__xludf.DUMMYFUNCTION("GOOGLETRANSLATE(A13475,""bn"",""en"")"),"The exam will be held internally")</f>
        <v>The exam will be held internally</v>
      </c>
      <c r="D13475" s="5"/>
      <c r="E13475" s="5"/>
      <c r="F13475" s="5"/>
      <c r="G13475" s="5"/>
      <c r="H13475" s="5"/>
      <c r="I13475" s="5"/>
      <c r="J13475" s="5"/>
      <c r="K13475" s="5"/>
      <c r="L13475" s="5"/>
      <c r="M13475" s="5"/>
      <c r="N13475" s="5"/>
      <c r="O13475" s="5"/>
      <c r="P13475" s="5"/>
      <c r="Q13475" s="5"/>
      <c r="R13475" s="5"/>
      <c r="S13475" s="5"/>
      <c r="T13475" s="5"/>
      <c r="U13475" s="5"/>
      <c r="V13475" s="5"/>
      <c r="W13475" s="5"/>
      <c r="X13475" s="5"/>
      <c r="Y13475" s="5"/>
      <c r="Z13475" s="5"/>
    </row>
    <row r="13476" spans="1:26" ht="15" x14ac:dyDescent="0.25">
      <c r="A13476" s="4" t="s">
        <v>13473</v>
      </c>
      <c r="B13476" s="4" t="s">
        <v>9011</v>
      </c>
      <c r="C13476" s="2" t="str">
        <f ca="1">IFERROR(__xludf.DUMMYFUNCTION("GOOGLETRANSLATE(A13476,""bn"",""en"")"),"I will make special food")</f>
        <v>I will make special food</v>
      </c>
      <c r="D13476" s="5"/>
      <c r="E13476" s="5"/>
      <c r="F13476" s="5"/>
      <c r="G13476" s="5"/>
      <c r="H13476" s="5"/>
      <c r="I13476" s="5"/>
      <c r="J13476" s="5"/>
      <c r="K13476" s="5"/>
      <c r="L13476" s="5"/>
      <c r="M13476" s="5"/>
      <c r="N13476" s="5"/>
      <c r="O13476" s="5"/>
      <c r="P13476" s="5"/>
      <c r="Q13476" s="5"/>
      <c r="R13476" s="5"/>
      <c r="S13476" s="5"/>
      <c r="T13476" s="5"/>
      <c r="U13476" s="5"/>
      <c r="V13476" s="5"/>
      <c r="W13476" s="5"/>
      <c r="X13476" s="5"/>
      <c r="Y13476" s="5"/>
      <c r="Z13476" s="5"/>
    </row>
    <row r="13477" spans="1:26" ht="15" x14ac:dyDescent="0.25">
      <c r="A13477" s="4" t="s">
        <v>13474</v>
      </c>
      <c r="B13477" s="4" t="s">
        <v>9011</v>
      </c>
      <c r="C13477" s="2" t="str">
        <f ca="1">IFERROR(__xludf.DUMMYFUNCTION("GOOGLETRANSLATE(A13477,""bn"",""en"")"),"I will correct the error in the program")</f>
        <v>I will correct the error in the program</v>
      </c>
      <c r="D13477" s="5"/>
      <c r="E13477" s="5"/>
      <c r="F13477" s="5"/>
      <c r="G13477" s="5"/>
      <c r="H13477" s="5"/>
      <c r="I13477" s="5"/>
      <c r="J13477" s="5"/>
      <c r="K13477" s="5"/>
      <c r="L13477" s="5"/>
      <c r="M13477" s="5"/>
      <c r="N13477" s="5"/>
      <c r="O13477" s="5"/>
      <c r="P13477" s="5"/>
      <c r="Q13477" s="5"/>
      <c r="R13477" s="5"/>
      <c r="S13477" s="5"/>
      <c r="T13477" s="5"/>
      <c r="U13477" s="5"/>
      <c r="V13477" s="5"/>
      <c r="W13477" s="5"/>
      <c r="X13477" s="5"/>
      <c r="Y13477" s="5"/>
      <c r="Z13477" s="5"/>
    </row>
    <row r="13478" spans="1:26" ht="15" x14ac:dyDescent="0.25">
      <c r="A13478" s="4" t="s">
        <v>13475</v>
      </c>
      <c r="B13478" s="4" t="s">
        <v>9011</v>
      </c>
      <c r="C13478" s="2" t="str">
        <f ca="1">IFERROR(__xludf.DUMMYFUNCTION("GOOGLETRANSLATE(A13478,""bn"",""en"")"),"The market will be normal in expansion")</f>
        <v>The market will be normal in expansion</v>
      </c>
      <c r="D13478" s="5"/>
      <c r="E13478" s="5"/>
      <c r="F13478" s="5"/>
      <c r="G13478" s="5"/>
      <c r="H13478" s="5"/>
      <c r="I13478" s="5"/>
      <c r="J13478" s="5"/>
      <c r="K13478" s="5"/>
      <c r="L13478" s="5"/>
      <c r="M13478" s="5"/>
      <c r="N13478" s="5"/>
      <c r="O13478" s="5"/>
      <c r="P13478" s="5"/>
      <c r="Q13478" s="5"/>
      <c r="R13478" s="5"/>
      <c r="S13478" s="5"/>
      <c r="T13478" s="5"/>
      <c r="U13478" s="5"/>
      <c r="V13478" s="5"/>
      <c r="W13478" s="5"/>
      <c r="X13478" s="5"/>
      <c r="Y13478" s="5"/>
      <c r="Z13478" s="5"/>
    </row>
    <row r="13479" spans="1:26" ht="15" x14ac:dyDescent="0.25">
      <c r="A13479" s="4" t="s">
        <v>13476</v>
      </c>
      <c r="B13479" s="4" t="s">
        <v>9011</v>
      </c>
      <c r="C13479" s="2" t="str">
        <f ca="1">IFERROR(__xludf.DUMMYFUNCTION("GOOGLETRANSLATE(A13479,""bn"",""en"")"),"The story of Sur will come to the mouth")</f>
        <v>The story of Sur will come to the mouth</v>
      </c>
      <c r="D13479" s="5"/>
      <c r="E13479" s="5"/>
      <c r="F13479" s="5"/>
      <c r="G13479" s="5"/>
      <c r="H13479" s="5"/>
      <c r="I13479" s="5"/>
      <c r="J13479" s="5"/>
      <c r="K13479" s="5"/>
      <c r="L13479" s="5"/>
      <c r="M13479" s="5"/>
      <c r="N13479" s="5"/>
      <c r="O13479" s="5"/>
      <c r="P13479" s="5"/>
      <c r="Q13479" s="5"/>
      <c r="R13479" s="5"/>
      <c r="S13479" s="5"/>
      <c r="T13479" s="5"/>
      <c r="U13479" s="5"/>
      <c r="V13479" s="5"/>
      <c r="W13479" s="5"/>
      <c r="X13479" s="5"/>
      <c r="Y13479" s="5"/>
      <c r="Z13479" s="5"/>
    </row>
    <row r="13480" spans="1:26" ht="15" x14ac:dyDescent="0.25">
      <c r="A13480" s="4" t="s">
        <v>13477</v>
      </c>
      <c r="B13480" s="4" t="s">
        <v>9011</v>
      </c>
      <c r="C13480" s="2" t="str">
        <f ca="1">IFERROR(__xludf.DUMMYFUNCTION("GOOGLETRANSLATE(A13480,""bn"",""en"")"),"The shooting of the movie will begin")</f>
        <v>The shooting of the movie will begin</v>
      </c>
      <c r="D13480" s="5"/>
      <c r="E13480" s="5"/>
      <c r="F13480" s="5"/>
      <c r="G13480" s="5"/>
      <c r="H13480" s="5"/>
      <c r="I13480" s="5"/>
      <c r="J13480" s="5"/>
      <c r="K13480" s="5"/>
      <c r="L13480" s="5"/>
      <c r="M13480" s="5"/>
      <c r="N13480" s="5"/>
      <c r="O13480" s="5"/>
      <c r="P13480" s="5"/>
      <c r="Q13480" s="5"/>
      <c r="R13480" s="5"/>
      <c r="S13480" s="5"/>
      <c r="T13480" s="5"/>
      <c r="U13480" s="5"/>
      <c r="V13480" s="5"/>
      <c r="W13480" s="5"/>
      <c r="X13480" s="5"/>
      <c r="Y13480" s="5"/>
      <c r="Z13480" s="5"/>
    </row>
    <row r="13481" spans="1:26" ht="15" x14ac:dyDescent="0.25">
      <c r="A13481" s="4" t="s">
        <v>13478</v>
      </c>
      <c r="B13481" s="4" t="s">
        <v>9011</v>
      </c>
      <c r="C13481" s="2" t="str">
        <f ca="1">IFERROR(__xludf.DUMMYFUNCTION("GOOGLETRANSLATE(A13481,""bn"",""en"")"),"We will organize a competition")</f>
        <v>We will organize a competition</v>
      </c>
      <c r="D13481" s="5"/>
      <c r="E13481" s="5"/>
      <c r="F13481" s="5"/>
      <c r="G13481" s="5"/>
      <c r="H13481" s="5"/>
      <c r="I13481" s="5"/>
      <c r="J13481" s="5"/>
      <c r="K13481" s="5"/>
      <c r="L13481" s="5"/>
      <c r="M13481" s="5"/>
      <c r="N13481" s="5"/>
      <c r="O13481" s="5"/>
      <c r="P13481" s="5"/>
      <c r="Q13481" s="5"/>
      <c r="R13481" s="5"/>
      <c r="S13481" s="5"/>
      <c r="T13481" s="5"/>
      <c r="U13481" s="5"/>
      <c r="V13481" s="5"/>
      <c r="W13481" s="5"/>
      <c r="X13481" s="5"/>
      <c r="Y13481" s="5"/>
      <c r="Z13481" s="5"/>
    </row>
    <row r="13482" spans="1:26" ht="15" x14ac:dyDescent="0.25">
      <c r="A13482" s="4" t="s">
        <v>13479</v>
      </c>
      <c r="B13482" s="4" t="s">
        <v>9011</v>
      </c>
      <c r="C13482" s="2" t="str">
        <f ca="1">IFERROR(__xludf.DUMMYFUNCTION("GOOGLETRANSLATE(A13482,""bn"",""en"")"),"I'll take a tour")</f>
        <v>I'll take a tour</v>
      </c>
      <c r="D13482" s="5"/>
      <c r="E13482" s="5"/>
      <c r="F13482" s="5"/>
      <c r="G13482" s="5"/>
      <c r="H13482" s="5"/>
      <c r="I13482" s="5"/>
      <c r="J13482" s="5"/>
      <c r="K13482" s="5"/>
      <c r="L13482" s="5"/>
      <c r="M13482" s="5"/>
      <c r="N13482" s="5"/>
      <c r="O13482" s="5"/>
      <c r="P13482" s="5"/>
      <c r="Q13482" s="5"/>
      <c r="R13482" s="5"/>
      <c r="S13482" s="5"/>
      <c r="T13482" s="5"/>
      <c r="U13482" s="5"/>
      <c r="V13482" s="5"/>
      <c r="W13482" s="5"/>
      <c r="X13482" s="5"/>
      <c r="Y13482" s="5"/>
      <c r="Z13482" s="5"/>
    </row>
    <row r="13483" spans="1:26" ht="15" x14ac:dyDescent="0.25">
      <c r="A13483" s="4" t="s">
        <v>13480</v>
      </c>
      <c r="B13483" s="4" t="s">
        <v>9011</v>
      </c>
      <c r="C13483" s="2" t="str">
        <f ca="1">IFERROR(__xludf.DUMMYFUNCTION("GOOGLETRANSLATE(A13483,""bn"",""en"")"),"Will learn technology from morning")</f>
        <v>Will learn technology from morning</v>
      </c>
      <c r="D13483" s="5"/>
      <c r="E13483" s="5"/>
      <c r="F13483" s="5"/>
      <c r="G13483" s="5"/>
      <c r="H13483" s="5"/>
      <c r="I13483" s="5"/>
      <c r="J13483" s="5"/>
      <c r="K13483" s="5"/>
      <c r="L13483" s="5"/>
      <c r="M13483" s="5"/>
      <c r="N13483" s="5"/>
      <c r="O13483" s="5"/>
      <c r="P13483" s="5"/>
      <c r="Q13483" s="5"/>
      <c r="R13483" s="5"/>
      <c r="S13483" s="5"/>
      <c r="T13483" s="5"/>
      <c r="U13483" s="5"/>
      <c r="V13483" s="5"/>
      <c r="W13483" s="5"/>
      <c r="X13483" s="5"/>
      <c r="Y13483" s="5"/>
      <c r="Z13483" s="5"/>
    </row>
    <row r="13484" spans="1:26" ht="15" x14ac:dyDescent="0.25">
      <c r="A13484" s="4" t="s">
        <v>13481</v>
      </c>
      <c r="B13484" s="4" t="s">
        <v>9011</v>
      </c>
      <c r="C13484" s="2" t="str">
        <f ca="1">IFERROR(__xludf.DUMMYFUNCTION("GOOGLETRANSLATE(A13484,""bn"",""en"")"),"The farmer will sow the seeds")</f>
        <v>The farmer will sow the seeds</v>
      </c>
      <c r="D13484" s="5"/>
      <c r="E13484" s="5"/>
      <c r="F13484" s="5"/>
      <c r="G13484" s="5"/>
      <c r="H13484" s="5"/>
      <c r="I13484" s="5"/>
      <c r="J13484" s="5"/>
      <c r="K13484" s="5"/>
      <c r="L13484" s="5"/>
      <c r="M13484" s="5"/>
      <c r="N13484" s="5"/>
      <c r="O13484" s="5"/>
      <c r="P13484" s="5"/>
      <c r="Q13484" s="5"/>
      <c r="R13484" s="5"/>
      <c r="S13484" s="5"/>
      <c r="T13484" s="5"/>
      <c r="U13484" s="5"/>
      <c r="V13484" s="5"/>
      <c r="W13484" s="5"/>
      <c r="X13484" s="5"/>
      <c r="Y13484" s="5"/>
      <c r="Z13484" s="5"/>
    </row>
    <row r="13485" spans="1:26" ht="15" x14ac:dyDescent="0.25">
      <c r="A13485" s="4" t="s">
        <v>13482</v>
      </c>
      <c r="B13485" s="4" t="s">
        <v>9011</v>
      </c>
      <c r="C13485" s="2" t="str">
        <f ca="1">IFERROR(__xludf.DUMMYFUNCTION("GOOGLETRANSLATE(A13485,""bn"",""en"")"),"You will get fruit juice")</f>
        <v>You will get fruit juice</v>
      </c>
      <c r="D13485" s="5"/>
      <c r="E13485" s="5"/>
      <c r="F13485" s="5"/>
      <c r="G13485" s="5"/>
      <c r="H13485" s="5"/>
      <c r="I13485" s="5"/>
      <c r="J13485" s="5"/>
      <c r="K13485" s="5"/>
      <c r="L13485" s="5"/>
      <c r="M13485" s="5"/>
      <c r="N13485" s="5"/>
      <c r="O13485" s="5"/>
      <c r="P13485" s="5"/>
      <c r="Q13485" s="5"/>
      <c r="R13485" s="5"/>
      <c r="S13485" s="5"/>
      <c r="T13485" s="5"/>
      <c r="U13485" s="5"/>
      <c r="V13485" s="5"/>
      <c r="W13485" s="5"/>
      <c r="X13485" s="5"/>
      <c r="Y13485" s="5"/>
      <c r="Z13485" s="5"/>
    </row>
    <row r="13486" spans="1:26" ht="15" x14ac:dyDescent="0.25">
      <c r="A13486" s="4" t="s">
        <v>13483</v>
      </c>
      <c r="B13486" s="4" t="s">
        <v>9011</v>
      </c>
      <c r="C13486" s="2" t="str">
        <f ca="1">IFERROR(__xludf.DUMMYFUNCTION("GOOGLETRANSLATE(A13486,""bn"",""en"")"),"They will see the ancient city")</f>
        <v>They will see the ancient city</v>
      </c>
      <c r="D13486" s="5"/>
      <c r="E13486" s="5"/>
      <c r="F13486" s="5"/>
      <c r="G13486" s="5"/>
      <c r="H13486" s="5"/>
      <c r="I13486" s="5"/>
      <c r="J13486" s="5"/>
      <c r="K13486" s="5"/>
      <c r="L13486" s="5"/>
      <c r="M13486" s="5"/>
      <c r="N13486" s="5"/>
      <c r="O13486" s="5"/>
      <c r="P13486" s="5"/>
      <c r="Q13486" s="5"/>
      <c r="R13486" s="5"/>
      <c r="S13486" s="5"/>
      <c r="T13486" s="5"/>
      <c r="U13486" s="5"/>
      <c r="V13486" s="5"/>
      <c r="W13486" s="5"/>
      <c r="X13486" s="5"/>
      <c r="Y13486" s="5"/>
      <c r="Z13486" s="5"/>
    </row>
    <row r="13487" spans="1:26" ht="15" x14ac:dyDescent="0.25">
      <c r="A13487" s="4" t="s">
        <v>13484</v>
      </c>
      <c r="B13487" s="4" t="s">
        <v>9011</v>
      </c>
      <c r="C13487" s="2" t="str">
        <f ca="1">IFERROR(__xludf.DUMMYFUNCTION("GOOGLETRANSLATE(A13487,""bn"",""en"")"),"I will review the code")</f>
        <v>I will review the code</v>
      </c>
      <c r="D13487" s="5"/>
      <c r="E13487" s="5"/>
      <c r="F13487" s="5"/>
      <c r="G13487" s="5"/>
      <c r="H13487" s="5"/>
      <c r="I13487" s="5"/>
      <c r="J13487" s="5"/>
      <c r="K13487" s="5"/>
      <c r="L13487" s="5"/>
      <c r="M13487" s="5"/>
      <c r="N13487" s="5"/>
      <c r="O13487" s="5"/>
      <c r="P13487" s="5"/>
      <c r="Q13487" s="5"/>
      <c r="R13487" s="5"/>
      <c r="S13487" s="5"/>
      <c r="T13487" s="5"/>
      <c r="U13487" s="5"/>
      <c r="V13487" s="5"/>
      <c r="W13487" s="5"/>
      <c r="X13487" s="5"/>
      <c r="Y13487" s="5"/>
      <c r="Z13487" s="5"/>
    </row>
    <row r="13488" spans="1:26" ht="15" x14ac:dyDescent="0.25">
      <c r="A13488" s="4" t="s">
        <v>13485</v>
      </c>
      <c r="B13488" s="4" t="s">
        <v>9011</v>
      </c>
      <c r="C13488" s="2" t="str">
        <f ca="1">IFERROR(__xludf.DUMMYFUNCTION("GOOGLETRANSLATE(A13488,""bn"",""en"")"),"Technology will be used in education")</f>
        <v>Technology will be used in education</v>
      </c>
      <c r="D13488" s="5"/>
      <c r="E13488" s="5"/>
      <c r="F13488" s="5"/>
      <c r="G13488" s="5"/>
      <c r="H13488" s="5"/>
      <c r="I13488" s="5"/>
      <c r="J13488" s="5"/>
      <c r="K13488" s="5"/>
      <c r="L13488" s="5"/>
      <c r="M13488" s="5"/>
      <c r="N13488" s="5"/>
      <c r="O13488" s="5"/>
      <c r="P13488" s="5"/>
      <c r="Q13488" s="5"/>
      <c r="R13488" s="5"/>
      <c r="S13488" s="5"/>
      <c r="T13488" s="5"/>
      <c r="U13488" s="5"/>
      <c r="V13488" s="5"/>
      <c r="W13488" s="5"/>
      <c r="X13488" s="5"/>
      <c r="Y13488" s="5"/>
      <c r="Z13488" s="5"/>
    </row>
    <row r="13489" spans="1:26" ht="15" x14ac:dyDescent="0.25">
      <c r="A13489" s="4" t="s">
        <v>13486</v>
      </c>
      <c r="B13489" s="4" t="s">
        <v>9011</v>
      </c>
      <c r="C13489" s="2" t="str">
        <f ca="1">IFERROR(__xludf.DUMMYFUNCTION("GOOGLETRANSLATE(A13489,""bn"",""en"")"),"Healthcare facilities will increase in treatment")</f>
        <v>Healthcare facilities will increase in treatment</v>
      </c>
      <c r="D13489" s="5"/>
      <c r="E13489" s="5"/>
      <c r="F13489" s="5"/>
      <c r="G13489" s="5"/>
      <c r="H13489" s="5"/>
      <c r="I13489" s="5"/>
      <c r="J13489" s="5"/>
      <c r="K13489" s="5"/>
      <c r="L13489" s="5"/>
      <c r="M13489" s="5"/>
      <c r="N13489" s="5"/>
      <c r="O13489" s="5"/>
      <c r="P13489" s="5"/>
      <c r="Q13489" s="5"/>
      <c r="R13489" s="5"/>
      <c r="S13489" s="5"/>
      <c r="T13489" s="5"/>
      <c r="U13489" s="5"/>
      <c r="V13489" s="5"/>
      <c r="W13489" s="5"/>
      <c r="X13489" s="5"/>
      <c r="Y13489" s="5"/>
      <c r="Z13489" s="5"/>
    </row>
    <row r="13490" spans="1:26" ht="15" x14ac:dyDescent="0.25">
      <c r="A13490" s="4" t="s">
        <v>13487</v>
      </c>
      <c r="B13490" s="4" t="s">
        <v>9011</v>
      </c>
      <c r="C13490" s="2" t="str">
        <f ca="1">IFERROR(__xludf.DUMMYFUNCTION("GOOGLETRANSLATE(A13490,""bn"",""en"")"),"The waterfall will be covered with ice")</f>
        <v>The waterfall will be covered with ice</v>
      </c>
      <c r="D13490" s="5"/>
      <c r="E13490" s="5"/>
      <c r="F13490" s="5"/>
      <c r="G13490" s="5"/>
      <c r="H13490" s="5"/>
      <c r="I13490" s="5"/>
      <c r="J13490" s="5"/>
      <c r="K13490" s="5"/>
      <c r="L13490" s="5"/>
      <c r="M13490" s="5"/>
      <c r="N13490" s="5"/>
      <c r="O13490" s="5"/>
      <c r="P13490" s="5"/>
      <c r="Q13490" s="5"/>
      <c r="R13490" s="5"/>
      <c r="S13490" s="5"/>
      <c r="T13490" s="5"/>
      <c r="U13490" s="5"/>
      <c r="V13490" s="5"/>
      <c r="W13490" s="5"/>
      <c r="X13490" s="5"/>
      <c r="Y13490" s="5"/>
      <c r="Z13490" s="5"/>
    </row>
    <row r="13491" spans="1:26" ht="15" x14ac:dyDescent="0.25">
      <c r="A13491" s="4" t="s">
        <v>13488</v>
      </c>
      <c r="B13491" s="4" t="s">
        <v>9011</v>
      </c>
      <c r="C13491" s="2" t="str">
        <f ca="1">IFERROR(__xludf.DUMMYFUNCTION("GOOGLETRANSLATE(A13491,""bn"",""en"")"),"The garden will produce fruit")</f>
        <v>The garden will produce fruit</v>
      </c>
      <c r="D13491" s="5"/>
      <c r="E13491" s="5"/>
      <c r="F13491" s="5"/>
      <c r="G13491" s="5"/>
      <c r="H13491" s="5"/>
      <c r="I13491" s="5"/>
      <c r="J13491" s="5"/>
      <c r="K13491" s="5"/>
      <c r="L13491" s="5"/>
      <c r="M13491" s="5"/>
      <c r="N13491" s="5"/>
      <c r="O13491" s="5"/>
      <c r="P13491" s="5"/>
      <c r="Q13491" s="5"/>
      <c r="R13491" s="5"/>
      <c r="S13491" s="5"/>
      <c r="T13491" s="5"/>
      <c r="U13491" s="5"/>
      <c r="V13491" s="5"/>
      <c r="W13491" s="5"/>
      <c r="X13491" s="5"/>
      <c r="Y13491" s="5"/>
      <c r="Z13491" s="5"/>
    </row>
    <row r="13492" spans="1:26" ht="15" x14ac:dyDescent="0.25">
      <c r="A13492" s="4" t="s">
        <v>13489</v>
      </c>
      <c r="B13492" s="4" t="s">
        <v>9011</v>
      </c>
      <c r="C13492" s="2" t="str">
        <f ca="1">IFERROR(__xludf.DUMMYFUNCTION("GOOGLETRANSLATE(A13492,""bn"",""en"")"),"He will go to a new school")</f>
        <v>He will go to a new school</v>
      </c>
      <c r="D13492" s="5"/>
      <c r="E13492" s="5"/>
      <c r="F13492" s="5"/>
      <c r="G13492" s="5"/>
      <c r="H13492" s="5"/>
      <c r="I13492" s="5"/>
      <c r="J13492" s="5"/>
      <c r="K13492" s="5"/>
      <c r="L13492" s="5"/>
      <c r="M13492" s="5"/>
      <c r="N13492" s="5"/>
      <c r="O13492" s="5"/>
      <c r="P13492" s="5"/>
      <c r="Q13492" s="5"/>
      <c r="R13492" s="5"/>
      <c r="S13492" s="5"/>
      <c r="T13492" s="5"/>
      <c r="U13492" s="5"/>
      <c r="V13492" s="5"/>
      <c r="W13492" s="5"/>
      <c r="X13492" s="5"/>
      <c r="Y13492" s="5"/>
      <c r="Z13492" s="5"/>
    </row>
    <row r="13493" spans="1:26" ht="15" x14ac:dyDescent="0.25">
      <c r="A13493" s="4" t="s">
        <v>13490</v>
      </c>
      <c r="B13493" s="4" t="s">
        <v>9011</v>
      </c>
      <c r="C13493" s="2" t="str">
        <f ca="1">IFERROR(__xludf.DUMMYFUNCTION("GOOGLETRANSLATE(A13493,""bn"",""en"")"),"Bangladesh cricket match will continue now")</f>
        <v>Bangladesh cricket match will continue now</v>
      </c>
      <c r="D13493" s="5"/>
      <c r="E13493" s="5"/>
      <c r="F13493" s="5"/>
      <c r="G13493" s="5"/>
      <c r="H13493" s="5"/>
      <c r="I13493" s="5"/>
      <c r="J13493" s="5"/>
      <c r="K13493" s="5"/>
      <c r="L13493" s="5"/>
      <c r="M13493" s="5"/>
      <c r="N13493" s="5"/>
      <c r="O13493" s="5"/>
      <c r="P13493" s="5"/>
      <c r="Q13493" s="5"/>
      <c r="R13493" s="5"/>
      <c r="S13493" s="5"/>
      <c r="T13493" s="5"/>
      <c r="U13493" s="5"/>
      <c r="V13493" s="5"/>
      <c r="W13493" s="5"/>
      <c r="X13493" s="5"/>
      <c r="Y13493" s="5"/>
      <c r="Z13493" s="5"/>
    </row>
    <row r="13494" spans="1:26" ht="15" x14ac:dyDescent="0.25">
      <c r="A13494" s="4" t="s">
        <v>13491</v>
      </c>
      <c r="B13494" s="4" t="s">
        <v>9011</v>
      </c>
      <c r="C13494" s="2" t="str">
        <f ca="1">IFERROR(__xludf.DUMMYFUNCTION("GOOGLETRANSLATE(A13494,""bn"",""en"")"),"He will continue to visit the Taj Mahal")</f>
        <v>He will continue to visit the Taj Mahal</v>
      </c>
      <c r="D13494" s="5"/>
      <c r="E13494" s="5"/>
      <c r="F13494" s="5"/>
      <c r="G13494" s="5"/>
      <c r="H13494" s="5"/>
      <c r="I13494" s="5"/>
      <c r="J13494" s="5"/>
      <c r="K13494" s="5"/>
      <c r="L13494" s="5"/>
      <c r="M13494" s="5"/>
      <c r="N13494" s="5"/>
      <c r="O13494" s="5"/>
      <c r="P13494" s="5"/>
      <c r="Q13494" s="5"/>
      <c r="R13494" s="5"/>
      <c r="S13494" s="5"/>
      <c r="T13494" s="5"/>
      <c r="U13494" s="5"/>
      <c r="V13494" s="5"/>
      <c r="W13494" s="5"/>
      <c r="X13494" s="5"/>
      <c r="Y13494" s="5"/>
      <c r="Z13494" s="5"/>
    </row>
    <row r="13495" spans="1:26" ht="15" x14ac:dyDescent="0.25">
      <c r="A13495" s="4" t="s">
        <v>13492</v>
      </c>
      <c r="B13495" s="4" t="s">
        <v>9011</v>
      </c>
      <c r="C13495" s="2" t="str">
        <f ca="1">IFERROR(__xludf.DUMMYFUNCTION("GOOGLETRANSLATE(A13495,""bn"",""en"")"),"Education will shape our character")</f>
        <v>Education will shape our character</v>
      </c>
      <c r="D13495" s="5"/>
      <c r="E13495" s="5"/>
      <c r="F13495" s="5"/>
      <c r="G13495" s="5"/>
      <c r="H13495" s="5"/>
      <c r="I13495" s="5"/>
      <c r="J13495" s="5"/>
      <c r="K13495" s="5"/>
      <c r="L13495" s="5"/>
      <c r="M13495" s="5"/>
      <c r="N13495" s="5"/>
      <c r="O13495" s="5"/>
      <c r="P13495" s="5"/>
      <c r="Q13495" s="5"/>
      <c r="R13495" s="5"/>
      <c r="S13495" s="5"/>
      <c r="T13495" s="5"/>
      <c r="U13495" s="5"/>
      <c r="V13495" s="5"/>
      <c r="W13495" s="5"/>
      <c r="X13495" s="5"/>
      <c r="Y13495" s="5"/>
      <c r="Z13495" s="5"/>
    </row>
    <row r="13496" spans="1:26" ht="15" x14ac:dyDescent="0.25">
      <c r="A13496" s="4" t="s">
        <v>13493</v>
      </c>
      <c r="B13496" s="4" t="s">
        <v>9011</v>
      </c>
      <c r="C13496" s="2" t="str">
        <f ca="1">IFERROR(__xludf.DUMMYFUNCTION("GOOGLETRANSLATE(A13496,""bn"",""en"")"),"I will be using the new internet")</f>
        <v>I will be using the new internet</v>
      </c>
      <c r="D13496" s="5"/>
      <c r="E13496" s="5"/>
      <c r="F13496" s="5"/>
      <c r="G13496" s="5"/>
      <c r="H13496" s="5"/>
      <c r="I13496" s="5"/>
      <c r="J13496" s="5"/>
      <c r="K13496" s="5"/>
      <c r="L13496" s="5"/>
      <c r="M13496" s="5"/>
      <c r="N13496" s="5"/>
      <c r="O13496" s="5"/>
      <c r="P13496" s="5"/>
      <c r="Q13496" s="5"/>
      <c r="R13496" s="5"/>
      <c r="S13496" s="5"/>
      <c r="T13496" s="5"/>
      <c r="U13496" s="5"/>
      <c r="V13496" s="5"/>
      <c r="W13496" s="5"/>
      <c r="X13496" s="5"/>
      <c r="Y13496" s="5"/>
      <c r="Z13496" s="5"/>
    </row>
    <row r="13497" spans="1:26" ht="15" x14ac:dyDescent="0.25">
      <c r="A13497" s="4" t="s">
        <v>13494</v>
      </c>
      <c r="B13497" s="4" t="s">
        <v>9011</v>
      </c>
      <c r="C13497" s="2" t="str">
        <f ca="1">IFERROR(__xludf.DUMMYFUNCTION("GOOGLETRANSLATE(A13497,""bn"",""en"")"),"I will take new internet connection")</f>
        <v>I will take new internet connection</v>
      </c>
      <c r="D13497" s="5"/>
      <c r="E13497" s="5"/>
      <c r="F13497" s="5"/>
      <c r="G13497" s="5"/>
      <c r="H13497" s="5"/>
      <c r="I13497" s="5"/>
      <c r="J13497" s="5"/>
      <c r="K13497" s="5"/>
      <c r="L13497" s="5"/>
      <c r="M13497" s="5"/>
      <c r="N13497" s="5"/>
      <c r="O13497" s="5"/>
      <c r="P13497" s="5"/>
      <c r="Q13497" s="5"/>
      <c r="R13497" s="5"/>
      <c r="S13497" s="5"/>
      <c r="T13497" s="5"/>
      <c r="U13497" s="5"/>
      <c r="V13497" s="5"/>
      <c r="W13497" s="5"/>
      <c r="X13497" s="5"/>
      <c r="Y13497" s="5"/>
      <c r="Z13497" s="5"/>
    </row>
    <row r="13498" spans="1:26" ht="15" x14ac:dyDescent="0.25">
      <c r="A13498" s="4" t="s">
        <v>13495</v>
      </c>
      <c r="B13498" s="4" t="s">
        <v>9011</v>
      </c>
      <c r="C13498" s="2" t="str">
        <f ca="1">IFERROR(__xludf.DUMMYFUNCTION("GOOGLETRANSLATE(A13498,""bn"",""en"")"),"I will form the government in time")</f>
        <v>I will form the government in time</v>
      </c>
      <c r="D13498" s="5"/>
      <c r="E13498" s="5"/>
      <c r="F13498" s="5"/>
      <c r="G13498" s="5"/>
      <c r="H13498" s="5"/>
      <c r="I13498" s="5"/>
      <c r="J13498" s="5"/>
      <c r="K13498" s="5"/>
      <c r="L13498" s="5"/>
      <c r="M13498" s="5"/>
      <c r="N13498" s="5"/>
      <c r="O13498" s="5"/>
      <c r="P13498" s="5"/>
      <c r="Q13498" s="5"/>
      <c r="R13498" s="5"/>
      <c r="S13498" s="5"/>
      <c r="T13498" s="5"/>
      <c r="U13498" s="5"/>
      <c r="V13498" s="5"/>
      <c r="W13498" s="5"/>
      <c r="X13498" s="5"/>
      <c r="Y13498" s="5"/>
      <c r="Z13498" s="5"/>
    </row>
    <row r="13499" spans="1:26" ht="15" x14ac:dyDescent="0.25">
      <c r="A13499" s="4" t="s">
        <v>13496</v>
      </c>
      <c r="B13499" s="4" t="s">
        <v>9011</v>
      </c>
      <c r="C13499" s="2" t="str">
        <f ca="1">IFERROR(__xludf.DUMMYFUNCTION("GOOGLETRANSLATE(A13499,""bn"",""en"")"),"The government will continue to seek improvement in annual production")</f>
        <v>The government will continue to seek improvement in annual production</v>
      </c>
      <c r="D13499" s="5"/>
      <c r="E13499" s="5"/>
      <c r="F13499" s="5"/>
      <c r="G13499" s="5"/>
      <c r="H13499" s="5"/>
      <c r="I13499" s="5"/>
      <c r="J13499" s="5"/>
      <c r="K13499" s="5"/>
      <c r="L13499" s="5"/>
      <c r="M13499" s="5"/>
      <c r="N13499" s="5"/>
      <c r="O13499" s="5"/>
      <c r="P13499" s="5"/>
      <c r="Q13499" s="5"/>
      <c r="R13499" s="5"/>
      <c r="S13499" s="5"/>
      <c r="T13499" s="5"/>
      <c r="U13499" s="5"/>
      <c r="V13499" s="5"/>
      <c r="W13499" s="5"/>
      <c r="X13499" s="5"/>
      <c r="Y13499" s="5"/>
      <c r="Z13499" s="5"/>
    </row>
    <row r="13500" spans="1:26" ht="15" x14ac:dyDescent="0.25">
      <c r="A13500" s="4" t="s">
        <v>13497</v>
      </c>
      <c r="B13500" s="4" t="s">
        <v>9011</v>
      </c>
      <c r="C13500" s="2" t="str">
        <f ca="1">IFERROR(__xludf.DUMMYFUNCTION("GOOGLETRANSLATE(A13500,""bn"",""en"")"),"Will show interest by helping")</f>
        <v>Will show interest by helping</v>
      </c>
      <c r="D13500" s="5"/>
      <c r="E13500" s="5"/>
      <c r="F13500" s="5"/>
      <c r="G13500" s="5"/>
      <c r="H13500" s="5"/>
      <c r="I13500" s="5"/>
      <c r="J13500" s="5"/>
      <c r="K13500" s="5"/>
      <c r="L13500" s="5"/>
      <c r="M13500" s="5"/>
      <c r="N13500" s="5"/>
      <c r="O13500" s="5"/>
      <c r="P13500" s="5"/>
      <c r="Q13500" s="5"/>
      <c r="R13500" s="5"/>
      <c r="S13500" s="5"/>
      <c r="T13500" s="5"/>
      <c r="U13500" s="5"/>
      <c r="V13500" s="5"/>
      <c r="W13500" s="5"/>
      <c r="X13500" s="5"/>
      <c r="Y13500" s="5"/>
      <c r="Z13500" s="5"/>
    </row>
    <row r="13501" spans="1:26" ht="15" x14ac:dyDescent="0.25">
      <c r="A13501" s="4" t="s">
        <v>13498</v>
      </c>
      <c r="B13501" s="4" t="s">
        <v>9011</v>
      </c>
      <c r="C13501" s="2" t="str">
        <f ca="1">IFERROR(__xludf.DUMMYFUNCTION("GOOGLETRANSLATE(A13501,""bn"",""en"")"),"I will continue to get various pservices in this bank")</f>
        <v>I will continue to get various pservices in this bank</v>
      </c>
      <c r="D13501" s="5"/>
      <c r="E13501" s="5"/>
      <c r="F13501" s="5"/>
      <c r="G13501" s="5"/>
      <c r="H13501" s="5"/>
      <c r="I13501" s="5"/>
      <c r="J13501" s="5"/>
      <c r="K13501" s="5"/>
      <c r="L13501" s="5"/>
      <c r="M13501" s="5"/>
      <c r="N13501" s="5"/>
      <c r="O13501" s="5"/>
      <c r="P13501" s="5"/>
      <c r="Q13501" s="5"/>
      <c r="R13501" s="5"/>
      <c r="S13501" s="5"/>
      <c r="T13501" s="5"/>
      <c r="U13501" s="5"/>
      <c r="V13501" s="5"/>
      <c r="W13501" s="5"/>
      <c r="X13501" s="5"/>
      <c r="Y13501" s="5"/>
      <c r="Z13501" s="5"/>
    </row>
  </sheetData>
  <autoFilter ref="B1:B13501"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2024-12-06T12:32:20Z</dcterms:created>
  <dcterms:modified xsi:type="dcterms:W3CDTF">2024-12-06T12:32:21Z</dcterms:modified>
</cp:coreProperties>
</file>